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codeName="ThisWorkbook" defaultThemeVersion="124226"/>
  <mc:AlternateContent xmlns:mc="http://schemas.openxmlformats.org/markup-compatibility/2006">
    <mc:Choice Requires="x15">
      <x15ac:absPath xmlns:x15ac="http://schemas.microsoft.com/office/spreadsheetml/2010/11/ac" url="C:\Users\ADM_ANARVAEZ\Downloads\"/>
    </mc:Choice>
  </mc:AlternateContent>
  <xr:revisionPtr revIDLastSave="0" documentId="13_ncr:1_{3418E622-89C1-42C5-83B9-9CB719B090EB}" xr6:coauthVersionLast="47" xr6:coauthVersionMax="47" xr10:uidLastSave="{00000000-0000-0000-0000-000000000000}"/>
  <bookViews>
    <workbookView xWindow="-120" yWindow="-120" windowWidth="29040" windowHeight="15720" tabRatio="708" activeTab="2" xr2:uid="{00000000-000D-0000-FFFF-FFFF00000000}"/>
  </bookViews>
  <sheets>
    <sheet name="INDICADORES" sheetId="30" r:id="rId1"/>
    <sheet name="INSTRUCTIVO " sheetId="32" r:id="rId2"/>
    <sheet name="CPN 2023" sheetId="5" r:id="rId3"/>
    <sheet name="Pendientes Agosto." sheetId="34" r:id="rId4"/>
  </sheets>
  <externalReferences>
    <externalReference r:id="rId5"/>
  </externalReferences>
  <definedNames>
    <definedName name="_06_05_2011" localSheetId="1">'[1]CPN 2022'!#REF!</definedName>
    <definedName name="_06_05_2011">'CPN 2023'!#REF!</definedName>
    <definedName name="_29_11_1984" localSheetId="1">'[1]CPN 2022'!#REF!</definedName>
    <definedName name="_29_11_1984">'CPN 2023'!#REF!</definedName>
    <definedName name="_xlnm._FilterDatabase" localSheetId="2" hidden="1">'CPN 2023'!$NY$2:$RY$248</definedName>
    <definedName name="AIC" localSheetId="1">'[1]CPN 2022'!#REF!</definedName>
    <definedName name="AIC">'CPN 2023'!#REF!</definedName>
    <definedName name="AIDA" localSheetId="1">'[1]CPN 2022'!#REF!</definedName>
    <definedName name="AIDA">'CPN 2023'!#REF!</definedName>
    <definedName name="CC" localSheetId="1">'[1]CPN 2022'!#REF!</definedName>
    <definedName name="CC">'CPN 2023'!#REF!</definedName>
    <definedName name="CCC" localSheetId="1">'[1]CPN 2022'!#REF!</definedName>
    <definedName name="CCC">'CPN 2023'!#REF!</definedName>
    <definedName name="CHOCUE" localSheetId="1">'[1]CPN 2022'!#REF!</definedName>
    <definedName name="CHOCUE">'CPN 2023'!#REF!</definedName>
    <definedName name="EL_HOGAR" localSheetId="1">'[1]CPN 2022'!#REF!</definedName>
    <definedName name="EL_HOGAR">'CPN 2023'!#REF!</definedName>
    <definedName name="INDIGENA" localSheetId="1">'[1]CPN 2022'!#REF!</definedName>
    <definedName name="INDIGENA">'CPN 2023'!#REF!</definedName>
    <definedName name="LA_PLAYA_MIRASOLES" localSheetId="1">'[1]CPN 2022'!#REF!</definedName>
    <definedName name="LA_PLAYA_MIRASOLES">'CPN 2023'!#REF!</definedName>
    <definedName name="LORENA" localSheetId="1">'[1]CPN 2022'!#REF!</definedName>
    <definedName name="LORENA">'CPN 2023'!#REF!</definedName>
    <definedName name="MESTIZA" localSheetId="1">'[1]CPN 2022'!#REF!</definedName>
    <definedName name="MESTIZA">'CPN 2023'!#REF!</definedName>
    <definedName name="RIVERA" localSheetId="1">'[1]CPN 2022'!#REF!</definedName>
    <definedName name="RIVERA">'CPN 2023'!#REF!</definedName>
    <definedName name="RURAL" localSheetId="1">'[1]CPN 2022'!#REF!</definedName>
    <definedName name="RURAL">'CPN 2023'!#REF!</definedName>
    <definedName name="SIN_RIESGO_POR_EDAD" localSheetId="1">'[1]CPN 2022'!#REF!</definedName>
    <definedName name="SIN_RIESGO_POR_EDAD">'CPN 2023'!#REF!</definedName>
    <definedName name="SUB" localSheetId="1">'[1]CPN 2022'!#REF!</definedName>
    <definedName name="SUB">'CPN 2023'!#REF!</definedName>
    <definedName name="UNION_L" localSheetId="1">'[1]CPN 2022'!#REF!</definedName>
    <definedName name="UNION_L">'CPN 2023'!#REF!</definedName>
    <definedName name="Z_87C82D0B_BF3B_4D48_8D40_9A69123EBFA4_.wvu.Cols" localSheetId="2" hidden="1">'CPN 2023'!#REF!,'CPN 2023'!#REF!,'CPN 2023'!#REF!,'CPN 2023'!#REF!,'CPN 2023'!#REF!,'CPN 2023'!#REF!,'CPN 2023'!#REF!,'CPN 2023'!$DF:$DF,'CPN 2023'!#REF!,'CPN 2023'!#REF!,'CPN 2023'!#REF!,'CPN 2023'!#REF!,'CPN 2023'!#REF!,'CPN 2023'!#REF!,'CPN 2023'!#REF!,'CPN 2023'!#REF!,'CPN 2023'!#REF!,'CPN 2023'!#REF!,'CPN 2023'!#REF!,'CPN 2023'!#REF!,'CPN 2023'!#REF!,'CPN 2023'!#REF!,'CPN 2023'!#REF!,'CPN 2023'!#REF!,'CPN 2023'!#REF!,'CPN 2023'!#REF!,'CPN 2023'!#REF!,'CPN 2023'!#REF!,'CPN 2023'!#REF!,'CPN 2023'!#REF!,'CPN 2023'!#REF!,'CPN 2023'!#REF!,'CPN 2023'!$IN:$IO,'CPN 2023'!$JL:$JU,'CPN 2023'!#REF!,'CPN 2023'!#REF!,'CPN 2023'!#REF!</definedName>
    <definedName name="Z_87C82D0B_BF3B_4D48_8D40_9A69123EBFA4_.wvu.FilterData" localSheetId="2" hidden="1">'CPN 2023'!$D$2:$KE$248</definedName>
    <definedName name="Z_87C82D0B_BF3B_4D48_8D40_9A69123EBFA4_.wvu.Rows" localSheetId="2" hidden="1">'CPN 2023'!#REF!</definedName>
  </definedNames>
  <calcPr calcId="191029"/>
  <customWorkbookViews>
    <customWorkbookView name="electrom pc - Vista personalizada" guid="{87C82D0B-BF3B-4D48-8D40-9A69123EBFA4}" mergeInterval="0" personalView="1" maximized="1" xWindow="1" yWindow="1" windowWidth="1366" windowHeight="496" tabRatio="599" activeSheetId="5"/>
  </customWorkbookView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P246" i="5" l="1"/>
  <c r="N243" i="5"/>
  <c r="IP71" i="5"/>
  <c r="IP61" i="5"/>
  <c r="BS160" i="5"/>
  <c r="BR160" i="5"/>
  <c r="P212" i="5"/>
  <c r="GS138" i="5"/>
  <c r="GS207" i="5"/>
  <c r="HG207" i="5"/>
  <c r="HN207" i="5"/>
  <c r="EP207" i="5"/>
  <c r="EU207" i="5"/>
  <c r="EA207" i="5"/>
  <c r="DY207" i="5"/>
  <c r="DV207" i="5"/>
  <c r="DY208" i="5"/>
  <c r="CM207" i="5"/>
  <c r="CI207" i="5"/>
  <c r="EI64" i="5"/>
  <c r="EG64" i="5"/>
  <c r="EE64" i="5"/>
  <c r="CI231" i="5"/>
  <c r="P207" i="5" l="1"/>
  <c r="AK201" i="5"/>
  <c r="AK200" i="5"/>
  <c r="AK199" i="5"/>
  <c r="P199" i="5"/>
  <c r="AK198" i="5"/>
  <c r="AK197" i="5"/>
  <c r="IG141" i="5"/>
  <c r="HG4" i="5"/>
  <c r="HN4" i="5"/>
  <c r="HG5" i="5"/>
  <c r="HN5" i="5"/>
  <c r="HG6" i="5"/>
  <c r="HN6" i="5"/>
  <c r="HG7" i="5"/>
  <c r="HN7" i="5"/>
  <c r="HG8" i="5"/>
  <c r="HN8" i="5"/>
  <c r="HG9" i="5"/>
  <c r="HN9" i="5"/>
  <c r="HG10" i="5"/>
  <c r="HN10" i="5"/>
  <c r="HG11" i="5"/>
  <c r="HN11" i="5"/>
  <c r="HG12" i="5"/>
  <c r="HN12" i="5"/>
  <c r="HG13" i="5"/>
  <c r="HN13" i="5"/>
  <c r="HG14" i="5"/>
  <c r="HN14" i="5"/>
  <c r="HG15" i="5"/>
  <c r="HN15" i="5"/>
  <c r="HG16" i="5"/>
  <c r="HN16" i="5"/>
  <c r="HG17" i="5"/>
  <c r="HN17" i="5"/>
  <c r="HG18" i="5"/>
  <c r="HN18" i="5"/>
  <c r="HG19" i="5"/>
  <c r="HN19" i="5"/>
  <c r="HG20" i="5"/>
  <c r="HN20" i="5"/>
  <c r="HG21" i="5"/>
  <c r="HN21" i="5"/>
  <c r="HG22" i="5"/>
  <c r="HN22" i="5"/>
  <c r="HG23" i="5"/>
  <c r="HN23" i="5"/>
  <c r="HG24" i="5"/>
  <c r="HN24" i="5"/>
  <c r="HG25" i="5"/>
  <c r="HN25" i="5"/>
  <c r="HG26" i="5"/>
  <c r="HN26" i="5"/>
  <c r="HG27" i="5"/>
  <c r="HN27" i="5"/>
  <c r="HG28" i="5"/>
  <c r="HN28" i="5"/>
  <c r="HG29" i="5"/>
  <c r="HN29" i="5"/>
  <c r="HG30" i="5"/>
  <c r="HN30" i="5"/>
  <c r="HG31" i="5"/>
  <c r="HN31" i="5"/>
  <c r="HG32" i="5"/>
  <c r="HN32" i="5"/>
  <c r="HG33" i="5"/>
  <c r="HN33" i="5"/>
  <c r="HG34" i="5"/>
  <c r="HN34" i="5"/>
  <c r="HG35" i="5"/>
  <c r="HN35" i="5"/>
  <c r="HG36" i="5"/>
  <c r="HN36" i="5"/>
  <c r="HG37" i="5"/>
  <c r="HN37" i="5"/>
  <c r="HG38" i="5"/>
  <c r="HN38" i="5"/>
  <c r="HG39" i="5"/>
  <c r="HN39" i="5"/>
  <c r="HG40" i="5"/>
  <c r="HN40" i="5"/>
  <c r="HG41" i="5"/>
  <c r="HN41" i="5"/>
  <c r="HG42" i="5"/>
  <c r="HN42" i="5"/>
  <c r="HG43" i="5"/>
  <c r="HN43" i="5"/>
  <c r="HG44" i="5"/>
  <c r="HN44" i="5"/>
  <c r="HG45" i="5"/>
  <c r="HN45" i="5"/>
  <c r="HG46" i="5"/>
  <c r="HN46" i="5"/>
  <c r="HG47" i="5"/>
  <c r="HN47" i="5"/>
  <c r="HG48" i="5"/>
  <c r="HN48" i="5"/>
  <c r="HG49" i="5"/>
  <c r="HN49" i="5"/>
  <c r="HG50" i="5"/>
  <c r="HN50" i="5"/>
  <c r="HG51" i="5"/>
  <c r="HN51" i="5"/>
  <c r="HG52" i="5"/>
  <c r="HN52" i="5"/>
  <c r="HG53" i="5"/>
  <c r="HN53" i="5"/>
  <c r="HG54" i="5"/>
  <c r="HN54" i="5"/>
  <c r="HG55" i="5"/>
  <c r="HN55" i="5"/>
  <c r="HG56" i="5"/>
  <c r="HN56" i="5"/>
  <c r="HG57" i="5"/>
  <c r="HN57" i="5"/>
  <c r="HG58" i="5"/>
  <c r="HN58" i="5"/>
  <c r="HG59" i="5"/>
  <c r="HN59" i="5"/>
  <c r="HG60" i="5"/>
  <c r="HN60" i="5"/>
  <c r="HG61" i="5"/>
  <c r="HN61" i="5"/>
  <c r="HG62" i="5"/>
  <c r="HN62" i="5"/>
  <c r="HG63" i="5"/>
  <c r="HN63" i="5"/>
  <c r="HG64" i="5"/>
  <c r="HN64" i="5"/>
  <c r="HG65" i="5"/>
  <c r="HN65" i="5"/>
  <c r="HG66" i="5"/>
  <c r="HN66" i="5"/>
  <c r="HG67" i="5"/>
  <c r="HN67" i="5"/>
  <c r="HG68" i="5"/>
  <c r="HN68" i="5"/>
  <c r="HG69" i="5"/>
  <c r="HN69" i="5"/>
  <c r="HG70" i="5"/>
  <c r="HN70" i="5"/>
  <c r="HG71" i="5"/>
  <c r="HN71" i="5"/>
  <c r="HG72" i="5"/>
  <c r="HN72" i="5"/>
  <c r="HG73" i="5"/>
  <c r="HN73" i="5"/>
  <c r="HG74" i="5"/>
  <c r="HN74" i="5"/>
  <c r="HG75" i="5"/>
  <c r="HN75" i="5"/>
  <c r="HG76" i="5"/>
  <c r="HN76" i="5"/>
  <c r="HG77" i="5"/>
  <c r="HN77" i="5"/>
  <c r="HG78" i="5"/>
  <c r="HN78" i="5"/>
  <c r="HG79" i="5"/>
  <c r="HN79" i="5"/>
  <c r="HG80" i="5"/>
  <c r="HN80" i="5"/>
  <c r="HG81" i="5"/>
  <c r="HN81" i="5"/>
  <c r="HG82" i="5"/>
  <c r="HN82" i="5"/>
  <c r="HG83" i="5"/>
  <c r="HN83" i="5"/>
  <c r="HG84" i="5"/>
  <c r="HN84" i="5"/>
  <c r="HG85" i="5"/>
  <c r="HN85" i="5"/>
  <c r="HG86" i="5"/>
  <c r="HN86" i="5"/>
  <c r="HG87" i="5"/>
  <c r="HN87" i="5"/>
  <c r="HG88" i="5"/>
  <c r="HN88" i="5"/>
  <c r="HG89" i="5"/>
  <c r="HN89" i="5"/>
  <c r="HG90" i="5"/>
  <c r="HN90" i="5"/>
  <c r="HG91" i="5"/>
  <c r="HN91" i="5"/>
  <c r="HG92" i="5"/>
  <c r="HN92" i="5"/>
  <c r="HG93" i="5"/>
  <c r="HN93" i="5"/>
  <c r="HG94" i="5"/>
  <c r="HN94" i="5"/>
  <c r="HG95" i="5"/>
  <c r="HN95" i="5"/>
  <c r="HG96" i="5"/>
  <c r="HN96" i="5"/>
  <c r="HG97" i="5"/>
  <c r="HN97" i="5"/>
  <c r="HG98" i="5"/>
  <c r="HN98" i="5"/>
  <c r="HG99" i="5"/>
  <c r="HN99" i="5"/>
  <c r="HG100" i="5"/>
  <c r="HN100" i="5"/>
  <c r="HG101" i="5"/>
  <c r="HN101" i="5"/>
  <c r="HG102" i="5"/>
  <c r="HN102" i="5"/>
  <c r="HG103" i="5"/>
  <c r="HN103" i="5"/>
  <c r="HG104" i="5"/>
  <c r="HN104" i="5"/>
  <c r="HG105" i="5"/>
  <c r="HN105" i="5"/>
  <c r="HG106" i="5"/>
  <c r="HN106" i="5"/>
  <c r="HG107" i="5"/>
  <c r="HN107" i="5"/>
  <c r="HG108" i="5"/>
  <c r="HN108" i="5"/>
  <c r="HG109" i="5"/>
  <c r="HN109" i="5"/>
  <c r="HG110" i="5"/>
  <c r="HN110" i="5"/>
  <c r="HG111" i="5"/>
  <c r="HN111" i="5"/>
  <c r="HG112" i="5"/>
  <c r="HK112" i="5"/>
  <c r="HI112" i="5" s="1"/>
  <c r="HN112" i="5"/>
  <c r="HG113" i="5"/>
  <c r="HN113" i="5"/>
  <c r="HG114" i="5"/>
  <c r="HN114" i="5"/>
  <c r="HG115" i="5"/>
  <c r="HN115" i="5"/>
  <c r="HG116" i="5"/>
  <c r="HN116" i="5"/>
  <c r="HG117" i="5"/>
  <c r="HN117" i="5"/>
  <c r="HG118" i="5"/>
  <c r="HN118" i="5"/>
  <c r="HG119" i="5"/>
  <c r="HN119" i="5"/>
  <c r="HG120" i="5"/>
  <c r="HN120" i="5"/>
  <c r="HG121" i="5"/>
  <c r="HN121" i="5"/>
  <c r="HG122" i="5"/>
  <c r="HN122" i="5"/>
  <c r="HG123" i="5"/>
  <c r="HN123" i="5"/>
  <c r="HG124" i="5"/>
  <c r="HN124" i="5"/>
  <c r="HG125" i="5"/>
  <c r="HN125" i="5"/>
  <c r="HG126" i="5"/>
  <c r="HN126" i="5"/>
  <c r="HG127" i="5"/>
  <c r="HN127" i="5"/>
  <c r="HG128" i="5"/>
  <c r="HN128" i="5"/>
  <c r="HG129" i="5"/>
  <c r="HN129" i="5"/>
  <c r="HG130" i="5"/>
  <c r="HN130" i="5"/>
  <c r="HG131" i="5"/>
  <c r="HN131" i="5"/>
  <c r="HG132" i="5"/>
  <c r="HN132" i="5"/>
  <c r="HG133" i="5"/>
  <c r="HN133" i="5"/>
  <c r="HG134" i="5"/>
  <c r="HN134" i="5"/>
  <c r="HG135" i="5"/>
  <c r="HN135" i="5"/>
  <c r="HG136" i="5"/>
  <c r="HN136" i="5"/>
  <c r="HG137" i="5"/>
  <c r="HN137" i="5"/>
  <c r="HG138" i="5"/>
  <c r="HN138" i="5"/>
  <c r="HG139" i="5"/>
  <c r="HN139" i="5"/>
  <c r="HG140" i="5"/>
  <c r="HN140" i="5"/>
  <c r="HG141" i="5"/>
  <c r="HN141" i="5"/>
  <c r="HG142" i="5"/>
  <c r="HN142" i="5"/>
  <c r="HG143" i="5"/>
  <c r="HN143" i="5"/>
  <c r="HG144" i="5"/>
  <c r="HN144" i="5"/>
  <c r="HG145" i="5"/>
  <c r="HN145" i="5"/>
  <c r="HG146" i="5"/>
  <c r="HN146" i="5"/>
  <c r="HG147" i="5"/>
  <c r="HN147" i="5"/>
  <c r="HG148" i="5"/>
  <c r="HN148" i="5"/>
  <c r="HG149" i="5"/>
  <c r="HN149" i="5"/>
  <c r="HG150" i="5"/>
  <c r="HN150" i="5"/>
  <c r="HG151" i="5"/>
  <c r="HN151" i="5"/>
  <c r="HG152" i="5"/>
  <c r="HN152" i="5"/>
  <c r="HG153" i="5"/>
  <c r="HN153" i="5"/>
  <c r="HG154" i="5"/>
  <c r="HN154" i="5"/>
  <c r="HG155" i="5"/>
  <c r="HN155" i="5"/>
  <c r="HG156" i="5"/>
  <c r="HN156" i="5"/>
  <c r="HG157" i="5"/>
  <c r="HK157" i="5"/>
  <c r="HI157" i="5" s="1"/>
  <c r="HN157" i="5"/>
  <c r="HG158" i="5"/>
  <c r="HN158" i="5"/>
  <c r="HG159" i="5"/>
  <c r="HN159" i="5"/>
  <c r="HG160" i="5"/>
  <c r="HN160" i="5"/>
  <c r="HG161" i="5"/>
  <c r="HN161" i="5"/>
  <c r="HG162" i="5"/>
  <c r="HN162" i="5"/>
  <c r="HG163" i="5"/>
  <c r="HN163" i="5"/>
  <c r="HG164" i="5"/>
  <c r="HN164" i="5"/>
  <c r="HG165" i="5"/>
  <c r="HN165" i="5"/>
  <c r="HG166" i="5"/>
  <c r="HN166" i="5"/>
  <c r="HG167" i="5"/>
  <c r="HN167" i="5"/>
  <c r="HG168" i="5"/>
  <c r="HN168" i="5"/>
  <c r="HG169" i="5"/>
  <c r="HN169" i="5"/>
  <c r="HG170" i="5"/>
  <c r="HN170" i="5"/>
  <c r="HG171" i="5"/>
  <c r="HN171" i="5"/>
  <c r="HG172" i="5"/>
  <c r="HN172" i="5"/>
  <c r="HG173" i="5"/>
  <c r="HN173" i="5"/>
  <c r="HG174" i="5"/>
  <c r="HN174" i="5"/>
  <c r="HG175" i="5"/>
  <c r="HN175" i="5"/>
  <c r="HG176" i="5"/>
  <c r="HN176" i="5"/>
  <c r="HG177" i="5"/>
  <c r="HK177" i="5"/>
  <c r="HI177" i="5" s="1"/>
  <c r="HN177" i="5"/>
  <c r="HG178" i="5"/>
  <c r="HN178" i="5"/>
  <c r="HG179" i="5"/>
  <c r="HN179" i="5"/>
  <c r="HG180" i="5"/>
  <c r="HN180" i="5"/>
  <c r="HG181" i="5"/>
  <c r="HN181" i="5"/>
  <c r="HG182" i="5"/>
  <c r="HN182" i="5"/>
  <c r="HG183" i="5"/>
  <c r="HN183" i="5"/>
  <c r="HG184" i="5"/>
  <c r="HN184" i="5"/>
  <c r="HG185" i="5"/>
  <c r="HN185" i="5"/>
  <c r="HG186" i="5"/>
  <c r="HN186" i="5"/>
  <c r="HG187" i="5"/>
  <c r="HK187" i="5"/>
  <c r="HI187" i="5" s="1"/>
  <c r="HN187" i="5"/>
  <c r="HG188" i="5"/>
  <c r="HN188" i="5"/>
  <c r="HG189" i="5"/>
  <c r="HN189" i="5"/>
  <c r="HG190" i="5"/>
  <c r="HN190" i="5"/>
  <c r="HG191" i="5"/>
  <c r="HN191" i="5"/>
  <c r="HG192" i="5"/>
  <c r="HN192" i="5"/>
  <c r="HG193" i="5"/>
  <c r="HN193" i="5"/>
  <c r="HG194" i="5"/>
  <c r="HK194" i="5"/>
  <c r="HM194" i="5"/>
  <c r="HN194" i="5"/>
  <c r="HG195" i="5"/>
  <c r="HK195" i="5"/>
  <c r="HM195" i="5"/>
  <c r="HN195" i="5"/>
  <c r="HG196" i="5"/>
  <c r="HK196" i="5"/>
  <c r="HM196" i="5"/>
  <c r="HN196" i="5"/>
  <c r="HG197" i="5"/>
  <c r="HK197" i="5"/>
  <c r="HM197" i="5"/>
  <c r="HN197" i="5"/>
  <c r="HG198" i="5"/>
  <c r="HK198" i="5"/>
  <c r="HM198" i="5"/>
  <c r="HN198" i="5"/>
  <c r="HG199" i="5"/>
  <c r="HK199" i="5"/>
  <c r="HM199" i="5"/>
  <c r="HN199" i="5"/>
  <c r="HG200" i="5"/>
  <c r="HK200" i="5"/>
  <c r="HM200" i="5"/>
  <c r="HN200" i="5"/>
  <c r="HG201" i="5"/>
  <c r="HK201" i="5"/>
  <c r="HM201" i="5"/>
  <c r="HN201" i="5"/>
  <c r="HG202" i="5"/>
  <c r="HN202" i="5"/>
  <c r="HG203" i="5"/>
  <c r="HN203" i="5"/>
  <c r="HG204" i="5"/>
  <c r="HN204" i="5"/>
  <c r="HG205" i="5"/>
  <c r="HN205" i="5"/>
  <c r="HG206" i="5"/>
  <c r="HN206" i="5"/>
  <c r="HG208" i="5"/>
  <c r="HN208" i="5"/>
  <c r="HG209" i="5"/>
  <c r="HN209" i="5"/>
  <c r="HG210" i="5"/>
  <c r="HN210" i="5"/>
  <c r="HG211" i="5"/>
  <c r="HN211" i="5"/>
  <c r="HG212" i="5"/>
  <c r="HN212" i="5"/>
  <c r="HG213" i="5"/>
  <c r="HN213" i="5"/>
  <c r="HG214" i="5"/>
  <c r="HN214" i="5"/>
  <c r="HG215" i="5"/>
  <c r="HN215" i="5"/>
  <c r="HG216" i="5"/>
  <c r="HN216" i="5"/>
  <c r="HG217" i="5"/>
  <c r="HN217" i="5"/>
  <c r="HG218" i="5"/>
  <c r="HN218" i="5"/>
  <c r="HG219" i="5"/>
  <c r="HN219" i="5"/>
  <c r="HG220" i="5"/>
  <c r="HN220" i="5"/>
  <c r="HG221" i="5"/>
  <c r="HN221" i="5"/>
  <c r="HG222" i="5"/>
  <c r="HN222" i="5"/>
  <c r="HG223" i="5"/>
  <c r="HN223" i="5"/>
  <c r="HG224" i="5"/>
  <c r="HN224" i="5"/>
  <c r="HG225" i="5"/>
  <c r="HN225" i="5"/>
  <c r="HG226" i="5"/>
  <c r="HN226" i="5"/>
  <c r="HG227" i="5"/>
  <c r="HN227" i="5"/>
  <c r="HG228" i="5"/>
  <c r="HN228" i="5"/>
  <c r="HG229" i="5"/>
  <c r="HN229" i="5"/>
  <c r="HG230" i="5"/>
  <c r="HN230" i="5"/>
  <c r="HG231" i="5"/>
  <c r="HN231" i="5"/>
  <c r="HG232" i="5"/>
  <c r="HN232" i="5"/>
  <c r="HG233" i="5"/>
  <c r="HN233" i="5"/>
  <c r="HG234" i="5"/>
  <c r="HN234" i="5"/>
  <c r="HG235" i="5"/>
  <c r="HN235" i="5"/>
  <c r="HG236" i="5"/>
  <c r="HN236" i="5"/>
  <c r="HG237" i="5"/>
  <c r="HN237" i="5"/>
  <c r="HG238" i="5"/>
  <c r="HN238" i="5"/>
  <c r="HG239" i="5"/>
  <c r="HN239" i="5"/>
  <c r="HG240" i="5"/>
  <c r="HN240" i="5"/>
  <c r="HG241" i="5"/>
  <c r="HN241" i="5"/>
  <c r="HG242" i="5"/>
  <c r="HN242" i="5"/>
  <c r="HG243" i="5"/>
  <c r="HN243" i="5"/>
  <c r="HG244" i="5"/>
  <c r="HN244" i="5"/>
  <c r="HG245" i="5"/>
  <c r="HN245" i="5"/>
  <c r="HG246" i="5"/>
  <c r="HN246" i="5"/>
  <c r="HG247" i="5"/>
  <c r="HN247" i="5"/>
  <c r="HG248" i="5"/>
  <c r="HN248" i="5"/>
  <c r="GS4" i="5"/>
  <c r="GS5" i="5"/>
  <c r="GS6" i="5"/>
  <c r="GS7" i="5"/>
  <c r="GS8" i="5"/>
  <c r="GS9" i="5"/>
  <c r="GS10" i="5"/>
  <c r="GS11" i="5"/>
  <c r="GS12" i="5"/>
  <c r="GS13" i="5"/>
  <c r="GS14" i="5"/>
  <c r="GS15" i="5"/>
  <c r="GS16" i="5"/>
  <c r="GS17" i="5"/>
  <c r="GS18" i="5"/>
  <c r="GS19" i="5"/>
  <c r="GS20" i="5"/>
  <c r="GS21" i="5"/>
  <c r="GS22" i="5"/>
  <c r="GS23" i="5"/>
  <c r="GS24" i="5"/>
  <c r="GS25" i="5"/>
  <c r="GS26" i="5"/>
  <c r="GS27" i="5"/>
  <c r="GS28" i="5"/>
  <c r="GS29" i="5"/>
  <c r="GS30" i="5"/>
  <c r="GS31" i="5"/>
  <c r="GS32" i="5"/>
  <c r="GS33" i="5"/>
  <c r="GS34" i="5"/>
  <c r="GS35" i="5"/>
  <c r="GS36" i="5"/>
  <c r="GS37" i="5"/>
  <c r="GS38" i="5"/>
  <c r="GS39" i="5"/>
  <c r="GS40" i="5"/>
  <c r="GS41" i="5"/>
  <c r="GS42" i="5"/>
  <c r="GS43" i="5"/>
  <c r="GS44" i="5"/>
  <c r="GS45" i="5"/>
  <c r="GS46" i="5"/>
  <c r="GS47" i="5"/>
  <c r="GS48" i="5"/>
  <c r="GS49" i="5"/>
  <c r="GS50" i="5"/>
  <c r="GS51" i="5"/>
  <c r="GS52" i="5"/>
  <c r="GS53" i="5"/>
  <c r="GS54" i="5"/>
  <c r="GS55" i="5"/>
  <c r="GS56" i="5"/>
  <c r="GS57" i="5"/>
  <c r="GS58" i="5"/>
  <c r="GS59" i="5"/>
  <c r="GS60" i="5"/>
  <c r="GS61" i="5"/>
  <c r="GS62" i="5"/>
  <c r="GS63" i="5"/>
  <c r="GS64" i="5"/>
  <c r="GS65" i="5"/>
  <c r="GS66" i="5"/>
  <c r="GS67" i="5"/>
  <c r="GS68" i="5"/>
  <c r="GS69" i="5"/>
  <c r="GS70" i="5"/>
  <c r="GS71" i="5"/>
  <c r="GS72" i="5"/>
  <c r="GS73" i="5"/>
  <c r="GS74" i="5"/>
  <c r="GS75" i="5"/>
  <c r="GS76" i="5"/>
  <c r="GS77" i="5"/>
  <c r="GS78" i="5"/>
  <c r="GS79" i="5"/>
  <c r="GS80" i="5"/>
  <c r="GS81" i="5"/>
  <c r="GS82" i="5"/>
  <c r="GS83" i="5"/>
  <c r="GS84" i="5"/>
  <c r="GS85" i="5"/>
  <c r="GS86" i="5"/>
  <c r="GS87" i="5"/>
  <c r="GS88" i="5"/>
  <c r="GS89" i="5"/>
  <c r="GS90" i="5"/>
  <c r="GS91" i="5"/>
  <c r="GS92" i="5"/>
  <c r="GS93" i="5"/>
  <c r="GS94" i="5"/>
  <c r="GS95" i="5"/>
  <c r="GS96" i="5"/>
  <c r="GS97" i="5"/>
  <c r="GS98" i="5"/>
  <c r="GS99" i="5"/>
  <c r="GS100" i="5"/>
  <c r="GS101" i="5"/>
  <c r="GS102" i="5"/>
  <c r="GS103" i="5"/>
  <c r="GS104" i="5"/>
  <c r="GS105" i="5"/>
  <c r="GS106" i="5"/>
  <c r="GS107" i="5"/>
  <c r="GS108" i="5"/>
  <c r="GS109" i="5"/>
  <c r="GS110" i="5"/>
  <c r="GS111" i="5"/>
  <c r="GS112" i="5"/>
  <c r="GS113" i="5"/>
  <c r="GS114" i="5"/>
  <c r="GS115" i="5"/>
  <c r="GS116" i="5"/>
  <c r="GS117" i="5"/>
  <c r="GS118" i="5"/>
  <c r="GS119" i="5"/>
  <c r="GS120" i="5"/>
  <c r="GS121" i="5"/>
  <c r="GS122" i="5"/>
  <c r="GS123" i="5"/>
  <c r="GS124" i="5"/>
  <c r="GS125" i="5"/>
  <c r="GS126" i="5"/>
  <c r="GS127" i="5"/>
  <c r="GS128" i="5"/>
  <c r="GS129" i="5"/>
  <c r="GS130" i="5"/>
  <c r="GS131" i="5"/>
  <c r="GS132" i="5"/>
  <c r="GS133" i="5"/>
  <c r="GS134" i="5"/>
  <c r="GS135" i="5"/>
  <c r="GS136" i="5"/>
  <c r="GS137" i="5"/>
  <c r="GS139" i="5"/>
  <c r="GS140" i="5"/>
  <c r="GS141" i="5"/>
  <c r="GS142" i="5"/>
  <c r="GS143" i="5"/>
  <c r="GS144" i="5"/>
  <c r="GS145" i="5"/>
  <c r="GS146" i="5"/>
  <c r="GS147" i="5"/>
  <c r="GS148" i="5"/>
  <c r="GS149" i="5"/>
  <c r="GS150" i="5"/>
  <c r="GS151" i="5"/>
  <c r="GS152" i="5"/>
  <c r="GS153" i="5"/>
  <c r="GS154" i="5"/>
  <c r="GS155" i="5"/>
  <c r="GS156" i="5"/>
  <c r="GS157" i="5"/>
  <c r="GS158" i="5"/>
  <c r="GS159" i="5"/>
  <c r="GS160" i="5"/>
  <c r="GS161" i="5"/>
  <c r="GS162" i="5"/>
  <c r="GS163" i="5"/>
  <c r="GS164" i="5"/>
  <c r="GS166" i="5"/>
  <c r="GS167" i="5"/>
  <c r="GS168" i="5"/>
  <c r="GS169" i="5"/>
  <c r="GS170" i="5"/>
  <c r="GS171" i="5"/>
  <c r="GS172" i="5"/>
  <c r="GS173" i="5"/>
  <c r="GS174" i="5"/>
  <c r="GS175" i="5"/>
  <c r="GS176" i="5"/>
  <c r="GS177" i="5"/>
  <c r="GS178" i="5"/>
  <c r="GS179" i="5"/>
  <c r="GS180" i="5"/>
  <c r="GS181" i="5"/>
  <c r="GS182" i="5"/>
  <c r="GS183" i="5"/>
  <c r="GS184" i="5"/>
  <c r="GS185" i="5"/>
  <c r="GS186" i="5"/>
  <c r="GS187" i="5"/>
  <c r="GS188" i="5"/>
  <c r="GS189" i="5"/>
  <c r="GS190" i="5"/>
  <c r="GS191" i="5"/>
  <c r="GS192" i="5"/>
  <c r="GS193" i="5"/>
  <c r="GS194" i="5"/>
  <c r="GS195" i="5"/>
  <c r="GS196" i="5"/>
  <c r="GS197" i="5"/>
  <c r="GS198" i="5"/>
  <c r="GS199" i="5"/>
  <c r="GS200" i="5"/>
  <c r="GS201" i="5"/>
  <c r="GS202" i="5"/>
  <c r="GS203" i="5"/>
  <c r="GS204" i="5"/>
  <c r="GS205" i="5"/>
  <c r="GS206" i="5"/>
  <c r="GS208" i="5"/>
  <c r="GS209" i="5"/>
  <c r="GS210" i="5"/>
  <c r="GS211" i="5"/>
  <c r="GS212" i="5"/>
  <c r="GS213" i="5"/>
  <c r="GS214" i="5"/>
  <c r="GS215" i="5"/>
  <c r="GS216" i="5"/>
  <c r="GS217" i="5"/>
  <c r="GS218" i="5"/>
  <c r="GS219" i="5"/>
  <c r="GS220" i="5"/>
  <c r="GS221" i="5"/>
  <c r="GS222" i="5"/>
  <c r="GS223" i="5"/>
  <c r="GS224" i="5"/>
  <c r="GS225" i="5"/>
  <c r="GS226" i="5"/>
  <c r="GS227" i="5"/>
  <c r="GS228" i="5"/>
  <c r="GS229" i="5"/>
  <c r="GS230" i="5"/>
  <c r="GS231" i="5"/>
  <c r="GS232" i="5"/>
  <c r="GS233" i="5"/>
  <c r="GS234" i="5"/>
  <c r="GS235" i="5"/>
  <c r="GS236" i="5"/>
  <c r="GS237" i="5"/>
  <c r="GS238" i="5"/>
  <c r="GS239" i="5"/>
  <c r="GS240" i="5"/>
  <c r="GS241" i="5"/>
  <c r="GS242" i="5"/>
  <c r="GS243" i="5"/>
  <c r="GS244" i="5"/>
  <c r="GS245" i="5"/>
  <c r="GS246" i="5"/>
  <c r="GS247" i="5"/>
  <c r="GS248" i="5"/>
  <c r="FU4" i="5"/>
  <c r="FU5" i="5"/>
  <c r="FU6" i="5"/>
  <c r="FU7" i="5"/>
  <c r="FU8" i="5"/>
  <c r="FU9" i="5"/>
  <c r="FU10" i="5"/>
  <c r="FU11" i="5"/>
  <c r="FU12" i="5"/>
  <c r="FU13" i="5"/>
  <c r="FU14" i="5"/>
  <c r="FU15" i="5"/>
  <c r="FU16" i="5"/>
  <c r="FU17" i="5"/>
  <c r="FU18" i="5"/>
  <c r="FU19" i="5"/>
  <c r="FU20" i="5"/>
  <c r="FU21" i="5"/>
  <c r="FU22" i="5"/>
  <c r="FU23" i="5"/>
  <c r="FU24" i="5"/>
  <c r="FU25" i="5"/>
  <c r="FU26" i="5"/>
  <c r="FU27" i="5"/>
  <c r="FU28" i="5"/>
  <c r="FU29" i="5"/>
  <c r="FU30" i="5"/>
  <c r="FU31" i="5"/>
  <c r="FU32" i="5"/>
  <c r="FU33" i="5"/>
  <c r="FU34" i="5"/>
  <c r="FU35" i="5"/>
  <c r="FU36" i="5"/>
  <c r="FU37" i="5"/>
  <c r="FU38" i="5"/>
  <c r="FU39" i="5"/>
  <c r="FU40" i="5"/>
  <c r="FU41" i="5"/>
  <c r="FU42" i="5"/>
  <c r="FU43" i="5"/>
  <c r="FU44" i="5"/>
  <c r="FU45" i="5"/>
  <c r="FU46" i="5"/>
  <c r="FU47" i="5"/>
  <c r="FU48" i="5"/>
  <c r="FU49" i="5"/>
  <c r="FU50" i="5"/>
  <c r="FU51" i="5"/>
  <c r="FU52" i="5"/>
  <c r="FU53" i="5"/>
  <c r="FU54" i="5"/>
  <c r="FU55" i="5"/>
  <c r="FU56" i="5"/>
  <c r="FU57" i="5"/>
  <c r="FU58" i="5"/>
  <c r="FU59" i="5"/>
  <c r="FU60" i="5"/>
  <c r="FU61" i="5"/>
  <c r="FU62" i="5"/>
  <c r="FU63" i="5"/>
  <c r="FU64" i="5"/>
  <c r="FU65" i="5"/>
  <c r="FU66" i="5"/>
  <c r="FU67" i="5"/>
  <c r="FU68" i="5"/>
  <c r="FU69" i="5"/>
  <c r="FU70" i="5"/>
  <c r="FU71" i="5"/>
  <c r="FU72" i="5"/>
  <c r="FU73" i="5"/>
  <c r="FU74" i="5"/>
  <c r="FU75" i="5"/>
  <c r="FU76" i="5"/>
  <c r="FU77" i="5"/>
  <c r="FU78" i="5"/>
  <c r="FU79" i="5"/>
  <c r="FU80" i="5"/>
  <c r="FU81" i="5"/>
  <c r="FU82" i="5"/>
  <c r="FU83" i="5"/>
  <c r="FU84" i="5"/>
  <c r="FU85" i="5"/>
  <c r="FU86" i="5"/>
  <c r="FU87" i="5"/>
  <c r="FU88" i="5"/>
  <c r="FU89" i="5"/>
  <c r="FU90" i="5"/>
  <c r="FU91" i="5"/>
  <c r="FU92" i="5"/>
  <c r="FU93" i="5"/>
  <c r="FU94" i="5"/>
  <c r="FU95" i="5"/>
  <c r="FU96" i="5"/>
  <c r="FU97" i="5"/>
  <c r="FU98" i="5"/>
  <c r="FU99" i="5"/>
  <c r="FU100" i="5"/>
  <c r="FU101" i="5"/>
  <c r="FU102" i="5"/>
  <c r="FU103" i="5"/>
  <c r="FU104" i="5"/>
  <c r="FU105" i="5"/>
  <c r="FU106" i="5"/>
  <c r="FU107" i="5"/>
  <c r="FU108" i="5"/>
  <c r="FU109" i="5"/>
  <c r="FU110" i="5"/>
  <c r="FU111" i="5"/>
  <c r="FU112" i="5"/>
  <c r="FU113" i="5"/>
  <c r="FU114" i="5"/>
  <c r="FU115" i="5"/>
  <c r="FU116" i="5"/>
  <c r="FU117" i="5"/>
  <c r="FU118" i="5"/>
  <c r="FU119" i="5"/>
  <c r="FU120" i="5"/>
  <c r="FU121" i="5"/>
  <c r="FU122" i="5"/>
  <c r="FU123" i="5"/>
  <c r="FU124" i="5"/>
  <c r="FU125" i="5"/>
  <c r="FU126" i="5"/>
  <c r="FU127" i="5"/>
  <c r="FU128" i="5"/>
  <c r="FU129" i="5"/>
  <c r="FU130" i="5"/>
  <c r="FU131" i="5"/>
  <c r="FU132" i="5"/>
  <c r="FU133" i="5"/>
  <c r="FU134" i="5"/>
  <c r="FU135" i="5"/>
  <c r="FU136" i="5"/>
  <c r="FU137" i="5"/>
  <c r="FU138" i="5"/>
  <c r="FU139" i="5"/>
  <c r="FU140" i="5"/>
  <c r="FU141" i="5"/>
  <c r="FU142" i="5"/>
  <c r="FU143" i="5"/>
  <c r="FU144" i="5"/>
  <c r="FU145" i="5"/>
  <c r="FU146" i="5"/>
  <c r="FU147" i="5"/>
  <c r="FU148" i="5"/>
  <c r="FU149" i="5"/>
  <c r="FU150" i="5"/>
  <c r="FU151" i="5"/>
  <c r="FU152" i="5"/>
  <c r="FU153" i="5"/>
  <c r="FU154" i="5"/>
  <c r="FU155" i="5"/>
  <c r="FU156" i="5"/>
  <c r="FU157" i="5"/>
  <c r="FU158" i="5"/>
  <c r="FU159" i="5"/>
  <c r="FU160" i="5"/>
  <c r="FU161" i="5"/>
  <c r="FU162" i="5"/>
  <c r="FU163" i="5"/>
  <c r="FU164" i="5"/>
  <c r="FU165" i="5"/>
  <c r="FU166" i="5"/>
  <c r="FU167" i="5"/>
  <c r="FU168" i="5"/>
  <c r="FU169" i="5"/>
  <c r="FU170" i="5"/>
  <c r="FU171" i="5"/>
  <c r="FU172" i="5"/>
  <c r="FU173" i="5"/>
  <c r="FU174" i="5"/>
  <c r="FU175" i="5"/>
  <c r="FU176" i="5"/>
  <c r="FU177" i="5"/>
  <c r="FU178" i="5"/>
  <c r="FU179" i="5"/>
  <c r="FU180" i="5"/>
  <c r="FU181" i="5"/>
  <c r="FU182" i="5"/>
  <c r="FU183" i="5"/>
  <c r="FU184" i="5"/>
  <c r="FU185" i="5"/>
  <c r="FU186" i="5"/>
  <c r="FU187" i="5"/>
  <c r="FU188" i="5"/>
  <c r="FU189" i="5"/>
  <c r="FU190" i="5"/>
  <c r="FU191" i="5"/>
  <c r="FU192" i="5"/>
  <c r="FU193" i="5"/>
  <c r="FU194" i="5"/>
  <c r="FU195" i="5"/>
  <c r="FU196" i="5"/>
  <c r="FU197" i="5"/>
  <c r="FU198" i="5"/>
  <c r="FU199" i="5"/>
  <c r="FU200" i="5"/>
  <c r="FU201" i="5"/>
  <c r="FU202" i="5"/>
  <c r="FU203" i="5"/>
  <c r="FU204" i="5"/>
  <c r="FU205" i="5"/>
  <c r="FU206" i="5"/>
  <c r="FU207" i="5"/>
  <c r="FU208" i="5"/>
  <c r="FU209" i="5"/>
  <c r="FU210" i="5"/>
  <c r="FU211" i="5"/>
  <c r="FU212" i="5"/>
  <c r="FU213" i="5"/>
  <c r="FU214" i="5"/>
  <c r="FU215" i="5"/>
  <c r="FU216" i="5"/>
  <c r="FU217" i="5"/>
  <c r="FU218" i="5"/>
  <c r="FU219" i="5"/>
  <c r="FU220" i="5"/>
  <c r="FU221" i="5"/>
  <c r="FU222" i="5"/>
  <c r="FU223" i="5"/>
  <c r="FU224" i="5"/>
  <c r="FU225" i="5"/>
  <c r="FU226" i="5"/>
  <c r="FU227" i="5"/>
  <c r="FU228" i="5"/>
  <c r="FU229" i="5"/>
  <c r="FU230" i="5"/>
  <c r="FU231" i="5"/>
  <c r="FU232" i="5"/>
  <c r="FU233" i="5"/>
  <c r="FU234" i="5"/>
  <c r="FU235" i="5"/>
  <c r="FU236" i="5"/>
  <c r="FU237" i="5"/>
  <c r="FU238" i="5"/>
  <c r="FU239" i="5"/>
  <c r="FU240" i="5"/>
  <c r="FU241" i="5"/>
  <c r="FU242" i="5"/>
  <c r="FU243" i="5"/>
  <c r="FU244" i="5"/>
  <c r="FU245" i="5"/>
  <c r="FU246" i="5"/>
  <c r="FU247" i="5"/>
  <c r="FU248" i="5"/>
  <c r="EZ27" i="5"/>
  <c r="EZ36" i="5"/>
  <c r="EZ50" i="5"/>
  <c r="EZ57" i="5"/>
  <c r="EZ60" i="5"/>
  <c r="EZ70" i="5"/>
  <c r="EZ72" i="5"/>
  <c r="EZ78" i="5"/>
  <c r="EZ79" i="5"/>
  <c r="EZ82" i="5"/>
  <c r="EZ87" i="5"/>
  <c r="EZ89" i="5"/>
  <c r="EZ90" i="5"/>
  <c r="EZ95" i="5"/>
  <c r="EZ104" i="5"/>
  <c r="EZ114" i="5"/>
  <c r="EZ132" i="5"/>
  <c r="EZ136" i="5"/>
  <c r="EZ139" i="5"/>
  <c r="EZ142" i="5"/>
  <c r="EZ149" i="5"/>
  <c r="EZ151" i="5"/>
  <c r="EZ153" i="5"/>
  <c r="EZ163" i="5"/>
  <c r="EZ167" i="5"/>
  <c r="EZ171" i="5"/>
  <c r="EZ178" i="5"/>
  <c r="EZ180" i="5"/>
  <c r="EZ181" i="5"/>
  <c r="EZ188" i="5"/>
  <c r="EZ191" i="5"/>
  <c r="EZ194" i="5"/>
  <c r="EU4" i="5"/>
  <c r="EU5" i="5"/>
  <c r="EU6" i="5"/>
  <c r="EU7" i="5"/>
  <c r="EU8" i="5"/>
  <c r="EU9" i="5"/>
  <c r="EU10" i="5"/>
  <c r="EU11" i="5"/>
  <c r="EU12" i="5"/>
  <c r="EU13" i="5"/>
  <c r="EU14" i="5"/>
  <c r="EU15" i="5"/>
  <c r="EU16" i="5"/>
  <c r="EU17" i="5"/>
  <c r="EU18" i="5"/>
  <c r="EU19" i="5"/>
  <c r="EU20" i="5"/>
  <c r="EU21" i="5"/>
  <c r="EU22" i="5"/>
  <c r="EU23" i="5"/>
  <c r="EU24" i="5"/>
  <c r="EU25" i="5"/>
  <c r="EU26" i="5"/>
  <c r="EU27" i="5"/>
  <c r="EU28" i="5"/>
  <c r="EU29" i="5"/>
  <c r="EU30" i="5"/>
  <c r="EU31" i="5"/>
  <c r="EU32" i="5"/>
  <c r="EU33" i="5"/>
  <c r="EU34" i="5"/>
  <c r="EU35" i="5"/>
  <c r="EU36" i="5"/>
  <c r="EU37" i="5"/>
  <c r="EU38" i="5"/>
  <c r="EU39" i="5"/>
  <c r="EU40" i="5"/>
  <c r="EU41" i="5"/>
  <c r="EU42" i="5"/>
  <c r="EU43" i="5"/>
  <c r="EU44" i="5"/>
  <c r="EU45" i="5"/>
  <c r="EU46" i="5"/>
  <c r="EU47" i="5"/>
  <c r="EU48" i="5"/>
  <c r="EU49" i="5"/>
  <c r="EU50" i="5"/>
  <c r="EU51" i="5"/>
  <c r="EU52" i="5"/>
  <c r="EU53" i="5"/>
  <c r="EU54" i="5"/>
  <c r="EU55" i="5"/>
  <c r="EU56" i="5"/>
  <c r="EU57" i="5"/>
  <c r="EU58" i="5"/>
  <c r="EU59" i="5"/>
  <c r="EU60" i="5"/>
  <c r="EU61" i="5"/>
  <c r="EU62" i="5"/>
  <c r="EU63" i="5"/>
  <c r="EU64" i="5"/>
  <c r="EU65" i="5"/>
  <c r="EU66" i="5"/>
  <c r="EU67" i="5"/>
  <c r="EU68" i="5"/>
  <c r="EU69" i="5"/>
  <c r="EU70" i="5"/>
  <c r="EU71" i="5"/>
  <c r="EU72" i="5"/>
  <c r="EU73" i="5"/>
  <c r="EU74" i="5"/>
  <c r="EU75" i="5"/>
  <c r="EU76" i="5"/>
  <c r="EU77" i="5"/>
  <c r="EU78" i="5"/>
  <c r="EU79" i="5"/>
  <c r="EU80" i="5"/>
  <c r="EU81" i="5"/>
  <c r="EU82" i="5"/>
  <c r="EU83" i="5"/>
  <c r="EU84" i="5"/>
  <c r="EU85" i="5"/>
  <c r="EU86" i="5"/>
  <c r="EU87" i="5"/>
  <c r="EU88" i="5"/>
  <c r="EU89" i="5"/>
  <c r="EU90" i="5"/>
  <c r="EU91" i="5"/>
  <c r="EU92" i="5"/>
  <c r="EU93" i="5"/>
  <c r="EU94" i="5"/>
  <c r="EU95" i="5"/>
  <c r="EU96" i="5"/>
  <c r="EU97" i="5"/>
  <c r="EU98" i="5"/>
  <c r="EU99" i="5"/>
  <c r="EU100" i="5"/>
  <c r="EU101" i="5"/>
  <c r="EU102" i="5"/>
  <c r="EU103" i="5"/>
  <c r="EU104" i="5"/>
  <c r="EU105" i="5"/>
  <c r="EU106" i="5"/>
  <c r="EU107" i="5"/>
  <c r="EU108" i="5"/>
  <c r="EU109" i="5"/>
  <c r="EU110" i="5"/>
  <c r="EU111" i="5"/>
  <c r="EU112" i="5"/>
  <c r="EU113" i="5"/>
  <c r="EU114" i="5"/>
  <c r="EU115" i="5"/>
  <c r="EU116" i="5"/>
  <c r="EU117" i="5"/>
  <c r="EU118" i="5"/>
  <c r="EU119" i="5"/>
  <c r="EU120" i="5"/>
  <c r="EU121" i="5"/>
  <c r="EU122" i="5"/>
  <c r="EU123" i="5"/>
  <c r="EU124" i="5"/>
  <c r="EU125" i="5"/>
  <c r="EU126" i="5"/>
  <c r="EU127" i="5"/>
  <c r="EU128" i="5"/>
  <c r="EU129" i="5"/>
  <c r="EU130" i="5"/>
  <c r="EU131" i="5"/>
  <c r="EU132" i="5"/>
  <c r="EU133" i="5"/>
  <c r="EU134" i="5"/>
  <c r="EU135" i="5"/>
  <c r="EU136" i="5"/>
  <c r="EU137" i="5"/>
  <c r="EU138" i="5"/>
  <c r="EU139" i="5"/>
  <c r="EU140" i="5"/>
  <c r="EU141" i="5"/>
  <c r="EU142" i="5"/>
  <c r="EU143" i="5"/>
  <c r="EU144" i="5"/>
  <c r="EU145" i="5"/>
  <c r="EU146" i="5"/>
  <c r="EU147" i="5"/>
  <c r="EU148" i="5"/>
  <c r="EU149" i="5"/>
  <c r="EU150" i="5"/>
  <c r="EU151" i="5"/>
  <c r="EU152" i="5"/>
  <c r="EU153" i="5"/>
  <c r="EU154" i="5"/>
  <c r="EU155" i="5"/>
  <c r="EU156" i="5"/>
  <c r="EU157" i="5"/>
  <c r="EU158" i="5"/>
  <c r="EU159" i="5"/>
  <c r="EU160" i="5"/>
  <c r="EU161" i="5"/>
  <c r="EU162" i="5"/>
  <c r="EU163" i="5"/>
  <c r="EU164" i="5"/>
  <c r="EU165" i="5"/>
  <c r="EU166" i="5"/>
  <c r="EU167" i="5"/>
  <c r="EU168" i="5"/>
  <c r="EU169" i="5"/>
  <c r="EU170" i="5"/>
  <c r="EU171" i="5"/>
  <c r="EU172" i="5"/>
  <c r="EU173" i="5"/>
  <c r="EU174" i="5"/>
  <c r="EU175" i="5"/>
  <c r="EU176" i="5"/>
  <c r="EU177" i="5"/>
  <c r="EU178" i="5"/>
  <c r="EU179" i="5"/>
  <c r="EU180" i="5"/>
  <c r="EU181" i="5"/>
  <c r="EU182" i="5"/>
  <c r="EU183" i="5"/>
  <c r="EU184" i="5"/>
  <c r="EU185" i="5"/>
  <c r="EU186" i="5"/>
  <c r="EU187" i="5"/>
  <c r="EU188" i="5"/>
  <c r="EU189" i="5"/>
  <c r="EU190" i="5"/>
  <c r="EU191" i="5"/>
  <c r="EU192" i="5"/>
  <c r="EU193" i="5"/>
  <c r="EU194" i="5"/>
  <c r="EU195" i="5"/>
  <c r="EU196" i="5"/>
  <c r="EU197" i="5"/>
  <c r="EU198" i="5"/>
  <c r="EU199" i="5"/>
  <c r="EU200" i="5"/>
  <c r="EU201" i="5"/>
  <c r="EU202" i="5"/>
  <c r="EU203" i="5"/>
  <c r="EU204" i="5"/>
  <c r="EU205" i="5"/>
  <c r="EU206" i="5"/>
  <c r="EU208" i="5"/>
  <c r="EU209" i="5"/>
  <c r="EU210" i="5"/>
  <c r="EU211" i="5"/>
  <c r="EU212" i="5"/>
  <c r="EU213" i="5"/>
  <c r="EU214" i="5"/>
  <c r="EU215" i="5"/>
  <c r="EU216" i="5"/>
  <c r="EU217" i="5"/>
  <c r="EU218" i="5"/>
  <c r="EU219" i="5"/>
  <c r="EU220" i="5"/>
  <c r="EU221" i="5"/>
  <c r="EU222" i="5"/>
  <c r="EU223" i="5"/>
  <c r="EU224" i="5"/>
  <c r="EU225" i="5"/>
  <c r="EU226" i="5"/>
  <c r="EU227" i="5"/>
  <c r="EU228" i="5"/>
  <c r="EU229" i="5"/>
  <c r="EU230" i="5"/>
  <c r="EU231" i="5"/>
  <c r="EU232" i="5"/>
  <c r="EU233" i="5"/>
  <c r="EU234" i="5"/>
  <c r="EU235" i="5"/>
  <c r="EU236" i="5"/>
  <c r="EU237" i="5"/>
  <c r="EU238" i="5"/>
  <c r="EU239" i="5"/>
  <c r="EU240" i="5"/>
  <c r="EU241" i="5"/>
  <c r="EU242" i="5"/>
  <c r="EU243" i="5"/>
  <c r="EU244" i="5"/>
  <c r="EU245" i="5"/>
  <c r="EU246" i="5"/>
  <c r="EU247" i="5"/>
  <c r="EU248" i="5"/>
  <c r="EP4" i="5"/>
  <c r="EP5" i="5"/>
  <c r="EP6" i="5"/>
  <c r="EP7" i="5"/>
  <c r="EP8" i="5"/>
  <c r="EP9" i="5"/>
  <c r="EP10" i="5"/>
  <c r="EP11" i="5"/>
  <c r="EP12" i="5"/>
  <c r="EP13" i="5"/>
  <c r="EP14" i="5"/>
  <c r="EP15" i="5"/>
  <c r="EP16" i="5"/>
  <c r="EP17" i="5"/>
  <c r="EP18" i="5"/>
  <c r="EP19" i="5"/>
  <c r="EP20" i="5"/>
  <c r="EP21" i="5"/>
  <c r="EP22" i="5"/>
  <c r="EP23" i="5"/>
  <c r="EP24" i="5"/>
  <c r="EP25" i="5"/>
  <c r="EP26" i="5"/>
  <c r="EP27" i="5"/>
  <c r="EP28" i="5"/>
  <c r="EP29" i="5"/>
  <c r="EP30" i="5"/>
  <c r="EP31" i="5"/>
  <c r="EP32" i="5"/>
  <c r="EP33" i="5"/>
  <c r="EP34" i="5"/>
  <c r="EP35" i="5"/>
  <c r="EP36" i="5"/>
  <c r="EP37" i="5"/>
  <c r="EP38" i="5"/>
  <c r="EP39" i="5"/>
  <c r="EP40" i="5"/>
  <c r="EP41" i="5"/>
  <c r="EP42" i="5"/>
  <c r="EP43" i="5"/>
  <c r="EP44" i="5"/>
  <c r="EP45" i="5"/>
  <c r="EP46" i="5"/>
  <c r="EP47" i="5"/>
  <c r="EP48" i="5"/>
  <c r="EP49" i="5"/>
  <c r="EP50" i="5"/>
  <c r="EP51" i="5"/>
  <c r="EP52" i="5"/>
  <c r="EP53" i="5"/>
  <c r="EP54" i="5"/>
  <c r="EP55" i="5"/>
  <c r="EP56" i="5"/>
  <c r="EP57" i="5"/>
  <c r="EP58" i="5"/>
  <c r="EP59" i="5"/>
  <c r="EP60" i="5"/>
  <c r="EP61" i="5"/>
  <c r="EP62" i="5"/>
  <c r="EP63" i="5"/>
  <c r="EP64" i="5"/>
  <c r="EP65" i="5"/>
  <c r="EP66" i="5"/>
  <c r="EP67" i="5"/>
  <c r="EP68" i="5"/>
  <c r="EP69" i="5"/>
  <c r="EP70" i="5"/>
  <c r="EP71" i="5"/>
  <c r="EP72" i="5"/>
  <c r="EP73" i="5"/>
  <c r="EP74" i="5"/>
  <c r="EP75" i="5"/>
  <c r="EP76" i="5"/>
  <c r="EP77" i="5"/>
  <c r="EP78" i="5"/>
  <c r="EP79" i="5"/>
  <c r="EP80" i="5"/>
  <c r="EP81" i="5"/>
  <c r="EP82" i="5"/>
  <c r="EP83" i="5"/>
  <c r="EP84" i="5"/>
  <c r="EP85" i="5"/>
  <c r="EP86" i="5"/>
  <c r="EP87" i="5"/>
  <c r="EP88" i="5"/>
  <c r="EP89" i="5"/>
  <c r="EP90" i="5"/>
  <c r="EP91" i="5"/>
  <c r="EP92" i="5"/>
  <c r="EP93" i="5"/>
  <c r="EP94" i="5"/>
  <c r="EP95" i="5"/>
  <c r="EP96" i="5"/>
  <c r="EP97" i="5"/>
  <c r="EP98" i="5"/>
  <c r="EP99" i="5"/>
  <c r="EP100" i="5"/>
  <c r="EP101" i="5"/>
  <c r="EP102" i="5"/>
  <c r="EP103" i="5"/>
  <c r="EP104" i="5"/>
  <c r="EP105" i="5"/>
  <c r="EP106" i="5"/>
  <c r="EP107" i="5"/>
  <c r="EP108" i="5"/>
  <c r="EP109" i="5"/>
  <c r="EP110" i="5"/>
  <c r="EP111" i="5"/>
  <c r="EP112" i="5"/>
  <c r="EP113" i="5"/>
  <c r="EP114" i="5"/>
  <c r="EP115" i="5"/>
  <c r="EP116" i="5"/>
  <c r="EP117" i="5"/>
  <c r="EP118" i="5"/>
  <c r="EP119" i="5"/>
  <c r="EP120" i="5"/>
  <c r="EP121" i="5"/>
  <c r="EP122" i="5"/>
  <c r="EP123" i="5"/>
  <c r="EP124" i="5"/>
  <c r="EP125" i="5"/>
  <c r="EP126" i="5"/>
  <c r="EP127" i="5"/>
  <c r="EP128" i="5"/>
  <c r="EP129" i="5"/>
  <c r="EP130" i="5"/>
  <c r="EP131" i="5"/>
  <c r="EP132" i="5"/>
  <c r="EP133" i="5"/>
  <c r="EP134" i="5"/>
  <c r="EP135" i="5"/>
  <c r="EP136" i="5"/>
  <c r="EP137" i="5"/>
  <c r="EP138" i="5"/>
  <c r="EP139" i="5"/>
  <c r="EP140" i="5"/>
  <c r="EP141" i="5"/>
  <c r="EP142" i="5"/>
  <c r="EP143" i="5"/>
  <c r="EP144" i="5"/>
  <c r="EP145" i="5"/>
  <c r="EP146" i="5"/>
  <c r="EP147" i="5"/>
  <c r="EP148" i="5"/>
  <c r="EP149" i="5"/>
  <c r="EP150" i="5"/>
  <c r="EP151" i="5"/>
  <c r="EP152" i="5"/>
  <c r="EP153" i="5"/>
  <c r="EP154" i="5"/>
  <c r="EP155" i="5"/>
  <c r="EP156" i="5"/>
  <c r="EP157" i="5"/>
  <c r="EP158" i="5"/>
  <c r="EP159" i="5"/>
  <c r="EP160" i="5"/>
  <c r="EP161" i="5"/>
  <c r="EP162" i="5"/>
  <c r="EP163" i="5"/>
  <c r="EP164" i="5"/>
  <c r="EP165" i="5"/>
  <c r="EP166" i="5"/>
  <c r="EP167" i="5"/>
  <c r="EP168" i="5"/>
  <c r="EP169" i="5"/>
  <c r="EP170" i="5"/>
  <c r="EP171" i="5"/>
  <c r="EP172" i="5"/>
  <c r="EP173" i="5"/>
  <c r="EP174" i="5"/>
  <c r="EP175" i="5"/>
  <c r="EP176" i="5"/>
  <c r="EP177" i="5"/>
  <c r="EP178" i="5"/>
  <c r="EP179" i="5"/>
  <c r="EP180" i="5"/>
  <c r="EP181" i="5"/>
  <c r="EP182" i="5"/>
  <c r="EP183" i="5"/>
  <c r="EP184" i="5"/>
  <c r="EP185" i="5"/>
  <c r="EP186" i="5"/>
  <c r="EP187" i="5"/>
  <c r="EP188" i="5"/>
  <c r="EP189" i="5"/>
  <c r="EP190" i="5"/>
  <c r="EP191" i="5"/>
  <c r="EP192" i="5"/>
  <c r="EP193" i="5"/>
  <c r="EP194" i="5"/>
  <c r="EP195" i="5"/>
  <c r="EP196" i="5"/>
  <c r="EP197" i="5"/>
  <c r="EP198" i="5"/>
  <c r="EP199" i="5"/>
  <c r="EP200" i="5"/>
  <c r="EP201" i="5"/>
  <c r="EP202" i="5"/>
  <c r="EP203" i="5"/>
  <c r="EP204" i="5"/>
  <c r="EP205" i="5"/>
  <c r="EP206" i="5"/>
  <c r="EP208" i="5"/>
  <c r="EP209" i="5"/>
  <c r="EP210" i="5"/>
  <c r="EP211" i="5"/>
  <c r="EP212" i="5"/>
  <c r="EP213" i="5"/>
  <c r="EP214" i="5"/>
  <c r="EP215" i="5"/>
  <c r="EP216" i="5"/>
  <c r="EP217" i="5"/>
  <c r="EP218" i="5"/>
  <c r="EP219" i="5"/>
  <c r="EP220" i="5"/>
  <c r="EP221" i="5"/>
  <c r="EP222" i="5"/>
  <c r="EP223" i="5"/>
  <c r="EP224" i="5"/>
  <c r="EP225" i="5"/>
  <c r="EP226" i="5"/>
  <c r="EP227" i="5"/>
  <c r="EP228" i="5"/>
  <c r="EP229" i="5"/>
  <c r="EP230" i="5"/>
  <c r="EP231" i="5"/>
  <c r="EP232" i="5"/>
  <c r="EP233" i="5"/>
  <c r="EP234" i="5"/>
  <c r="EP235" i="5"/>
  <c r="EP236" i="5"/>
  <c r="EP237" i="5"/>
  <c r="EP238" i="5"/>
  <c r="EP239" i="5"/>
  <c r="EP240" i="5"/>
  <c r="EP241" i="5"/>
  <c r="EP242" i="5"/>
  <c r="EP243" i="5"/>
  <c r="EP244" i="5"/>
  <c r="EP245" i="5"/>
  <c r="EP246" i="5"/>
  <c r="EP247" i="5"/>
  <c r="EP248" i="5"/>
  <c r="DV4" i="5"/>
  <c r="DY4" i="5"/>
  <c r="EA4" i="5"/>
  <c r="EB4" i="5" s="1"/>
  <c r="DV5" i="5"/>
  <c r="DY5" i="5"/>
  <c r="CK5" i="5" s="1"/>
  <c r="EA5" i="5"/>
  <c r="EB5" i="5" s="1"/>
  <c r="DV6" i="5"/>
  <c r="DY6" i="5"/>
  <c r="CK6" i="5" s="1"/>
  <c r="EA6" i="5"/>
  <c r="EB6" i="5" s="1"/>
  <c r="DV7" i="5"/>
  <c r="DY7" i="5"/>
  <c r="CK7" i="5" s="1"/>
  <c r="EA7" i="5"/>
  <c r="EB7" i="5" s="1"/>
  <c r="DV8" i="5"/>
  <c r="DY8" i="5"/>
  <c r="CK8" i="5" s="1"/>
  <c r="EA8" i="5"/>
  <c r="EB8" i="5" s="1"/>
  <c r="DV9" i="5"/>
  <c r="DY9" i="5"/>
  <c r="CK9" i="5" s="1"/>
  <c r="EA9" i="5"/>
  <c r="EB9" i="5" s="1"/>
  <c r="DV10" i="5"/>
  <c r="DY10" i="5"/>
  <c r="CK10" i="5" s="1"/>
  <c r="EA10" i="5"/>
  <c r="EB10" i="5" s="1"/>
  <c r="DV11" i="5"/>
  <c r="DY11" i="5"/>
  <c r="CK11" i="5" s="1"/>
  <c r="EA11" i="5"/>
  <c r="EB11" i="5" s="1"/>
  <c r="DV12" i="5"/>
  <c r="DY12" i="5"/>
  <c r="CK12" i="5" s="1"/>
  <c r="EA12" i="5"/>
  <c r="EB12" i="5" s="1"/>
  <c r="DV13" i="5"/>
  <c r="DY13" i="5"/>
  <c r="CK13" i="5" s="1"/>
  <c r="EA13" i="5"/>
  <c r="EB13" i="5" s="1"/>
  <c r="DV14" i="5"/>
  <c r="DY14" i="5"/>
  <c r="CK14" i="5" s="1"/>
  <c r="EA14" i="5"/>
  <c r="EB14" i="5" s="1"/>
  <c r="DV15" i="5"/>
  <c r="DY15" i="5"/>
  <c r="EA15" i="5"/>
  <c r="EB15" i="5" s="1"/>
  <c r="DV16" i="5"/>
  <c r="DY16" i="5"/>
  <c r="EA16" i="5"/>
  <c r="EB16" i="5" s="1"/>
  <c r="DV17" i="5"/>
  <c r="DY17" i="5"/>
  <c r="CK17" i="5" s="1"/>
  <c r="EA17" i="5"/>
  <c r="EB17" i="5" s="1"/>
  <c r="DV18" i="5"/>
  <c r="DY18" i="5"/>
  <c r="CK18" i="5" s="1"/>
  <c r="EA18" i="5"/>
  <c r="EB18" i="5" s="1"/>
  <c r="DV19" i="5"/>
  <c r="DY19" i="5"/>
  <c r="CK19" i="5" s="1"/>
  <c r="EA19" i="5"/>
  <c r="EB19" i="5" s="1"/>
  <c r="DV20" i="5"/>
  <c r="DY20" i="5"/>
  <c r="EA20" i="5"/>
  <c r="EB20" i="5" s="1"/>
  <c r="DV21" i="5"/>
  <c r="DY21" i="5"/>
  <c r="CK21" i="5" s="1"/>
  <c r="EA21" i="5"/>
  <c r="EB21" i="5" s="1"/>
  <c r="DV22" i="5"/>
  <c r="DY22" i="5"/>
  <c r="CK22" i="5" s="1"/>
  <c r="EA22" i="5"/>
  <c r="EB22" i="5" s="1"/>
  <c r="DV23" i="5"/>
  <c r="DY23" i="5"/>
  <c r="CK23" i="5" s="1"/>
  <c r="EA23" i="5"/>
  <c r="EB23" i="5" s="1"/>
  <c r="DV24" i="5"/>
  <c r="DY24" i="5"/>
  <c r="CK24" i="5" s="1"/>
  <c r="EA24" i="5"/>
  <c r="EB24" i="5" s="1"/>
  <c r="DV25" i="5"/>
  <c r="DY25" i="5"/>
  <c r="CK25" i="5" s="1"/>
  <c r="EA25" i="5"/>
  <c r="EB25" i="5" s="1"/>
  <c r="DV26" i="5"/>
  <c r="DY26" i="5"/>
  <c r="CK26" i="5" s="1"/>
  <c r="EA26" i="5"/>
  <c r="EB26" i="5" s="1"/>
  <c r="DV27" i="5"/>
  <c r="DY27" i="5"/>
  <c r="CK27" i="5" s="1"/>
  <c r="EA27" i="5"/>
  <c r="EB27" i="5" s="1"/>
  <c r="DV28" i="5"/>
  <c r="DY28" i="5"/>
  <c r="CK28" i="5" s="1"/>
  <c r="EA28" i="5"/>
  <c r="EB28" i="5" s="1"/>
  <c r="DV29" i="5"/>
  <c r="DY29" i="5"/>
  <c r="CK29" i="5" s="1"/>
  <c r="EA29" i="5"/>
  <c r="EB29" i="5" s="1"/>
  <c r="DV30" i="5"/>
  <c r="DY30" i="5"/>
  <c r="CK30" i="5" s="1"/>
  <c r="EA30" i="5"/>
  <c r="EB30" i="5" s="1"/>
  <c r="DV31" i="5"/>
  <c r="DY31" i="5"/>
  <c r="EA31" i="5"/>
  <c r="EB31" i="5" s="1"/>
  <c r="DV32" i="5"/>
  <c r="DY32" i="5"/>
  <c r="EA32" i="5"/>
  <c r="EB32" i="5" s="1"/>
  <c r="DV33" i="5"/>
  <c r="DY33" i="5"/>
  <c r="CK33" i="5" s="1"/>
  <c r="EA33" i="5"/>
  <c r="EB33" i="5" s="1"/>
  <c r="DV34" i="5"/>
  <c r="DY34" i="5"/>
  <c r="CK34" i="5" s="1"/>
  <c r="EA34" i="5"/>
  <c r="EB34" i="5" s="1"/>
  <c r="DV35" i="5"/>
  <c r="DY35" i="5"/>
  <c r="CK35" i="5" s="1"/>
  <c r="EA35" i="5"/>
  <c r="EB35" i="5" s="1"/>
  <c r="DV36" i="5"/>
  <c r="DY36" i="5"/>
  <c r="EA36" i="5"/>
  <c r="EB36" i="5" s="1"/>
  <c r="DV37" i="5"/>
  <c r="DY37" i="5"/>
  <c r="CK37" i="5" s="1"/>
  <c r="EA37" i="5"/>
  <c r="EB37" i="5" s="1"/>
  <c r="DV38" i="5"/>
  <c r="DY38" i="5"/>
  <c r="CK38" i="5" s="1"/>
  <c r="EA38" i="5"/>
  <c r="EB38" i="5" s="1"/>
  <c r="DV39" i="5"/>
  <c r="DY39" i="5"/>
  <c r="CK39" i="5" s="1"/>
  <c r="EA39" i="5"/>
  <c r="EB39" i="5" s="1"/>
  <c r="DV40" i="5"/>
  <c r="DY40" i="5"/>
  <c r="CK40" i="5" s="1"/>
  <c r="EA40" i="5"/>
  <c r="EB40" i="5" s="1"/>
  <c r="DV41" i="5"/>
  <c r="DY41" i="5"/>
  <c r="CK41" i="5" s="1"/>
  <c r="EA41" i="5"/>
  <c r="EB41" i="5" s="1"/>
  <c r="DV42" i="5"/>
  <c r="DY42" i="5"/>
  <c r="CK42" i="5" s="1"/>
  <c r="EA42" i="5"/>
  <c r="EB42" i="5" s="1"/>
  <c r="DV43" i="5"/>
  <c r="DY43" i="5"/>
  <c r="CK43" i="5" s="1"/>
  <c r="EA43" i="5"/>
  <c r="EB43" i="5" s="1"/>
  <c r="DV44" i="5"/>
  <c r="DY44" i="5"/>
  <c r="CK44" i="5" s="1"/>
  <c r="EA44" i="5"/>
  <c r="EB44" i="5" s="1"/>
  <c r="DV45" i="5"/>
  <c r="DY45" i="5"/>
  <c r="CK45" i="5" s="1"/>
  <c r="EA45" i="5"/>
  <c r="EB45" i="5" s="1"/>
  <c r="DV46" i="5"/>
  <c r="DY46" i="5"/>
  <c r="CK46" i="5" s="1"/>
  <c r="EA46" i="5"/>
  <c r="EB46" i="5" s="1"/>
  <c r="DV47" i="5"/>
  <c r="DY47" i="5"/>
  <c r="EA47" i="5"/>
  <c r="EB47" i="5" s="1"/>
  <c r="DV48" i="5"/>
  <c r="DY48" i="5"/>
  <c r="EA48" i="5"/>
  <c r="EB48" i="5" s="1"/>
  <c r="DV49" i="5"/>
  <c r="DY49" i="5"/>
  <c r="CK49" i="5" s="1"/>
  <c r="EA49" i="5"/>
  <c r="EB49" i="5" s="1"/>
  <c r="DV50" i="5"/>
  <c r="DY50" i="5"/>
  <c r="CK50" i="5" s="1"/>
  <c r="EA50" i="5"/>
  <c r="EB50" i="5" s="1"/>
  <c r="DV51" i="5"/>
  <c r="DY51" i="5"/>
  <c r="CK51" i="5" s="1"/>
  <c r="EA51" i="5"/>
  <c r="EB51" i="5" s="1"/>
  <c r="DV52" i="5"/>
  <c r="DY52" i="5"/>
  <c r="EA52" i="5"/>
  <c r="EB52" i="5" s="1"/>
  <c r="DV53" i="5"/>
  <c r="DY53" i="5"/>
  <c r="CK53" i="5" s="1"/>
  <c r="EA53" i="5"/>
  <c r="EB53" i="5" s="1"/>
  <c r="DV54" i="5"/>
  <c r="DY54" i="5"/>
  <c r="CK54" i="5" s="1"/>
  <c r="EA54" i="5"/>
  <c r="EB54" i="5" s="1"/>
  <c r="DV55" i="5"/>
  <c r="DY55" i="5"/>
  <c r="CK55" i="5" s="1"/>
  <c r="EA55" i="5"/>
  <c r="EB55" i="5" s="1"/>
  <c r="DV56" i="5"/>
  <c r="DY56" i="5"/>
  <c r="CK56" i="5" s="1"/>
  <c r="EA56" i="5"/>
  <c r="EB56" i="5" s="1"/>
  <c r="DV57" i="5"/>
  <c r="DY57" i="5"/>
  <c r="CK57" i="5" s="1"/>
  <c r="EA57" i="5"/>
  <c r="EB57" i="5" s="1"/>
  <c r="DV58" i="5"/>
  <c r="DY58" i="5"/>
  <c r="CK58" i="5" s="1"/>
  <c r="EA58" i="5"/>
  <c r="EB58" i="5" s="1"/>
  <c r="DV59" i="5"/>
  <c r="DY59" i="5"/>
  <c r="CK59" i="5" s="1"/>
  <c r="EA59" i="5"/>
  <c r="EB59" i="5" s="1"/>
  <c r="DV60" i="5"/>
  <c r="DY60" i="5"/>
  <c r="CK60" i="5" s="1"/>
  <c r="EA60" i="5"/>
  <c r="EB60" i="5" s="1"/>
  <c r="DV61" i="5"/>
  <c r="DY61" i="5"/>
  <c r="CK61" i="5" s="1"/>
  <c r="EA61" i="5"/>
  <c r="EB61" i="5" s="1"/>
  <c r="DV62" i="5"/>
  <c r="DY62" i="5"/>
  <c r="CK62" i="5" s="1"/>
  <c r="EA62" i="5"/>
  <c r="EB62" i="5" s="1"/>
  <c r="DV63" i="5"/>
  <c r="DY63" i="5"/>
  <c r="EA63" i="5"/>
  <c r="EB63" i="5" s="1"/>
  <c r="DV64" i="5"/>
  <c r="DY64" i="5"/>
  <c r="CK64" i="5" s="1"/>
  <c r="EA64" i="5"/>
  <c r="EB64" i="5" s="1"/>
  <c r="DV65" i="5"/>
  <c r="DY65" i="5"/>
  <c r="CK65" i="5" s="1"/>
  <c r="EA65" i="5"/>
  <c r="EB65" i="5" s="1"/>
  <c r="DV66" i="5"/>
  <c r="DY66" i="5"/>
  <c r="CK66" i="5" s="1"/>
  <c r="EA66" i="5"/>
  <c r="EB66" i="5" s="1"/>
  <c r="DV67" i="5"/>
  <c r="DY67" i="5"/>
  <c r="CK67" i="5" s="1"/>
  <c r="EA67" i="5"/>
  <c r="EB67" i="5" s="1"/>
  <c r="DV68" i="5"/>
  <c r="DY68" i="5"/>
  <c r="EA68" i="5"/>
  <c r="EB68" i="5" s="1"/>
  <c r="DV69" i="5"/>
  <c r="DY69" i="5"/>
  <c r="CK69" i="5" s="1"/>
  <c r="EA69" i="5"/>
  <c r="EB69" i="5" s="1"/>
  <c r="DV70" i="5"/>
  <c r="DY70" i="5"/>
  <c r="CK70" i="5" s="1"/>
  <c r="EA70" i="5"/>
  <c r="EB70" i="5" s="1"/>
  <c r="DV71" i="5"/>
  <c r="DY71" i="5"/>
  <c r="CK71" i="5" s="1"/>
  <c r="EA71" i="5"/>
  <c r="EB71" i="5" s="1"/>
  <c r="DV72" i="5"/>
  <c r="DY72" i="5"/>
  <c r="CK72" i="5" s="1"/>
  <c r="EA72" i="5"/>
  <c r="EB72" i="5" s="1"/>
  <c r="DV73" i="5"/>
  <c r="DY73" i="5"/>
  <c r="CK73" i="5" s="1"/>
  <c r="EA73" i="5"/>
  <c r="EB73" i="5" s="1"/>
  <c r="DV74" i="5"/>
  <c r="DY74" i="5"/>
  <c r="CK74" i="5" s="1"/>
  <c r="EA74" i="5"/>
  <c r="EB74" i="5" s="1"/>
  <c r="DV75" i="5"/>
  <c r="DY75" i="5"/>
  <c r="CK75" i="5" s="1"/>
  <c r="EA75" i="5"/>
  <c r="EB75" i="5" s="1"/>
  <c r="DV76" i="5"/>
  <c r="DY76" i="5"/>
  <c r="CK76" i="5" s="1"/>
  <c r="EA76" i="5"/>
  <c r="EB76" i="5" s="1"/>
  <c r="DV77" i="5"/>
  <c r="DY77" i="5"/>
  <c r="CK77" i="5" s="1"/>
  <c r="EA77" i="5"/>
  <c r="EB77" i="5" s="1"/>
  <c r="DV78" i="5"/>
  <c r="DY78" i="5"/>
  <c r="CK78" i="5" s="1"/>
  <c r="EA78" i="5"/>
  <c r="EB78" i="5" s="1"/>
  <c r="DV79" i="5"/>
  <c r="DY79" i="5"/>
  <c r="EA79" i="5"/>
  <c r="EB79" i="5" s="1"/>
  <c r="DV80" i="5"/>
  <c r="DY80" i="5"/>
  <c r="CK80" i="5" s="1"/>
  <c r="EA80" i="5"/>
  <c r="EB80" i="5" s="1"/>
  <c r="DV81" i="5"/>
  <c r="DY81" i="5"/>
  <c r="CK81" i="5" s="1"/>
  <c r="EA81" i="5"/>
  <c r="EB81" i="5" s="1"/>
  <c r="DV82" i="5"/>
  <c r="DY82" i="5"/>
  <c r="CK82" i="5" s="1"/>
  <c r="EA82" i="5"/>
  <c r="EB82" i="5" s="1"/>
  <c r="DV83" i="5"/>
  <c r="DY83" i="5"/>
  <c r="CK83" i="5" s="1"/>
  <c r="EA83" i="5"/>
  <c r="EB83" i="5" s="1"/>
  <c r="DV84" i="5"/>
  <c r="DY84" i="5"/>
  <c r="EA84" i="5"/>
  <c r="EB84" i="5" s="1"/>
  <c r="DV85" i="5"/>
  <c r="DY85" i="5"/>
  <c r="CK85" i="5" s="1"/>
  <c r="EA85" i="5"/>
  <c r="EB85" i="5" s="1"/>
  <c r="DV86" i="5"/>
  <c r="DY86" i="5"/>
  <c r="CK86" i="5" s="1"/>
  <c r="EA86" i="5"/>
  <c r="EB86" i="5" s="1"/>
  <c r="DV87" i="5"/>
  <c r="DY87" i="5"/>
  <c r="CK87" i="5" s="1"/>
  <c r="EA87" i="5"/>
  <c r="EB87" i="5" s="1"/>
  <c r="DV88" i="5"/>
  <c r="DY88" i="5"/>
  <c r="CK88" i="5" s="1"/>
  <c r="EA88" i="5"/>
  <c r="EB88" i="5" s="1"/>
  <c r="DV89" i="5"/>
  <c r="DY89" i="5"/>
  <c r="CK89" i="5" s="1"/>
  <c r="EA89" i="5"/>
  <c r="EB89" i="5" s="1"/>
  <c r="DV90" i="5"/>
  <c r="DY90" i="5"/>
  <c r="CK90" i="5" s="1"/>
  <c r="EA90" i="5"/>
  <c r="EB90" i="5" s="1"/>
  <c r="DV91" i="5"/>
  <c r="DY91" i="5"/>
  <c r="CK91" i="5" s="1"/>
  <c r="EA91" i="5"/>
  <c r="EB91" i="5" s="1"/>
  <c r="DV92" i="5"/>
  <c r="DY92" i="5"/>
  <c r="CK92" i="5" s="1"/>
  <c r="EA92" i="5"/>
  <c r="EB92" i="5" s="1"/>
  <c r="DV93" i="5"/>
  <c r="DY93" i="5"/>
  <c r="CK93" i="5" s="1"/>
  <c r="EA93" i="5"/>
  <c r="EB93" i="5" s="1"/>
  <c r="DV94" i="5"/>
  <c r="DY94" i="5"/>
  <c r="CK94" i="5" s="1"/>
  <c r="EA94" i="5"/>
  <c r="EB94" i="5" s="1"/>
  <c r="DV95" i="5"/>
  <c r="DY95" i="5"/>
  <c r="EA95" i="5"/>
  <c r="EB95" i="5" s="1"/>
  <c r="DV96" i="5"/>
  <c r="DY96" i="5"/>
  <c r="CK96" i="5" s="1"/>
  <c r="EA96" i="5"/>
  <c r="EB96" i="5" s="1"/>
  <c r="DV97" i="5"/>
  <c r="DY97" i="5"/>
  <c r="CK97" i="5" s="1"/>
  <c r="EA97" i="5"/>
  <c r="EB97" i="5" s="1"/>
  <c r="DV98" i="5"/>
  <c r="DY98" i="5"/>
  <c r="CK98" i="5" s="1"/>
  <c r="EA98" i="5"/>
  <c r="EB98" i="5" s="1"/>
  <c r="DV99" i="5"/>
  <c r="DY99" i="5"/>
  <c r="CK99" i="5" s="1"/>
  <c r="EA99" i="5"/>
  <c r="EB99" i="5" s="1"/>
  <c r="DV100" i="5"/>
  <c r="DY100" i="5"/>
  <c r="EA100" i="5"/>
  <c r="EB100" i="5" s="1"/>
  <c r="DV101" i="5"/>
  <c r="DY101" i="5"/>
  <c r="CK101" i="5" s="1"/>
  <c r="EA101" i="5"/>
  <c r="EB101" i="5" s="1"/>
  <c r="DV102" i="5"/>
  <c r="DY102" i="5"/>
  <c r="CK102" i="5" s="1"/>
  <c r="EA102" i="5"/>
  <c r="EB102" i="5" s="1"/>
  <c r="DV103" i="5"/>
  <c r="DY103" i="5"/>
  <c r="CK103" i="5" s="1"/>
  <c r="EA103" i="5"/>
  <c r="EB103" i="5" s="1"/>
  <c r="DV104" i="5"/>
  <c r="DY104" i="5"/>
  <c r="CK104" i="5" s="1"/>
  <c r="EA104" i="5"/>
  <c r="EB104" i="5" s="1"/>
  <c r="DV105" i="5"/>
  <c r="DY105" i="5"/>
  <c r="CK105" i="5" s="1"/>
  <c r="EA105" i="5"/>
  <c r="EB105" i="5" s="1"/>
  <c r="DV106" i="5"/>
  <c r="DY106" i="5"/>
  <c r="CK106" i="5" s="1"/>
  <c r="EA106" i="5"/>
  <c r="EB106" i="5" s="1"/>
  <c r="DV107" i="5"/>
  <c r="DY107" i="5"/>
  <c r="CK107" i="5" s="1"/>
  <c r="EA107" i="5"/>
  <c r="EB107" i="5" s="1"/>
  <c r="DV108" i="5"/>
  <c r="DY108" i="5"/>
  <c r="CK108" i="5" s="1"/>
  <c r="EA108" i="5"/>
  <c r="EB108" i="5" s="1"/>
  <c r="DV109" i="5"/>
  <c r="DY109" i="5"/>
  <c r="CK109" i="5" s="1"/>
  <c r="EA109" i="5"/>
  <c r="EB109" i="5" s="1"/>
  <c r="DV110" i="5"/>
  <c r="DY110" i="5"/>
  <c r="CK110" i="5" s="1"/>
  <c r="EA110" i="5"/>
  <c r="EB110" i="5" s="1"/>
  <c r="DV111" i="5"/>
  <c r="DY111" i="5"/>
  <c r="CK111" i="5" s="1"/>
  <c r="EA111" i="5"/>
  <c r="EB111" i="5" s="1"/>
  <c r="DV112" i="5"/>
  <c r="DY112" i="5"/>
  <c r="CK112" i="5" s="1"/>
  <c r="EA112" i="5"/>
  <c r="EB112" i="5" s="1"/>
  <c r="DV113" i="5"/>
  <c r="DY113" i="5"/>
  <c r="CK113" i="5" s="1"/>
  <c r="EA113" i="5"/>
  <c r="EB113" i="5" s="1"/>
  <c r="DV114" i="5"/>
  <c r="DY114" i="5"/>
  <c r="CK114" i="5" s="1"/>
  <c r="EA114" i="5"/>
  <c r="EB114" i="5" s="1"/>
  <c r="DV115" i="5"/>
  <c r="DY115" i="5"/>
  <c r="CK115" i="5" s="1"/>
  <c r="EA115" i="5"/>
  <c r="EB115" i="5" s="1"/>
  <c r="DV116" i="5"/>
  <c r="DY116" i="5"/>
  <c r="CK116" i="5" s="1"/>
  <c r="EA116" i="5"/>
  <c r="EB116" i="5" s="1"/>
  <c r="DV117" i="5"/>
  <c r="DY117" i="5"/>
  <c r="CK117" i="5" s="1"/>
  <c r="EA117" i="5"/>
  <c r="EB117" i="5" s="1"/>
  <c r="DV118" i="5"/>
  <c r="DY118" i="5"/>
  <c r="CK118" i="5" s="1"/>
  <c r="EA118" i="5"/>
  <c r="EB118" i="5" s="1"/>
  <c r="DV119" i="5"/>
  <c r="DY119" i="5"/>
  <c r="CK119" i="5" s="1"/>
  <c r="EA119" i="5"/>
  <c r="EB119" i="5" s="1"/>
  <c r="DV120" i="5"/>
  <c r="DY120" i="5"/>
  <c r="CK120" i="5" s="1"/>
  <c r="EA120" i="5"/>
  <c r="EB120" i="5" s="1"/>
  <c r="DV121" i="5"/>
  <c r="DY121" i="5"/>
  <c r="CK121" i="5" s="1"/>
  <c r="EA121" i="5"/>
  <c r="EB121" i="5" s="1"/>
  <c r="DV122" i="5"/>
  <c r="DY122" i="5"/>
  <c r="CK122" i="5" s="1"/>
  <c r="EA122" i="5"/>
  <c r="EB122" i="5" s="1"/>
  <c r="DV123" i="5"/>
  <c r="DY123" i="5"/>
  <c r="CK123" i="5" s="1"/>
  <c r="EA123" i="5"/>
  <c r="EB123" i="5" s="1"/>
  <c r="DV124" i="5"/>
  <c r="DY124" i="5"/>
  <c r="CK124" i="5" s="1"/>
  <c r="EA124" i="5"/>
  <c r="EB124" i="5" s="1"/>
  <c r="DV125" i="5"/>
  <c r="DY125" i="5"/>
  <c r="CK125" i="5" s="1"/>
  <c r="EA125" i="5"/>
  <c r="EB125" i="5" s="1"/>
  <c r="DV126" i="5"/>
  <c r="DY126" i="5"/>
  <c r="CK126" i="5" s="1"/>
  <c r="EA126" i="5"/>
  <c r="EB126" i="5" s="1"/>
  <c r="DV127" i="5"/>
  <c r="DY127" i="5"/>
  <c r="CK127" i="5" s="1"/>
  <c r="EA127" i="5"/>
  <c r="EB127" i="5" s="1"/>
  <c r="DV128" i="5"/>
  <c r="DY128" i="5"/>
  <c r="CK128" i="5" s="1"/>
  <c r="EA128" i="5"/>
  <c r="EB128" i="5" s="1"/>
  <c r="DV129" i="5"/>
  <c r="DY129" i="5"/>
  <c r="CK129" i="5" s="1"/>
  <c r="EA129" i="5"/>
  <c r="EB129" i="5" s="1"/>
  <c r="DV130" i="5"/>
  <c r="DY130" i="5"/>
  <c r="CK130" i="5" s="1"/>
  <c r="EA130" i="5"/>
  <c r="EB130" i="5" s="1"/>
  <c r="DV131" i="5"/>
  <c r="DY131" i="5"/>
  <c r="CK131" i="5" s="1"/>
  <c r="EA131" i="5"/>
  <c r="EB131" i="5" s="1"/>
  <c r="DV132" i="5"/>
  <c r="DY132" i="5"/>
  <c r="CK132" i="5" s="1"/>
  <c r="EA132" i="5"/>
  <c r="DV133" i="5"/>
  <c r="DY133" i="5"/>
  <c r="CK133" i="5" s="1"/>
  <c r="EA133" i="5"/>
  <c r="EB133" i="5" s="1"/>
  <c r="DV134" i="5"/>
  <c r="DY134" i="5"/>
  <c r="CK134" i="5" s="1"/>
  <c r="EA134" i="5"/>
  <c r="EB134" i="5" s="1"/>
  <c r="DV135" i="5"/>
  <c r="DY135" i="5"/>
  <c r="CK135" i="5" s="1"/>
  <c r="EA135" i="5"/>
  <c r="EB135" i="5" s="1"/>
  <c r="DV136" i="5"/>
  <c r="DY136" i="5"/>
  <c r="CK136" i="5" s="1"/>
  <c r="EA136" i="5"/>
  <c r="EB136" i="5" s="1"/>
  <c r="DV137" i="5"/>
  <c r="DY137" i="5"/>
  <c r="CK137" i="5" s="1"/>
  <c r="EA137" i="5"/>
  <c r="EB137" i="5" s="1"/>
  <c r="DV138" i="5"/>
  <c r="DY138" i="5"/>
  <c r="CK138" i="5" s="1"/>
  <c r="EA138" i="5"/>
  <c r="EB138" i="5" s="1"/>
  <c r="DV139" i="5"/>
  <c r="DY139" i="5"/>
  <c r="CK139" i="5" s="1"/>
  <c r="EA139" i="5"/>
  <c r="EB139" i="5" s="1"/>
  <c r="DV140" i="5"/>
  <c r="DY140" i="5"/>
  <c r="CK140" i="5" s="1"/>
  <c r="EA140" i="5"/>
  <c r="EB140" i="5" s="1"/>
  <c r="DV141" i="5"/>
  <c r="DY141" i="5"/>
  <c r="CK141" i="5" s="1"/>
  <c r="EA141" i="5"/>
  <c r="EB141" i="5" s="1"/>
  <c r="DV142" i="5"/>
  <c r="DY142" i="5"/>
  <c r="CK142" i="5" s="1"/>
  <c r="EA142" i="5"/>
  <c r="EB142" i="5" s="1"/>
  <c r="DV143" i="5"/>
  <c r="DY143" i="5"/>
  <c r="CK143" i="5" s="1"/>
  <c r="EA143" i="5"/>
  <c r="EB143" i="5" s="1"/>
  <c r="DV144" i="5"/>
  <c r="DY144" i="5"/>
  <c r="CK144" i="5" s="1"/>
  <c r="EA144" i="5"/>
  <c r="EB144" i="5" s="1"/>
  <c r="DV145" i="5"/>
  <c r="DY145" i="5"/>
  <c r="CK145" i="5" s="1"/>
  <c r="EA145" i="5"/>
  <c r="EB145" i="5" s="1"/>
  <c r="DV146" i="5"/>
  <c r="DY146" i="5"/>
  <c r="CK146" i="5" s="1"/>
  <c r="EA146" i="5"/>
  <c r="DV147" i="5"/>
  <c r="DY147" i="5"/>
  <c r="CK147" i="5" s="1"/>
  <c r="EA147" i="5"/>
  <c r="EB147" i="5" s="1"/>
  <c r="DV148" i="5"/>
  <c r="DY148" i="5"/>
  <c r="CK148" i="5" s="1"/>
  <c r="EA148" i="5"/>
  <c r="EB148" i="5" s="1"/>
  <c r="DV149" i="5"/>
  <c r="DY149" i="5"/>
  <c r="CK149" i="5" s="1"/>
  <c r="EA149" i="5"/>
  <c r="EB149" i="5" s="1"/>
  <c r="DV150" i="5"/>
  <c r="DY150" i="5"/>
  <c r="CK150" i="5" s="1"/>
  <c r="EA150" i="5"/>
  <c r="EB150" i="5" s="1"/>
  <c r="DV151" i="5"/>
  <c r="DY151" i="5"/>
  <c r="CK151" i="5" s="1"/>
  <c r="EA151" i="5"/>
  <c r="EB151" i="5" s="1"/>
  <c r="DV152" i="5"/>
  <c r="DY152" i="5"/>
  <c r="CK152" i="5" s="1"/>
  <c r="EA152" i="5"/>
  <c r="EB152" i="5" s="1"/>
  <c r="DV153" i="5"/>
  <c r="DY153" i="5"/>
  <c r="CK153" i="5" s="1"/>
  <c r="EA153" i="5"/>
  <c r="EB153" i="5" s="1"/>
  <c r="DV154" i="5"/>
  <c r="DY154" i="5"/>
  <c r="CK154" i="5" s="1"/>
  <c r="EA154" i="5"/>
  <c r="EB154" i="5" s="1"/>
  <c r="DV155" i="5"/>
  <c r="DY155" i="5"/>
  <c r="CK155" i="5" s="1"/>
  <c r="EA155" i="5"/>
  <c r="EB155" i="5" s="1"/>
  <c r="DV156" i="5"/>
  <c r="DY156" i="5"/>
  <c r="CK156" i="5" s="1"/>
  <c r="EA156" i="5"/>
  <c r="EB156" i="5" s="1"/>
  <c r="DV157" i="5"/>
  <c r="DY157" i="5"/>
  <c r="CK157" i="5" s="1"/>
  <c r="EA157" i="5"/>
  <c r="EB157" i="5" s="1"/>
  <c r="DV158" i="5"/>
  <c r="DY158" i="5"/>
  <c r="CK158" i="5" s="1"/>
  <c r="EA158" i="5"/>
  <c r="EB158" i="5" s="1"/>
  <c r="DV159" i="5"/>
  <c r="DY159" i="5"/>
  <c r="CK159" i="5" s="1"/>
  <c r="EA159" i="5"/>
  <c r="EB159" i="5" s="1"/>
  <c r="DV160" i="5"/>
  <c r="DY160" i="5"/>
  <c r="CK160" i="5" s="1"/>
  <c r="EA160" i="5"/>
  <c r="EB160" i="5" s="1"/>
  <c r="DV161" i="5"/>
  <c r="DY161" i="5"/>
  <c r="CK161" i="5" s="1"/>
  <c r="EA161" i="5"/>
  <c r="EB161" i="5" s="1"/>
  <c r="DV162" i="5"/>
  <c r="DY162" i="5"/>
  <c r="CK162" i="5" s="1"/>
  <c r="EA162" i="5"/>
  <c r="EB162" i="5" s="1"/>
  <c r="DV163" i="5"/>
  <c r="DY163" i="5"/>
  <c r="CK163" i="5" s="1"/>
  <c r="EA163" i="5"/>
  <c r="EB163" i="5" s="1"/>
  <c r="DV164" i="5"/>
  <c r="DY164" i="5"/>
  <c r="CK164" i="5" s="1"/>
  <c r="EA164" i="5"/>
  <c r="EB164" i="5" s="1"/>
  <c r="DV165" i="5"/>
  <c r="DY165" i="5"/>
  <c r="CK165" i="5" s="1"/>
  <c r="EA165" i="5"/>
  <c r="EB165" i="5" s="1"/>
  <c r="DV166" i="5"/>
  <c r="DY166" i="5"/>
  <c r="CK166" i="5" s="1"/>
  <c r="EA166" i="5"/>
  <c r="EB166" i="5" s="1"/>
  <c r="DV167" i="5"/>
  <c r="DY167" i="5"/>
  <c r="CK167" i="5" s="1"/>
  <c r="EA167" i="5"/>
  <c r="EB167" i="5" s="1"/>
  <c r="DV168" i="5"/>
  <c r="DY168" i="5"/>
  <c r="CK168" i="5" s="1"/>
  <c r="EA168" i="5"/>
  <c r="EB168" i="5" s="1"/>
  <c r="DV169" i="5"/>
  <c r="DY169" i="5"/>
  <c r="CK169" i="5" s="1"/>
  <c r="EA169" i="5"/>
  <c r="EB169" i="5" s="1"/>
  <c r="DV170" i="5"/>
  <c r="DY170" i="5"/>
  <c r="CK170" i="5" s="1"/>
  <c r="EA170" i="5"/>
  <c r="EB170" i="5" s="1"/>
  <c r="DV171" i="5"/>
  <c r="DY171" i="5"/>
  <c r="CK171" i="5" s="1"/>
  <c r="EA171" i="5"/>
  <c r="EB171" i="5" s="1"/>
  <c r="DV172" i="5"/>
  <c r="DY172" i="5"/>
  <c r="CK172" i="5" s="1"/>
  <c r="EA172" i="5"/>
  <c r="EB172" i="5" s="1"/>
  <c r="DV173" i="5"/>
  <c r="DY173" i="5"/>
  <c r="CK173" i="5" s="1"/>
  <c r="EA173" i="5"/>
  <c r="EB173" i="5" s="1"/>
  <c r="DV174" i="5"/>
  <c r="DY174" i="5"/>
  <c r="CK174" i="5" s="1"/>
  <c r="EA174" i="5"/>
  <c r="EB174" i="5" s="1"/>
  <c r="DV175" i="5"/>
  <c r="DY175" i="5"/>
  <c r="CK175" i="5" s="1"/>
  <c r="EA175" i="5"/>
  <c r="EB175" i="5" s="1"/>
  <c r="DV176" i="5"/>
  <c r="DY176" i="5"/>
  <c r="CK176" i="5" s="1"/>
  <c r="EA176" i="5"/>
  <c r="EB176" i="5" s="1"/>
  <c r="DV177" i="5"/>
  <c r="DY177" i="5"/>
  <c r="CK177" i="5" s="1"/>
  <c r="EA177" i="5"/>
  <c r="EB177" i="5" s="1"/>
  <c r="DV178" i="5"/>
  <c r="DY178" i="5"/>
  <c r="CK178" i="5" s="1"/>
  <c r="EA178" i="5"/>
  <c r="EB178" i="5" s="1"/>
  <c r="DV179" i="5"/>
  <c r="DY179" i="5"/>
  <c r="CK179" i="5" s="1"/>
  <c r="EA179" i="5"/>
  <c r="EB179" i="5" s="1"/>
  <c r="DV180" i="5"/>
  <c r="DY180" i="5"/>
  <c r="CK180" i="5" s="1"/>
  <c r="EA180" i="5"/>
  <c r="EB180" i="5" s="1"/>
  <c r="DV181" i="5"/>
  <c r="DY181" i="5"/>
  <c r="CK181" i="5" s="1"/>
  <c r="EA181" i="5"/>
  <c r="EB181" i="5" s="1"/>
  <c r="DV182" i="5"/>
  <c r="DY182" i="5"/>
  <c r="CK182" i="5" s="1"/>
  <c r="EA182" i="5"/>
  <c r="EB182" i="5" s="1"/>
  <c r="DV183" i="5"/>
  <c r="DY183" i="5"/>
  <c r="CK183" i="5" s="1"/>
  <c r="EA183" i="5"/>
  <c r="EB183" i="5" s="1"/>
  <c r="DV184" i="5"/>
  <c r="DY184" i="5"/>
  <c r="CK184" i="5" s="1"/>
  <c r="EA184" i="5"/>
  <c r="EB184" i="5" s="1"/>
  <c r="DV185" i="5"/>
  <c r="DY185" i="5"/>
  <c r="CK185" i="5" s="1"/>
  <c r="EA185" i="5"/>
  <c r="EB185" i="5" s="1"/>
  <c r="DV186" i="5"/>
  <c r="DY186" i="5"/>
  <c r="CK186" i="5" s="1"/>
  <c r="EA186" i="5"/>
  <c r="EB186" i="5" s="1"/>
  <c r="DV187" i="5"/>
  <c r="DY187" i="5"/>
  <c r="CK187" i="5" s="1"/>
  <c r="EA187" i="5"/>
  <c r="EB187" i="5" s="1"/>
  <c r="DV188" i="5"/>
  <c r="DY188" i="5"/>
  <c r="CK188" i="5" s="1"/>
  <c r="EA188" i="5"/>
  <c r="EB188" i="5" s="1"/>
  <c r="DV189" i="5"/>
  <c r="DY189" i="5"/>
  <c r="CK189" i="5" s="1"/>
  <c r="EA189" i="5"/>
  <c r="EB189" i="5" s="1"/>
  <c r="DV190" i="5"/>
  <c r="DY190" i="5"/>
  <c r="CK190" i="5" s="1"/>
  <c r="EA190" i="5"/>
  <c r="EB190" i="5" s="1"/>
  <c r="DV191" i="5"/>
  <c r="DY191" i="5"/>
  <c r="CK191" i="5" s="1"/>
  <c r="EA191" i="5"/>
  <c r="EB191" i="5" s="1"/>
  <c r="DV192" i="5"/>
  <c r="DY192" i="5"/>
  <c r="CK192" i="5" s="1"/>
  <c r="EA192" i="5"/>
  <c r="EB192" i="5" s="1"/>
  <c r="DV193" i="5"/>
  <c r="DY193" i="5"/>
  <c r="CK193" i="5" s="1"/>
  <c r="EA193" i="5"/>
  <c r="EB193" i="5" s="1"/>
  <c r="DV194" i="5"/>
  <c r="DX194" i="5"/>
  <c r="DY194" i="5"/>
  <c r="EA194" i="5"/>
  <c r="EB194" i="5" s="1"/>
  <c r="DV195" i="5"/>
  <c r="DX195" i="5"/>
  <c r="DY195" i="5"/>
  <c r="EA195" i="5"/>
  <c r="EB195" i="5" s="1"/>
  <c r="DV196" i="5"/>
  <c r="DX196" i="5"/>
  <c r="DY196" i="5"/>
  <c r="EA196" i="5"/>
  <c r="EB196" i="5" s="1"/>
  <c r="DV197" i="5"/>
  <c r="DX197" i="5"/>
  <c r="DY197" i="5"/>
  <c r="EA197" i="5"/>
  <c r="EB197" i="5" s="1"/>
  <c r="DV198" i="5"/>
  <c r="DX198" i="5"/>
  <c r="DY198" i="5"/>
  <c r="EA198" i="5"/>
  <c r="EB198" i="5" s="1"/>
  <c r="DV199" i="5"/>
  <c r="DX199" i="5"/>
  <c r="DY199" i="5"/>
  <c r="EA199" i="5"/>
  <c r="EB199" i="5" s="1"/>
  <c r="DV200" i="5"/>
  <c r="DX200" i="5"/>
  <c r="DY200" i="5"/>
  <c r="EA200" i="5"/>
  <c r="EB200" i="5" s="1"/>
  <c r="DV201" i="5"/>
  <c r="DX201" i="5"/>
  <c r="DY201" i="5"/>
  <c r="EA201" i="5"/>
  <c r="EB201" i="5" s="1"/>
  <c r="DV202" i="5"/>
  <c r="DY202" i="5"/>
  <c r="CK202" i="5" s="1"/>
  <c r="EA202" i="5"/>
  <c r="EB202" i="5" s="1"/>
  <c r="DV203" i="5"/>
  <c r="DY203" i="5"/>
  <c r="CK203" i="5" s="1"/>
  <c r="EA203" i="5"/>
  <c r="EB203" i="5" s="1"/>
  <c r="DV204" i="5"/>
  <c r="DY204" i="5"/>
  <c r="CK204" i="5" s="1"/>
  <c r="EA204" i="5"/>
  <c r="EB204" i="5" s="1"/>
  <c r="DV205" i="5"/>
  <c r="DY205" i="5"/>
  <c r="CK205" i="5" s="1"/>
  <c r="EA205" i="5"/>
  <c r="EB205" i="5" s="1"/>
  <c r="DV206" i="5"/>
  <c r="DY206" i="5"/>
  <c r="EA206" i="5"/>
  <c r="EB206" i="5" s="1"/>
  <c r="CK207" i="5"/>
  <c r="EB207" i="5"/>
  <c r="DV208" i="5"/>
  <c r="CK208" i="5"/>
  <c r="EA208" i="5"/>
  <c r="EB208" i="5" s="1"/>
  <c r="DV209" i="5"/>
  <c r="DY209" i="5"/>
  <c r="EA209" i="5"/>
  <c r="EB209" i="5" s="1"/>
  <c r="DV210" i="5"/>
  <c r="DY210" i="5"/>
  <c r="CK210" i="5" s="1"/>
  <c r="EA210" i="5"/>
  <c r="EB210" i="5" s="1"/>
  <c r="DV211" i="5"/>
  <c r="DY211" i="5"/>
  <c r="CK211" i="5" s="1"/>
  <c r="EA211" i="5"/>
  <c r="EB211" i="5" s="1"/>
  <c r="DV212" i="5"/>
  <c r="DY212" i="5"/>
  <c r="CK212" i="5" s="1"/>
  <c r="EA212" i="5"/>
  <c r="EB212" i="5" s="1"/>
  <c r="DV213" i="5"/>
  <c r="DY213" i="5"/>
  <c r="CK213" i="5" s="1"/>
  <c r="EA213" i="5"/>
  <c r="EB213" i="5" s="1"/>
  <c r="DV214" i="5"/>
  <c r="DY214" i="5"/>
  <c r="CK214" i="5" s="1"/>
  <c r="EA214" i="5"/>
  <c r="EB214" i="5" s="1"/>
  <c r="DV215" i="5"/>
  <c r="DY215" i="5"/>
  <c r="EA215" i="5"/>
  <c r="EB215" i="5" s="1"/>
  <c r="DV216" i="5"/>
  <c r="DY216" i="5"/>
  <c r="CK216" i="5" s="1"/>
  <c r="EA216" i="5"/>
  <c r="EB216" i="5" s="1"/>
  <c r="DV217" i="5"/>
  <c r="DY217" i="5"/>
  <c r="CK217" i="5" s="1"/>
  <c r="EA217" i="5"/>
  <c r="EB217" i="5" s="1"/>
  <c r="DV218" i="5"/>
  <c r="DY218" i="5"/>
  <c r="CK218" i="5" s="1"/>
  <c r="EA218" i="5"/>
  <c r="EB218" i="5" s="1"/>
  <c r="DV219" i="5"/>
  <c r="DY219" i="5"/>
  <c r="CK219" i="5" s="1"/>
  <c r="EA219" i="5"/>
  <c r="EB219" i="5" s="1"/>
  <c r="DV220" i="5"/>
  <c r="DY220" i="5"/>
  <c r="CK220" i="5" s="1"/>
  <c r="EA220" i="5"/>
  <c r="EB220" i="5" s="1"/>
  <c r="DV221" i="5"/>
  <c r="DY221" i="5"/>
  <c r="CK221" i="5" s="1"/>
  <c r="EA221" i="5"/>
  <c r="EB221" i="5" s="1"/>
  <c r="DV222" i="5"/>
  <c r="DY222" i="5"/>
  <c r="CK222" i="5" s="1"/>
  <c r="EA222" i="5"/>
  <c r="EB222" i="5" s="1"/>
  <c r="DV223" i="5"/>
  <c r="DY223" i="5"/>
  <c r="CK223" i="5" s="1"/>
  <c r="EA223" i="5"/>
  <c r="EB223" i="5" s="1"/>
  <c r="DV224" i="5"/>
  <c r="DY224" i="5"/>
  <c r="CK224" i="5" s="1"/>
  <c r="EA224" i="5"/>
  <c r="EB224" i="5" s="1"/>
  <c r="DV225" i="5"/>
  <c r="DY225" i="5"/>
  <c r="CK225" i="5" s="1"/>
  <c r="EA225" i="5"/>
  <c r="EB225" i="5" s="1"/>
  <c r="DV226" i="5"/>
  <c r="DY226" i="5"/>
  <c r="CK226" i="5" s="1"/>
  <c r="EA226" i="5"/>
  <c r="EB226" i="5" s="1"/>
  <c r="DV227" i="5"/>
  <c r="DY227" i="5"/>
  <c r="CK227" i="5" s="1"/>
  <c r="EA227" i="5"/>
  <c r="EB227" i="5" s="1"/>
  <c r="DV228" i="5"/>
  <c r="DY228" i="5"/>
  <c r="CK228" i="5" s="1"/>
  <c r="EA228" i="5"/>
  <c r="EB228" i="5" s="1"/>
  <c r="DV229" i="5"/>
  <c r="DY229" i="5"/>
  <c r="CK229" i="5" s="1"/>
  <c r="EA229" i="5"/>
  <c r="EB229" i="5" s="1"/>
  <c r="DV230" i="5"/>
  <c r="DY230" i="5"/>
  <c r="CK230" i="5" s="1"/>
  <c r="EA230" i="5"/>
  <c r="EB230" i="5" s="1"/>
  <c r="DV231" i="5"/>
  <c r="DY231" i="5"/>
  <c r="CK231" i="5" s="1"/>
  <c r="EA231" i="5"/>
  <c r="EB231" i="5" s="1"/>
  <c r="DV232" i="5"/>
  <c r="DY232" i="5"/>
  <c r="CK232" i="5" s="1"/>
  <c r="EA232" i="5"/>
  <c r="EB232" i="5" s="1"/>
  <c r="DV233" i="5"/>
  <c r="DY233" i="5"/>
  <c r="CK233" i="5" s="1"/>
  <c r="EA233" i="5"/>
  <c r="EB233" i="5" s="1"/>
  <c r="DV234" i="5"/>
  <c r="DY234" i="5"/>
  <c r="CK234" i="5" s="1"/>
  <c r="EA234" i="5"/>
  <c r="EB234" i="5" s="1"/>
  <c r="DV235" i="5"/>
  <c r="DY235" i="5"/>
  <c r="CK235" i="5" s="1"/>
  <c r="EA235" i="5"/>
  <c r="EB235" i="5" s="1"/>
  <c r="DV236" i="5"/>
  <c r="DY236" i="5"/>
  <c r="CK236" i="5" s="1"/>
  <c r="EA236" i="5"/>
  <c r="EB236" i="5" s="1"/>
  <c r="DV237" i="5"/>
  <c r="DY237" i="5"/>
  <c r="CK237" i="5" s="1"/>
  <c r="EA237" i="5"/>
  <c r="EB237" i="5" s="1"/>
  <c r="DV238" i="5"/>
  <c r="DY238" i="5"/>
  <c r="CK238" i="5" s="1"/>
  <c r="EA238" i="5"/>
  <c r="EB238" i="5" s="1"/>
  <c r="DV239" i="5"/>
  <c r="DY239" i="5"/>
  <c r="EA239" i="5"/>
  <c r="EB239" i="5" s="1"/>
  <c r="DV240" i="5"/>
  <c r="DY240" i="5"/>
  <c r="CK240" i="5" s="1"/>
  <c r="EA240" i="5"/>
  <c r="EB240" i="5" s="1"/>
  <c r="DV241" i="5"/>
  <c r="DY241" i="5"/>
  <c r="CK241" i="5" s="1"/>
  <c r="EA241" i="5"/>
  <c r="EB241" i="5" s="1"/>
  <c r="DV242" i="5"/>
  <c r="DY242" i="5"/>
  <c r="CK242" i="5" s="1"/>
  <c r="EA242" i="5"/>
  <c r="EB242" i="5" s="1"/>
  <c r="DV243" i="5"/>
  <c r="DY243" i="5"/>
  <c r="CK243" i="5" s="1"/>
  <c r="EA243" i="5"/>
  <c r="EB243" i="5" s="1"/>
  <c r="DV244" i="5"/>
  <c r="DY244" i="5"/>
  <c r="CK244" i="5" s="1"/>
  <c r="EA244" i="5"/>
  <c r="EB244" i="5" s="1"/>
  <c r="DV245" i="5"/>
  <c r="DY245" i="5"/>
  <c r="CK245" i="5" s="1"/>
  <c r="EA245" i="5"/>
  <c r="EB245" i="5" s="1"/>
  <c r="DV246" i="5"/>
  <c r="DY246" i="5"/>
  <c r="EA246" i="5"/>
  <c r="EB246" i="5" s="1"/>
  <c r="DV247" i="5"/>
  <c r="DY247" i="5"/>
  <c r="CK247" i="5" s="1"/>
  <c r="EA247" i="5"/>
  <c r="EB247" i="5" s="1"/>
  <c r="DV248" i="5"/>
  <c r="DY248" i="5"/>
  <c r="CK248" i="5" s="1"/>
  <c r="EA248" i="5"/>
  <c r="EB248" i="5" s="1"/>
  <c r="DC5" i="5"/>
  <c r="HL5" i="5" s="1"/>
  <c r="DC6" i="5"/>
  <c r="HL6" i="5" s="1"/>
  <c r="DC7" i="5"/>
  <c r="HL7" i="5" s="1"/>
  <c r="DC8" i="5"/>
  <c r="HL8" i="5" s="1"/>
  <c r="DC9" i="5"/>
  <c r="HL9" i="5" s="1"/>
  <c r="DC10" i="5"/>
  <c r="HL10" i="5" s="1"/>
  <c r="DC11" i="5"/>
  <c r="HL11" i="5" s="1"/>
  <c r="DC12" i="5"/>
  <c r="HL12" i="5" s="1"/>
  <c r="DC13" i="5"/>
  <c r="HL13" i="5" s="1"/>
  <c r="DC14" i="5"/>
  <c r="HL14" i="5" s="1"/>
  <c r="DC15" i="5"/>
  <c r="HL15" i="5" s="1"/>
  <c r="DC16" i="5"/>
  <c r="HL16" i="5" s="1"/>
  <c r="DC17" i="5"/>
  <c r="HL17" i="5" s="1"/>
  <c r="DC18" i="5"/>
  <c r="HL18" i="5" s="1"/>
  <c r="DC19" i="5"/>
  <c r="HL19" i="5" s="1"/>
  <c r="DC20" i="5"/>
  <c r="HL20" i="5" s="1"/>
  <c r="DC21" i="5"/>
  <c r="HL21" i="5" s="1"/>
  <c r="DC22" i="5"/>
  <c r="HL22" i="5" s="1"/>
  <c r="DC24" i="5"/>
  <c r="HL24" i="5" s="1"/>
  <c r="DC25" i="5"/>
  <c r="HL25" i="5" s="1"/>
  <c r="DC28" i="5"/>
  <c r="HL28" i="5" s="1"/>
  <c r="DC30" i="5"/>
  <c r="HL30" i="5" s="1"/>
  <c r="DC31" i="5"/>
  <c r="HL31" i="5" s="1"/>
  <c r="DC33" i="5"/>
  <c r="HL33" i="5" s="1"/>
  <c r="DC34" i="5"/>
  <c r="HL34" i="5" s="1"/>
  <c r="DC35" i="5"/>
  <c r="HL35" i="5" s="1"/>
  <c r="DC37" i="5"/>
  <c r="HL37" i="5" s="1"/>
  <c r="DC39" i="5"/>
  <c r="HL39" i="5" s="1"/>
  <c r="DC40" i="5"/>
  <c r="HL40" i="5" s="1"/>
  <c r="DC41" i="5"/>
  <c r="HL41" i="5" s="1"/>
  <c r="DC42" i="5"/>
  <c r="HL42" i="5" s="1"/>
  <c r="DC43" i="5"/>
  <c r="HL43" i="5" s="1"/>
  <c r="DC44" i="5"/>
  <c r="HL44" i="5" s="1"/>
  <c r="DC45" i="5"/>
  <c r="HL45" i="5" s="1"/>
  <c r="DC46" i="5"/>
  <c r="HL46" i="5" s="1"/>
  <c r="DC47" i="5"/>
  <c r="HL47" i="5" s="1"/>
  <c r="DC48" i="5"/>
  <c r="HL48" i="5" s="1"/>
  <c r="DC49" i="5"/>
  <c r="HL49" i="5" s="1"/>
  <c r="DC52" i="5"/>
  <c r="HL52" i="5" s="1"/>
  <c r="DC53" i="5"/>
  <c r="HL53" i="5" s="1"/>
  <c r="DC54" i="5"/>
  <c r="HL54" i="5" s="1"/>
  <c r="DC56" i="5"/>
  <c r="HL56" i="5" s="1"/>
  <c r="DC58" i="5"/>
  <c r="HL58" i="5" s="1"/>
  <c r="DC61" i="5"/>
  <c r="HL61" i="5" s="1"/>
  <c r="DC62" i="5"/>
  <c r="HL62" i="5" s="1"/>
  <c r="DC65" i="5"/>
  <c r="HL65" i="5" s="1"/>
  <c r="DC71" i="5"/>
  <c r="HL71" i="5" s="1"/>
  <c r="DC72" i="5"/>
  <c r="HL72" i="5" s="1"/>
  <c r="DC73" i="5"/>
  <c r="HL73" i="5" s="1"/>
  <c r="DC74" i="5"/>
  <c r="HL74" i="5" s="1"/>
  <c r="DC76" i="5"/>
  <c r="HL76" i="5" s="1"/>
  <c r="DC77" i="5"/>
  <c r="HL77" i="5" s="1"/>
  <c r="DC85" i="5"/>
  <c r="HL85" i="5" s="1"/>
  <c r="DC86" i="5"/>
  <c r="HL86" i="5" s="1"/>
  <c r="DC88" i="5"/>
  <c r="HL88" i="5" s="1"/>
  <c r="DC92" i="5"/>
  <c r="HL92" i="5" s="1"/>
  <c r="DC93" i="5"/>
  <c r="HL93" i="5" s="1"/>
  <c r="DC98" i="5"/>
  <c r="HL98" i="5" s="1"/>
  <c r="DC105" i="5"/>
  <c r="HL105" i="5" s="1"/>
  <c r="DC109" i="5"/>
  <c r="HL109" i="5" s="1"/>
  <c r="DC110" i="5"/>
  <c r="HL110" i="5" s="1"/>
  <c r="DC111" i="5"/>
  <c r="HL111" i="5" s="1"/>
  <c r="DC117" i="5"/>
  <c r="HL117" i="5" s="1"/>
  <c r="DC118" i="5"/>
  <c r="HL118" i="5" s="1"/>
  <c r="DC119" i="5"/>
  <c r="HL119" i="5" s="1"/>
  <c r="DC121" i="5"/>
  <c r="HL121" i="5" s="1"/>
  <c r="DC124" i="5"/>
  <c r="HL124" i="5" s="1"/>
  <c r="DC127" i="5"/>
  <c r="HL127" i="5" s="1"/>
  <c r="DC131" i="5"/>
  <c r="HL131" i="5" s="1"/>
  <c r="DC141" i="5"/>
  <c r="HL141" i="5" s="1"/>
  <c r="DC166" i="5"/>
  <c r="HL166" i="5" s="1"/>
  <c r="CM4" i="5"/>
  <c r="CM5" i="5"/>
  <c r="CM6" i="5"/>
  <c r="CM7" i="5"/>
  <c r="CM8" i="5"/>
  <c r="CM9" i="5"/>
  <c r="CM10" i="5"/>
  <c r="CM11" i="5"/>
  <c r="CM12" i="5"/>
  <c r="CM13" i="5"/>
  <c r="CM14" i="5"/>
  <c r="CM15" i="5"/>
  <c r="CM16" i="5"/>
  <c r="CM17" i="5"/>
  <c r="CM18" i="5"/>
  <c r="CM19" i="5"/>
  <c r="CM20" i="5"/>
  <c r="CM21" i="5"/>
  <c r="CM22" i="5"/>
  <c r="CM23" i="5"/>
  <c r="CM24" i="5"/>
  <c r="CM25" i="5"/>
  <c r="CM26" i="5"/>
  <c r="CM27" i="5"/>
  <c r="CM28" i="5"/>
  <c r="CM29" i="5"/>
  <c r="CM30" i="5"/>
  <c r="CM31" i="5"/>
  <c r="CM32" i="5"/>
  <c r="CM33" i="5"/>
  <c r="CM34" i="5"/>
  <c r="CM35" i="5"/>
  <c r="CM36" i="5"/>
  <c r="CM37" i="5"/>
  <c r="CM38" i="5"/>
  <c r="CM39" i="5"/>
  <c r="CM40" i="5"/>
  <c r="CM41" i="5"/>
  <c r="CM42" i="5"/>
  <c r="CM43" i="5"/>
  <c r="CM44" i="5"/>
  <c r="CM45" i="5"/>
  <c r="CM46" i="5"/>
  <c r="CM47" i="5"/>
  <c r="CM48" i="5"/>
  <c r="CM49" i="5"/>
  <c r="CM50" i="5"/>
  <c r="CM51" i="5"/>
  <c r="CM52" i="5"/>
  <c r="CM53" i="5"/>
  <c r="CM54" i="5"/>
  <c r="CM55" i="5"/>
  <c r="CM56" i="5"/>
  <c r="CM57" i="5"/>
  <c r="CM58" i="5"/>
  <c r="CM59" i="5"/>
  <c r="CM60" i="5"/>
  <c r="CM61" i="5"/>
  <c r="CM62" i="5"/>
  <c r="CM63" i="5"/>
  <c r="CM64" i="5"/>
  <c r="CM65" i="5"/>
  <c r="CM66" i="5"/>
  <c r="CM67" i="5"/>
  <c r="CM68" i="5"/>
  <c r="CM69" i="5"/>
  <c r="CM70" i="5"/>
  <c r="CM71" i="5"/>
  <c r="CM72" i="5"/>
  <c r="CM73" i="5"/>
  <c r="CM74" i="5"/>
  <c r="CM75" i="5"/>
  <c r="CM76" i="5"/>
  <c r="CM77" i="5"/>
  <c r="CM78" i="5"/>
  <c r="CM79" i="5"/>
  <c r="CM80" i="5"/>
  <c r="CM81" i="5"/>
  <c r="CM82" i="5"/>
  <c r="CM83" i="5"/>
  <c r="CM84" i="5"/>
  <c r="CM85" i="5"/>
  <c r="CM86" i="5"/>
  <c r="CM87" i="5"/>
  <c r="CM88" i="5"/>
  <c r="CM89" i="5"/>
  <c r="CM90" i="5"/>
  <c r="CM91" i="5"/>
  <c r="CM92" i="5"/>
  <c r="CM93" i="5"/>
  <c r="CM94" i="5"/>
  <c r="CM95" i="5"/>
  <c r="CM96" i="5"/>
  <c r="CM97" i="5"/>
  <c r="CM98" i="5"/>
  <c r="CM99" i="5"/>
  <c r="CM100" i="5"/>
  <c r="CM101" i="5"/>
  <c r="CM102" i="5"/>
  <c r="CM103" i="5"/>
  <c r="CM104" i="5"/>
  <c r="CM105" i="5"/>
  <c r="CM106" i="5"/>
  <c r="CM107" i="5"/>
  <c r="CM108" i="5"/>
  <c r="CM109" i="5"/>
  <c r="CM110" i="5"/>
  <c r="CM111" i="5"/>
  <c r="CM112" i="5"/>
  <c r="CM113" i="5"/>
  <c r="CM114" i="5"/>
  <c r="CM115" i="5"/>
  <c r="CM116" i="5"/>
  <c r="CM117" i="5"/>
  <c r="CM118" i="5"/>
  <c r="CM119" i="5"/>
  <c r="CM120" i="5"/>
  <c r="CM121" i="5"/>
  <c r="CM122" i="5"/>
  <c r="CM123" i="5"/>
  <c r="CM124" i="5"/>
  <c r="CM125" i="5"/>
  <c r="CM126" i="5"/>
  <c r="CM127" i="5"/>
  <c r="CM128" i="5"/>
  <c r="CM129" i="5"/>
  <c r="CM130" i="5"/>
  <c r="CM131" i="5"/>
  <c r="CM132" i="5"/>
  <c r="CM133" i="5"/>
  <c r="CM134" i="5"/>
  <c r="CM135" i="5"/>
  <c r="CM136" i="5"/>
  <c r="CM137" i="5"/>
  <c r="CM138" i="5"/>
  <c r="CM139" i="5"/>
  <c r="CM140" i="5"/>
  <c r="CM141" i="5"/>
  <c r="CM142" i="5"/>
  <c r="CM143" i="5"/>
  <c r="CM144" i="5"/>
  <c r="CM145" i="5"/>
  <c r="CM146" i="5"/>
  <c r="CM147" i="5"/>
  <c r="CM148" i="5"/>
  <c r="CM149" i="5"/>
  <c r="CM150" i="5"/>
  <c r="CM151" i="5"/>
  <c r="CM152" i="5"/>
  <c r="CM153" i="5"/>
  <c r="CM154" i="5"/>
  <c r="CM155" i="5"/>
  <c r="CM156" i="5"/>
  <c r="CM157" i="5"/>
  <c r="CM158" i="5"/>
  <c r="CM159" i="5"/>
  <c r="CM160" i="5"/>
  <c r="CM161" i="5"/>
  <c r="CM162" i="5"/>
  <c r="CM163" i="5"/>
  <c r="CM164" i="5"/>
  <c r="CM165" i="5"/>
  <c r="CM166" i="5"/>
  <c r="CM167" i="5"/>
  <c r="CM168" i="5"/>
  <c r="CM169" i="5"/>
  <c r="CM170" i="5"/>
  <c r="CM171" i="5"/>
  <c r="CM172" i="5"/>
  <c r="CM173" i="5"/>
  <c r="CM174" i="5"/>
  <c r="CM175" i="5"/>
  <c r="CM176" i="5"/>
  <c r="CM177" i="5"/>
  <c r="CM178" i="5"/>
  <c r="CM179" i="5"/>
  <c r="CM180" i="5"/>
  <c r="CM181" i="5"/>
  <c r="CM182" i="5"/>
  <c r="CM183" i="5"/>
  <c r="CM184" i="5"/>
  <c r="CM185" i="5"/>
  <c r="CM186" i="5"/>
  <c r="CM187" i="5"/>
  <c r="CM188" i="5"/>
  <c r="CM189" i="5"/>
  <c r="CM190" i="5"/>
  <c r="CM191" i="5"/>
  <c r="CM192" i="5"/>
  <c r="CM193" i="5"/>
  <c r="CM194" i="5"/>
  <c r="CM195" i="5"/>
  <c r="CM196" i="5"/>
  <c r="CM197" i="5"/>
  <c r="CM198" i="5"/>
  <c r="CM199" i="5"/>
  <c r="CM200" i="5"/>
  <c r="CM201" i="5"/>
  <c r="CM202" i="5"/>
  <c r="CM203" i="5"/>
  <c r="CM204" i="5"/>
  <c r="CM205" i="5"/>
  <c r="CM206" i="5"/>
  <c r="CM208" i="5"/>
  <c r="CM209" i="5"/>
  <c r="CM210" i="5"/>
  <c r="CM211" i="5"/>
  <c r="CM212" i="5"/>
  <c r="CM213" i="5"/>
  <c r="CM214" i="5"/>
  <c r="CM215" i="5"/>
  <c r="CM216" i="5"/>
  <c r="CM217" i="5"/>
  <c r="CM218" i="5"/>
  <c r="CM219" i="5"/>
  <c r="CM220" i="5"/>
  <c r="CM221" i="5"/>
  <c r="CM222" i="5"/>
  <c r="CM223" i="5"/>
  <c r="CM224" i="5"/>
  <c r="CM225" i="5"/>
  <c r="CM226" i="5"/>
  <c r="CM227" i="5"/>
  <c r="CM228" i="5"/>
  <c r="CM229" i="5"/>
  <c r="CM230" i="5"/>
  <c r="CM231" i="5"/>
  <c r="CM232" i="5"/>
  <c r="CM233" i="5"/>
  <c r="CM234" i="5"/>
  <c r="CM235" i="5"/>
  <c r="CM236" i="5"/>
  <c r="CM237" i="5"/>
  <c r="CM238" i="5"/>
  <c r="CM239" i="5"/>
  <c r="CM240" i="5"/>
  <c r="CM241" i="5"/>
  <c r="CM242" i="5"/>
  <c r="CM243" i="5"/>
  <c r="CM244" i="5"/>
  <c r="CM245" i="5"/>
  <c r="CM246" i="5"/>
  <c r="CM247" i="5"/>
  <c r="CM248" i="5"/>
  <c r="CI4" i="5"/>
  <c r="CI5" i="5"/>
  <c r="CI6" i="5"/>
  <c r="CI7" i="5"/>
  <c r="CI8" i="5"/>
  <c r="CI9" i="5"/>
  <c r="CI10" i="5"/>
  <c r="CI11" i="5"/>
  <c r="CI12" i="5"/>
  <c r="CI13" i="5"/>
  <c r="CI14" i="5"/>
  <c r="CI15" i="5"/>
  <c r="CI16" i="5"/>
  <c r="CI17" i="5"/>
  <c r="CI18" i="5"/>
  <c r="CI19" i="5"/>
  <c r="CI20" i="5"/>
  <c r="CI21" i="5"/>
  <c r="CI22" i="5"/>
  <c r="CI23" i="5"/>
  <c r="CI24" i="5"/>
  <c r="CI25" i="5"/>
  <c r="CI26" i="5"/>
  <c r="CI27" i="5"/>
  <c r="CI28" i="5"/>
  <c r="CI29" i="5"/>
  <c r="CI30" i="5"/>
  <c r="CI31" i="5"/>
  <c r="CI32" i="5"/>
  <c r="CI33" i="5"/>
  <c r="CI34" i="5"/>
  <c r="CI35" i="5"/>
  <c r="CI36" i="5"/>
  <c r="CI37" i="5"/>
  <c r="CI38" i="5"/>
  <c r="CI39" i="5"/>
  <c r="CI40" i="5"/>
  <c r="CI41" i="5"/>
  <c r="CI42" i="5"/>
  <c r="CI43" i="5"/>
  <c r="CI44" i="5"/>
  <c r="CI45" i="5"/>
  <c r="CI46" i="5"/>
  <c r="CI47" i="5"/>
  <c r="CI48" i="5"/>
  <c r="CI49" i="5"/>
  <c r="CI50" i="5"/>
  <c r="CI51" i="5"/>
  <c r="CI52" i="5"/>
  <c r="CI53" i="5"/>
  <c r="CI54" i="5"/>
  <c r="CI55" i="5"/>
  <c r="CI56" i="5"/>
  <c r="CI57" i="5"/>
  <c r="CI58" i="5"/>
  <c r="CI59" i="5"/>
  <c r="CI60" i="5"/>
  <c r="CI61" i="5"/>
  <c r="CI62" i="5"/>
  <c r="CI63" i="5"/>
  <c r="CI64" i="5"/>
  <c r="CI65" i="5"/>
  <c r="CI66" i="5"/>
  <c r="CI67" i="5"/>
  <c r="CI68" i="5"/>
  <c r="CI69" i="5"/>
  <c r="CI70" i="5"/>
  <c r="CI71" i="5"/>
  <c r="CI72" i="5"/>
  <c r="CI73" i="5"/>
  <c r="CI74" i="5"/>
  <c r="CI75" i="5"/>
  <c r="CI76" i="5"/>
  <c r="CI77" i="5"/>
  <c r="CJ77" i="5" s="1"/>
  <c r="CI78" i="5"/>
  <c r="CI79" i="5"/>
  <c r="CI80" i="5"/>
  <c r="CI81" i="5"/>
  <c r="CI82" i="5"/>
  <c r="CI83" i="5"/>
  <c r="CI84" i="5"/>
  <c r="CI85" i="5"/>
  <c r="CI86" i="5"/>
  <c r="CI87" i="5"/>
  <c r="CI88" i="5"/>
  <c r="CI89" i="5"/>
  <c r="CI90" i="5"/>
  <c r="CI91" i="5"/>
  <c r="CI92" i="5"/>
  <c r="CI93" i="5"/>
  <c r="CI94" i="5"/>
  <c r="CI95" i="5"/>
  <c r="CI96" i="5"/>
  <c r="CI97" i="5"/>
  <c r="CI98" i="5"/>
  <c r="CI99" i="5"/>
  <c r="CJ99" i="5" s="1"/>
  <c r="CI100" i="5"/>
  <c r="CI101" i="5"/>
  <c r="CI102" i="5"/>
  <c r="CI103" i="5"/>
  <c r="CI104" i="5"/>
  <c r="CI105" i="5"/>
  <c r="CJ105" i="5" s="1"/>
  <c r="CI106" i="5"/>
  <c r="CI107" i="5"/>
  <c r="CI108" i="5"/>
  <c r="CI109" i="5"/>
  <c r="CJ109" i="5" s="1"/>
  <c r="CI110" i="5"/>
  <c r="CI111" i="5"/>
  <c r="CI112" i="5"/>
  <c r="CI113" i="5"/>
  <c r="CI114" i="5"/>
  <c r="CI115" i="5"/>
  <c r="CI116" i="5"/>
  <c r="CI117" i="5"/>
  <c r="CI118" i="5"/>
  <c r="CI119" i="5"/>
  <c r="CI120" i="5"/>
  <c r="CI121" i="5"/>
  <c r="CI122" i="5"/>
  <c r="CI123" i="5"/>
  <c r="CI124" i="5"/>
  <c r="CI125" i="5"/>
  <c r="CI126" i="5"/>
  <c r="CI127" i="5"/>
  <c r="CI128" i="5"/>
  <c r="CI129" i="5"/>
  <c r="CI130" i="5"/>
  <c r="CI131" i="5"/>
  <c r="CJ131" i="5" s="1"/>
  <c r="CI132" i="5"/>
  <c r="CI133" i="5"/>
  <c r="CI134" i="5"/>
  <c r="CI135" i="5"/>
  <c r="CI136" i="5"/>
  <c r="CJ136" i="5" s="1"/>
  <c r="CI137" i="5"/>
  <c r="CI138" i="5"/>
  <c r="CI139" i="5"/>
  <c r="CI140" i="5"/>
  <c r="CJ140" i="5" s="1"/>
  <c r="CI141" i="5"/>
  <c r="CI142" i="5"/>
  <c r="CI143" i="5"/>
  <c r="CI144" i="5"/>
  <c r="CI145" i="5"/>
  <c r="CI146" i="5"/>
  <c r="CI147" i="5"/>
  <c r="CI148" i="5"/>
  <c r="CI149" i="5"/>
  <c r="CI150" i="5"/>
  <c r="CI151" i="5"/>
  <c r="CI152" i="5"/>
  <c r="CI153" i="5"/>
  <c r="CI154" i="5"/>
  <c r="CI155" i="5"/>
  <c r="CI156" i="5"/>
  <c r="CI157" i="5"/>
  <c r="CI158" i="5"/>
  <c r="CI159" i="5"/>
  <c r="CI160" i="5"/>
  <c r="CI161" i="5"/>
  <c r="CI162" i="5"/>
  <c r="CI163" i="5"/>
  <c r="CI164" i="5"/>
  <c r="CI165" i="5"/>
  <c r="CI166" i="5"/>
  <c r="CI167" i="5"/>
  <c r="CI168" i="5"/>
  <c r="CI169" i="5"/>
  <c r="CI170" i="5"/>
  <c r="CI171" i="5"/>
  <c r="CI172" i="5"/>
  <c r="CI173" i="5"/>
  <c r="CI174" i="5"/>
  <c r="CI175" i="5"/>
  <c r="CI176" i="5"/>
  <c r="CI177" i="5"/>
  <c r="CI178" i="5"/>
  <c r="CI179" i="5"/>
  <c r="CI180" i="5"/>
  <c r="CI181" i="5"/>
  <c r="CI182" i="5"/>
  <c r="CI183" i="5"/>
  <c r="CI184" i="5"/>
  <c r="CI185" i="5"/>
  <c r="CI186" i="5"/>
  <c r="CI187" i="5"/>
  <c r="CI188" i="5"/>
  <c r="CI189" i="5"/>
  <c r="CI190" i="5"/>
  <c r="CI191" i="5"/>
  <c r="CI192" i="5"/>
  <c r="CI193" i="5"/>
  <c r="CI194" i="5"/>
  <c r="CI195" i="5"/>
  <c r="CI196" i="5"/>
  <c r="CI197" i="5"/>
  <c r="CI198" i="5"/>
  <c r="CI199" i="5"/>
  <c r="CI200" i="5"/>
  <c r="CI201" i="5"/>
  <c r="CI202" i="5"/>
  <c r="CI203" i="5"/>
  <c r="CI204" i="5"/>
  <c r="CI205" i="5"/>
  <c r="CI206" i="5"/>
  <c r="CI208" i="5"/>
  <c r="CI209" i="5"/>
  <c r="CI210" i="5"/>
  <c r="CI211" i="5"/>
  <c r="CI212" i="5"/>
  <c r="CI213" i="5"/>
  <c r="CI214" i="5"/>
  <c r="CI215" i="5"/>
  <c r="CI216" i="5"/>
  <c r="CI217" i="5"/>
  <c r="CI218" i="5"/>
  <c r="CI219" i="5"/>
  <c r="CI220" i="5"/>
  <c r="CI221" i="5"/>
  <c r="CI222" i="5"/>
  <c r="CI223" i="5"/>
  <c r="CI224" i="5"/>
  <c r="CI225" i="5"/>
  <c r="CI226" i="5"/>
  <c r="CI227" i="5"/>
  <c r="CI228" i="5"/>
  <c r="CI229" i="5"/>
  <c r="CI230" i="5"/>
  <c r="CI232" i="5"/>
  <c r="CI233" i="5"/>
  <c r="CI234" i="5"/>
  <c r="CI235" i="5"/>
  <c r="CI236" i="5"/>
  <c r="CI237" i="5"/>
  <c r="CI238" i="5"/>
  <c r="CI239" i="5"/>
  <c r="CI240" i="5"/>
  <c r="CI241" i="5"/>
  <c r="CI242" i="5"/>
  <c r="CI243" i="5"/>
  <c r="CI244" i="5"/>
  <c r="CI245" i="5"/>
  <c r="CI246" i="5"/>
  <c r="CI247" i="5"/>
  <c r="CI248" i="5"/>
  <c r="BS4" i="5"/>
  <c r="EC4" i="5" s="1"/>
  <c r="BS5" i="5"/>
  <c r="CT5" i="5" s="1"/>
  <c r="BS6" i="5"/>
  <c r="BS7" i="5"/>
  <c r="CT7" i="5" s="1"/>
  <c r="BS8" i="5"/>
  <c r="EC8" i="5" s="1"/>
  <c r="BS10" i="5"/>
  <c r="EC10" i="5" s="1"/>
  <c r="BS11" i="5"/>
  <c r="BS13" i="5"/>
  <c r="EC13" i="5" s="1"/>
  <c r="BR14" i="5"/>
  <c r="BS14" i="5"/>
  <c r="BS15" i="5"/>
  <c r="EC15" i="5" s="1"/>
  <c r="BS16" i="5"/>
  <c r="EC16" i="5" s="1"/>
  <c r="BS18" i="5"/>
  <c r="EC18" i="5" s="1"/>
  <c r="BS19" i="5"/>
  <c r="BS20" i="5"/>
  <c r="EC20" i="5" s="1"/>
  <c r="BR21" i="5"/>
  <c r="BS21" i="5"/>
  <c r="EC21" i="5" s="1"/>
  <c r="BS22" i="5"/>
  <c r="BS23" i="5"/>
  <c r="EC23" i="5" s="1"/>
  <c r="BS24" i="5"/>
  <c r="EC24" i="5" s="1"/>
  <c r="BS25" i="5"/>
  <c r="EC25" i="5" s="1"/>
  <c r="BS26" i="5"/>
  <c r="BS27" i="5"/>
  <c r="BS28" i="5"/>
  <c r="EC28" i="5" s="1"/>
  <c r="BS29" i="5"/>
  <c r="EC29" i="5" s="1"/>
  <c r="BS30" i="5"/>
  <c r="BS31" i="5"/>
  <c r="EC31" i="5" s="1"/>
  <c r="BS32" i="5"/>
  <c r="EC32" i="5" s="1"/>
  <c r="BS33" i="5"/>
  <c r="EC33" i="5" s="1"/>
  <c r="BS34" i="5"/>
  <c r="EC34" i="5" s="1"/>
  <c r="BS35" i="5"/>
  <c r="BS36" i="5"/>
  <c r="EC36" i="5" s="1"/>
  <c r="BS37" i="5"/>
  <c r="EC37" i="5" s="1"/>
  <c r="BS38" i="5"/>
  <c r="BS39" i="5"/>
  <c r="EC39" i="5" s="1"/>
  <c r="BR40" i="5"/>
  <c r="BS40" i="5"/>
  <c r="EC40" i="5" s="1"/>
  <c r="BS41" i="5"/>
  <c r="EC41" i="5" s="1"/>
  <c r="BS42" i="5"/>
  <c r="EC42" i="5" s="1"/>
  <c r="BR43" i="5"/>
  <c r="BS43" i="5"/>
  <c r="BS44" i="5"/>
  <c r="EC44" i="5" s="1"/>
  <c r="BS45" i="5"/>
  <c r="EC45" i="5" s="1"/>
  <c r="BS46" i="5"/>
  <c r="BS47" i="5"/>
  <c r="EC47" i="5" s="1"/>
  <c r="BS48" i="5"/>
  <c r="CT48" i="5" s="1"/>
  <c r="BS49" i="5"/>
  <c r="EC49" i="5" s="1"/>
  <c r="BS50" i="5"/>
  <c r="BS51" i="5"/>
  <c r="BS52" i="5"/>
  <c r="EC52" i="5" s="1"/>
  <c r="BS53" i="5"/>
  <c r="EC53" i="5" s="1"/>
  <c r="BS54" i="5"/>
  <c r="BS55" i="5"/>
  <c r="BS56" i="5"/>
  <c r="EC56" i="5" s="1"/>
  <c r="BS57" i="5"/>
  <c r="EC57" i="5" s="1"/>
  <c r="BS58" i="5"/>
  <c r="BS59" i="5"/>
  <c r="BR61" i="5"/>
  <c r="BS61" i="5"/>
  <c r="EC61" i="5" s="1"/>
  <c r="BS62" i="5"/>
  <c r="BS63" i="5"/>
  <c r="EC63" i="5" s="1"/>
  <c r="BS64" i="5"/>
  <c r="EC64" i="5" s="1"/>
  <c r="BS65" i="5"/>
  <c r="EC65" i="5" s="1"/>
  <c r="BS66" i="5"/>
  <c r="EC66" i="5" s="1"/>
  <c r="BS67" i="5"/>
  <c r="BS68" i="5"/>
  <c r="EC68" i="5" s="1"/>
  <c r="BS69" i="5"/>
  <c r="EC69" i="5" s="1"/>
  <c r="BS70" i="5"/>
  <c r="BS71" i="5"/>
  <c r="EC71" i="5" s="1"/>
  <c r="BS72" i="5"/>
  <c r="EC72" i="5" s="1"/>
  <c r="BR73" i="5"/>
  <c r="BS73" i="5"/>
  <c r="EC73" i="5" s="1"/>
  <c r="BS74" i="5"/>
  <c r="EC74" i="5" s="1"/>
  <c r="BS75" i="5"/>
  <c r="BS76" i="5"/>
  <c r="EC76" i="5" s="1"/>
  <c r="BS77" i="5"/>
  <c r="CT77" i="5" s="1"/>
  <c r="BS78" i="5"/>
  <c r="BS79" i="5"/>
  <c r="EC79" i="5" s="1"/>
  <c r="BS80" i="5"/>
  <c r="EC80" i="5" s="1"/>
  <c r="BS81" i="5"/>
  <c r="EC81" i="5" s="1"/>
  <c r="BS82" i="5"/>
  <c r="BS83" i="5"/>
  <c r="BS84" i="5"/>
  <c r="EC84" i="5" s="1"/>
  <c r="BS85" i="5"/>
  <c r="EC85" i="5" s="1"/>
  <c r="BS86" i="5"/>
  <c r="BS87" i="5"/>
  <c r="BS89" i="5"/>
  <c r="EC89" i="5" s="1"/>
  <c r="BS92" i="5"/>
  <c r="EC92" i="5" s="1"/>
  <c r="BS93" i="5"/>
  <c r="CT93" i="5" s="1"/>
  <c r="BS95" i="5"/>
  <c r="EC95" i="5" s="1"/>
  <c r="BS97" i="5"/>
  <c r="EC97" i="5" s="1"/>
  <c r="BS98" i="5"/>
  <c r="CT98" i="5" s="1"/>
  <c r="BS100" i="5"/>
  <c r="EC100" i="5" s="1"/>
  <c r="BS102" i="5"/>
  <c r="BS103" i="5"/>
  <c r="BR104" i="5"/>
  <c r="BS104" i="5"/>
  <c r="EC104" i="5" s="1"/>
  <c r="BS105" i="5"/>
  <c r="EC105" i="5" s="1"/>
  <c r="BS106" i="5"/>
  <c r="EC106" i="5" s="1"/>
  <c r="BS107" i="5"/>
  <c r="BS109" i="5"/>
  <c r="EC109" i="5" s="1"/>
  <c r="BS110" i="5"/>
  <c r="BR111" i="5"/>
  <c r="BS111" i="5"/>
  <c r="EC111" i="5" s="1"/>
  <c r="BS112" i="5"/>
  <c r="EC112" i="5" s="1"/>
  <c r="BS113" i="5"/>
  <c r="BS114" i="5"/>
  <c r="EC114" i="5" s="1"/>
  <c r="BS115" i="5"/>
  <c r="BS116" i="5"/>
  <c r="BR117" i="5"/>
  <c r="BS117" i="5"/>
  <c r="BR118" i="5"/>
  <c r="BS118" i="5"/>
  <c r="BR119" i="5"/>
  <c r="BS119" i="5"/>
  <c r="EC119" i="5" s="1"/>
  <c r="BS120" i="5"/>
  <c r="BR122" i="5"/>
  <c r="BS122" i="5"/>
  <c r="EC122" i="5" s="1"/>
  <c r="BR123" i="5"/>
  <c r="BS123" i="5"/>
  <c r="BS125" i="5"/>
  <c r="BS126" i="5"/>
  <c r="EC126" i="5" s="1"/>
  <c r="BS127" i="5"/>
  <c r="BS128" i="5"/>
  <c r="BS132" i="5"/>
  <c r="BS134" i="5"/>
  <c r="EC134" i="5" s="1"/>
  <c r="BS135" i="5"/>
  <c r="BS136" i="5"/>
  <c r="EC136" i="5" s="1"/>
  <c r="BS137" i="5"/>
  <c r="BS138" i="5"/>
  <c r="EC138" i="5" s="1"/>
  <c r="BS140" i="5"/>
  <c r="BR141" i="5"/>
  <c r="BU141" i="5" s="1"/>
  <c r="EZ141" i="5" s="1"/>
  <c r="BS141" i="5"/>
  <c r="BS142" i="5"/>
  <c r="BS145" i="5"/>
  <c r="EC145" i="5" s="1"/>
  <c r="BR147" i="5"/>
  <c r="BS147" i="5"/>
  <c r="BS148" i="5"/>
  <c r="EC148" i="5" s="1"/>
  <c r="BS150" i="5"/>
  <c r="BR151" i="5"/>
  <c r="BS151" i="5"/>
  <c r="EC151" i="5" s="1"/>
  <c r="BS152" i="5"/>
  <c r="BS153" i="5"/>
  <c r="BS154" i="5"/>
  <c r="BS157" i="5"/>
  <c r="BS158" i="5"/>
  <c r="EC158" i="5" s="1"/>
  <c r="BS159" i="5"/>
  <c r="BR161" i="5"/>
  <c r="BS161" i="5"/>
  <c r="EC161" i="5" s="1"/>
  <c r="BS162" i="5"/>
  <c r="BR163" i="5"/>
  <c r="BS163" i="5"/>
  <c r="BR166" i="5"/>
  <c r="BS166" i="5"/>
  <c r="BR167" i="5"/>
  <c r="BS167" i="5"/>
  <c r="EC167" i="5" s="1"/>
  <c r="BS171" i="5"/>
  <c r="EC171" i="5" s="1"/>
  <c r="BS174" i="5"/>
  <c r="BS175" i="5"/>
  <c r="BS176" i="5"/>
  <c r="EC176" i="5" s="1"/>
  <c r="BR178" i="5"/>
  <c r="BS178" i="5"/>
  <c r="BS179" i="5"/>
  <c r="EC179" i="5" s="1"/>
  <c r="BS180" i="5"/>
  <c r="BS181" i="5"/>
  <c r="BR182" i="5"/>
  <c r="BS182" i="5"/>
  <c r="EC182" i="5" s="1"/>
  <c r="BR183" i="5"/>
  <c r="BS183" i="5"/>
  <c r="CT183" i="5" s="1"/>
  <c r="BR184" i="5"/>
  <c r="BS184" i="5"/>
  <c r="EC184" i="5" s="1"/>
  <c r="BR186" i="5"/>
  <c r="BS186" i="5"/>
  <c r="BR187" i="5"/>
  <c r="BS187" i="5"/>
  <c r="EC187" i="5" s="1"/>
  <c r="BS188" i="5"/>
  <c r="BS189" i="5"/>
  <c r="BS190" i="5"/>
  <c r="BR191" i="5"/>
  <c r="BS191" i="5"/>
  <c r="BR192" i="5"/>
  <c r="BS192" i="5"/>
  <c r="BR194" i="5"/>
  <c r="BS194" i="5"/>
  <c r="CT194" i="5" s="1"/>
  <c r="BR195" i="5"/>
  <c r="BS195" i="5"/>
  <c r="EC195" i="5" s="1"/>
  <c r="BR196" i="5"/>
  <c r="BS196" i="5" s="1"/>
  <c r="EC196" i="5" s="1"/>
  <c r="BR197" i="5"/>
  <c r="BS197" i="5"/>
  <c r="EC197" i="5" s="1"/>
  <c r="BR198" i="5"/>
  <c r="BS198" i="5"/>
  <c r="EC198" i="5" s="1"/>
  <c r="BR199" i="5"/>
  <c r="BS199" i="5" s="1"/>
  <c r="CT199" i="5" s="1"/>
  <c r="BR200" i="5"/>
  <c r="BS200" i="5" s="1"/>
  <c r="EC200" i="5" s="1"/>
  <c r="BR201" i="5"/>
  <c r="BS201" i="5"/>
  <c r="CT201" i="5" s="1"/>
  <c r="BR202" i="5"/>
  <c r="BS202" i="5"/>
  <c r="EC202" i="5" s="1"/>
  <c r="BS204" i="5"/>
  <c r="EC204" i="5" s="1"/>
  <c r="BS206" i="5"/>
  <c r="CT206" i="5" s="1"/>
  <c r="BS208" i="5"/>
  <c r="EC208" i="5" s="1"/>
  <c r="BS212" i="5"/>
  <c r="EC212" i="5" s="1"/>
  <c r="BR214" i="5"/>
  <c r="BS214" i="5"/>
  <c r="EC214" i="5" s="1"/>
  <c r="BR215" i="5"/>
  <c r="BS215" i="5"/>
  <c r="EC215" i="5" s="1"/>
  <c r="BR216" i="5"/>
  <c r="BS216" i="5"/>
  <c r="CT216" i="5" s="1"/>
  <c r="BR217" i="5"/>
  <c r="BS217" i="5"/>
  <c r="EC217" i="5" s="1"/>
  <c r="BR218" i="5"/>
  <c r="BS218" i="5"/>
  <c r="CT218" i="5" s="1"/>
  <c r="BS219" i="5"/>
  <c r="CT219" i="5" s="1"/>
  <c r="BR220" i="5"/>
  <c r="BS220" i="5"/>
  <c r="CT220" i="5" s="1"/>
  <c r="BR221" i="5"/>
  <c r="BS221" i="5"/>
  <c r="CT221" i="5" s="1"/>
  <c r="BS222" i="5"/>
  <c r="CT222" i="5" s="1"/>
  <c r="BS223" i="5"/>
  <c r="CT223" i="5" s="1"/>
  <c r="BS224" i="5"/>
  <c r="EC224" i="5" s="1"/>
  <c r="BS225" i="5"/>
  <c r="CT225" i="5" s="1"/>
  <c r="BS226" i="5"/>
  <c r="EC226" i="5" s="1"/>
  <c r="BS227" i="5"/>
  <c r="EC227" i="5" s="1"/>
  <c r="BS228" i="5"/>
  <c r="EC228" i="5" s="1"/>
  <c r="BS229" i="5"/>
  <c r="CT229" i="5" s="1"/>
  <c r="BS230" i="5"/>
  <c r="CT230" i="5" s="1"/>
  <c r="BS231" i="5"/>
  <c r="CT231" i="5" s="1"/>
  <c r="BS234" i="5"/>
  <c r="EC234" i="5" s="1"/>
  <c r="BR235" i="5"/>
  <c r="BS235" i="5"/>
  <c r="EC235" i="5" s="1"/>
  <c r="BR236" i="5"/>
  <c r="BS236" i="5"/>
  <c r="EC236" i="5" s="1"/>
  <c r="BR237" i="5"/>
  <c r="BS237" i="5"/>
  <c r="CT237" i="5" s="1"/>
  <c r="BR238" i="5"/>
  <c r="BS238" i="5"/>
  <c r="CT238" i="5" s="1"/>
  <c r="BR239" i="5"/>
  <c r="BS239" i="5"/>
  <c r="CT239" i="5" s="1"/>
  <c r="BR240" i="5"/>
  <c r="BS240" i="5"/>
  <c r="CT240" i="5" s="1"/>
  <c r="BR241" i="5"/>
  <c r="BS241" i="5"/>
  <c r="CT241" i="5" s="1"/>
  <c r="BS242" i="5"/>
  <c r="EC242" i="5" s="1"/>
  <c r="BR243" i="5"/>
  <c r="BS243" i="5"/>
  <c r="EC243" i="5" s="1"/>
  <c r="BR244" i="5"/>
  <c r="BS244" i="5"/>
  <c r="EC244" i="5" s="1"/>
  <c r="BR245" i="5"/>
  <c r="BS245" i="5"/>
  <c r="CT245" i="5" s="1"/>
  <c r="BR246" i="5"/>
  <c r="BS246" i="5"/>
  <c r="CT246" i="5" s="1"/>
  <c r="BR247" i="5"/>
  <c r="BS247" i="5"/>
  <c r="BR248" i="5"/>
  <c r="BS248" i="5"/>
  <c r="CT248" i="5" s="1"/>
  <c r="AK72" i="5"/>
  <c r="AK184" i="5"/>
  <c r="AK186" i="5"/>
  <c r="AK194" i="5"/>
  <c r="AK195" i="5"/>
  <c r="AK196"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P53" i="5"/>
  <c r="P54" i="5"/>
  <c r="P55" i="5"/>
  <c r="P56" i="5"/>
  <c r="P57" i="5"/>
  <c r="P58" i="5"/>
  <c r="P59" i="5"/>
  <c r="P60" i="5"/>
  <c r="P61" i="5"/>
  <c r="P62" i="5"/>
  <c r="P63" i="5"/>
  <c r="P64" i="5"/>
  <c r="P65" i="5"/>
  <c r="P66" i="5"/>
  <c r="P67" i="5"/>
  <c r="P68" i="5"/>
  <c r="P69" i="5"/>
  <c r="P70" i="5"/>
  <c r="P71" i="5"/>
  <c r="P72" i="5"/>
  <c r="P73" i="5"/>
  <c r="P74" i="5"/>
  <c r="P75" i="5"/>
  <c r="P76" i="5"/>
  <c r="P77" i="5"/>
  <c r="P78" i="5"/>
  <c r="P79" i="5"/>
  <c r="P80" i="5"/>
  <c r="P81" i="5"/>
  <c r="P82" i="5"/>
  <c r="P83" i="5"/>
  <c r="P84" i="5"/>
  <c r="P85" i="5"/>
  <c r="P86" i="5"/>
  <c r="P87" i="5"/>
  <c r="P88" i="5"/>
  <c r="P89" i="5"/>
  <c r="P90" i="5"/>
  <c r="P91" i="5"/>
  <c r="P92" i="5"/>
  <c r="P93" i="5"/>
  <c r="P94" i="5"/>
  <c r="P95" i="5"/>
  <c r="P96" i="5"/>
  <c r="P97" i="5"/>
  <c r="P98" i="5"/>
  <c r="P99" i="5"/>
  <c r="P100" i="5"/>
  <c r="P101" i="5"/>
  <c r="P102" i="5"/>
  <c r="P103" i="5"/>
  <c r="P104" i="5"/>
  <c r="P105" i="5"/>
  <c r="P106" i="5"/>
  <c r="P107" i="5"/>
  <c r="P108" i="5"/>
  <c r="P109" i="5"/>
  <c r="P110" i="5"/>
  <c r="P111" i="5"/>
  <c r="P112" i="5"/>
  <c r="P113" i="5"/>
  <c r="P114" i="5"/>
  <c r="P115" i="5"/>
  <c r="P116" i="5"/>
  <c r="P117" i="5"/>
  <c r="P118" i="5"/>
  <c r="P119" i="5"/>
  <c r="P120" i="5"/>
  <c r="P121" i="5"/>
  <c r="P122" i="5"/>
  <c r="P123" i="5"/>
  <c r="P124" i="5"/>
  <c r="P125" i="5"/>
  <c r="P126" i="5"/>
  <c r="P127" i="5"/>
  <c r="P128" i="5"/>
  <c r="P129" i="5"/>
  <c r="P130" i="5"/>
  <c r="P131" i="5"/>
  <c r="P132" i="5"/>
  <c r="P133" i="5"/>
  <c r="P134" i="5"/>
  <c r="P135" i="5"/>
  <c r="P136" i="5"/>
  <c r="P137" i="5"/>
  <c r="P138" i="5"/>
  <c r="P139" i="5"/>
  <c r="P140" i="5"/>
  <c r="P141" i="5"/>
  <c r="P142" i="5"/>
  <c r="P143" i="5"/>
  <c r="P144" i="5"/>
  <c r="P145" i="5"/>
  <c r="P146" i="5"/>
  <c r="P147" i="5"/>
  <c r="P148" i="5"/>
  <c r="P149" i="5"/>
  <c r="P150" i="5"/>
  <c r="P151" i="5"/>
  <c r="P152" i="5"/>
  <c r="P153" i="5"/>
  <c r="P154" i="5"/>
  <c r="P155" i="5"/>
  <c r="P156" i="5"/>
  <c r="P157" i="5"/>
  <c r="P158" i="5"/>
  <c r="P159" i="5"/>
  <c r="P160" i="5"/>
  <c r="P161" i="5"/>
  <c r="P162" i="5"/>
  <c r="P163" i="5"/>
  <c r="P164" i="5"/>
  <c r="P165" i="5"/>
  <c r="P166" i="5"/>
  <c r="P167" i="5"/>
  <c r="P168" i="5"/>
  <c r="P169" i="5"/>
  <c r="P170" i="5"/>
  <c r="P171" i="5"/>
  <c r="P172" i="5"/>
  <c r="P173" i="5"/>
  <c r="P174" i="5"/>
  <c r="P175" i="5"/>
  <c r="P176" i="5"/>
  <c r="P177" i="5"/>
  <c r="P178" i="5"/>
  <c r="P179" i="5"/>
  <c r="P180" i="5"/>
  <c r="P181" i="5"/>
  <c r="P182" i="5"/>
  <c r="P183" i="5"/>
  <c r="P184" i="5"/>
  <c r="P185" i="5"/>
  <c r="P186" i="5"/>
  <c r="P187" i="5"/>
  <c r="P188" i="5"/>
  <c r="P189" i="5"/>
  <c r="P190" i="5"/>
  <c r="P191" i="5"/>
  <c r="P192" i="5"/>
  <c r="P193" i="5"/>
  <c r="P194" i="5"/>
  <c r="P195" i="5"/>
  <c r="P196" i="5"/>
  <c r="P197" i="5"/>
  <c r="P198" i="5"/>
  <c r="P200" i="5"/>
  <c r="P201" i="5"/>
  <c r="P202" i="5"/>
  <c r="P203" i="5"/>
  <c r="P204" i="5"/>
  <c r="P205" i="5"/>
  <c r="P206" i="5"/>
  <c r="P208" i="5"/>
  <c r="P209" i="5"/>
  <c r="P210" i="5"/>
  <c r="P211" i="5"/>
  <c r="P213" i="5"/>
  <c r="P214" i="5"/>
  <c r="P215" i="5"/>
  <c r="P216" i="5"/>
  <c r="P217" i="5"/>
  <c r="P218" i="5"/>
  <c r="P219" i="5"/>
  <c r="P220" i="5"/>
  <c r="P221" i="5"/>
  <c r="P222" i="5"/>
  <c r="P223" i="5"/>
  <c r="P224" i="5"/>
  <c r="P225" i="5"/>
  <c r="P226" i="5"/>
  <c r="P227" i="5"/>
  <c r="P228" i="5"/>
  <c r="P229" i="5"/>
  <c r="P230" i="5"/>
  <c r="P231" i="5"/>
  <c r="P232" i="5"/>
  <c r="P233" i="5"/>
  <c r="P234" i="5"/>
  <c r="P235" i="5"/>
  <c r="P236" i="5"/>
  <c r="P237" i="5"/>
  <c r="P238" i="5"/>
  <c r="P239" i="5"/>
  <c r="P240" i="5"/>
  <c r="P241" i="5"/>
  <c r="P242" i="5"/>
  <c r="P243" i="5"/>
  <c r="P244" i="5"/>
  <c r="P245" i="5"/>
  <c r="P247" i="5"/>
  <c r="P248" i="5"/>
  <c r="N4" i="5"/>
  <c r="N5" i="5"/>
  <c r="N6" i="5"/>
  <c r="N7" i="5"/>
  <c r="N8" i="5"/>
  <c r="N9" i="5"/>
  <c r="N10" i="5"/>
  <c r="N11" i="5"/>
  <c r="N12" i="5"/>
  <c r="N13" i="5"/>
  <c r="N14" i="5"/>
  <c r="N15" i="5"/>
  <c r="N16" i="5"/>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N45" i="5"/>
  <c r="N46" i="5"/>
  <c r="N47" i="5"/>
  <c r="N48" i="5"/>
  <c r="N49" i="5"/>
  <c r="N50" i="5"/>
  <c r="N51" i="5"/>
  <c r="N52" i="5"/>
  <c r="N53" i="5"/>
  <c r="N54" i="5"/>
  <c r="N55" i="5"/>
  <c r="N56" i="5"/>
  <c r="N57" i="5"/>
  <c r="N58" i="5"/>
  <c r="N59" i="5"/>
  <c r="N60" i="5"/>
  <c r="N61" i="5"/>
  <c r="N62" i="5"/>
  <c r="N63" i="5"/>
  <c r="N64" i="5"/>
  <c r="N65" i="5"/>
  <c r="N66" i="5"/>
  <c r="N67" i="5"/>
  <c r="N68" i="5"/>
  <c r="N69" i="5"/>
  <c r="N70" i="5"/>
  <c r="N71" i="5"/>
  <c r="N72" i="5"/>
  <c r="N73" i="5"/>
  <c r="N74" i="5"/>
  <c r="N75" i="5"/>
  <c r="N76" i="5"/>
  <c r="N77" i="5"/>
  <c r="N78" i="5"/>
  <c r="N79" i="5"/>
  <c r="N80" i="5"/>
  <c r="N81" i="5"/>
  <c r="N82" i="5"/>
  <c r="N83" i="5"/>
  <c r="N84" i="5"/>
  <c r="N85" i="5"/>
  <c r="N86" i="5"/>
  <c r="N87" i="5"/>
  <c r="N88" i="5"/>
  <c r="N89" i="5"/>
  <c r="N90" i="5"/>
  <c r="N91" i="5"/>
  <c r="N92" i="5"/>
  <c r="N93" i="5"/>
  <c r="N94" i="5"/>
  <c r="N95" i="5"/>
  <c r="N96" i="5"/>
  <c r="N97" i="5"/>
  <c r="N98" i="5"/>
  <c r="N99" i="5"/>
  <c r="N100" i="5"/>
  <c r="N101" i="5"/>
  <c r="N102" i="5"/>
  <c r="N103" i="5"/>
  <c r="N104" i="5"/>
  <c r="N105" i="5"/>
  <c r="N106" i="5"/>
  <c r="N107" i="5"/>
  <c r="N108" i="5"/>
  <c r="N109" i="5"/>
  <c r="N110" i="5"/>
  <c r="N111" i="5"/>
  <c r="N112" i="5"/>
  <c r="N113" i="5"/>
  <c r="N114" i="5"/>
  <c r="N115" i="5"/>
  <c r="N116" i="5"/>
  <c r="N117" i="5"/>
  <c r="N118" i="5"/>
  <c r="N119" i="5"/>
  <c r="N120" i="5"/>
  <c r="N121" i="5"/>
  <c r="N122" i="5"/>
  <c r="N123" i="5"/>
  <c r="N124" i="5"/>
  <c r="N125" i="5"/>
  <c r="N126" i="5"/>
  <c r="N127" i="5"/>
  <c r="N128" i="5"/>
  <c r="N129" i="5"/>
  <c r="N130" i="5"/>
  <c r="N131" i="5"/>
  <c r="N132" i="5"/>
  <c r="N133" i="5"/>
  <c r="N134" i="5"/>
  <c r="N135" i="5"/>
  <c r="N136" i="5"/>
  <c r="N137" i="5"/>
  <c r="N138" i="5"/>
  <c r="N139" i="5"/>
  <c r="N140" i="5"/>
  <c r="N141" i="5"/>
  <c r="N142" i="5"/>
  <c r="N143" i="5"/>
  <c r="N144" i="5"/>
  <c r="N145" i="5"/>
  <c r="N146" i="5"/>
  <c r="N147" i="5"/>
  <c r="N148" i="5"/>
  <c r="N149" i="5"/>
  <c r="N150" i="5"/>
  <c r="N151" i="5"/>
  <c r="N152" i="5"/>
  <c r="N153" i="5"/>
  <c r="N154" i="5"/>
  <c r="N155" i="5"/>
  <c r="N156" i="5"/>
  <c r="N157" i="5"/>
  <c r="N158" i="5"/>
  <c r="N159" i="5"/>
  <c r="N160" i="5"/>
  <c r="N161" i="5"/>
  <c r="N162" i="5"/>
  <c r="N163" i="5"/>
  <c r="N164" i="5"/>
  <c r="N165" i="5"/>
  <c r="N166" i="5"/>
  <c r="N167" i="5"/>
  <c r="N168" i="5"/>
  <c r="N169" i="5"/>
  <c r="N170" i="5"/>
  <c r="N171" i="5"/>
  <c r="N172" i="5"/>
  <c r="N173" i="5"/>
  <c r="N174" i="5"/>
  <c r="N175" i="5"/>
  <c r="N176" i="5"/>
  <c r="N177" i="5"/>
  <c r="N178" i="5"/>
  <c r="N179" i="5"/>
  <c r="N180" i="5"/>
  <c r="N181" i="5"/>
  <c r="N182" i="5"/>
  <c r="N183" i="5"/>
  <c r="N184" i="5"/>
  <c r="N185" i="5"/>
  <c r="N186" i="5"/>
  <c r="N187" i="5"/>
  <c r="N188" i="5"/>
  <c r="N189" i="5"/>
  <c r="N190" i="5"/>
  <c r="N191" i="5"/>
  <c r="N192" i="5"/>
  <c r="N193" i="5"/>
  <c r="N194" i="5"/>
  <c r="N196" i="5"/>
  <c r="N197" i="5"/>
  <c r="N198" i="5"/>
  <c r="N199" i="5"/>
  <c r="N200" i="5"/>
  <c r="N201" i="5"/>
  <c r="N202" i="5"/>
  <c r="N203" i="5"/>
  <c r="N204" i="5"/>
  <c r="N205" i="5"/>
  <c r="N206" i="5"/>
  <c r="N207" i="5"/>
  <c r="N208" i="5"/>
  <c r="N209" i="5"/>
  <c r="N210" i="5"/>
  <c r="N211" i="5"/>
  <c r="N212" i="5"/>
  <c r="N213" i="5"/>
  <c r="N214" i="5"/>
  <c r="N215" i="5"/>
  <c r="N216" i="5"/>
  <c r="N217" i="5"/>
  <c r="N218" i="5"/>
  <c r="N219" i="5"/>
  <c r="N220" i="5"/>
  <c r="N221" i="5"/>
  <c r="N222" i="5"/>
  <c r="N223" i="5"/>
  <c r="N224" i="5"/>
  <c r="N225" i="5"/>
  <c r="N226" i="5"/>
  <c r="N227" i="5"/>
  <c r="N228" i="5"/>
  <c r="N229" i="5"/>
  <c r="N230" i="5"/>
  <c r="N231" i="5"/>
  <c r="N232" i="5"/>
  <c r="N233" i="5"/>
  <c r="N234" i="5"/>
  <c r="N235" i="5"/>
  <c r="N236" i="5"/>
  <c r="N237" i="5"/>
  <c r="N238" i="5"/>
  <c r="N239" i="5"/>
  <c r="N240" i="5"/>
  <c r="N241" i="5"/>
  <c r="N242" i="5"/>
  <c r="N244" i="5"/>
  <c r="N245" i="5"/>
  <c r="N246" i="5"/>
  <c r="N247" i="5"/>
  <c r="N248" i="5"/>
  <c r="JZ4" i="5"/>
  <c r="JZ5" i="5"/>
  <c r="JZ6" i="5"/>
  <c r="JZ7" i="5"/>
  <c r="JZ8" i="5"/>
  <c r="JZ9" i="5"/>
  <c r="JZ10" i="5"/>
  <c r="JZ11" i="5"/>
  <c r="JZ12" i="5"/>
  <c r="JZ13" i="5"/>
  <c r="JZ14" i="5"/>
  <c r="JZ15" i="5"/>
  <c r="JZ16" i="5"/>
  <c r="JZ17" i="5"/>
  <c r="JZ18" i="5"/>
  <c r="JZ19" i="5"/>
  <c r="JZ20" i="5"/>
  <c r="JZ21" i="5"/>
  <c r="JZ22" i="5"/>
  <c r="JZ23" i="5"/>
  <c r="JZ24" i="5"/>
  <c r="JZ25" i="5"/>
  <c r="JZ26" i="5"/>
  <c r="JZ27" i="5"/>
  <c r="JZ28" i="5"/>
  <c r="JZ29" i="5"/>
  <c r="JZ30" i="5"/>
  <c r="JZ31" i="5"/>
  <c r="JZ32" i="5"/>
  <c r="JZ33" i="5"/>
  <c r="JZ34" i="5"/>
  <c r="JZ35" i="5"/>
  <c r="JZ36" i="5"/>
  <c r="JZ37" i="5"/>
  <c r="JZ38" i="5"/>
  <c r="JZ39" i="5"/>
  <c r="JZ40" i="5"/>
  <c r="JZ41" i="5"/>
  <c r="JZ42" i="5"/>
  <c r="JZ43" i="5"/>
  <c r="JZ44" i="5"/>
  <c r="JZ45" i="5"/>
  <c r="JZ46" i="5"/>
  <c r="JZ47" i="5"/>
  <c r="JZ48" i="5"/>
  <c r="JZ49" i="5"/>
  <c r="JZ50" i="5"/>
  <c r="JZ51" i="5"/>
  <c r="JZ52" i="5"/>
  <c r="JZ53" i="5"/>
  <c r="JZ54" i="5"/>
  <c r="JZ55" i="5"/>
  <c r="JZ56" i="5"/>
  <c r="JZ57" i="5"/>
  <c r="JZ58" i="5"/>
  <c r="JZ59" i="5"/>
  <c r="JZ60" i="5"/>
  <c r="JZ61" i="5"/>
  <c r="JZ62" i="5"/>
  <c r="JZ63" i="5"/>
  <c r="JZ64" i="5"/>
  <c r="JZ65" i="5"/>
  <c r="JZ66" i="5"/>
  <c r="JZ67" i="5"/>
  <c r="JZ68" i="5"/>
  <c r="JZ69" i="5"/>
  <c r="JZ70" i="5"/>
  <c r="JZ71" i="5"/>
  <c r="JZ72" i="5"/>
  <c r="JZ73" i="5"/>
  <c r="JZ74" i="5"/>
  <c r="JZ75" i="5"/>
  <c r="JZ76" i="5"/>
  <c r="JZ77" i="5"/>
  <c r="JZ78" i="5"/>
  <c r="JZ79" i="5"/>
  <c r="JZ80" i="5"/>
  <c r="JZ81" i="5"/>
  <c r="JZ82" i="5"/>
  <c r="JZ83" i="5"/>
  <c r="JZ84" i="5"/>
  <c r="JZ85" i="5"/>
  <c r="JZ86" i="5"/>
  <c r="JZ87" i="5"/>
  <c r="JZ88" i="5"/>
  <c r="JZ89" i="5"/>
  <c r="JZ90" i="5"/>
  <c r="JZ91" i="5"/>
  <c r="JZ92" i="5"/>
  <c r="JZ93" i="5"/>
  <c r="JZ94" i="5"/>
  <c r="JZ95" i="5"/>
  <c r="JZ96" i="5"/>
  <c r="JZ97" i="5"/>
  <c r="JZ98" i="5"/>
  <c r="JZ99" i="5"/>
  <c r="JZ100" i="5"/>
  <c r="JZ101" i="5"/>
  <c r="JZ102" i="5"/>
  <c r="JZ103" i="5"/>
  <c r="JZ104" i="5"/>
  <c r="JZ105" i="5"/>
  <c r="JZ106" i="5"/>
  <c r="JZ107" i="5"/>
  <c r="JZ108" i="5"/>
  <c r="JZ109" i="5"/>
  <c r="JZ110" i="5"/>
  <c r="JZ111" i="5"/>
  <c r="JZ112" i="5"/>
  <c r="JZ113" i="5"/>
  <c r="JZ114" i="5"/>
  <c r="JZ115" i="5"/>
  <c r="JZ116" i="5"/>
  <c r="JZ117" i="5"/>
  <c r="JZ118" i="5"/>
  <c r="JZ119" i="5"/>
  <c r="JZ120" i="5"/>
  <c r="JZ121" i="5"/>
  <c r="JZ122" i="5"/>
  <c r="JZ123" i="5"/>
  <c r="JZ124" i="5"/>
  <c r="JZ125" i="5"/>
  <c r="JZ126" i="5"/>
  <c r="JZ127" i="5"/>
  <c r="JZ128" i="5"/>
  <c r="JZ129" i="5"/>
  <c r="JZ130" i="5"/>
  <c r="JZ131" i="5"/>
  <c r="JZ132" i="5"/>
  <c r="JZ133" i="5"/>
  <c r="JZ134" i="5"/>
  <c r="JZ135" i="5"/>
  <c r="JZ136" i="5"/>
  <c r="JZ137" i="5"/>
  <c r="JZ138" i="5"/>
  <c r="JZ139" i="5"/>
  <c r="JZ140" i="5"/>
  <c r="JZ141" i="5"/>
  <c r="JZ142" i="5"/>
  <c r="JZ143" i="5"/>
  <c r="JZ144" i="5"/>
  <c r="JZ145" i="5"/>
  <c r="JZ146" i="5"/>
  <c r="JZ147" i="5"/>
  <c r="JZ148" i="5"/>
  <c r="JZ149" i="5"/>
  <c r="JZ150" i="5"/>
  <c r="JZ151" i="5"/>
  <c r="JZ152" i="5"/>
  <c r="JZ153" i="5"/>
  <c r="JZ154" i="5"/>
  <c r="JZ155" i="5"/>
  <c r="JZ156" i="5"/>
  <c r="JZ157" i="5"/>
  <c r="JZ158" i="5"/>
  <c r="JZ159" i="5"/>
  <c r="JZ160" i="5"/>
  <c r="JZ161" i="5"/>
  <c r="JZ162" i="5"/>
  <c r="JZ163" i="5"/>
  <c r="JZ164" i="5"/>
  <c r="JZ165" i="5"/>
  <c r="JZ166" i="5"/>
  <c r="JZ167" i="5"/>
  <c r="JZ168" i="5"/>
  <c r="JZ169" i="5"/>
  <c r="JZ170" i="5"/>
  <c r="JZ171" i="5"/>
  <c r="JZ172" i="5"/>
  <c r="JZ173" i="5"/>
  <c r="JZ174" i="5"/>
  <c r="JZ175" i="5"/>
  <c r="JZ176" i="5"/>
  <c r="JZ177" i="5"/>
  <c r="JZ178" i="5"/>
  <c r="JZ179" i="5"/>
  <c r="JZ180" i="5"/>
  <c r="JZ181" i="5"/>
  <c r="JZ182" i="5"/>
  <c r="JZ183" i="5"/>
  <c r="JZ184" i="5"/>
  <c r="JZ185" i="5"/>
  <c r="JZ186" i="5"/>
  <c r="JZ187" i="5"/>
  <c r="JZ188" i="5"/>
  <c r="JZ189" i="5"/>
  <c r="JZ190" i="5"/>
  <c r="JZ191" i="5"/>
  <c r="JZ192" i="5"/>
  <c r="JZ193" i="5"/>
  <c r="JZ202" i="5"/>
  <c r="JZ203" i="5"/>
  <c r="JZ204" i="5"/>
  <c r="JZ205" i="5"/>
  <c r="JZ206" i="5"/>
  <c r="JZ207" i="5"/>
  <c r="JZ208" i="5"/>
  <c r="JZ209" i="5"/>
  <c r="JZ210" i="5"/>
  <c r="JZ211" i="5"/>
  <c r="JZ212" i="5"/>
  <c r="JZ213" i="5"/>
  <c r="JZ214" i="5"/>
  <c r="JZ215" i="5"/>
  <c r="JZ216" i="5"/>
  <c r="JZ217" i="5"/>
  <c r="JZ218" i="5"/>
  <c r="JZ219" i="5"/>
  <c r="JZ220" i="5"/>
  <c r="JZ221" i="5"/>
  <c r="JZ222" i="5"/>
  <c r="JZ223" i="5"/>
  <c r="JZ224" i="5"/>
  <c r="JZ225" i="5"/>
  <c r="JZ226" i="5"/>
  <c r="JZ227" i="5"/>
  <c r="JZ228" i="5"/>
  <c r="JZ229" i="5"/>
  <c r="JZ230" i="5"/>
  <c r="JZ231" i="5"/>
  <c r="JZ232" i="5"/>
  <c r="JZ233" i="5"/>
  <c r="JZ234" i="5"/>
  <c r="JZ235" i="5"/>
  <c r="JZ236" i="5"/>
  <c r="JZ237" i="5"/>
  <c r="JZ238" i="5"/>
  <c r="JZ239" i="5"/>
  <c r="JZ240" i="5"/>
  <c r="JZ241" i="5"/>
  <c r="JZ242" i="5"/>
  <c r="JZ243" i="5"/>
  <c r="JZ244" i="5"/>
  <c r="JZ245" i="5"/>
  <c r="JZ246" i="5"/>
  <c r="JZ247" i="5"/>
  <c r="JZ248" i="5"/>
  <c r="JX4" i="5"/>
  <c r="JX5" i="5"/>
  <c r="JX6" i="5"/>
  <c r="JX7" i="5"/>
  <c r="JX8" i="5"/>
  <c r="JX9" i="5"/>
  <c r="JX10" i="5"/>
  <c r="JX11" i="5"/>
  <c r="JX12" i="5"/>
  <c r="JX13" i="5"/>
  <c r="JX14" i="5"/>
  <c r="JX15" i="5"/>
  <c r="JX16" i="5"/>
  <c r="JX17" i="5"/>
  <c r="JX18" i="5"/>
  <c r="JX19" i="5"/>
  <c r="JX20" i="5"/>
  <c r="JX21" i="5"/>
  <c r="JX22" i="5"/>
  <c r="JX23" i="5"/>
  <c r="JX24" i="5"/>
  <c r="JX25" i="5"/>
  <c r="JX26" i="5"/>
  <c r="JX27" i="5"/>
  <c r="JX28" i="5"/>
  <c r="JX29" i="5"/>
  <c r="JX30" i="5"/>
  <c r="JX31" i="5"/>
  <c r="JX32" i="5"/>
  <c r="JX33" i="5"/>
  <c r="JX34" i="5"/>
  <c r="JX35" i="5"/>
  <c r="JX36" i="5"/>
  <c r="JX37" i="5"/>
  <c r="JX38" i="5"/>
  <c r="JX39" i="5"/>
  <c r="JX40" i="5"/>
  <c r="JX41" i="5"/>
  <c r="JX42" i="5"/>
  <c r="JX43" i="5"/>
  <c r="JX44" i="5"/>
  <c r="JX45" i="5"/>
  <c r="JX46" i="5"/>
  <c r="JX47" i="5"/>
  <c r="JX48" i="5"/>
  <c r="JX49" i="5"/>
  <c r="JX50" i="5"/>
  <c r="JX51" i="5"/>
  <c r="JX52" i="5"/>
  <c r="JX53" i="5"/>
  <c r="JX54" i="5"/>
  <c r="JX55" i="5"/>
  <c r="JX56" i="5"/>
  <c r="JX57" i="5"/>
  <c r="JX58" i="5"/>
  <c r="JX59" i="5"/>
  <c r="JX60" i="5"/>
  <c r="JX61" i="5"/>
  <c r="JX62" i="5"/>
  <c r="JX63" i="5"/>
  <c r="JX64" i="5"/>
  <c r="JX65" i="5"/>
  <c r="JX66" i="5"/>
  <c r="JX67" i="5"/>
  <c r="JX68" i="5"/>
  <c r="JX69" i="5"/>
  <c r="JX70" i="5"/>
  <c r="JX71" i="5"/>
  <c r="JX72" i="5"/>
  <c r="JX73" i="5"/>
  <c r="JX74" i="5"/>
  <c r="JX75" i="5"/>
  <c r="JX76" i="5"/>
  <c r="JX77" i="5"/>
  <c r="JX78" i="5"/>
  <c r="JX79" i="5"/>
  <c r="JX80" i="5"/>
  <c r="JX81" i="5"/>
  <c r="JX82" i="5"/>
  <c r="JX83" i="5"/>
  <c r="JX84" i="5"/>
  <c r="JX85" i="5"/>
  <c r="JX86" i="5"/>
  <c r="JX87" i="5"/>
  <c r="JX88" i="5"/>
  <c r="JX89" i="5"/>
  <c r="JX90" i="5"/>
  <c r="JX91" i="5"/>
  <c r="JX92" i="5"/>
  <c r="JX93" i="5"/>
  <c r="JX94" i="5"/>
  <c r="JX95" i="5"/>
  <c r="JX96" i="5"/>
  <c r="JX97" i="5"/>
  <c r="JX98" i="5"/>
  <c r="JX99" i="5"/>
  <c r="JX100" i="5"/>
  <c r="JX101" i="5"/>
  <c r="JX102" i="5"/>
  <c r="JX103" i="5"/>
  <c r="JX104" i="5"/>
  <c r="JX105" i="5"/>
  <c r="JX106" i="5"/>
  <c r="JX107" i="5"/>
  <c r="JX108" i="5"/>
  <c r="JX109" i="5"/>
  <c r="JX110" i="5"/>
  <c r="JX111" i="5"/>
  <c r="JX112" i="5"/>
  <c r="JX113" i="5"/>
  <c r="JX114" i="5"/>
  <c r="JX115" i="5"/>
  <c r="JX116" i="5"/>
  <c r="JX117" i="5"/>
  <c r="JX118" i="5"/>
  <c r="JX119" i="5"/>
  <c r="JX120" i="5"/>
  <c r="JX121" i="5"/>
  <c r="JX122" i="5"/>
  <c r="JX123" i="5"/>
  <c r="JX124" i="5"/>
  <c r="JX125" i="5"/>
  <c r="JX126" i="5"/>
  <c r="JX127" i="5"/>
  <c r="JX128" i="5"/>
  <c r="JX129" i="5"/>
  <c r="JX130" i="5"/>
  <c r="JX131" i="5"/>
  <c r="JX132" i="5"/>
  <c r="JX133" i="5"/>
  <c r="JX134" i="5"/>
  <c r="JX135" i="5"/>
  <c r="JX136" i="5"/>
  <c r="JX137" i="5"/>
  <c r="JX138" i="5"/>
  <c r="JX139" i="5"/>
  <c r="JX140" i="5"/>
  <c r="JX141" i="5"/>
  <c r="JX142" i="5"/>
  <c r="JX143" i="5"/>
  <c r="JX144" i="5"/>
  <c r="JX145" i="5"/>
  <c r="JX146" i="5"/>
  <c r="JX147" i="5"/>
  <c r="JX148" i="5"/>
  <c r="JX149" i="5"/>
  <c r="JX150" i="5"/>
  <c r="JX151" i="5"/>
  <c r="JX152" i="5"/>
  <c r="JX153" i="5"/>
  <c r="JX154" i="5"/>
  <c r="JX155" i="5"/>
  <c r="JX156" i="5"/>
  <c r="JX157" i="5"/>
  <c r="JX158" i="5"/>
  <c r="JX159" i="5"/>
  <c r="JX160" i="5"/>
  <c r="JX161" i="5"/>
  <c r="JX162" i="5"/>
  <c r="JX163" i="5"/>
  <c r="JX164" i="5"/>
  <c r="JX165" i="5"/>
  <c r="JX166" i="5"/>
  <c r="JX167" i="5"/>
  <c r="JX168" i="5"/>
  <c r="JX169" i="5"/>
  <c r="JX170" i="5"/>
  <c r="JX171" i="5"/>
  <c r="JX172" i="5"/>
  <c r="JX173" i="5"/>
  <c r="JX174" i="5"/>
  <c r="JX175" i="5"/>
  <c r="JX176" i="5"/>
  <c r="JX177" i="5"/>
  <c r="JX178" i="5"/>
  <c r="JX179" i="5"/>
  <c r="JX180" i="5"/>
  <c r="JX181" i="5"/>
  <c r="JX182" i="5"/>
  <c r="JX183" i="5"/>
  <c r="JX184" i="5"/>
  <c r="JX185" i="5"/>
  <c r="JX186" i="5"/>
  <c r="JX187" i="5"/>
  <c r="JX188" i="5"/>
  <c r="JX189" i="5"/>
  <c r="JX190" i="5"/>
  <c r="JX191" i="5"/>
  <c r="JX192" i="5"/>
  <c r="JX193" i="5"/>
  <c r="JX202" i="5"/>
  <c r="JX203" i="5"/>
  <c r="JX204" i="5"/>
  <c r="JX205" i="5"/>
  <c r="JX206" i="5"/>
  <c r="JX207" i="5"/>
  <c r="JX208" i="5"/>
  <c r="JX209" i="5"/>
  <c r="JX210" i="5"/>
  <c r="JX211" i="5"/>
  <c r="JX212" i="5"/>
  <c r="JX213" i="5"/>
  <c r="JX214" i="5"/>
  <c r="JX215" i="5"/>
  <c r="JX216" i="5"/>
  <c r="JX217" i="5"/>
  <c r="JX218" i="5"/>
  <c r="JX219" i="5"/>
  <c r="JX220" i="5"/>
  <c r="JX221" i="5"/>
  <c r="JX222" i="5"/>
  <c r="JX223" i="5"/>
  <c r="JX224" i="5"/>
  <c r="JX225" i="5"/>
  <c r="JX226" i="5"/>
  <c r="JX227" i="5"/>
  <c r="JX228" i="5"/>
  <c r="JX229" i="5"/>
  <c r="JX230" i="5"/>
  <c r="JX231" i="5"/>
  <c r="JX232" i="5"/>
  <c r="JX233" i="5"/>
  <c r="JX234" i="5"/>
  <c r="JX235" i="5"/>
  <c r="JX236" i="5"/>
  <c r="JX237" i="5"/>
  <c r="JX238" i="5"/>
  <c r="JX239" i="5"/>
  <c r="JX240" i="5"/>
  <c r="JX241" i="5"/>
  <c r="JX242" i="5"/>
  <c r="JX243" i="5"/>
  <c r="JX244" i="5"/>
  <c r="JX245" i="5"/>
  <c r="JX246" i="5"/>
  <c r="JX247" i="5"/>
  <c r="JX248" i="5"/>
  <c r="IP14" i="5"/>
  <c r="JO14" i="5" s="1"/>
  <c r="IP16" i="5"/>
  <c r="IP17" i="5"/>
  <c r="IP18" i="5"/>
  <c r="IP28" i="5"/>
  <c r="IP41" i="5"/>
  <c r="IP46" i="5"/>
  <c r="IP47" i="5"/>
  <c r="IP57" i="5"/>
  <c r="JO71" i="5"/>
  <c r="IP78" i="5"/>
  <c r="IP85" i="5"/>
  <c r="IP88" i="5"/>
  <c r="JO88" i="5" s="1"/>
  <c r="IP91" i="5"/>
  <c r="IP94" i="5"/>
  <c r="IP95" i="5"/>
  <c r="IP96" i="5"/>
  <c r="JO96" i="5" s="1"/>
  <c r="IP99" i="5"/>
  <c r="IP100" i="5"/>
  <c r="IP101" i="5"/>
  <c r="IP103" i="5"/>
  <c r="IP106" i="5"/>
  <c r="JO106" i="5" s="1"/>
  <c r="IP107" i="5"/>
  <c r="JO107" i="5" s="1"/>
  <c r="IP108" i="5"/>
  <c r="IP111" i="5"/>
  <c r="IP112" i="5"/>
  <c r="IP114" i="5"/>
  <c r="JO114" i="5" s="1"/>
  <c r="IP115" i="5"/>
  <c r="IP116" i="5"/>
  <c r="IP117" i="5"/>
  <c r="IP118" i="5"/>
  <c r="IP121" i="5"/>
  <c r="IP122" i="5"/>
  <c r="IP123" i="5"/>
  <c r="IP124" i="5"/>
  <c r="JO124" i="5" s="1"/>
  <c r="IP125" i="5"/>
  <c r="JO125" i="5" s="1"/>
  <c r="IP126" i="5"/>
  <c r="IP128" i="5"/>
  <c r="IP129" i="5"/>
  <c r="IP130" i="5"/>
  <c r="IP132" i="5"/>
  <c r="IP133" i="5"/>
  <c r="IP134" i="5"/>
  <c r="IP135" i="5"/>
  <c r="IP136" i="5"/>
  <c r="IP137" i="5"/>
  <c r="IP138" i="5"/>
  <c r="IP139" i="5"/>
  <c r="IP142" i="5"/>
  <c r="JO142" i="5" s="1"/>
  <c r="IP143" i="5"/>
  <c r="IP144" i="5"/>
  <c r="IP145" i="5"/>
  <c r="IP147" i="5"/>
  <c r="JO147" i="5" s="1"/>
  <c r="IP148" i="5"/>
  <c r="IP149" i="5"/>
  <c r="IP150" i="5"/>
  <c r="IP151" i="5"/>
  <c r="IP152" i="5"/>
  <c r="IP153" i="5"/>
  <c r="IP154" i="5"/>
  <c r="IP156" i="5"/>
  <c r="IP157" i="5"/>
  <c r="JO157" i="5" s="1"/>
  <c r="IP159" i="5"/>
  <c r="IP160" i="5"/>
  <c r="IP161" i="5"/>
  <c r="IP162" i="5"/>
  <c r="IP163" i="5"/>
  <c r="IP164" i="5"/>
  <c r="IP165" i="5"/>
  <c r="JO165" i="5" s="1"/>
  <c r="IP168" i="5"/>
  <c r="IP169" i="5"/>
  <c r="IP170" i="5"/>
  <c r="IP171" i="5"/>
  <c r="IP172" i="5"/>
  <c r="IP173" i="5"/>
  <c r="IP174" i="5"/>
  <c r="JO174" i="5" s="1"/>
  <c r="IP175" i="5"/>
  <c r="JO175" i="5" s="1"/>
  <c r="IP176" i="5"/>
  <c r="IP177" i="5"/>
  <c r="IP178" i="5"/>
  <c r="IP179" i="5"/>
  <c r="IP180" i="5"/>
  <c r="IP181" i="5"/>
  <c r="IP182" i="5"/>
  <c r="JO182" i="5" s="1"/>
  <c r="IP183" i="5"/>
  <c r="IP184" i="5"/>
  <c r="JE184" i="5" s="1"/>
  <c r="IP185" i="5"/>
  <c r="IP187" i="5"/>
  <c r="IP188" i="5"/>
  <c r="IP189" i="5"/>
  <c r="IP190" i="5"/>
  <c r="IP191" i="5"/>
  <c r="IP192" i="5"/>
  <c r="JO192" i="5" s="1"/>
  <c r="IP193" i="5"/>
  <c r="IP202" i="5"/>
  <c r="IP203" i="5"/>
  <c r="IP204" i="5"/>
  <c r="IP205" i="5"/>
  <c r="IP206" i="5"/>
  <c r="IP207" i="5"/>
  <c r="JO207" i="5" s="1"/>
  <c r="IP208" i="5"/>
  <c r="IP209" i="5"/>
  <c r="IP210" i="5"/>
  <c r="IP211" i="5"/>
  <c r="IP212" i="5"/>
  <c r="IP213" i="5"/>
  <c r="IP214" i="5"/>
  <c r="IP215" i="5"/>
  <c r="IP216" i="5"/>
  <c r="IP217" i="5"/>
  <c r="IP218" i="5"/>
  <c r="IP219" i="5"/>
  <c r="IP220" i="5"/>
  <c r="IP221" i="5"/>
  <c r="JO221" i="5" s="1"/>
  <c r="IP222" i="5"/>
  <c r="IP223" i="5"/>
  <c r="IP224" i="5"/>
  <c r="IP225" i="5"/>
  <c r="IP226" i="5"/>
  <c r="IP227" i="5"/>
  <c r="JO227" i="5" s="1"/>
  <c r="IP228" i="5"/>
  <c r="JO228" i="5" s="1"/>
  <c r="IP229" i="5"/>
  <c r="IP230" i="5"/>
  <c r="IP231" i="5"/>
  <c r="IP232" i="5"/>
  <c r="IP233" i="5"/>
  <c r="IP234" i="5"/>
  <c r="IP235" i="5"/>
  <c r="JO235" i="5" s="1"/>
  <c r="IP236" i="5"/>
  <c r="IP237" i="5"/>
  <c r="IP238" i="5"/>
  <c r="IP239" i="5"/>
  <c r="IP240" i="5"/>
  <c r="IP241" i="5"/>
  <c r="IP242" i="5"/>
  <c r="IP243" i="5"/>
  <c r="IP244" i="5"/>
  <c r="IP245" i="5"/>
  <c r="JO245" i="5" s="1"/>
  <c r="IP246" i="5"/>
  <c r="JO246" i="5" s="1"/>
  <c r="IP247" i="5"/>
  <c r="IP248" i="5"/>
  <c r="CK4" i="5"/>
  <c r="CK15" i="5"/>
  <c r="CK16" i="5"/>
  <c r="CK20" i="5"/>
  <c r="CK31" i="5"/>
  <c r="CK32" i="5"/>
  <c r="CK36" i="5"/>
  <c r="CK47" i="5"/>
  <c r="CK48" i="5"/>
  <c r="CK52" i="5"/>
  <c r="CK63" i="5"/>
  <c r="CK68" i="5"/>
  <c r="CK79" i="5"/>
  <c r="CK84" i="5"/>
  <c r="CK95" i="5"/>
  <c r="CK100" i="5"/>
  <c r="CT247" i="5" l="1"/>
  <c r="ED244" i="5"/>
  <c r="CT244" i="5"/>
  <c r="ED243" i="5"/>
  <c r="ED242" i="5"/>
  <c r="CT243" i="5"/>
  <c r="CT242" i="5"/>
  <c r="ED234" i="5"/>
  <c r="JO78" i="5"/>
  <c r="JE77" i="5"/>
  <c r="ED236" i="5"/>
  <c r="ED176" i="5"/>
  <c r="CT236" i="5"/>
  <c r="ED212" i="5"/>
  <c r="CT212" i="5"/>
  <c r="ED235" i="5"/>
  <c r="ED227" i="5"/>
  <c r="CT235" i="5"/>
  <c r="CT234" i="5"/>
  <c r="ED204" i="5"/>
  <c r="CT204" i="5"/>
  <c r="ED228" i="5"/>
  <c r="ED224" i="5"/>
  <c r="ED214" i="5"/>
  <c r="ED226" i="5"/>
  <c r="CT228" i="5"/>
  <c r="ED215" i="5"/>
  <c r="CT227" i="5"/>
  <c r="CT226" i="5"/>
  <c r="CT224" i="5"/>
  <c r="ED217" i="5"/>
  <c r="CT217" i="5"/>
  <c r="CT215" i="5"/>
  <c r="CT214" i="5"/>
  <c r="ED200" i="5"/>
  <c r="ED208" i="5"/>
  <c r="CT208" i="5"/>
  <c r="ED42" i="5"/>
  <c r="ED202" i="5"/>
  <c r="BT141" i="5"/>
  <c r="GU141" i="5" s="1"/>
  <c r="GV141" i="5" s="1"/>
  <c r="ED80" i="5"/>
  <c r="CT202" i="5"/>
  <c r="ED198" i="5"/>
  <c r="CT200" i="5"/>
  <c r="ED100" i="5"/>
  <c r="ED197" i="5"/>
  <c r="ED184" i="5"/>
  <c r="ED92" i="5"/>
  <c r="ED84" i="5"/>
  <c r="ED76" i="5"/>
  <c r="ED68" i="5"/>
  <c r="ED52" i="5"/>
  <c r="ED44" i="5"/>
  <c r="ED161" i="5"/>
  <c r="ED36" i="5"/>
  <c r="ED28" i="5"/>
  <c r="ED4" i="5"/>
  <c r="ED66" i="5"/>
  <c r="ED34" i="5"/>
  <c r="ED114" i="5"/>
  <c r="ED18" i="5"/>
  <c r="ED10" i="5"/>
  <c r="ED196" i="5"/>
  <c r="ED37" i="5"/>
  <c r="ED21" i="5"/>
  <c r="CT198" i="5"/>
  <c r="CT197" i="5"/>
  <c r="CT196" i="5"/>
  <c r="ED195" i="5"/>
  <c r="ED111" i="5"/>
  <c r="ED97" i="5"/>
  <c r="ED15" i="5"/>
  <c r="ED89" i="5"/>
  <c r="ED95" i="5"/>
  <c r="ED79" i="5"/>
  <c r="ED71" i="5"/>
  <c r="ED119" i="5"/>
  <c r="ED47" i="5"/>
  <c r="ED31" i="5"/>
  <c r="ED23" i="5"/>
  <c r="CT195" i="5"/>
  <c r="ED72" i="5"/>
  <c r="ED13" i="5"/>
  <c r="ED138" i="5"/>
  <c r="CT41" i="5"/>
  <c r="ED109" i="5"/>
  <c r="ED167" i="5"/>
  <c r="ED106" i="5"/>
  <c r="ED61" i="5"/>
  <c r="ED32" i="5"/>
  <c r="ED24" i="5"/>
  <c r="ED8" i="5"/>
  <c r="EC5" i="5"/>
  <c r="ED5" i="5" s="1"/>
  <c r="ED16" i="5"/>
  <c r="ED122" i="5"/>
  <c r="CT68" i="5"/>
  <c r="CT47" i="5"/>
  <c r="EC7" i="5"/>
  <c r="ED7" i="5" s="1"/>
  <c r="ED126" i="5"/>
  <c r="ED20" i="5"/>
  <c r="CT33" i="5"/>
  <c r="ED158" i="5"/>
  <c r="ED136" i="5"/>
  <c r="ED63" i="5"/>
  <c r="ED56" i="5"/>
  <c r="CT4" i="5"/>
  <c r="ED40" i="5"/>
  <c r="ED25" i="5"/>
  <c r="CT100" i="5"/>
  <c r="CT95" i="5"/>
  <c r="ED182" i="5"/>
  <c r="ED105" i="5"/>
  <c r="ED45" i="5"/>
  <c r="CT89" i="5"/>
  <c r="ED39" i="5"/>
  <c r="CT134" i="5"/>
  <c r="CT92" i="5"/>
  <c r="CT65" i="5"/>
  <c r="CT36" i="5"/>
  <c r="ED74" i="5"/>
  <c r="EC48" i="5"/>
  <c r="ED48" i="5" s="1"/>
  <c r="ED29" i="5"/>
  <c r="CT111" i="5"/>
  <c r="CT84" i="5"/>
  <c r="CT57" i="5"/>
  <c r="CT28" i="5"/>
  <c r="EC221" i="5"/>
  <c r="ED221" i="5" s="1"/>
  <c r="EC93" i="5"/>
  <c r="ED93" i="5" s="1"/>
  <c r="CT81" i="5"/>
  <c r="CT52" i="5"/>
  <c r="CT25" i="5"/>
  <c r="ED64" i="5"/>
  <c r="CT105" i="5"/>
  <c r="CT79" i="5"/>
  <c r="CT49" i="5"/>
  <c r="CT20" i="5"/>
  <c r="EC231" i="5"/>
  <c r="ED231" i="5" s="1"/>
  <c r="ED151" i="5"/>
  <c r="CT151" i="5"/>
  <c r="CT76" i="5"/>
  <c r="CT97" i="5"/>
  <c r="CT73" i="5"/>
  <c r="CT44" i="5"/>
  <c r="CT15" i="5"/>
  <c r="EC247" i="5"/>
  <c r="ED247" i="5" s="1"/>
  <c r="EC225" i="5"/>
  <c r="ED225" i="5" s="1"/>
  <c r="EC190" i="5"/>
  <c r="ED190" i="5" s="1"/>
  <c r="CT190" i="5"/>
  <c r="EC181" i="5"/>
  <c r="ED181" i="5" s="1"/>
  <c r="CT181" i="5"/>
  <c r="EC116" i="5"/>
  <c r="ED116" i="5" s="1"/>
  <c r="CT116" i="5"/>
  <c r="CT27" i="5"/>
  <c r="EC27" i="5"/>
  <c r="ED27" i="5" s="1"/>
  <c r="EC220" i="5"/>
  <c r="ED220" i="5" s="1"/>
  <c r="EC137" i="5"/>
  <c r="ED137" i="5" s="1"/>
  <c r="CT137" i="5"/>
  <c r="EC120" i="5"/>
  <c r="ED120" i="5" s="1"/>
  <c r="CT120" i="5"/>
  <c r="EC55" i="5"/>
  <c r="ED55" i="5" s="1"/>
  <c r="CT55" i="5"/>
  <c r="EC26" i="5"/>
  <c r="ED26" i="5" s="1"/>
  <c r="CT26" i="5"/>
  <c r="EC14" i="5"/>
  <c r="ED14" i="5" s="1"/>
  <c r="CT14" i="5"/>
  <c r="CT63" i="5"/>
  <c r="EC246" i="5"/>
  <c r="ED246" i="5" s="1"/>
  <c r="EC240" i="5"/>
  <c r="ED240" i="5" s="1"/>
  <c r="EC237" i="5"/>
  <c r="ED237" i="5" s="1"/>
  <c r="EC192" i="5"/>
  <c r="ED192" i="5" s="1"/>
  <c r="CT192" i="5"/>
  <c r="EC189" i="5"/>
  <c r="ED189" i="5" s="1"/>
  <c r="CT189" i="5"/>
  <c r="EC150" i="5"/>
  <c r="ED150" i="5" s="1"/>
  <c r="CT150" i="5"/>
  <c r="EC128" i="5"/>
  <c r="ED128" i="5" s="1"/>
  <c r="CT128" i="5"/>
  <c r="EC103" i="5"/>
  <c r="ED103" i="5" s="1"/>
  <c r="CT103" i="5"/>
  <c r="EC67" i="5"/>
  <c r="ED67" i="5" s="1"/>
  <c r="CT67" i="5"/>
  <c r="EC98" i="5"/>
  <c r="ED98" i="5" s="1"/>
  <c r="EC142" i="5"/>
  <c r="ED142" i="5" s="1"/>
  <c r="CT142" i="5"/>
  <c r="EC113" i="5"/>
  <c r="ED113" i="5" s="1"/>
  <c r="CT113" i="5"/>
  <c r="EC19" i="5"/>
  <c r="ED19" i="5" s="1"/>
  <c r="CT19" i="5"/>
  <c r="CT182" i="5"/>
  <c r="CT31" i="5"/>
  <c r="EC230" i="5"/>
  <c r="ED230" i="5" s="1"/>
  <c r="EC219" i="5"/>
  <c r="ED219" i="5" s="1"/>
  <c r="CT154" i="5"/>
  <c r="EC154" i="5"/>
  <c r="ED154" i="5" s="1"/>
  <c r="CT141" i="5"/>
  <c r="EC141" i="5"/>
  <c r="ED141" i="5" s="1"/>
  <c r="EC82" i="5"/>
  <c r="ED82" i="5" s="1"/>
  <c r="CT82" i="5"/>
  <c r="CT167" i="5"/>
  <c r="EC248" i="5"/>
  <c r="ED248" i="5" s="1"/>
  <c r="EC245" i="5"/>
  <c r="ED245" i="5" s="1"/>
  <c r="EC239" i="5"/>
  <c r="ED239" i="5" s="1"/>
  <c r="EC223" i="5"/>
  <c r="ED223" i="5" s="1"/>
  <c r="EC218" i="5"/>
  <c r="ED218" i="5" s="1"/>
  <c r="EC199" i="5"/>
  <c r="ED199" i="5" s="1"/>
  <c r="EC163" i="5"/>
  <c r="ED163" i="5" s="1"/>
  <c r="CT163" i="5"/>
  <c r="EC159" i="5"/>
  <c r="ED159" i="5" s="1"/>
  <c r="CT159" i="5"/>
  <c r="EC153" i="5"/>
  <c r="ED153" i="5" s="1"/>
  <c r="CT153" i="5"/>
  <c r="EC58" i="5"/>
  <c r="ED58" i="5" s="1"/>
  <c r="CT58" i="5"/>
  <c r="EC178" i="5"/>
  <c r="ED178" i="5" s="1"/>
  <c r="CT178" i="5"/>
  <c r="EC174" i="5"/>
  <c r="ED174" i="5" s="1"/>
  <c r="CT174" i="5"/>
  <c r="EC87" i="5"/>
  <c r="ED87" i="5" s="1"/>
  <c r="CT87" i="5"/>
  <c r="EC22" i="5"/>
  <c r="ED22" i="5" s="1"/>
  <c r="CT22" i="5"/>
  <c r="EC241" i="5"/>
  <c r="ED241" i="5" s="1"/>
  <c r="EC238" i="5"/>
  <c r="ED238" i="5" s="1"/>
  <c r="EC229" i="5"/>
  <c r="ED229" i="5" s="1"/>
  <c r="EC222" i="5"/>
  <c r="ED222" i="5" s="1"/>
  <c r="EC186" i="5"/>
  <c r="ED186" i="5" s="1"/>
  <c r="CT186" i="5"/>
  <c r="EC166" i="5"/>
  <c r="ED166" i="5" s="1"/>
  <c r="CT166" i="5"/>
  <c r="EC162" i="5"/>
  <c r="ED162" i="5" s="1"/>
  <c r="CT162" i="5"/>
  <c r="EC62" i="5"/>
  <c r="ED62" i="5" s="1"/>
  <c r="CT62" i="5"/>
  <c r="EC50" i="5"/>
  <c r="ED50" i="5" s="1"/>
  <c r="CT50" i="5"/>
  <c r="EC140" i="5"/>
  <c r="ED140" i="5" s="1"/>
  <c r="CT140" i="5"/>
  <c r="EC132" i="5"/>
  <c r="ED132" i="5" s="1"/>
  <c r="CT132" i="5"/>
  <c r="EC127" i="5"/>
  <c r="ED127" i="5" s="1"/>
  <c r="CT127" i="5"/>
  <c r="EC107" i="5"/>
  <c r="ED107" i="5" s="1"/>
  <c r="CT107" i="5"/>
  <c r="EC102" i="5"/>
  <c r="ED102" i="5" s="1"/>
  <c r="CT102" i="5"/>
  <c r="EC35" i="5"/>
  <c r="ED35" i="5" s="1"/>
  <c r="CT35" i="5"/>
  <c r="EC30" i="5"/>
  <c r="ED30" i="5" s="1"/>
  <c r="CT30" i="5"/>
  <c r="EC6" i="5"/>
  <c r="ED6" i="5" s="1"/>
  <c r="CT6" i="5"/>
  <c r="CT10" i="5"/>
  <c r="EC123" i="5"/>
  <c r="ED123" i="5" s="1"/>
  <c r="CT123" i="5"/>
  <c r="EC115" i="5"/>
  <c r="ED115" i="5" s="1"/>
  <c r="CT115" i="5"/>
  <c r="EC75" i="5"/>
  <c r="ED75" i="5" s="1"/>
  <c r="CT75" i="5"/>
  <c r="EC70" i="5"/>
  <c r="ED70" i="5" s="1"/>
  <c r="CT70" i="5"/>
  <c r="CT43" i="5"/>
  <c r="EC43" i="5"/>
  <c r="ED43" i="5" s="1"/>
  <c r="CT11" i="5"/>
  <c r="EC11" i="5"/>
  <c r="ED11" i="5" s="1"/>
  <c r="CT179" i="5"/>
  <c r="CT148" i="5"/>
  <c r="CT136" i="5"/>
  <c r="CT122" i="5"/>
  <c r="CT106" i="5"/>
  <c r="CT74" i="5"/>
  <c r="CT42" i="5"/>
  <c r="EC216" i="5"/>
  <c r="ED216" i="5" s="1"/>
  <c r="EC206" i="5"/>
  <c r="ED206" i="5" s="1"/>
  <c r="EC201" i="5"/>
  <c r="ED201" i="5" s="1"/>
  <c r="EC157" i="5"/>
  <c r="ED157" i="5" s="1"/>
  <c r="CT157" i="5"/>
  <c r="EC135" i="5"/>
  <c r="ED135" i="5" s="1"/>
  <c r="CT135" i="5"/>
  <c r="EC110" i="5"/>
  <c r="ED110" i="5" s="1"/>
  <c r="CT110" i="5"/>
  <c r="EC38" i="5"/>
  <c r="ED38" i="5" s="1"/>
  <c r="CT38" i="5"/>
  <c r="CT176" i="5"/>
  <c r="CT161" i="5"/>
  <c r="CT145" i="5"/>
  <c r="EC188" i="5"/>
  <c r="ED188" i="5" s="1"/>
  <c r="CT188" i="5"/>
  <c r="EC180" i="5"/>
  <c r="ED180" i="5" s="1"/>
  <c r="CT180" i="5"/>
  <c r="EC152" i="5"/>
  <c r="ED152" i="5" s="1"/>
  <c r="CT152" i="5"/>
  <c r="EC118" i="5"/>
  <c r="ED118" i="5" s="1"/>
  <c r="CT118" i="5"/>
  <c r="EC83" i="5"/>
  <c r="ED83" i="5" s="1"/>
  <c r="CT83" i="5"/>
  <c r="EC78" i="5"/>
  <c r="ED78" i="5" s="1"/>
  <c r="CT78" i="5"/>
  <c r="EC51" i="5"/>
  <c r="ED51" i="5" s="1"/>
  <c r="CT51" i="5"/>
  <c r="EC46" i="5"/>
  <c r="ED46" i="5" s="1"/>
  <c r="CT46" i="5"/>
  <c r="CT119" i="5"/>
  <c r="CT71" i="5"/>
  <c r="CT39" i="5"/>
  <c r="CT23" i="5"/>
  <c r="CT158" i="5"/>
  <c r="EC183" i="5"/>
  <c r="ED183" i="5" s="1"/>
  <c r="EC194" i="5"/>
  <c r="ED194" i="5" s="1"/>
  <c r="EC191" i="5"/>
  <c r="ED191" i="5" s="1"/>
  <c r="CT191" i="5"/>
  <c r="CT175" i="5"/>
  <c r="EC175" i="5"/>
  <c r="ED175" i="5" s="1"/>
  <c r="EC160" i="5"/>
  <c r="ED160" i="5" s="1"/>
  <c r="CT160" i="5"/>
  <c r="EC147" i="5"/>
  <c r="ED147" i="5" s="1"/>
  <c r="CT147" i="5"/>
  <c r="EC125" i="5"/>
  <c r="ED125" i="5" s="1"/>
  <c r="CT125" i="5"/>
  <c r="EC117" i="5"/>
  <c r="ED117" i="5" s="1"/>
  <c r="CT117" i="5"/>
  <c r="EC86" i="5"/>
  <c r="ED86" i="5" s="1"/>
  <c r="CT86" i="5"/>
  <c r="EC59" i="5"/>
  <c r="ED59" i="5" s="1"/>
  <c r="CT59" i="5"/>
  <c r="EC54" i="5"/>
  <c r="ED54" i="5" s="1"/>
  <c r="CT54" i="5"/>
  <c r="CT187" i="5"/>
  <c r="CT171" i="5"/>
  <c r="CT114" i="5"/>
  <c r="CT66" i="5"/>
  <c r="CT34" i="5"/>
  <c r="CT18" i="5"/>
  <c r="CT184" i="5"/>
  <c r="CT126" i="5"/>
  <c r="ED85" i="5"/>
  <c r="ED33" i="5"/>
  <c r="CT112" i="5"/>
  <c r="CT104" i="5"/>
  <c r="CT80" i="5"/>
  <c r="CT72" i="5"/>
  <c r="CT64" i="5"/>
  <c r="CT56" i="5"/>
  <c r="CT40" i="5"/>
  <c r="CT32" i="5"/>
  <c r="CT24" i="5"/>
  <c r="CT16" i="5"/>
  <c r="CT8" i="5"/>
  <c r="EC77" i="5"/>
  <c r="ED77" i="5" s="1"/>
  <c r="CT109" i="5"/>
  <c r="CT85" i="5"/>
  <c r="CT69" i="5"/>
  <c r="CT61" i="5"/>
  <c r="CT53" i="5"/>
  <c r="CT45" i="5"/>
  <c r="CT37" i="5"/>
  <c r="CT29" i="5"/>
  <c r="CT21" i="5"/>
  <c r="CT13" i="5"/>
  <c r="CT138" i="5"/>
  <c r="CK206" i="5"/>
  <c r="CK239" i="5"/>
  <c r="CK246" i="5"/>
  <c r="CK215" i="5"/>
  <c r="CK209" i="5"/>
  <c r="CK201" i="5"/>
  <c r="CK197" i="5"/>
  <c r="CK194" i="5"/>
  <c r="CK196" i="5"/>
  <c r="CK200" i="5"/>
  <c r="CK198" i="5"/>
  <c r="CK199" i="5"/>
  <c r="CK195" i="5"/>
  <c r="EB146" i="5"/>
  <c r="EB132" i="5"/>
  <c r="ED145" i="5"/>
  <c r="ED148" i="5"/>
  <c r="ED134" i="5"/>
  <c r="ED112" i="5"/>
  <c r="ED187" i="5"/>
  <c r="ED179" i="5"/>
  <c r="ED171" i="5"/>
  <c r="ED104" i="5"/>
  <c r="ED57" i="5"/>
  <c r="ED41" i="5"/>
  <c r="ED53" i="5"/>
  <c r="ED49" i="5"/>
  <c r="ED81" i="5"/>
  <c r="ED73" i="5"/>
  <c r="ED69" i="5"/>
  <c r="ED65" i="5"/>
  <c r="JE235" i="5"/>
  <c r="JE165" i="5"/>
  <c r="JE147" i="5"/>
  <c r="JE182" i="5"/>
  <c r="JE114" i="5"/>
  <c r="JE96" i="5"/>
  <c r="JE78" i="5"/>
  <c r="JE245" i="5"/>
  <c r="JE88" i="5"/>
  <c r="JE14" i="5"/>
  <c r="JE125" i="5"/>
  <c r="JE124" i="5"/>
  <c r="JE221" i="5"/>
  <c r="JE157" i="5"/>
  <c r="JE246" i="5"/>
  <c r="JE192" i="5"/>
  <c r="JO184" i="5"/>
  <c r="JO244" i="5"/>
  <c r="JE244" i="5"/>
  <c r="JO238" i="5"/>
  <c r="JE238" i="5"/>
  <c r="JO232" i="5"/>
  <c r="JE232" i="5"/>
  <c r="JO226" i="5"/>
  <c r="JE226" i="5"/>
  <c r="JO220" i="5"/>
  <c r="JE220" i="5"/>
  <c r="JO216" i="5"/>
  <c r="JE216" i="5"/>
  <c r="JO210" i="5"/>
  <c r="JE210" i="5"/>
  <c r="JO206" i="5"/>
  <c r="JE206" i="5"/>
  <c r="JO191" i="5"/>
  <c r="JE191" i="5"/>
  <c r="JO185" i="5"/>
  <c r="JE185" i="5"/>
  <c r="JO179" i="5"/>
  <c r="JE179" i="5"/>
  <c r="JO173" i="5"/>
  <c r="JE173" i="5"/>
  <c r="JO168" i="5"/>
  <c r="JE168" i="5"/>
  <c r="JO162" i="5"/>
  <c r="JE162" i="5"/>
  <c r="JO156" i="5"/>
  <c r="JE156" i="5"/>
  <c r="JO150" i="5"/>
  <c r="JE150" i="5"/>
  <c r="JO144" i="5"/>
  <c r="JE144" i="5"/>
  <c r="JO134" i="5"/>
  <c r="JE134" i="5"/>
  <c r="JO128" i="5"/>
  <c r="JE128" i="5"/>
  <c r="JO123" i="5"/>
  <c r="JE123" i="5"/>
  <c r="JO117" i="5"/>
  <c r="JE117" i="5"/>
  <c r="JO111" i="5"/>
  <c r="JE111" i="5"/>
  <c r="JO99" i="5"/>
  <c r="JE99" i="5"/>
  <c r="JE239" i="5"/>
  <c r="JO239" i="5"/>
  <c r="JO233" i="5"/>
  <c r="JE233" i="5"/>
  <c r="JO217" i="5"/>
  <c r="JE217" i="5"/>
  <c r="JO211" i="5"/>
  <c r="JE211" i="5"/>
  <c r="JO180" i="5"/>
  <c r="JE180" i="5"/>
  <c r="JO169" i="5"/>
  <c r="JE169" i="5"/>
  <c r="JO163" i="5"/>
  <c r="JE163" i="5"/>
  <c r="JO151" i="5"/>
  <c r="JE151" i="5"/>
  <c r="JO145" i="5"/>
  <c r="JE145" i="5"/>
  <c r="JO135" i="5"/>
  <c r="JE135" i="5"/>
  <c r="JO129" i="5"/>
  <c r="JE129" i="5"/>
  <c r="JO118" i="5"/>
  <c r="JE118" i="5"/>
  <c r="JO112" i="5"/>
  <c r="JE112" i="5"/>
  <c r="JO100" i="5"/>
  <c r="JE100" i="5"/>
  <c r="JO94" i="5"/>
  <c r="JE94" i="5"/>
  <c r="JO57" i="5"/>
  <c r="JE57" i="5"/>
  <c r="JE228" i="5"/>
  <c r="JE207" i="5"/>
  <c r="JE175" i="5"/>
  <c r="JE142" i="5"/>
  <c r="JE107" i="5"/>
  <c r="JE71" i="5"/>
  <c r="JO47" i="5"/>
  <c r="JE47" i="5"/>
  <c r="JO41" i="5"/>
  <c r="JE41" i="5"/>
  <c r="JO17" i="5"/>
  <c r="JE17" i="5"/>
  <c r="JE227" i="5"/>
  <c r="JE174" i="5"/>
  <c r="JE106" i="5"/>
  <c r="JO240" i="5"/>
  <c r="JE240" i="5"/>
  <c r="JO234" i="5"/>
  <c r="JE234" i="5"/>
  <c r="JO222" i="5"/>
  <c r="JE222" i="5"/>
  <c r="JO218" i="5"/>
  <c r="JE218" i="5"/>
  <c r="JO214" i="5"/>
  <c r="JE214" i="5"/>
  <c r="JO212" i="5"/>
  <c r="JE212" i="5"/>
  <c r="JO202" i="5"/>
  <c r="JE202" i="5"/>
  <c r="JO187" i="5"/>
  <c r="JE187" i="5"/>
  <c r="JO181" i="5"/>
  <c r="JE181" i="5"/>
  <c r="JO170" i="5"/>
  <c r="JE170" i="5"/>
  <c r="JO164" i="5"/>
  <c r="JE164" i="5"/>
  <c r="JO152" i="5"/>
  <c r="JE152" i="5"/>
  <c r="JO136" i="5"/>
  <c r="JE136" i="5"/>
  <c r="JO130" i="5"/>
  <c r="JE130" i="5"/>
  <c r="JO101" i="5"/>
  <c r="JE101" i="5"/>
  <c r="JO95" i="5"/>
  <c r="JE95" i="5"/>
  <c r="JO46" i="5"/>
  <c r="JE46" i="5"/>
  <c r="JO28" i="5"/>
  <c r="JE28" i="5"/>
  <c r="JO16" i="5"/>
  <c r="JE16" i="5"/>
  <c r="JO243" i="5"/>
  <c r="JE243" i="5"/>
  <c r="JO237" i="5"/>
  <c r="JE237" i="5"/>
  <c r="JO231" i="5"/>
  <c r="JE231" i="5"/>
  <c r="JO225" i="5"/>
  <c r="JE225" i="5"/>
  <c r="JO219" i="5"/>
  <c r="JE219" i="5"/>
  <c r="JO213" i="5"/>
  <c r="JE213" i="5"/>
  <c r="JO205" i="5"/>
  <c r="JE205" i="5"/>
  <c r="JE190" i="5"/>
  <c r="JO190" i="5"/>
  <c r="JO178" i="5"/>
  <c r="JE178" i="5"/>
  <c r="JO172" i="5"/>
  <c r="JE172" i="5"/>
  <c r="JE161" i="5"/>
  <c r="JO161" i="5"/>
  <c r="JO149" i="5"/>
  <c r="JE149" i="5"/>
  <c r="JO139" i="5"/>
  <c r="JE139" i="5"/>
  <c r="JO133" i="5"/>
  <c r="JE133" i="5"/>
  <c r="JO122" i="5"/>
  <c r="JE122" i="5"/>
  <c r="JE116" i="5"/>
  <c r="JO116" i="5"/>
  <c r="JO248" i="5"/>
  <c r="JE248" i="5"/>
  <c r="JO242" i="5"/>
  <c r="JE242" i="5"/>
  <c r="JO236" i="5"/>
  <c r="JE236" i="5"/>
  <c r="JO230" i="5"/>
  <c r="JE230" i="5"/>
  <c r="JO224" i="5"/>
  <c r="JE224" i="5"/>
  <c r="JO215" i="5"/>
  <c r="JE215" i="5"/>
  <c r="JO209" i="5"/>
  <c r="JE209" i="5"/>
  <c r="JO204" i="5"/>
  <c r="JE204" i="5"/>
  <c r="JO189" i="5"/>
  <c r="JE189" i="5"/>
  <c r="JO183" i="5"/>
  <c r="JE183" i="5"/>
  <c r="JO177" i="5"/>
  <c r="JE177" i="5"/>
  <c r="JO171" i="5"/>
  <c r="JE171" i="5"/>
  <c r="JE160" i="5"/>
  <c r="JO160" i="5"/>
  <c r="JO154" i="5"/>
  <c r="JE154" i="5"/>
  <c r="JO148" i="5"/>
  <c r="JE148" i="5"/>
  <c r="JO143" i="5"/>
  <c r="JE143" i="5"/>
  <c r="JO138" i="5"/>
  <c r="JE138" i="5"/>
  <c r="JO132" i="5"/>
  <c r="JE132" i="5"/>
  <c r="JE126" i="5"/>
  <c r="JO126" i="5"/>
  <c r="JO121" i="5"/>
  <c r="JE121" i="5"/>
  <c r="JO115" i="5"/>
  <c r="JE115" i="5"/>
  <c r="JO103" i="5"/>
  <c r="JE103" i="5"/>
  <c r="JE91" i="5"/>
  <c r="JO91" i="5"/>
  <c r="JE85" i="5"/>
  <c r="JO85" i="5"/>
  <c r="JO61" i="5"/>
  <c r="JE61" i="5"/>
  <c r="JO247" i="5"/>
  <c r="JE247" i="5"/>
  <c r="JO241" i="5"/>
  <c r="JE241" i="5"/>
  <c r="JO229" i="5"/>
  <c r="JE229" i="5"/>
  <c r="JO223" i="5"/>
  <c r="JE223" i="5"/>
  <c r="JO208" i="5"/>
  <c r="JE208" i="5"/>
  <c r="JO203" i="5"/>
  <c r="JE203" i="5"/>
  <c r="JO193" i="5"/>
  <c r="JE193" i="5"/>
  <c r="JO188" i="5"/>
  <c r="JE188" i="5"/>
  <c r="JO176" i="5"/>
  <c r="JE176" i="5"/>
  <c r="JO159" i="5"/>
  <c r="JE159" i="5"/>
  <c r="JO153" i="5"/>
  <c r="JE153" i="5"/>
  <c r="JO137" i="5"/>
  <c r="JE137" i="5"/>
  <c r="JO108" i="5"/>
  <c r="JE108" i="5"/>
  <c r="JO18" i="5"/>
  <c r="JE18" i="5"/>
  <c r="IH141" i="5" l="1"/>
  <c r="II141" i="5" s="1"/>
  <c r="DV3" i="5"/>
  <c r="CZ3" i="5" l="1"/>
  <c r="DC3" i="5"/>
  <c r="IP3" i="5" l="1"/>
  <c r="JE3" i="5" s="1"/>
  <c r="HN3" i="5"/>
  <c r="HG3" i="5"/>
  <c r="GS3" i="5"/>
  <c r="FU3" i="5"/>
  <c r="EU3" i="5" l="1"/>
  <c r="RV207" i="5" l="1"/>
  <c r="RW4" i="5"/>
  <c r="IP4" i="5" s="1"/>
  <c r="RW5" i="5"/>
  <c r="IP5" i="5" s="1"/>
  <c r="RW7" i="5"/>
  <c r="IP7" i="5" s="1"/>
  <c r="RW8" i="5"/>
  <c r="IP8" i="5" s="1"/>
  <c r="RW10" i="5"/>
  <c r="IP10" i="5" s="1"/>
  <c r="RW11" i="5"/>
  <c r="IP11" i="5" s="1"/>
  <c r="RW13" i="5"/>
  <c r="IP13" i="5" s="1"/>
  <c r="RW18" i="5"/>
  <c r="RW19" i="5"/>
  <c r="IP19" i="5" s="1"/>
  <c r="RW21" i="5"/>
  <c r="IP21" i="5" s="1"/>
  <c r="RW24" i="5"/>
  <c r="IP24" i="5" s="1"/>
  <c r="RW26" i="5"/>
  <c r="IP26" i="5" s="1"/>
  <c r="RW27" i="5"/>
  <c r="IP27" i="5" s="1"/>
  <c r="RW28" i="5"/>
  <c r="RW29" i="5"/>
  <c r="IP29" i="5" s="1"/>
  <c r="RW32" i="5"/>
  <c r="IP32" i="5" s="1"/>
  <c r="RW33" i="5"/>
  <c r="IP33" i="5" s="1"/>
  <c r="RW35" i="5"/>
  <c r="IP35" i="5" s="1"/>
  <c r="RW36" i="5"/>
  <c r="IP36" i="5" s="1"/>
  <c r="RW37" i="5"/>
  <c r="IP37" i="5" s="1"/>
  <c r="RW38" i="5"/>
  <c r="IP38" i="5" s="1"/>
  <c r="RW40" i="5"/>
  <c r="IP40" i="5" s="1"/>
  <c r="RW41" i="5"/>
  <c r="RW43" i="5"/>
  <c r="IP43" i="5" s="1"/>
  <c r="RW46" i="5"/>
  <c r="RW47" i="5"/>
  <c r="RW48" i="5"/>
  <c r="IP48" i="5" s="1"/>
  <c r="RW49" i="5"/>
  <c r="IP49" i="5" s="1"/>
  <c r="RW50" i="5"/>
  <c r="IP50" i="5" s="1"/>
  <c r="RW51" i="5"/>
  <c r="IP51" i="5" s="1"/>
  <c r="RW53" i="5"/>
  <c r="IP53" i="5" s="1"/>
  <c r="RW55" i="5"/>
  <c r="IP55" i="5" s="1"/>
  <c r="RW56" i="5"/>
  <c r="IP56" i="5" s="1"/>
  <c r="RW58" i="5"/>
  <c r="IP58" i="5" s="1"/>
  <c r="RW59" i="5"/>
  <c r="IP59" i="5" s="1"/>
  <c r="RW61" i="5"/>
  <c r="RW63" i="5"/>
  <c r="IP63" i="5" s="1"/>
  <c r="RW64" i="5"/>
  <c r="IP64" i="5" s="1"/>
  <c r="RW65" i="5"/>
  <c r="IP65" i="5" s="1"/>
  <c r="RW66" i="5"/>
  <c r="IP66" i="5" s="1"/>
  <c r="RW67" i="5"/>
  <c r="IP67" i="5" s="1"/>
  <c r="RW68" i="5"/>
  <c r="IP68" i="5" s="1"/>
  <c r="RW69" i="5"/>
  <c r="IP69" i="5" s="1"/>
  <c r="RW70" i="5"/>
  <c r="IP70" i="5" s="1"/>
  <c r="RW71" i="5"/>
  <c r="RW72" i="5"/>
  <c r="IP72" i="5" s="1"/>
  <c r="RW73" i="5"/>
  <c r="RW74" i="5"/>
  <c r="RW76" i="5"/>
  <c r="IP76" i="5" s="1"/>
  <c r="JE75" i="5" s="1"/>
  <c r="RW77" i="5"/>
  <c r="IP77" i="5" s="1"/>
  <c r="RW78" i="5"/>
  <c r="RW79" i="5"/>
  <c r="IP79" i="5" s="1"/>
  <c r="RW81" i="5"/>
  <c r="IP81" i="5" s="1"/>
  <c r="RW82" i="5"/>
  <c r="IP82" i="5" s="1"/>
  <c r="RW83" i="5"/>
  <c r="IP83" i="5" s="1"/>
  <c r="RW85" i="5"/>
  <c r="RW87" i="5"/>
  <c r="IP87" i="5" s="1"/>
  <c r="RW89" i="5"/>
  <c r="IP89" i="5" s="1"/>
  <c r="RW92" i="5"/>
  <c r="IP92" i="5" s="1"/>
  <c r="RW97" i="5"/>
  <c r="IP97" i="5" s="1"/>
  <c r="RW98" i="5"/>
  <c r="IP98" i="5" s="1"/>
  <c r="RW100" i="5"/>
  <c r="RW102" i="5"/>
  <c r="IP102" i="5" s="1"/>
  <c r="RW103" i="5"/>
  <c r="RW105" i="5"/>
  <c r="IP105" i="5" s="1"/>
  <c r="RW106" i="5"/>
  <c r="RW109" i="5"/>
  <c r="IP109" i="5" s="1"/>
  <c r="RW110" i="5"/>
  <c r="IP110" i="5" s="1"/>
  <c r="RW111" i="5"/>
  <c r="RW112" i="5"/>
  <c r="RW113" i="5"/>
  <c r="IP113" i="5" s="1"/>
  <c r="RW114" i="5"/>
  <c r="RW115" i="5"/>
  <c r="RW116" i="5"/>
  <c r="RW117" i="5"/>
  <c r="RW118" i="5"/>
  <c r="RW119" i="5"/>
  <c r="IP119" i="5" s="1"/>
  <c r="RW120" i="5"/>
  <c r="IP120" i="5" s="1"/>
  <c r="RW122" i="5"/>
  <c r="RW123" i="5"/>
  <c r="IG123" i="5" s="1"/>
  <c r="BT123" i="5" s="1"/>
  <c r="RW125" i="5"/>
  <c r="RW126" i="5"/>
  <c r="RW127" i="5"/>
  <c r="IP127" i="5" s="1"/>
  <c r="RW128" i="5"/>
  <c r="RW132" i="5"/>
  <c r="NF132" i="5" s="1"/>
  <c r="RW134" i="5"/>
  <c r="RW135" i="5"/>
  <c r="RW136" i="5"/>
  <c r="RW137" i="5"/>
  <c r="RW138" i="5"/>
  <c r="RW140" i="5"/>
  <c r="IP140" i="5" s="1"/>
  <c r="RW141" i="5"/>
  <c r="RW142" i="5"/>
  <c r="NF142" i="5" s="1"/>
  <c r="RW145" i="5"/>
  <c r="RW147" i="5"/>
  <c r="RW148" i="5"/>
  <c r="NF148" i="5" s="1"/>
  <c r="RW150" i="5"/>
  <c r="RW151" i="5"/>
  <c r="RW152" i="5"/>
  <c r="RW153" i="5"/>
  <c r="NF153" i="5" s="1"/>
  <c r="RW154" i="5"/>
  <c r="RW157" i="5"/>
  <c r="NF157" i="5" s="1"/>
  <c r="RW158" i="5"/>
  <c r="IP158" i="5" s="1"/>
  <c r="RW159" i="5"/>
  <c r="RW160" i="5"/>
  <c r="RW161" i="5"/>
  <c r="RW162" i="5"/>
  <c r="RW163" i="5"/>
  <c r="RW166" i="5"/>
  <c r="RW167" i="5"/>
  <c r="IP167" i="5" s="1"/>
  <c r="RW171" i="5"/>
  <c r="NF171" i="5" s="1"/>
  <c r="RW174" i="5"/>
  <c r="RW175" i="5"/>
  <c r="RW176" i="5"/>
  <c r="RW178" i="5"/>
  <c r="NF178" i="5" s="1"/>
  <c r="RW179" i="5"/>
  <c r="RW180" i="5"/>
  <c r="NF180" i="5" s="1"/>
  <c r="RW181" i="5"/>
  <c r="RW182" i="5"/>
  <c r="RW183" i="5"/>
  <c r="RW184" i="5"/>
  <c r="RW186" i="5"/>
  <c r="RW187" i="5"/>
  <c r="RW188" i="5"/>
  <c r="NF188" i="5" s="1"/>
  <c r="RW189" i="5"/>
  <c r="RW190" i="5"/>
  <c r="RW191" i="5"/>
  <c r="NF191" i="5" s="1"/>
  <c r="RW192" i="5"/>
  <c r="RW194" i="5"/>
  <c r="RW195" i="5"/>
  <c r="IG195" i="5" s="1"/>
  <c r="RW196" i="5"/>
  <c r="IG196" i="5" s="1"/>
  <c r="RW197" i="5"/>
  <c r="IG197" i="5" s="1"/>
  <c r="RW198" i="5"/>
  <c r="IG198" i="5" s="1"/>
  <c r="RW199" i="5"/>
  <c r="IG199" i="5" s="1"/>
  <c r="RW200" i="5"/>
  <c r="IG200" i="5" s="1"/>
  <c r="RW201" i="5"/>
  <c r="IG201" i="5" s="1"/>
  <c r="RW202" i="5"/>
  <c r="RW204" i="5"/>
  <c r="IG204" i="5" s="1"/>
  <c r="BT204" i="5" s="1"/>
  <c r="RW206" i="5"/>
  <c r="NF206" i="5" s="1"/>
  <c r="RW208" i="5"/>
  <c r="IG208" i="5" s="1"/>
  <c r="RW212" i="5"/>
  <c r="IG212" i="5" s="1"/>
  <c r="RW214" i="5"/>
  <c r="NF214" i="5" s="1"/>
  <c r="RW215" i="5"/>
  <c r="NF215" i="5" s="1"/>
  <c r="RW216" i="5"/>
  <c r="NF216" i="5" s="1"/>
  <c r="RW217" i="5"/>
  <c r="NF217" i="5" s="1"/>
  <c r="RW218" i="5"/>
  <c r="IG218" i="5" s="1"/>
  <c r="RW219" i="5"/>
  <c r="IG219" i="5" s="1"/>
  <c r="RW220" i="5"/>
  <c r="NF220" i="5" s="1"/>
  <c r="RW221" i="5"/>
  <c r="RW222" i="5"/>
  <c r="NF222" i="5" s="1"/>
  <c r="RW223" i="5"/>
  <c r="IG223" i="5" s="1"/>
  <c r="RW224" i="5"/>
  <c r="IG224" i="5" s="1"/>
  <c r="RW225" i="5"/>
  <c r="NF225" i="5" s="1"/>
  <c r="RW226" i="5"/>
  <c r="NF226" i="5" s="1"/>
  <c r="RW227" i="5"/>
  <c r="RW228" i="5"/>
  <c r="IG228" i="5" s="1"/>
  <c r="RW229" i="5"/>
  <c r="IG229" i="5" s="1"/>
  <c r="RW230" i="5"/>
  <c r="NF230" i="5" s="1"/>
  <c r="RW231" i="5"/>
  <c r="IG231" i="5" s="1"/>
  <c r="RW234" i="5"/>
  <c r="RW235" i="5"/>
  <c r="NF235" i="5" s="1"/>
  <c r="RW236" i="5"/>
  <c r="IG236" i="5" s="1"/>
  <c r="RW237" i="5"/>
  <c r="IG237" i="5" s="1"/>
  <c r="RW238" i="5"/>
  <c r="IG238" i="5" s="1"/>
  <c r="RW239" i="5"/>
  <c r="NF239" i="5" s="1"/>
  <c r="RW240" i="5"/>
  <c r="IG240" i="5" s="1"/>
  <c r="RW241" i="5"/>
  <c r="IG241" i="5" s="1"/>
  <c r="RW242" i="5"/>
  <c r="IG242" i="5" s="1"/>
  <c r="BT242" i="5" s="1"/>
  <c r="RW243" i="5"/>
  <c r="IG243" i="5" s="1"/>
  <c r="RW244" i="5"/>
  <c r="IG244" i="5" s="1"/>
  <c r="RW245" i="5"/>
  <c r="IG245" i="5" s="1"/>
  <c r="RW246" i="5"/>
  <c r="IG246" i="5" s="1"/>
  <c r="RW247" i="5"/>
  <c r="IG247" i="5" s="1"/>
  <c r="RW248" i="5"/>
  <c r="IG248" i="5" s="1"/>
  <c r="NF207" i="5"/>
  <c r="NF242" i="5"/>
  <c r="NF243" i="5"/>
  <c r="NF248" i="5"/>
  <c r="MI3" i="5"/>
  <c r="MI4" i="5"/>
  <c r="MI5" i="5"/>
  <c r="MI6" i="5"/>
  <c r="MI7" i="5"/>
  <c r="MI8" i="5"/>
  <c r="MI9" i="5"/>
  <c r="MI10" i="5"/>
  <c r="MI11" i="5"/>
  <c r="MI12" i="5"/>
  <c r="MI13" i="5"/>
  <c r="MI14" i="5"/>
  <c r="MI15" i="5"/>
  <c r="MI16" i="5"/>
  <c r="MI17" i="5"/>
  <c r="MI18" i="5"/>
  <c r="MI19" i="5"/>
  <c r="MI20" i="5"/>
  <c r="MI21" i="5"/>
  <c r="MI22" i="5"/>
  <c r="MI23" i="5"/>
  <c r="MI24" i="5"/>
  <c r="MI25" i="5"/>
  <c r="MI26" i="5"/>
  <c r="MI27" i="5"/>
  <c r="MI28" i="5"/>
  <c r="MI29" i="5"/>
  <c r="MI30" i="5"/>
  <c r="MI31" i="5"/>
  <c r="MI32" i="5"/>
  <c r="MI33" i="5"/>
  <c r="MI34" i="5"/>
  <c r="MI35" i="5"/>
  <c r="MI36" i="5"/>
  <c r="MI37" i="5"/>
  <c r="MI38" i="5"/>
  <c r="MI39" i="5"/>
  <c r="MI40" i="5"/>
  <c r="MI41" i="5"/>
  <c r="MI42" i="5"/>
  <c r="MI43" i="5"/>
  <c r="MI44" i="5"/>
  <c r="MI45" i="5"/>
  <c r="MI46" i="5"/>
  <c r="MI47" i="5"/>
  <c r="MI48" i="5"/>
  <c r="MI49" i="5"/>
  <c r="MI50" i="5"/>
  <c r="MI51" i="5"/>
  <c r="MI52" i="5"/>
  <c r="MI53" i="5"/>
  <c r="MI54" i="5"/>
  <c r="MI55" i="5"/>
  <c r="MI56" i="5"/>
  <c r="MI57" i="5"/>
  <c r="MI58" i="5"/>
  <c r="MI59" i="5"/>
  <c r="MI60" i="5"/>
  <c r="MI61" i="5"/>
  <c r="MI62" i="5"/>
  <c r="MI63" i="5"/>
  <c r="MI64" i="5"/>
  <c r="MI65" i="5"/>
  <c r="MI66" i="5"/>
  <c r="MI67" i="5"/>
  <c r="MI68" i="5"/>
  <c r="MI69" i="5"/>
  <c r="MI70" i="5"/>
  <c r="MI71" i="5"/>
  <c r="MI72" i="5"/>
  <c r="MI73" i="5"/>
  <c r="MI74" i="5"/>
  <c r="MI75" i="5"/>
  <c r="MI76" i="5"/>
  <c r="MI77" i="5"/>
  <c r="MI78" i="5"/>
  <c r="MI79" i="5"/>
  <c r="MI80" i="5"/>
  <c r="MI81" i="5"/>
  <c r="MI82" i="5"/>
  <c r="MI83" i="5"/>
  <c r="MI84" i="5"/>
  <c r="MI85" i="5"/>
  <c r="MI86" i="5"/>
  <c r="MI87" i="5"/>
  <c r="MI88" i="5"/>
  <c r="MI89" i="5"/>
  <c r="MI90" i="5"/>
  <c r="MI91" i="5"/>
  <c r="MI92" i="5"/>
  <c r="MI93" i="5"/>
  <c r="MI94" i="5"/>
  <c r="MI95" i="5"/>
  <c r="MI96" i="5"/>
  <c r="MI97" i="5"/>
  <c r="MI98" i="5"/>
  <c r="MI99" i="5"/>
  <c r="MI100" i="5"/>
  <c r="MI101" i="5"/>
  <c r="MI102" i="5"/>
  <c r="MI103" i="5"/>
  <c r="MI104" i="5"/>
  <c r="MI105" i="5"/>
  <c r="MI106" i="5"/>
  <c r="MI107" i="5"/>
  <c r="MI108" i="5"/>
  <c r="MI109" i="5"/>
  <c r="MI110" i="5"/>
  <c r="MI111" i="5"/>
  <c r="MI112" i="5"/>
  <c r="MI113" i="5"/>
  <c r="MI114" i="5"/>
  <c r="MI115" i="5"/>
  <c r="MI116" i="5"/>
  <c r="MI117" i="5"/>
  <c r="MI118" i="5"/>
  <c r="MI119" i="5"/>
  <c r="MI120" i="5"/>
  <c r="MI121" i="5"/>
  <c r="MI122" i="5"/>
  <c r="MI123" i="5"/>
  <c r="MI124" i="5"/>
  <c r="MI125" i="5"/>
  <c r="MI126" i="5"/>
  <c r="MI127" i="5"/>
  <c r="MI128" i="5"/>
  <c r="MI129" i="5"/>
  <c r="MI130" i="5"/>
  <c r="MI131" i="5"/>
  <c r="MI132" i="5"/>
  <c r="MI133" i="5"/>
  <c r="MI134" i="5"/>
  <c r="MI135" i="5"/>
  <c r="MI136" i="5"/>
  <c r="MI137" i="5"/>
  <c r="MI138" i="5"/>
  <c r="MI139" i="5"/>
  <c r="MI140" i="5"/>
  <c r="MI141" i="5"/>
  <c r="MI142" i="5"/>
  <c r="MI143" i="5"/>
  <c r="MI144" i="5"/>
  <c r="MI145" i="5"/>
  <c r="MI146" i="5"/>
  <c r="MI147" i="5"/>
  <c r="MI148" i="5"/>
  <c r="MI149" i="5"/>
  <c r="MI150" i="5"/>
  <c r="MI151" i="5"/>
  <c r="MI152" i="5"/>
  <c r="MI153" i="5"/>
  <c r="MI154" i="5"/>
  <c r="MI155" i="5"/>
  <c r="MI156" i="5"/>
  <c r="MI157" i="5"/>
  <c r="MI158" i="5"/>
  <c r="MI159" i="5"/>
  <c r="MI160" i="5"/>
  <c r="MI161" i="5"/>
  <c r="MI162" i="5"/>
  <c r="MI163" i="5"/>
  <c r="MI164" i="5"/>
  <c r="MI165" i="5"/>
  <c r="MI166" i="5"/>
  <c r="MI167" i="5"/>
  <c r="MI168" i="5"/>
  <c r="MI169" i="5"/>
  <c r="MI170" i="5"/>
  <c r="MI171" i="5"/>
  <c r="MI172" i="5"/>
  <c r="MI173" i="5"/>
  <c r="MI174" i="5"/>
  <c r="MI175" i="5"/>
  <c r="MI176" i="5"/>
  <c r="MI177" i="5"/>
  <c r="MI178" i="5"/>
  <c r="MI179" i="5"/>
  <c r="MI180" i="5"/>
  <c r="MI181" i="5"/>
  <c r="MI182" i="5"/>
  <c r="MI183" i="5"/>
  <c r="MI184" i="5"/>
  <c r="MI185" i="5"/>
  <c r="MI186" i="5"/>
  <c r="MI187" i="5"/>
  <c r="MI188" i="5"/>
  <c r="MI189" i="5"/>
  <c r="MI190" i="5"/>
  <c r="MI191" i="5"/>
  <c r="MI192" i="5"/>
  <c r="MI193" i="5"/>
  <c r="MI202" i="5"/>
  <c r="MI203" i="5"/>
  <c r="MI204" i="5"/>
  <c r="MI205" i="5"/>
  <c r="MI206" i="5"/>
  <c r="MI207" i="5"/>
  <c r="MI208" i="5"/>
  <c r="MI209" i="5"/>
  <c r="MI210" i="5"/>
  <c r="MI211" i="5"/>
  <c r="MI212" i="5"/>
  <c r="MI213" i="5"/>
  <c r="MI214" i="5"/>
  <c r="MI215" i="5"/>
  <c r="MI216" i="5"/>
  <c r="MI217" i="5"/>
  <c r="MI218" i="5"/>
  <c r="MI219" i="5"/>
  <c r="MI220" i="5"/>
  <c r="MI221" i="5"/>
  <c r="MI222" i="5"/>
  <c r="MI223" i="5"/>
  <c r="MI224" i="5"/>
  <c r="MI225" i="5"/>
  <c r="MI226" i="5"/>
  <c r="MI227" i="5"/>
  <c r="MI228" i="5"/>
  <c r="MI229" i="5"/>
  <c r="MI230" i="5"/>
  <c r="MI231" i="5"/>
  <c r="MI232" i="5"/>
  <c r="MI233" i="5"/>
  <c r="MI234" i="5"/>
  <c r="MI235" i="5"/>
  <c r="MI236" i="5"/>
  <c r="MI237" i="5"/>
  <c r="MI238" i="5"/>
  <c r="MI239" i="5"/>
  <c r="MI240" i="5"/>
  <c r="MI241" i="5"/>
  <c r="MI242" i="5"/>
  <c r="MI243" i="5"/>
  <c r="MI244" i="5"/>
  <c r="MI245" i="5"/>
  <c r="MI246" i="5"/>
  <c r="MI247" i="5"/>
  <c r="MI248" i="5"/>
  <c r="NF241" i="5" l="1"/>
  <c r="NF240" i="5"/>
  <c r="NF245" i="5"/>
  <c r="NF237" i="5"/>
  <c r="NF247" i="5"/>
  <c r="NF246" i="5"/>
  <c r="BT248" i="5"/>
  <c r="GU248" i="5" s="1"/>
  <c r="GV248" i="5" s="1"/>
  <c r="BU248" i="5"/>
  <c r="EZ248" i="5" s="1"/>
  <c r="RV248" i="5"/>
  <c r="BT247" i="5"/>
  <c r="GU247" i="5" s="1"/>
  <c r="GV247" i="5" s="1"/>
  <c r="BU247" i="5"/>
  <c r="RV247" i="5"/>
  <c r="BT246" i="5"/>
  <c r="GU246" i="5" s="1"/>
  <c r="GV246" i="5" s="1"/>
  <c r="BU246" i="5"/>
  <c r="EZ246" i="5" s="1"/>
  <c r="RV246" i="5"/>
  <c r="NF244" i="5"/>
  <c r="BT245" i="5"/>
  <c r="GU245" i="5" s="1"/>
  <c r="GV245" i="5" s="1"/>
  <c r="BU245" i="5"/>
  <c r="RV245" i="5"/>
  <c r="BT244" i="5"/>
  <c r="GU244" i="5" s="1"/>
  <c r="GV244" i="5" s="1"/>
  <c r="BU244" i="5"/>
  <c r="EZ244" i="5" s="1"/>
  <c r="RV244" i="5"/>
  <c r="NF238" i="5"/>
  <c r="BT243" i="5"/>
  <c r="GU243" i="5" s="1"/>
  <c r="GV243" i="5" s="1"/>
  <c r="BU243" i="5"/>
  <c r="RV243" i="5"/>
  <c r="IH242" i="5"/>
  <c r="II242" i="5" s="1"/>
  <c r="GU242" i="5"/>
  <c r="GV242" i="5" s="1"/>
  <c r="HZ242" i="5"/>
  <c r="FC242" i="5"/>
  <c r="FI242" i="5"/>
  <c r="FX242" i="5"/>
  <c r="EY242" i="5"/>
  <c r="GP242" i="5"/>
  <c r="EO242" i="5"/>
  <c r="EQ242" i="5" s="1"/>
  <c r="RV242" i="5"/>
  <c r="BT241" i="5"/>
  <c r="GU241" i="5" s="1"/>
  <c r="GV241" i="5" s="1"/>
  <c r="BU241" i="5"/>
  <c r="EZ241" i="5" s="1"/>
  <c r="RV241" i="5"/>
  <c r="BT240" i="5"/>
  <c r="GU240" i="5" s="1"/>
  <c r="GV240" i="5" s="1"/>
  <c r="BU240" i="5"/>
  <c r="EZ240" i="5" s="1"/>
  <c r="RV240" i="5"/>
  <c r="IG239" i="5"/>
  <c r="BU239" i="5"/>
  <c r="RV239" i="5"/>
  <c r="BT238" i="5"/>
  <c r="GU238" i="5" s="1"/>
  <c r="GV238" i="5" s="1"/>
  <c r="BU238" i="5"/>
  <c r="EZ238" i="5" s="1"/>
  <c r="RV238" i="5"/>
  <c r="BT237" i="5"/>
  <c r="GU237" i="5" s="1"/>
  <c r="GV237" i="5" s="1"/>
  <c r="BU237" i="5"/>
  <c r="EZ237" i="5" s="1"/>
  <c r="RV237" i="5"/>
  <c r="NF221" i="5"/>
  <c r="NF163" i="5"/>
  <c r="NF227" i="5"/>
  <c r="NF147" i="5"/>
  <c r="IG202" i="5"/>
  <c r="BT202" i="5" s="1"/>
  <c r="GU202" i="5" s="1"/>
  <c r="GV202" i="5" s="1"/>
  <c r="RV234" i="5"/>
  <c r="IG234" i="5"/>
  <c r="IH123" i="5"/>
  <c r="II123" i="5" s="1"/>
  <c r="GU123" i="5"/>
  <c r="GV123" i="5" s="1"/>
  <c r="JO158" i="5"/>
  <c r="JE158" i="5"/>
  <c r="JO167" i="5"/>
  <c r="JE167" i="5"/>
  <c r="NF166" i="5"/>
  <c r="IP166" i="5"/>
  <c r="JO127" i="5"/>
  <c r="JE127" i="5"/>
  <c r="JO79" i="5"/>
  <c r="JE79" i="5"/>
  <c r="JO109" i="5"/>
  <c r="JE109" i="5"/>
  <c r="JO89" i="5"/>
  <c r="JE89" i="5"/>
  <c r="JE83" i="5"/>
  <c r="JO83" i="5"/>
  <c r="IP74" i="5"/>
  <c r="JE73" i="5" s="1"/>
  <c r="IP73" i="5"/>
  <c r="JO72" i="5" s="1"/>
  <c r="JO120" i="5"/>
  <c r="JE120" i="5"/>
  <c r="JO82" i="5"/>
  <c r="JE82" i="5"/>
  <c r="JE76" i="5"/>
  <c r="JO76" i="5"/>
  <c r="JE87" i="5"/>
  <c r="JO87" i="5"/>
  <c r="JO69" i="5"/>
  <c r="JE69" i="5"/>
  <c r="JE65" i="5"/>
  <c r="JO65" i="5"/>
  <c r="JE59" i="5"/>
  <c r="JO59" i="5"/>
  <c r="JO53" i="5"/>
  <c r="JE53" i="5"/>
  <c r="JO48" i="5"/>
  <c r="JE48" i="5"/>
  <c r="JO36" i="5"/>
  <c r="JE36" i="5"/>
  <c r="JO29" i="5"/>
  <c r="JE29" i="5"/>
  <c r="JO24" i="5"/>
  <c r="JE24" i="5"/>
  <c r="JE8" i="5"/>
  <c r="JO8" i="5"/>
  <c r="JO68" i="5"/>
  <c r="JE68" i="5"/>
  <c r="JO58" i="5"/>
  <c r="JE58" i="5"/>
  <c r="JO51" i="5"/>
  <c r="JE51" i="5"/>
  <c r="JO40" i="5"/>
  <c r="JE40" i="5"/>
  <c r="JO35" i="5"/>
  <c r="JE35" i="5"/>
  <c r="JE21" i="5"/>
  <c r="JO21" i="5"/>
  <c r="JO13" i="5"/>
  <c r="JE13" i="5"/>
  <c r="JO7" i="5"/>
  <c r="JE7" i="5"/>
  <c r="JO67" i="5"/>
  <c r="JE67" i="5"/>
  <c r="JO63" i="5"/>
  <c r="JE63" i="5"/>
  <c r="JO56" i="5"/>
  <c r="JE56" i="5"/>
  <c r="JO50" i="5"/>
  <c r="JE50" i="5"/>
  <c r="JO38" i="5"/>
  <c r="JE38" i="5"/>
  <c r="JE33" i="5"/>
  <c r="JO33" i="5"/>
  <c r="JO27" i="5"/>
  <c r="JE27" i="5"/>
  <c r="JO19" i="5"/>
  <c r="JE19" i="5"/>
  <c r="JE11" i="5"/>
  <c r="JO11" i="5"/>
  <c r="JE5" i="5"/>
  <c r="JO5" i="5"/>
  <c r="JO70" i="5"/>
  <c r="JE70" i="5"/>
  <c r="JO66" i="5"/>
  <c r="JE66" i="5"/>
  <c r="JO55" i="5"/>
  <c r="JE55" i="5"/>
  <c r="JE49" i="5"/>
  <c r="JO49" i="5"/>
  <c r="JO43" i="5"/>
  <c r="JE43" i="5"/>
  <c r="JO37" i="5"/>
  <c r="JE37" i="5"/>
  <c r="JO32" i="5"/>
  <c r="JE32" i="5"/>
  <c r="JO26" i="5"/>
  <c r="JE26" i="5"/>
  <c r="JE10" i="5"/>
  <c r="JO10" i="5"/>
  <c r="JE4" i="5"/>
  <c r="JO4" i="5"/>
  <c r="JO119" i="5"/>
  <c r="JE119" i="5"/>
  <c r="JO92" i="5"/>
  <c r="JE92" i="5"/>
  <c r="JO77" i="5"/>
  <c r="JO105" i="5"/>
  <c r="JE105" i="5"/>
  <c r="JE110" i="5"/>
  <c r="JO110" i="5"/>
  <c r="JO140" i="5"/>
  <c r="JE140" i="5"/>
  <c r="NF141" i="5"/>
  <c r="IE141" i="5" s="1"/>
  <c r="IP141" i="5"/>
  <c r="FR141" i="5" s="1"/>
  <c r="JE97" i="5"/>
  <c r="JO97" i="5"/>
  <c r="NF219" i="5"/>
  <c r="NF236" i="5"/>
  <c r="NF186" i="5"/>
  <c r="IP186" i="5"/>
  <c r="JO98" i="5"/>
  <c r="JE98" i="5"/>
  <c r="JO81" i="5"/>
  <c r="JE81" i="5"/>
  <c r="JE113" i="5"/>
  <c r="JO113" i="5"/>
  <c r="JE102" i="5"/>
  <c r="JO102" i="5"/>
  <c r="BQ160" i="5"/>
  <c r="BU160" i="5"/>
  <c r="IG160" i="5"/>
  <c r="NF234" i="5"/>
  <c r="NF231" i="5"/>
  <c r="NF223" i="5"/>
  <c r="NF212" i="5"/>
  <c r="BT236" i="5"/>
  <c r="GU236" i="5" s="1"/>
  <c r="GV236" i="5" s="1"/>
  <c r="BU236" i="5"/>
  <c r="EZ236" i="5" s="1"/>
  <c r="RV236" i="5"/>
  <c r="NF176" i="5"/>
  <c r="IG176" i="5"/>
  <c r="BT176" i="5" s="1"/>
  <c r="HZ176" i="5" s="1"/>
  <c r="NF218" i="5"/>
  <c r="RV212" i="5"/>
  <c r="BT212" i="5"/>
  <c r="IH212" i="5" s="1"/>
  <c r="II212" i="5" s="1"/>
  <c r="NF192" i="5"/>
  <c r="IG192" i="5"/>
  <c r="NF228" i="5"/>
  <c r="NF208" i="5"/>
  <c r="NF204" i="5"/>
  <c r="RV235" i="5"/>
  <c r="IG235" i="5"/>
  <c r="BU235" i="5"/>
  <c r="EZ235" i="5" s="1"/>
  <c r="NF229" i="5"/>
  <c r="RV204" i="5"/>
  <c r="IG230" i="5"/>
  <c r="BT231" i="5"/>
  <c r="IH231" i="5" s="1"/>
  <c r="II231" i="5" s="1"/>
  <c r="RV231" i="5"/>
  <c r="NF224" i="5"/>
  <c r="RV230" i="5"/>
  <c r="BT229" i="5"/>
  <c r="GU229" i="5" s="1"/>
  <c r="GV229" i="5" s="1"/>
  <c r="RV229" i="5"/>
  <c r="BT228" i="5"/>
  <c r="GU228" i="5" s="1"/>
  <c r="GV228" i="5" s="1"/>
  <c r="RV228" i="5"/>
  <c r="RV227" i="5"/>
  <c r="IG227" i="5"/>
  <c r="BT227" i="5" s="1"/>
  <c r="FI227" i="5" s="1"/>
  <c r="RV226" i="5"/>
  <c r="IG226" i="5"/>
  <c r="BT223" i="5"/>
  <c r="GU223" i="5" s="1"/>
  <c r="GV223" i="5" s="1"/>
  <c r="RV223" i="5"/>
  <c r="BT224" i="5"/>
  <c r="GU224" i="5" s="1"/>
  <c r="GV224" i="5" s="1"/>
  <c r="RV224" i="5"/>
  <c r="RV225" i="5"/>
  <c r="IG225" i="5"/>
  <c r="RV222" i="5"/>
  <c r="IG222" i="5"/>
  <c r="RV221" i="5"/>
  <c r="IG221" i="5"/>
  <c r="BU221" i="5"/>
  <c r="EZ221" i="5" s="1"/>
  <c r="RV220" i="5"/>
  <c r="IG220" i="5"/>
  <c r="BU220" i="5"/>
  <c r="EZ220" i="5" s="1"/>
  <c r="RV219" i="5"/>
  <c r="BT219" i="5"/>
  <c r="GU219" i="5" s="1"/>
  <c r="GV219" i="5" s="1"/>
  <c r="BT218" i="5"/>
  <c r="GU218" i="5" s="1"/>
  <c r="GV218" i="5" s="1"/>
  <c r="RV218" i="5"/>
  <c r="BU218" i="5"/>
  <c r="EZ218" i="5" s="1"/>
  <c r="RV217" i="5"/>
  <c r="IG217" i="5"/>
  <c r="BU217" i="5"/>
  <c r="EZ217" i="5" s="1"/>
  <c r="RV216" i="5"/>
  <c r="IG216" i="5"/>
  <c r="BU216" i="5"/>
  <c r="EZ216" i="5" s="1"/>
  <c r="RV215" i="5"/>
  <c r="IG215" i="5"/>
  <c r="BU215" i="5"/>
  <c r="EZ215" i="5" s="1"/>
  <c r="RV214" i="5"/>
  <c r="IG214" i="5"/>
  <c r="BU214" i="5"/>
  <c r="EZ214" i="5" s="1"/>
  <c r="BT208" i="5"/>
  <c r="GU208" i="5" s="1"/>
  <c r="GV208" i="5" s="1"/>
  <c r="RV208" i="5"/>
  <c r="JO64" i="5"/>
  <c r="JE64" i="5"/>
  <c r="RV206" i="5"/>
  <c r="IG206" i="5"/>
  <c r="BT200" i="5"/>
  <c r="GU200" i="5" s="1"/>
  <c r="GV200" i="5" s="1"/>
  <c r="NF202" i="5"/>
  <c r="IH204" i="5"/>
  <c r="II204" i="5" s="1"/>
  <c r="BU202" i="5"/>
  <c r="EZ202" i="5" s="1"/>
  <c r="RV202" i="5"/>
  <c r="BT201" i="5"/>
  <c r="IH201" i="5" s="1"/>
  <c r="II201" i="5" s="1"/>
  <c r="BU201" i="5"/>
  <c r="RV201" i="5"/>
  <c r="BU200" i="5"/>
  <c r="EZ200" i="5" s="1"/>
  <c r="RV200" i="5"/>
  <c r="BT199" i="5"/>
  <c r="GU199" i="5" s="1"/>
  <c r="GV199" i="5" s="1"/>
  <c r="BU199" i="5"/>
  <c r="EZ199" i="5" s="1"/>
  <c r="RV199" i="5"/>
  <c r="BT198" i="5"/>
  <c r="GU198" i="5" s="1"/>
  <c r="GV198" i="5" s="1"/>
  <c r="BU198" i="5"/>
  <c r="IE198" i="5" s="1"/>
  <c r="RV198" i="5"/>
  <c r="BT197" i="5"/>
  <c r="GU197" i="5" s="1"/>
  <c r="GV197" i="5" s="1"/>
  <c r="BU197" i="5"/>
  <c r="EZ197" i="5" s="1"/>
  <c r="RV197" i="5"/>
  <c r="BT196" i="5"/>
  <c r="GU196" i="5" s="1"/>
  <c r="GV196" i="5" s="1"/>
  <c r="BU196" i="5"/>
  <c r="EZ196" i="5" s="1"/>
  <c r="RV196" i="5"/>
  <c r="BT195" i="5"/>
  <c r="GU195" i="5" s="1"/>
  <c r="GV195" i="5" s="1"/>
  <c r="BU195" i="5"/>
  <c r="EZ195" i="5" s="1"/>
  <c r="RV195" i="5"/>
  <c r="BQ247" i="5"/>
  <c r="DZ247" i="5"/>
  <c r="DW247" i="5" s="1"/>
  <c r="NI247" i="5" s="1"/>
  <c r="DX247" i="5" s="1"/>
  <c r="BQ231" i="5"/>
  <c r="DZ231" i="5"/>
  <c r="DW231" i="5" s="1"/>
  <c r="NI231" i="5" s="1"/>
  <c r="DX231" i="5" s="1"/>
  <c r="BQ223" i="5"/>
  <c r="DZ223" i="5"/>
  <c r="DW223" i="5" s="1"/>
  <c r="NI223" i="5" s="1"/>
  <c r="DX223" i="5" s="1"/>
  <c r="BQ219" i="5"/>
  <c r="DZ219" i="5"/>
  <c r="DW219" i="5" s="1"/>
  <c r="NI219" i="5" s="1"/>
  <c r="DX219" i="5" s="1"/>
  <c r="BQ197" i="5"/>
  <c r="DZ197" i="5"/>
  <c r="IG190" i="5"/>
  <c r="DZ190" i="5"/>
  <c r="DW190" i="5" s="1"/>
  <c r="IG182" i="5"/>
  <c r="DZ182" i="5"/>
  <c r="DW182" i="5" s="1"/>
  <c r="IG174" i="5"/>
  <c r="BT174" i="5" s="1"/>
  <c r="DZ174" i="5"/>
  <c r="DW174" i="5" s="1"/>
  <c r="IG167" i="5"/>
  <c r="BT167" i="5" s="1"/>
  <c r="DZ167" i="5"/>
  <c r="DW167" i="5" s="1"/>
  <c r="IG159" i="5"/>
  <c r="BT159" i="5" s="1"/>
  <c r="DZ159" i="5"/>
  <c r="DW159" i="5" s="1"/>
  <c r="IG151" i="5"/>
  <c r="DZ151" i="5"/>
  <c r="DW151" i="5" s="1"/>
  <c r="IG136" i="5"/>
  <c r="DZ136" i="5"/>
  <c r="DW136" i="5" s="1"/>
  <c r="IG118" i="5"/>
  <c r="DZ118" i="5"/>
  <c r="DW118" i="5" s="1"/>
  <c r="IG110" i="5"/>
  <c r="BT110" i="5" s="1"/>
  <c r="DZ110" i="5"/>
  <c r="DW110" i="5" s="1"/>
  <c r="IG100" i="5"/>
  <c r="DZ100" i="5"/>
  <c r="DW100" i="5" s="1"/>
  <c r="IG79" i="5"/>
  <c r="BT79" i="5" s="1"/>
  <c r="DZ79" i="5"/>
  <c r="DW79" i="5" s="1"/>
  <c r="IG70" i="5"/>
  <c r="BT70" i="5" s="1"/>
  <c r="DZ70" i="5"/>
  <c r="DW70" i="5" s="1"/>
  <c r="IG61" i="5"/>
  <c r="BT61" i="5" s="1"/>
  <c r="DZ61" i="5"/>
  <c r="DW61" i="5" s="1"/>
  <c r="IG49" i="5"/>
  <c r="DZ49" i="5"/>
  <c r="DW49" i="5" s="1"/>
  <c r="IG37" i="5"/>
  <c r="BT37" i="5" s="1"/>
  <c r="DZ37" i="5"/>
  <c r="DW37" i="5" s="1"/>
  <c r="IG26" i="5"/>
  <c r="BT26" i="5" s="1"/>
  <c r="DZ26" i="5"/>
  <c r="DW26" i="5" s="1"/>
  <c r="IG10" i="5"/>
  <c r="DZ10" i="5"/>
  <c r="DW10" i="5" s="1"/>
  <c r="BQ246" i="5"/>
  <c r="DZ246" i="5"/>
  <c r="DW246" i="5" s="1"/>
  <c r="NI246" i="5" s="1"/>
  <c r="DX246" i="5" s="1"/>
  <c r="BQ238" i="5"/>
  <c r="DZ238" i="5"/>
  <c r="DW238" i="5" s="1"/>
  <c r="NI238" i="5" s="1"/>
  <c r="DX238" i="5" s="1"/>
  <c r="BQ230" i="5"/>
  <c r="DZ230" i="5"/>
  <c r="DW230" i="5" s="1"/>
  <c r="NI230" i="5" s="1"/>
  <c r="DX230" i="5" s="1"/>
  <c r="BQ222" i="5"/>
  <c r="DZ222" i="5"/>
  <c r="DW222" i="5" s="1"/>
  <c r="NI222" i="5" s="1"/>
  <c r="HM222" i="5" s="1"/>
  <c r="BQ215" i="5"/>
  <c r="DZ215" i="5"/>
  <c r="DW215" i="5" s="1"/>
  <c r="NI215" i="5" s="1"/>
  <c r="DX215" i="5" s="1"/>
  <c r="BQ202" i="5"/>
  <c r="DZ202" i="5"/>
  <c r="DW202" i="5" s="1"/>
  <c r="NI202" i="5" s="1"/>
  <c r="DX202" i="5" s="1"/>
  <c r="BQ196" i="5"/>
  <c r="DZ196" i="5"/>
  <c r="IG189" i="5"/>
  <c r="DZ189" i="5"/>
  <c r="DW189" i="5" s="1"/>
  <c r="IG181" i="5"/>
  <c r="DZ181" i="5"/>
  <c r="DW181" i="5" s="1"/>
  <c r="IG166" i="5"/>
  <c r="DZ166" i="5"/>
  <c r="DW166" i="5" s="1"/>
  <c r="IG158" i="5"/>
  <c r="BT158" i="5" s="1"/>
  <c r="DZ158" i="5"/>
  <c r="DW158" i="5" s="1"/>
  <c r="IG150" i="5"/>
  <c r="BT150" i="5" s="1"/>
  <c r="DZ150" i="5"/>
  <c r="DW150" i="5" s="1"/>
  <c r="IG135" i="5"/>
  <c r="BT135" i="5" s="1"/>
  <c r="DZ135" i="5"/>
  <c r="DW135" i="5" s="1"/>
  <c r="IG125" i="5"/>
  <c r="DZ125" i="5"/>
  <c r="DW125" i="5" s="1"/>
  <c r="IG117" i="5"/>
  <c r="BT117" i="5" s="1"/>
  <c r="DZ117" i="5"/>
  <c r="DW117" i="5" s="1"/>
  <c r="IG109" i="5"/>
  <c r="DZ109" i="5"/>
  <c r="DW109" i="5" s="1"/>
  <c r="IG89" i="5"/>
  <c r="DZ89" i="5"/>
  <c r="DW89" i="5" s="1"/>
  <c r="IG78" i="5"/>
  <c r="BT78" i="5" s="1"/>
  <c r="DZ78" i="5"/>
  <c r="DW78" i="5" s="1"/>
  <c r="IG69" i="5"/>
  <c r="BT69" i="5" s="1"/>
  <c r="DZ69" i="5"/>
  <c r="DW69" i="5" s="1"/>
  <c r="IG59" i="5"/>
  <c r="BT59" i="5" s="1"/>
  <c r="DZ59" i="5"/>
  <c r="DW59" i="5" s="1"/>
  <c r="IG48" i="5"/>
  <c r="DZ48" i="5"/>
  <c r="DW48" i="5" s="1"/>
  <c r="IG36" i="5"/>
  <c r="BT36" i="5" s="1"/>
  <c r="DZ36" i="5"/>
  <c r="DW36" i="5" s="1"/>
  <c r="IG24" i="5"/>
  <c r="DZ24" i="5"/>
  <c r="DW24" i="5" s="1"/>
  <c r="IG8" i="5"/>
  <c r="BT8" i="5" s="1"/>
  <c r="DZ8" i="5"/>
  <c r="DW8" i="5" s="1"/>
  <c r="BQ245" i="5"/>
  <c r="DZ245" i="5"/>
  <c r="DW245" i="5" s="1"/>
  <c r="NI245" i="5" s="1"/>
  <c r="DX245" i="5" s="1"/>
  <c r="BQ237" i="5"/>
  <c r="DZ237" i="5"/>
  <c r="DW237" i="5" s="1"/>
  <c r="NI237" i="5" s="1"/>
  <c r="HM237" i="5" s="1"/>
  <c r="BQ229" i="5"/>
  <c r="DZ229" i="5"/>
  <c r="DW229" i="5" s="1"/>
  <c r="NI229" i="5" s="1"/>
  <c r="HM229" i="5" s="1"/>
  <c r="BQ208" i="5"/>
  <c r="DZ208" i="5"/>
  <c r="DW208" i="5" s="1"/>
  <c r="NI208" i="5" s="1"/>
  <c r="DX208" i="5" s="1"/>
  <c r="BQ195" i="5"/>
  <c r="DZ195" i="5"/>
  <c r="IG188" i="5"/>
  <c r="DZ188" i="5"/>
  <c r="DW188" i="5" s="1"/>
  <c r="IG180" i="5"/>
  <c r="DZ180" i="5"/>
  <c r="DW180" i="5" s="1"/>
  <c r="IG157" i="5"/>
  <c r="BT157" i="5" s="1"/>
  <c r="DZ157" i="5"/>
  <c r="DW157" i="5" s="1"/>
  <c r="IG148" i="5"/>
  <c r="DZ148" i="5"/>
  <c r="DW148" i="5" s="1"/>
  <c r="IG142" i="5"/>
  <c r="BT142" i="5" s="1"/>
  <c r="DZ142" i="5"/>
  <c r="DW142" i="5" s="1"/>
  <c r="IG134" i="5"/>
  <c r="BT134" i="5" s="1"/>
  <c r="DZ134" i="5"/>
  <c r="DW134" i="5" s="1"/>
  <c r="IG116" i="5"/>
  <c r="BT116" i="5" s="1"/>
  <c r="DZ116" i="5"/>
  <c r="DW116" i="5" s="1"/>
  <c r="IG98" i="5"/>
  <c r="DZ98" i="5"/>
  <c r="DW98" i="5" s="1"/>
  <c r="IG77" i="5"/>
  <c r="DZ77" i="5"/>
  <c r="DW77" i="5" s="1"/>
  <c r="IG68" i="5"/>
  <c r="DZ68" i="5"/>
  <c r="DW68" i="5" s="1"/>
  <c r="IG58" i="5"/>
  <c r="DZ58" i="5"/>
  <c r="DW58" i="5" s="1"/>
  <c r="IG47" i="5"/>
  <c r="BT47" i="5" s="1"/>
  <c r="DZ47" i="5"/>
  <c r="DW47" i="5" s="1"/>
  <c r="IG35" i="5"/>
  <c r="BT35" i="5" s="1"/>
  <c r="DZ35" i="5"/>
  <c r="DW35" i="5" s="1"/>
  <c r="IG21" i="5"/>
  <c r="BT21" i="5" s="1"/>
  <c r="DZ21" i="5"/>
  <c r="DW21" i="5" s="1"/>
  <c r="IG7" i="5"/>
  <c r="BT7" i="5" s="1"/>
  <c r="DZ7" i="5"/>
  <c r="DW7" i="5" s="1"/>
  <c r="BQ244" i="5"/>
  <c r="DZ244" i="5"/>
  <c r="DW244" i="5" s="1"/>
  <c r="NI244" i="5" s="1"/>
  <c r="HM244" i="5" s="1"/>
  <c r="BQ236" i="5"/>
  <c r="DZ236" i="5"/>
  <c r="DW236" i="5" s="1"/>
  <c r="NI236" i="5" s="1"/>
  <c r="DX236" i="5" s="1"/>
  <c r="BQ228" i="5"/>
  <c r="DZ228" i="5"/>
  <c r="DW228" i="5" s="1"/>
  <c r="NI228" i="5" s="1"/>
  <c r="HM228" i="5" s="1"/>
  <c r="BQ214" i="5"/>
  <c r="DZ214" i="5"/>
  <c r="DW214" i="5" s="1"/>
  <c r="NI214" i="5" s="1"/>
  <c r="DX214" i="5" s="1"/>
  <c r="BQ201" i="5"/>
  <c r="DZ201" i="5"/>
  <c r="IG194" i="5"/>
  <c r="DZ194" i="5"/>
  <c r="IG187" i="5"/>
  <c r="BT187" i="5" s="1"/>
  <c r="DZ187" i="5"/>
  <c r="DW187" i="5" s="1"/>
  <c r="IG179" i="5"/>
  <c r="DZ179" i="5"/>
  <c r="DW179" i="5" s="1"/>
  <c r="IG171" i="5"/>
  <c r="DZ171" i="5"/>
  <c r="DW171" i="5" s="1"/>
  <c r="IG147" i="5"/>
  <c r="DZ147" i="5"/>
  <c r="DW147" i="5" s="1"/>
  <c r="BQ141" i="5"/>
  <c r="DZ141" i="5"/>
  <c r="DW141" i="5" s="1"/>
  <c r="EO141" i="5"/>
  <c r="EQ141" i="5" s="1"/>
  <c r="FC141" i="5"/>
  <c r="HZ141" i="5"/>
  <c r="EY141" i="5"/>
  <c r="ET141" i="5"/>
  <c r="DU141" i="5"/>
  <c r="GP141" i="5"/>
  <c r="FO141" i="5"/>
  <c r="GA141" i="5"/>
  <c r="FX141" i="5"/>
  <c r="FL141" i="5"/>
  <c r="FI141" i="5"/>
  <c r="FG141" i="5" s="1"/>
  <c r="DZ123" i="5"/>
  <c r="DW123" i="5" s="1"/>
  <c r="HZ123" i="5"/>
  <c r="FC123" i="5"/>
  <c r="GP123" i="5"/>
  <c r="FX123" i="5"/>
  <c r="FI123" i="5"/>
  <c r="EO123" i="5"/>
  <c r="EQ123" i="5" s="1"/>
  <c r="EY123" i="5"/>
  <c r="IG115" i="5"/>
  <c r="BT115" i="5" s="1"/>
  <c r="DZ115" i="5"/>
  <c r="DW115" i="5" s="1"/>
  <c r="IG106" i="5"/>
  <c r="BT106" i="5" s="1"/>
  <c r="DZ106" i="5"/>
  <c r="DW106" i="5" s="1"/>
  <c r="IG97" i="5"/>
  <c r="DZ97" i="5"/>
  <c r="DW97" i="5" s="1"/>
  <c r="IG87" i="5"/>
  <c r="DZ87" i="5"/>
  <c r="DW87" i="5" s="1"/>
  <c r="IG76" i="5"/>
  <c r="DZ76" i="5"/>
  <c r="DW76" i="5" s="1"/>
  <c r="IG67" i="5"/>
  <c r="BT67" i="5" s="1"/>
  <c r="DZ67" i="5"/>
  <c r="DW67" i="5" s="1"/>
  <c r="IG56" i="5"/>
  <c r="DZ56" i="5"/>
  <c r="DW56" i="5" s="1"/>
  <c r="IG46" i="5"/>
  <c r="DZ46" i="5"/>
  <c r="DW46" i="5" s="1"/>
  <c r="IG33" i="5"/>
  <c r="BT33" i="5" s="1"/>
  <c r="DZ33" i="5"/>
  <c r="DW33" i="5" s="1"/>
  <c r="IG19" i="5"/>
  <c r="BT19" i="5" s="1"/>
  <c r="DZ19" i="5"/>
  <c r="DW19" i="5" s="1"/>
  <c r="IG5" i="5"/>
  <c r="DZ5" i="5"/>
  <c r="DW5" i="5" s="1"/>
  <c r="BQ243" i="5"/>
  <c r="DZ243" i="5"/>
  <c r="DW243" i="5" s="1"/>
  <c r="NI243" i="5" s="1"/>
  <c r="DX243" i="5" s="1"/>
  <c r="BQ235" i="5"/>
  <c r="DZ235" i="5"/>
  <c r="DW235" i="5" s="1"/>
  <c r="NI235" i="5" s="1"/>
  <c r="DX235" i="5" s="1"/>
  <c r="BQ227" i="5"/>
  <c r="DZ227" i="5"/>
  <c r="DW227" i="5" s="1"/>
  <c r="NI227" i="5" s="1"/>
  <c r="DX227" i="5" s="1"/>
  <c r="BQ200" i="5"/>
  <c r="DZ200" i="5"/>
  <c r="IG186" i="5"/>
  <c r="BT186" i="5" s="1"/>
  <c r="DZ186" i="5"/>
  <c r="DW186" i="5" s="1"/>
  <c r="IG178" i="5"/>
  <c r="BT178" i="5" s="1"/>
  <c r="DZ178" i="5"/>
  <c r="DW178" i="5" s="1"/>
  <c r="IG163" i="5"/>
  <c r="DZ163" i="5"/>
  <c r="DW163" i="5" s="1"/>
  <c r="IG140" i="5"/>
  <c r="DZ140" i="5"/>
  <c r="DW140" i="5" s="1"/>
  <c r="IG132" i="5"/>
  <c r="DZ132" i="5"/>
  <c r="DW132" i="5" s="1"/>
  <c r="IG122" i="5"/>
  <c r="BT122" i="5" s="1"/>
  <c r="DZ122" i="5"/>
  <c r="DW122" i="5" s="1"/>
  <c r="IG114" i="5"/>
  <c r="DZ114" i="5"/>
  <c r="DW114" i="5" s="1"/>
  <c r="IG105" i="5"/>
  <c r="BT105" i="5" s="1"/>
  <c r="DZ105" i="5"/>
  <c r="DW105" i="5" s="1"/>
  <c r="IG85" i="5"/>
  <c r="BT85" i="5" s="1"/>
  <c r="DZ85" i="5"/>
  <c r="DW85" i="5" s="1"/>
  <c r="IG74" i="5"/>
  <c r="BT74" i="5" s="1"/>
  <c r="DZ74" i="5"/>
  <c r="DW74" i="5" s="1"/>
  <c r="IG66" i="5"/>
  <c r="DZ66" i="5"/>
  <c r="DW66" i="5" s="1"/>
  <c r="IG55" i="5"/>
  <c r="DZ55" i="5"/>
  <c r="DW55" i="5" s="1"/>
  <c r="IG43" i="5"/>
  <c r="BT43" i="5" s="1"/>
  <c r="DZ43" i="5"/>
  <c r="DW43" i="5" s="1"/>
  <c r="IG32" i="5"/>
  <c r="DZ32" i="5"/>
  <c r="DW32" i="5" s="1"/>
  <c r="IG18" i="5"/>
  <c r="DZ18" i="5"/>
  <c r="DW18" i="5" s="1"/>
  <c r="IG4" i="5"/>
  <c r="DZ4" i="5"/>
  <c r="DW4" i="5" s="1"/>
  <c r="BQ242" i="5"/>
  <c r="DZ242" i="5"/>
  <c r="DW242" i="5" s="1"/>
  <c r="NI242" i="5" s="1"/>
  <c r="DX242" i="5" s="1"/>
  <c r="BQ234" i="5"/>
  <c r="DZ234" i="5"/>
  <c r="DW234" i="5" s="1"/>
  <c r="NI234" i="5" s="1"/>
  <c r="HM234" i="5" s="1"/>
  <c r="BQ226" i="5"/>
  <c r="DZ226" i="5"/>
  <c r="DW226" i="5" s="1"/>
  <c r="NI226" i="5" s="1"/>
  <c r="HM226" i="5" s="1"/>
  <c r="BQ218" i="5"/>
  <c r="DZ218" i="5"/>
  <c r="DW218" i="5" s="1"/>
  <c r="NI218" i="5" s="1"/>
  <c r="HM218" i="5" s="1"/>
  <c r="BQ212" i="5"/>
  <c r="DZ212" i="5"/>
  <c r="DW212" i="5" s="1"/>
  <c r="NI212" i="5" s="1"/>
  <c r="DX212" i="5" s="1"/>
  <c r="BQ206" i="5"/>
  <c r="DZ206" i="5"/>
  <c r="DW206" i="5" s="1"/>
  <c r="NI206" i="5" s="1"/>
  <c r="DX206" i="5" s="1"/>
  <c r="DZ192" i="5"/>
  <c r="DW192" i="5" s="1"/>
  <c r="IG162" i="5"/>
  <c r="BT162" i="5" s="1"/>
  <c r="DZ162" i="5"/>
  <c r="DW162" i="5" s="1"/>
  <c r="IG154" i="5"/>
  <c r="BT154" i="5" s="1"/>
  <c r="DZ154" i="5"/>
  <c r="DW154" i="5" s="1"/>
  <c r="IG145" i="5"/>
  <c r="DZ145" i="5"/>
  <c r="DW145" i="5" s="1"/>
  <c r="IG128" i="5"/>
  <c r="BT128" i="5" s="1"/>
  <c r="DZ128" i="5"/>
  <c r="DW128" i="5" s="1"/>
  <c r="IG113" i="5"/>
  <c r="DZ113" i="5"/>
  <c r="DW113" i="5" s="1"/>
  <c r="IG103" i="5"/>
  <c r="DZ103" i="5"/>
  <c r="DW103" i="5" s="1"/>
  <c r="IG83" i="5"/>
  <c r="BT83" i="5" s="1"/>
  <c r="DZ83" i="5"/>
  <c r="DW83" i="5" s="1"/>
  <c r="IG73" i="5"/>
  <c r="BT73" i="5" s="1"/>
  <c r="DZ73" i="5"/>
  <c r="DW73" i="5" s="1"/>
  <c r="IG65" i="5"/>
  <c r="BT65" i="5" s="1"/>
  <c r="DZ65" i="5"/>
  <c r="DW65" i="5" s="1"/>
  <c r="IG53" i="5"/>
  <c r="BT53" i="5" s="1"/>
  <c r="DZ53" i="5"/>
  <c r="DW53" i="5" s="1"/>
  <c r="IG41" i="5"/>
  <c r="BT41" i="5" s="1"/>
  <c r="DZ41" i="5"/>
  <c r="DW41" i="5" s="1"/>
  <c r="IG29" i="5"/>
  <c r="BT29" i="5" s="1"/>
  <c r="DZ29" i="5"/>
  <c r="DW29" i="5" s="1"/>
  <c r="BQ241" i="5"/>
  <c r="DZ241" i="5"/>
  <c r="DW241" i="5" s="1"/>
  <c r="NI241" i="5" s="1"/>
  <c r="DX241" i="5" s="1"/>
  <c r="BQ225" i="5"/>
  <c r="DZ225" i="5"/>
  <c r="DW225" i="5" s="1"/>
  <c r="NI225" i="5" s="1"/>
  <c r="DX225" i="5" s="1"/>
  <c r="BQ221" i="5"/>
  <c r="DZ221" i="5"/>
  <c r="DW221" i="5" s="1"/>
  <c r="NI221" i="5" s="1"/>
  <c r="DX221" i="5" s="1"/>
  <c r="BQ217" i="5"/>
  <c r="DZ217" i="5"/>
  <c r="DW217" i="5" s="1"/>
  <c r="NI217" i="5" s="1"/>
  <c r="DX217" i="5" s="1"/>
  <c r="BQ199" i="5"/>
  <c r="DZ199" i="5"/>
  <c r="IG184" i="5"/>
  <c r="DZ184" i="5"/>
  <c r="DW184" i="5" s="1"/>
  <c r="DZ176" i="5"/>
  <c r="DW176" i="5" s="1"/>
  <c r="IG161" i="5"/>
  <c r="DZ161" i="5"/>
  <c r="DW161" i="5" s="1"/>
  <c r="IG153" i="5"/>
  <c r="BT153" i="5" s="1"/>
  <c r="DZ153" i="5"/>
  <c r="DW153" i="5" s="1"/>
  <c r="IG138" i="5"/>
  <c r="DZ138" i="5"/>
  <c r="DW138" i="5" s="1"/>
  <c r="IG127" i="5"/>
  <c r="DZ127" i="5"/>
  <c r="DW127" i="5" s="1"/>
  <c r="IG120" i="5"/>
  <c r="DZ120" i="5"/>
  <c r="DW120" i="5" s="1"/>
  <c r="IG112" i="5"/>
  <c r="BT112" i="5" s="1"/>
  <c r="DZ112" i="5"/>
  <c r="DW112" i="5" s="1"/>
  <c r="IG102" i="5"/>
  <c r="BT102" i="5" s="1"/>
  <c r="DZ102" i="5"/>
  <c r="DW102" i="5" s="1"/>
  <c r="IG92" i="5"/>
  <c r="DZ92" i="5"/>
  <c r="DW92" i="5" s="1"/>
  <c r="IG82" i="5"/>
  <c r="DZ82" i="5"/>
  <c r="DW82" i="5" s="1"/>
  <c r="IG72" i="5"/>
  <c r="BT72" i="5" s="1"/>
  <c r="DZ72" i="5"/>
  <c r="DW72" i="5" s="1"/>
  <c r="IG64" i="5"/>
  <c r="DZ64" i="5"/>
  <c r="DW64" i="5" s="1"/>
  <c r="IG51" i="5"/>
  <c r="BT51" i="5" s="1"/>
  <c r="DZ51" i="5"/>
  <c r="DW51" i="5" s="1"/>
  <c r="IG40" i="5"/>
  <c r="DZ40" i="5"/>
  <c r="DW40" i="5" s="1"/>
  <c r="IG28" i="5"/>
  <c r="BT28" i="5" s="1"/>
  <c r="DZ28" i="5"/>
  <c r="DW28" i="5" s="1"/>
  <c r="IG13" i="5"/>
  <c r="BT13" i="5" s="1"/>
  <c r="DZ13" i="5"/>
  <c r="DW13" i="5" s="1"/>
  <c r="BQ248" i="5"/>
  <c r="DZ248" i="5"/>
  <c r="DW248" i="5" s="1"/>
  <c r="NI248" i="5" s="1"/>
  <c r="DX248" i="5" s="1"/>
  <c r="BQ240" i="5"/>
  <c r="DZ240" i="5"/>
  <c r="DW240" i="5" s="1"/>
  <c r="NI240" i="5" s="1"/>
  <c r="DX240" i="5" s="1"/>
  <c r="BQ224" i="5"/>
  <c r="DZ224" i="5"/>
  <c r="DW224" i="5" s="1"/>
  <c r="NI224" i="5" s="1"/>
  <c r="DX224" i="5" s="1"/>
  <c r="BQ220" i="5"/>
  <c r="DZ220" i="5"/>
  <c r="DW220" i="5" s="1"/>
  <c r="NI220" i="5" s="1"/>
  <c r="DX220" i="5" s="1"/>
  <c r="BQ216" i="5"/>
  <c r="DZ216" i="5"/>
  <c r="DW216" i="5" s="1"/>
  <c r="NI216" i="5" s="1"/>
  <c r="DX216" i="5" s="1"/>
  <c r="BQ204" i="5"/>
  <c r="DZ204" i="5"/>
  <c r="DW204" i="5" s="1"/>
  <c r="NI204" i="5" s="1"/>
  <c r="HM204" i="5" s="1"/>
  <c r="BQ198" i="5"/>
  <c r="DZ198" i="5"/>
  <c r="IG191" i="5"/>
  <c r="BT191" i="5" s="1"/>
  <c r="DZ191" i="5"/>
  <c r="DW191" i="5" s="1"/>
  <c r="IG183" i="5"/>
  <c r="DZ183" i="5"/>
  <c r="DW183" i="5" s="1"/>
  <c r="IG175" i="5"/>
  <c r="DZ175" i="5"/>
  <c r="DW175" i="5" s="1"/>
  <c r="DZ160" i="5"/>
  <c r="DW160" i="5" s="1"/>
  <c r="IG152" i="5"/>
  <c r="DZ152" i="5"/>
  <c r="DW152" i="5" s="1"/>
  <c r="IG137" i="5"/>
  <c r="DZ137" i="5"/>
  <c r="DW137" i="5" s="1"/>
  <c r="IG126" i="5"/>
  <c r="BT126" i="5" s="1"/>
  <c r="DZ126" i="5"/>
  <c r="DW126" i="5" s="1"/>
  <c r="IG119" i="5"/>
  <c r="BT119" i="5" s="1"/>
  <c r="DZ119" i="5"/>
  <c r="DW119" i="5" s="1"/>
  <c r="IG111" i="5"/>
  <c r="BT111" i="5" s="1"/>
  <c r="DZ111" i="5"/>
  <c r="DW111" i="5" s="1"/>
  <c r="IG81" i="5"/>
  <c r="BT81" i="5" s="1"/>
  <c r="DZ81" i="5"/>
  <c r="DW81" i="5" s="1"/>
  <c r="IG71" i="5"/>
  <c r="DZ71" i="5"/>
  <c r="DW71" i="5" s="1"/>
  <c r="IG63" i="5"/>
  <c r="BT63" i="5" s="1"/>
  <c r="DZ63" i="5"/>
  <c r="DW63" i="5" s="1"/>
  <c r="IG50" i="5"/>
  <c r="BT50" i="5" s="1"/>
  <c r="DZ50" i="5"/>
  <c r="DW50" i="5" s="1"/>
  <c r="IG38" i="5"/>
  <c r="BT38" i="5" s="1"/>
  <c r="DZ38" i="5"/>
  <c r="DW38" i="5" s="1"/>
  <c r="IG27" i="5"/>
  <c r="DZ27" i="5"/>
  <c r="DW27" i="5" s="1"/>
  <c r="IG11" i="5"/>
  <c r="BT11" i="5" s="1"/>
  <c r="DZ11" i="5"/>
  <c r="DW11" i="5" s="1"/>
  <c r="BQ190" i="5"/>
  <c r="NF182" i="5"/>
  <c r="BQ182" i="5"/>
  <c r="BU182" i="5"/>
  <c r="NF174" i="5"/>
  <c r="BQ174" i="5"/>
  <c r="NF167" i="5"/>
  <c r="BQ167" i="5"/>
  <c r="BU167" i="5"/>
  <c r="NF159" i="5"/>
  <c r="BQ159" i="5"/>
  <c r="NF151" i="5"/>
  <c r="BQ151" i="5"/>
  <c r="BU151" i="5"/>
  <c r="NF136" i="5"/>
  <c r="BQ136" i="5"/>
  <c r="BQ118" i="5"/>
  <c r="BU118" i="5"/>
  <c r="BQ110" i="5"/>
  <c r="BQ100" i="5"/>
  <c r="BQ79" i="5"/>
  <c r="BQ70" i="5"/>
  <c r="BU61" i="5"/>
  <c r="BQ61" i="5"/>
  <c r="BQ49" i="5"/>
  <c r="BQ37" i="5"/>
  <c r="BQ26" i="5"/>
  <c r="BQ10" i="5"/>
  <c r="NF189" i="5"/>
  <c r="BQ189" i="5"/>
  <c r="NF181" i="5"/>
  <c r="BQ181" i="5"/>
  <c r="BU166" i="5"/>
  <c r="BQ166" i="5"/>
  <c r="NF158" i="5"/>
  <c r="BQ158" i="5"/>
  <c r="BQ150" i="5"/>
  <c r="NF135" i="5"/>
  <c r="BQ135" i="5"/>
  <c r="NF125" i="5"/>
  <c r="BQ125" i="5"/>
  <c r="BU117" i="5"/>
  <c r="BQ117" i="5"/>
  <c r="BQ109" i="5"/>
  <c r="BQ89" i="5"/>
  <c r="BQ78" i="5"/>
  <c r="BQ69" i="5"/>
  <c r="BQ59" i="5"/>
  <c r="BQ48" i="5"/>
  <c r="BQ36" i="5"/>
  <c r="BQ24" i="5"/>
  <c r="BQ8" i="5"/>
  <c r="BQ188" i="5"/>
  <c r="BQ180" i="5"/>
  <c r="BQ157" i="5"/>
  <c r="BQ148" i="5"/>
  <c r="BQ142" i="5"/>
  <c r="BQ134" i="5"/>
  <c r="BQ116" i="5"/>
  <c r="BQ98" i="5"/>
  <c r="BQ77" i="5"/>
  <c r="BQ68" i="5"/>
  <c r="BQ58" i="5"/>
  <c r="BQ47" i="5"/>
  <c r="BQ35" i="5"/>
  <c r="BU21" i="5"/>
  <c r="BQ21" i="5"/>
  <c r="BQ7" i="5"/>
  <c r="RV194" i="5"/>
  <c r="BU194" i="5"/>
  <c r="IE194" i="5" s="1"/>
  <c r="BQ194" i="5"/>
  <c r="NF187" i="5"/>
  <c r="BU187" i="5"/>
  <c r="BQ187" i="5"/>
  <c r="BQ179" i="5"/>
  <c r="BQ171" i="5"/>
  <c r="BQ147" i="5"/>
  <c r="BU147" i="5"/>
  <c r="IE147" i="5" s="1"/>
  <c r="BQ123" i="5"/>
  <c r="BU123" i="5"/>
  <c r="GG123" i="5" s="1"/>
  <c r="BQ115" i="5"/>
  <c r="BQ106" i="5"/>
  <c r="BQ97" i="5"/>
  <c r="BQ87" i="5"/>
  <c r="BQ76" i="5"/>
  <c r="BQ67" i="5"/>
  <c r="BQ56" i="5"/>
  <c r="BQ46" i="5"/>
  <c r="BQ33" i="5"/>
  <c r="BQ19" i="5"/>
  <c r="BQ5" i="5"/>
  <c r="BQ186" i="5"/>
  <c r="BU186" i="5"/>
  <c r="BQ178" i="5"/>
  <c r="BU178" i="5"/>
  <c r="BQ163" i="5"/>
  <c r="BU163" i="5"/>
  <c r="BQ140" i="5"/>
  <c r="BQ132" i="5"/>
  <c r="BQ122" i="5"/>
  <c r="BU122" i="5"/>
  <c r="BQ114" i="5"/>
  <c r="BQ105" i="5"/>
  <c r="BQ85" i="5"/>
  <c r="BQ74" i="5"/>
  <c r="BQ66" i="5"/>
  <c r="BQ55" i="5"/>
  <c r="BQ43" i="5"/>
  <c r="BU43" i="5"/>
  <c r="BQ32" i="5"/>
  <c r="BQ18" i="5"/>
  <c r="BQ4" i="5"/>
  <c r="BQ192" i="5"/>
  <c r="BU192" i="5"/>
  <c r="BQ162" i="5"/>
  <c r="NF154" i="5"/>
  <c r="BQ154" i="5"/>
  <c r="NF145" i="5"/>
  <c r="BQ145" i="5"/>
  <c r="BQ128" i="5"/>
  <c r="BQ113" i="5"/>
  <c r="BQ103" i="5"/>
  <c r="BQ83" i="5"/>
  <c r="BQ73" i="5"/>
  <c r="BU73" i="5"/>
  <c r="BQ65" i="5"/>
  <c r="BQ53" i="5"/>
  <c r="BQ41" i="5"/>
  <c r="BQ29" i="5"/>
  <c r="NF184" i="5"/>
  <c r="BQ184" i="5"/>
  <c r="BU184" i="5"/>
  <c r="BQ176" i="5"/>
  <c r="NF161" i="5"/>
  <c r="BQ161" i="5"/>
  <c r="BU161" i="5"/>
  <c r="BQ153" i="5"/>
  <c r="NF138" i="5"/>
  <c r="BQ138" i="5"/>
  <c r="NF127" i="5"/>
  <c r="BQ127" i="5"/>
  <c r="BQ120" i="5"/>
  <c r="BQ112" i="5"/>
  <c r="BQ102" i="5"/>
  <c r="BQ92" i="5"/>
  <c r="BQ82" i="5"/>
  <c r="BQ72" i="5"/>
  <c r="BQ64" i="5"/>
  <c r="BQ51" i="5"/>
  <c r="BU40" i="5"/>
  <c r="BQ40" i="5"/>
  <c r="BQ28" i="5"/>
  <c r="BQ13" i="5"/>
  <c r="BQ191" i="5"/>
  <c r="BU191" i="5"/>
  <c r="IE191" i="5" s="1"/>
  <c r="NF183" i="5"/>
  <c r="BQ183" i="5"/>
  <c r="BU183" i="5"/>
  <c r="EZ183" i="5" s="1"/>
  <c r="NF175" i="5"/>
  <c r="BQ175" i="5"/>
  <c r="NF160" i="5"/>
  <c r="NF152" i="5"/>
  <c r="BQ152" i="5"/>
  <c r="NF137" i="5"/>
  <c r="BQ137" i="5"/>
  <c r="NF126" i="5"/>
  <c r="BQ126" i="5"/>
  <c r="BU119" i="5"/>
  <c r="BQ119" i="5"/>
  <c r="BU111" i="5"/>
  <c r="BQ111" i="5"/>
  <c r="BQ81" i="5"/>
  <c r="BQ71" i="5"/>
  <c r="BQ63" i="5"/>
  <c r="BQ50" i="5"/>
  <c r="BQ38" i="5"/>
  <c r="BQ27" i="5"/>
  <c r="BQ11" i="5"/>
  <c r="RV192" i="5"/>
  <c r="RV191" i="5"/>
  <c r="BT190" i="5"/>
  <c r="NF190" i="5"/>
  <c r="RV190" i="5"/>
  <c r="BT180" i="5"/>
  <c r="BT163" i="5"/>
  <c r="BT151" i="5"/>
  <c r="BT145" i="5"/>
  <c r="BT118" i="5"/>
  <c r="BT98" i="5"/>
  <c r="BT82" i="5"/>
  <c r="BT68" i="5"/>
  <c r="BT179" i="5"/>
  <c r="BT140" i="5"/>
  <c r="BT103" i="5"/>
  <c r="BT97" i="5"/>
  <c r="BT89" i="5"/>
  <c r="CN59" i="5"/>
  <c r="DC59" i="5" s="1"/>
  <c r="HL59" i="5" s="1"/>
  <c r="CN41" i="5"/>
  <c r="BT24" i="5"/>
  <c r="CN24" i="5"/>
  <c r="BT5" i="5"/>
  <c r="BT184" i="5"/>
  <c r="BT161" i="5"/>
  <c r="BT127" i="5"/>
  <c r="BT66" i="5"/>
  <c r="CN66" i="5"/>
  <c r="DC66" i="5" s="1"/>
  <c r="HL66" i="5" s="1"/>
  <c r="BT58" i="5"/>
  <c r="BT49" i="5"/>
  <c r="CN49" i="5"/>
  <c r="BT40" i="5"/>
  <c r="BT32" i="5"/>
  <c r="BT4" i="5"/>
  <c r="BT189" i="5"/>
  <c r="BT183" i="5"/>
  <c r="BT171" i="5"/>
  <c r="BT166" i="5"/>
  <c r="BT148" i="5"/>
  <c r="BT138" i="5"/>
  <c r="BT132" i="5"/>
  <c r="BT109" i="5"/>
  <c r="BT87" i="5"/>
  <c r="BT71" i="5"/>
  <c r="BT56" i="5"/>
  <c r="CN56" i="5"/>
  <c r="BT48" i="5"/>
  <c r="CN48" i="5"/>
  <c r="CN38" i="5"/>
  <c r="DC38" i="5" s="1"/>
  <c r="HL38" i="5" s="1"/>
  <c r="BT10" i="5"/>
  <c r="CN10" i="5"/>
  <c r="BT188" i="5"/>
  <c r="BT182" i="5"/>
  <c r="BT147" i="5"/>
  <c r="BT137" i="5"/>
  <c r="CN137" i="5"/>
  <c r="DC137" i="5" s="1"/>
  <c r="HL137" i="5" s="1"/>
  <c r="BT120" i="5"/>
  <c r="BT114" i="5"/>
  <c r="BT100" i="5"/>
  <c r="BT92" i="5"/>
  <c r="BT77" i="5"/>
  <c r="BT64" i="5"/>
  <c r="BT55" i="5"/>
  <c r="CN37" i="5"/>
  <c r="BT18" i="5"/>
  <c r="CN18" i="5"/>
  <c r="BT181" i="5"/>
  <c r="BT175" i="5"/>
  <c r="BT152" i="5"/>
  <c r="BT136" i="5"/>
  <c r="BT125" i="5"/>
  <c r="BT113" i="5"/>
  <c r="BT76" i="5"/>
  <c r="CN63" i="5"/>
  <c r="DC63" i="5" s="1"/>
  <c r="HL63" i="5" s="1"/>
  <c r="BT46" i="5"/>
  <c r="BT27" i="5"/>
  <c r="CN8" i="5"/>
  <c r="RV184" i="5"/>
  <c r="RV178" i="5"/>
  <c r="RV72" i="5"/>
  <c r="RV65" i="5"/>
  <c r="NF179" i="5"/>
  <c r="NF162" i="5"/>
  <c r="NF150" i="5"/>
  <c r="NF140" i="5"/>
  <c r="NF134" i="5"/>
  <c r="NF128" i="5"/>
  <c r="RV188" i="5"/>
  <c r="RV182" i="5"/>
  <c r="RV176" i="5"/>
  <c r="RV159" i="5"/>
  <c r="RV153" i="5"/>
  <c r="RV147" i="5"/>
  <c r="RV137" i="5"/>
  <c r="RV120" i="5"/>
  <c r="RV114" i="5"/>
  <c r="RV100" i="5"/>
  <c r="RV92" i="5"/>
  <c r="RV85" i="5"/>
  <c r="RV77" i="5"/>
  <c r="RV70" i="5"/>
  <c r="RV64" i="5"/>
  <c r="RV55" i="5"/>
  <c r="RV47" i="5"/>
  <c r="RV37" i="5"/>
  <c r="RV28" i="5"/>
  <c r="RV18" i="5"/>
  <c r="RV187" i="5"/>
  <c r="RV181" i="5"/>
  <c r="RV175" i="5"/>
  <c r="RV158" i="5"/>
  <c r="RV152" i="5"/>
  <c r="RV142" i="5"/>
  <c r="RV136" i="5"/>
  <c r="RV125" i="5"/>
  <c r="RV119" i="5"/>
  <c r="RV113" i="5"/>
  <c r="RV83" i="5"/>
  <c r="RV76" i="5"/>
  <c r="RV69" i="5"/>
  <c r="RV63" i="5"/>
  <c r="RV53" i="5"/>
  <c r="RV36" i="5"/>
  <c r="RV27" i="5"/>
  <c r="RV186" i="5"/>
  <c r="RV180" i="5"/>
  <c r="RV174" i="5"/>
  <c r="RV163" i="5"/>
  <c r="RV157" i="5"/>
  <c r="HR157" i="5" s="1"/>
  <c r="RV151" i="5"/>
  <c r="RV145" i="5"/>
  <c r="RV141" i="5"/>
  <c r="RV135" i="5"/>
  <c r="RV118" i="5"/>
  <c r="RV112" i="5"/>
  <c r="HR112" i="5" s="1"/>
  <c r="RV105" i="5"/>
  <c r="RV98" i="5"/>
  <c r="RV82" i="5"/>
  <c r="RV74" i="5"/>
  <c r="RV68" i="5"/>
  <c r="RV61" i="5"/>
  <c r="RV51" i="5"/>
  <c r="RV43" i="5"/>
  <c r="RV26" i="5"/>
  <c r="RV13" i="5"/>
  <c r="RV7" i="5"/>
  <c r="RV106" i="5"/>
  <c r="RV46" i="5"/>
  <c r="RV179" i="5"/>
  <c r="RV162" i="5"/>
  <c r="RV150" i="5"/>
  <c r="RV140" i="5"/>
  <c r="RV134" i="5"/>
  <c r="RV128" i="5"/>
  <c r="RV123" i="5"/>
  <c r="RV117" i="5"/>
  <c r="RV111" i="5"/>
  <c r="RV103" i="5"/>
  <c r="RV97" i="5"/>
  <c r="RV73" i="5"/>
  <c r="RV67" i="5"/>
  <c r="RV59" i="5"/>
  <c r="RV50" i="5"/>
  <c r="RV41" i="5"/>
  <c r="RV33" i="5"/>
  <c r="RV24" i="5"/>
  <c r="RV5" i="5"/>
  <c r="RV35" i="5"/>
  <c r="RV122" i="5"/>
  <c r="RV116" i="5"/>
  <c r="RV110" i="5"/>
  <c r="RV102" i="5"/>
  <c r="RV79" i="5"/>
  <c r="RV66" i="5"/>
  <c r="RV58" i="5"/>
  <c r="RV49" i="5"/>
  <c r="RV40" i="5"/>
  <c r="RV32" i="5"/>
  <c r="RV4" i="5"/>
  <c r="RV167" i="5"/>
  <c r="RV89" i="5"/>
  <c r="RV21" i="5"/>
  <c r="RV189" i="5"/>
  <c r="RV183" i="5"/>
  <c r="RV171" i="5"/>
  <c r="RV166" i="5"/>
  <c r="RV160" i="5"/>
  <c r="RV154" i="5"/>
  <c r="RV148" i="5"/>
  <c r="RV138" i="5"/>
  <c r="RV132" i="5"/>
  <c r="RV126" i="5"/>
  <c r="RV115" i="5"/>
  <c r="RV109" i="5"/>
  <c r="RV87" i="5"/>
  <c r="RV78" i="5"/>
  <c r="RV71" i="5"/>
  <c r="RV56" i="5"/>
  <c r="RV48" i="5"/>
  <c r="RV38" i="5"/>
  <c r="RV29" i="5"/>
  <c r="RV19" i="5"/>
  <c r="RV10" i="5"/>
  <c r="RV161" i="5"/>
  <c r="RV127" i="5"/>
  <c r="RV81" i="5"/>
  <c r="RV11" i="5"/>
  <c r="RV8" i="5"/>
  <c r="JO3" i="5"/>
  <c r="RW3" i="5"/>
  <c r="IG3" i="5" s="1"/>
  <c r="CN50" i="5" l="1"/>
  <c r="DC50" i="5" s="1"/>
  <c r="HL50" i="5" s="1"/>
  <c r="CN97" i="5"/>
  <c r="DC97" i="5" s="1"/>
  <c r="HL97" i="5" s="1"/>
  <c r="CN5" i="5"/>
  <c r="CN72" i="5"/>
  <c r="CN43" i="5"/>
  <c r="CN175" i="5"/>
  <c r="DC175" i="5" s="1"/>
  <c r="HL175" i="5" s="1"/>
  <c r="CN79" i="5"/>
  <c r="DC79" i="5" s="1"/>
  <c r="HL79" i="5" s="1"/>
  <c r="HM246" i="5"/>
  <c r="CN40" i="5"/>
  <c r="EZ247" i="5"/>
  <c r="GA247" i="5"/>
  <c r="EZ245" i="5"/>
  <c r="GA245" i="5"/>
  <c r="EZ243" i="5"/>
  <c r="GA243" i="5"/>
  <c r="EZ239" i="5"/>
  <c r="CN70" i="5"/>
  <c r="DC70" i="5" s="1"/>
  <c r="HL70" i="5" s="1"/>
  <c r="FO201" i="5"/>
  <c r="EZ201" i="5"/>
  <c r="FL201" i="5"/>
  <c r="CN35" i="5"/>
  <c r="CN11" i="5"/>
  <c r="CZ11" i="5" s="1"/>
  <c r="DX244" i="5"/>
  <c r="CN85" i="5"/>
  <c r="CW85" i="5" s="1"/>
  <c r="CN69" i="5"/>
  <c r="DC69" i="5" s="1"/>
  <c r="HL69" i="5" s="1"/>
  <c r="CN28" i="5"/>
  <c r="CN53" i="5"/>
  <c r="CN21" i="5"/>
  <c r="CN61" i="5"/>
  <c r="FI176" i="5"/>
  <c r="EY247" i="5"/>
  <c r="IH247" i="5"/>
  <c r="II247" i="5" s="1"/>
  <c r="EO247" i="5"/>
  <c r="EQ247" i="5" s="1"/>
  <c r="FI246" i="5"/>
  <c r="FG246" i="5" s="1"/>
  <c r="IH248" i="5"/>
  <c r="II248" i="5" s="1"/>
  <c r="FI247" i="5"/>
  <c r="FG247" i="5" s="1"/>
  <c r="HZ247" i="5"/>
  <c r="FX247" i="5"/>
  <c r="EO248" i="5"/>
  <c r="EQ248" i="5" s="1"/>
  <c r="FC247" i="5"/>
  <c r="FX246" i="5"/>
  <c r="EY246" i="5"/>
  <c r="EO246" i="5"/>
  <c r="EQ246" i="5" s="1"/>
  <c r="FI248" i="5"/>
  <c r="FG248" i="5" s="1"/>
  <c r="IH246" i="5"/>
  <c r="II246" i="5" s="1"/>
  <c r="GP247" i="5"/>
  <c r="GP248" i="5"/>
  <c r="FC246" i="5"/>
  <c r="IE248" i="5"/>
  <c r="ET248" i="5"/>
  <c r="DU248" i="5"/>
  <c r="FL248" i="5"/>
  <c r="GD248" i="5"/>
  <c r="HZ248" i="5"/>
  <c r="FX248" i="5"/>
  <c r="GA248" i="5"/>
  <c r="EY248" i="5"/>
  <c r="FO248" i="5"/>
  <c r="FC248" i="5"/>
  <c r="FR248" i="5"/>
  <c r="GG248" i="5"/>
  <c r="HM248" i="5"/>
  <c r="IE247" i="5"/>
  <c r="ET247" i="5"/>
  <c r="GG247" i="5"/>
  <c r="FO247" i="5"/>
  <c r="GD247" i="5"/>
  <c r="DU247" i="5"/>
  <c r="FL247" i="5"/>
  <c r="FR247" i="5"/>
  <c r="HM247" i="5"/>
  <c r="GA246" i="5"/>
  <c r="IE246" i="5"/>
  <c r="FL246" i="5"/>
  <c r="ET246" i="5"/>
  <c r="FR246" i="5"/>
  <c r="GG246" i="5"/>
  <c r="DU246" i="5"/>
  <c r="HZ246" i="5"/>
  <c r="GP246" i="5"/>
  <c r="GD246" i="5"/>
  <c r="FO246" i="5"/>
  <c r="IE244" i="5"/>
  <c r="HM245" i="5"/>
  <c r="IH245" i="5"/>
  <c r="II245" i="5" s="1"/>
  <c r="CN161" i="5"/>
  <c r="DC161" i="5" s="1"/>
  <c r="HL161" i="5" s="1"/>
  <c r="CN136" i="5"/>
  <c r="DC136" i="5" s="1"/>
  <c r="HL136" i="5" s="1"/>
  <c r="FX244" i="5"/>
  <c r="EY244" i="5"/>
  <c r="IH244" i="5"/>
  <c r="II244" i="5" s="1"/>
  <c r="EY245" i="5"/>
  <c r="GP244" i="5"/>
  <c r="FC245" i="5"/>
  <c r="IE245" i="5"/>
  <c r="FO245" i="5"/>
  <c r="FL245" i="5"/>
  <c r="DU245" i="5"/>
  <c r="FX245" i="5"/>
  <c r="GP245" i="5"/>
  <c r="HZ245" i="5"/>
  <c r="FI245" i="5"/>
  <c r="FG245" i="5" s="1"/>
  <c r="ET245" i="5"/>
  <c r="EO245" i="5"/>
  <c r="EQ245" i="5" s="1"/>
  <c r="GG245" i="5"/>
  <c r="FR245" i="5"/>
  <c r="GD245" i="5"/>
  <c r="FL244" i="5"/>
  <c r="DU244" i="5"/>
  <c r="ET244" i="5"/>
  <c r="HZ244" i="5"/>
  <c r="FR244" i="5"/>
  <c r="FC244" i="5"/>
  <c r="FI244" i="5"/>
  <c r="FG244" i="5" s="1"/>
  <c r="GA244" i="5"/>
  <c r="EO244" i="5"/>
  <c r="EQ244" i="5" s="1"/>
  <c r="GG244" i="5"/>
  <c r="GD244" i="5"/>
  <c r="FO244" i="5"/>
  <c r="IE243" i="5"/>
  <c r="GD141" i="5"/>
  <c r="GG141" i="5"/>
  <c r="CN167" i="5"/>
  <c r="DC167" i="5" s="1"/>
  <c r="HL167" i="5" s="1"/>
  <c r="HM241" i="5"/>
  <c r="DU243" i="5"/>
  <c r="FC243" i="5"/>
  <c r="GP243" i="5"/>
  <c r="FL243" i="5"/>
  <c r="FX243" i="5"/>
  <c r="FI243" i="5"/>
  <c r="FG243" i="5" s="1"/>
  <c r="EY243" i="5"/>
  <c r="IH243" i="5"/>
  <c r="II243" i="5" s="1"/>
  <c r="GG243" i="5"/>
  <c r="EO243" i="5"/>
  <c r="EQ243" i="5" s="1"/>
  <c r="FR243" i="5"/>
  <c r="HZ243" i="5"/>
  <c r="FO243" i="5"/>
  <c r="ET243" i="5"/>
  <c r="GD243" i="5"/>
  <c r="HM243" i="5"/>
  <c r="IH241" i="5"/>
  <c r="II241" i="5" s="1"/>
  <c r="HM242" i="5"/>
  <c r="IE241" i="5"/>
  <c r="CN122" i="5"/>
  <c r="DC122" i="5" s="1"/>
  <c r="HL122" i="5" s="1"/>
  <c r="CN100" i="5"/>
  <c r="DC100" i="5" s="1"/>
  <c r="HL100" i="5" s="1"/>
  <c r="CN109" i="5"/>
  <c r="CZ109" i="5" s="1"/>
  <c r="CN178" i="5"/>
  <c r="DC178" i="5" s="1"/>
  <c r="HL178" i="5" s="1"/>
  <c r="FI241" i="5"/>
  <c r="FG241" i="5" s="1"/>
  <c r="EO241" i="5"/>
  <c r="EQ241" i="5" s="1"/>
  <c r="HZ241" i="5"/>
  <c r="GA241" i="5"/>
  <c r="FL241" i="5"/>
  <c r="GG241" i="5"/>
  <c r="FO241" i="5"/>
  <c r="ET241" i="5"/>
  <c r="GD241" i="5"/>
  <c r="FX241" i="5"/>
  <c r="FR241" i="5"/>
  <c r="EY241" i="5"/>
  <c r="FC241" i="5"/>
  <c r="GP241" i="5"/>
  <c r="DU241" i="5"/>
  <c r="HM238" i="5"/>
  <c r="HM240" i="5"/>
  <c r="EY237" i="5"/>
  <c r="FX237" i="5"/>
  <c r="GP238" i="5"/>
  <c r="FI238" i="5"/>
  <c r="FG238" i="5" s="1"/>
  <c r="IH240" i="5"/>
  <c r="II240" i="5" s="1"/>
  <c r="GP237" i="5"/>
  <c r="EO238" i="5"/>
  <c r="EQ238" i="5" s="1"/>
  <c r="FC237" i="5"/>
  <c r="EY238" i="5"/>
  <c r="FX240" i="5"/>
  <c r="EY240" i="5"/>
  <c r="IH237" i="5"/>
  <c r="II237" i="5" s="1"/>
  <c r="IH238" i="5"/>
  <c r="II238" i="5" s="1"/>
  <c r="HZ240" i="5"/>
  <c r="IE240" i="5"/>
  <c r="GD240" i="5"/>
  <c r="GA240" i="5"/>
  <c r="FI240" i="5"/>
  <c r="FG240" i="5" s="1"/>
  <c r="DU240" i="5"/>
  <c r="FL240" i="5"/>
  <c r="FC240" i="5"/>
  <c r="GP240" i="5"/>
  <c r="FO240" i="5"/>
  <c r="EO240" i="5"/>
  <c r="EQ240" i="5" s="1"/>
  <c r="ET240" i="5"/>
  <c r="GG240" i="5"/>
  <c r="FR240" i="5"/>
  <c r="BT239" i="5"/>
  <c r="IH239" i="5" s="1"/>
  <c r="II239" i="5" s="1"/>
  <c r="DX237" i="5"/>
  <c r="IE238" i="5"/>
  <c r="DU238" i="5"/>
  <c r="FL238" i="5"/>
  <c r="FO238" i="5"/>
  <c r="GA238" i="5"/>
  <c r="ET238" i="5"/>
  <c r="FC238" i="5"/>
  <c r="FX238" i="5"/>
  <c r="GG238" i="5"/>
  <c r="HZ238" i="5"/>
  <c r="GD238" i="5"/>
  <c r="FR238" i="5"/>
  <c r="FR237" i="5"/>
  <c r="GD237" i="5"/>
  <c r="IE237" i="5"/>
  <c r="FL237" i="5"/>
  <c r="EO237" i="5"/>
  <c r="EQ237" i="5" s="1"/>
  <c r="DU237" i="5"/>
  <c r="GA237" i="5"/>
  <c r="FO237" i="5"/>
  <c r="HZ237" i="5"/>
  <c r="ET237" i="5"/>
  <c r="FI237" i="5"/>
  <c r="FG237" i="5" s="1"/>
  <c r="GG237" i="5"/>
  <c r="CN123" i="5"/>
  <c r="DC123" i="5" s="1"/>
  <c r="HL123" i="5" s="1"/>
  <c r="CN153" i="5"/>
  <c r="DC153" i="5" s="1"/>
  <c r="HL153" i="5" s="1"/>
  <c r="BT234" i="5"/>
  <c r="IH234" i="5" s="1"/>
  <c r="II234" i="5" s="1"/>
  <c r="FG123" i="5"/>
  <c r="DU123" i="5"/>
  <c r="ET123" i="5"/>
  <c r="FL123" i="5"/>
  <c r="GA123" i="5"/>
  <c r="JE72" i="5"/>
  <c r="JO73" i="5"/>
  <c r="JO166" i="5"/>
  <c r="JE166" i="5"/>
  <c r="CN158" i="5"/>
  <c r="DC158" i="5" s="1"/>
  <c r="HL158" i="5" s="1"/>
  <c r="CN113" i="5"/>
  <c r="DC113" i="5" s="1"/>
  <c r="HL113" i="5" s="1"/>
  <c r="CN46" i="5"/>
  <c r="CZ46" i="5" s="1"/>
  <c r="CN58" i="5"/>
  <c r="CZ58" i="5" s="1"/>
  <c r="CN83" i="5"/>
  <c r="DC83" i="5" s="1"/>
  <c r="HL83" i="5" s="1"/>
  <c r="CN77" i="5"/>
  <c r="CZ77" i="5" s="1"/>
  <c r="CN87" i="5"/>
  <c r="DC87" i="5" s="1"/>
  <c r="HL87" i="5" s="1"/>
  <c r="CN189" i="5"/>
  <c r="DC189" i="5" s="1"/>
  <c r="HL189" i="5" s="1"/>
  <c r="CN65" i="5"/>
  <c r="CZ65" i="5" s="1"/>
  <c r="JO141" i="5"/>
  <c r="JE141" i="5"/>
  <c r="JE186" i="5"/>
  <c r="JO186" i="5"/>
  <c r="IE160" i="5"/>
  <c r="BT160" i="5"/>
  <c r="IH160" i="5" s="1"/>
  <c r="II160" i="5" s="1"/>
  <c r="CN132" i="5"/>
  <c r="DC132" i="5" s="1"/>
  <c r="HL132" i="5" s="1"/>
  <c r="CN36" i="5"/>
  <c r="DC36" i="5" s="1"/>
  <c r="HL36" i="5" s="1"/>
  <c r="CN92" i="5"/>
  <c r="CZ92" i="5" s="1"/>
  <c r="CN55" i="5"/>
  <c r="DC55" i="5" s="1"/>
  <c r="HL55" i="5" s="1"/>
  <c r="CN127" i="5"/>
  <c r="CZ127" i="5" s="1"/>
  <c r="CN4" i="5"/>
  <c r="DC4" i="5" s="1"/>
  <c r="HL4" i="5" s="1"/>
  <c r="CN26" i="5"/>
  <c r="DC26" i="5" s="1"/>
  <c r="HL26" i="5" s="1"/>
  <c r="GP176" i="5"/>
  <c r="EO176" i="5"/>
  <c r="EQ176" i="5" s="1"/>
  <c r="FC176" i="5"/>
  <c r="EY176" i="5"/>
  <c r="FX176" i="5"/>
  <c r="CN154" i="5"/>
  <c r="DC154" i="5" s="1"/>
  <c r="HL154" i="5" s="1"/>
  <c r="CN29" i="5"/>
  <c r="DC29" i="5" s="1"/>
  <c r="HL29" i="5" s="1"/>
  <c r="CN71" i="5"/>
  <c r="CZ71" i="5" s="1"/>
  <c r="CN47" i="5"/>
  <c r="CZ47" i="5" s="1"/>
  <c r="CN67" i="5"/>
  <c r="DC67" i="5" s="1"/>
  <c r="HL67" i="5" s="1"/>
  <c r="CN27" i="5"/>
  <c r="DC27" i="5" s="1"/>
  <c r="HL27" i="5" s="1"/>
  <c r="CN187" i="5"/>
  <c r="DC187" i="5" s="1"/>
  <c r="HL187" i="5" s="1"/>
  <c r="CN106" i="5"/>
  <c r="DC106" i="5" s="1"/>
  <c r="HL106" i="5" s="1"/>
  <c r="CN19" i="5"/>
  <c r="CZ19" i="5" s="1"/>
  <c r="CN110" i="5"/>
  <c r="CZ110" i="5" s="1"/>
  <c r="IE236" i="5"/>
  <c r="HM236" i="5"/>
  <c r="GP236" i="5"/>
  <c r="GA236" i="5"/>
  <c r="FO236" i="5"/>
  <c r="DU236" i="5"/>
  <c r="FI236" i="5"/>
  <c r="FG236" i="5" s="1"/>
  <c r="ET236" i="5"/>
  <c r="FL236" i="5"/>
  <c r="EY236" i="5"/>
  <c r="EO236" i="5"/>
  <c r="EQ236" i="5" s="1"/>
  <c r="FC236" i="5"/>
  <c r="FX236" i="5"/>
  <c r="GG236" i="5"/>
  <c r="HZ236" i="5"/>
  <c r="GD236" i="5"/>
  <c r="IH236" i="5"/>
  <c r="II236" i="5" s="1"/>
  <c r="FR236" i="5"/>
  <c r="HM212" i="5"/>
  <c r="IH176" i="5"/>
  <c r="II176" i="5" s="1"/>
  <c r="GU176" i="5"/>
  <c r="GV176" i="5" s="1"/>
  <c r="FX212" i="5"/>
  <c r="FC212" i="5"/>
  <c r="GP212" i="5"/>
  <c r="GU212" i="5"/>
  <c r="GV212" i="5" s="1"/>
  <c r="HZ212" i="5"/>
  <c r="FI212" i="5"/>
  <c r="EO212" i="5"/>
  <c r="EQ212" i="5" s="1"/>
  <c r="EY212" i="5"/>
  <c r="IE192" i="5"/>
  <c r="BT192" i="5"/>
  <c r="IH192" i="5" s="1"/>
  <c r="II192" i="5" s="1"/>
  <c r="CN7" i="5"/>
  <c r="CZ7" i="5" s="1"/>
  <c r="CN179" i="5"/>
  <c r="DC179" i="5" s="1"/>
  <c r="HL179" i="5" s="1"/>
  <c r="CN160" i="5"/>
  <c r="DC160" i="5" s="1"/>
  <c r="HL160" i="5" s="1"/>
  <c r="IE235" i="5"/>
  <c r="CN98" i="5"/>
  <c r="CZ98" i="5" s="1"/>
  <c r="DX234" i="5"/>
  <c r="DX204" i="5"/>
  <c r="HM235" i="5"/>
  <c r="BT235" i="5"/>
  <c r="IH235" i="5" s="1"/>
  <c r="II235" i="5" s="1"/>
  <c r="CN112" i="5"/>
  <c r="DC112" i="5" s="1"/>
  <c r="HL112" i="5" s="1"/>
  <c r="CN134" i="5"/>
  <c r="DC134" i="5" s="1"/>
  <c r="HL134" i="5" s="1"/>
  <c r="CN174" i="5"/>
  <c r="DC174" i="5" s="1"/>
  <c r="HL174" i="5" s="1"/>
  <c r="CN140" i="5"/>
  <c r="DC140" i="5" s="1"/>
  <c r="HL140" i="5" s="1"/>
  <c r="CN157" i="5"/>
  <c r="CN73" i="5"/>
  <c r="CW73" i="5" s="1"/>
  <c r="DX229" i="5"/>
  <c r="HM231" i="5"/>
  <c r="BT230" i="5"/>
  <c r="IH230" i="5" s="1"/>
  <c r="II230" i="5" s="1"/>
  <c r="FI231" i="5"/>
  <c r="HZ231" i="5"/>
  <c r="FX231" i="5"/>
  <c r="GP231" i="5"/>
  <c r="EY231" i="5"/>
  <c r="EO231" i="5"/>
  <c r="EQ231" i="5" s="1"/>
  <c r="GU231" i="5"/>
  <c r="GV231" i="5" s="1"/>
  <c r="FC231" i="5"/>
  <c r="CN135" i="5"/>
  <c r="DC135" i="5" s="1"/>
  <c r="HL135" i="5" s="1"/>
  <c r="CN68" i="5"/>
  <c r="DC68" i="5" s="1"/>
  <c r="HL68" i="5" s="1"/>
  <c r="CN105" i="5"/>
  <c r="CZ105" i="5" s="1"/>
  <c r="CN51" i="5"/>
  <c r="DC51" i="5" s="1"/>
  <c r="HL51" i="5" s="1"/>
  <c r="DX228" i="5"/>
  <c r="HM230" i="5"/>
  <c r="HM227" i="5"/>
  <c r="IH229" i="5"/>
  <c r="II229" i="5" s="1"/>
  <c r="FI228" i="5"/>
  <c r="IH228" i="5"/>
  <c r="II228" i="5" s="1"/>
  <c r="FI223" i="5"/>
  <c r="FI229" i="5"/>
  <c r="HZ229" i="5"/>
  <c r="EO229" i="5"/>
  <c r="EQ229" i="5" s="1"/>
  <c r="GP229" i="5"/>
  <c r="EY229" i="5"/>
  <c r="FC229" i="5"/>
  <c r="FX229" i="5"/>
  <c r="FC228" i="5"/>
  <c r="GP228" i="5"/>
  <c r="EY228" i="5"/>
  <c r="FX228" i="5"/>
  <c r="EO228" i="5"/>
  <c r="EQ228" i="5" s="1"/>
  <c r="HZ228" i="5"/>
  <c r="IH223" i="5"/>
  <c r="II223" i="5" s="1"/>
  <c r="HZ224" i="5"/>
  <c r="HM225" i="5"/>
  <c r="HZ223" i="5"/>
  <c r="GP227" i="5"/>
  <c r="EO227" i="5"/>
  <c r="EQ227" i="5" s="1"/>
  <c r="FX227" i="5"/>
  <c r="EY227" i="5"/>
  <c r="FC227" i="5"/>
  <c r="HZ227" i="5"/>
  <c r="IH227" i="5"/>
  <c r="II227" i="5" s="1"/>
  <c r="GU227" i="5"/>
  <c r="GV227" i="5" s="1"/>
  <c r="DX226" i="5"/>
  <c r="BT226" i="5"/>
  <c r="GP223" i="5"/>
  <c r="EY223" i="5"/>
  <c r="FX223" i="5"/>
  <c r="EO223" i="5"/>
  <c r="EQ223" i="5" s="1"/>
  <c r="FC223" i="5"/>
  <c r="FC224" i="5"/>
  <c r="EO224" i="5"/>
  <c r="EQ224" i="5" s="1"/>
  <c r="EY224" i="5"/>
  <c r="IH224" i="5"/>
  <c r="II224" i="5" s="1"/>
  <c r="FX224" i="5"/>
  <c r="GP224" i="5"/>
  <c r="FI224" i="5"/>
  <c r="BT225" i="5"/>
  <c r="IH225" i="5" s="1"/>
  <c r="II225" i="5" s="1"/>
  <c r="HM224" i="5"/>
  <c r="BT222" i="5"/>
  <c r="IH222" i="5" s="1"/>
  <c r="II222" i="5" s="1"/>
  <c r="HM223" i="5"/>
  <c r="DX222" i="5"/>
  <c r="EO218" i="5"/>
  <c r="EQ218" i="5" s="1"/>
  <c r="IE221" i="5"/>
  <c r="HM221" i="5"/>
  <c r="IE220" i="5"/>
  <c r="BT221" i="5"/>
  <c r="IH221" i="5" s="1"/>
  <c r="II221" i="5" s="1"/>
  <c r="BT220" i="5"/>
  <c r="HM220" i="5"/>
  <c r="HM219" i="5"/>
  <c r="FC219" i="5"/>
  <c r="FX219" i="5"/>
  <c r="EY219" i="5"/>
  <c r="FI219" i="5"/>
  <c r="GP219" i="5"/>
  <c r="EO219" i="5"/>
  <c r="EQ219" i="5" s="1"/>
  <c r="IH219" i="5"/>
  <c r="II219" i="5" s="1"/>
  <c r="HZ219" i="5"/>
  <c r="IE218" i="5"/>
  <c r="IE217" i="5"/>
  <c r="IE216" i="5"/>
  <c r="GD218" i="5"/>
  <c r="GA218" i="5"/>
  <c r="ET218" i="5"/>
  <c r="FC218" i="5"/>
  <c r="EY218" i="5"/>
  <c r="FR218" i="5"/>
  <c r="FX218" i="5"/>
  <c r="FL218" i="5"/>
  <c r="FO218" i="5"/>
  <c r="GP218" i="5"/>
  <c r="FI218" i="5"/>
  <c r="FG218" i="5" s="1"/>
  <c r="HZ218" i="5"/>
  <c r="DU218" i="5"/>
  <c r="IH218" i="5"/>
  <c r="II218" i="5" s="1"/>
  <c r="GG218" i="5"/>
  <c r="HM217" i="5"/>
  <c r="DX218" i="5"/>
  <c r="HM216" i="5"/>
  <c r="BT217" i="5"/>
  <c r="IH217" i="5" s="1"/>
  <c r="II217" i="5" s="1"/>
  <c r="BT216" i="5"/>
  <c r="IH216" i="5" s="1"/>
  <c r="II216" i="5" s="1"/>
  <c r="HM215" i="5"/>
  <c r="BT215" i="5"/>
  <c r="IH215" i="5" s="1"/>
  <c r="II215" i="5" s="1"/>
  <c r="IE215" i="5" s="1"/>
  <c r="HM214" i="5"/>
  <c r="BT214" i="5"/>
  <c r="IH214" i="5" s="1"/>
  <c r="II214" i="5" s="1"/>
  <c r="IE214" i="5" s="1"/>
  <c r="CN186" i="5"/>
  <c r="DC186" i="5" s="1"/>
  <c r="HL186" i="5" s="1"/>
  <c r="HM208" i="5"/>
  <c r="CN142" i="5"/>
  <c r="DC142" i="5" s="1"/>
  <c r="HL142" i="5" s="1"/>
  <c r="CN171" i="5"/>
  <c r="DC171" i="5" s="1"/>
  <c r="HL171" i="5" s="1"/>
  <c r="CN147" i="5"/>
  <c r="DC147" i="5" s="1"/>
  <c r="HL147" i="5" s="1"/>
  <c r="FX208" i="5"/>
  <c r="GP208" i="5"/>
  <c r="HZ208" i="5"/>
  <c r="IH208" i="5"/>
  <c r="II208" i="5" s="1"/>
  <c r="FI208" i="5"/>
  <c r="EO208" i="5"/>
  <c r="EQ208" i="5" s="1"/>
  <c r="FC208" i="5"/>
  <c r="EY208" i="5"/>
  <c r="CN166" i="5"/>
  <c r="CZ166" i="5" s="1"/>
  <c r="CN183" i="5"/>
  <c r="DC183" i="5" s="1"/>
  <c r="HL183" i="5" s="1"/>
  <c r="CN111" i="5"/>
  <c r="CW111" i="5" s="1"/>
  <c r="HM206" i="5"/>
  <c r="BT206" i="5"/>
  <c r="FL200" i="5"/>
  <c r="GP200" i="5"/>
  <c r="DU200" i="5"/>
  <c r="GA200" i="5"/>
  <c r="FI200" i="5"/>
  <c r="FG200" i="5" s="1"/>
  <c r="ET200" i="5"/>
  <c r="EO200" i="5"/>
  <c r="EQ200" i="5" s="1"/>
  <c r="FX200" i="5"/>
  <c r="HZ200" i="5"/>
  <c r="FC200" i="5"/>
  <c r="EY200" i="5"/>
  <c r="IH200" i="5"/>
  <c r="II200" i="5" s="1"/>
  <c r="IE200" i="5" s="1"/>
  <c r="CN114" i="5"/>
  <c r="DC114" i="5" s="1"/>
  <c r="HL114" i="5" s="1"/>
  <c r="CN150" i="5"/>
  <c r="CN13" i="5"/>
  <c r="CZ13" i="5" s="1"/>
  <c r="CN64" i="5"/>
  <c r="DC64" i="5" s="1"/>
  <c r="HL64" i="5" s="1"/>
  <c r="CN138" i="5"/>
  <c r="CN76" i="5"/>
  <c r="CZ76" i="5" s="1"/>
  <c r="CN115" i="5"/>
  <c r="CN32" i="5"/>
  <c r="DC32" i="5" s="1"/>
  <c r="HL32" i="5" s="1"/>
  <c r="CN102" i="5"/>
  <c r="DC102" i="5" s="1"/>
  <c r="HL102" i="5" s="1"/>
  <c r="CN33" i="5"/>
  <c r="CZ33" i="5" s="1"/>
  <c r="CN74" i="5"/>
  <c r="CZ74" i="5" s="1"/>
  <c r="CN181" i="5"/>
  <c r="DC181" i="5" s="1"/>
  <c r="HL181" i="5" s="1"/>
  <c r="FC204" i="5"/>
  <c r="HZ204" i="5"/>
  <c r="GU204" i="5"/>
  <c r="GV204" i="5" s="1"/>
  <c r="EY204" i="5"/>
  <c r="EO204" i="5"/>
  <c r="EQ204" i="5" s="1"/>
  <c r="GP204" i="5"/>
  <c r="FI204" i="5"/>
  <c r="FX204" i="5"/>
  <c r="CN125" i="5"/>
  <c r="DC125" i="5" s="1"/>
  <c r="HL125" i="5" s="1"/>
  <c r="CN128" i="5"/>
  <c r="DC128" i="5" s="1"/>
  <c r="HL128" i="5" s="1"/>
  <c r="CN162" i="5"/>
  <c r="DC162" i="5" s="1"/>
  <c r="HL162" i="5" s="1"/>
  <c r="CN151" i="5"/>
  <c r="DC151" i="5" s="1"/>
  <c r="HL151" i="5" s="1"/>
  <c r="CN148" i="5"/>
  <c r="CN118" i="5"/>
  <c r="CW118" i="5" s="1"/>
  <c r="CN116" i="5"/>
  <c r="DC116" i="5" s="1"/>
  <c r="HL116" i="5" s="1"/>
  <c r="CN176" i="5"/>
  <c r="DC176" i="5" s="1"/>
  <c r="HL176" i="5" s="1"/>
  <c r="CN182" i="5"/>
  <c r="DC182" i="5" s="1"/>
  <c r="HL182" i="5" s="1"/>
  <c r="FC202" i="5"/>
  <c r="GP202" i="5"/>
  <c r="HM202" i="5"/>
  <c r="FI202" i="5"/>
  <c r="FG202" i="5" s="1"/>
  <c r="IE202" i="5"/>
  <c r="GA202" i="5"/>
  <c r="EO202" i="5"/>
  <c r="EQ202" i="5" s="1"/>
  <c r="DU202" i="5"/>
  <c r="ET202" i="5"/>
  <c r="FX202" i="5"/>
  <c r="GG202" i="5"/>
  <c r="HZ202" i="5"/>
  <c r="EY202" i="5"/>
  <c r="FL202" i="5"/>
  <c r="IH202" i="5"/>
  <c r="II202" i="5" s="1"/>
  <c r="FR202" i="5"/>
  <c r="FO202" i="5"/>
  <c r="GD202" i="5"/>
  <c r="FI201" i="5"/>
  <c r="FG201" i="5" s="1"/>
  <c r="FX201" i="5"/>
  <c r="GV201" i="5"/>
  <c r="HZ201" i="5"/>
  <c r="IE201" i="5"/>
  <c r="EO201" i="5"/>
  <c r="EQ201" i="5" s="1"/>
  <c r="FR201" i="5"/>
  <c r="DU201" i="5"/>
  <c r="EY201" i="5"/>
  <c r="GD201" i="5"/>
  <c r="GA201" i="5"/>
  <c r="ET201" i="5"/>
  <c r="GP201" i="5"/>
  <c r="GG201" i="5"/>
  <c r="GG200" i="5"/>
  <c r="GD200" i="5"/>
  <c r="FO200" i="5"/>
  <c r="FR200" i="5"/>
  <c r="CN120" i="5"/>
  <c r="DC120" i="5" s="1"/>
  <c r="HL120" i="5" s="1"/>
  <c r="CN119" i="5"/>
  <c r="CW119" i="5" s="1"/>
  <c r="CN152" i="5"/>
  <c r="DC152" i="5" s="1"/>
  <c r="HL152" i="5" s="1"/>
  <c r="CN89" i="5"/>
  <c r="DC89" i="5" s="1"/>
  <c r="HL89" i="5" s="1"/>
  <c r="CN145" i="5"/>
  <c r="DC145" i="5" s="1"/>
  <c r="HL145" i="5" s="1"/>
  <c r="CN163" i="5"/>
  <c r="DC163" i="5" s="1"/>
  <c r="HL163" i="5" s="1"/>
  <c r="CN103" i="5"/>
  <c r="DC103" i="5" s="1"/>
  <c r="HL103" i="5" s="1"/>
  <c r="CN82" i="5"/>
  <c r="DC82" i="5" s="1"/>
  <c r="HL82" i="5" s="1"/>
  <c r="CN81" i="5"/>
  <c r="DC81" i="5" s="1"/>
  <c r="HL81" i="5" s="1"/>
  <c r="CN188" i="5"/>
  <c r="DC188" i="5" s="1"/>
  <c r="HL188" i="5" s="1"/>
  <c r="CN184" i="5"/>
  <c r="DC184" i="5" s="1"/>
  <c r="HL184" i="5" s="1"/>
  <c r="CN117" i="5"/>
  <c r="CZ117" i="5" s="1"/>
  <c r="CN78" i="5"/>
  <c r="DC78" i="5" s="1"/>
  <c r="HL78" i="5" s="1"/>
  <c r="FI198" i="5"/>
  <c r="FG198" i="5" s="1"/>
  <c r="FX197" i="5"/>
  <c r="GP199" i="5"/>
  <c r="IH199" i="5"/>
  <c r="II199" i="5" s="1"/>
  <c r="IE199" i="5" s="1"/>
  <c r="DU199" i="5"/>
  <c r="GA199" i="5"/>
  <c r="ET199" i="5"/>
  <c r="EY199" i="5"/>
  <c r="EO199" i="5"/>
  <c r="EQ199" i="5" s="1"/>
  <c r="FX199" i="5"/>
  <c r="FR199" i="5"/>
  <c r="FI199" i="5"/>
  <c r="FG199" i="5" s="1"/>
  <c r="HZ199" i="5"/>
  <c r="GG199" i="5"/>
  <c r="FL199" i="5"/>
  <c r="FC199" i="5"/>
  <c r="FO199" i="5"/>
  <c r="GD199" i="5"/>
  <c r="EZ198" i="5"/>
  <c r="DU198" i="5"/>
  <c r="GA198" i="5"/>
  <c r="FX198" i="5"/>
  <c r="FC198" i="5"/>
  <c r="FO198" i="5"/>
  <c r="ET198" i="5"/>
  <c r="HZ198" i="5"/>
  <c r="GP198" i="5"/>
  <c r="FR198" i="5"/>
  <c r="EY198" i="5"/>
  <c r="FL198" i="5"/>
  <c r="EO198" i="5"/>
  <c r="EQ198" i="5" s="1"/>
  <c r="GD198" i="5"/>
  <c r="IH198" i="5"/>
  <c r="II198" i="5" s="1"/>
  <c r="GG198" i="5"/>
  <c r="IE197" i="5"/>
  <c r="EO196" i="5"/>
  <c r="EQ196" i="5" s="1"/>
  <c r="DU197" i="5"/>
  <c r="EO197" i="5"/>
  <c r="EQ197" i="5" s="1"/>
  <c r="FR197" i="5"/>
  <c r="EY197" i="5"/>
  <c r="GD197" i="5"/>
  <c r="GP197" i="5"/>
  <c r="FI197" i="5"/>
  <c r="FG197" i="5" s="1"/>
  <c r="GA197" i="5"/>
  <c r="FL197" i="5"/>
  <c r="HZ197" i="5"/>
  <c r="FC197" i="5"/>
  <c r="ET197" i="5"/>
  <c r="IH197" i="5"/>
  <c r="II197" i="5" s="1"/>
  <c r="FO197" i="5"/>
  <c r="GG197" i="5"/>
  <c r="FC196" i="5"/>
  <c r="IE196" i="5"/>
  <c r="GP196" i="5"/>
  <c r="FL196" i="5"/>
  <c r="FX196" i="5"/>
  <c r="GD196" i="5"/>
  <c r="GA196" i="5"/>
  <c r="DU196" i="5"/>
  <c r="HZ196" i="5"/>
  <c r="FI196" i="5"/>
  <c r="FG196" i="5" s="1"/>
  <c r="EY196" i="5"/>
  <c r="ET196" i="5"/>
  <c r="IH196" i="5"/>
  <c r="II196" i="5" s="1"/>
  <c r="FO196" i="5"/>
  <c r="FR196" i="5"/>
  <c r="GG196" i="5"/>
  <c r="CN180" i="5"/>
  <c r="DC180" i="5" s="1"/>
  <c r="HL180" i="5" s="1"/>
  <c r="CN126" i="5"/>
  <c r="CN141" i="5"/>
  <c r="CW141" i="5" s="1"/>
  <c r="CN159" i="5"/>
  <c r="DC159" i="5" s="1"/>
  <c r="HL159" i="5" s="1"/>
  <c r="EO195" i="5"/>
  <c r="EQ195" i="5" s="1"/>
  <c r="IE195" i="5"/>
  <c r="GA195" i="5"/>
  <c r="FI195" i="5"/>
  <c r="FG195" i="5" s="1"/>
  <c r="ET195" i="5"/>
  <c r="FX195" i="5"/>
  <c r="FO195" i="5"/>
  <c r="FC195" i="5"/>
  <c r="DU195" i="5"/>
  <c r="GP195" i="5"/>
  <c r="HZ195" i="5"/>
  <c r="EY195" i="5"/>
  <c r="FL195" i="5"/>
  <c r="IH195" i="5"/>
  <c r="II195" i="5" s="1"/>
  <c r="GD195" i="5"/>
  <c r="FR195" i="5"/>
  <c r="GG195" i="5"/>
  <c r="IE167" i="5"/>
  <c r="IE161" i="5"/>
  <c r="IE182" i="5"/>
  <c r="DW194" i="5"/>
  <c r="CN194" i="5"/>
  <c r="CW194" i="5" s="1"/>
  <c r="DW199" i="5"/>
  <c r="CN199" i="5"/>
  <c r="DC199" i="5" s="1"/>
  <c r="HL199" i="5" s="1"/>
  <c r="DW200" i="5"/>
  <c r="CN200" i="5"/>
  <c r="DC200" i="5" s="1"/>
  <c r="HL200" i="5" s="1"/>
  <c r="BT194" i="5"/>
  <c r="GD194" i="5" s="1"/>
  <c r="DW196" i="5"/>
  <c r="CN196" i="5"/>
  <c r="DC196" i="5" s="1"/>
  <c r="HL196" i="5" s="1"/>
  <c r="DW201" i="5"/>
  <c r="CN201" i="5"/>
  <c r="DC201" i="5" s="1"/>
  <c r="HL201" i="5" s="1"/>
  <c r="DW198" i="5"/>
  <c r="CN198" i="5"/>
  <c r="DC198" i="5" s="1"/>
  <c r="HL198" i="5" s="1"/>
  <c r="DW197" i="5"/>
  <c r="CN197" i="5"/>
  <c r="DC197" i="5" s="1"/>
  <c r="HL197" i="5" s="1"/>
  <c r="IE187" i="5"/>
  <c r="CN195" i="5"/>
  <c r="DC195" i="5" s="1"/>
  <c r="HL195" i="5" s="1"/>
  <c r="DW195" i="5"/>
  <c r="HZ113" i="5"/>
  <c r="GP113" i="5"/>
  <c r="GU113" i="5"/>
  <c r="GV113" i="5" s="1"/>
  <c r="FX113" i="5"/>
  <c r="FC113" i="5"/>
  <c r="EY113" i="5"/>
  <c r="FI113" i="5"/>
  <c r="EO113" i="5"/>
  <c r="EQ113" i="5" s="1"/>
  <c r="IH113" i="5"/>
  <c r="II113" i="5" s="1"/>
  <c r="HZ182" i="5"/>
  <c r="GU182" i="5"/>
  <c r="GV182" i="5" s="1"/>
  <c r="GP182" i="5"/>
  <c r="FX182" i="5"/>
  <c r="FI182" i="5"/>
  <c r="FG182" i="5" s="1"/>
  <c r="FC182" i="5"/>
  <c r="EY182" i="5"/>
  <c r="EO182" i="5"/>
  <c r="EQ182" i="5" s="1"/>
  <c r="IH182" i="5"/>
  <c r="II182" i="5" s="1"/>
  <c r="HZ29" i="5"/>
  <c r="GU29" i="5"/>
  <c r="GV29" i="5" s="1"/>
  <c r="GP29" i="5"/>
  <c r="FX29" i="5"/>
  <c r="FI29" i="5"/>
  <c r="FC29" i="5"/>
  <c r="EO29" i="5"/>
  <c r="EQ29" i="5" s="1"/>
  <c r="EY29" i="5"/>
  <c r="IH29" i="5"/>
  <c r="II29" i="5" s="1"/>
  <c r="HZ65" i="5"/>
  <c r="GU65" i="5"/>
  <c r="GV65" i="5" s="1"/>
  <c r="GP65" i="5"/>
  <c r="FX65" i="5"/>
  <c r="FC65" i="5"/>
  <c r="FI65" i="5"/>
  <c r="EO65" i="5"/>
  <c r="EQ65" i="5" s="1"/>
  <c r="EY65" i="5"/>
  <c r="IH65" i="5"/>
  <c r="II65" i="5" s="1"/>
  <c r="HZ122" i="5"/>
  <c r="GU122" i="5"/>
  <c r="GV122" i="5" s="1"/>
  <c r="GP122" i="5"/>
  <c r="FX122" i="5"/>
  <c r="FC122" i="5"/>
  <c r="FI122" i="5"/>
  <c r="FG122" i="5" s="1"/>
  <c r="EY122" i="5"/>
  <c r="EO122" i="5"/>
  <c r="EQ122" i="5" s="1"/>
  <c r="IH122" i="5"/>
  <c r="II122" i="5" s="1"/>
  <c r="HZ41" i="5"/>
  <c r="GP41" i="5"/>
  <c r="GU41" i="5"/>
  <c r="GV41" i="5" s="1"/>
  <c r="FX41" i="5"/>
  <c r="FI41" i="5"/>
  <c r="FC41" i="5"/>
  <c r="EY41" i="5"/>
  <c r="EO41" i="5"/>
  <c r="EQ41" i="5" s="1"/>
  <c r="IH41" i="5"/>
  <c r="II41" i="5" s="1"/>
  <c r="HZ73" i="5"/>
  <c r="GU73" i="5"/>
  <c r="GV73" i="5" s="1"/>
  <c r="GP73" i="5"/>
  <c r="FX73" i="5"/>
  <c r="FC73" i="5"/>
  <c r="FI73" i="5"/>
  <c r="FG73" i="5" s="1"/>
  <c r="EY73" i="5"/>
  <c r="EO73" i="5"/>
  <c r="EQ73" i="5" s="1"/>
  <c r="IH73" i="5"/>
  <c r="II73" i="5" s="1"/>
  <c r="IH103" i="5"/>
  <c r="II103" i="5" s="1"/>
  <c r="HZ103" i="5"/>
  <c r="GU103" i="5"/>
  <c r="GV103" i="5" s="1"/>
  <c r="GP103" i="5"/>
  <c r="FX103" i="5"/>
  <c r="FI103" i="5"/>
  <c r="EY103" i="5"/>
  <c r="FC103" i="5"/>
  <c r="EO103" i="5"/>
  <c r="EQ103" i="5" s="1"/>
  <c r="HZ7" i="5"/>
  <c r="GU7" i="5"/>
  <c r="GV7" i="5" s="1"/>
  <c r="GP7" i="5"/>
  <c r="FX7" i="5"/>
  <c r="FI7" i="5"/>
  <c r="EY7" i="5"/>
  <c r="FC7" i="5"/>
  <c r="EO7" i="5"/>
  <c r="EQ7" i="5" s="1"/>
  <c r="IH7" i="5"/>
  <c r="II7" i="5" s="1"/>
  <c r="IH43" i="5"/>
  <c r="II43" i="5" s="1"/>
  <c r="HZ43" i="5"/>
  <c r="GU43" i="5"/>
  <c r="GV43" i="5" s="1"/>
  <c r="GP43" i="5"/>
  <c r="GA43" i="5"/>
  <c r="FX43" i="5"/>
  <c r="FI43" i="5"/>
  <c r="FG43" i="5" s="1"/>
  <c r="EY43" i="5"/>
  <c r="FC43" i="5"/>
  <c r="EO43" i="5"/>
  <c r="EQ43" i="5" s="1"/>
  <c r="HZ74" i="5"/>
  <c r="GU74" i="5"/>
  <c r="GV74" i="5" s="1"/>
  <c r="GP74" i="5"/>
  <c r="GA74" i="5"/>
  <c r="FX74" i="5"/>
  <c r="FC74" i="5"/>
  <c r="FI74" i="5"/>
  <c r="EY74" i="5"/>
  <c r="EO74" i="5"/>
  <c r="EQ74" i="5" s="1"/>
  <c r="IH74" i="5"/>
  <c r="II74" i="5" s="1"/>
  <c r="HZ105" i="5"/>
  <c r="GU105" i="5"/>
  <c r="GV105" i="5" s="1"/>
  <c r="GP105" i="5"/>
  <c r="GA105" i="5"/>
  <c r="FX105" i="5"/>
  <c r="FC105" i="5"/>
  <c r="FI105" i="5"/>
  <c r="EY105" i="5"/>
  <c r="EO105" i="5"/>
  <c r="EQ105" i="5" s="1"/>
  <c r="IH105" i="5"/>
  <c r="II105" i="5" s="1"/>
  <c r="IH135" i="5"/>
  <c r="II135" i="5" s="1"/>
  <c r="HZ135" i="5"/>
  <c r="GU135" i="5"/>
  <c r="GV135" i="5" s="1"/>
  <c r="GP135" i="5"/>
  <c r="FX135" i="5"/>
  <c r="FI135" i="5"/>
  <c r="EY135" i="5"/>
  <c r="FC135" i="5"/>
  <c r="EO135" i="5"/>
  <c r="EQ135" i="5" s="1"/>
  <c r="HZ53" i="5"/>
  <c r="GU53" i="5"/>
  <c r="GV53" i="5" s="1"/>
  <c r="GP53" i="5"/>
  <c r="FX53" i="5"/>
  <c r="FI53" i="5"/>
  <c r="FC53" i="5"/>
  <c r="EY53" i="5"/>
  <c r="EO53" i="5"/>
  <c r="EQ53" i="5" s="1"/>
  <c r="IH53" i="5"/>
  <c r="II53" i="5" s="1"/>
  <c r="HZ28" i="5"/>
  <c r="GU28" i="5"/>
  <c r="GV28" i="5" s="1"/>
  <c r="GP28" i="5"/>
  <c r="FX28" i="5"/>
  <c r="EY28" i="5"/>
  <c r="FC28" i="5"/>
  <c r="FI28" i="5"/>
  <c r="EO28" i="5"/>
  <c r="EQ28" i="5" s="1"/>
  <c r="IH28" i="5"/>
  <c r="II28" i="5" s="1"/>
  <c r="IH64" i="5"/>
  <c r="II64" i="5" s="1"/>
  <c r="HZ64" i="5"/>
  <c r="GP64" i="5"/>
  <c r="GU64" i="5"/>
  <c r="GV64" i="5" s="1"/>
  <c r="FX64" i="5"/>
  <c r="FI64" i="5"/>
  <c r="EY64" i="5"/>
  <c r="FC64" i="5"/>
  <c r="EO64" i="5"/>
  <c r="EQ64" i="5" s="1"/>
  <c r="HZ92" i="5"/>
  <c r="GU92" i="5"/>
  <c r="GV92" i="5" s="1"/>
  <c r="GP92" i="5"/>
  <c r="FX92" i="5"/>
  <c r="FC92" i="5"/>
  <c r="EY92" i="5"/>
  <c r="FI92" i="5"/>
  <c r="EO92" i="5"/>
  <c r="EQ92" i="5" s="1"/>
  <c r="IH92" i="5"/>
  <c r="II92" i="5" s="1"/>
  <c r="IH120" i="5"/>
  <c r="II120" i="5" s="1"/>
  <c r="HZ120" i="5"/>
  <c r="GP120" i="5"/>
  <c r="GU120" i="5"/>
  <c r="GV120" i="5" s="1"/>
  <c r="FX120" i="5"/>
  <c r="GA120" i="5"/>
  <c r="FI120" i="5"/>
  <c r="EY120" i="5"/>
  <c r="FC120" i="5"/>
  <c r="EO120" i="5"/>
  <c r="EQ120" i="5" s="1"/>
  <c r="HZ153" i="5"/>
  <c r="GU153" i="5"/>
  <c r="GV153" i="5" s="1"/>
  <c r="GP153" i="5"/>
  <c r="FX153" i="5"/>
  <c r="GA153" i="5"/>
  <c r="FI153" i="5"/>
  <c r="FG153" i="5" s="1"/>
  <c r="FC153" i="5"/>
  <c r="EY153" i="5"/>
  <c r="EO153" i="5"/>
  <c r="EQ153" i="5" s="1"/>
  <c r="IH153" i="5"/>
  <c r="II153" i="5" s="1"/>
  <c r="IH171" i="5"/>
  <c r="II171" i="5" s="1"/>
  <c r="HZ171" i="5"/>
  <c r="GP171" i="5"/>
  <c r="GU171" i="5"/>
  <c r="GV171" i="5" s="1"/>
  <c r="FX171" i="5"/>
  <c r="EY171" i="5"/>
  <c r="FC171" i="5"/>
  <c r="FI171" i="5"/>
  <c r="EO171" i="5"/>
  <c r="EQ171" i="5" s="1"/>
  <c r="IH32" i="5"/>
  <c r="II32" i="5" s="1"/>
  <c r="HZ32" i="5"/>
  <c r="GU32" i="5"/>
  <c r="GV32" i="5" s="1"/>
  <c r="GP32" i="5"/>
  <c r="FX32" i="5"/>
  <c r="FI32" i="5"/>
  <c r="EY32" i="5"/>
  <c r="FC32" i="5"/>
  <c r="EO32" i="5"/>
  <c r="EQ32" i="5" s="1"/>
  <c r="HZ66" i="5"/>
  <c r="GU66" i="5"/>
  <c r="GV66" i="5" s="1"/>
  <c r="GP66" i="5"/>
  <c r="GA66" i="5"/>
  <c r="FX66" i="5"/>
  <c r="FI66" i="5"/>
  <c r="FC66" i="5"/>
  <c r="EY66" i="5"/>
  <c r="EO66" i="5"/>
  <c r="EQ66" i="5" s="1"/>
  <c r="IH66" i="5"/>
  <c r="II66" i="5" s="1"/>
  <c r="HZ178" i="5"/>
  <c r="GU178" i="5"/>
  <c r="GV178" i="5" s="1"/>
  <c r="GP178" i="5"/>
  <c r="FI178" i="5"/>
  <c r="FG178" i="5" s="1"/>
  <c r="FX178" i="5"/>
  <c r="FC178" i="5"/>
  <c r="EY178" i="5"/>
  <c r="EO178" i="5"/>
  <c r="EQ178" i="5" s="1"/>
  <c r="IH178" i="5"/>
  <c r="II178" i="5" s="1"/>
  <c r="IH134" i="5"/>
  <c r="II134" i="5" s="1"/>
  <c r="HZ134" i="5"/>
  <c r="GP134" i="5"/>
  <c r="GU134" i="5"/>
  <c r="GV134" i="5" s="1"/>
  <c r="FX134" i="5"/>
  <c r="EY134" i="5"/>
  <c r="FI134" i="5"/>
  <c r="FC134" i="5"/>
  <c r="EO134" i="5"/>
  <c r="EQ134" i="5" s="1"/>
  <c r="HZ163" i="5"/>
  <c r="GU163" i="5"/>
  <c r="GV163" i="5" s="1"/>
  <c r="GP163" i="5"/>
  <c r="FI163" i="5"/>
  <c r="FG163" i="5" s="1"/>
  <c r="FX163" i="5"/>
  <c r="FC163" i="5"/>
  <c r="EY163" i="5"/>
  <c r="EO163" i="5"/>
  <c r="EQ163" i="5" s="1"/>
  <c r="IH163" i="5"/>
  <c r="II163" i="5" s="1"/>
  <c r="IH186" i="5"/>
  <c r="II186" i="5" s="1"/>
  <c r="IE186" i="5" s="1"/>
  <c r="HZ186" i="5"/>
  <c r="GU186" i="5"/>
  <c r="GV186" i="5" s="1"/>
  <c r="GP186" i="5"/>
  <c r="FX186" i="5"/>
  <c r="FI186" i="5"/>
  <c r="FG186" i="5" s="1"/>
  <c r="EY186" i="5"/>
  <c r="FC186" i="5"/>
  <c r="EO186" i="5"/>
  <c r="EQ186" i="5" s="1"/>
  <c r="IH191" i="5"/>
  <c r="II191" i="5" s="1"/>
  <c r="HZ191" i="5"/>
  <c r="GU191" i="5"/>
  <c r="GV191" i="5" s="1"/>
  <c r="GP191" i="5"/>
  <c r="FX191" i="5"/>
  <c r="FI191" i="5"/>
  <c r="FG191" i="5" s="1"/>
  <c r="EY191" i="5"/>
  <c r="EO191" i="5"/>
  <c r="EQ191" i="5" s="1"/>
  <c r="FC191" i="5"/>
  <c r="IH27" i="5"/>
  <c r="II27" i="5" s="1"/>
  <c r="HZ27" i="5"/>
  <c r="GP27" i="5"/>
  <c r="GU27" i="5"/>
  <c r="GV27" i="5" s="1"/>
  <c r="GA27" i="5"/>
  <c r="FI27" i="5"/>
  <c r="FX27" i="5"/>
  <c r="EY27" i="5"/>
  <c r="FC27" i="5"/>
  <c r="EO27" i="5"/>
  <c r="EQ27" i="5" s="1"/>
  <c r="IH63" i="5"/>
  <c r="II63" i="5" s="1"/>
  <c r="HZ63" i="5"/>
  <c r="GU63" i="5"/>
  <c r="GV63" i="5" s="1"/>
  <c r="GP63" i="5"/>
  <c r="FI63" i="5"/>
  <c r="FX63" i="5"/>
  <c r="EY63" i="5"/>
  <c r="FC63" i="5"/>
  <c r="EO63" i="5"/>
  <c r="EQ63" i="5" s="1"/>
  <c r="IH119" i="5"/>
  <c r="II119" i="5" s="1"/>
  <c r="HZ119" i="5"/>
  <c r="GP119" i="5"/>
  <c r="GU119" i="5"/>
  <c r="GV119" i="5" s="1"/>
  <c r="FX119" i="5"/>
  <c r="GA119" i="5"/>
  <c r="FI119" i="5"/>
  <c r="FG119" i="5" s="1"/>
  <c r="EY119" i="5"/>
  <c r="FC119" i="5"/>
  <c r="EO119" i="5"/>
  <c r="EQ119" i="5" s="1"/>
  <c r="IH188" i="5"/>
  <c r="II188" i="5" s="1"/>
  <c r="HZ188" i="5"/>
  <c r="GU188" i="5"/>
  <c r="GV188" i="5" s="1"/>
  <c r="GP188" i="5"/>
  <c r="FX188" i="5"/>
  <c r="EY188" i="5"/>
  <c r="FI188" i="5"/>
  <c r="FC188" i="5"/>
  <c r="EO188" i="5"/>
  <c r="EQ188" i="5" s="1"/>
  <c r="HZ38" i="5"/>
  <c r="GU38" i="5"/>
  <c r="GV38" i="5" s="1"/>
  <c r="GA38" i="5"/>
  <c r="GP38" i="5"/>
  <c r="FX38" i="5"/>
  <c r="EY38" i="5"/>
  <c r="FC38" i="5"/>
  <c r="FI38" i="5"/>
  <c r="EO38" i="5"/>
  <c r="EQ38" i="5" s="1"/>
  <c r="IH38" i="5"/>
  <c r="II38" i="5" s="1"/>
  <c r="IH71" i="5"/>
  <c r="II71" i="5" s="1"/>
  <c r="HZ71" i="5"/>
  <c r="GP71" i="5"/>
  <c r="GU71" i="5"/>
  <c r="GV71" i="5" s="1"/>
  <c r="FX71" i="5"/>
  <c r="FI71" i="5"/>
  <c r="EY71" i="5"/>
  <c r="FC71" i="5"/>
  <c r="EO71" i="5"/>
  <c r="EQ71" i="5" s="1"/>
  <c r="IH126" i="5"/>
  <c r="II126" i="5" s="1"/>
  <c r="HZ126" i="5"/>
  <c r="GP126" i="5"/>
  <c r="GU126" i="5"/>
  <c r="GV126" i="5" s="1"/>
  <c r="FX126" i="5"/>
  <c r="FI126" i="5"/>
  <c r="EY126" i="5"/>
  <c r="FC126" i="5"/>
  <c r="EO126" i="5"/>
  <c r="EQ126" i="5" s="1"/>
  <c r="IH148" i="5"/>
  <c r="II148" i="5" s="1"/>
  <c r="HZ148" i="5"/>
  <c r="GU148" i="5"/>
  <c r="GV148" i="5" s="1"/>
  <c r="GP148" i="5"/>
  <c r="FX148" i="5"/>
  <c r="EY148" i="5"/>
  <c r="FC148" i="5"/>
  <c r="FI148" i="5"/>
  <c r="EO148" i="5"/>
  <c r="EQ148" i="5" s="1"/>
  <c r="HZ102" i="5"/>
  <c r="GU102" i="5"/>
  <c r="GV102" i="5" s="1"/>
  <c r="GP102" i="5"/>
  <c r="FX102" i="5"/>
  <c r="FI102" i="5"/>
  <c r="FG102" i="5" s="1"/>
  <c r="EY102" i="5"/>
  <c r="FC102" i="5"/>
  <c r="EO102" i="5"/>
  <c r="EQ102" i="5" s="1"/>
  <c r="IH102" i="5"/>
  <c r="II102" i="5" s="1"/>
  <c r="IH127" i="5"/>
  <c r="II127" i="5" s="1"/>
  <c r="HZ127" i="5"/>
  <c r="GU127" i="5"/>
  <c r="GV127" i="5" s="1"/>
  <c r="GP127" i="5"/>
  <c r="FX127" i="5"/>
  <c r="FI127" i="5"/>
  <c r="EY127" i="5"/>
  <c r="FC127" i="5"/>
  <c r="EO127" i="5"/>
  <c r="EQ127" i="5" s="1"/>
  <c r="HZ5" i="5"/>
  <c r="GU5" i="5"/>
  <c r="GV5" i="5" s="1"/>
  <c r="GP5" i="5"/>
  <c r="GD5" i="5"/>
  <c r="GA5" i="5"/>
  <c r="FX5" i="5"/>
  <c r="FI5" i="5"/>
  <c r="EY5" i="5"/>
  <c r="FC5" i="5"/>
  <c r="EO5" i="5"/>
  <c r="EQ5" i="5" s="1"/>
  <c r="IH5" i="5"/>
  <c r="II5" i="5" s="1"/>
  <c r="HZ50" i="5"/>
  <c r="GU50" i="5"/>
  <c r="GV50" i="5" s="1"/>
  <c r="GP50" i="5"/>
  <c r="FX50" i="5"/>
  <c r="FI50" i="5"/>
  <c r="EY50" i="5"/>
  <c r="FC50" i="5"/>
  <c r="EO50" i="5"/>
  <c r="EQ50" i="5" s="1"/>
  <c r="IH50" i="5"/>
  <c r="II50" i="5" s="1"/>
  <c r="HZ81" i="5"/>
  <c r="GU81" i="5"/>
  <c r="GV81" i="5" s="1"/>
  <c r="GP81" i="5"/>
  <c r="GA81" i="5"/>
  <c r="FX81" i="5"/>
  <c r="FC81" i="5"/>
  <c r="FI81" i="5"/>
  <c r="EY81" i="5"/>
  <c r="EO81" i="5"/>
  <c r="EQ81" i="5" s="1"/>
  <c r="IH81" i="5"/>
  <c r="II81" i="5" s="1"/>
  <c r="IH111" i="5"/>
  <c r="II111" i="5" s="1"/>
  <c r="HZ111" i="5"/>
  <c r="GP111" i="5"/>
  <c r="GU111" i="5"/>
  <c r="GV111" i="5" s="1"/>
  <c r="FX111" i="5"/>
  <c r="FI111" i="5"/>
  <c r="FG111" i="5" s="1"/>
  <c r="FC111" i="5"/>
  <c r="EO111" i="5"/>
  <c r="EQ111" i="5" s="1"/>
  <c r="EY111" i="5"/>
  <c r="HZ162" i="5"/>
  <c r="GU162" i="5"/>
  <c r="GV162" i="5" s="1"/>
  <c r="GP162" i="5"/>
  <c r="FX162" i="5"/>
  <c r="FI162" i="5"/>
  <c r="EY162" i="5"/>
  <c r="FC162" i="5"/>
  <c r="EO162" i="5"/>
  <c r="EQ162" i="5" s="1"/>
  <c r="IH162" i="5"/>
  <c r="II162" i="5" s="1"/>
  <c r="HZ13" i="5"/>
  <c r="GU13" i="5"/>
  <c r="GV13" i="5" s="1"/>
  <c r="GP13" i="5"/>
  <c r="GA13" i="5"/>
  <c r="FX13" i="5"/>
  <c r="FI13" i="5"/>
  <c r="EY13" i="5"/>
  <c r="FC13" i="5"/>
  <c r="EO13" i="5"/>
  <c r="EQ13" i="5" s="1"/>
  <c r="IH13" i="5"/>
  <c r="II13" i="5" s="1"/>
  <c r="IH51" i="5"/>
  <c r="II51" i="5" s="1"/>
  <c r="HZ51" i="5"/>
  <c r="GU51" i="5"/>
  <c r="GV51" i="5" s="1"/>
  <c r="GP51" i="5"/>
  <c r="FX51" i="5"/>
  <c r="FI51" i="5"/>
  <c r="EY51" i="5"/>
  <c r="FC51" i="5"/>
  <c r="EO51" i="5"/>
  <c r="EQ51" i="5" s="1"/>
  <c r="HZ82" i="5"/>
  <c r="GP82" i="5"/>
  <c r="GU82" i="5"/>
  <c r="GV82" i="5" s="1"/>
  <c r="FX82" i="5"/>
  <c r="FI82" i="5"/>
  <c r="FC82" i="5"/>
  <c r="EY82" i="5"/>
  <c r="EO82" i="5"/>
  <c r="EQ82" i="5" s="1"/>
  <c r="IH82" i="5"/>
  <c r="II82" i="5" s="1"/>
  <c r="IH112" i="5"/>
  <c r="II112" i="5" s="1"/>
  <c r="HZ112" i="5"/>
  <c r="GU112" i="5"/>
  <c r="GV112" i="5" s="1"/>
  <c r="GP112" i="5"/>
  <c r="FX112" i="5"/>
  <c r="FI112" i="5"/>
  <c r="FG112" i="5" s="1"/>
  <c r="EY112" i="5"/>
  <c r="FC112" i="5"/>
  <c r="EO112" i="5"/>
  <c r="EQ112" i="5" s="1"/>
  <c r="IH175" i="5"/>
  <c r="II175" i="5" s="1"/>
  <c r="HZ175" i="5"/>
  <c r="GU175" i="5"/>
  <c r="GV175" i="5" s="1"/>
  <c r="GP175" i="5"/>
  <c r="FX175" i="5"/>
  <c r="FI175" i="5"/>
  <c r="EY175" i="5"/>
  <c r="FC175" i="5"/>
  <c r="EO175" i="5"/>
  <c r="EQ175" i="5" s="1"/>
  <c r="HZ37" i="5"/>
  <c r="GU37" i="5"/>
  <c r="GV37" i="5" s="1"/>
  <c r="GP37" i="5"/>
  <c r="FX37" i="5"/>
  <c r="EY37" i="5"/>
  <c r="FC37" i="5"/>
  <c r="FI37" i="5"/>
  <c r="EO37" i="5"/>
  <c r="EQ37" i="5" s="1"/>
  <c r="IH37" i="5"/>
  <c r="II37" i="5" s="1"/>
  <c r="HZ70" i="5"/>
  <c r="GU70" i="5"/>
  <c r="GV70" i="5" s="1"/>
  <c r="GP70" i="5"/>
  <c r="GA70" i="5"/>
  <c r="FI70" i="5"/>
  <c r="FX70" i="5"/>
  <c r="FC70" i="5"/>
  <c r="EY70" i="5"/>
  <c r="EO70" i="5"/>
  <c r="EQ70" i="5" s="1"/>
  <c r="IH70" i="5"/>
  <c r="II70" i="5" s="1"/>
  <c r="HZ100" i="5"/>
  <c r="GU100" i="5"/>
  <c r="GV100" i="5" s="1"/>
  <c r="GP100" i="5"/>
  <c r="FX100" i="5"/>
  <c r="FC100" i="5"/>
  <c r="EY100" i="5"/>
  <c r="EO100" i="5"/>
  <c r="EQ100" i="5" s="1"/>
  <c r="FI100" i="5"/>
  <c r="IH100" i="5"/>
  <c r="II100" i="5" s="1"/>
  <c r="HZ159" i="5"/>
  <c r="GU159" i="5"/>
  <c r="GV159" i="5" s="1"/>
  <c r="GP159" i="5"/>
  <c r="FX159" i="5"/>
  <c r="FC159" i="5"/>
  <c r="FI159" i="5"/>
  <c r="EY159" i="5"/>
  <c r="EO159" i="5"/>
  <c r="EQ159" i="5" s="1"/>
  <c r="IH159" i="5"/>
  <c r="II159" i="5" s="1"/>
  <c r="HZ4" i="5"/>
  <c r="GU4" i="5"/>
  <c r="GV4" i="5" s="1"/>
  <c r="GP4" i="5"/>
  <c r="GA4" i="5"/>
  <c r="FX4" i="5"/>
  <c r="FI4" i="5"/>
  <c r="EY4" i="5"/>
  <c r="FC4" i="5"/>
  <c r="EO4" i="5"/>
  <c r="EQ4" i="5" s="1"/>
  <c r="IH4" i="5"/>
  <c r="II4" i="5" s="1"/>
  <c r="IH40" i="5"/>
  <c r="II40" i="5" s="1"/>
  <c r="HZ40" i="5"/>
  <c r="GU40" i="5"/>
  <c r="GV40" i="5" s="1"/>
  <c r="GP40" i="5"/>
  <c r="FX40" i="5"/>
  <c r="GA40" i="5"/>
  <c r="FI40" i="5"/>
  <c r="FG40" i="5" s="1"/>
  <c r="FC40" i="5"/>
  <c r="EO40" i="5"/>
  <c r="EQ40" i="5" s="1"/>
  <c r="EY40" i="5"/>
  <c r="IH72" i="5"/>
  <c r="II72" i="5" s="1"/>
  <c r="HZ72" i="5"/>
  <c r="GU72" i="5"/>
  <c r="GV72" i="5" s="1"/>
  <c r="GP72" i="5"/>
  <c r="GA72" i="5"/>
  <c r="FX72" i="5"/>
  <c r="FI72" i="5"/>
  <c r="FC72" i="5"/>
  <c r="EO72" i="5"/>
  <c r="EQ72" i="5" s="1"/>
  <c r="EY72" i="5"/>
  <c r="HZ184" i="5"/>
  <c r="GU184" i="5"/>
  <c r="GV184" i="5" s="1"/>
  <c r="GP184" i="5"/>
  <c r="FX184" i="5"/>
  <c r="FC184" i="5"/>
  <c r="EY184" i="5"/>
  <c r="FI184" i="5"/>
  <c r="FG184" i="5" s="1"/>
  <c r="EO184" i="5"/>
  <c r="EQ184" i="5" s="1"/>
  <c r="IH184" i="5"/>
  <c r="II184" i="5" s="1"/>
  <c r="HZ140" i="5"/>
  <c r="GU140" i="5"/>
  <c r="GV140" i="5" s="1"/>
  <c r="GP140" i="5"/>
  <c r="GA140" i="5"/>
  <c r="FX140" i="5"/>
  <c r="FI140" i="5"/>
  <c r="FC140" i="5"/>
  <c r="EY140" i="5"/>
  <c r="EO140" i="5"/>
  <c r="EQ140" i="5" s="1"/>
  <c r="IH140" i="5"/>
  <c r="II140" i="5" s="1"/>
  <c r="HZ145" i="5"/>
  <c r="GU145" i="5"/>
  <c r="GV145" i="5" s="1"/>
  <c r="GP145" i="5"/>
  <c r="FX145" i="5"/>
  <c r="FC145" i="5"/>
  <c r="EY145" i="5"/>
  <c r="FI145" i="5"/>
  <c r="EO145" i="5"/>
  <c r="EQ145" i="5" s="1"/>
  <c r="IH145" i="5"/>
  <c r="II145" i="5" s="1"/>
  <c r="HZ36" i="5"/>
  <c r="GU36" i="5"/>
  <c r="GV36" i="5" s="1"/>
  <c r="GP36" i="5"/>
  <c r="FX36" i="5"/>
  <c r="FI36" i="5"/>
  <c r="FG36" i="5" s="1"/>
  <c r="EY36" i="5"/>
  <c r="FC36" i="5"/>
  <c r="EO36" i="5"/>
  <c r="EQ36" i="5" s="1"/>
  <c r="IH36" i="5"/>
  <c r="II36" i="5" s="1"/>
  <c r="HZ69" i="5"/>
  <c r="GU69" i="5"/>
  <c r="GV69" i="5" s="1"/>
  <c r="GP69" i="5"/>
  <c r="GA69" i="5"/>
  <c r="FX69" i="5"/>
  <c r="FI69" i="5"/>
  <c r="FL69" i="5"/>
  <c r="FC69" i="5"/>
  <c r="EO69" i="5"/>
  <c r="EQ69" i="5" s="1"/>
  <c r="EY69" i="5"/>
  <c r="IH69" i="5"/>
  <c r="II69" i="5" s="1"/>
  <c r="HZ125" i="5"/>
  <c r="GU125" i="5"/>
  <c r="GV125" i="5" s="1"/>
  <c r="GP125" i="5"/>
  <c r="FX125" i="5"/>
  <c r="FI125" i="5"/>
  <c r="EY125" i="5"/>
  <c r="FC125" i="5"/>
  <c r="EO125" i="5"/>
  <c r="EQ125" i="5" s="1"/>
  <c r="IH125" i="5"/>
  <c r="II125" i="5" s="1"/>
  <c r="IH152" i="5"/>
  <c r="II152" i="5" s="1"/>
  <c r="HZ152" i="5"/>
  <c r="GU152" i="5"/>
  <c r="GV152" i="5" s="1"/>
  <c r="GP152" i="5"/>
  <c r="FX152" i="5"/>
  <c r="FI152" i="5"/>
  <c r="FC152" i="5"/>
  <c r="EY152" i="5"/>
  <c r="EO152" i="5"/>
  <c r="EQ152" i="5" s="1"/>
  <c r="HZ10" i="5"/>
  <c r="GP10" i="5"/>
  <c r="GU10" i="5"/>
  <c r="GV10" i="5" s="1"/>
  <c r="FX10" i="5"/>
  <c r="FI10" i="5"/>
  <c r="FG10" i="5" s="1"/>
  <c r="FC10" i="5"/>
  <c r="EY10" i="5"/>
  <c r="EO10" i="5"/>
  <c r="EQ10" i="5" s="1"/>
  <c r="IH10" i="5"/>
  <c r="II10" i="5" s="1"/>
  <c r="IH48" i="5"/>
  <c r="II48" i="5" s="1"/>
  <c r="HZ48" i="5"/>
  <c r="GU48" i="5"/>
  <c r="GV48" i="5" s="1"/>
  <c r="GP48" i="5"/>
  <c r="FX48" i="5"/>
  <c r="GA48" i="5"/>
  <c r="FI48" i="5"/>
  <c r="FC48" i="5"/>
  <c r="EY48" i="5"/>
  <c r="EO48" i="5"/>
  <c r="EQ48" i="5" s="1"/>
  <c r="IH78" i="5"/>
  <c r="II78" i="5" s="1"/>
  <c r="HZ78" i="5"/>
  <c r="GU78" i="5"/>
  <c r="GV78" i="5" s="1"/>
  <c r="GP78" i="5"/>
  <c r="FX78" i="5"/>
  <c r="FI78" i="5"/>
  <c r="EY78" i="5"/>
  <c r="FC78" i="5"/>
  <c r="EO78" i="5"/>
  <c r="EQ78" i="5" s="1"/>
  <c r="HZ109" i="5"/>
  <c r="GU109" i="5"/>
  <c r="GV109" i="5" s="1"/>
  <c r="GP109" i="5"/>
  <c r="GA109" i="5"/>
  <c r="FX109" i="5"/>
  <c r="FI109" i="5"/>
  <c r="EY109" i="5"/>
  <c r="FC109" i="5"/>
  <c r="EO109" i="5"/>
  <c r="EQ109" i="5" s="1"/>
  <c r="IH109" i="5"/>
  <c r="II109" i="5" s="1"/>
  <c r="HZ132" i="5"/>
  <c r="GU132" i="5"/>
  <c r="GV132" i="5" s="1"/>
  <c r="GP132" i="5"/>
  <c r="FX132" i="5"/>
  <c r="FI132" i="5"/>
  <c r="EY132" i="5"/>
  <c r="FC132" i="5"/>
  <c r="EO132" i="5"/>
  <c r="EQ132" i="5" s="1"/>
  <c r="IH132" i="5"/>
  <c r="II132" i="5" s="1"/>
  <c r="HZ154" i="5"/>
  <c r="GU154" i="5"/>
  <c r="GV154" i="5" s="1"/>
  <c r="GP154" i="5"/>
  <c r="FX154" i="5"/>
  <c r="FI154" i="5"/>
  <c r="EY154" i="5"/>
  <c r="FC154" i="5"/>
  <c r="EO154" i="5"/>
  <c r="EQ154" i="5" s="1"/>
  <c r="IH154" i="5"/>
  <c r="II154" i="5" s="1"/>
  <c r="IH110" i="5"/>
  <c r="II110" i="5" s="1"/>
  <c r="HZ110" i="5"/>
  <c r="GU110" i="5"/>
  <c r="GV110" i="5" s="1"/>
  <c r="GP110" i="5"/>
  <c r="FX110" i="5"/>
  <c r="GA110" i="5"/>
  <c r="FI110" i="5"/>
  <c r="EY110" i="5"/>
  <c r="FC110" i="5"/>
  <c r="EO110" i="5"/>
  <c r="EQ110" i="5" s="1"/>
  <c r="HZ161" i="5"/>
  <c r="GU161" i="5"/>
  <c r="GV161" i="5" s="1"/>
  <c r="GP161" i="5"/>
  <c r="FX161" i="5"/>
  <c r="FI161" i="5"/>
  <c r="FG161" i="5" s="1"/>
  <c r="EY161" i="5"/>
  <c r="FC161" i="5"/>
  <c r="EO161" i="5"/>
  <c r="EQ161" i="5" s="1"/>
  <c r="IH161" i="5"/>
  <c r="II161" i="5" s="1"/>
  <c r="IH24" i="5"/>
  <c r="II24" i="5" s="1"/>
  <c r="HZ24" i="5"/>
  <c r="GU24" i="5"/>
  <c r="GV24" i="5" s="1"/>
  <c r="GP24" i="5"/>
  <c r="FX24" i="5"/>
  <c r="FI24" i="5"/>
  <c r="EY24" i="5"/>
  <c r="FC24" i="5"/>
  <c r="EO24" i="5"/>
  <c r="EQ24" i="5" s="1"/>
  <c r="IH59" i="5"/>
  <c r="II59" i="5" s="1"/>
  <c r="HZ59" i="5"/>
  <c r="GU59" i="5"/>
  <c r="GV59" i="5" s="1"/>
  <c r="GP59" i="5"/>
  <c r="FX59" i="5"/>
  <c r="EY59" i="5"/>
  <c r="FI59" i="5"/>
  <c r="EO59" i="5"/>
  <c r="EQ59" i="5" s="1"/>
  <c r="FC59" i="5"/>
  <c r="HZ89" i="5"/>
  <c r="GU89" i="5"/>
  <c r="GV89" i="5" s="1"/>
  <c r="GP89" i="5"/>
  <c r="GA89" i="5"/>
  <c r="FX89" i="5"/>
  <c r="FC89" i="5"/>
  <c r="EY89" i="5"/>
  <c r="FI89" i="5"/>
  <c r="EO89" i="5"/>
  <c r="EQ89" i="5" s="1"/>
  <c r="IH89" i="5"/>
  <c r="II89" i="5" s="1"/>
  <c r="HZ117" i="5"/>
  <c r="GU117" i="5"/>
  <c r="GV117" i="5" s="1"/>
  <c r="GP117" i="5"/>
  <c r="FX117" i="5"/>
  <c r="FI117" i="5"/>
  <c r="FG117" i="5" s="1"/>
  <c r="EY117" i="5"/>
  <c r="FC117" i="5"/>
  <c r="EO117" i="5"/>
  <c r="EQ117" i="5" s="1"/>
  <c r="IH117" i="5"/>
  <c r="II117" i="5" s="1"/>
  <c r="HZ26" i="5"/>
  <c r="GP26" i="5"/>
  <c r="GU26" i="5"/>
  <c r="GV26" i="5" s="1"/>
  <c r="FX26" i="5"/>
  <c r="FC26" i="5"/>
  <c r="FI26" i="5"/>
  <c r="FG26" i="5" s="1"/>
  <c r="EY26" i="5"/>
  <c r="EO26" i="5"/>
  <c r="EQ26" i="5" s="1"/>
  <c r="IH26" i="5"/>
  <c r="II26" i="5" s="1"/>
  <c r="HZ61" i="5"/>
  <c r="GU61" i="5"/>
  <c r="GV61" i="5" s="1"/>
  <c r="GP61" i="5"/>
  <c r="GA61" i="5"/>
  <c r="FX61" i="5"/>
  <c r="FI61" i="5"/>
  <c r="FG61" i="5" s="1"/>
  <c r="FC61" i="5"/>
  <c r="EY61" i="5"/>
  <c r="EO61" i="5"/>
  <c r="EQ61" i="5" s="1"/>
  <c r="IH61" i="5"/>
  <c r="II61" i="5" s="1"/>
  <c r="HZ118" i="5"/>
  <c r="GU118" i="5"/>
  <c r="GV118" i="5" s="1"/>
  <c r="GP118" i="5"/>
  <c r="FX118" i="5"/>
  <c r="FI118" i="5"/>
  <c r="FG118" i="5" s="1"/>
  <c r="FC118" i="5"/>
  <c r="EY118" i="5"/>
  <c r="EO118" i="5"/>
  <c r="EQ118" i="5" s="1"/>
  <c r="IH118" i="5"/>
  <c r="II118" i="5" s="1"/>
  <c r="HZ181" i="5"/>
  <c r="GU181" i="5"/>
  <c r="GV181" i="5" s="1"/>
  <c r="GP181" i="5"/>
  <c r="FX181" i="5"/>
  <c r="FC181" i="5"/>
  <c r="FI181" i="5"/>
  <c r="EO181" i="5"/>
  <c r="EQ181" i="5" s="1"/>
  <c r="EY181" i="5"/>
  <c r="IH181" i="5"/>
  <c r="II181" i="5" s="1"/>
  <c r="IH47" i="5"/>
  <c r="II47" i="5" s="1"/>
  <c r="HZ47" i="5"/>
  <c r="GU47" i="5"/>
  <c r="GV47" i="5" s="1"/>
  <c r="GP47" i="5"/>
  <c r="GA47" i="5"/>
  <c r="FX47" i="5"/>
  <c r="FI47" i="5"/>
  <c r="EY47" i="5"/>
  <c r="FC47" i="5"/>
  <c r="EO47" i="5"/>
  <c r="EQ47" i="5" s="1"/>
  <c r="HZ77" i="5"/>
  <c r="GU77" i="5"/>
  <c r="GV77" i="5" s="1"/>
  <c r="GP77" i="5"/>
  <c r="FX77" i="5"/>
  <c r="FI77" i="5"/>
  <c r="EY77" i="5"/>
  <c r="FC77" i="5"/>
  <c r="EO77" i="5"/>
  <c r="EQ77" i="5" s="1"/>
  <c r="IH77" i="5"/>
  <c r="II77" i="5" s="1"/>
  <c r="HZ137" i="5"/>
  <c r="GU137" i="5"/>
  <c r="GV137" i="5" s="1"/>
  <c r="GP137" i="5"/>
  <c r="FX137" i="5"/>
  <c r="EY137" i="5"/>
  <c r="FC137" i="5"/>
  <c r="FI137" i="5"/>
  <c r="EO137" i="5"/>
  <c r="EQ137" i="5" s="1"/>
  <c r="IH137" i="5"/>
  <c r="II137" i="5" s="1"/>
  <c r="IH183" i="5"/>
  <c r="II183" i="5" s="1"/>
  <c r="HZ183" i="5"/>
  <c r="GU183" i="5"/>
  <c r="GV183" i="5" s="1"/>
  <c r="GP183" i="5"/>
  <c r="FX183" i="5"/>
  <c r="FI183" i="5"/>
  <c r="FG183" i="5" s="1"/>
  <c r="EY183" i="5"/>
  <c r="EO183" i="5"/>
  <c r="EQ183" i="5" s="1"/>
  <c r="FC183" i="5"/>
  <c r="IH11" i="5"/>
  <c r="II11" i="5" s="1"/>
  <c r="HZ11" i="5"/>
  <c r="GP11" i="5"/>
  <c r="GU11" i="5"/>
  <c r="GV11" i="5" s="1"/>
  <c r="FX11" i="5"/>
  <c r="FI11" i="5"/>
  <c r="FG11" i="5" s="1"/>
  <c r="EY11" i="5"/>
  <c r="EO11" i="5"/>
  <c r="EQ11" i="5" s="1"/>
  <c r="FC11" i="5"/>
  <c r="HZ49" i="5"/>
  <c r="GU49" i="5"/>
  <c r="GV49" i="5" s="1"/>
  <c r="GP49" i="5"/>
  <c r="GA49" i="5"/>
  <c r="FX49" i="5"/>
  <c r="FC49" i="5"/>
  <c r="EY49" i="5"/>
  <c r="FI49" i="5"/>
  <c r="EO49" i="5"/>
  <c r="EQ49" i="5" s="1"/>
  <c r="IH49" i="5"/>
  <c r="II49" i="5" s="1"/>
  <c r="IH79" i="5"/>
  <c r="II79" i="5" s="1"/>
  <c r="HZ79" i="5"/>
  <c r="GU79" i="5"/>
  <c r="GV79" i="5" s="1"/>
  <c r="GP79" i="5"/>
  <c r="GA79" i="5"/>
  <c r="FX79" i="5"/>
  <c r="FI79" i="5"/>
  <c r="EY79" i="5"/>
  <c r="FC79" i="5"/>
  <c r="EO79" i="5"/>
  <c r="EQ79" i="5" s="1"/>
  <c r="HZ151" i="5"/>
  <c r="GP151" i="5"/>
  <c r="GU151" i="5"/>
  <c r="GV151" i="5" s="1"/>
  <c r="FX151" i="5"/>
  <c r="FI151" i="5"/>
  <c r="FG151" i="5" s="1"/>
  <c r="FC151" i="5"/>
  <c r="EY151" i="5"/>
  <c r="EO151" i="5"/>
  <c r="EQ151" i="5" s="1"/>
  <c r="IH151" i="5"/>
  <c r="II151" i="5" s="1"/>
  <c r="HZ174" i="5"/>
  <c r="GU174" i="5"/>
  <c r="GV174" i="5" s="1"/>
  <c r="GP174" i="5"/>
  <c r="FX174" i="5"/>
  <c r="FC174" i="5"/>
  <c r="EY174" i="5"/>
  <c r="FI174" i="5"/>
  <c r="EO174" i="5"/>
  <c r="EQ174" i="5" s="1"/>
  <c r="IH174" i="5"/>
  <c r="II174" i="5" s="1"/>
  <c r="IH83" i="5"/>
  <c r="II83" i="5" s="1"/>
  <c r="HZ83" i="5"/>
  <c r="GP83" i="5"/>
  <c r="GU83" i="5"/>
  <c r="GV83" i="5" s="1"/>
  <c r="FX83" i="5"/>
  <c r="GA83" i="5"/>
  <c r="FI83" i="5"/>
  <c r="EY83" i="5"/>
  <c r="FC83" i="5"/>
  <c r="EO83" i="5"/>
  <c r="EQ83" i="5" s="1"/>
  <c r="HZ8" i="5"/>
  <c r="GP8" i="5"/>
  <c r="GU8" i="5"/>
  <c r="GV8" i="5" s="1"/>
  <c r="GA8" i="5"/>
  <c r="FX8" i="5"/>
  <c r="FI8" i="5"/>
  <c r="EY8" i="5"/>
  <c r="FC8" i="5"/>
  <c r="EO8" i="5"/>
  <c r="EQ8" i="5" s="1"/>
  <c r="IH8" i="5"/>
  <c r="II8" i="5" s="1"/>
  <c r="IH46" i="5"/>
  <c r="II46" i="5" s="1"/>
  <c r="HZ46" i="5"/>
  <c r="GU46" i="5"/>
  <c r="GV46" i="5" s="1"/>
  <c r="GP46" i="5"/>
  <c r="FX46" i="5"/>
  <c r="FI46" i="5"/>
  <c r="EY46" i="5"/>
  <c r="FC46" i="5"/>
  <c r="EO46" i="5"/>
  <c r="EQ46" i="5" s="1"/>
  <c r="HZ76" i="5"/>
  <c r="GU76" i="5"/>
  <c r="GV76" i="5" s="1"/>
  <c r="GP76" i="5"/>
  <c r="FX76" i="5"/>
  <c r="FC76" i="5"/>
  <c r="FI76" i="5"/>
  <c r="EY76" i="5"/>
  <c r="EO76" i="5"/>
  <c r="EQ76" i="5" s="1"/>
  <c r="IH76" i="5"/>
  <c r="II76" i="5" s="1"/>
  <c r="HZ106" i="5"/>
  <c r="GU106" i="5"/>
  <c r="GV106" i="5" s="1"/>
  <c r="GP106" i="5"/>
  <c r="FX106" i="5"/>
  <c r="FC106" i="5"/>
  <c r="FI106" i="5"/>
  <c r="EY106" i="5"/>
  <c r="EO106" i="5"/>
  <c r="EQ106" i="5" s="1"/>
  <c r="IH106" i="5"/>
  <c r="II106" i="5" s="1"/>
  <c r="HZ136" i="5"/>
  <c r="GU136" i="5"/>
  <c r="GV136" i="5" s="1"/>
  <c r="GP136" i="5"/>
  <c r="GA136" i="5"/>
  <c r="FX136" i="5"/>
  <c r="FC136" i="5"/>
  <c r="FI136" i="5"/>
  <c r="EO136" i="5"/>
  <c r="EQ136" i="5" s="1"/>
  <c r="EY136" i="5"/>
  <c r="IH136" i="5"/>
  <c r="II136" i="5" s="1"/>
  <c r="HZ158" i="5"/>
  <c r="GU158" i="5"/>
  <c r="GV158" i="5" s="1"/>
  <c r="GP158" i="5"/>
  <c r="GA158" i="5"/>
  <c r="FX158" i="5"/>
  <c r="FC158" i="5"/>
  <c r="FI158" i="5"/>
  <c r="EY158" i="5"/>
  <c r="EO158" i="5"/>
  <c r="EQ158" i="5" s="1"/>
  <c r="IH158" i="5"/>
  <c r="II158" i="5" s="1"/>
  <c r="IH19" i="5"/>
  <c r="II19" i="5" s="1"/>
  <c r="HZ19" i="5"/>
  <c r="GU19" i="5"/>
  <c r="GV19" i="5" s="1"/>
  <c r="GP19" i="5"/>
  <c r="FX19" i="5"/>
  <c r="FI19" i="5"/>
  <c r="FG19" i="5" s="1"/>
  <c r="EY19" i="5"/>
  <c r="FC19" i="5"/>
  <c r="EO19" i="5"/>
  <c r="EQ19" i="5" s="1"/>
  <c r="IH56" i="5"/>
  <c r="II56" i="5" s="1"/>
  <c r="HZ56" i="5"/>
  <c r="GU56" i="5"/>
  <c r="GV56" i="5" s="1"/>
  <c r="GP56" i="5"/>
  <c r="FX56" i="5"/>
  <c r="FI56" i="5"/>
  <c r="FC56" i="5"/>
  <c r="EY56" i="5"/>
  <c r="EO56" i="5"/>
  <c r="EQ56" i="5" s="1"/>
  <c r="IH87" i="5"/>
  <c r="II87" i="5" s="1"/>
  <c r="HZ87" i="5"/>
  <c r="GU87" i="5"/>
  <c r="GV87" i="5" s="1"/>
  <c r="GP87" i="5"/>
  <c r="FX87" i="5"/>
  <c r="FI87" i="5"/>
  <c r="EY87" i="5"/>
  <c r="FC87" i="5"/>
  <c r="EO87" i="5"/>
  <c r="EQ87" i="5" s="1"/>
  <c r="IH115" i="5"/>
  <c r="II115" i="5" s="1"/>
  <c r="HZ115" i="5"/>
  <c r="GU115" i="5"/>
  <c r="GV115" i="5" s="1"/>
  <c r="GP115" i="5"/>
  <c r="FX115" i="5"/>
  <c r="FI115" i="5"/>
  <c r="EY115" i="5"/>
  <c r="FC115" i="5"/>
  <c r="EO115" i="5"/>
  <c r="EQ115" i="5" s="1"/>
  <c r="IH138" i="5"/>
  <c r="II138" i="5" s="1"/>
  <c r="HZ138" i="5"/>
  <c r="GP138" i="5"/>
  <c r="GU138" i="5"/>
  <c r="GV138" i="5" s="1"/>
  <c r="FX138" i="5"/>
  <c r="FI138" i="5"/>
  <c r="EY138" i="5"/>
  <c r="FC138" i="5"/>
  <c r="EO138" i="5"/>
  <c r="EQ138" i="5" s="1"/>
  <c r="HZ116" i="5"/>
  <c r="GU116" i="5"/>
  <c r="GV116" i="5" s="1"/>
  <c r="GP116" i="5"/>
  <c r="GA116" i="5"/>
  <c r="FX116" i="5"/>
  <c r="EY116" i="5"/>
  <c r="FC116" i="5"/>
  <c r="EO116" i="5"/>
  <c r="EQ116" i="5" s="1"/>
  <c r="FI116" i="5"/>
  <c r="IH116" i="5"/>
  <c r="II116" i="5" s="1"/>
  <c r="HZ167" i="5"/>
  <c r="GP167" i="5"/>
  <c r="GU167" i="5"/>
  <c r="GV167" i="5" s="1"/>
  <c r="GA167" i="5"/>
  <c r="FX167" i="5"/>
  <c r="FC167" i="5"/>
  <c r="FI167" i="5"/>
  <c r="FG167" i="5" s="1"/>
  <c r="EY167" i="5"/>
  <c r="EO167" i="5"/>
  <c r="EQ167" i="5" s="1"/>
  <c r="IH167" i="5"/>
  <c r="II167" i="5" s="1"/>
  <c r="HZ33" i="5"/>
  <c r="GU33" i="5"/>
  <c r="GV33" i="5" s="1"/>
  <c r="GP33" i="5"/>
  <c r="GA33" i="5"/>
  <c r="FX33" i="5"/>
  <c r="FI33" i="5"/>
  <c r="FC33" i="5"/>
  <c r="EO33" i="5"/>
  <c r="EQ33" i="5" s="1"/>
  <c r="EY33" i="5"/>
  <c r="IH33" i="5"/>
  <c r="II33" i="5" s="1"/>
  <c r="IH67" i="5"/>
  <c r="II67" i="5" s="1"/>
  <c r="HZ67" i="5"/>
  <c r="GU67" i="5"/>
  <c r="GV67" i="5" s="1"/>
  <c r="GP67" i="5"/>
  <c r="FX67" i="5"/>
  <c r="FI67" i="5"/>
  <c r="EY67" i="5"/>
  <c r="EO67" i="5"/>
  <c r="EQ67" i="5" s="1"/>
  <c r="FC67" i="5"/>
  <c r="HZ97" i="5"/>
  <c r="GP97" i="5"/>
  <c r="GU97" i="5"/>
  <c r="GV97" i="5" s="1"/>
  <c r="GA97" i="5"/>
  <c r="FX97" i="5"/>
  <c r="FL97" i="5"/>
  <c r="FC97" i="5"/>
  <c r="EY97" i="5"/>
  <c r="FI97" i="5"/>
  <c r="EO97" i="5"/>
  <c r="EQ97" i="5" s="1"/>
  <c r="IH97" i="5"/>
  <c r="II97" i="5" s="1"/>
  <c r="IH35" i="5"/>
  <c r="II35" i="5" s="1"/>
  <c r="HZ35" i="5"/>
  <c r="GU35" i="5"/>
  <c r="GV35" i="5" s="1"/>
  <c r="GP35" i="5"/>
  <c r="FX35" i="5"/>
  <c r="FI35" i="5"/>
  <c r="FG35" i="5" s="1"/>
  <c r="EY35" i="5"/>
  <c r="EO35" i="5"/>
  <c r="EQ35" i="5" s="1"/>
  <c r="FC35" i="5"/>
  <c r="HZ68" i="5"/>
  <c r="GU68" i="5"/>
  <c r="GV68" i="5" s="1"/>
  <c r="GP68" i="5"/>
  <c r="FX68" i="5"/>
  <c r="GA68" i="5"/>
  <c r="FC68" i="5"/>
  <c r="EY68" i="5"/>
  <c r="FI68" i="5"/>
  <c r="EO68" i="5"/>
  <c r="EQ68" i="5" s="1"/>
  <c r="IH68" i="5"/>
  <c r="II68" i="5" s="1"/>
  <c r="HZ98" i="5"/>
  <c r="GU98" i="5"/>
  <c r="GV98" i="5" s="1"/>
  <c r="GP98" i="5"/>
  <c r="FX98" i="5"/>
  <c r="FI98" i="5"/>
  <c r="FC98" i="5"/>
  <c r="EY98" i="5"/>
  <c r="EO98" i="5"/>
  <c r="EQ98" i="5" s="1"/>
  <c r="IH98" i="5"/>
  <c r="II98" i="5" s="1"/>
  <c r="IH142" i="5"/>
  <c r="II142" i="5" s="1"/>
  <c r="HZ142" i="5"/>
  <c r="GU142" i="5"/>
  <c r="GV142" i="5" s="1"/>
  <c r="GP142" i="5"/>
  <c r="FX142" i="5"/>
  <c r="FC142" i="5"/>
  <c r="FI142" i="5"/>
  <c r="EO142" i="5"/>
  <c r="EQ142" i="5" s="1"/>
  <c r="EY142" i="5"/>
  <c r="IH187" i="5"/>
  <c r="II187" i="5" s="1"/>
  <c r="HZ187" i="5"/>
  <c r="GP187" i="5"/>
  <c r="GU187" i="5"/>
  <c r="GV187" i="5" s="1"/>
  <c r="FX187" i="5"/>
  <c r="FI187" i="5"/>
  <c r="FG187" i="5" s="1"/>
  <c r="FC187" i="5"/>
  <c r="EY187" i="5"/>
  <c r="EO187" i="5"/>
  <c r="EQ187" i="5" s="1"/>
  <c r="HZ18" i="5"/>
  <c r="GU18" i="5"/>
  <c r="GV18" i="5" s="1"/>
  <c r="GP18" i="5"/>
  <c r="FX18" i="5"/>
  <c r="FI18" i="5"/>
  <c r="FC18" i="5"/>
  <c r="EY18" i="5"/>
  <c r="EO18" i="5"/>
  <c r="EQ18" i="5" s="1"/>
  <c r="IH18" i="5"/>
  <c r="II18" i="5" s="1"/>
  <c r="IH55" i="5"/>
  <c r="II55" i="5" s="1"/>
  <c r="HZ55" i="5"/>
  <c r="GP55" i="5"/>
  <c r="GU55" i="5"/>
  <c r="GV55" i="5" s="1"/>
  <c r="FI55" i="5"/>
  <c r="FX55" i="5"/>
  <c r="FC55" i="5"/>
  <c r="EO55" i="5"/>
  <c r="EQ55" i="5" s="1"/>
  <c r="EY55" i="5"/>
  <c r="HZ85" i="5"/>
  <c r="GU85" i="5"/>
  <c r="GV85" i="5" s="1"/>
  <c r="GP85" i="5"/>
  <c r="FX85" i="5"/>
  <c r="FI85" i="5"/>
  <c r="EY85" i="5"/>
  <c r="FC85" i="5"/>
  <c r="EO85" i="5"/>
  <c r="EQ85" i="5" s="1"/>
  <c r="IH85" i="5"/>
  <c r="II85" i="5" s="1"/>
  <c r="HZ114" i="5"/>
  <c r="GU114" i="5"/>
  <c r="GV114" i="5" s="1"/>
  <c r="GP114" i="5"/>
  <c r="FX114" i="5"/>
  <c r="FI114" i="5"/>
  <c r="FC114" i="5"/>
  <c r="EY114" i="5"/>
  <c r="EO114" i="5"/>
  <c r="EQ114" i="5" s="1"/>
  <c r="IH114" i="5"/>
  <c r="II114" i="5" s="1"/>
  <c r="HZ147" i="5"/>
  <c r="GU147" i="5"/>
  <c r="GV147" i="5" s="1"/>
  <c r="GP147" i="5"/>
  <c r="FX147" i="5"/>
  <c r="FI147" i="5"/>
  <c r="FG147" i="5" s="1"/>
  <c r="FC147" i="5"/>
  <c r="EY147" i="5"/>
  <c r="EO147" i="5"/>
  <c r="EQ147" i="5" s="1"/>
  <c r="IH147" i="5"/>
  <c r="II147" i="5" s="1"/>
  <c r="HZ166" i="5"/>
  <c r="GU166" i="5"/>
  <c r="GV166" i="5" s="1"/>
  <c r="GP166" i="5"/>
  <c r="FX166" i="5"/>
  <c r="FC166" i="5"/>
  <c r="FI166" i="5"/>
  <c r="FG166" i="5" s="1"/>
  <c r="EY166" i="5"/>
  <c r="EO166" i="5"/>
  <c r="EQ166" i="5" s="1"/>
  <c r="IH166" i="5"/>
  <c r="II166" i="5" s="1"/>
  <c r="IE166" i="5" s="1"/>
  <c r="HZ189" i="5"/>
  <c r="GU189" i="5"/>
  <c r="GV189" i="5" s="1"/>
  <c r="GP189" i="5"/>
  <c r="FX189" i="5"/>
  <c r="FC189" i="5"/>
  <c r="FI189" i="5"/>
  <c r="EY189" i="5"/>
  <c r="EO189" i="5"/>
  <c r="EQ189" i="5" s="1"/>
  <c r="IH189" i="5"/>
  <c r="II189" i="5" s="1"/>
  <c r="HZ21" i="5"/>
  <c r="GU21" i="5"/>
  <c r="GV21" i="5" s="1"/>
  <c r="GP21" i="5"/>
  <c r="FX21" i="5"/>
  <c r="FI21" i="5"/>
  <c r="FG21" i="5" s="1"/>
  <c r="EY21" i="5"/>
  <c r="FC21" i="5"/>
  <c r="EO21" i="5"/>
  <c r="EQ21" i="5" s="1"/>
  <c r="IH21" i="5"/>
  <c r="II21" i="5" s="1"/>
  <c r="HZ58" i="5"/>
  <c r="GU58" i="5"/>
  <c r="GV58" i="5" s="1"/>
  <c r="GP58" i="5"/>
  <c r="FX58" i="5"/>
  <c r="FC58" i="5"/>
  <c r="FI58" i="5"/>
  <c r="EY58" i="5"/>
  <c r="EO58" i="5"/>
  <c r="EQ58" i="5" s="1"/>
  <c r="IH58" i="5"/>
  <c r="II58" i="5" s="1"/>
  <c r="HZ128" i="5"/>
  <c r="GU128" i="5"/>
  <c r="GV128" i="5" s="1"/>
  <c r="GP128" i="5"/>
  <c r="GA128" i="5"/>
  <c r="FX128" i="5"/>
  <c r="FC128" i="5"/>
  <c r="FI128" i="5"/>
  <c r="EY128" i="5"/>
  <c r="EO128" i="5"/>
  <c r="EQ128" i="5" s="1"/>
  <c r="IH128" i="5"/>
  <c r="II128" i="5" s="1"/>
  <c r="HZ150" i="5"/>
  <c r="GP150" i="5"/>
  <c r="GU150" i="5"/>
  <c r="GV150" i="5" s="1"/>
  <c r="FX150" i="5"/>
  <c r="FI150" i="5"/>
  <c r="FC150" i="5"/>
  <c r="EY150" i="5"/>
  <c r="EO150" i="5"/>
  <c r="EQ150" i="5" s="1"/>
  <c r="IH150" i="5"/>
  <c r="II150" i="5" s="1"/>
  <c r="IH179" i="5"/>
  <c r="II179" i="5" s="1"/>
  <c r="HZ179" i="5"/>
  <c r="GU179" i="5"/>
  <c r="GV179" i="5" s="1"/>
  <c r="GP179" i="5"/>
  <c r="FX179" i="5"/>
  <c r="FI179" i="5"/>
  <c r="FC179" i="5"/>
  <c r="EY179" i="5"/>
  <c r="EO179" i="5"/>
  <c r="EQ179" i="5" s="1"/>
  <c r="IH157" i="5"/>
  <c r="II157" i="5" s="1"/>
  <c r="HZ157" i="5"/>
  <c r="GP157" i="5"/>
  <c r="GU157" i="5"/>
  <c r="GV157" i="5" s="1"/>
  <c r="FX157" i="5"/>
  <c r="FI157" i="5"/>
  <c r="EY157" i="5"/>
  <c r="FC157" i="5"/>
  <c r="EO157" i="5"/>
  <c r="EQ157" i="5" s="1"/>
  <c r="IH180" i="5"/>
  <c r="II180" i="5" s="1"/>
  <c r="HZ180" i="5"/>
  <c r="GU180" i="5"/>
  <c r="GV180" i="5" s="1"/>
  <c r="GP180" i="5"/>
  <c r="FX180" i="5"/>
  <c r="EY180" i="5"/>
  <c r="FI180" i="5"/>
  <c r="FC180" i="5"/>
  <c r="EO180" i="5"/>
  <c r="EQ180" i="5" s="1"/>
  <c r="HZ190" i="5"/>
  <c r="GU190" i="5"/>
  <c r="GV190" i="5" s="1"/>
  <c r="GP190" i="5"/>
  <c r="FX190" i="5"/>
  <c r="FC190" i="5"/>
  <c r="FI190" i="5"/>
  <c r="EO190" i="5"/>
  <c r="EQ190" i="5" s="1"/>
  <c r="EY190" i="5"/>
  <c r="IH190" i="5"/>
  <c r="II190" i="5" s="1"/>
  <c r="GG151" i="5"/>
  <c r="IE151" i="5"/>
  <c r="GG183" i="5"/>
  <c r="IE183" i="5"/>
  <c r="GG163" i="5"/>
  <c r="IE163" i="5"/>
  <c r="GG40" i="5"/>
  <c r="GG119" i="5"/>
  <c r="GG61" i="5"/>
  <c r="GG43" i="5"/>
  <c r="GG178" i="5"/>
  <c r="IE178" i="5"/>
  <c r="GD111" i="5"/>
  <c r="GG111" i="5"/>
  <c r="GD187" i="5"/>
  <c r="GG187" i="5"/>
  <c r="GD21" i="5"/>
  <c r="GG21" i="5"/>
  <c r="GD166" i="5"/>
  <c r="GG166" i="5"/>
  <c r="GD191" i="5"/>
  <c r="GG191" i="5"/>
  <c r="GD73" i="5"/>
  <c r="GG73" i="5"/>
  <c r="GD182" i="5"/>
  <c r="GG182" i="5"/>
  <c r="GD184" i="5"/>
  <c r="GG184" i="5"/>
  <c r="GD122" i="5"/>
  <c r="GG122" i="5"/>
  <c r="GD117" i="5"/>
  <c r="GG117" i="5"/>
  <c r="GD161" i="5"/>
  <c r="GG161" i="5"/>
  <c r="GD147" i="5"/>
  <c r="GG147" i="5"/>
  <c r="GD167" i="5"/>
  <c r="GG167" i="5"/>
  <c r="GD186" i="5"/>
  <c r="GG186" i="5"/>
  <c r="GD118" i="5"/>
  <c r="GG118" i="5"/>
  <c r="GA183" i="5"/>
  <c r="GD183" i="5"/>
  <c r="GA163" i="5"/>
  <c r="GD163" i="5"/>
  <c r="FR123" i="5"/>
  <c r="GD123" i="5"/>
  <c r="FR40" i="5"/>
  <c r="GD40" i="5"/>
  <c r="FR119" i="5"/>
  <c r="GD119" i="5"/>
  <c r="FR61" i="5"/>
  <c r="GD61" i="5"/>
  <c r="FR43" i="5"/>
  <c r="GD43" i="5"/>
  <c r="GA178" i="5"/>
  <c r="GD178" i="5"/>
  <c r="GA151" i="5"/>
  <c r="GD151" i="5"/>
  <c r="FR111" i="5"/>
  <c r="GA111" i="5"/>
  <c r="FR187" i="5"/>
  <c r="GA187" i="5"/>
  <c r="FR21" i="5"/>
  <c r="GA21" i="5"/>
  <c r="FR166" i="5"/>
  <c r="GA166" i="5"/>
  <c r="FR191" i="5"/>
  <c r="GA191" i="5"/>
  <c r="FR73" i="5"/>
  <c r="GA73" i="5"/>
  <c r="FR182" i="5"/>
  <c r="GA182" i="5"/>
  <c r="FR184" i="5"/>
  <c r="GA184" i="5"/>
  <c r="FR122" i="5"/>
  <c r="GA122" i="5"/>
  <c r="FR117" i="5"/>
  <c r="GA117" i="5"/>
  <c r="FR161" i="5"/>
  <c r="GA161" i="5"/>
  <c r="FR147" i="5"/>
  <c r="GA147" i="5"/>
  <c r="FR186" i="5"/>
  <c r="GA186" i="5"/>
  <c r="FR118" i="5"/>
  <c r="GA118" i="5"/>
  <c r="FO183" i="5"/>
  <c r="FR183" i="5"/>
  <c r="FO163" i="5"/>
  <c r="FR163" i="5"/>
  <c r="FO178" i="5"/>
  <c r="FR178" i="5"/>
  <c r="FO167" i="5"/>
  <c r="FR167" i="5"/>
  <c r="FO151" i="5"/>
  <c r="FR151" i="5"/>
  <c r="EZ160" i="5"/>
  <c r="EZ123" i="5"/>
  <c r="FO123" i="5"/>
  <c r="FL111" i="5"/>
  <c r="FO111" i="5"/>
  <c r="FL187" i="5"/>
  <c r="FO187" i="5"/>
  <c r="FL21" i="5"/>
  <c r="FO21" i="5"/>
  <c r="FL166" i="5"/>
  <c r="FO166" i="5"/>
  <c r="FL40" i="5"/>
  <c r="FO40" i="5"/>
  <c r="FL119" i="5"/>
  <c r="FO119" i="5"/>
  <c r="FL191" i="5"/>
  <c r="FO191" i="5"/>
  <c r="FL73" i="5"/>
  <c r="FO73" i="5"/>
  <c r="FL61" i="5"/>
  <c r="FO61" i="5"/>
  <c r="FL182" i="5"/>
  <c r="FO182" i="5"/>
  <c r="FL184" i="5"/>
  <c r="FO184" i="5"/>
  <c r="EZ192" i="5"/>
  <c r="FL43" i="5"/>
  <c r="FO43" i="5"/>
  <c r="FL122" i="5"/>
  <c r="FO122" i="5"/>
  <c r="FL117" i="5"/>
  <c r="FO117" i="5"/>
  <c r="FL161" i="5"/>
  <c r="FO161" i="5"/>
  <c r="FL147" i="5"/>
  <c r="FO147" i="5"/>
  <c r="FL186" i="5"/>
  <c r="FO186" i="5"/>
  <c r="FL118" i="5"/>
  <c r="FO118" i="5"/>
  <c r="FL183" i="5"/>
  <c r="FL163" i="5"/>
  <c r="FL178" i="5"/>
  <c r="FL167" i="5"/>
  <c r="FL151" i="5"/>
  <c r="EZ111" i="5"/>
  <c r="EZ187" i="5"/>
  <c r="EZ21" i="5"/>
  <c r="EZ166" i="5"/>
  <c r="EZ40" i="5"/>
  <c r="EZ119" i="5"/>
  <c r="ET191" i="5"/>
  <c r="EZ73" i="5"/>
  <c r="EZ61" i="5"/>
  <c r="EZ182" i="5"/>
  <c r="EZ184" i="5"/>
  <c r="EZ43" i="5"/>
  <c r="EZ122" i="5"/>
  <c r="EZ117" i="5"/>
  <c r="EZ161" i="5"/>
  <c r="EZ147" i="5"/>
  <c r="EZ186" i="5"/>
  <c r="EZ118" i="5"/>
  <c r="EZ179" i="5"/>
  <c r="DU183" i="5"/>
  <c r="ET183" i="5"/>
  <c r="DU163" i="5"/>
  <c r="ET163" i="5"/>
  <c r="DU111" i="5"/>
  <c r="ET111" i="5"/>
  <c r="DU187" i="5"/>
  <c r="ET187" i="5"/>
  <c r="DU21" i="5"/>
  <c r="ET21" i="5"/>
  <c r="DU166" i="5"/>
  <c r="ET166" i="5"/>
  <c r="DU40" i="5"/>
  <c r="ET40" i="5"/>
  <c r="DU119" i="5"/>
  <c r="ET119" i="5"/>
  <c r="DU73" i="5"/>
  <c r="ET73" i="5"/>
  <c r="DU61" i="5"/>
  <c r="ET61" i="5"/>
  <c r="DU182" i="5"/>
  <c r="ET182" i="5"/>
  <c r="DU184" i="5"/>
  <c r="ET184" i="5"/>
  <c r="DU43" i="5"/>
  <c r="ET43" i="5"/>
  <c r="DU122" i="5"/>
  <c r="ET122" i="5"/>
  <c r="DU178" i="5"/>
  <c r="ET178" i="5"/>
  <c r="DU117" i="5"/>
  <c r="ET117" i="5"/>
  <c r="DU161" i="5"/>
  <c r="ET161" i="5"/>
  <c r="DU147" i="5"/>
  <c r="ET147" i="5"/>
  <c r="DU167" i="5"/>
  <c r="ET167" i="5"/>
  <c r="DU186" i="5"/>
  <c r="ET186" i="5"/>
  <c r="DU118" i="5"/>
  <c r="ET118" i="5"/>
  <c r="DU151" i="5"/>
  <c r="ET151" i="5"/>
  <c r="DU191" i="5"/>
  <c r="CZ4" i="5"/>
  <c r="CW40" i="5"/>
  <c r="CZ40" i="5"/>
  <c r="CZ72" i="5"/>
  <c r="CZ122" i="5"/>
  <c r="CZ8" i="5"/>
  <c r="CZ37" i="5"/>
  <c r="CZ70" i="5"/>
  <c r="CZ41" i="5"/>
  <c r="CW61" i="5"/>
  <c r="CZ61" i="5"/>
  <c r="CZ38" i="5"/>
  <c r="CZ49" i="5"/>
  <c r="CZ79" i="5"/>
  <c r="CZ53" i="5"/>
  <c r="CZ137" i="5"/>
  <c r="CZ5" i="5"/>
  <c r="CZ50" i="5"/>
  <c r="CZ35" i="5"/>
  <c r="CZ175" i="5"/>
  <c r="CZ10" i="5"/>
  <c r="CZ48" i="5"/>
  <c r="CW21" i="5"/>
  <c r="CZ21" i="5"/>
  <c r="CZ63" i="5"/>
  <c r="CZ18" i="5"/>
  <c r="CZ24" i="5"/>
  <c r="CZ59" i="5"/>
  <c r="CW43" i="5"/>
  <c r="CZ43" i="5"/>
  <c r="CZ56" i="5"/>
  <c r="CZ87" i="5"/>
  <c r="CZ66" i="5"/>
  <c r="CZ167" i="5"/>
  <c r="CZ69" i="5"/>
  <c r="CZ28" i="5"/>
  <c r="CZ67" i="5"/>
  <c r="CZ97" i="5"/>
  <c r="CW123" i="5"/>
  <c r="NI192" i="5"/>
  <c r="HM192" i="5" s="1"/>
  <c r="CN192" i="5"/>
  <c r="DC192" i="5" s="1"/>
  <c r="HL192" i="5" s="1"/>
  <c r="CN240" i="5"/>
  <c r="DC240" i="5" s="1"/>
  <c r="HL240" i="5" s="1"/>
  <c r="CN223" i="5"/>
  <c r="DC223" i="5" s="1"/>
  <c r="HL223" i="5" s="1"/>
  <c r="CN247" i="5"/>
  <c r="DC247" i="5" s="1"/>
  <c r="HL247" i="5" s="1"/>
  <c r="CN206" i="5"/>
  <c r="CN226" i="5"/>
  <c r="DC226" i="5" s="1"/>
  <c r="HL226" i="5" s="1"/>
  <c r="CN236" i="5"/>
  <c r="DC236" i="5" s="1"/>
  <c r="HL236" i="5" s="1"/>
  <c r="CN237" i="5"/>
  <c r="DC237" i="5" s="1"/>
  <c r="HL237" i="5" s="1"/>
  <c r="CN227" i="5"/>
  <c r="DC227" i="5" s="1"/>
  <c r="HL227" i="5" s="1"/>
  <c r="CN202" i="5"/>
  <c r="DC202" i="5" s="1"/>
  <c r="HL202" i="5" s="1"/>
  <c r="CN222" i="5"/>
  <c r="DC222" i="5" s="1"/>
  <c r="HL222" i="5" s="1"/>
  <c r="CN246" i="5"/>
  <c r="DC246" i="5" s="1"/>
  <c r="HL246" i="5" s="1"/>
  <c r="CN208" i="5"/>
  <c r="DC208" i="5" s="1"/>
  <c r="HL208" i="5" s="1"/>
  <c r="CN229" i="5"/>
  <c r="DC229" i="5" s="1"/>
  <c r="HL229" i="5" s="1"/>
  <c r="CN216" i="5"/>
  <c r="DC216" i="5" s="1"/>
  <c r="HL216" i="5" s="1"/>
  <c r="CN220" i="5"/>
  <c r="DC220" i="5" s="1"/>
  <c r="HL220" i="5" s="1"/>
  <c r="CN242" i="5"/>
  <c r="DC242" i="5" s="1"/>
  <c r="HL242" i="5" s="1"/>
  <c r="NI190" i="5"/>
  <c r="CN190" i="5"/>
  <c r="DC190" i="5" s="1"/>
  <c r="HL190" i="5" s="1"/>
  <c r="CN243" i="5"/>
  <c r="DC243" i="5" s="1"/>
  <c r="HL243" i="5" s="1"/>
  <c r="CN217" i="5"/>
  <c r="DC217" i="5" s="1"/>
  <c r="HL217" i="5" s="1"/>
  <c r="CN221" i="5"/>
  <c r="DC221" i="5" s="1"/>
  <c r="HL221" i="5" s="1"/>
  <c r="CN214" i="5"/>
  <c r="DC214" i="5" s="1"/>
  <c r="HL214" i="5" s="1"/>
  <c r="CN228" i="5"/>
  <c r="DC228" i="5" s="1"/>
  <c r="HL228" i="5" s="1"/>
  <c r="CN235" i="5"/>
  <c r="DC235" i="5" s="1"/>
  <c r="HL235" i="5" s="1"/>
  <c r="CN238" i="5"/>
  <c r="DC238" i="5" s="1"/>
  <c r="HL238" i="5" s="1"/>
  <c r="CN204" i="5"/>
  <c r="DC204" i="5" s="1"/>
  <c r="HL204" i="5" s="1"/>
  <c r="CN224" i="5"/>
  <c r="DC224" i="5" s="1"/>
  <c r="HL224" i="5" s="1"/>
  <c r="CN248" i="5"/>
  <c r="DC248" i="5" s="1"/>
  <c r="HL248" i="5" s="1"/>
  <c r="CN225" i="5"/>
  <c r="DC225" i="5" s="1"/>
  <c r="HL225" i="5" s="1"/>
  <c r="CN212" i="5"/>
  <c r="DC212" i="5" s="1"/>
  <c r="HL212" i="5" s="1"/>
  <c r="CN218" i="5"/>
  <c r="DC218" i="5" s="1"/>
  <c r="HL218" i="5" s="1"/>
  <c r="CN234" i="5"/>
  <c r="DC234" i="5" s="1"/>
  <c r="HL234" i="5" s="1"/>
  <c r="CN241" i="5"/>
  <c r="DC241" i="5" s="1"/>
  <c r="HL241" i="5" s="1"/>
  <c r="CN244" i="5"/>
  <c r="DC244" i="5" s="1"/>
  <c r="HL244" i="5" s="1"/>
  <c r="CN215" i="5"/>
  <c r="DC215" i="5" s="1"/>
  <c r="HL215" i="5" s="1"/>
  <c r="CN230" i="5"/>
  <c r="DC230" i="5" s="1"/>
  <c r="HL230" i="5" s="1"/>
  <c r="CN219" i="5"/>
  <c r="DC219" i="5" s="1"/>
  <c r="HL219" i="5" s="1"/>
  <c r="CN231" i="5"/>
  <c r="DC231" i="5" s="1"/>
  <c r="HL231" i="5" s="1"/>
  <c r="NI191" i="5"/>
  <c r="CN191" i="5"/>
  <c r="DC191" i="5" s="1"/>
  <c r="HL191" i="5" s="1"/>
  <c r="CN245" i="5"/>
  <c r="DC245" i="5" s="1"/>
  <c r="HL245" i="5" s="1"/>
  <c r="NI176" i="5"/>
  <c r="NI188" i="5"/>
  <c r="NI132" i="5"/>
  <c r="NI148" i="5"/>
  <c r="NI127" i="5"/>
  <c r="NI161" i="5"/>
  <c r="NI134" i="5"/>
  <c r="NI150" i="5"/>
  <c r="NI141" i="5"/>
  <c r="NI145" i="5"/>
  <c r="NI163" i="5"/>
  <c r="NI180" i="5"/>
  <c r="NI187" i="5"/>
  <c r="NI147" i="5"/>
  <c r="NI171" i="5"/>
  <c r="NI189" i="5"/>
  <c r="NI178" i="5"/>
  <c r="NI136" i="5"/>
  <c r="NI152" i="5"/>
  <c r="NI138" i="5"/>
  <c r="NI154" i="5"/>
  <c r="NI160" i="5"/>
  <c r="NI167" i="5"/>
  <c r="NI140" i="5"/>
  <c r="NI151" i="5"/>
  <c r="NI186" i="5"/>
  <c r="NI175" i="5"/>
  <c r="NI137" i="5"/>
  <c r="NI153" i="5"/>
  <c r="NI184" i="5"/>
  <c r="NI162" i="5"/>
  <c r="NI125" i="5"/>
  <c r="NI142" i="5"/>
  <c r="NI158" i="5"/>
  <c r="NI182" i="5"/>
  <c r="NI126" i="5"/>
  <c r="NI128" i="5"/>
  <c r="NI179" i="5"/>
  <c r="NI135" i="5"/>
  <c r="NI157" i="5"/>
  <c r="NI174" i="5"/>
  <c r="NI181" i="5"/>
  <c r="NI159" i="5"/>
  <c r="NI166" i="5"/>
  <c r="NI183" i="5"/>
  <c r="HR187" i="5"/>
  <c r="RV3" i="5"/>
  <c r="NF3" i="5"/>
  <c r="MM248" i="5"/>
  <c r="MM242" i="5"/>
  <c r="MM236" i="5"/>
  <c r="MM230" i="5"/>
  <c r="MM224" i="5"/>
  <c r="MM215" i="5"/>
  <c r="MM204" i="5"/>
  <c r="MM189" i="5"/>
  <c r="MM183" i="5"/>
  <c r="MM171" i="5"/>
  <c r="MM166" i="5"/>
  <c r="MM160" i="5"/>
  <c r="MM154" i="5"/>
  <c r="MM148" i="5"/>
  <c r="MM138" i="5"/>
  <c r="MM132" i="5"/>
  <c r="MM126" i="5"/>
  <c r="NF115" i="5"/>
  <c r="MM115" i="5"/>
  <c r="NF109" i="5"/>
  <c r="MM109" i="5"/>
  <c r="NF103" i="5"/>
  <c r="MM103" i="5"/>
  <c r="NF97" i="5"/>
  <c r="MM97" i="5"/>
  <c r="NF85" i="5"/>
  <c r="MM85" i="5"/>
  <c r="NF79" i="5"/>
  <c r="MM79" i="5"/>
  <c r="NF73" i="5"/>
  <c r="MM73" i="5"/>
  <c r="NF67" i="5"/>
  <c r="MM67" i="5"/>
  <c r="NF61" i="5"/>
  <c r="MM61" i="5"/>
  <c r="NF55" i="5"/>
  <c r="MM55" i="5"/>
  <c r="NF49" i="5"/>
  <c r="MM49" i="5"/>
  <c r="NF43" i="5"/>
  <c r="MM43" i="5"/>
  <c r="NF37" i="5"/>
  <c r="MM37" i="5"/>
  <c r="NF19" i="5"/>
  <c r="MM19" i="5"/>
  <c r="NF13" i="5"/>
  <c r="MM13" i="5"/>
  <c r="NF7" i="5"/>
  <c r="MM7" i="5"/>
  <c r="MM247" i="5"/>
  <c r="MM241" i="5"/>
  <c r="MM235" i="5"/>
  <c r="MM229" i="5"/>
  <c r="MM223" i="5"/>
  <c r="MM208" i="5"/>
  <c r="MM188" i="5"/>
  <c r="MM182" i="5"/>
  <c r="MM176" i="5"/>
  <c r="MM159" i="5"/>
  <c r="MM153" i="5"/>
  <c r="MM147" i="5"/>
  <c r="MM137" i="5"/>
  <c r="NF120" i="5"/>
  <c r="MM120" i="5"/>
  <c r="NF114" i="5"/>
  <c r="MM114" i="5"/>
  <c r="NF102" i="5"/>
  <c r="MM102" i="5"/>
  <c r="NF78" i="5"/>
  <c r="MM78" i="5"/>
  <c r="NF72" i="5"/>
  <c r="MM72" i="5"/>
  <c r="NF66" i="5"/>
  <c r="MM66" i="5"/>
  <c r="NF48" i="5"/>
  <c r="MM48" i="5"/>
  <c r="NF36" i="5"/>
  <c r="MM36" i="5"/>
  <c r="NF24" i="5"/>
  <c r="MM24" i="5"/>
  <c r="NF18" i="5"/>
  <c r="MM18" i="5"/>
  <c r="MM246" i="5"/>
  <c r="MM240" i="5"/>
  <c r="MM234" i="5"/>
  <c r="MM228" i="5"/>
  <c r="MM222" i="5"/>
  <c r="MM218" i="5"/>
  <c r="MM214" i="5"/>
  <c r="MM212" i="5"/>
  <c r="MM202" i="5"/>
  <c r="MM192" i="5"/>
  <c r="MM187" i="5"/>
  <c r="MM181" i="5"/>
  <c r="MM175" i="5"/>
  <c r="MM158" i="5"/>
  <c r="MM152" i="5"/>
  <c r="MM142" i="5"/>
  <c r="MM136" i="5"/>
  <c r="MM125" i="5"/>
  <c r="NF119" i="5"/>
  <c r="MM119" i="5"/>
  <c r="NF113" i="5"/>
  <c r="MM113" i="5"/>
  <c r="NF89" i="5"/>
  <c r="MM89" i="5"/>
  <c r="NF83" i="5"/>
  <c r="MM83" i="5"/>
  <c r="NF77" i="5"/>
  <c r="MM77" i="5"/>
  <c r="NF71" i="5"/>
  <c r="MM71" i="5"/>
  <c r="NF65" i="5"/>
  <c r="MM65" i="5"/>
  <c r="NF59" i="5"/>
  <c r="MM59" i="5"/>
  <c r="NF53" i="5"/>
  <c r="MM53" i="5"/>
  <c r="NF47" i="5"/>
  <c r="MM47" i="5"/>
  <c r="NF41" i="5"/>
  <c r="MM41" i="5"/>
  <c r="NF35" i="5"/>
  <c r="MM35" i="5"/>
  <c r="NF29" i="5"/>
  <c r="MM29" i="5"/>
  <c r="NF11" i="5"/>
  <c r="MM11" i="5"/>
  <c r="BQ3" i="5"/>
  <c r="MM3" i="5"/>
  <c r="MM245" i="5"/>
  <c r="MM227" i="5"/>
  <c r="MM221" i="5"/>
  <c r="MM217" i="5"/>
  <c r="MM186" i="5"/>
  <c r="MM180" i="5"/>
  <c r="MM174" i="5"/>
  <c r="MM163" i="5"/>
  <c r="MM157" i="5"/>
  <c r="MM151" i="5"/>
  <c r="MM145" i="5"/>
  <c r="MM141" i="5"/>
  <c r="MM135" i="5"/>
  <c r="NF118" i="5"/>
  <c r="IE118" i="5" s="1"/>
  <c r="MM118" i="5"/>
  <c r="NF112" i="5"/>
  <c r="MM112" i="5"/>
  <c r="NF106" i="5"/>
  <c r="MM106" i="5"/>
  <c r="NF100" i="5"/>
  <c r="MM100" i="5"/>
  <c r="NF82" i="5"/>
  <c r="MM82" i="5"/>
  <c r="NF76" i="5"/>
  <c r="MM76" i="5"/>
  <c r="NF70" i="5"/>
  <c r="MM70" i="5"/>
  <c r="NF64" i="5"/>
  <c r="MM64" i="5"/>
  <c r="NF58" i="5"/>
  <c r="MM58" i="5"/>
  <c r="NF46" i="5"/>
  <c r="MM46" i="5"/>
  <c r="NF40" i="5"/>
  <c r="MM40" i="5"/>
  <c r="NF28" i="5"/>
  <c r="MM28" i="5"/>
  <c r="NF10" i="5"/>
  <c r="MM10" i="5"/>
  <c r="MM244" i="5"/>
  <c r="MM238" i="5"/>
  <c r="MM226" i="5"/>
  <c r="MM220" i="5"/>
  <c r="MM216" i="5"/>
  <c r="MM206" i="5"/>
  <c r="MM191" i="5"/>
  <c r="MM179" i="5"/>
  <c r="MM162" i="5"/>
  <c r="MM150" i="5"/>
  <c r="MM140" i="5"/>
  <c r="MM134" i="5"/>
  <c r="MM128" i="5"/>
  <c r="NF123" i="5"/>
  <c r="IE123" i="5" s="1"/>
  <c r="MM123" i="5"/>
  <c r="NF117" i="5"/>
  <c r="MM117" i="5"/>
  <c r="NF111" i="5"/>
  <c r="MM111" i="5"/>
  <c r="NF105" i="5"/>
  <c r="MM105" i="5"/>
  <c r="NF87" i="5"/>
  <c r="MM87" i="5"/>
  <c r="NF81" i="5"/>
  <c r="MM81" i="5"/>
  <c r="NF69" i="5"/>
  <c r="MM69" i="5"/>
  <c r="NF63" i="5"/>
  <c r="MM63" i="5"/>
  <c r="NF51" i="5"/>
  <c r="MM51" i="5"/>
  <c r="NF33" i="5"/>
  <c r="MM33" i="5"/>
  <c r="NF27" i="5"/>
  <c r="MM27" i="5"/>
  <c r="NF21" i="5"/>
  <c r="MM21" i="5"/>
  <c r="MM243" i="5"/>
  <c r="MM237" i="5"/>
  <c r="MM231" i="5"/>
  <c r="MM225" i="5"/>
  <c r="MM219" i="5"/>
  <c r="MM190" i="5"/>
  <c r="MM184" i="5"/>
  <c r="MM178" i="5"/>
  <c r="MM167" i="5"/>
  <c r="MM161" i="5"/>
  <c r="MM127" i="5"/>
  <c r="NF122" i="5"/>
  <c r="IE122" i="5" s="1"/>
  <c r="MM122" i="5"/>
  <c r="NF116" i="5"/>
  <c r="MM116" i="5"/>
  <c r="NF110" i="5"/>
  <c r="MM110" i="5"/>
  <c r="NF98" i="5"/>
  <c r="MM98" i="5"/>
  <c r="NF92" i="5"/>
  <c r="MM92" i="5"/>
  <c r="NF74" i="5"/>
  <c r="MM74" i="5"/>
  <c r="NF68" i="5"/>
  <c r="MM68" i="5"/>
  <c r="NF56" i="5"/>
  <c r="MM56" i="5"/>
  <c r="NF50" i="5"/>
  <c r="MM50" i="5"/>
  <c r="NF38" i="5"/>
  <c r="MM38" i="5"/>
  <c r="NF32" i="5"/>
  <c r="MM32" i="5"/>
  <c r="NF26" i="5"/>
  <c r="MM26" i="5"/>
  <c r="NF8" i="5"/>
  <c r="MM8" i="5"/>
  <c r="NF4" i="5"/>
  <c r="MM4" i="5"/>
  <c r="NF5" i="5"/>
  <c r="MM5" i="5"/>
  <c r="CW122" i="5" l="1"/>
  <c r="CZ32" i="5"/>
  <c r="IE111" i="5"/>
  <c r="IE117" i="5"/>
  <c r="CZ51" i="5"/>
  <c r="CZ161" i="5"/>
  <c r="CW161" i="5"/>
  <c r="CZ85" i="5"/>
  <c r="CZ55" i="5"/>
  <c r="GA239" i="5"/>
  <c r="FR192" i="5"/>
  <c r="CZ29" i="5"/>
  <c r="CZ112" i="5"/>
  <c r="FO160" i="5"/>
  <c r="GD160" i="5"/>
  <c r="FR160" i="5"/>
  <c r="CZ136" i="5"/>
  <c r="CW248" i="5"/>
  <c r="CZ248" i="5"/>
  <c r="CW247" i="5"/>
  <c r="CZ247" i="5"/>
  <c r="CZ246" i="5"/>
  <c r="CW246" i="5"/>
  <c r="CW167" i="5"/>
  <c r="CZ153" i="5"/>
  <c r="CW112" i="5"/>
  <c r="CZ245" i="5"/>
  <c r="CW245" i="5"/>
  <c r="CW244" i="5"/>
  <c r="CZ244" i="5"/>
  <c r="CZ150" i="5"/>
  <c r="DC150" i="5"/>
  <c r="HL150" i="5" s="1"/>
  <c r="CZ36" i="5"/>
  <c r="CZ27" i="5"/>
  <c r="CZ158" i="5"/>
  <c r="CZ100" i="5"/>
  <c r="CZ157" i="5"/>
  <c r="DC157" i="5"/>
  <c r="HL157" i="5" s="1"/>
  <c r="CZ243" i="5"/>
  <c r="CW243" i="5"/>
  <c r="CZ242" i="5"/>
  <c r="CW178" i="5"/>
  <c r="CZ123" i="5"/>
  <c r="CZ179" i="5"/>
  <c r="CZ178" i="5"/>
  <c r="CW241" i="5"/>
  <c r="CZ241" i="5"/>
  <c r="CZ240" i="5"/>
  <c r="CW240" i="5"/>
  <c r="EO239" i="5"/>
  <c r="EQ239" i="5" s="1"/>
  <c r="FR239" i="5"/>
  <c r="DU239" i="5"/>
  <c r="FO239" i="5"/>
  <c r="GP239" i="5"/>
  <c r="FI239" i="5"/>
  <c r="FG239" i="5" s="1"/>
  <c r="ET239" i="5"/>
  <c r="HZ239" i="5"/>
  <c r="GG239" i="5"/>
  <c r="FC239" i="5"/>
  <c r="FL239" i="5"/>
  <c r="GD239" i="5"/>
  <c r="EY239" i="5"/>
  <c r="FX239" i="5"/>
  <c r="GU239" i="5"/>
  <c r="GV239" i="5" s="1"/>
  <c r="CW238" i="5"/>
  <c r="CZ238" i="5"/>
  <c r="CZ237" i="5"/>
  <c r="CW237" i="5"/>
  <c r="GU234" i="5"/>
  <c r="GV234" i="5" s="1"/>
  <c r="EO234" i="5"/>
  <c r="EQ234" i="5" s="1"/>
  <c r="FX234" i="5"/>
  <c r="EY234" i="5"/>
  <c r="FC234" i="5"/>
  <c r="FI234" i="5"/>
  <c r="GP234" i="5"/>
  <c r="HZ234" i="5"/>
  <c r="CZ189" i="5"/>
  <c r="CZ113" i="5"/>
  <c r="CZ83" i="5"/>
  <c r="CZ118" i="5"/>
  <c r="CZ68" i="5"/>
  <c r="CZ132" i="5"/>
  <c r="CZ82" i="5"/>
  <c r="CZ154" i="5"/>
  <c r="GU160" i="5"/>
  <c r="GV160" i="5" s="1"/>
  <c r="ET160" i="5"/>
  <c r="FC160" i="5"/>
  <c r="GP160" i="5"/>
  <c r="FX160" i="5"/>
  <c r="DU160" i="5"/>
  <c r="FI160" i="5"/>
  <c r="FG160" i="5" s="1"/>
  <c r="EO160" i="5"/>
  <c r="EQ160" i="5" s="1"/>
  <c r="EY160" i="5"/>
  <c r="GA160" i="5"/>
  <c r="GG160" i="5"/>
  <c r="HZ160" i="5"/>
  <c r="FL160" i="5"/>
  <c r="CZ26" i="5"/>
  <c r="FO194" i="5"/>
  <c r="CZ81" i="5"/>
  <c r="FO192" i="5"/>
  <c r="GD192" i="5"/>
  <c r="CZ187" i="5"/>
  <c r="CW187" i="5"/>
  <c r="CZ64" i="5"/>
  <c r="CZ106" i="5"/>
  <c r="FO220" i="5"/>
  <c r="EO220" i="5"/>
  <c r="EQ220" i="5" s="1"/>
  <c r="CZ111" i="5"/>
  <c r="CZ160" i="5"/>
  <c r="CW160" i="5"/>
  <c r="CZ114" i="5"/>
  <c r="CZ236" i="5"/>
  <c r="CW236" i="5"/>
  <c r="CZ89" i="5"/>
  <c r="CZ212" i="5"/>
  <c r="CZ115" i="5"/>
  <c r="DC115" i="5"/>
  <c r="HL115" i="5" s="1"/>
  <c r="CZ126" i="5"/>
  <c r="DC126" i="5"/>
  <c r="HL126" i="5" s="1"/>
  <c r="GU192" i="5"/>
  <c r="GV192" i="5" s="1"/>
  <c r="GP192" i="5"/>
  <c r="HZ192" i="5"/>
  <c r="FX192" i="5"/>
  <c r="GA192" i="5"/>
  <c r="FI192" i="5"/>
  <c r="FG192" i="5" s="1"/>
  <c r="FL192" i="5"/>
  <c r="EO192" i="5"/>
  <c r="EQ192" i="5" s="1"/>
  <c r="EY192" i="5"/>
  <c r="FC192" i="5"/>
  <c r="ET192" i="5"/>
  <c r="DU192" i="5"/>
  <c r="GG192" i="5"/>
  <c r="CZ134" i="5"/>
  <c r="CZ148" i="5"/>
  <c r="DC148" i="5"/>
  <c r="HL148" i="5" s="1"/>
  <c r="CZ142" i="5"/>
  <c r="CZ119" i="5"/>
  <c r="CZ141" i="5"/>
  <c r="CW117" i="5"/>
  <c r="CZ135" i="5"/>
  <c r="CZ174" i="5"/>
  <c r="CZ162" i="5"/>
  <c r="CW183" i="5"/>
  <c r="CW147" i="5"/>
  <c r="CZ140" i="5"/>
  <c r="CW163" i="5"/>
  <c r="CZ138" i="5"/>
  <c r="DC138" i="5"/>
  <c r="HL138" i="5" s="1"/>
  <c r="CZ128" i="5"/>
  <c r="CZ120" i="5"/>
  <c r="CZ152" i="5"/>
  <c r="CZ151" i="5"/>
  <c r="CZ188" i="5"/>
  <c r="CW151" i="5"/>
  <c r="CW182" i="5"/>
  <c r="CZ183" i="5"/>
  <c r="CZ182" i="5"/>
  <c r="CZ159" i="5"/>
  <c r="CZ163" i="5"/>
  <c r="CZ184" i="5"/>
  <c r="CZ171" i="5"/>
  <c r="CZ102" i="5"/>
  <c r="CZ73" i="5"/>
  <c r="CZ78" i="5"/>
  <c r="IH206" i="5"/>
  <c r="II206" i="5" s="1"/>
  <c r="GP206" i="5"/>
  <c r="GD235" i="5"/>
  <c r="GG235" i="5"/>
  <c r="GU235" i="5"/>
  <c r="GV235" i="5" s="1"/>
  <c r="EY235" i="5"/>
  <c r="DU235" i="5"/>
  <c r="FR235" i="5"/>
  <c r="FI235" i="5"/>
  <c r="FG235" i="5" s="1"/>
  <c r="GP235" i="5"/>
  <c r="ET235" i="5"/>
  <c r="FO235" i="5"/>
  <c r="EO235" i="5"/>
  <c r="EQ235" i="5" s="1"/>
  <c r="HZ235" i="5"/>
  <c r="GA235" i="5"/>
  <c r="FL235" i="5"/>
  <c r="FX235" i="5"/>
  <c r="FC235" i="5"/>
  <c r="CZ235" i="5"/>
  <c r="CW235" i="5"/>
  <c r="CZ234" i="5"/>
  <c r="DC206" i="5"/>
  <c r="HL206" i="5" s="1"/>
  <c r="CZ186" i="5"/>
  <c r="CW186" i="5"/>
  <c r="CZ125" i="5"/>
  <c r="CZ176" i="5"/>
  <c r="CZ204" i="5"/>
  <c r="GU230" i="5"/>
  <c r="GV230" i="5" s="1"/>
  <c r="EO230" i="5"/>
  <c r="EQ230" i="5" s="1"/>
  <c r="HZ230" i="5"/>
  <c r="FI230" i="5"/>
  <c r="FC230" i="5"/>
  <c r="FX230" i="5"/>
  <c r="EY230" i="5"/>
  <c r="GP230" i="5"/>
  <c r="CZ231" i="5"/>
  <c r="CZ230" i="5"/>
  <c r="CZ229" i="5"/>
  <c r="CZ228" i="5"/>
  <c r="CZ227" i="5"/>
  <c r="GU226" i="5"/>
  <c r="GV226" i="5" s="1"/>
  <c r="HZ226" i="5"/>
  <c r="FX226" i="5"/>
  <c r="FI226" i="5"/>
  <c r="EO226" i="5"/>
  <c r="EQ226" i="5" s="1"/>
  <c r="GP226" i="5"/>
  <c r="EY226" i="5"/>
  <c r="FC226" i="5"/>
  <c r="IH226" i="5"/>
  <c r="II226" i="5" s="1"/>
  <c r="CZ226" i="5"/>
  <c r="GU225" i="5"/>
  <c r="GV225" i="5" s="1"/>
  <c r="FC225" i="5"/>
  <c r="EO225" i="5"/>
  <c r="EQ225" i="5" s="1"/>
  <c r="HZ225" i="5"/>
  <c r="FX225" i="5"/>
  <c r="GP225" i="5"/>
  <c r="EY225" i="5"/>
  <c r="FI225" i="5"/>
  <c r="CZ225" i="5"/>
  <c r="CZ224" i="5"/>
  <c r="GU222" i="5"/>
  <c r="GV222" i="5" s="1"/>
  <c r="FI222" i="5"/>
  <c r="EY222" i="5"/>
  <c r="FX222" i="5"/>
  <c r="GP222" i="5"/>
  <c r="EO222" i="5"/>
  <c r="EQ222" i="5" s="1"/>
  <c r="FC222" i="5"/>
  <c r="HZ222" i="5"/>
  <c r="CZ223" i="5"/>
  <c r="CZ222" i="5"/>
  <c r="IH220" i="5"/>
  <c r="II220" i="5" s="1"/>
  <c r="CZ147" i="5"/>
  <c r="FR216" i="5"/>
  <c r="GG221" i="5"/>
  <c r="FO221" i="5"/>
  <c r="GD221" i="5"/>
  <c r="GU221" i="5"/>
  <c r="GV221" i="5" s="1"/>
  <c r="HZ221" i="5"/>
  <c r="FR221" i="5"/>
  <c r="ET221" i="5"/>
  <c r="FX221" i="5"/>
  <c r="GP221" i="5"/>
  <c r="EO221" i="5"/>
  <c r="EQ221" i="5" s="1"/>
  <c r="FC221" i="5"/>
  <c r="EY221" i="5"/>
  <c r="FI221" i="5"/>
  <c r="FG221" i="5" s="1"/>
  <c r="GA221" i="5"/>
  <c r="DU221" i="5"/>
  <c r="FL221" i="5"/>
  <c r="CZ221" i="5"/>
  <c r="CW221" i="5"/>
  <c r="FR220" i="5"/>
  <c r="GU220" i="5"/>
  <c r="GV220" i="5" s="1"/>
  <c r="GG220" i="5"/>
  <c r="EY220" i="5"/>
  <c r="GP220" i="5"/>
  <c r="ET220" i="5"/>
  <c r="FL220" i="5"/>
  <c r="GD220" i="5"/>
  <c r="FX220" i="5"/>
  <c r="FI220" i="5"/>
  <c r="FG220" i="5" s="1"/>
  <c r="FC220" i="5"/>
  <c r="GA220" i="5"/>
  <c r="HZ220" i="5"/>
  <c r="DU220" i="5"/>
  <c r="CZ220" i="5"/>
  <c r="CW220" i="5"/>
  <c r="CZ219" i="5"/>
  <c r="CW218" i="5"/>
  <c r="CZ218" i="5"/>
  <c r="GU217" i="5"/>
  <c r="GV217" i="5" s="1"/>
  <c r="GG217" i="5"/>
  <c r="FX217" i="5"/>
  <c r="HZ217" i="5"/>
  <c r="FL217" i="5"/>
  <c r="DU217" i="5"/>
  <c r="GP217" i="5"/>
  <c r="FC217" i="5"/>
  <c r="FI217" i="5"/>
  <c r="FG217" i="5" s="1"/>
  <c r="GD217" i="5"/>
  <c r="EO217" i="5"/>
  <c r="EQ217" i="5" s="1"/>
  <c r="GA217" i="5"/>
  <c r="FO217" i="5"/>
  <c r="EY217" i="5"/>
  <c r="FR217" i="5"/>
  <c r="ET217" i="5"/>
  <c r="CZ217" i="5"/>
  <c r="CW217" i="5"/>
  <c r="FO216" i="5"/>
  <c r="GU216" i="5"/>
  <c r="GV216" i="5" s="1"/>
  <c r="GG216" i="5"/>
  <c r="HZ216" i="5"/>
  <c r="GD216" i="5"/>
  <c r="EO216" i="5"/>
  <c r="EQ216" i="5" s="1"/>
  <c r="FC216" i="5"/>
  <c r="FI216" i="5"/>
  <c r="FG216" i="5" s="1"/>
  <c r="FX216" i="5"/>
  <c r="EY216" i="5"/>
  <c r="DU216" i="5"/>
  <c r="GP216" i="5"/>
  <c r="FL216" i="5"/>
  <c r="ET216" i="5"/>
  <c r="GA216" i="5"/>
  <c r="CW216" i="5"/>
  <c r="CZ216" i="5"/>
  <c r="GG215" i="5"/>
  <c r="FO215" i="5"/>
  <c r="GU215" i="5"/>
  <c r="GV215" i="5" s="1"/>
  <c r="FL215" i="5"/>
  <c r="FX215" i="5"/>
  <c r="FI215" i="5"/>
  <c r="FG215" i="5" s="1"/>
  <c r="GP215" i="5"/>
  <c r="HZ215" i="5"/>
  <c r="EY215" i="5"/>
  <c r="FR215" i="5"/>
  <c r="EO215" i="5"/>
  <c r="EQ215" i="5" s="1"/>
  <c r="GD215" i="5"/>
  <c r="GA215" i="5"/>
  <c r="FC215" i="5"/>
  <c r="DU215" i="5"/>
  <c r="ET215" i="5"/>
  <c r="CW215" i="5"/>
  <c r="CZ215" i="5"/>
  <c r="GU214" i="5"/>
  <c r="GV214" i="5" s="1"/>
  <c r="GD214" i="5"/>
  <c r="FL214" i="5"/>
  <c r="FO214" i="5"/>
  <c r="DU214" i="5"/>
  <c r="FR214" i="5"/>
  <c r="HZ214" i="5"/>
  <c r="EO214" i="5"/>
  <c r="EQ214" i="5" s="1"/>
  <c r="GA214" i="5"/>
  <c r="FC214" i="5"/>
  <c r="ET214" i="5"/>
  <c r="FX214" i="5"/>
  <c r="EY214" i="5"/>
  <c r="FI214" i="5"/>
  <c r="FG214" i="5" s="1"/>
  <c r="GP214" i="5"/>
  <c r="GG214" i="5"/>
  <c r="CZ214" i="5"/>
  <c r="CW214" i="5"/>
  <c r="CW166" i="5"/>
  <c r="IE73" i="5"/>
  <c r="CZ181" i="5"/>
  <c r="CZ208" i="5"/>
  <c r="FL194" i="5"/>
  <c r="DU194" i="5"/>
  <c r="ET194" i="5"/>
  <c r="GA194" i="5"/>
  <c r="FR194" i="5"/>
  <c r="GG194" i="5"/>
  <c r="CW184" i="5"/>
  <c r="CZ180" i="5"/>
  <c r="GU206" i="5"/>
  <c r="GV206" i="5" s="1"/>
  <c r="FX206" i="5"/>
  <c r="FI206" i="5"/>
  <c r="HZ206" i="5"/>
  <c r="EO206" i="5"/>
  <c r="EQ206" i="5" s="1"/>
  <c r="FC206" i="5"/>
  <c r="EY206" i="5"/>
  <c r="CZ206" i="5"/>
  <c r="CZ116" i="5"/>
  <c r="CZ145" i="5"/>
  <c r="CZ103" i="5"/>
  <c r="CZ202" i="5"/>
  <c r="CW202" i="5"/>
  <c r="CW201" i="5"/>
  <c r="CZ201" i="5"/>
  <c r="CW200" i="5"/>
  <c r="CZ200" i="5"/>
  <c r="CZ199" i="5"/>
  <c r="CW199" i="5"/>
  <c r="CZ198" i="5"/>
  <c r="CW198" i="5"/>
  <c r="CW197" i="5"/>
  <c r="CZ197" i="5"/>
  <c r="CW196" i="5"/>
  <c r="CZ196" i="5"/>
  <c r="CZ195" i="5"/>
  <c r="CW195" i="5"/>
  <c r="HZ194" i="5"/>
  <c r="GU194" i="5"/>
  <c r="GV194" i="5" s="1"/>
  <c r="GP194" i="5"/>
  <c r="FX194" i="5"/>
  <c r="EO194" i="5"/>
  <c r="EQ194" i="5" s="1"/>
  <c r="FI194" i="5"/>
  <c r="FG194" i="5" s="1"/>
  <c r="EY194" i="5"/>
  <c r="FC194" i="5"/>
  <c r="IE61" i="5"/>
  <c r="IH194" i="5"/>
  <c r="II194" i="5" s="1"/>
  <c r="DC194" i="5"/>
  <c r="HL194" i="5" s="1"/>
  <c r="CZ194" i="5"/>
  <c r="DX179" i="5"/>
  <c r="HM179" i="5"/>
  <c r="DX158" i="5"/>
  <c r="HM158" i="5"/>
  <c r="DX153" i="5"/>
  <c r="HM153" i="5"/>
  <c r="DX140" i="5"/>
  <c r="HM140" i="5"/>
  <c r="DX189" i="5"/>
  <c r="HM189" i="5"/>
  <c r="DX190" i="5"/>
  <c r="HM190" i="5"/>
  <c r="DX134" i="5"/>
  <c r="HM134" i="5"/>
  <c r="DX183" i="5"/>
  <c r="HM183" i="5"/>
  <c r="DX142" i="5"/>
  <c r="HM142" i="5"/>
  <c r="DX137" i="5"/>
  <c r="HM137" i="5"/>
  <c r="DX167" i="5"/>
  <c r="HM167" i="5"/>
  <c r="DX171" i="5"/>
  <c r="HM171" i="5"/>
  <c r="DX180" i="5"/>
  <c r="HM180" i="5"/>
  <c r="DX166" i="5"/>
  <c r="HM166" i="5"/>
  <c r="DX128" i="5"/>
  <c r="HM128" i="5"/>
  <c r="DX125" i="5"/>
  <c r="HM125" i="5"/>
  <c r="DX147" i="5"/>
  <c r="HM147" i="5"/>
  <c r="DX163" i="5"/>
  <c r="HM163" i="5"/>
  <c r="DX159" i="5"/>
  <c r="HM159" i="5"/>
  <c r="DX175" i="5"/>
  <c r="HM175" i="5"/>
  <c r="DX162" i="5"/>
  <c r="HM162" i="5"/>
  <c r="DX160" i="5"/>
  <c r="HM160" i="5"/>
  <c r="DX187" i="5"/>
  <c r="HM187" i="5"/>
  <c r="DX145" i="5"/>
  <c r="HM145" i="5"/>
  <c r="DX148" i="5"/>
  <c r="HM148" i="5"/>
  <c r="DX184" i="5"/>
  <c r="HM184" i="5"/>
  <c r="DX154" i="5"/>
  <c r="HM154" i="5"/>
  <c r="DX178" i="5"/>
  <c r="HM178" i="5"/>
  <c r="DX141" i="5"/>
  <c r="HM141" i="5"/>
  <c r="DX161" i="5"/>
  <c r="HM161" i="5"/>
  <c r="DX132" i="5"/>
  <c r="HM132" i="5"/>
  <c r="DX181" i="5"/>
  <c r="HM181" i="5"/>
  <c r="DX186" i="5"/>
  <c r="HM186" i="5"/>
  <c r="DX174" i="5"/>
  <c r="HM174" i="5"/>
  <c r="DX138" i="5"/>
  <c r="HM138" i="5"/>
  <c r="DX188" i="5"/>
  <c r="HM188" i="5"/>
  <c r="DX157" i="5"/>
  <c r="HM157" i="5"/>
  <c r="DX126" i="5"/>
  <c r="HM126" i="5"/>
  <c r="DX151" i="5"/>
  <c r="HM151" i="5"/>
  <c r="DX152" i="5"/>
  <c r="HM152" i="5"/>
  <c r="DX127" i="5"/>
  <c r="HM127" i="5"/>
  <c r="DX176" i="5"/>
  <c r="HM176" i="5"/>
  <c r="DX191" i="5"/>
  <c r="HM191" i="5"/>
  <c r="DX135" i="5"/>
  <c r="HM135" i="5"/>
  <c r="DX182" i="5"/>
  <c r="HM182" i="5"/>
  <c r="DX136" i="5"/>
  <c r="HM136" i="5"/>
  <c r="DX150" i="5"/>
  <c r="HM150" i="5"/>
  <c r="DX192" i="5"/>
  <c r="CZ190" i="5"/>
  <c r="CW192" i="5"/>
  <c r="CZ192" i="5"/>
  <c r="CW191" i="5"/>
  <c r="CZ191" i="5"/>
  <c r="IE184" i="5"/>
  <c r="IE119" i="5"/>
  <c r="IE21" i="5"/>
  <c r="IE43" i="5"/>
  <c r="IE40" i="5"/>
  <c r="NG3" i="5"/>
  <c r="AK3" i="5" s="1"/>
  <c r="NG4" i="5"/>
  <c r="AK4" i="5" s="1"/>
  <c r="NG5" i="5"/>
  <c r="AK5" i="5" s="1"/>
  <c r="NG6" i="5"/>
  <c r="AK6" i="5" s="1"/>
  <c r="NG7" i="5"/>
  <c r="AK7" i="5" s="1"/>
  <c r="NG8" i="5"/>
  <c r="AK8" i="5" s="1"/>
  <c r="NG9" i="5"/>
  <c r="AK9" i="5" s="1"/>
  <c r="NG10" i="5"/>
  <c r="AK10" i="5" s="1"/>
  <c r="NG11" i="5"/>
  <c r="AK11" i="5" s="1"/>
  <c r="NG12" i="5"/>
  <c r="AK12" i="5" s="1"/>
  <c r="NG13" i="5"/>
  <c r="AK13" i="5" s="1"/>
  <c r="NG14" i="5"/>
  <c r="AK14" i="5" s="1"/>
  <c r="NG15" i="5"/>
  <c r="AK15" i="5" s="1"/>
  <c r="NG16" i="5"/>
  <c r="AK16" i="5" s="1"/>
  <c r="NG17" i="5"/>
  <c r="AK17" i="5" s="1"/>
  <c r="NG18" i="5"/>
  <c r="AK18" i="5" s="1"/>
  <c r="NG19" i="5"/>
  <c r="AK19" i="5" s="1"/>
  <c r="NG20" i="5"/>
  <c r="AK20" i="5" s="1"/>
  <c r="NG21" i="5"/>
  <c r="AK21" i="5" s="1"/>
  <c r="NG22" i="5"/>
  <c r="AK22" i="5" s="1"/>
  <c r="NG23" i="5"/>
  <c r="AK23" i="5" s="1"/>
  <c r="NG24" i="5"/>
  <c r="AK24" i="5" s="1"/>
  <c r="NG25" i="5"/>
  <c r="AK25" i="5" s="1"/>
  <c r="NG26" i="5"/>
  <c r="AK26" i="5" s="1"/>
  <c r="NG27" i="5"/>
  <c r="AK27" i="5" s="1"/>
  <c r="NG28" i="5"/>
  <c r="AK28" i="5" s="1"/>
  <c r="NG29" i="5"/>
  <c r="AK29" i="5" s="1"/>
  <c r="NG30" i="5"/>
  <c r="AK30" i="5" s="1"/>
  <c r="NG31" i="5"/>
  <c r="AK31" i="5" s="1"/>
  <c r="NG32" i="5"/>
  <c r="AK32" i="5" s="1"/>
  <c r="NG33" i="5"/>
  <c r="AK33" i="5" s="1"/>
  <c r="NG34" i="5"/>
  <c r="AK34" i="5" s="1"/>
  <c r="NG35" i="5"/>
  <c r="AK35" i="5" s="1"/>
  <c r="NG36" i="5"/>
  <c r="AK36" i="5" s="1"/>
  <c r="NG37" i="5"/>
  <c r="AK37" i="5" s="1"/>
  <c r="NG38" i="5"/>
  <c r="AK38" i="5" s="1"/>
  <c r="NG39" i="5"/>
  <c r="AK39" i="5" s="1"/>
  <c r="NG40" i="5"/>
  <c r="AK40" i="5" s="1"/>
  <c r="NG41" i="5"/>
  <c r="AK41" i="5" s="1"/>
  <c r="NG42" i="5"/>
  <c r="AK42" i="5" s="1"/>
  <c r="NG43" i="5"/>
  <c r="AK43" i="5" s="1"/>
  <c r="NG44" i="5"/>
  <c r="AK44" i="5" s="1"/>
  <c r="NG45" i="5"/>
  <c r="AK45" i="5" s="1"/>
  <c r="NG46" i="5"/>
  <c r="AK46" i="5" s="1"/>
  <c r="NG47" i="5"/>
  <c r="AK47" i="5" s="1"/>
  <c r="NG48" i="5"/>
  <c r="AK48" i="5" s="1"/>
  <c r="NG49" i="5"/>
  <c r="AK49" i="5" s="1"/>
  <c r="NG50" i="5"/>
  <c r="AK50" i="5" s="1"/>
  <c r="NG51" i="5"/>
  <c r="AK51" i="5" s="1"/>
  <c r="NG52" i="5"/>
  <c r="AK52" i="5" s="1"/>
  <c r="NG53" i="5"/>
  <c r="AK53" i="5" s="1"/>
  <c r="NG54" i="5"/>
  <c r="AK54" i="5" s="1"/>
  <c r="NG55" i="5"/>
  <c r="AK55" i="5" s="1"/>
  <c r="NG56" i="5"/>
  <c r="AK56" i="5" s="1"/>
  <c r="NG57" i="5"/>
  <c r="AK57" i="5" s="1"/>
  <c r="NG58" i="5"/>
  <c r="AK58" i="5" s="1"/>
  <c r="NG59" i="5"/>
  <c r="AK59" i="5" s="1"/>
  <c r="NG60" i="5"/>
  <c r="AK60" i="5" s="1"/>
  <c r="NG61" i="5"/>
  <c r="AK61" i="5" s="1"/>
  <c r="NG62" i="5"/>
  <c r="AK62" i="5" s="1"/>
  <c r="NG63" i="5"/>
  <c r="AK63" i="5" s="1"/>
  <c r="NG64" i="5"/>
  <c r="AK64" i="5" s="1"/>
  <c r="NG65" i="5"/>
  <c r="AK65" i="5" s="1"/>
  <c r="NG66" i="5"/>
  <c r="AK66" i="5" s="1"/>
  <c r="NG67" i="5"/>
  <c r="AK67" i="5" s="1"/>
  <c r="NG68" i="5"/>
  <c r="AK68" i="5" s="1"/>
  <c r="NG69" i="5"/>
  <c r="AK69" i="5" s="1"/>
  <c r="NG70" i="5"/>
  <c r="AK70" i="5" s="1"/>
  <c r="NG71" i="5"/>
  <c r="AK71" i="5" s="1"/>
  <c r="NG72" i="5"/>
  <c r="NG73" i="5"/>
  <c r="AK73" i="5" s="1"/>
  <c r="NG74" i="5"/>
  <c r="AK74" i="5" s="1"/>
  <c r="NG75" i="5"/>
  <c r="AK75" i="5" s="1"/>
  <c r="NG76" i="5"/>
  <c r="AK76" i="5" s="1"/>
  <c r="NG77" i="5"/>
  <c r="AK77" i="5" s="1"/>
  <c r="NG78" i="5"/>
  <c r="AK78" i="5" s="1"/>
  <c r="NG79" i="5"/>
  <c r="AK79" i="5" s="1"/>
  <c r="NG80" i="5"/>
  <c r="AK80" i="5" s="1"/>
  <c r="NG81" i="5"/>
  <c r="AK81" i="5" s="1"/>
  <c r="NG82" i="5"/>
  <c r="AK82" i="5" s="1"/>
  <c r="NG83" i="5"/>
  <c r="AK83" i="5" s="1"/>
  <c r="NG84" i="5"/>
  <c r="AK84" i="5" s="1"/>
  <c r="NG85" i="5"/>
  <c r="AK85" i="5" s="1"/>
  <c r="NG86" i="5"/>
  <c r="AK86" i="5" s="1"/>
  <c r="NG87" i="5"/>
  <c r="AK87" i="5" s="1"/>
  <c r="NG88" i="5"/>
  <c r="AK88" i="5" s="1"/>
  <c r="NG89" i="5"/>
  <c r="AK89" i="5" s="1"/>
  <c r="NG90" i="5"/>
  <c r="AK90" i="5" s="1"/>
  <c r="NG91" i="5"/>
  <c r="AK91" i="5" s="1"/>
  <c r="NG92" i="5"/>
  <c r="AK92" i="5" s="1"/>
  <c r="NG93" i="5"/>
  <c r="AK93" i="5" s="1"/>
  <c r="NG94" i="5"/>
  <c r="AK94" i="5" s="1"/>
  <c r="NG95" i="5"/>
  <c r="AK95" i="5" s="1"/>
  <c r="NG96" i="5"/>
  <c r="AK96" i="5" s="1"/>
  <c r="NG97" i="5"/>
  <c r="AK97" i="5" s="1"/>
  <c r="NG98" i="5"/>
  <c r="AK98" i="5" s="1"/>
  <c r="NG99" i="5"/>
  <c r="AK99" i="5" s="1"/>
  <c r="NG100" i="5"/>
  <c r="AK100" i="5" s="1"/>
  <c r="NG101" i="5"/>
  <c r="AK101" i="5" s="1"/>
  <c r="NG102" i="5"/>
  <c r="AK102" i="5" s="1"/>
  <c r="NG103" i="5"/>
  <c r="AK103" i="5" s="1"/>
  <c r="NG104" i="5"/>
  <c r="AK104" i="5" s="1"/>
  <c r="NG105" i="5"/>
  <c r="AK105" i="5" s="1"/>
  <c r="NG106" i="5"/>
  <c r="AK106" i="5" s="1"/>
  <c r="NG107" i="5"/>
  <c r="AK107" i="5" s="1"/>
  <c r="NG108" i="5"/>
  <c r="AK108" i="5" s="1"/>
  <c r="NG109" i="5"/>
  <c r="AK109" i="5" s="1"/>
  <c r="NG110" i="5"/>
  <c r="AK110" i="5" s="1"/>
  <c r="NG111" i="5"/>
  <c r="AK111" i="5" s="1"/>
  <c r="NG112" i="5"/>
  <c r="AK112" i="5" s="1"/>
  <c r="NG113" i="5"/>
  <c r="AK113" i="5" s="1"/>
  <c r="NG114" i="5"/>
  <c r="AK114" i="5" s="1"/>
  <c r="NG115" i="5"/>
  <c r="AK115" i="5" s="1"/>
  <c r="NG116" i="5"/>
  <c r="AK116" i="5" s="1"/>
  <c r="NG117" i="5"/>
  <c r="AK117" i="5" s="1"/>
  <c r="NG118" i="5"/>
  <c r="AK118" i="5" s="1"/>
  <c r="NG119" i="5"/>
  <c r="AK119" i="5" s="1"/>
  <c r="NG120" i="5"/>
  <c r="AK120" i="5" s="1"/>
  <c r="NG121" i="5"/>
  <c r="AK121" i="5" s="1"/>
  <c r="NG122" i="5"/>
  <c r="AK122" i="5" s="1"/>
  <c r="NG123" i="5"/>
  <c r="AK123" i="5" s="1"/>
  <c r="NG124" i="5"/>
  <c r="AK124" i="5" s="1"/>
  <c r="NG125" i="5"/>
  <c r="AK125" i="5" s="1"/>
  <c r="NG126" i="5"/>
  <c r="AK126" i="5" s="1"/>
  <c r="NG127" i="5"/>
  <c r="AK127" i="5" s="1"/>
  <c r="NG128" i="5"/>
  <c r="AK128" i="5" s="1"/>
  <c r="NG129" i="5"/>
  <c r="AK129" i="5" s="1"/>
  <c r="NG130" i="5"/>
  <c r="AK130" i="5" s="1"/>
  <c r="NG131" i="5"/>
  <c r="AK131" i="5" s="1"/>
  <c r="NG132" i="5"/>
  <c r="AK132" i="5" s="1"/>
  <c r="NG133" i="5"/>
  <c r="AK133" i="5" s="1"/>
  <c r="NG134" i="5"/>
  <c r="AK134" i="5" s="1"/>
  <c r="NG135" i="5"/>
  <c r="AK135" i="5" s="1"/>
  <c r="NG136" i="5"/>
  <c r="AK136" i="5" s="1"/>
  <c r="NG137" i="5"/>
  <c r="AK137" i="5" s="1"/>
  <c r="NG138" i="5"/>
  <c r="AK138" i="5" s="1"/>
  <c r="NG139" i="5"/>
  <c r="AK139" i="5" s="1"/>
  <c r="NG140" i="5"/>
  <c r="AK140" i="5" s="1"/>
  <c r="NG141" i="5"/>
  <c r="AK141" i="5" s="1"/>
  <c r="NG142" i="5"/>
  <c r="AK142" i="5" s="1"/>
  <c r="NG143" i="5"/>
  <c r="AK143" i="5" s="1"/>
  <c r="NG144" i="5"/>
  <c r="AK144" i="5" s="1"/>
  <c r="NG145" i="5"/>
  <c r="AK145" i="5" s="1"/>
  <c r="NG146" i="5"/>
  <c r="AK146" i="5" s="1"/>
  <c r="NG147" i="5"/>
  <c r="AK147" i="5" s="1"/>
  <c r="NG148" i="5"/>
  <c r="AK148" i="5" s="1"/>
  <c r="NG149" i="5"/>
  <c r="AK149" i="5" s="1"/>
  <c r="NG150" i="5"/>
  <c r="AK150" i="5" s="1"/>
  <c r="NG151" i="5"/>
  <c r="AK151" i="5" s="1"/>
  <c r="NG152" i="5"/>
  <c r="AK152" i="5" s="1"/>
  <c r="NG153" i="5"/>
  <c r="AK153" i="5" s="1"/>
  <c r="NG154" i="5"/>
  <c r="AK154" i="5" s="1"/>
  <c r="NG155" i="5"/>
  <c r="AK155" i="5" s="1"/>
  <c r="NG156" i="5"/>
  <c r="AK156" i="5" s="1"/>
  <c r="NG157" i="5"/>
  <c r="AK157" i="5" s="1"/>
  <c r="NG158" i="5"/>
  <c r="AK158" i="5" s="1"/>
  <c r="NG159" i="5"/>
  <c r="AK159" i="5" s="1"/>
  <c r="NG160" i="5"/>
  <c r="AK160" i="5" s="1"/>
  <c r="NG161" i="5"/>
  <c r="AK161" i="5" s="1"/>
  <c r="NG162" i="5"/>
  <c r="AK162" i="5" s="1"/>
  <c r="NG163" i="5"/>
  <c r="AK163" i="5" s="1"/>
  <c r="NG164" i="5"/>
  <c r="AK164" i="5" s="1"/>
  <c r="NG165" i="5"/>
  <c r="AK165" i="5" s="1"/>
  <c r="NG166" i="5"/>
  <c r="AK166" i="5" s="1"/>
  <c r="NG167" i="5"/>
  <c r="AK167" i="5" s="1"/>
  <c r="NG168" i="5"/>
  <c r="AK168" i="5" s="1"/>
  <c r="NG169" i="5"/>
  <c r="AK169" i="5" s="1"/>
  <c r="NG170" i="5"/>
  <c r="AK170" i="5" s="1"/>
  <c r="NG171" i="5"/>
  <c r="AK171" i="5" s="1"/>
  <c r="NG172" i="5"/>
  <c r="AK172" i="5" s="1"/>
  <c r="NG173" i="5"/>
  <c r="AK173" i="5" s="1"/>
  <c r="NG174" i="5"/>
  <c r="AK174" i="5" s="1"/>
  <c r="NG175" i="5"/>
  <c r="AK175" i="5" s="1"/>
  <c r="NG176" i="5"/>
  <c r="AK176" i="5" s="1"/>
  <c r="NG177" i="5"/>
  <c r="AK177" i="5" s="1"/>
  <c r="NG178" i="5"/>
  <c r="AK178" i="5" s="1"/>
  <c r="NG179" i="5"/>
  <c r="AK179" i="5" s="1"/>
  <c r="NG180" i="5"/>
  <c r="AK180" i="5" s="1"/>
  <c r="NG181" i="5"/>
  <c r="AK181" i="5" s="1"/>
  <c r="NG182" i="5"/>
  <c r="AK182" i="5" s="1"/>
  <c r="NG183" i="5"/>
  <c r="AK183" i="5" s="1"/>
  <c r="NG184" i="5"/>
  <c r="NG185" i="5"/>
  <c r="AK185" i="5" s="1"/>
  <c r="NG186" i="5"/>
  <c r="NG187" i="5"/>
  <c r="AK187" i="5" s="1"/>
  <c r="NG188" i="5"/>
  <c r="AK188" i="5" s="1"/>
  <c r="NG189" i="5"/>
  <c r="AK189" i="5" s="1"/>
  <c r="NG190" i="5"/>
  <c r="AK190" i="5" s="1"/>
  <c r="NG191" i="5"/>
  <c r="AK191" i="5" s="1"/>
  <c r="NG192" i="5"/>
  <c r="AK192" i="5" s="1"/>
  <c r="NG193" i="5"/>
  <c r="AK193" i="5" s="1"/>
  <c r="NG202" i="5"/>
  <c r="AK202" i="5" s="1"/>
  <c r="NG203" i="5"/>
  <c r="AK203" i="5" s="1"/>
  <c r="NG204" i="5"/>
  <c r="AK204" i="5" s="1"/>
  <c r="NG205" i="5"/>
  <c r="AK205" i="5" s="1"/>
  <c r="NG206" i="5"/>
  <c r="AK206" i="5" s="1"/>
  <c r="NG207" i="5"/>
  <c r="AK207" i="5" s="1"/>
  <c r="NG208" i="5"/>
  <c r="AK208" i="5" s="1"/>
  <c r="NG209" i="5"/>
  <c r="AK209" i="5" s="1"/>
  <c r="NG210" i="5"/>
  <c r="AK210" i="5" s="1"/>
  <c r="NG211" i="5"/>
  <c r="AK211" i="5" s="1"/>
  <c r="NG212" i="5"/>
  <c r="AK212" i="5" s="1"/>
  <c r="NG213" i="5"/>
  <c r="AK213" i="5" s="1"/>
  <c r="NG214" i="5"/>
  <c r="AK214" i="5" s="1"/>
  <c r="NG215" i="5"/>
  <c r="AK215" i="5" s="1"/>
  <c r="NG216" i="5"/>
  <c r="AK216" i="5" s="1"/>
  <c r="NG217" i="5"/>
  <c r="AK217" i="5" s="1"/>
  <c r="NG218" i="5"/>
  <c r="AK218" i="5" s="1"/>
  <c r="NG219" i="5"/>
  <c r="AK219" i="5" s="1"/>
  <c r="NG220" i="5"/>
  <c r="AK220" i="5" s="1"/>
  <c r="NG221" i="5"/>
  <c r="AK221" i="5" s="1"/>
  <c r="NG222" i="5"/>
  <c r="AK222" i="5" s="1"/>
  <c r="NG223" i="5"/>
  <c r="AK223" i="5" s="1"/>
  <c r="NG224" i="5"/>
  <c r="AK224" i="5" s="1"/>
  <c r="NG225" i="5"/>
  <c r="AK225" i="5" s="1"/>
  <c r="NG226" i="5"/>
  <c r="AK226" i="5" s="1"/>
  <c r="NG227" i="5"/>
  <c r="AK227" i="5" s="1"/>
  <c r="NG228" i="5"/>
  <c r="AK228" i="5" s="1"/>
  <c r="NG229" i="5"/>
  <c r="AK229" i="5" s="1"/>
  <c r="NG230" i="5"/>
  <c r="AK230" i="5" s="1"/>
  <c r="NG231" i="5"/>
  <c r="AK231" i="5" s="1"/>
  <c r="NG232" i="5"/>
  <c r="AK232" i="5" s="1"/>
  <c r="NG233" i="5"/>
  <c r="AK233" i="5" s="1"/>
  <c r="NG234" i="5"/>
  <c r="AK234" i="5" s="1"/>
  <c r="NG235" i="5"/>
  <c r="AK235" i="5" s="1"/>
  <c r="NG236" i="5"/>
  <c r="AK236" i="5" s="1"/>
  <c r="NG237" i="5"/>
  <c r="AK237" i="5" s="1"/>
  <c r="NG238" i="5"/>
  <c r="AK238" i="5" s="1"/>
  <c r="NG239" i="5"/>
  <c r="AK239" i="5" s="1"/>
  <c r="NG240" i="5"/>
  <c r="AK240" i="5" s="1"/>
  <c r="NG241" i="5"/>
  <c r="AK241" i="5" s="1"/>
  <c r="NG242" i="5"/>
  <c r="AK242" i="5" s="1"/>
  <c r="NG243" i="5"/>
  <c r="AK243" i="5" s="1"/>
  <c r="NG244" i="5"/>
  <c r="AK244" i="5" s="1"/>
  <c r="NG245" i="5"/>
  <c r="AK245" i="5" s="1"/>
  <c r="NG246" i="5"/>
  <c r="AK246" i="5" s="1"/>
  <c r="NG247" i="5"/>
  <c r="AK247" i="5" s="1"/>
  <c r="NG248" i="5"/>
  <c r="AK248" i="5" s="1"/>
  <c r="NY4" i="5" l="1"/>
  <c r="NY5" i="5"/>
  <c r="NY6" i="5"/>
  <c r="NY7" i="5"/>
  <c r="NY8" i="5"/>
  <c r="NY9" i="5"/>
  <c r="NY10" i="5"/>
  <c r="NY11" i="5"/>
  <c r="NY12" i="5"/>
  <c r="NY13" i="5"/>
  <c r="NY14" i="5"/>
  <c r="NY15" i="5"/>
  <c r="NY16" i="5"/>
  <c r="NY17" i="5"/>
  <c r="NY18" i="5"/>
  <c r="NY19" i="5"/>
  <c r="NY20" i="5"/>
  <c r="NY21" i="5"/>
  <c r="NY22" i="5"/>
  <c r="NY23" i="5"/>
  <c r="NY24" i="5"/>
  <c r="NY25" i="5"/>
  <c r="NY26" i="5"/>
  <c r="NY27" i="5"/>
  <c r="NY28" i="5"/>
  <c r="NY29" i="5"/>
  <c r="NY30" i="5"/>
  <c r="NY31" i="5"/>
  <c r="NY32" i="5"/>
  <c r="NY33" i="5"/>
  <c r="NY34" i="5"/>
  <c r="NY35" i="5"/>
  <c r="NY36" i="5"/>
  <c r="NY37" i="5"/>
  <c r="NY38" i="5"/>
  <c r="NY39" i="5"/>
  <c r="NY40" i="5"/>
  <c r="NY41" i="5"/>
  <c r="NY42" i="5"/>
  <c r="NY43" i="5"/>
  <c r="NY44" i="5"/>
  <c r="NY45" i="5"/>
  <c r="NY46" i="5"/>
  <c r="NY47" i="5"/>
  <c r="NY48" i="5"/>
  <c r="NY49" i="5"/>
  <c r="NY50" i="5"/>
  <c r="NY51" i="5"/>
  <c r="NY52" i="5"/>
  <c r="NY53" i="5"/>
  <c r="NY54" i="5"/>
  <c r="NY55" i="5"/>
  <c r="NY56" i="5"/>
  <c r="NY57" i="5"/>
  <c r="NY58" i="5"/>
  <c r="NY59" i="5"/>
  <c r="NY60" i="5"/>
  <c r="NY61" i="5"/>
  <c r="NY62" i="5"/>
  <c r="NY63" i="5"/>
  <c r="NY64" i="5"/>
  <c r="NY65" i="5"/>
  <c r="NY66" i="5"/>
  <c r="NY67" i="5"/>
  <c r="NY68" i="5"/>
  <c r="NY69" i="5"/>
  <c r="NY70" i="5"/>
  <c r="NY71" i="5"/>
  <c r="NY72" i="5"/>
  <c r="NY73" i="5"/>
  <c r="NY74" i="5"/>
  <c r="NY75" i="5"/>
  <c r="NY76" i="5"/>
  <c r="NY77" i="5"/>
  <c r="NY78" i="5"/>
  <c r="NY79" i="5"/>
  <c r="NY80" i="5"/>
  <c r="NY81" i="5"/>
  <c r="NY82" i="5"/>
  <c r="NY83" i="5"/>
  <c r="NY84" i="5"/>
  <c r="NY85" i="5"/>
  <c r="NY86" i="5"/>
  <c r="NY87" i="5"/>
  <c r="NY88" i="5"/>
  <c r="NY89" i="5"/>
  <c r="NY90" i="5"/>
  <c r="NY91" i="5"/>
  <c r="NY92" i="5"/>
  <c r="NY93" i="5"/>
  <c r="NY94" i="5"/>
  <c r="NY95" i="5"/>
  <c r="NY96" i="5"/>
  <c r="NY97" i="5"/>
  <c r="NY98" i="5"/>
  <c r="NY99" i="5"/>
  <c r="NY100" i="5"/>
  <c r="NY101" i="5"/>
  <c r="NY102" i="5"/>
  <c r="NY103" i="5"/>
  <c r="NY104" i="5"/>
  <c r="NY105" i="5"/>
  <c r="NY106" i="5"/>
  <c r="NY107" i="5"/>
  <c r="NY108" i="5"/>
  <c r="NY109" i="5"/>
  <c r="NY110" i="5"/>
  <c r="NY111" i="5"/>
  <c r="NY112" i="5"/>
  <c r="NY113" i="5"/>
  <c r="NY114" i="5"/>
  <c r="NY115" i="5"/>
  <c r="NY116" i="5"/>
  <c r="NY117" i="5"/>
  <c r="NY118" i="5"/>
  <c r="NY119" i="5"/>
  <c r="NY120" i="5"/>
  <c r="NY121" i="5"/>
  <c r="NY122" i="5"/>
  <c r="NY123" i="5"/>
  <c r="NY124" i="5"/>
  <c r="NY125" i="5"/>
  <c r="NY126" i="5"/>
  <c r="NY127" i="5"/>
  <c r="NY128" i="5"/>
  <c r="NY129" i="5"/>
  <c r="NY130" i="5"/>
  <c r="NY131" i="5"/>
  <c r="NY132" i="5"/>
  <c r="NY133" i="5"/>
  <c r="NY134" i="5"/>
  <c r="NY135" i="5"/>
  <c r="NY136" i="5"/>
  <c r="NY137" i="5"/>
  <c r="NY138" i="5"/>
  <c r="NY139" i="5"/>
  <c r="NY140" i="5"/>
  <c r="NY141" i="5"/>
  <c r="NY142" i="5"/>
  <c r="NY143" i="5"/>
  <c r="NY144" i="5"/>
  <c r="NY145" i="5"/>
  <c r="NY146" i="5"/>
  <c r="NY147" i="5"/>
  <c r="NY148" i="5"/>
  <c r="NY149" i="5"/>
  <c r="NY150" i="5"/>
  <c r="NY151" i="5"/>
  <c r="NY152" i="5"/>
  <c r="NY153" i="5"/>
  <c r="NY154" i="5"/>
  <c r="NY155" i="5"/>
  <c r="NY156" i="5"/>
  <c r="NY157" i="5"/>
  <c r="NY158" i="5"/>
  <c r="NY159" i="5"/>
  <c r="NY160" i="5"/>
  <c r="NY161" i="5"/>
  <c r="NY162" i="5"/>
  <c r="NY163" i="5"/>
  <c r="NY164" i="5"/>
  <c r="NY165" i="5"/>
  <c r="NY166" i="5"/>
  <c r="NY167" i="5"/>
  <c r="NY168" i="5"/>
  <c r="NY169" i="5"/>
  <c r="NY170" i="5"/>
  <c r="NY171" i="5"/>
  <c r="NY172" i="5"/>
  <c r="NY173" i="5"/>
  <c r="NY174" i="5"/>
  <c r="NY175" i="5"/>
  <c r="NY176" i="5"/>
  <c r="NY177" i="5"/>
  <c r="NY178" i="5"/>
  <c r="NY179" i="5"/>
  <c r="NY180" i="5"/>
  <c r="NY181" i="5"/>
  <c r="NY182" i="5"/>
  <c r="NY183" i="5"/>
  <c r="NY184" i="5"/>
  <c r="NY185" i="5"/>
  <c r="NY186" i="5"/>
  <c r="NY187" i="5"/>
  <c r="NY188" i="5"/>
  <c r="NY189" i="5"/>
  <c r="NY190" i="5"/>
  <c r="NY191" i="5"/>
  <c r="NY192" i="5"/>
  <c r="NY193" i="5"/>
  <c r="NY194" i="5"/>
  <c r="NY195" i="5"/>
  <c r="NY196" i="5"/>
  <c r="NY197" i="5"/>
  <c r="NY198" i="5"/>
  <c r="NY199" i="5"/>
  <c r="NY200" i="5"/>
  <c r="NY201" i="5"/>
  <c r="NY202" i="5"/>
  <c r="NY203" i="5"/>
  <c r="NY204" i="5"/>
  <c r="NY205" i="5"/>
  <c r="NY206" i="5"/>
  <c r="NY207" i="5"/>
  <c r="NY208" i="5"/>
  <c r="NY209" i="5"/>
  <c r="NY210" i="5"/>
  <c r="NY211" i="5"/>
  <c r="NY212" i="5"/>
  <c r="NY213" i="5"/>
  <c r="NY214" i="5"/>
  <c r="NY215" i="5"/>
  <c r="NY216" i="5"/>
  <c r="NY217" i="5"/>
  <c r="NY218" i="5"/>
  <c r="NY219" i="5"/>
  <c r="NY220" i="5"/>
  <c r="NY221" i="5"/>
  <c r="NY222" i="5"/>
  <c r="NY223" i="5"/>
  <c r="NY224" i="5"/>
  <c r="NY225" i="5"/>
  <c r="NY226" i="5"/>
  <c r="NY227" i="5"/>
  <c r="NY228" i="5"/>
  <c r="NY229" i="5"/>
  <c r="NY230" i="5"/>
  <c r="NY231" i="5"/>
  <c r="NY232" i="5"/>
  <c r="NY233" i="5"/>
  <c r="NY234" i="5"/>
  <c r="NY235" i="5"/>
  <c r="NY236" i="5"/>
  <c r="NY237" i="5"/>
  <c r="NY238" i="5"/>
  <c r="NY239" i="5"/>
  <c r="NY240" i="5"/>
  <c r="NY241" i="5"/>
  <c r="NY242" i="5"/>
  <c r="NY243" i="5"/>
  <c r="NY244" i="5"/>
  <c r="NY245" i="5"/>
  <c r="NY246" i="5"/>
  <c r="NY247" i="5"/>
  <c r="NY248" i="5"/>
  <c r="NY3" i="5"/>
  <c r="BS3" i="5" l="1"/>
  <c r="NZ3" i="5" l="1"/>
  <c r="CT3" i="5"/>
  <c r="MZ3" i="5"/>
  <c r="ND207" i="5"/>
  <c r="MT3" i="5"/>
  <c r="MT4" i="5"/>
  <c r="MT5" i="5"/>
  <c r="MT6" i="5"/>
  <c r="MT7" i="5"/>
  <c r="MT8" i="5"/>
  <c r="MT9" i="5"/>
  <c r="MT10" i="5"/>
  <c r="MT11" i="5"/>
  <c r="MT12" i="5"/>
  <c r="MT13" i="5"/>
  <c r="MT14" i="5"/>
  <c r="MT15" i="5"/>
  <c r="MT16" i="5"/>
  <c r="MT17" i="5"/>
  <c r="MT18" i="5"/>
  <c r="MT19" i="5"/>
  <c r="MT20" i="5"/>
  <c r="MT21" i="5"/>
  <c r="MT22" i="5"/>
  <c r="MT23" i="5"/>
  <c r="MT24" i="5"/>
  <c r="MT25" i="5"/>
  <c r="MT26" i="5"/>
  <c r="MT27" i="5"/>
  <c r="MT28" i="5"/>
  <c r="MT29" i="5"/>
  <c r="MT30" i="5"/>
  <c r="MT31" i="5"/>
  <c r="MT32" i="5"/>
  <c r="MT33" i="5"/>
  <c r="MT34" i="5"/>
  <c r="MT35" i="5"/>
  <c r="MT36" i="5"/>
  <c r="MT37" i="5"/>
  <c r="MT38" i="5"/>
  <c r="MT39" i="5"/>
  <c r="MT40" i="5"/>
  <c r="MT41" i="5"/>
  <c r="MT42" i="5"/>
  <c r="MT43" i="5"/>
  <c r="MT44" i="5"/>
  <c r="MT45" i="5"/>
  <c r="MT46" i="5"/>
  <c r="MT47" i="5"/>
  <c r="MT48" i="5"/>
  <c r="MT49" i="5"/>
  <c r="MT50" i="5"/>
  <c r="MT51" i="5"/>
  <c r="MT52" i="5"/>
  <c r="MT53" i="5"/>
  <c r="MT54" i="5"/>
  <c r="MT55" i="5"/>
  <c r="MT56" i="5"/>
  <c r="MT57" i="5"/>
  <c r="MT58" i="5"/>
  <c r="MT59" i="5"/>
  <c r="MT60" i="5"/>
  <c r="MT61" i="5"/>
  <c r="MT62" i="5"/>
  <c r="MT63" i="5"/>
  <c r="MT64" i="5"/>
  <c r="MT65" i="5"/>
  <c r="MT66" i="5"/>
  <c r="MT67" i="5"/>
  <c r="MT68" i="5"/>
  <c r="MT69" i="5"/>
  <c r="MT70" i="5"/>
  <c r="MT71" i="5"/>
  <c r="MT72" i="5"/>
  <c r="MT73" i="5"/>
  <c r="MT74" i="5"/>
  <c r="MT75" i="5"/>
  <c r="MT76" i="5"/>
  <c r="MT77" i="5"/>
  <c r="MT78" i="5"/>
  <c r="MT79" i="5"/>
  <c r="MT80" i="5"/>
  <c r="MT81" i="5"/>
  <c r="MT82" i="5"/>
  <c r="MT83" i="5"/>
  <c r="MT84" i="5"/>
  <c r="MT85" i="5"/>
  <c r="MT86" i="5"/>
  <c r="MT87" i="5"/>
  <c r="MT88" i="5"/>
  <c r="MT89" i="5"/>
  <c r="MT90" i="5"/>
  <c r="MT91" i="5"/>
  <c r="MT92" i="5"/>
  <c r="MT93" i="5"/>
  <c r="MT94" i="5"/>
  <c r="MT95" i="5"/>
  <c r="MT96" i="5"/>
  <c r="MT97" i="5"/>
  <c r="MT98" i="5"/>
  <c r="MT99" i="5"/>
  <c r="MT100" i="5"/>
  <c r="MT101" i="5"/>
  <c r="MT102" i="5"/>
  <c r="MT103" i="5"/>
  <c r="MT104" i="5"/>
  <c r="MT105" i="5"/>
  <c r="MT106" i="5"/>
  <c r="MT107" i="5"/>
  <c r="MT108" i="5"/>
  <c r="MT109" i="5"/>
  <c r="MT110" i="5"/>
  <c r="MT111" i="5"/>
  <c r="MT112" i="5"/>
  <c r="MT113" i="5"/>
  <c r="MT114" i="5"/>
  <c r="MT115" i="5"/>
  <c r="MT116" i="5"/>
  <c r="MT117" i="5"/>
  <c r="MT118" i="5"/>
  <c r="MT119" i="5"/>
  <c r="MT120" i="5"/>
  <c r="MT121" i="5"/>
  <c r="MT122" i="5"/>
  <c r="MT123" i="5"/>
  <c r="MT124" i="5"/>
  <c r="MT125" i="5"/>
  <c r="MT126" i="5"/>
  <c r="MT127" i="5"/>
  <c r="MT128" i="5"/>
  <c r="MT129" i="5"/>
  <c r="MT130" i="5"/>
  <c r="MT131" i="5"/>
  <c r="MT132" i="5"/>
  <c r="MT133" i="5"/>
  <c r="MT134" i="5"/>
  <c r="MT135" i="5"/>
  <c r="MT136" i="5"/>
  <c r="MT137" i="5"/>
  <c r="MT138" i="5"/>
  <c r="MT139" i="5"/>
  <c r="MT140" i="5"/>
  <c r="MT141" i="5"/>
  <c r="MT142" i="5"/>
  <c r="MT143" i="5"/>
  <c r="MT144" i="5"/>
  <c r="MT145" i="5"/>
  <c r="MT146" i="5"/>
  <c r="MT147" i="5"/>
  <c r="MT148" i="5"/>
  <c r="MT149" i="5"/>
  <c r="MT150" i="5"/>
  <c r="MT151" i="5"/>
  <c r="MT152" i="5"/>
  <c r="MT153" i="5"/>
  <c r="MT154" i="5"/>
  <c r="MT155" i="5"/>
  <c r="MT156" i="5"/>
  <c r="MT157" i="5"/>
  <c r="MT158" i="5"/>
  <c r="MT159" i="5"/>
  <c r="MT160" i="5"/>
  <c r="MT161" i="5"/>
  <c r="MT162" i="5"/>
  <c r="MT163" i="5"/>
  <c r="MT164" i="5"/>
  <c r="MT165" i="5"/>
  <c r="MT166" i="5"/>
  <c r="MT167" i="5"/>
  <c r="MT168" i="5"/>
  <c r="MT169" i="5"/>
  <c r="MT170" i="5"/>
  <c r="MT171" i="5"/>
  <c r="MT172" i="5"/>
  <c r="MT173" i="5"/>
  <c r="MT174" i="5"/>
  <c r="MT175" i="5"/>
  <c r="MT176" i="5"/>
  <c r="MT177" i="5"/>
  <c r="MT178" i="5"/>
  <c r="MT179" i="5"/>
  <c r="MT180" i="5"/>
  <c r="MT181" i="5"/>
  <c r="MT182" i="5"/>
  <c r="MT183" i="5"/>
  <c r="MT184" i="5"/>
  <c r="MT185" i="5"/>
  <c r="MT186" i="5"/>
  <c r="MT187" i="5"/>
  <c r="MT188" i="5"/>
  <c r="MT189" i="5"/>
  <c r="MT190" i="5"/>
  <c r="MT191" i="5"/>
  <c r="MT192" i="5"/>
  <c r="MT193" i="5"/>
  <c r="MT202" i="5"/>
  <c r="MT203" i="5"/>
  <c r="MT204" i="5"/>
  <c r="MT205" i="5"/>
  <c r="MT206" i="5"/>
  <c r="MT207" i="5"/>
  <c r="MT208" i="5"/>
  <c r="MT209" i="5"/>
  <c r="MT210" i="5"/>
  <c r="MT211" i="5"/>
  <c r="MT212" i="5"/>
  <c r="MT213" i="5"/>
  <c r="MT214" i="5"/>
  <c r="MT215" i="5"/>
  <c r="MT216" i="5"/>
  <c r="MT217" i="5"/>
  <c r="MT218" i="5"/>
  <c r="MT219" i="5"/>
  <c r="MT220" i="5"/>
  <c r="MT221" i="5"/>
  <c r="MT222" i="5"/>
  <c r="MT223" i="5"/>
  <c r="MT224" i="5"/>
  <c r="MT225" i="5"/>
  <c r="MT226" i="5"/>
  <c r="MT227" i="5"/>
  <c r="MT228" i="5"/>
  <c r="MT229" i="5"/>
  <c r="MT230" i="5"/>
  <c r="MT231" i="5"/>
  <c r="MT232" i="5"/>
  <c r="MT233" i="5"/>
  <c r="MT234" i="5"/>
  <c r="MT235" i="5"/>
  <c r="MT236" i="5"/>
  <c r="MT237" i="5"/>
  <c r="MT238" i="5"/>
  <c r="MT239" i="5"/>
  <c r="MT240" i="5"/>
  <c r="MT241" i="5"/>
  <c r="MT242" i="5"/>
  <c r="MT243" i="5"/>
  <c r="MT244" i="5"/>
  <c r="MT245" i="5"/>
  <c r="MT246" i="5"/>
  <c r="MT247" i="5"/>
  <c r="MT248" i="5"/>
  <c r="MZ4" i="5"/>
  <c r="MZ5" i="5"/>
  <c r="MZ6" i="5"/>
  <c r="MZ7" i="5"/>
  <c r="MZ8" i="5"/>
  <c r="MZ9" i="5"/>
  <c r="MZ10" i="5"/>
  <c r="MZ11" i="5"/>
  <c r="MZ12" i="5"/>
  <c r="MZ13" i="5"/>
  <c r="MZ14" i="5"/>
  <c r="MZ15" i="5"/>
  <c r="MZ16" i="5"/>
  <c r="MZ17" i="5"/>
  <c r="MZ18" i="5"/>
  <c r="MZ19" i="5"/>
  <c r="MZ20" i="5"/>
  <c r="MZ21" i="5"/>
  <c r="MZ22" i="5"/>
  <c r="MZ23" i="5"/>
  <c r="MZ24" i="5"/>
  <c r="MZ25" i="5"/>
  <c r="MZ26" i="5"/>
  <c r="MZ27" i="5"/>
  <c r="MZ28" i="5"/>
  <c r="MZ29" i="5"/>
  <c r="MZ30" i="5"/>
  <c r="MZ31" i="5"/>
  <c r="MZ32" i="5"/>
  <c r="MZ33" i="5"/>
  <c r="MZ34" i="5"/>
  <c r="MZ35" i="5"/>
  <c r="MZ36" i="5"/>
  <c r="MZ37" i="5"/>
  <c r="MZ38" i="5"/>
  <c r="MZ39" i="5"/>
  <c r="MZ40" i="5"/>
  <c r="MZ41" i="5"/>
  <c r="MZ42" i="5"/>
  <c r="MZ43" i="5"/>
  <c r="MZ44" i="5"/>
  <c r="MZ45" i="5"/>
  <c r="MZ46" i="5"/>
  <c r="MZ47" i="5"/>
  <c r="MZ48" i="5"/>
  <c r="MZ49" i="5"/>
  <c r="MZ50" i="5"/>
  <c r="MZ51" i="5"/>
  <c r="MZ52" i="5"/>
  <c r="MZ53" i="5"/>
  <c r="MZ54" i="5"/>
  <c r="MZ55" i="5"/>
  <c r="MZ56" i="5"/>
  <c r="MZ57" i="5"/>
  <c r="MZ58" i="5"/>
  <c r="MZ59" i="5"/>
  <c r="MZ60" i="5"/>
  <c r="MZ61" i="5"/>
  <c r="MZ62" i="5"/>
  <c r="MZ63" i="5"/>
  <c r="MZ64" i="5"/>
  <c r="MZ65" i="5"/>
  <c r="MZ66" i="5"/>
  <c r="MZ67" i="5"/>
  <c r="MZ68" i="5"/>
  <c r="MZ69" i="5"/>
  <c r="MZ70" i="5"/>
  <c r="MZ71" i="5"/>
  <c r="MZ72" i="5"/>
  <c r="MZ73" i="5"/>
  <c r="MZ74" i="5"/>
  <c r="MZ75" i="5"/>
  <c r="MZ76" i="5"/>
  <c r="MZ77" i="5"/>
  <c r="MZ78" i="5"/>
  <c r="MZ79" i="5"/>
  <c r="MZ80" i="5"/>
  <c r="MZ81" i="5"/>
  <c r="MZ82" i="5"/>
  <c r="MZ83" i="5"/>
  <c r="MZ84" i="5"/>
  <c r="MZ85" i="5"/>
  <c r="MZ86" i="5"/>
  <c r="MZ87" i="5"/>
  <c r="MZ88" i="5"/>
  <c r="MZ89" i="5"/>
  <c r="MZ90" i="5"/>
  <c r="MZ91" i="5"/>
  <c r="MZ92" i="5"/>
  <c r="MZ93" i="5"/>
  <c r="MZ94" i="5"/>
  <c r="MZ95" i="5"/>
  <c r="MZ96" i="5"/>
  <c r="MZ97" i="5"/>
  <c r="MZ98" i="5"/>
  <c r="MZ99" i="5"/>
  <c r="MZ100" i="5"/>
  <c r="MZ101" i="5"/>
  <c r="MZ102" i="5"/>
  <c r="MZ103" i="5"/>
  <c r="MZ104" i="5"/>
  <c r="MZ105" i="5"/>
  <c r="MZ106" i="5"/>
  <c r="MZ107" i="5"/>
  <c r="MZ108" i="5"/>
  <c r="MZ109" i="5"/>
  <c r="MZ110" i="5"/>
  <c r="MZ111" i="5"/>
  <c r="MZ112" i="5"/>
  <c r="MZ113" i="5"/>
  <c r="MZ114" i="5"/>
  <c r="MZ115" i="5"/>
  <c r="MZ116" i="5"/>
  <c r="MZ117" i="5"/>
  <c r="MZ118" i="5"/>
  <c r="MZ119" i="5"/>
  <c r="MZ120" i="5"/>
  <c r="MZ121" i="5"/>
  <c r="MZ122" i="5"/>
  <c r="MZ123" i="5"/>
  <c r="MZ124" i="5"/>
  <c r="MZ125" i="5"/>
  <c r="MZ126" i="5"/>
  <c r="MZ127" i="5"/>
  <c r="MZ128" i="5"/>
  <c r="MZ129" i="5"/>
  <c r="MZ130" i="5"/>
  <c r="MZ131" i="5"/>
  <c r="MZ132" i="5"/>
  <c r="MZ133" i="5"/>
  <c r="MZ134" i="5"/>
  <c r="MZ135" i="5"/>
  <c r="MZ136" i="5"/>
  <c r="MZ137" i="5"/>
  <c r="MZ138" i="5"/>
  <c r="MZ139" i="5"/>
  <c r="MZ140" i="5"/>
  <c r="MZ141" i="5"/>
  <c r="MZ142" i="5"/>
  <c r="MZ143" i="5"/>
  <c r="MZ144" i="5"/>
  <c r="MZ145" i="5"/>
  <c r="MZ146" i="5"/>
  <c r="MZ147" i="5"/>
  <c r="MZ148" i="5"/>
  <c r="MZ149" i="5"/>
  <c r="MZ150" i="5"/>
  <c r="MZ151" i="5"/>
  <c r="MZ152" i="5"/>
  <c r="MZ153" i="5"/>
  <c r="MZ154" i="5"/>
  <c r="MZ155" i="5"/>
  <c r="MZ156" i="5"/>
  <c r="MZ157" i="5"/>
  <c r="MZ158" i="5"/>
  <c r="MZ159" i="5"/>
  <c r="MZ160" i="5"/>
  <c r="MZ161" i="5"/>
  <c r="MZ162" i="5"/>
  <c r="MZ163" i="5"/>
  <c r="MZ164" i="5"/>
  <c r="MZ165" i="5"/>
  <c r="MZ166" i="5"/>
  <c r="MZ167" i="5"/>
  <c r="MZ168" i="5"/>
  <c r="MZ169" i="5"/>
  <c r="MZ170" i="5"/>
  <c r="MZ171" i="5"/>
  <c r="MZ172" i="5"/>
  <c r="MZ173" i="5"/>
  <c r="MZ174" i="5"/>
  <c r="MZ175" i="5"/>
  <c r="MZ176" i="5"/>
  <c r="MZ177" i="5"/>
  <c r="MZ178" i="5"/>
  <c r="MZ179" i="5"/>
  <c r="MZ180" i="5"/>
  <c r="MZ181" i="5"/>
  <c r="MZ182" i="5"/>
  <c r="MZ183" i="5"/>
  <c r="MZ184" i="5"/>
  <c r="MZ185" i="5"/>
  <c r="MZ186" i="5"/>
  <c r="MZ187" i="5"/>
  <c r="MZ188" i="5"/>
  <c r="MZ189" i="5"/>
  <c r="MZ190" i="5"/>
  <c r="MZ191" i="5"/>
  <c r="MZ192" i="5"/>
  <c r="MZ193" i="5"/>
  <c r="MZ202" i="5"/>
  <c r="MZ203" i="5"/>
  <c r="MZ204" i="5"/>
  <c r="MZ205" i="5"/>
  <c r="MZ206" i="5"/>
  <c r="MZ207" i="5"/>
  <c r="MZ208" i="5"/>
  <c r="MZ209" i="5"/>
  <c r="MZ210" i="5"/>
  <c r="MZ211" i="5"/>
  <c r="MZ212" i="5"/>
  <c r="MZ213" i="5"/>
  <c r="MZ214" i="5"/>
  <c r="MZ215" i="5"/>
  <c r="MZ216" i="5"/>
  <c r="MZ217" i="5"/>
  <c r="MZ218" i="5"/>
  <c r="MZ219" i="5"/>
  <c r="MZ220" i="5"/>
  <c r="MZ221" i="5"/>
  <c r="MZ222" i="5"/>
  <c r="MZ223" i="5"/>
  <c r="MZ224" i="5"/>
  <c r="MZ225" i="5"/>
  <c r="MZ226" i="5"/>
  <c r="MZ227" i="5"/>
  <c r="MZ228" i="5"/>
  <c r="MZ229" i="5"/>
  <c r="MZ230" i="5"/>
  <c r="MZ231" i="5"/>
  <c r="MZ232" i="5"/>
  <c r="MZ233" i="5"/>
  <c r="MZ234" i="5"/>
  <c r="MZ235" i="5"/>
  <c r="MZ236" i="5"/>
  <c r="MZ237" i="5"/>
  <c r="MZ238" i="5"/>
  <c r="MZ239" i="5"/>
  <c r="MZ240" i="5"/>
  <c r="MZ241" i="5"/>
  <c r="MZ242" i="5"/>
  <c r="MZ243" i="5"/>
  <c r="MZ244" i="5"/>
  <c r="MZ245" i="5"/>
  <c r="MZ246" i="5"/>
  <c r="MZ247" i="5"/>
  <c r="MZ248" i="5"/>
  <c r="MV3" i="5" l="1"/>
  <c r="MV4" i="5"/>
  <c r="MV5" i="5"/>
  <c r="MV6" i="5"/>
  <c r="MV7" i="5"/>
  <c r="MV8" i="5"/>
  <c r="MV9" i="5"/>
  <c r="MV10" i="5"/>
  <c r="MV11" i="5"/>
  <c r="MV12" i="5"/>
  <c r="MV13" i="5"/>
  <c r="MV14" i="5"/>
  <c r="MV15" i="5"/>
  <c r="MV16" i="5"/>
  <c r="MV17" i="5"/>
  <c r="MV18" i="5"/>
  <c r="MV19" i="5"/>
  <c r="MV20" i="5"/>
  <c r="MV21" i="5"/>
  <c r="MV22" i="5"/>
  <c r="MV23" i="5"/>
  <c r="MV24" i="5"/>
  <c r="MV25" i="5"/>
  <c r="MV26" i="5"/>
  <c r="MV27" i="5"/>
  <c r="MV28" i="5"/>
  <c r="MV29" i="5"/>
  <c r="MV30" i="5"/>
  <c r="MV31" i="5"/>
  <c r="MV32" i="5"/>
  <c r="MV33" i="5"/>
  <c r="MV34" i="5"/>
  <c r="MV35" i="5"/>
  <c r="MV36" i="5"/>
  <c r="MV37" i="5"/>
  <c r="MV38" i="5"/>
  <c r="MV39" i="5"/>
  <c r="MV40" i="5"/>
  <c r="MV41" i="5"/>
  <c r="MV42" i="5"/>
  <c r="MV43" i="5"/>
  <c r="MV44" i="5"/>
  <c r="MV45" i="5"/>
  <c r="MV46" i="5"/>
  <c r="MV47" i="5"/>
  <c r="MV48" i="5"/>
  <c r="MV49" i="5"/>
  <c r="MV50" i="5"/>
  <c r="MV51" i="5"/>
  <c r="MV52" i="5"/>
  <c r="MV53" i="5"/>
  <c r="MV54" i="5"/>
  <c r="MV55" i="5"/>
  <c r="MV56" i="5"/>
  <c r="MV57" i="5"/>
  <c r="MV58" i="5"/>
  <c r="MV59" i="5"/>
  <c r="MV60" i="5"/>
  <c r="MV61" i="5"/>
  <c r="MV62" i="5"/>
  <c r="MV63" i="5"/>
  <c r="MV64" i="5"/>
  <c r="MV65" i="5"/>
  <c r="MV66" i="5"/>
  <c r="MV67" i="5"/>
  <c r="MV68" i="5"/>
  <c r="MV69" i="5"/>
  <c r="MV70" i="5"/>
  <c r="MV71" i="5"/>
  <c r="MV72" i="5"/>
  <c r="MV73" i="5"/>
  <c r="MV74" i="5"/>
  <c r="MV75" i="5"/>
  <c r="MV76" i="5"/>
  <c r="MV77" i="5"/>
  <c r="MV78" i="5"/>
  <c r="MV79" i="5"/>
  <c r="MV80" i="5"/>
  <c r="MV81" i="5"/>
  <c r="MV82" i="5"/>
  <c r="MV83" i="5"/>
  <c r="MV84" i="5"/>
  <c r="MV85" i="5"/>
  <c r="MV86" i="5"/>
  <c r="MV87" i="5"/>
  <c r="MV88" i="5"/>
  <c r="MV89" i="5"/>
  <c r="MV90" i="5"/>
  <c r="MV91" i="5"/>
  <c r="MV92" i="5"/>
  <c r="MV93" i="5"/>
  <c r="MV94" i="5"/>
  <c r="MV95" i="5"/>
  <c r="MV96" i="5"/>
  <c r="MV97" i="5"/>
  <c r="MV98" i="5"/>
  <c r="MV99" i="5"/>
  <c r="MV100" i="5"/>
  <c r="MV101" i="5"/>
  <c r="MV102" i="5"/>
  <c r="MV103" i="5"/>
  <c r="MV104" i="5"/>
  <c r="MV105" i="5"/>
  <c r="MV106" i="5"/>
  <c r="MV107" i="5"/>
  <c r="MV108" i="5"/>
  <c r="MV109" i="5"/>
  <c r="MV110" i="5"/>
  <c r="MV111" i="5"/>
  <c r="MV112" i="5"/>
  <c r="MV113" i="5"/>
  <c r="MV114" i="5"/>
  <c r="MV115" i="5"/>
  <c r="MV116" i="5"/>
  <c r="MV117" i="5"/>
  <c r="MV118" i="5"/>
  <c r="MV119" i="5"/>
  <c r="MV120" i="5"/>
  <c r="MV121" i="5"/>
  <c r="MV122" i="5"/>
  <c r="MV123" i="5"/>
  <c r="MV124" i="5"/>
  <c r="MV125" i="5"/>
  <c r="MV126" i="5"/>
  <c r="MV127" i="5"/>
  <c r="MV128" i="5"/>
  <c r="MV129" i="5"/>
  <c r="MV130" i="5"/>
  <c r="MV131" i="5"/>
  <c r="MV132" i="5"/>
  <c r="MV133" i="5"/>
  <c r="MV134" i="5"/>
  <c r="MV135" i="5"/>
  <c r="MV136" i="5"/>
  <c r="MV137" i="5"/>
  <c r="MV138" i="5"/>
  <c r="MV139" i="5"/>
  <c r="MV140" i="5"/>
  <c r="MV141" i="5"/>
  <c r="MV142" i="5"/>
  <c r="MV143" i="5"/>
  <c r="MV144" i="5"/>
  <c r="MV145" i="5"/>
  <c r="MV146" i="5"/>
  <c r="MV147" i="5"/>
  <c r="MV148" i="5"/>
  <c r="MV149" i="5"/>
  <c r="MV150" i="5"/>
  <c r="MV151" i="5"/>
  <c r="MV152" i="5"/>
  <c r="MV153" i="5"/>
  <c r="MV154" i="5"/>
  <c r="MV155" i="5"/>
  <c r="MV156" i="5"/>
  <c r="MV157" i="5"/>
  <c r="MV158" i="5"/>
  <c r="MV159" i="5"/>
  <c r="MV160" i="5"/>
  <c r="MV161" i="5"/>
  <c r="MV162" i="5"/>
  <c r="MV163" i="5"/>
  <c r="MV164" i="5"/>
  <c r="MV165" i="5"/>
  <c r="MV166" i="5"/>
  <c r="MV167" i="5"/>
  <c r="MV168" i="5"/>
  <c r="MV169" i="5"/>
  <c r="MV170" i="5"/>
  <c r="MV171" i="5"/>
  <c r="MV172" i="5"/>
  <c r="MV173" i="5"/>
  <c r="MV174" i="5"/>
  <c r="MV175" i="5"/>
  <c r="MV176" i="5"/>
  <c r="MV177" i="5"/>
  <c r="MV178" i="5"/>
  <c r="MV179" i="5"/>
  <c r="MV180" i="5"/>
  <c r="MV181" i="5"/>
  <c r="MV182" i="5"/>
  <c r="MV183" i="5"/>
  <c r="MV184" i="5"/>
  <c r="MV185" i="5"/>
  <c r="MV186" i="5"/>
  <c r="MV187" i="5"/>
  <c r="MV188" i="5"/>
  <c r="MV189" i="5"/>
  <c r="MV190" i="5"/>
  <c r="MV191" i="5"/>
  <c r="MV192" i="5"/>
  <c r="MV193" i="5"/>
  <c r="MV202" i="5"/>
  <c r="MV203" i="5"/>
  <c r="MV204" i="5"/>
  <c r="MV205" i="5"/>
  <c r="MV206" i="5"/>
  <c r="MV207" i="5"/>
  <c r="MV208" i="5"/>
  <c r="MV209" i="5"/>
  <c r="MV210" i="5"/>
  <c r="MV211" i="5"/>
  <c r="MV212" i="5"/>
  <c r="MV213" i="5"/>
  <c r="MV214" i="5"/>
  <c r="MV215" i="5"/>
  <c r="MV216" i="5"/>
  <c r="MV217" i="5"/>
  <c r="MV218" i="5"/>
  <c r="MV219" i="5"/>
  <c r="MV220" i="5"/>
  <c r="MV221" i="5"/>
  <c r="MV222" i="5"/>
  <c r="MV223" i="5"/>
  <c r="MV224" i="5"/>
  <c r="MV225" i="5"/>
  <c r="MV226" i="5"/>
  <c r="MV227" i="5"/>
  <c r="MV228" i="5"/>
  <c r="MV229" i="5"/>
  <c r="MV230" i="5"/>
  <c r="MV231" i="5"/>
  <c r="MV232" i="5"/>
  <c r="MV233" i="5"/>
  <c r="MV234" i="5"/>
  <c r="MV235" i="5"/>
  <c r="MV236" i="5"/>
  <c r="MV237" i="5"/>
  <c r="MV238" i="5"/>
  <c r="MV239" i="5"/>
  <c r="MV240" i="5"/>
  <c r="MV241" i="5"/>
  <c r="MV242" i="5"/>
  <c r="MV243" i="5"/>
  <c r="MV244" i="5"/>
  <c r="MV245" i="5"/>
  <c r="MV246" i="5"/>
  <c r="MV247" i="5"/>
  <c r="MV248" i="5"/>
  <c r="JX3" i="5"/>
  <c r="JZ3" i="5"/>
  <c r="NZ125" i="5"/>
  <c r="CJ125" i="5" s="1"/>
  <c r="NZ126" i="5"/>
  <c r="NZ127" i="5"/>
  <c r="NZ128" i="5"/>
  <c r="NZ132" i="5"/>
  <c r="CJ132" i="5" s="1"/>
  <c r="NZ134" i="5"/>
  <c r="NZ135" i="5"/>
  <c r="NZ136" i="5"/>
  <c r="NZ137" i="5"/>
  <c r="CJ137" i="5" s="1"/>
  <c r="NZ138" i="5"/>
  <c r="NZ140" i="5"/>
  <c r="NZ141" i="5"/>
  <c r="CJ141" i="5" s="1"/>
  <c r="NZ142" i="5"/>
  <c r="NZ145" i="5"/>
  <c r="CJ145" i="5" s="1"/>
  <c r="NZ147" i="5"/>
  <c r="CJ147" i="5" s="1"/>
  <c r="NZ148" i="5"/>
  <c r="NZ150" i="5"/>
  <c r="NZ151" i="5"/>
  <c r="CJ151" i="5" s="1"/>
  <c r="NZ152" i="5"/>
  <c r="CJ152" i="5" s="1"/>
  <c r="NZ153" i="5"/>
  <c r="NZ154" i="5"/>
  <c r="NZ157" i="5"/>
  <c r="CJ157" i="5" s="1"/>
  <c r="NZ158" i="5"/>
  <c r="NZ159" i="5"/>
  <c r="NZ160" i="5"/>
  <c r="NZ161" i="5"/>
  <c r="CJ161" i="5" s="1"/>
  <c r="NZ162" i="5"/>
  <c r="NZ163" i="5"/>
  <c r="NZ166" i="5"/>
  <c r="NZ167" i="5"/>
  <c r="NZ171" i="5"/>
  <c r="NZ174" i="5"/>
  <c r="NZ175" i="5"/>
  <c r="CJ175" i="5" s="1"/>
  <c r="NZ176" i="5"/>
  <c r="CJ176" i="5" s="1"/>
  <c r="NZ178" i="5"/>
  <c r="CJ178" i="5" s="1"/>
  <c r="NZ179" i="5"/>
  <c r="CJ179" i="5" s="1"/>
  <c r="NZ180" i="5"/>
  <c r="CJ180" i="5" s="1"/>
  <c r="NZ181" i="5"/>
  <c r="NZ182" i="5"/>
  <c r="NZ183" i="5"/>
  <c r="NZ184" i="5"/>
  <c r="NZ186" i="5"/>
  <c r="NZ187" i="5"/>
  <c r="CJ187" i="5" s="1"/>
  <c r="NZ188" i="5"/>
  <c r="NZ189" i="5"/>
  <c r="CJ189" i="5" s="1"/>
  <c r="NZ190" i="5"/>
  <c r="NZ191" i="5"/>
  <c r="NZ192" i="5"/>
  <c r="NZ194" i="5"/>
  <c r="NZ195" i="5"/>
  <c r="NZ196" i="5"/>
  <c r="NZ197" i="5"/>
  <c r="NZ198" i="5"/>
  <c r="CJ198" i="5" s="1"/>
  <c r="NZ199" i="5"/>
  <c r="NZ200" i="5"/>
  <c r="CJ200" i="5" s="1"/>
  <c r="NZ201" i="5"/>
  <c r="NZ202" i="5"/>
  <c r="NZ204" i="5"/>
  <c r="NZ206" i="5"/>
  <c r="CJ206" i="5" s="1"/>
  <c r="NZ208" i="5"/>
  <c r="CJ208" i="5" s="1"/>
  <c r="NZ212" i="5"/>
  <c r="NZ214" i="5"/>
  <c r="NZ215" i="5"/>
  <c r="NZ216" i="5"/>
  <c r="NZ217" i="5"/>
  <c r="NZ218" i="5"/>
  <c r="NZ219" i="5"/>
  <c r="CJ219" i="5" s="1"/>
  <c r="NZ220" i="5"/>
  <c r="CJ220" i="5" s="1"/>
  <c r="NZ221" i="5"/>
  <c r="NZ222" i="5"/>
  <c r="NZ223" i="5"/>
  <c r="CJ223" i="5" s="1"/>
  <c r="NZ224" i="5"/>
  <c r="NZ225" i="5"/>
  <c r="NZ226" i="5"/>
  <c r="NZ227" i="5"/>
  <c r="NZ228" i="5"/>
  <c r="NZ229" i="5"/>
  <c r="NZ230" i="5"/>
  <c r="NZ231" i="5"/>
  <c r="NZ234" i="5"/>
  <c r="NZ235" i="5"/>
  <c r="CJ235" i="5" s="1"/>
  <c r="NZ236" i="5"/>
  <c r="NZ237" i="5"/>
  <c r="NZ238" i="5"/>
  <c r="NZ239" i="5"/>
  <c r="NZ240" i="5"/>
  <c r="CJ240" i="5" s="1"/>
  <c r="NZ241" i="5"/>
  <c r="CJ241" i="5" s="1"/>
  <c r="NZ242" i="5"/>
  <c r="NZ243" i="5"/>
  <c r="NZ244" i="5"/>
  <c r="NZ245" i="5"/>
  <c r="NZ246" i="5"/>
  <c r="NZ247" i="5"/>
  <c r="CJ247" i="5" s="1"/>
  <c r="NZ248" i="5"/>
  <c r="RX247" i="5" l="1"/>
  <c r="RY247" i="5" s="1"/>
  <c r="RX244" i="5"/>
  <c r="RY244" i="5" s="1"/>
  <c r="RX241" i="5"/>
  <c r="RY241" i="5" s="1"/>
  <c r="RX238" i="5"/>
  <c r="RY238" i="5" s="1"/>
  <c r="RX235" i="5"/>
  <c r="RY235" i="5" s="1"/>
  <c r="RX220" i="5"/>
  <c r="RY220" i="5" s="1"/>
  <c r="RX216" i="5"/>
  <c r="RY216" i="5" s="1"/>
  <c r="RX201" i="5"/>
  <c r="RY201" i="5" s="1"/>
  <c r="RX199" i="5"/>
  <c r="RY199" i="5" s="1"/>
  <c r="RX196" i="5"/>
  <c r="RY196" i="5" s="1"/>
  <c r="RX191" i="5"/>
  <c r="RY191" i="5" s="1"/>
  <c r="RX182" i="5"/>
  <c r="RY182" i="5" s="1"/>
  <c r="RX147" i="5"/>
  <c r="RY147" i="5" s="1"/>
  <c r="RX123" i="5"/>
  <c r="RY123" i="5" s="1"/>
  <c r="RX117" i="5"/>
  <c r="RY117" i="5" s="1"/>
  <c r="RX40" i="5"/>
  <c r="RY40" i="5" s="1"/>
  <c r="RX246" i="5"/>
  <c r="RY246" i="5" s="1"/>
  <c r="RX243" i="5"/>
  <c r="RY243" i="5" s="1"/>
  <c r="RX240" i="5"/>
  <c r="RY240" i="5" s="1"/>
  <c r="RX237" i="5"/>
  <c r="RY237" i="5" s="1"/>
  <c r="RX218" i="5"/>
  <c r="RY218" i="5" s="1"/>
  <c r="RX214" i="5"/>
  <c r="RY214" i="5" s="1"/>
  <c r="RX202" i="5"/>
  <c r="RY202" i="5" s="1"/>
  <c r="RX200" i="5"/>
  <c r="RY200" i="5" s="1"/>
  <c r="RX198" i="5"/>
  <c r="RY198" i="5" s="1"/>
  <c r="RX195" i="5"/>
  <c r="RY195" i="5" s="1"/>
  <c r="RX192" i="5"/>
  <c r="RY192" i="5" s="1"/>
  <c r="RX187" i="5"/>
  <c r="RY187" i="5" s="1"/>
  <c r="RX184" i="5"/>
  <c r="RY184" i="5" s="1"/>
  <c r="RX178" i="5"/>
  <c r="RY178" i="5" s="1"/>
  <c r="RX167" i="5"/>
  <c r="RY167" i="5" s="1"/>
  <c r="RX161" i="5"/>
  <c r="RY161" i="5" s="1"/>
  <c r="RX122" i="5"/>
  <c r="RY122" i="5" s="1"/>
  <c r="RX119" i="5"/>
  <c r="RY119" i="5" s="1"/>
  <c r="RX61" i="5"/>
  <c r="RY61" i="5" s="1"/>
  <c r="RX111" i="5"/>
  <c r="RY111" i="5" s="1"/>
  <c r="RX43" i="5"/>
  <c r="RY43" i="5" s="1"/>
  <c r="RX248" i="5"/>
  <c r="RY248" i="5" s="1"/>
  <c r="RX245" i="5"/>
  <c r="RY245" i="5" s="1"/>
  <c r="RX239" i="5"/>
  <c r="RY239" i="5" s="1"/>
  <c r="RX236" i="5"/>
  <c r="RY236" i="5" s="1"/>
  <c r="RX221" i="5"/>
  <c r="RY221" i="5" s="1"/>
  <c r="RX217" i="5"/>
  <c r="RY217" i="5" s="1"/>
  <c r="RX215" i="5"/>
  <c r="RY215" i="5" s="1"/>
  <c r="RX197" i="5"/>
  <c r="RY197" i="5" s="1"/>
  <c r="RX194" i="5"/>
  <c r="RY194" i="5" s="1"/>
  <c r="RX186" i="5"/>
  <c r="RY186" i="5" s="1"/>
  <c r="RX183" i="5"/>
  <c r="RY183" i="5" s="1"/>
  <c r="RX166" i="5"/>
  <c r="RY166" i="5" s="1"/>
  <c r="RX163" i="5"/>
  <c r="RY163" i="5" s="1"/>
  <c r="RX160" i="5"/>
  <c r="RY160" i="5" s="1"/>
  <c r="RX151" i="5"/>
  <c r="RY151" i="5" s="1"/>
  <c r="RX141" i="5"/>
  <c r="RY141" i="5" s="1"/>
  <c r="RX118" i="5"/>
  <c r="RY118" i="5" s="1"/>
  <c r="NZ114" i="5"/>
  <c r="CJ114" i="5" s="1"/>
  <c r="NZ113" i="5"/>
  <c r="PB113" i="5" s="1"/>
  <c r="NZ112" i="5"/>
  <c r="NZ111" i="5"/>
  <c r="CJ111" i="5" s="1"/>
  <c r="NZ110" i="5"/>
  <c r="NZ109" i="5"/>
  <c r="NZ92" i="5"/>
  <c r="NZ89" i="5"/>
  <c r="NZ81" i="5"/>
  <c r="NZ78" i="5"/>
  <c r="CJ78" i="5" s="1"/>
  <c r="NZ77" i="5"/>
  <c r="OX77" i="5" s="1"/>
  <c r="NZ74" i="5"/>
  <c r="NZ68" i="5"/>
  <c r="NZ67" i="5"/>
  <c r="PD67" i="5" s="1"/>
  <c r="NZ51" i="5"/>
  <c r="NZ50" i="5"/>
  <c r="NZ49" i="5"/>
  <c r="NZ48" i="5"/>
  <c r="NZ41" i="5"/>
  <c r="NZ40" i="5"/>
  <c r="PA40" i="5" s="1"/>
  <c r="NZ35" i="5"/>
  <c r="CJ35" i="5" s="1"/>
  <c r="NZ28" i="5"/>
  <c r="CJ28" i="5" s="1"/>
  <c r="NZ27" i="5"/>
  <c r="NZ24" i="5"/>
  <c r="NZ19" i="5"/>
  <c r="CJ19" i="5" s="1"/>
  <c r="NZ8" i="5"/>
  <c r="CJ8" i="5" s="1"/>
  <c r="NZ7" i="5"/>
  <c r="CJ7" i="5" s="1"/>
  <c r="NZ4" i="5"/>
  <c r="CJ4" i="5" s="1"/>
  <c r="NZ123" i="5"/>
  <c r="NZ122" i="5"/>
  <c r="NZ120" i="5"/>
  <c r="NZ118" i="5"/>
  <c r="NZ116" i="5"/>
  <c r="NZ115" i="5"/>
  <c r="OV115" i="5" s="1"/>
  <c r="NZ106" i="5"/>
  <c r="CJ106" i="5" s="1"/>
  <c r="NZ97" i="5"/>
  <c r="OE97" i="5" s="1"/>
  <c r="NZ85" i="5"/>
  <c r="CJ85" i="5" s="1"/>
  <c r="NZ82" i="5"/>
  <c r="NZ70" i="5"/>
  <c r="NZ58" i="5"/>
  <c r="NZ36" i="5"/>
  <c r="CJ36" i="5" s="1"/>
  <c r="NZ32" i="5"/>
  <c r="CJ32" i="5" s="1"/>
  <c r="NZ119" i="5"/>
  <c r="NZ117" i="5"/>
  <c r="CJ117" i="5" s="1"/>
  <c r="NZ105" i="5"/>
  <c r="OT105" i="5" s="1"/>
  <c r="NZ79" i="5"/>
  <c r="NZ69" i="5"/>
  <c r="CJ69" i="5" s="1"/>
  <c r="NZ59" i="5"/>
  <c r="NZ55" i="5"/>
  <c r="NZ29" i="5"/>
  <c r="CJ29" i="5" s="1"/>
  <c r="NZ5" i="5"/>
  <c r="CJ5" i="5" s="1"/>
  <c r="NZ103" i="5"/>
  <c r="CJ103" i="5" s="1"/>
  <c r="NZ102" i="5"/>
  <c r="NZ100" i="5"/>
  <c r="CJ100" i="5" s="1"/>
  <c r="NZ98" i="5"/>
  <c r="NZ83" i="5"/>
  <c r="NZ72" i="5"/>
  <c r="NZ71" i="5"/>
  <c r="CJ71" i="5" s="1"/>
  <c r="NZ63" i="5"/>
  <c r="NZ56" i="5"/>
  <c r="CJ56" i="5" s="1"/>
  <c r="NZ46" i="5"/>
  <c r="OA46" i="5" s="1"/>
  <c r="NZ43" i="5"/>
  <c r="NZ38" i="5"/>
  <c r="NZ37" i="5"/>
  <c r="NZ33" i="5"/>
  <c r="NZ11" i="5"/>
  <c r="CJ11" i="5" s="1"/>
  <c r="NZ10" i="5"/>
  <c r="CJ10" i="5" s="1"/>
  <c r="NZ87" i="5"/>
  <c r="PH87" i="5" s="1"/>
  <c r="NZ76" i="5"/>
  <c r="NZ73" i="5"/>
  <c r="NZ66" i="5"/>
  <c r="NZ65" i="5"/>
  <c r="NZ64" i="5"/>
  <c r="CJ64" i="5" s="1"/>
  <c r="NZ61" i="5"/>
  <c r="OP61" i="5" s="1"/>
  <c r="NZ53" i="5"/>
  <c r="NZ47" i="5"/>
  <c r="NZ26" i="5"/>
  <c r="CJ26" i="5" s="1"/>
  <c r="NZ21" i="5"/>
  <c r="NZ18" i="5"/>
  <c r="CJ18" i="5" s="1"/>
  <c r="NZ13" i="5"/>
  <c r="CJ13" i="5" s="1"/>
  <c r="OT248" i="5"/>
  <c r="OX248" i="5"/>
  <c r="PB248" i="5"/>
  <c r="PF248" i="5"/>
  <c r="OU248" i="5"/>
  <c r="OY248" i="5"/>
  <c r="PC248" i="5"/>
  <c r="PG248" i="5"/>
  <c r="PA248" i="5"/>
  <c r="OV248" i="5"/>
  <c r="PD248" i="5"/>
  <c r="OW248" i="5"/>
  <c r="PE248" i="5"/>
  <c r="OZ248" i="5"/>
  <c r="PH248" i="5"/>
  <c r="OW247" i="5"/>
  <c r="PA247" i="5"/>
  <c r="PE247" i="5"/>
  <c r="OT247" i="5"/>
  <c r="OX247" i="5"/>
  <c r="PB247" i="5"/>
  <c r="PF247" i="5"/>
  <c r="OZ247" i="5"/>
  <c r="PH247" i="5"/>
  <c r="OU247" i="5"/>
  <c r="PC247" i="5"/>
  <c r="OV247" i="5"/>
  <c r="PD247" i="5"/>
  <c r="PG247" i="5"/>
  <c r="OY247" i="5"/>
  <c r="OV246" i="5"/>
  <c r="OZ246" i="5"/>
  <c r="PD246" i="5"/>
  <c r="PH246" i="5"/>
  <c r="OW246" i="5"/>
  <c r="PA246" i="5"/>
  <c r="PE246" i="5"/>
  <c r="OY246" i="5"/>
  <c r="PG246" i="5"/>
  <c r="OT246" i="5"/>
  <c r="CJ246" i="5" s="1"/>
  <c r="PB246" i="5"/>
  <c r="OU246" i="5"/>
  <c r="PC246" i="5"/>
  <c r="OX246" i="5"/>
  <c r="PF246" i="5"/>
  <c r="OU245" i="5"/>
  <c r="OY245" i="5"/>
  <c r="PC245" i="5"/>
  <c r="PG245" i="5"/>
  <c r="OV245" i="5"/>
  <c r="OZ245" i="5"/>
  <c r="PD245" i="5"/>
  <c r="PH245" i="5"/>
  <c r="OX245" i="5"/>
  <c r="PF245" i="5"/>
  <c r="PA245" i="5"/>
  <c r="OT245" i="5"/>
  <c r="PB245" i="5"/>
  <c r="PE245" i="5"/>
  <c r="OW245" i="5"/>
  <c r="OT244" i="5"/>
  <c r="OX244" i="5"/>
  <c r="PB244" i="5"/>
  <c r="PF244" i="5"/>
  <c r="OU244" i="5"/>
  <c r="OY244" i="5"/>
  <c r="PC244" i="5"/>
  <c r="PG244" i="5"/>
  <c r="OW244" i="5"/>
  <c r="PE244" i="5"/>
  <c r="OZ244" i="5"/>
  <c r="PH244" i="5"/>
  <c r="PA244" i="5"/>
  <c r="OV244" i="5"/>
  <c r="PD244" i="5"/>
  <c r="OW243" i="5"/>
  <c r="PA243" i="5"/>
  <c r="PE243" i="5"/>
  <c r="OT243" i="5"/>
  <c r="OX243" i="5"/>
  <c r="PB243" i="5"/>
  <c r="PF243" i="5"/>
  <c r="OV243" i="5"/>
  <c r="PD243" i="5"/>
  <c r="OY243" i="5"/>
  <c r="PG243" i="5"/>
  <c r="OZ243" i="5"/>
  <c r="PH243" i="5"/>
  <c r="PC243" i="5"/>
  <c r="OU243" i="5"/>
  <c r="OV242" i="5"/>
  <c r="OZ242" i="5"/>
  <c r="PD242" i="5"/>
  <c r="PH242" i="5"/>
  <c r="OW242" i="5"/>
  <c r="PA242" i="5"/>
  <c r="PE242" i="5"/>
  <c r="OU242" i="5"/>
  <c r="PC242" i="5"/>
  <c r="OX242" i="5"/>
  <c r="PF242" i="5"/>
  <c r="OY242" i="5"/>
  <c r="PG242" i="5"/>
  <c r="OT242" i="5"/>
  <c r="PB242" i="5"/>
  <c r="OU241" i="5"/>
  <c r="OY241" i="5"/>
  <c r="PC241" i="5"/>
  <c r="PG241" i="5"/>
  <c r="OV241" i="5"/>
  <c r="OZ241" i="5"/>
  <c r="PD241" i="5"/>
  <c r="PH241" i="5"/>
  <c r="OT241" i="5"/>
  <c r="PB241" i="5"/>
  <c r="OW241" i="5"/>
  <c r="PE241" i="5"/>
  <c r="OX241" i="5"/>
  <c r="PF241" i="5"/>
  <c r="PA241" i="5"/>
  <c r="OT240" i="5"/>
  <c r="OX240" i="5"/>
  <c r="PB240" i="5"/>
  <c r="PF240" i="5"/>
  <c r="OU240" i="5"/>
  <c r="OY240" i="5"/>
  <c r="PC240" i="5"/>
  <c r="PG240" i="5"/>
  <c r="PA240" i="5"/>
  <c r="OV240" i="5"/>
  <c r="PD240" i="5"/>
  <c r="OW240" i="5"/>
  <c r="PE240" i="5"/>
  <c r="OZ240" i="5"/>
  <c r="PH240" i="5"/>
  <c r="OW239" i="5"/>
  <c r="PA239" i="5"/>
  <c r="PE239" i="5"/>
  <c r="OT239" i="5"/>
  <c r="OX239" i="5"/>
  <c r="PB239" i="5"/>
  <c r="PF239" i="5"/>
  <c r="OZ239" i="5"/>
  <c r="PH239" i="5"/>
  <c r="OU239" i="5"/>
  <c r="PC239" i="5"/>
  <c r="OV239" i="5"/>
  <c r="PD239" i="5"/>
  <c r="OY239" i="5"/>
  <c r="PG239" i="5"/>
  <c r="OV238" i="5"/>
  <c r="OZ238" i="5"/>
  <c r="PD238" i="5"/>
  <c r="PH238" i="5"/>
  <c r="OW238" i="5"/>
  <c r="PA238" i="5"/>
  <c r="PE238" i="5"/>
  <c r="OY238" i="5"/>
  <c r="PG238" i="5"/>
  <c r="OT238" i="5"/>
  <c r="PB238" i="5"/>
  <c r="OU238" i="5"/>
  <c r="PC238" i="5"/>
  <c r="OX238" i="5"/>
  <c r="PF238" i="5"/>
  <c r="OU237" i="5"/>
  <c r="OY237" i="5"/>
  <c r="PC237" i="5"/>
  <c r="PG237" i="5"/>
  <c r="OV237" i="5"/>
  <c r="OZ237" i="5"/>
  <c r="PD237" i="5"/>
  <c r="PH237" i="5"/>
  <c r="OX237" i="5"/>
  <c r="PF237" i="5"/>
  <c r="PA237" i="5"/>
  <c r="OT237" i="5"/>
  <c r="PB237" i="5"/>
  <c r="OW237" i="5"/>
  <c r="PE237" i="5"/>
  <c r="OT236" i="5"/>
  <c r="OX236" i="5"/>
  <c r="PB236" i="5"/>
  <c r="PF236" i="5"/>
  <c r="OU236" i="5"/>
  <c r="OY236" i="5"/>
  <c r="PC236" i="5"/>
  <c r="PG236" i="5"/>
  <c r="OW236" i="5"/>
  <c r="PE236" i="5"/>
  <c r="OZ236" i="5"/>
  <c r="PH236" i="5"/>
  <c r="PA236" i="5"/>
  <c r="OV236" i="5"/>
  <c r="PD236" i="5"/>
  <c r="OW235" i="5"/>
  <c r="PA235" i="5"/>
  <c r="PE235" i="5"/>
  <c r="OT235" i="5"/>
  <c r="OX235" i="5"/>
  <c r="PB235" i="5"/>
  <c r="PF235" i="5"/>
  <c r="OV235" i="5"/>
  <c r="PD235" i="5"/>
  <c r="OY235" i="5"/>
  <c r="PG235" i="5"/>
  <c r="OZ235" i="5"/>
  <c r="PH235" i="5"/>
  <c r="OU235" i="5"/>
  <c r="PC235" i="5"/>
  <c r="OV234" i="5"/>
  <c r="OZ234" i="5"/>
  <c r="PD234" i="5"/>
  <c r="PH234" i="5"/>
  <c r="OW234" i="5"/>
  <c r="PA234" i="5"/>
  <c r="PE234" i="5"/>
  <c r="OU234" i="5"/>
  <c r="PC234" i="5"/>
  <c r="OX234" i="5"/>
  <c r="PF234" i="5"/>
  <c r="OY234" i="5"/>
  <c r="PG234" i="5"/>
  <c r="OT234" i="5"/>
  <c r="PB234" i="5"/>
  <c r="OW231" i="5"/>
  <c r="PA231" i="5"/>
  <c r="PE231" i="5"/>
  <c r="OT231" i="5"/>
  <c r="OX231" i="5"/>
  <c r="PB231" i="5"/>
  <c r="PF231" i="5"/>
  <c r="OZ231" i="5"/>
  <c r="PH231" i="5"/>
  <c r="OU231" i="5"/>
  <c r="PC231" i="5"/>
  <c r="OV231" i="5"/>
  <c r="PD231" i="5"/>
  <c r="OY231" i="5"/>
  <c r="PG231" i="5"/>
  <c r="OV230" i="5"/>
  <c r="OZ230" i="5"/>
  <c r="PD230" i="5"/>
  <c r="PH230" i="5"/>
  <c r="OW230" i="5"/>
  <c r="PA230" i="5"/>
  <c r="PE230" i="5"/>
  <c r="OY230" i="5"/>
  <c r="PG230" i="5"/>
  <c r="OT230" i="5"/>
  <c r="PB230" i="5"/>
  <c r="OU230" i="5"/>
  <c r="PC230" i="5"/>
  <c r="PF230" i="5"/>
  <c r="OX230" i="5"/>
  <c r="OU229" i="5"/>
  <c r="OY229" i="5"/>
  <c r="PC229" i="5"/>
  <c r="PG229" i="5"/>
  <c r="OV229" i="5"/>
  <c r="OZ229" i="5"/>
  <c r="PD229" i="5"/>
  <c r="PH229" i="5"/>
  <c r="OX229" i="5"/>
  <c r="PF229" i="5"/>
  <c r="PA229" i="5"/>
  <c r="OT229" i="5"/>
  <c r="CJ229" i="5" s="1"/>
  <c r="PB229" i="5"/>
  <c r="OW229" i="5"/>
  <c r="PE229" i="5"/>
  <c r="OT228" i="5"/>
  <c r="OX228" i="5"/>
  <c r="PB228" i="5"/>
  <c r="PF228" i="5"/>
  <c r="OU228" i="5"/>
  <c r="OY228" i="5"/>
  <c r="PC228" i="5"/>
  <c r="PG228" i="5"/>
  <c r="OW228" i="5"/>
  <c r="PE228" i="5"/>
  <c r="OZ228" i="5"/>
  <c r="PH228" i="5"/>
  <c r="PA228" i="5"/>
  <c r="PD228" i="5"/>
  <c r="OV228" i="5"/>
  <c r="OW227" i="5"/>
  <c r="PA227" i="5"/>
  <c r="PE227" i="5"/>
  <c r="OT227" i="5"/>
  <c r="OX227" i="5"/>
  <c r="PB227" i="5"/>
  <c r="PF227" i="5"/>
  <c r="OV227" i="5"/>
  <c r="PD227" i="5"/>
  <c r="OY227" i="5"/>
  <c r="PG227" i="5"/>
  <c r="OZ227" i="5"/>
  <c r="PH227" i="5"/>
  <c r="OU227" i="5"/>
  <c r="PC227" i="5"/>
  <c r="OV226" i="5"/>
  <c r="OZ226" i="5"/>
  <c r="PD226" i="5"/>
  <c r="PH226" i="5"/>
  <c r="OW226" i="5"/>
  <c r="PA226" i="5"/>
  <c r="PE226" i="5"/>
  <c r="OU226" i="5"/>
  <c r="PC226" i="5"/>
  <c r="OX226" i="5"/>
  <c r="PF226" i="5"/>
  <c r="OY226" i="5"/>
  <c r="PG226" i="5"/>
  <c r="PB226" i="5"/>
  <c r="OT226" i="5"/>
  <c r="OU225" i="5"/>
  <c r="OY225" i="5"/>
  <c r="PC225" i="5"/>
  <c r="PG225" i="5"/>
  <c r="OV225" i="5"/>
  <c r="OZ225" i="5"/>
  <c r="PD225" i="5"/>
  <c r="PH225" i="5"/>
  <c r="OT225" i="5"/>
  <c r="CJ225" i="5" s="1"/>
  <c r="PB225" i="5"/>
  <c r="OW225" i="5"/>
  <c r="PE225" i="5"/>
  <c r="OX225" i="5"/>
  <c r="PF225" i="5"/>
  <c r="PA225" i="5"/>
  <c r="OT224" i="5"/>
  <c r="OX224" i="5"/>
  <c r="PB224" i="5"/>
  <c r="PF224" i="5"/>
  <c r="OU224" i="5"/>
  <c r="OY224" i="5"/>
  <c r="PC224" i="5"/>
  <c r="PG224" i="5"/>
  <c r="PA224" i="5"/>
  <c r="OV224" i="5"/>
  <c r="PD224" i="5"/>
  <c r="OW224" i="5"/>
  <c r="PE224" i="5"/>
  <c r="OZ224" i="5"/>
  <c r="PH224" i="5"/>
  <c r="OW223" i="5"/>
  <c r="PA223" i="5"/>
  <c r="PE223" i="5"/>
  <c r="OT223" i="5"/>
  <c r="OX223" i="5"/>
  <c r="PB223" i="5"/>
  <c r="PF223" i="5"/>
  <c r="OZ223" i="5"/>
  <c r="PH223" i="5"/>
  <c r="OU223" i="5"/>
  <c r="PC223" i="5"/>
  <c r="OV223" i="5"/>
  <c r="PD223" i="5"/>
  <c r="OY223" i="5"/>
  <c r="PG223" i="5"/>
  <c r="OV222" i="5"/>
  <c r="OZ222" i="5"/>
  <c r="PD222" i="5"/>
  <c r="PH222" i="5"/>
  <c r="OW222" i="5"/>
  <c r="PA222" i="5"/>
  <c r="PE222" i="5"/>
  <c r="OY222" i="5"/>
  <c r="PG222" i="5"/>
  <c r="OT222" i="5"/>
  <c r="PB222" i="5"/>
  <c r="OU222" i="5"/>
  <c r="PC222" i="5"/>
  <c r="OX222" i="5"/>
  <c r="PF222" i="5"/>
  <c r="OU221" i="5"/>
  <c r="OY221" i="5"/>
  <c r="PC221" i="5"/>
  <c r="PG221" i="5"/>
  <c r="OV221" i="5"/>
  <c r="OZ221" i="5"/>
  <c r="PD221" i="5"/>
  <c r="PH221" i="5"/>
  <c r="OT221" i="5"/>
  <c r="PB221" i="5"/>
  <c r="OW221" i="5"/>
  <c r="PE221" i="5"/>
  <c r="OX221" i="5"/>
  <c r="PF221" i="5"/>
  <c r="PA221" i="5"/>
  <c r="OT220" i="5"/>
  <c r="OX220" i="5"/>
  <c r="PB220" i="5"/>
  <c r="PF220" i="5"/>
  <c r="OU220" i="5"/>
  <c r="OY220" i="5"/>
  <c r="PC220" i="5"/>
  <c r="PG220" i="5"/>
  <c r="PA220" i="5"/>
  <c r="OV220" i="5"/>
  <c r="PD220" i="5"/>
  <c r="OW220" i="5"/>
  <c r="PE220" i="5"/>
  <c r="OZ220" i="5"/>
  <c r="PH220" i="5"/>
  <c r="OW219" i="5"/>
  <c r="PA219" i="5"/>
  <c r="PE219" i="5"/>
  <c r="OT219" i="5"/>
  <c r="OX219" i="5"/>
  <c r="PB219" i="5"/>
  <c r="PF219" i="5"/>
  <c r="OU219" i="5"/>
  <c r="OY219" i="5"/>
  <c r="OZ219" i="5"/>
  <c r="PH219" i="5"/>
  <c r="PC219" i="5"/>
  <c r="PD219" i="5"/>
  <c r="OV219" i="5"/>
  <c r="PG219" i="5"/>
  <c r="OV218" i="5"/>
  <c r="OZ218" i="5"/>
  <c r="PD218" i="5"/>
  <c r="PH218" i="5"/>
  <c r="OW218" i="5"/>
  <c r="PA218" i="5"/>
  <c r="PE218" i="5"/>
  <c r="OT218" i="5"/>
  <c r="OX218" i="5"/>
  <c r="PB218" i="5"/>
  <c r="PF218" i="5"/>
  <c r="OU218" i="5"/>
  <c r="OY218" i="5"/>
  <c r="PC218" i="5"/>
  <c r="PG218" i="5"/>
  <c r="OU217" i="5"/>
  <c r="OY217" i="5"/>
  <c r="PC217" i="5"/>
  <c r="PG217" i="5"/>
  <c r="OV217" i="5"/>
  <c r="OZ217" i="5"/>
  <c r="PD217" i="5"/>
  <c r="PH217" i="5"/>
  <c r="OW217" i="5"/>
  <c r="PA217" i="5"/>
  <c r="PE217" i="5"/>
  <c r="OT217" i="5"/>
  <c r="OX217" i="5"/>
  <c r="PB217" i="5"/>
  <c r="PF217" i="5"/>
  <c r="OT216" i="5"/>
  <c r="OX216" i="5"/>
  <c r="PB216" i="5"/>
  <c r="PF216" i="5"/>
  <c r="OU216" i="5"/>
  <c r="OY216" i="5"/>
  <c r="PC216" i="5"/>
  <c r="PG216" i="5"/>
  <c r="OV216" i="5"/>
  <c r="OZ216" i="5"/>
  <c r="PD216" i="5"/>
  <c r="PH216" i="5"/>
  <c r="OW216" i="5"/>
  <c r="PA216" i="5"/>
  <c r="PE216" i="5"/>
  <c r="OV215" i="5"/>
  <c r="OZ215" i="5"/>
  <c r="PD215" i="5"/>
  <c r="PH215" i="5"/>
  <c r="OW215" i="5"/>
  <c r="PA215" i="5"/>
  <c r="PE215" i="5"/>
  <c r="CJ215" i="5" s="1"/>
  <c r="OT215" i="5"/>
  <c r="OX215" i="5"/>
  <c r="PB215" i="5"/>
  <c r="PF215" i="5"/>
  <c r="PG215" i="5"/>
  <c r="OU215" i="5"/>
  <c r="OY215" i="5"/>
  <c r="PC215" i="5"/>
  <c r="OT214" i="5"/>
  <c r="OX214" i="5"/>
  <c r="PB214" i="5"/>
  <c r="PF214" i="5"/>
  <c r="OU214" i="5"/>
  <c r="OY214" i="5"/>
  <c r="PC214" i="5"/>
  <c r="PG214" i="5"/>
  <c r="OV214" i="5"/>
  <c r="OZ214" i="5"/>
  <c r="CJ214" i="5" s="1"/>
  <c r="PD214" i="5"/>
  <c r="PH214" i="5"/>
  <c r="PE214" i="5"/>
  <c r="OW214" i="5"/>
  <c r="PA214" i="5"/>
  <c r="OV212" i="5"/>
  <c r="OZ212" i="5"/>
  <c r="PD212" i="5"/>
  <c r="PH212" i="5"/>
  <c r="OW212" i="5"/>
  <c r="PA212" i="5"/>
  <c r="PE212" i="5"/>
  <c r="OT212" i="5"/>
  <c r="OX212" i="5"/>
  <c r="PB212" i="5"/>
  <c r="PF212" i="5"/>
  <c r="PC212" i="5"/>
  <c r="PG212" i="5"/>
  <c r="OU212" i="5"/>
  <c r="OY212" i="5"/>
  <c r="OU208" i="5"/>
  <c r="OY208" i="5"/>
  <c r="PC208" i="5"/>
  <c r="PG208" i="5"/>
  <c r="OV208" i="5"/>
  <c r="OZ208" i="5"/>
  <c r="PD208" i="5"/>
  <c r="PH208" i="5"/>
  <c r="OW208" i="5"/>
  <c r="PA208" i="5"/>
  <c r="PE208" i="5"/>
  <c r="OX208" i="5"/>
  <c r="PB208" i="5"/>
  <c r="PF208" i="5"/>
  <c r="OT208" i="5"/>
  <c r="OV206" i="5"/>
  <c r="OZ206" i="5"/>
  <c r="PD206" i="5"/>
  <c r="PH206" i="5"/>
  <c r="OW206" i="5"/>
  <c r="PA206" i="5"/>
  <c r="PE206" i="5"/>
  <c r="OT206" i="5"/>
  <c r="OX206" i="5"/>
  <c r="PB206" i="5"/>
  <c r="PF206" i="5"/>
  <c r="OU206" i="5"/>
  <c r="OY206" i="5"/>
  <c r="PC206" i="5"/>
  <c r="PG206" i="5"/>
  <c r="OT204" i="5"/>
  <c r="OX204" i="5"/>
  <c r="PB204" i="5"/>
  <c r="PF204" i="5"/>
  <c r="OU204" i="5"/>
  <c r="OY204" i="5"/>
  <c r="PC204" i="5"/>
  <c r="PG204" i="5"/>
  <c r="OV204" i="5"/>
  <c r="OZ204" i="5"/>
  <c r="PD204" i="5"/>
  <c r="PH204" i="5"/>
  <c r="OW204" i="5"/>
  <c r="PA204" i="5"/>
  <c r="PE204" i="5"/>
  <c r="OV202" i="5"/>
  <c r="OZ202" i="5"/>
  <c r="PD202" i="5"/>
  <c r="PH202" i="5"/>
  <c r="OW202" i="5"/>
  <c r="PA202" i="5"/>
  <c r="PE202" i="5"/>
  <c r="OT202" i="5"/>
  <c r="OX202" i="5"/>
  <c r="PB202" i="5"/>
  <c r="PF202" i="5"/>
  <c r="PG202" i="5"/>
  <c r="OU202" i="5"/>
  <c r="OY202" i="5"/>
  <c r="PC202" i="5"/>
  <c r="OT201" i="5"/>
  <c r="OX201" i="5"/>
  <c r="PB201" i="5"/>
  <c r="PF201" i="5"/>
  <c r="OU201" i="5"/>
  <c r="OY201" i="5"/>
  <c r="PC201" i="5"/>
  <c r="PG201" i="5"/>
  <c r="OV201" i="5"/>
  <c r="OZ201" i="5"/>
  <c r="PD201" i="5"/>
  <c r="PH201" i="5"/>
  <c r="PE201" i="5"/>
  <c r="OW201" i="5"/>
  <c r="PA201" i="5"/>
  <c r="OW200" i="5"/>
  <c r="PA200" i="5"/>
  <c r="PE200" i="5"/>
  <c r="OT200" i="5"/>
  <c r="OX200" i="5"/>
  <c r="PB200" i="5"/>
  <c r="PF200" i="5"/>
  <c r="OU200" i="5"/>
  <c r="OY200" i="5"/>
  <c r="PC200" i="5"/>
  <c r="PG200" i="5"/>
  <c r="PD200" i="5"/>
  <c r="PH200" i="5"/>
  <c r="OV200" i="5"/>
  <c r="OZ200" i="5"/>
  <c r="OU199" i="5"/>
  <c r="OY199" i="5"/>
  <c r="PC199" i="5"/>
  <c r="PG199" i="5"/>
  <c r="OV199" i="5"/>
  <c r="OZ199" i="5"/>
  <c r="PD199" i="5"/>
  <c r="PH199" i="5"/>
  <c r="OW199" i="5"/>
  <c r="PA199" i="5"/>
  <c r="PE199" i="5"/>
  <c r="PB199" i="5"/>
  <c r="PF199" i="5"/>
  <c r="OT199" i="5"/>
  <c r="OX199" i="5"/>
  <c r="OT198" i="5"/>
  <c r="OX198" i="5"/>
  <c r="PB198" i="5"/>
  <c r="PF198" i="5"/>
  <c r="OU198" i="5"/>
  <c r="OY198" i="5"/>
  <c r="PC198" i="5"/>
  <c r="PG198" i="5"/>
  <c r="OV198" i="5"/>
  <c r="OZ198" i="5"/>
  <c r="PD198" i="5"/>
  <c r="PH198" i="5"/>
  <c r="PA198" i="5"/>
  <c r="PE198" i="5"/>
  <c r="OW198" i="5"/>
  <c r="OW197" i="5"/>
  <c r="PA197" i="5"/>
  <c r="PE197" i="5"/>
  <c r="OT197" i="5"/>
  <c r="OX197" i="5"/>
  <c r="PB197" i="5"/>
  <c r="PF197" i="5"/>
  <c r="OU197" i="5"/>
  <c r="OY197" i="5"/>
  <c r="PC197" i="5"/>
  <c r="PG197" i="5"/>
  <c r="OZ197" i="5"/>
  <c r="PD197" i="5"/>
  <c r="PH197" i="5"/>
  <c r="OV197" i="5"/>
  <c r="OV196" i="5"/>
  <c r="OZ196" i="5"/>
  <c r="PD196" i="5"/>
  <c r="PH196" i="5"/>
  <c r="OW196" i="5"/>
  <c r="PA196" i="5"/>
  <c r="PE196" i="5"/>
  <c r="OT196" i="5"/>
  <c r="OX196" i="5"/>
  <c r="PB196" i="5"/>
  <c r="PF196" i="5"/>
  <c r="OY196" i="5"/>
  <c r="PC196" i="5"/>
  <c r="PG196" i="5"/>
  <c r="OU196" i="5"/>
  <c r="OU195" i="5"/>
  <c r="OY195" i="5"/>
  <c r="PC195" i="5"/>
  <c r="PG195" i="5"/>
  <c r="OV195" i="5"/>
  <c r="OZ195" i="5"/>
  <c r="PD195" i="5"/>
  <c r="PH195" i="5"/>
  <c r="OW195" i="5"/>
  <c r="PA195" i="5"/>
  <c r="PE195" i="5"/>
  <c r="OX195" i="5"/>
  <c r="PB195" i="5"/>
  <c r="PF195" i="5"/>
  <c r="OT195" i="5"/>
  <c r="OT194" i="5"/>
  <c r="OX194" i="5"/>
  <c r="PB194" i="5"/>
  <c r="PF194" i="5"/>
  <c r="OU194" i="5"/>
  <c r="OY194" i="5"/>
  <c r="PC194" i="5"/>
  <c r="PG194" i="5"/>
  <c r="OV194" i="5"/>
  <c r="OZ194" i="5"/>
  <c r="PD194" i="5"/>
  <c r="PH194" i="5"/>
  <c r="OW194" i="5"/>
  <c r="PA194" i="5"/>
  <c r="PE194" i="5"/>
  <c r="OV192" i="5"/>
  <c r="OZ192" i="5"/>
  <c r="PD192" i="5"/>
  <c r="PH192" i="5"/>
  <c r="OW192" i="5"/>
  <c r="PA192" i="5"/>
  <c r="PE192" i="5"/>
  <c r="OT192" i="5"/>
  <c r="OX192" i="5"/>
  <c r="PB192" i="5"/>
  <c r="PF192" i="5"/>
  <c r="OU192" i="5"/>
  <c r="OY192" i="5"/>
  <c r="PC192" i="5"/>
  <c r="PG192" i="5"/>
  <c r="OT191" i="5"/>
  <c r="OX191" i="5"/>
  <c r="PB191" i="5"/>
  <c r="PF191" i="5"/>
  <c r="OU191" i="5"/>
  <c r="OY191" i="5"/>
  <c r="PC191" i="5"/>
  <c r="PG191" i="5"/>
  <c r="OV191" i="5"/>
  <c r="OZ191" i="5"/>
  <c r="PD191" i="5"/>
  <c r="PH191" i="5"/>
  <c r="OW191" i="5"/>
  <c r="PA191" i="5"/>
  <c r="PE191" i="5"/>
  <c r="OW190" i="5"/>
  <c r="PA190" i="5"/>
  <c r="PE190" i="5"/>
  <c r="OT190" i="5"/>
  <c r="OX190" i="5"/>
  <c r="PB190" i="5"/>
  <c r="PF190" i="5"/>
  <c r="OU190" i="5"/>
  <c r="OY190" i="5"/>
  <c r="PC190" i="5"/>
  <c r="PG190" i="5"/>
  <c r="PH190" i="5"/>
  <c r="OV190" i="5"/>
  <c r="OZ190" i="5"/>
  <c r="PD190" i="5"/>
  <c r="OV189" i="5"/>
  <c r="OZ189" i="5"/>
  <c r="PD189" i="5"/>
  <c r="PH189" i="5"/>
  <c r="OW189" i="5"/>
  <c r="PA189" i="5"/>
  <c r="PE189" i="5"/>
  <c r="OT189" i="5"/>
  <c r="OX189" i="5"/>
  <c r="PB189" i="5"/>
  <c r="PF189" i="5"/>
  <c r="PG189" i="5"/>
  <c r="OU189" i="5"/>
  <c r="OY189" i="5"/>
  <c r="PC189" i="5"/>
  <c r="OU188" i="5"/>
  <c r="OY188" i="5"/>
  <c r="PC188" i="5"/>
  <c r="PG188" i="5"/>
  <c r="OV188" i="5"/>
  <c r="OZ188" i="5"/>
  <c r="PD188" i="5"/>
  <c r="PH188" i="5"/>
  <c r="OW188" i="5"/>
  <c r="PA188" i="5"/>
  <c r="PE188" i="5"/>
  <c r="PF188" i="5"/>
  <c r="OT188" i="5"/>
  <c r="OX188" i="5"/>
  <c r="PB188" i="5"/>
  <c r="OT187" i="5"/>
  <c r="OX187" i="5"/>
  <c r="PB187" i="5"/>
  <c r="PF187" i="5"/>
  <c r="OU187" i="5"/>
  <c r="OY187" i="5"/>
  <c r="PC187" i="5"/>
  <c r="PG187" i="5"/>
  <c r="OV187" i="5"/>
  <c r="OZ187" i="5"/>
  <c r="PD187" i="5"/>
  <c r="PH187" i="5"/>
  <c r="PE187" i="5"/>
  <c r="OW187" i="5"/>
  <c r="PA187" i="5"/>
  <c r="OW186" i="5"/>
  <c r="PA186" i="5"/>
  <c r="PE186" i="5"/>
  <c r="OT186" i="5"/>
  <c r="OX186" i="5"/>
  <c r="PB186" i="5"/>
  <c r="PF186" i="5"/>
  <c r="OU186" i="5"/>
  <c r="OY186" i="5"/>
  <c r="PC186" i="5"/>
  <c r="PG186" i="5"/>
  <c r="PD186" i="5"/>
  <c r="PH186" i="5"/>
  <c r="OV186" i="5"/>
  <c r="OZ186" i="5"/>
  <c r="OU184" i="5"/>
  <c r="OY184" i="5"/>
  <c r="PC184" i="5"/>
  <c r="PG184" i="5"/>
  <c r="OV184" i="5"/>
  <c r="OZ184" i="5"/>
  <c r="PD184" i="5"/>
  <c r="PH184" i="5"/>
  <c r="OW184" i="5"/>
  <c r="PA184" i="5"/>
  <c r="PE184" i="5"/>
  <c r="PB184" i="5"/>
  <c r="PF184" i="5"/>
  <c r="OT184" i="5"/>
  <c r="OX184" i="5"/>
  <c r="OT183" i="5"/>
  <c r="OX183" i="5"/>
  <c r="PB183" i="5"/>
  <c r="PF183" i="5"/>
  <c r="OU183" i="5"/>
  <c r="OY183" i="5"/>
  <c r="PC183" i="5"/>
  <c r="PG183" i="5"/>
  <c r="OV183" i="5"/>
  <c r="OZ183" i="5"/>
  <c r="PD183" i="5"/>
  <c r="PH183" i="5"/>
  <c r="PA183" i="5"/>
  <c r="PE183" i="5"/>
  <c r="OW183" i="5"/>
  <c r="OW182" i="5"/>
  <c r="PA182" i="5"/>
  <c r="PE182" i="5"/>
  <c r="OT182" i="5"/>
  <c r="OX182" i="5"/>
  <c r="PB182" i="5"/>
  <c r="PF182" i="5"/>
  <c r="OU182" i="5"/>
  <c r="OY182" i="5"/>
  <c r="PC182" i="5"/>
  <c r="PG182" i="5"/>
  <c r="OZ182" i="5"/>
  <c r="PD182" i="5"/>
  <c r="PH182" i="5"/>
  <c r="OV182" i="5"/>
  <c r="OV181" i="5"/>
  <c r="OZ181" i="5"/>
  <c r="PD181" i="5"/>
  <c r="PH181" i="5"/>
  <c r="OW181" i="5"/>
  <c r="PA181" i="5"/>
  <c r="PE181" i="5"/>
  <c r="OT181" i="5"/>
  <c r="OX181" i="5"/>
  <c r="PB181" i="5"/>
  <c r="PF181" i="5"/>
  <c r="OY181" i="5"/>
  <c r="PC181" i="5"/>
  <c r="PG181" i="5"/>
  <c r="OU181" i="5"/>
  <c r="OU180" i="5"/>
  <c r="OY180" i="5"/>
  <c r="PC180" i="5"/>
  <c r="PG180" i="5"/>
  <c r="OV180" i="5"/>
  <c r="OZ180" i="5"/>
  <c r="PD180" i="5"/>
  <c r="PH180" i="5"/>
  <c r="OW180" i="5"/>
  <c r="PA180" i="5"/>
  <c r="PE180" i="5"/>
  <c r="OX180" i="5"/>
  <c r="PB180" i="5"/>
  <c r="PF180" i="5"/>
  <c r="OT180" i="5"/>
  <c r="OT179" i="5"/>
  <c r="OX179" i="5"/>
  <c r="PB179" i="5"/>
  <c r="PF179" i="5"/>
  <c r="OU179" i="5"/>
  <c r="OY179" i="5"/>
  <c r="PC179" i="5"/>
  <c r="PG179" i="5"/>
  <c r="OV179" i="5"/>
  <c r="OZ179" i="5"/>
  <c r="PD179" i="5"/>
  <c r="PH179" i="5"/>
  <c r="OW179" i="5"/>
  <c r="PA179" i="5"/>
  <c r="PE179" i="5"/>
  <c r="OW178" i="5"/>
  <c r="PA178" i="5"/>
  <c r="PE178" i="5"/>
  <c r="OT178" i="5"/>
  <c r="OX178" i="5"/>
  <c r="PB178" i="5"/>
  <c r="PF178" i="5"/>
  <c r="OU178" i="5"/>
  <c r="OY178" i="5"/>
  <c r="PC178" i="5"/>
  <c r="PG178" i="5"/>
  <c r="OV178" i="5"/>
  <c r="OZ178" i="5"/>
  <c r="PD178" i="5"/>
  <c r="PH178" i="5"/>
  <c r="OU176" i="5"/>
  <c r="OY176" i="5"/>
  <c r="PC176" i="5"/>
  <c r="PG176" i="5"/>
  <c r="OV176" i="5"/>
  <c r="OZ176" i="5"/>
  <c r="PD176" i="5"/>
  <c r="PH176" i="5"/>
  <c r="OW176" i="5"/>
  <c r="PA176" i="5"/>
  <c r="PE176" i="5"/>
  <c r="OT176" i="5"/>
  <c r="OX176" i="5"/>
  <c r="PB176" i="5"/>
  <c r="PF176" i="5"/>
  <c r="OT175" i="5"/>
  <c r="OX175" i="5"/>
  <c r="PB175" i="5"/>
  <c r="PF175" i="5"/>
  <c r="OU175" i="5"/>
  <c r="OY175" i="5"/>
  <c r="PC175" i="5"/>
  <c r="PG175" i="5"/>
  <c r="OV175" i="5"/>
  <c r="OZ175" i="5"/>
  <c r="PD175" i="5"/>
  <c r="PH175" i="5"/>
  <c r="OW175" i="5"/>
  <c r="PA175" i="5"/>
  <c r="PE175" i="5"/>
  <c r="OW174" i="5"/>
  <c r="PA174" i="5"/>
  <c r="PE174" i="5"/>
  <c r="OT174" i="5"/>
  <c r="OX174" i="5"/>
  <c r="PB174" i="5"/>
  <c r="PF174" i="5"/>
  <c r="OU174" i="5"/>
  <c r="OY174" i="5"/>
  <c r="PC174" i="5"/>
  <c r="PG174" i="5"/>
  <c r="PH174" i="5"/>
  <c r="OV174" i="5"/>
  <c r="OZ174" i="5"/>
  <c r="PD174" i="5"/>
  <c r="OT171" i="5"/>
  <c r="OX171" i="5"/>
  <c r="PB171" i="5"/>
  <c r="PF171" i="5"/>
  <c r="OU171" i="5"/>
  <c r="OY171" i="5"/>
  <c r="PC171" i="5"/>
  <c r="PG171" i="5"/>
  <c r="OV171" i="5"/>
  <c r="OZ171" i="5"/>
  <c r="PD171" i="5"/>
  <c r="PH171" i="5"/>
  <c r="PE171" i="5"/>
  <c r="OW171" i="5"/>
  <c r="PA171" i="5"/>
  <c r="OW167" i="5"/>
  <c r="PA167" i="5"/>
  <c r="PE167" i="5"/>
  <c r="OT167" i="5"/>
  <c r="OX167" i="5"/>
  <c r="PB167" i="5"/>
  <c r="PF167" i="5"/>
  <c r="OU167" i="5"/>
  <c r="OY167" i="5"/>
  <c r="PC167" i="5"/>
  <c r="PG167" i="5"/>
  <c r="OZ167" i="5"/>
  <c r="PD167" i="5"/>
  <c r="PH167" i="5"/>
  <c r="OV167" i="5"/>
  <c r="OV166" i="5"/>
  <c r="OZ166" i="5"/>
  <c r="PD166" i="5"/>
  <c r="PH166" i="5"/>
  <c r="OW166" i="5"/>
  <c r="PA166" i="5"/>
  <c r="PE166" i="5"/>
  <c r="OT166" i="5"/>
  <c r="OX166" i="5"/>
  <c r="PB166" i="5"/>
  <c r="PF166" i="5"/>
  <c r="OY166" i="5"/>
  <c r="PC166" i="5"/>
  <c r="PG166" i="5"/>
  <c r="OU166" i="5"/>
  <c r="OW163" i="5"/>
  <c r="PA163" i="5"/>
  <c r="PE163" i="5"/>
  <c r="OT163" i="5"/>
  <c r="OX163" i="5"/>
  <c r="PB163" i="5"/>
  <c r="PF163" i="5"/>
  <c r="OU163" i="5"/>
  <c r="OY163" i="5"/>
  <c r="PC163" i="5"/>
  <c r="PG163" i="5"/>
  <c r="OV163" i="5"/>
  <c r="OZ163" i="5"/>
  <c r="PD163" i="5"/>
  <c r="PH163" i="5"/>
  <c r="OV162" i="5"/>
  <c r="OZ162" i="5"/>
  <c r="PD162" i="5"/>
  <c r="PH162" i="5"/>
  <c r="OW162" i="5"/>
  <c r="PA162" i="5"/>
  <c r="PE162" i="5"/>
  <c r="OT162" i="5"/>
  <c r="OX162" i="5"/>
  <c r="PB162" i="5"/>
  <c r="PF162" i="5"/>
  <c r="OU162" i="5"/>
  <c r="OY162" i="5"/>
  <c r="PC162" i="5"/>
  <c r="PG162" i="5"/>
  <c r="OU161" i="5"/>
  <c r="OY161" i="5"/>
  <c r="PC161" i="5"/>
  <c r="PG161" i="5"/>
  <c r="OV161" i="5"/>
  <c r="OZ161" i="5"/>
  <c r="PD161" i="5"/>
  <c r="PH161" i="5"/>
  <c r="OW161" i="5"/>
  <c r="PA161" i="5"/>
  <c r="PE161" i="5"/>
  <c r="OT161" i="5"/>
  <c r="OX161" i="5"/>
  <c r="PB161" i="5"/>
  <c r="PF161" i="5"/>
  <c r="OT160" i="5"/>
  <c r="OX160" i="5"/>
  <c r="PB160" i="5"/>
  <c r="PF160" i="5"/>
  <c r="OU160" i="5"/>
  <c r="OY160" i="5"/>
  <c r="PC160" i="5"/>
  <c r="PG160" i="5"/>
  <c r="OV160" i="5"/>
  <c r="OZ160" i="5"/>
  <c r="PD160" i="5"/>
  <c r="PH160" i="5"/>
  <c r="OW160" i="5"/>
  <c r="PA160" i="5"/>
  <c r="PE160" i="5"/>
  <c r="OW159" i="5"/>
  <c r="PA159" i="5"/>
  <c r="PE159" i="5"/>
  <c r="OT159" i="5"/>
  <c r="OX159" i="5"/>
  <c r="PB159" i="5"/>
  <c r="PF159" i="5"/>
  <c r="OU159" i="5"/>
  <c r="OY159" i="5"/>
  <c r="PC159" i="5"/>
  <c r="PG159" i="5"/>
  <c r="PH159" i="5"/>
  <c r="OV159" i="5"/>
  <c r="OZ159" i="5"/>
  <c r="PD159" i="5"/>
  <c r="OV158" i="5"/>
  <c r="OZ158" i="5"/>
  <c r="PD158" i="5"/>
  <c r="PH158" i="5"/>
  <c r="OW158" i="5"/>
  <c r="PA158" i="5"/>
  <c r="PE158" i="5"/>
  <c r="OT158" i="5"/>
  <c r="OX158" i="5"/>
  <c r="PB158" i="5"/>
  <c r="PF158" i="5"/>
  <c r="PG158" i="5"/>
  <c r="OU158" i="5"/>
  <c r="OY158" i="5"/>
  <c r="PC158" i="5"/>
  <c r="OU157" i="5"/>
  <c r="OY157" i="5"/>
  <c r="PC157" i="5"/>
  <c r="PG157" i="5"/>
  <c r="OV157" i="5"/>
  <c r="OZ157" i="5"/>
  <c r="PD157" i="5"/>
  <c r="PH157" i="5"/>
  <c r="OW157" i="5"/>
  <c r="PA157" i="5"/>
  <c r="PE157" i="5"/>
  <c r="PF157" i="5"/>
  <c r="OT157" i="5"/>
  <c r="OX157" i="5"/>
  <c r="PB157" i="5"/>
  <c r="OV154" i="5"/>
  <c r="OZ154" i="5"/>
  <c r="PD154" i="5"/>
  <c r="PH154" i="5"/>
  <c r="OW154" i="5"/>
  <c r="PA154" i="5"/>
  <c r="PE154" i="5"/>
  <c r="OT154" i="5"/>
  <c r="OX154" i="5"/>
  <c r="PB154" i="5"/>
  <c r="PF154" i="5"/>
  <c r="PC154" i="5"/>
  <c r="PG154" i="5"/>
  <c r="OU154" i="5"/>
  <c r="OY154" i="5"/>
  <c r="OU153" i="5"/>
  <c r="OY153" i="5"/>
  <c r="PC153" i="5"/>
  <c r="PG153" i="5"/>
  <c r="OV153" i="5"/>
  <c r="OZ153" i="5"/>
  <c r="PD153" i="5"/>
  <c r="PH153" i="5"/>
  <c r="OW153" i="5"/>
  <c r="PA153" i="5"/>
  <c r="PE153" i="5"/>
  <c r="PB153" i="5"/>
  <c r="PF153" i="5"/>
  <c r="OT153" i="5"/>
  <c r="OX153" i="5"/>
  <c r="OT152" i="5"/>
  <c r="OX152" i="5"/>
  <c r="PB152" i="5"/>
  <c r="PF152" i="5"/>
  <c r="OU152" i="5"/>
  <c r="OY152" i="5"/>
  <c r="PC152" i="5"/>
  <c r="PG152" i="5"/>
  <c r="OV152" i="5"/>
  <c r="OZ152" i="5"/>
  <c r="PD152" i="5"/>
  <c r="PH152" i="5"/>
  <c r="PA152" i="5"/>
  <c r="PE152" i="5"/>
  <c r="OW152" i="5"/>
  <c r="OW151" i="5"/>
  <c r="PA151" i="5"/>
  <c r="PE151" i="5"/>
  <c r="OT151" i="5"/>
  <c r="OX151" i="5"/>
  <c r="PB151" i="5"/>
  <c r="PF151" i="5"/>
  <c r="OU151" i="5"/>
  <c r="OY151" i="5"/>
  <c r="PC151" i="5"/>
  <c r="PG151" i="5"/>
  <c r="OZ151" i="5"/>
  <c r="PD151" i="5"/>
  <c r="PH151" i="5"/>
  <c r="OV151" i="5"/>
  <c r="OV150" i="5"/>
  <c r="OZ150" i="5"/>
  <c r="PD150" i="5"/>
  <c r="PH150" i="5"/>
  <c r="OW150" i="5"/>
  <c r="PA150" i="5"/>
  <c r="PE150" i="5"/>
  <c r="OT150" i="5"/>
  <c r="OX150" i="5"/>
  <c r="PB150" i="5"/>
  <c r="PF150" i="5"/>
  <c r="OY150" i="5"/>
  <c r="PC150" i="5"/>
  <c r="PG150" i="5"/>
  <c r="OU150" i="5"/>
  <c r="OT148" i="5"/>
  <c r="OX148" i="5"/>
  <c r="PB148" i="5"/>
  <c r="PF148" i="5"/>
  <c r="OU148" i="5"/>
  <c r="OY148" i="5"/>
  <c r="PC148" i="5"/>
  <c r="PG148" i="5"/>
  <c r="OV148" i="5"/>
  <c r="OZ148" i="5"/>
  <c r="PD148" i="5"/>
  <c r="PH148" i="5"/>
  <c r="OW148" i="5"/>
  <c r="PA148" i="5"/>
  <c r="PE148" i="5"/>
  <c r="OW147" i="5"/>
  <c r="PA147" i="5"/>
  <c r="PE147" i="5"/>
  <c r="OT147" i="5"/>
  <c r="OX147" i="5"/>
  <c r="PB147" i="5"/>
  <c r="PF147" i="5"/>
  <c r="OU147" i="5"/>
  <c r="OY147" i="5"/>
  <c r="PC147" i="5"/>
  <c r="PG147" i="5"/>
  <c r="OV147" i="5"/>
  <c r="OZ147" i="5"/>
  <c r="PD147" i="5"/>
  <c r="PH147" i="5"/>
  <c r="OU145" i="5"/>
  <c r="OY145" i="5"/>
  <c r="PC145" i="5"/>
  <c r="PG145" i="5"/>
  <c r="OV145" i="5"/>
  <c r="OZ145" i="5"/>
  <c r="PD145" i="5"/>
  <c r="PH145" i="5"/>
  <c r="OW145" i="5"/>
  <c r="PA145" i="5"/>
  <c r="PE145" i="5"/>
  <c r="OT145" i="5"/>
  <c r="OX145" i="5"/>
  <c r="PB145" i="5"/>
  <c r="PF145" i="5"/>
  <c r="OT142" i="5"/>
  <c r="OX142" i="5"/>
  <c r="PB142" i="5"/>
  <c r="PF142" i="5"/>
  <c r="OU142" i="5"/>
  <c r="OY142" i="5"/>
  <c r="PC142" i="5"/>
  <c r="PG142" i="5"/>
  <c r="OV142" i="5"/>
  <c r="OZ142" i="5"/>
  <c r="PD142" i="5"/>
  <c r="PH142" i="5"/>
  <c r="PE142" i="5"/>
  <c r="OW142" i="5"/>
  <c r="PA142" i="5"/>
  <c r="OW141" i="5"/>
  <c r="PA141" i="5"/>
  <c r="PE141" i="5"/>
  <c r="OT141" i="5"/>
  <c r="OX141" i="5"/>
  <c r="PB141" i="5"/>
  <c r="PF141" i="5"/>
  <c r="OU141" i="5"/>
  <c r="OY141" i="5"/>
  <c r="PC141" i="5"/>
  <c r="PG141" i="5"/>
  <c r="PD141" i="5"/>
  <c r="PH141" i="5"/>
  <c r="OV141" i="5"/>
  <c r="OZ141" i="5"/>
  <c r="OV140" i="5"/>
  <c r="OZ140" i="5"/>
  <c r="PD140" i="5"/>
  <c r="PH140" i="5"/>
  <c r="OW140" i="5"/>
  <c r="PA140" i="5"/>
  <c r="PE140" i="5"/>
  <c r="OT140" i="5"/>
  <c r="OX140" i="5"/>
  <c r="PB140" i="5"/>
  <c r="PF140" i="5"/>
  <c r="PC140" i="5"/>
  <c r="PG140" i="5"/>
  <c r="OU140" i="5"/>
  <c r="OY140" i="5"/>
  <c r="OT138" i="5"/>
  <c r="OX138" i="5"/>
  <c r="PB138" i="5"/>
  <c r="PF138" i="5"/>
  <c r="OU138" i="5"/>
  <c r="OY138" i="5"/>
  <c r="PC138" i="5"/>
  <c r="PG138" i="5"/>
  <c r="OV138" i="5"/>
  <c r="OZ138" i="5"/>
  <c r="PD138" i="5"/>
  <c r="PH138" i="5"/>
  <c r="PA138" i="5"/>
  <c r="PE138" i="5"/>
  <c r="OW138" i="5"/>
  <c r="OW137" i="5"/>
  <c r="PA137" i="5"/>
  <c r="PE137" i="5"/>
  <c r="OT137" i="5"/>
  <c r="OX137" i="5"/>
  <c r="PB137" i="5"/>
  <c r="PF137" i="5"/>
  <c r="OU137" i="5"/>
  <c r="OY137" i="5"/>
  <c r="PC137" i="5"/>
  <c r="PG137" i="5"/>
  <c r="OZ137" i="5"/>
  <c r="PD137" i="5"/>
  <c r="PH137" i="5"/>
  <c r="OV137" i="5"/>
  <c r="OV136" i="5"/>
  <c r="OZ136" i="5"/>
  <c r="PD136" i="5"/>
  <c r="PH136" i="5"/>
  <c r="OW136" i="5"/>
  <c r="PA136" i="5"/>
  <c r="PE136" i="5"/>
  <c r="OT136" i="5"/>
  <c r="OX136" i="5"/>
  <c r="PB136" i="5"/>
  <c r="PF136" i="5"/>
  <c r="OY136" i="5"/>
  <c r="PC136" i="5"/>
  <c r="PG136" i="5"/>
  <c r="OU136" i="5"/>
  <c r="OU135" i="5"/>
  <c r="OY135" i="5"/>
  <c r="PC135" i="5"/>
  <c r="PG135" i="5"/>
  <c r="OV135" i="5"/>
  <c r="OZ135" i="5"/>
  <c r="PD135" i="5"/>
  <c r="PH135" i="5"/>
  <c r="OW135" i="5"/>
  <c r="PA135" i="5"/>
  <c r="PE135" i="5"/>
  <c r="OX135" i="5"/>
  <c r="PB135" i="5"/>
  <c r="PF135" i="5"/>
  <c r="OT135" i="5"/>
  <c r="OT134" i="5"/>
  <c r="OX134" i="5"/>
  <c r="PB134" i="5"/>
  <c r="PF134" i="5"/>
  <c r="OU134" i="5"/>
  <c r="OY134" i="5"/>
  <c r="PC134" i="5"/>
  <c r="PG134" i="5"/>
  <c r="OV134" i="5"/>
  <c r="OZ134" i="5"/>
  <c r="PD134" i="5"/>
  <c r="PH134" i="5"/>
  <c r="OW134" i="5"/>
  <c r="PA134" i="5"/>
  <c r="PE134" i="5"/>
  <c r="OV132" i="5"/>
  <c r="OZ132" i="5"/>
  <c r="PD132" i="5"/>
  <c r="PH132" i="5"/>
  <c r="OW132" i="5"/>
  <c r="PA132" i="5"/>
  <c r="PE132" i="5"/>
  <c r="OT132" i="5"/>
  <c r="OX132" i="5"/>
  <c r="PB132" i="5"/>
  <c r="PF132" i="5"/>
  <c r="OU132" i="5"/>
  <c r="OY132" i="5"/>
  <c r="PC132" i="5"/>
  <c r="PG132" i="5"/>
  <c r="OT128" i="5"/>
  <c r="OX128" i="5"/>
  <c r="PB128" i="5"/>
  <c r="PF128" i="5"/>
  <c r="OU128" i="5"/>
  <c r="OY128" i="5"/>
  <c r="PC128" i="5"/>
  <c r="PG128" i="5"/>
  <c r="OV128" i="5"/>
  <c r="OZ128" i="5"/>
  <c r="PD128" i="5"/>
  <c r="PH128" i="5"/>
  <c r="PE128" i="5"/>
  <c r="OW128" i="5"/>
  <c r="PA128" i="5"/>
  <c r="OW127" i="5"/>
  <c r="PA127" i="5"/>
  <c r="PE127" i="5"/>
  <c r="OT127" i="5"/>
  <c r="OX127" i="5"/>
  <c r="PB127" i="5"/>
  <c r="PF127" i="5"/>
  <c r="OU127" i="5"/>
  <c r="OY127" i="5"/>
  <c r="PC127" i="5"/>
  <c r="PG127" i="5"/>
  <c r="PD127" i="5"/>
  <c r="PH127" i="5"/>
  <c r="OV127" i="5"/>
  <c r="OZ127" i="5"/>
  <c r="OV126" i="5"/>
  <c r="OZ126" i="5"/>
  <c r="PD126" i="5"/>
  <c r="PH126" i="5"/>
  <c r="OW126" i="5"/>
  <c r="PA126" i="5"/>
  <c r="PE126" i="5"/>
  <c r="OT126" i="5"/>
  <c r="OX126" i="5"/>
  <c r="PB126" i="5"/>
  <c r="PF126" i="5"/>
  <c r="PC126" i="5"/>
  <c r="PG126" i="5"/>
  <c r="OU126" i="5"/>
  <c r="OY126" i="5"/>
  <c r="OT125" i="5"/>
  <c r="OX125" i="5"/>
  <c r="PB125" i="5"/>
  <c r="PF125" i="5"/>
  <c r="OU125" i="5"/>
  <c r="OY125" i="5"/>
  <c r="PC125" i="5"/>
  <c r="PG125" i="5"/>
  <c r="OV125" i="5"/>
  <c r="OZ125" i="5"/>
  <c r="PD125" i="5"/>
  <c r="PH125" i="5"/>
  <c r="PA125" i="5"/>
  <c r="PE125" i="5"/>
  <c r="OW125" i="5"/>
  <c r="OV123" i="5"/>
  <c r="OZ123" i="5"/>
  <c r="PD123" i="5"/>
  <c r="PH123" i="5"/>
  <c r="OW123" i="5"/>
  <c r="PA123" i="5"/>
  <c r="PE123" i="5"/>
  <c r="OT123" i="5"/>
  <c r="OX123" i="5"/>
  <c r="PB123" i="5"/>
  <c r="PF123" i="5"/>
  <c r="OY123" i="5"/>
  <c r="PC123" i="5"/>
  <c r="PG123" i="5"/>
  <c r="OU123" i="5"/>
  <c r="PF122" i="5"/>
  <c r="OV119" i="5"/>
  <c r="OZ119" i="5"/>
  <c r="PD119" i="5"/>
  <c r="PH119" i="5"/>
  <c r="OW119" i="5"/>
  <c r="PA119" i="5"/>
  <c r="PE119" i="5"/>
  <c r="OT119" i="5"/>
  <c r="OX119" i="5"/>
  <c r="PB119" i="5"/>
  <c r="PF119" i="5"/>
  <c r="OU119" i="5"/>
  <c r="OY119" i="5"/>
  <c r="PC119" i="5"/>
  <c r="PG119" i="5"/>
  <c r="PH118" i="5"/>
  <c r="OW117" i="5"/>
  <c r="OU116" i="5"/>
  <c r="OY115" i="5"/>
  <c r="OZ106" i="5"/>
  <c r="PF85" i="5"/>
  <c r="OU85" i="5"/>
  <c r="PH85" i="5"/>
  <c r="OW85" i="5"/>
  <c r="OZ82" i="5"/>
  <c r="OT79" i="5"/>
  <c r="OU70" i="5"/>
  <c r="OW70" i="5"/>
  <c r="OX69" i="5"/>
  <c r="OZ69" i="5"/>
  <c r="OV59" i="5"/>
  <c r="OZ59" i="5"/>
  <c r="PD59" i="5"/>
  <c r="PH59" i="5"/>
  <c r="OW59" i="5"/>
  <c r="PA59" i="5"/>
  <c r="PE59" i="5"/>
  <c r="OT59" i="5"/>
  <c r="OX59" i="5"/>
  <c r="PB59" i="5"/>
  <c r="PF59" i="5"/>
  <c r="OY59" i="5"/>
  <c r="PC59" i="5"/>
  <c r="PG59" i="5"/>
  <c r="OU59" i="5"/>
  <c r="PG58" i="5"/>
  <c r="OX58" i="5"/>
  <c r="PD55" i="5"/>
  <c r="PF55" i="5"/>
  <c r="OX36" i="5"/>
  <c r="PG36" i="5"/>
  <c r="PA36" i="5"/>
  <c r="PG102" i="5"/>
  <c r="PG98" i="5"/>
  <c r="PA98" i="5"/>
  <c r="PH83" i="5"/>
  <c r="PG83" i="5"/>
  <c r="OX72" i="5"/>
  <c r="OZ72" i="5"/>
  <c r="OV63" i="5"/>
  <c r="OZ63" i="5"/>
  <c r="OX63" i="5"/>
  <c r="PB63" i="5"/>
  <c r="OT56" i="5"/>
  <c r="PF56" i="5"/>
  <c r="OV56" i="5"/>
  <c r="PH56" i="5"/>
  <c r="OV43" i="5"/>
  <c r="OZ43" i="5"/>
  <c r="PD43" i="5"/>
  <c r="PH43" i="5"/>
  <c r="OW43" i="5"/>
  <c r="PA43" i="5"/>
  <c r="PE43" i="5"/>
  <c r="OT43" i="5"/>
  <c r="OX43" i="5"/>
  <c r="PB43" i="5"/>
  <c r="PF43" i="5"/>
  <c r="OY43" i="5"/>
  <c r="PC43" i="5"/>
  <c r="PG43" i="5"/>
  <c r="OU43" i="5"/>
  <c r="OV38" i="5"/>
  <c r="OZ38" i="5"/>
  <c r="PD38" i="5"/>
  <c r="PH38" i="5"/>
  <c r="OW38" i="5"/>
  <c r="PA38" i="5"/>
  <c r="PE38" i="5"/>
  <c r="OT38" i="5"/>
  <c r="OX38" i="5"/>
  <c r="PB38" i="5"/>
  <c r="PF38" i="5"/>
  <c r="OU38" i="5"/>
  <c r="OY38" i="5"/>
  <c r="PC38" i="5"/>
  <c r="PG38" i="5"/>
  <c r="PH37" i="5"/>
  <c r="PD33" i="5"/>
  <c r="PF33" i="5"/>
  <c r="OZ10" i="5"/>
  <c r="OW10" i="5"/>
  <c r="PB10" i="5"/>
  <c r="OY10" i="5"/>
  <c r="OW76" i="5"/>
  <c r="PA76" i="5"/>
  <c r="PE76" i="5"/>
  <c r="OT76" i="5"/>
  <c r="OX76" i="5"/>
  <c r="PB76" i="5"/>
  <c r="PF76" i="5"/>
  <c r="OU76" i="5"/>
  <c r="OY76" i="5"/>
  <c r="PC76" i="5"/>
  <c r="PG76" i="5"/>
  <c r="OZ76" i="5"/>
  <c r="PD76" i="5"/>
  <c r="PH76" i="5"/>
  <c r="OV76" i="5"/>
  <c r="PE73" i="5"/>
  <c r="OY66" i="5"/>
  <c r="OT65" i="5"/>
  <c r="OX65" i="5"/>
  <c r="PB65" i="5"/>
  <c r="PF65" i="5"/>
  <c r="OU65" i="5"/>
  <c r="OY65" i="5"/>
  <c r="PC65" i="5"/>
  <c r="PG65" i="5"/>
  <c r="OV65" i="5"/>
  <c r="OZ65" i="5"/>
  <c r="PD65" i="5"/>
  <c r="PH65" i="5"/>
  <c r="PE65" i="5"/>
  <c r="OW65" i="5"/>
  <c r="PA65" i="5"/>
  <c r="OW64" i="5"/>
  <c r="PA64" i="5"/>
  <c r="PE64" i="5"/>
  <c r="OT64" i="5"/>
  <c r="OX64" i="5"/>
  <c r="PB64" i="5"/>
  <c r="PF64" i="5"/>
  <c r="OU64" i="5"/>
  <c r="OY64" i="5"/>
  <c r="PC64" i="5"/>
  <c r="PG64" i="5"/>
  <c r="PD64" i="5"/>
  <c r="PH64" i="5"/>
  <c r="OV64" i="5"/>
  <c r="OZ64" i="5"/>
  <c r="PB53" i="5"/>
  <c r="PD53" i="5"/>
  <c r="OV47" i="5"/>
  <c r="OZ47" i="5"/>
  <c r="PD47" i="5"/>
  <c r="PH47" i="5"/>
  <c r="OW47" i="5"/>
  <c r="PA47" i="5"/>
  <c r="PE47" i="5"/>
  <c r="OT47" i="5"/>
  <c r="OX47" i="5"/>
  <c r="PB47" i="5"/>
  <c r="PF47" i="5"/>
  <c r="PC47" i="5"/>
  <c r="PG47" i="5"/>
  <c r="OU47" i="5"/>
  <c r="OY47" i="5"/>
  <c r="OV26" i="5"/>
  <c r="OZ26" i="5"/>
  <c r="PD26" i="5"/>
  <c r="PH26" i="5"/>
  <c r="OW26" i="5"/>
  <c r="PA26" i="5"/>
  <c r="PE26" i="5"/>
  <c r="OT26" i="5"/>
  <c r="OX26" i="5"/>
  <c r="PB26" i="5"/>
  <c r="PF26" i="5"/>
  <c r="OU26" i="5"/>
  <c r="OY26" i="5"/>
  <c r="PC26" i="5"/>
  <c r="PG26" i="5"/>
  <c r="OX21" i="5"/>
  <c r="PG13" i="5"/>
  <c r="PA13" i="5"/>
  <c r="OT113" i="5"/>
  <c r="PC113" i="5"/>
  <c r="PE113" i="5"/>
  <c r="OW112" i="5"/>
  <c r="PA112" i="5"/>
  <c r="PE112" i="5"/>
  <c r="OT112" i="5"/>
  <c r="OX112" i="5"/>
  <c r="PB112" i="5"/>
  <c r="PF112" i="5"/>
  <c r="OU112" i="5"/>
  <c r="OY112" i="5"/>
  <c r="PC112" i="5"/>
  <c r="PG112" i="5"/>
  <c r="PD112" i="5"/>
  <c r="PH112" i="5"/>
  <c r="OV112" i="5"/>
  <c r="OZ112" i="5"/>
  <c r="OY110" i="5"/>
  <c r="PA110" i="5"/>
  <c r="OT109" i="5"/>
  <c r="OX109" i="5"/>
  <c r="PB109" i="5"/>
  <c r="PF109" i="5"/>
  <c r="OU109" i="5"/>
  <c r="OY109" i="5"/>
  <c r="PC109" i="5"/>
  <c r="PG109" i="5"/>
  <c r="OV109" i="5"/>
  <c r="OZ109" i="5"/>
  <c r="PD109" i="5"/>
  <c r="PH109" i="5"/>
  <c r="PA109" i="5"/>
  <c r="PE109" i="5"/>
  <c r="OW109" i="5"/>
  <c r="OW92" i="5"/>
  <c r="PA92" i="5"/>
  <c r="PE92" i="5"/>
  <c r="OT92" i="5"/>
  <c r="OX92" i="5"/>
  <c r="PB92" i="5"/>
  <c r="PF92" i="5"/>
  <c r="OU92" i="5"/>
  <c r="OY92" i="5"/>
  <c r="PC92" i="5"/>
  <c r="PG92" i="5"/>
  <c r="OZ92" i="5"/>
  <c r="PD92" i="5"/>
  <c r="PH92" i="5"/>
  <c r="OV92" i="5"/>
  <c r="PC89" i="5"/>
  <c r="PE89" i="5"/>
  <c r="OT81" i="5"/>
  <c r="OX81" i="5"/>
  <c r="PB81" i="5"/>
  <c r="PF81" i="5"/>
  <c r="OU81" i="5"/>
  <c r="OY81" i="5"/>
  <c r="PC81" i="5"/>
  <c r="PG81" i="5"/>
  <c r="OV81" i="5"/>
  <c r="OZ81" i="5"/>
  <c r="PD81" i="5"/>
  <c r="PH81" i="5"/>
  <c r="PE81" i="5"/>
  <c r="OW81" i="5"/>
  <c r="PA81" i="5"/>
  <c r="OY78" i="5"/>
  <c r="OT77" i="5"/>
  <c r="OY77" i="5"/>
  <c r="OV77" i="5"/>
  <c r="PE77" i="5"/>
  <c r="OW68" i="5"/>
  <c r="PA68" i="5"/>
  <c r="PE68" i="5"/>
  <c r="OT68" i="5"/>
  <c r="OX68" i="5"/>
  <c r="PB68" i="5"/>
  <c r="PF68" i="5"/>
  <c r="OU68" i="5"/>
  <c r="OY68" i="5"/>
  <c r="PC68" i="5"/>
  <c r="PG68" i="5"/>
  <c r="PH68" i="5"/>
  <c r="OV68" i="5"/>
  <c r="OZ68" i="5"/>
  <c r="PD68" i="5"/>
  <c r="OV67" i="5"/>
  <c r="OZ67" i="5"/>
  <c r="PA67" i="5"/>
  <c r="OT67" i="5"/>
  <c r="OX67" i="5"/>
  <c r="PB67" i="5"/>
  <c r="OY67" i="5"/>
  <c r="OZ51" i="5"/>
  <c r="PD51" i="5"/>
  <c r="PB51" i="5"/>
  <c r="PF51" i="5"/>
  <c r="OU50" i="5"/>
  <c r="OW50" i="5"/>
  <c r="OT49" i="5"/>
  <c r="OX49" i="5"/>
  <c r="PB49" i="5"/>
  <c r="PF49" i="5"/>
  <c r="OU49" i="5"/>
  <c r="OY49" i="5"/>
  <c r="PC49" i="5"/>
  <c r="PG49" i="5"/>
  <c r="OV49" i="5"/>
  <c r="OZ49" i="5"/>
  <c r="PD49" i="5"/>
  <c r="PH49" i="5"/>
  <c r="PE49" i="5"/>
  <c r="OW49" i="5"/>
  <c r="PA49" i="5"/>
  <c r="OW48" i="5"/>
  <c r="PF48" i="5"/>
  <c r="PH48" i="5"/>
  <c r="OT41" i="5"/>
  <c r="PF41" i="5"/>
  <c r="OV41" i="5"/>
  <c r="PH41" i="5"/>
  <c r="OW35" i="5"/>
  <c r="PA35" i="5"/>
  <c r="PE35" i="5"/>
  <c r="OT35" i="5"/>
  <c r="OX35" i="5"/>
  <c r="PB35" i="5"/>
  <c r="PF35" i="5"/>
  <c r="OU35" i="5"/>
  <c r="OY35" i="5"/>
  <c r="PC35" i="5"/>
  <c r="PG35" i="5"/>
  <c r="OV35" i="5"/>
  <c r="OZ35" i="5"/>
  <c r="PD35" i="5"/>
  <c r="PH35" i="5"/>
  <c r="OX28" i="5"/>
  <c r="PF28" i="5"/>
  <c r="OU28" i="5"/>
  <c r="OY28" i="5"/>
  <c r="OZ28" i="5"/>
  <c r="PH28" i="5"/>
  <c r="OW28" i="5"/>
  <c r="PA28" i="5"/>
  <c r="PB27" i="5"/>
  <c r="PF27" i="5"/>
  <c r="PD27" i="5"/>
  <c r="PH27" i="5"/>
  <c r="PC24" i="5"/>
  <c r="OW19" i="5"/>
  <c r="PA19" i="5"/>
  <c r="PE19" i="5"/>
  <c r="OT19" i="5"/>
  <c r="OX19" i="5"/>
  <c r="PB19" i="5"/>
  <c r="PF19" i="5"/>
  <c r="OU19" i="5"/>
  <c r="OY19" i="5"/>
  <c r="PC19" i="5"/>
  <c r="PG19" i="5"/>
  <c r="OV19" i="5"/>
  <c r="OZ19" i="5"/>
  <c r="PD19" i="5"/>
  <c r="PH19" i="5"/>
  <c r="OX8" i="5"/>
  <c r="PF7" i="5"/>
  <c r="OJ102" i="5"/>
  <c r="ON102" i="5"/>
  <c r="OL102" i="5"/>
  <c r="OP102" i="5"/>
  <c r="OD102" i="5"/>
  <c r="ON100" i="5"/>
  <c r="OP100" i="5"/>
  <c r="OR98" i="5"/>
  <c r="OL98" i="5"/>
  <c r="OC98" i="5"/>
  <c r="OH83" i="5"/>
  <c r="OI83" i="5"/>
  <c r="ON83" i="5"/>
  <c r="OK83" i="5"/>
  <c r="OC83" i="5"/>
  <c r="OF72" i="5"/>
  <c r="OH72" i="5"/>
  <c r="OC72" i="5"/>
  <c r="OH43" i="5"/>
  <c r="OL43" i="5"/>
  <c r="OP43" i="5"/>
  <c r="OI43" i="5"/>
  <c r="OM43" i="5"/>
  <c r="OQ43" i="5"/>
  <c r="OF43" i="5"/>
  <c r="OJ43" i="5"/>
  <c r="ON43" i="5"/>
  <c r="OR43" i="5"/>
  <c r="OG43" i="5"/>
  <c r="OK43" i="5"/>
  <c r="OO43" i="5"/>
  <c r="OE43" i="5"/>
  <c r="OB43" i="5"/>
  <c r="OC43" i="5"/>
  <c r="OS43" i="5"/>
  <c r="OD43" i="5"/>
  <c r="OF38" i="5"/>
  <c r="OJ38" i="5"/>
  <c r="ON38" i="5"/>
  <c r="OR38" i="5"/>
  <c r="OG38" i="5"/>
  <c r="OK38" i="5"/>
  <c r="OO38" i="5"/>
  <c r="OS38" i="5"/>
  <c r="OH38" i="5"/>
  <c r="OL38" i="5"/>
  <c r="OP38" i="5"/>
  <c r="OM38" i="5"/>
  <c r="OQ38" i="5"/>
  <c r="OE38" i="5"/>
  <c r="OB38" i="5"/>
  <c r="OI38" i="5"/>
  <c r="OC38" i="5"/>
  <c r="OD38" i="5"/>
  <c r="OP33" i="5"/>
  <c r="OS33" i="5"/>
  <c r="OH11" i="5"/>
  <c r="OL11" i="5"/>
  <c r="ON11" i="5"/>
  <c r="OR11" i="5"/>
  <c r="OD11" i="5"/>
  <c r="OS11" i="5"/>
  <c r="OF71" i="5"/>
  <c r="OP63" i="5"/>
  <c r="OI63" i="5"/>
  <c r="OM63" i="5"/>
  <c r="OO63" i="5"/>
  <c r="OS63" i="5"/>
  <c r="OG63" i="5"/>
  <c r="OF56" i="5"/>
  <c r="OJ56" i="5"/>
  <c r="ON56" i="5"/>
  <c r="OR56" i="5"/>
  <c r="OG56" i="5"/>
  <c r="OK56" i="5"/>
  <c r="OO56" i="5"/>
  <c r="OS56" i="5"/>
  <c r="OH56" i="5"/>
  <c r="OL56" i="5"/>
  <c r="OP56" i="5"/>
  <c r="OQ56" i="5"/>
  <c r="OI56" i="5"/>
  <c r="OE56" i="5"/>
  <c r="OB56" i="5"/>
  <c r="OM56" i="5"/>
  <c r="OC56" i="5"/>
  <c r="OD56" i="5"/>
  <c r="OH37" i="5"/>
  <c r="OL37" i="5"/>
  <c r="OP37" i="5"/>
  <c r="OI37" i="5"/>
  <c r="OM37" i="5"/>
  <c r="OQ37" i="5"/>
  <c r="OF37" i="5"/>
  <c r="OJ37" i="5"/>
  <c r="ON37" i="5"/>
  <c r="OR37" i="5"/>
  <c r="OK37" i="5"/>
  <c r="OO37" i="5"/>
  <c r="OS37" i="5"/>
  <c r="OE37" i="5"/>
  <c r="OG37" i="5"/>
  <c r="OB37" i="5"/>
  <c r="OC37" i="5"/>
  <c r="OD37" i="5"/>
  <c r="OF10" i="5"/>
  <c r="OJ10" i="5"/>
  <c r="ON10" i="5"/>
  <c r="OR10" i="5"/>
  <c r="OG10" i="5"/>
  <c r="OK10" i="5"/>
  <c r="OO10" i="5"/>
  <c r="OS10" i="5"/>
  <c r="OH10" i="5"/>
  <c r="OL10" i="5"/>
  <c r="OP10" i="5"/>
  <c r="OI10" i="5"/>
  <c r="OM10" i="5"/>
  <c r="OE10" i="5"/>
  <c r="OB10" i="5"/>
  <c r="OQ10" i="5"/>
  <c r="OC10" i="5"/>
  <c r="OD10" i="5"/>
  <c r="OF76" i="5"/>
  <c r="OJ76" i="5"/>
  <c r="ON76" i="5"/>
  <c r="OR76" i="5"/>
  <c r="OG76" i="5"/>
  <c r="OK76" i="5"/>
  <c r="OO76" i="5"/>
  <c r="OS76" i="5"/>
  <c r="OH76" i="5"/>
  <c r="OL76" i="5"/>
  <c r="OP76" i="5"/>
  <c r="OI76" i="5"/>
  <c r="OM76" i="5"/>
  <c r="OQ76" i="5"/>
  <c r="OE76" i="5"/>
  <c r="OB76" i="5"/>
  <c r="OC76" i="5"/>
  <c r="OD76" i="5"/>
  <c r="OH73" i="5"/>
  <c r="OP73" i="5"/>
  <c r="OI73" i="5"/>
  <c r="OM73" i="5"/>
  <c r="ON73" i="5"/>
  <c r="OS73" i="5"/>
  <c r="OG73" i="5"/>
  <c r="OK73" i="5"/>
  <c r="OC73" i="5"/>
  <c r="OQ66" i="5"/>
  <c r="OH65" i="5"/>
  <c r="OL65" i="5"/>
  <c r="OP65" i="5"/>
  <c r="OI65" i="5"/>
  <c r="OM65" i="5"/>
  <c r="OQ65" i="5"/>
  <c r="OF65" i="5"/>
  <c r="OJ65" i="5"/>
  <c r="ON65" i="5"/>
  <c r="OR65" i="5"/>
  <c r="OS65" i="5"/>
  <c r="OG65" i="5"/>
  <c r="OK65" i="5"/>
  <c r="OE65" i="5"/>
  <c r="OB65" i="5"/>
  <c r="OO65" i="5"/>
  <c r="OC65" i="5"/>
  <c r="OD65" i="5"/>
  <c r="OF64" i="5"/>
  <c r="OJ64" i="5"/>
  <c r="ON64" i="5"/>
  <c r="OR64" i="5"/>
  <c r="OG64" i="5"/>
  <c r="OK64" i="5"/>
  <c r="OO64" i="5"/>
  <c r="OS64" i="5"/>
  <c r="OH64" i="5"/>
  <c r="OL64" i="5"/>
  <c r="OP64" i="5"/>
  <c r="OQ64" i="5"/>
  <c r="OI64" i="5"/>
  <c r="OE64" i="5"/>
  <c r="OM64" i="5"/>
  <c r="OB64" i="5"/>
  <c r="OC64" i="5"/>
  <c r="OD64" i="5"/>
  <c r="OQ53" i="5"/>
  <c r="OE53" i="5"/>
  <c r="OH47" i="5"/>
  <c r="OL47" i="5"/>
  <c r="OP47" i="5"/>
  <c r="OI47" i="5"/>
  <c r="OM47" i="5"/>
  <c r="OQ47" i="5"/>
  <c r="OF47" i="5"/>
  <c r="OJ47" i="5"/>
  <c r="ON47" i="5"/>
  <c r="OR47" i="5"/>
  <c r="OO47" i="5"/>
  <c r="OS47" i="5"/>
  <c r="OG47" i="5"/>
  <c r="OE47" i="5"/>
  <c r="OB47" i="5"/>
  <c r="OK47" i="5"/>
  <c r="OC47" i="5"/>
  <c r="OD47" i="5"/>
  <c r="OF26" i="5"/>
  <c r="OJ26" i="5"/>
  <c r="ON26" i="5"/>
  <c r="OR26" i="5"/>
  <c r="OG26" i="5"/>
  <c r="OK26" i="5"/>
  <c r="OO26" i="5"/>
  <c r="OS26" i="5"/>
  <c r="OH26" i="5"/>
  <c r="OL26" i="5"/>
  <c r="OP26" i="5"/>
  <c r="OI26" i="5"/>
  <c r="OM26" i="5"/>
  <c r="OQ26" i="5"/>
  <c r="OE26" i="5"/>
  <c r="OB26" i="5"/>
  <c r="OC26" i="5"/>
  <c r="OD26" i="5"/>
  <c r="OL21" i="5"/>
  <c r="OP21" i="5"/>
  <c r="OI21" i="5"/>
  <c r="OJ21" i="5"/>
  <c r="OR21" i="5"/>
  <c r="OK21" i="5"/>
  <c r="OO21" i="5"/>
  <c r="OC21" i="5"/>
  <c r="OG21" i="5"/>
  <c r="OJ18" i="5"/>
  <c r="OP13" i="5"/>
  <c r="ON13" i="5"/>
  <c r="OE13" i="5"/>
  <c r="OJ114" i="5"/>
  <c r="OP113" i="5"/>
  <c r="ON113" i="5"/>
  <c r="OE113" i="5"/>
  <c r="OF112" i="5"/>
  <c r="OJ112" i="5"/>
  <c r="ON112" i="5"/>
  <c r="OR112" i="5"/>
  <c r="OG112" i="5"/>
  <c r="OK112" i="5"/>
  <c r="OO112" i="5"/>
  <c r="OS112" i="5"/>
  <c r="OH112" i="5"/>
  <c r="OL112" i="5"/>
  <c r="OP112" i="5"/>
  <c r="OQ112" i="5"/>
  <c r="OI112" i="5"/>
  <c r="OE112" i="5"/>
  <c r="OB112" i="5"/>
  <c r="OC112" i="5"/>
  <c r="CJ112" i="5" s="1"/>
  <c r="OD112" i="5"/>
  <c r="OM112" i="5"/>
  <c r="OG110" i="5"/>
  <c r="OQ110" i="5"/>
  <c r="OH109" i="5"/>
  <c r="OL109" i="5"/>
  <c r="OP109" i="5"/>
  <c r="OI109" i="5"/>
  <c r="OM109" i="5"/>
  <c r="OQ109" i="5"/>
  <c r="OF109" i="5"/>
  <c r="OJ109" i="5"/>
  <c r="ON109" i="5"/>
  <c r="OR109" i="5"/>
  <c r="OK109" i="5"/>
  <c r="OO109" i="5"/>
  <c r="OS109" i="5"/>
  <c r="OG109" i="5"/>
  <c r="OE109" i="5"/>
  <c r="OB109" i="5"/>
  <c r="OC109" i="5"/>
  <c r="OD109" i="5"/>
  <c r="OF92" i="5"/>
  <c r="OJ92" i="5"/>
  <c r="ON92" i="5"/>
  <c r="OR92" i="5"/>
  <c r="OG92" i="5"/>
  <c r="OK92" i="5"/>
  <c r="OO92" i="5"/>
  <c r="OS92" i="5"/>
  <c r="OH92" i="5"/>
  <c r="OL92" i="5"/>
  <c r="OP92" i="5"/>
  <c r="OI92" i="5"/>
  <c r="OM92" i="5"/>
  <c r="OQ92" i="5"/>
  <c r="OE92" i="5"/>
  <c r="OB92" i="5"/>
  <c r="OC92" i="5"/>
  <c r="OD92" i="5"/>
  <c r="OP89" i="5"/>
  <c r="OS89" i="5"/>
  <c r="OH81" i="5"/>
  <c r="OL81" i="5"/>
  <c r="OP81" i="5"/>
  <c r="OI81" i="5"/>
  <c r="OM81" i="5"/>
  <c r="OQ81" i="5"/>
  <c r="OF81" i="5"/>
  <c r="OJ81" i="5"/>
  <c r="ON81" i="5"/>
  <c r="OR81" i="5"/>
  <c r="OS81" i="5"/>
  <c r="OG81" i="5"/>
  <c r="OK81" i="5"/>
  <c r="OO81" i="5"/>
  <c r="OE81" i="5"/>
  <c r="OB81" i="5"/>
  <c r="OC81" i="5"/>
  <c r="OD81" i="5"/>
  <c r="OL78" i="5"/>
  <c r="OH77" i="5"/>
  <c r="OL77" i="5"/>
  <c r="OP77" i="5"/>
  <c r="OI77" i="5"/>
  <c r="OM77" i="5"/>
  <c r="OQ77" i="5"/>
  <c r="OF77" i="5"/>
  <c r="OJ77" i="5"/>
  <c r="ON77" i="5"/>
  <c r="OR77" i="5"/>
  <c r="OK77" i="5"/>
  <c r="OO77" i="5"/>
  <c r="OS77" i="5"/>
  <c r="OG77" i="5"/>
  <c r="OE77" i="5"/>
  <c r="OB77" i="5"/>
  <c r="OC77" i="5"/>
  <c r="OD77" i="5"/>
  <c r="OF68" i="5"/>
  <c r="OJ68" i="5"/>
  <c r="ON68" i="5"/>
  <c r="OR68" i="5"/>
  <c r="OG68" i="5"/>
  <c r="OK68" i="5"/>
  <c r="OO68" i="5"/>
  <c r="OS68" i="5"/>
  <c r="OH68" i="5"/>
  <c r="OL68" i="5"/>
  <c r="OP68" i="5"/>
  <c r="OI68" i="5"/>
  <c r="OM68" i="5"/>
  <c r="OQ68" i="5"/>
  <c r="OE68" i="5"/>
  <c r="OB68" i="5"/>
  <c r="OC68" i="5"/>
  <c r="OD68" i="5"/>
  <c r="OH67" i="5"/>
  <c r="OL67" i="5"/>
  <c r="OP67" i="5"/>
  <c r="OM67" i="5"/>
  <c r="OQ67" i="5"/>
  <c r="OJ67" i="5"/>
  <c r="ON67" i="5"/>
  <c r="OR67" i="5"/>
  <c r="OG67" i="5"/>
  <c r="OO67" i="5"/>
  <c r="OS67" i="5"/>
  <c r="OB67" i="5"/>
  <c r="CJ67" i="5" s="1"/>
  <c r="OC67" i="5"/>
  <c r="OD67" i="5"/>
  <c r="OI51" i="5"/>
  <c r="OQ51" i="5"/>
  <c r="OF51" i="5"/>
  <c r="OJ51" i="5"/>
  <c r="OK51" i="5"/>
  <c r="OE51" i="5"/>
  <c r="OB51" i="5"/>
  <c r="OS51" i="5"/>
  <c r="OS50" i="5"/>
  <c r="OB50" i="5"/>
  <c r="OH49" i="5"/>
  <c r="OL49" i="5"/>
  <c r="OP49" i="5"/>
  <c r="OI49" i="5"/>
  <c r="OM49" i="5"/>
  <c r="OQ49" i="5"/>
  <c r="OF49" i="5"/>
  <c r="OJ49" i="5"/>
  <c r="ON49" i="5"/>
  <c r="OR49" i="5"/>
  <c r="OS49" i="5"/>
  <c r="OG49" i="5"/>
  <c r="OK49" i="5"/>
  <c r="OO49" i="5"/>
  <c r="OE49" i="5"/>
  <c r="OB49" i="5"/>
  <c r="OC49" i="5"/>
  <c r="OD49" i="5"/>
  <c r="ON48" i="5"/>
  <c r="OH48" i="5"/>
  <c r="OB48" i="5"/>
  <c r="OH41" i="5"/>
  <c r="OL41" i="5"/>
  <c r="OP41" i="5"/>
  <c r="OI41" i="5"/>
  <c r="OM41" i="5"/>
  <c r="OQ41" i="5"/>
  <c r="OF41" i="5"/>
  <c r="OJ41" i="5"/>
  <c r="ON41" i="5"/>
  <c r="OR41" i="5"/>
  <c r="OS41" i="5"/>
  <c r="OG41" i="5"/>
  <c r="OK41" i="5"/>
  <c r="OE41" i="5"/>
  <c r="OO41" i="5"/>
  <c r="OB41" i="5"/>
  <c r="OC41" i="5"/>
  <c r="OD41" i="5"/>
  <c r="OH35" i="5"/>
  <c r="OL35" i="5"/>
  <c r="OP35" i="5"/>
  <c r="OI35" i="5"/>
  <c r="OM35" i="5"/>
  <c r="OQ35" i="5"/>
  <c r="OF35" i="5"/>
  <c r="OJ35" i="5"/>
  <c r="ON35" i="5"/>
  <c r="OR35" i="5"/>
  <c r="OG35" i="5"/>
  <c r="OK35" i="5"/>
  <c r="OO35" i="5"/>
  <c r="OS35" i="5"/>
  <c r="OE35" i="5"/>
  <c r="OB35" i="5"/>
  <c r="OC35" i="5"/>
  <c r="OD35" i="5"/>
  <c r="OF28" i="5"/>
  <c r="OJ28" i="5"/>
  <c r="OR28" i="5"/>
  <c r="OG28" i="5"/>
  <c r="OO28" i="5"/>
  <c r="OS28" i="5"/>
  <c r="OH28" i="5"/>
  <c r="OL28" i="5"/>
  <c r="OI28" i="5"/>
  <c r="OM28" i="5"/>
  <c r="OE28" i="5"/>
  <c r="OB28" i="5"/>
  <c r="OC28" i="5"/>
  <c r="OD28" i="5"/>
  <c r="OP27" i="5"/>
  <c r="OM27" i="5"/>
  <c r="OQ27" i="5"/>
  <c r="OF27" i="5"/>
  <c r="OG27" i="5"/>
  <c r="OO27" i="5"/>
  <c r="OE27" i="5"/>
  <c r="OS27" i="5"/>
  <c r="OH19" i="5"/>
  <c r="OL19" i="5"/>
  <c r="OP19" i="5"/>
  <c r="OI19" i="5"/>
  <c r="OM19" i="5"/>
  <c r="OQ19" i="5"/>
  <c r="OF19" i="5"/>
  <c r="OJ19" i="5"/>
  <c r="ON19" i="5"/>
  <c r="OR19" i="5"/>
  <c r="OG19" i="5"/>
  <c r="OK19" i="5"/>
  <c r="OO19" i="5"/>
  <c r="OE19" i="5"/>
  <c r="OB19" i="5"/>
  <c r="OS19" i="5"/>
  <c r="OC19" i="5"/>
  <c r="OD19" i="5"/>
  <c r="OP8" i="5"/>
  <c r="OP7" i="5"/>
  <c r="OF7" i="5"/>
  <c r="OO7" i="5"/>
  <c r="OB7" i="5"/>
  <c r="OH248" i="5"/>
  <c r="OL248" i="5"/>
  <c r="OP248" i="5"/>
  <c r="OI248" i="5"/>
  <c r="OM248" i="5"/>
  <c r="OQ248" i="5"/>
  <c r="OK248" i="5"/>
  <c r="OS248" i="5"/>
  <c r="OF248" i="5"/>
  <c r="ON248" i="5"/>
  <c r="OG248" i="5"/>
  <c r="OO248" i="5"/>
  <c r="OE248" i="5"/>
  <c r="OB248" i="5"/>
  <c r="CJ248" i="5" s="1"/>
  <c r="OJ248" i="5"/>
  <c r="OC248" i="5"/>
  <c r="OD248" i="5"/>
  <c r="OR248" i="5"/>
  <c r="OF247" i="5"/>
  <c r="OJ247" i="5"/>
  <c r="ON247" i="5"/>
  <c r="OR247" i="5"/>
  <c r="OG247" i="5"/>
  <c r="OK247" i="5"/>
  <c r="OO247" i="5"/>
  <c r="OS247" i="5"/>
  <c r="OI247" i="5"/>
  <c r="OQ247" i="5"/>
  <c r="OL247" i="5"/>
  <c r="OM247" i="5"/>
  <c r="OH247" i="5"/>
  <c r="OE247" i="5"/>
  <c r="OP247" i="5"/>
  <c r="OB247" i="5"/>
  <c r="OC247" i="5"/>
  <c r="OD247" i="5"/>
  <c r="OH246" i="5"/>
  <c r="OL246" i="5"/>
  <c r="OP246" i="5"/>
  <c r="OI246" i="5"/>
  <c r="OM246" i="5"/>
  <c r="OQ246" i="5"/>
  <c r="OG246" i="5"/>
  <c r="OO246" i="5"/>
  <c r="OJ246" i="5"/>
  <c r="OR246" i="5"/>
  <c r="OK246" i="5"/>
  <c r="OS246" i="5"/>
  <c r="OE246" i="5"/>
  <c r="OB246" i="5"/>
  <c r="OF246" i="5"/>
  <c r="OC246" i="5"/>
  <c r="ON246" i="5"/>
  <c r="OD246" i="5"/>
  <c r="OF245" i="5"/>
  <c r="OJ245" i="5"/>
  <c r="ON245" i="5"/>
  <c r="OR245" i="5"/>
  <c r="OG245" i="5"/>
  <c r="OK245" i="5"/>
  <c r="OO245" i="5"/>
  <c r="OS245" i="5"/>
  <c r="OM245" i="5"/>
  <c r="OH245" i="5"/>
  <c r="OP245" i="5"/>
  <c r="OI245" i="5"/>
  <c r="OQ245" i="5"/>
  <c r="OE245" i="5"/>
  <c r="OL245" i="5"/>
  <c r="OB245" i="5"/>
  <c r="OC245" i="5"/>
  <c r="OD245" i="5"/>
  <c r="CJ245" i="5" s="1"/>
  <c r="OH244" i="5"/>
  <c r="OL244" i="5"/>
  <c r="OP244" i="5"/>
  <c r="CJ244" i="5" s="1"/>
  <c r="OI244" i="5"/>
  <c r="OM244" i="5"/>
  <c r="OQ244" i="5"/>
  <c r="OK244" i="5"/>
  <c r="OS244" i="5"/>
  <c r="OF244" i="5"/>
  <c r="ON244" i="5"/>
  <c r="OG244" i="5"/>
  <c r="OO244" i="5"/>
  <c r="OR244" i="5"/>
  <c r="OE244" i="5"/>
  <c r="OB244" i="5"/>
  <c r="OC244" i="5"/>
  <c r="OJ244" i="5"/>
  <c r="OD244" i="5"/>
  <c r="OF243" i="5"/>
  <c r="OJ243" i="5"/>
  <c r="ON243" i="5"/>
  <c r="OR243" i="5"/>
  <c r="OG243" i="5"/>
  <c r="OK243" i="5"/>
  <c r="OO243" i="5"/>
  <c r="OS243" i="5"/>
  <c r="OI243" i="5"/>
  <c r="OQ243" i="5"/>
  <c r="OL243" i="5"/>
  <c r="OM243" i="5"/>
  <c r="OE243" i="5"/>
  <c r="OH243" i="5"/>
  <c r="OB243" i="5"/>
  <c r="OP243" i="5"/>
  <c r="OC243" i="5"/>
  <c r="OD243" i="5"/>
  <c r="CJ243" i="5" s="1"/>
  <c r="OH242" i="5"/>
  <c r="OL242" i="5"/>
  <c r="OP242" i="5"/>
  <c r="OI242" i="5"/>
  <c r="OM242" i="5"/>
  <c r="OQ242" i="5"/>
  <c r="OG242" i="5"/>
  <c r="CJ242" i="5" s="1"/>
  <c r="OO242" i="5"/>
  <c r="OJ242" i="5"/>
  <c r="OR242" i="5"/>
  <c r="OK242" i="5"/>
  <c r="OS242" i="5"/>
  <c r="ON242" i="5"/>
  <c r="OE242" i="5"/>
  <c r="OB242" i="5"/>
  <c r="OC242" i="5"/>
  <c r="OD242" i="5"/>
  <c r="OF242" i="5"/>
  <c r="OF241" i="5"/>
  <c r="OJ241" i="5"/>
  <c r="ON241" i="5"/>
  <c r="OR241" i="5"/>
  <c r="OG241" i="5"/>
  <c r="OK241" i="5"/>
  <c r="OO241" i="5"/>
  <c r="OS241" i="5"/>
  <c r="OM241" i="5"/>
  <c r="OH241" i="5"/>
  <c r="OP241" i="5"/>
  <c r="OI241" i="5"/>
  <c r="OQ241" i="5"/>
  <c r="OE241" i="5"/>
  <c r="OB241" i="5"/>
  <c r="OL241" i="5"/>
  <c r="OC241" i="5"/>
  <c r="OD241" i="5"/>
  <c r="OH240" i="5"/>
  <c r="OL240" i="5"/>
  <c r="OP240" i="5"/>
  <c r="OI240" i="5"/>
  <c r="OM240" i="5"/>
  <c r="OQ240" i="5"/>
  <c r="OK240" i="5"/>
  <c r="OS240" i="5"/>
  <c r="OF240" i="5"/>
  <c r="ON240" i="5"/>
  <c r="OG240" i="5"/>
  <c r="OO240" i="5"/>
  <c r="OJ240" i="5"/>
  <c r="OE240" i="5"/>
  <c r="OR240" i="5"/>
  <c r="OB240" i="5"/>
  <c r="OC240" i="5"/>
  <c r="OD240" i="5"/>
  <c r="OF239" i="5"/>
  <c r="OJ239" i="5"/>
  <c r="ON239" i="5"/>
  <c r="OR239" i="5"/>
  <c r="OG239" i="5"/>
  <c r="OK239" i="5"/>
  <c r="OO239" i="5"/>
  <c r="OS239" i="5"/>
  <c r="OI239" i="5"/>
  <c r="OQ239" i="5"/>
  <c r="OL239" i="5"/>
  <c r="OM239" i="5"/>
  <c r="OE239" i="5"/>
  <c r="OB239" i="5"/>
  <c r="OH239" i="5"/>
  <c r="OC239" i="5"/>
  <c r="OP239" i="5"/>
  <c r="OD239" i="5"/>
  <c r="OH238" i="5"/>
  <c r="OL238" i="5"/>
  <c r="OP238" i="5"/>
  <c r="OI238" i="5"/>
  <c r="OM238" i="5"/>
  <c r="OQ238" i="5"/>
  <c r="OG238" i="5"/>
  <c r="OO238" i="5"/>
  <c r="OJ238" i="5"/>
  <c r="OR238" i="5"/>
  <c r="OK238" i="5"/>
  <c r="OS238" i="5"/>
  <c r="OF238" i="5"/>
  <c r="OE238" i="5"/>
  <c r="ON238" i="5"/>
  <c r="OB238" i="5"/>
  <c r="OC238" i="5"/>
  <c r="OD238" i="5"/>
  <c r="OF237" i="5"/>
  <c r="OJ237" i="5"/>
  <c r="ON237" i="5"/>
  <c r="OR237" i="5"/>
  <c r="OG237" i="5"/>
  <c r="OK237" i="5"/>
  <c r="OO237" i="5"/>
  <c r="OS237" i="5"/>
  <c r="OM237" i="5"/>
  <c r="OH237" i="5"/>
  <c r="OP237" i="5"/>
  <c r="OI237" i="5"/>
  <c r="OQ237" i="5"/>
  <c r="OE237" i="5"/>
  <c r="OB237" i="5"/>
  <c r="OC237" i="5"/>
  <c r="OL237" i="5"/>
  <c r="OD237" i="5"/>
  <c r="OH236" i="5"/>
  <c r="OL236" i="5"/>
  <c r="CJ236" i="5" s="1"/>
  <c r="OP236" i="5"/>
  <c r="OI236" i="5"/>
  <c r="OM236" i="5"/>
  <c r="OQ236" i="5"/>
  <c r="OK236" i="5"/>
  <c r="OS236" i="5"/>
  <c r="OF236" i="5"/>
  <c r="ON236" i="5"/>
  <c r="OG236" i="5"/>
  <c r="OO236" i="5"/>
  <c r="OE236" i="5"/>
  <c r="OJ236" i="5"/>
  <c r="OB236" i="5"/>
  <c r="OR236" i="5"/>
  <c r="OC236" i="5"/>
  <c r="OD236" i="5"/>
  <c r="OF235" i="5"/>
  <c r="OJ235" i="5"/>
  <c r="ON235" i="5"/>
  <c r="OR235" i="5"/>
  <c r="OG235" i="5"/>
  <c r="OK235" i="5"/>
  <c r="OO235" i="5"/>
  <c r="OS235" i="5"/>
  <c r="OI235" i="5"/>
  <c r="OQ235" i="5"/>
  <c r="OL235" i="5"/>
  <c r="OM235" i="5"/>
  <c r="OP235" i="5"/>
  <c r="OE235" i="5"/>
  <c r="OB235" i="5"/>
  <c r="OC235" i="5"/>
  <c r="OH235" i="5"/>
  <c r="OD235" i="5"/>
  <c r="OH234" i="5"/>
  <c r="OL234" i="5"/>
  <c r="OP234" i="5"/>
  <c r="OI234" i="5"/>
  <c r="OM234" i="5"/>
  <c r="OQ234" i="5"/>
  <c r="OG234" i="5"/>
  <c r="OO234" i="5"/>
  <c r="OJ234" i="5"/>
  <c r="OR234" i="5"/>
  <c r="OK234" i="5"/>
  <c r="OS234" i="5"/>
  <c r="OE234" i="5"/>
  <c r="OF234" i="5"/>
  <c r="OB234" i="5"/>
  <c r="CJ234" i="5" s="1"/>
  <c r="ON234" i="5"/>
  <c r="OC234" i="5"/>
  <c r="OD234" i="5"/>
  <c r="OF231" i="5"/>
  <c r="OJ231" i="5"/>
  <c r="ON231" i="5"/>
  <c r="OR231" i="5"/>
  <c r="OG231" i="5"/>
  <c r="OK231" i="5"/>
  <c r="OO231" i="5"/>
  <c r="OS231" i="5"/>
  <c r="OI231" i="5"/>
  <c r="OQ231" i="5"/>
  <c r="OL231" i="5"/>
  <c r="OM231" i="5"/>
  <c r="OH231" i="5"/>
  <c r="OE231" i="5"/>
  <c r="OP231" i="5"/>
  <c r="OB231" i="5"/>
  <c r="OC231" i="5"/>
  <c r="OD231" i="5"/>
  <c r="OH230" i="5"/>
  <c r="OL230" i="5"/>
  <c r="OP230" i="5"/>
  <c r="OI230" i="5"/>
  <c r="OM230" i="5"/>
  <c r="OQ230" i="5"/>
  <c r="OG230" i="5"/>
  <c r="OO230" i="5"/>
  <c r="OJ230" i="5"/>
  <c r="OR230" i="5"/>
  <c r="OK230" i="5"/>
  <c r="OS230" i="5"/>
  <c r="CJ230" i="5" s="1"/>
  <c r="OE230" i="5"/>
  <c r="OB230" i="5"/>
  <c r="OF230" i="5"/>
  <c r="OC230" i="5"/>
  <c r="ON230" i="5"/>
  <c r="OD230" i="5"/>
  <c r="OF229" i="5"/>
  <c r="OJ229" i="5"/>
  <c r="ON229" i="5"/>
  <c r="OR229" i="5"/>
  <c r="OG229" i="5"/>
  <c r="OK229" i="5"/>
  <c r="OO229" i="5"/>
  <c r="OS229" i="5"/>
  <c r="OM229" i="5"/>
  <c r="OH229" i="5"/>
  <c r="OP229" i="5"/>
  <c r="OI229" i="5"/>
  <c r="OQ229" i="5"/>
  <c r="OE229" i="5"/>
  <c r="OL229" i="5"/>
  <c r="OB229" i="5"/>
  <c r="OC229" i="5"/>
  <c r="OD229" i="5"/>
  <c r="OH228" i="5"/>
  <c r="OL228" i="5"/>
  <c r="OP228" i="5"/>
  <c r="OI228" i="5"/>
  <c r="OM228" i="5"/>
  <c r="OQ228" i="5"/>
  <c r="OK228" i="5"/>
  <c r="OS228" i="5"/>
  <c r="OF228" i="5"/>
  <c r="ON228" i="5"/>
  <c r="OG228" i="5"/>
  <c r="OO228" i="5"/>
  <c r="OR228" i="5"/>
  <c r="OE228" i="5"/>
  <c r="OB228" i="5"/>
  <c r="OC228" i="5"/>
  <c r="CJ228" i="5" s="1"/>
  <c r="OD228" i="5"/>
  <c r="OJ228" i="5"/>
  <c r="OF227" i="5"/>
  <c r="CJ227" i="5" s="1"/>
  <c r="OJ227" i="5"/>
  <c r="ON227" i="5"/>
  <c r="OR227" i="5"/>
  <c r="OG227" i="5"/>
  <c r="OK227" i="5"/>
  <c r="OO227" i="5"/>
  <c r="OS227" i="5"/>
  <c r="OI227" i="5"/>
  <c r="OQ227" i="5"/>
  <c r="OL227" i="5"/>
  <c r="OM227" i="5"/>
  <c r="OE227" i="5"/>
  <c r="OH227" i="5"/>
  <c r="OB227" i="5"/>
  <c r="OP227" i="5"/>
  <c r="OC227" i="5"/>
  <c r="OD227" i="5"/>
  <c r="OH226" i="5"/>
  <c r="OL226" i="5"/>
  <c r="OP226" i="5"/>
  <c r="OI226" i="5"/>
  <c r="OM226" i="5"/>
  <c r="OQ226" i="5"/>
  <c r="OG226" i="5"/>
  <c r="OO226" i="5"/>
  <c r="OJ226" i="5"/>
  <c r="OR226" i="5"/>
  <c r="OK226" i="5"/>
  <c r="OS226" i="5"/>
  <c r="ON226" i="5"/>
  <c r="OE226" i="5"/>
  <c r="OB226" i="5"/>
  <c r="CJ226" i="5" s="1"/>
  <c r="OC226" i="5"/>
  <c r="OF226" i="5"/>
  <c r="OD226" i="5"/>
  <c r="OF225" i="5"/>
  <c r="OJ225" i="5"/>
  <c r="ON225" i="5"/>
  <c r="OR225" i="5"/>
  <c r="OG225" i="5"/>
  <c r="OK225" i="5"/>
  <c r="OO225" i="5"/>
  <c r="OS225" i="5"/>
  <c r="OM225" i="5"/>
  <c r="OH225" i="5"/>
  <c r="OP225" i="5"/>
  <c r="OI225" i="5"/>
  <c r="OQ225" i="5"/>
  <c r="OE225" i="5"/>
  <c r="OB225" i="5"/>
  <c r="OL225" i="5"/>
  <c r="OC225" i="5"/>
  <c r="OD225" i="5"/>
  <c r="OH224" i="5"/>
  <c r="OL224" i="5"/>
  <c r="OP224" i="5"/>
  <c r="OI224" i="5"/>
  <c r="OM224" i="5"/>
  <c r="OQ224" i="5"/>
  <c r="OK224" i="5"/>
  <c r="OS224" i="5"/>
  <c r="OF224" i="5"/>
  <c r="CJ224" i="5" s="1"/>
  <c r="ON224" i="5"/>
  <c r="OG224" i="5"/>
  <c r="OO224" i="5"/>
  <c r="OJ224" i="5"/>
  <c r="OE224" i="5"/>
  <c r="OR224" i="5"/>
  <c r="OB224" i="5"/>
  <c r="OC224" i="5"/>
  <c r="OD224" i="5"/>
  <c r="OF223" i="5"/>
  <c r="OJ223" i="5"/>
  <c r="ON223" i="5"/>
  <c r="OR223" i="5"/>
  <c r="OG223" i="5"/>
  <c r="OK223" i="5"/>
  <c r="OO223" i="5"/>
  <c r="OS223" i="5"/>
  <c r="OI223" i="5"/>
  <c r="OQ223" i="5"/>
  <c r="OL223" i="5"/>
  <c r="OM223" i="5"/>
  <c r="OE223" i="5"/>
  <c r="OB223" i="5"/>
  <c r="OH223" i="5"/>
  <c r="OC223" i="5"/>
  <c r="OP223" i="5"/>
  <c r="OD223" i="5"/>
  <c r="OH222" i="5"/>
  <c r="OL222" i="5"/>
  <c r="OP222" i="5"/>
  <c r="OI222" i="5"/>
  <c r="CJ222" i="5" s="1"/>
  <c r="OM222" i="5"/>
  <c r="OQ222" i="5"/>
  <c r="OG222" i="5"/>
  <c r="OO222" i="5"/>
  <c r="OJ222" i="5"/>
  <c r="OR222" i="5"/>
  <c r="OK222" i="5"/>
  <c r="OS222" i="5"/>
  <c r="OF222" i="5"/>
  <c r="OE222" i="5"/>
  <c r="ON222" i="5"/>
  <c r="OB222" i="5"/>
  <c r="OC222" i="5"/>
  <c r="OD222" i="5"/>
  <c r="OF221" i="5"/>
  <c r="OJ221" i="5"/>
  <c r="ON221" i="5"/>
  <c r="OR221" i="5"/>
  <c r="OG221" i="5"/>
  <c r="OK221" i="5"/>
  <c r="OO221" i="5"/>
  <c r="OS221" i="5"/>
  <c r="OM221" i="5"/>
  <c r="OH221" i="5"/>
  <c r="OP221" i="5"/>
  <c r="OI221" i="5"/>
  <c r="OQ221" i="5"/>
  <c r="OE221" i="5"/>
  <c r="OB221" i="5"/>
  <c r="CJ221" i="5" s="1"/>
  <c r="OL221" i="5"/>
  <c r="OC221" i="5"/>
  <c r="OD221" i="5"/>
  <c r="OH220" i="5"/>
  <c r="OL220" i="5"/>
  <c r="OP220" i="5"/>
  <c r="OI220" i="5"/>
  <c r="OM220" i="5"/>
  <c r="OQ220" i="5"/>
  <c r="OK220" i="5"/>
  <c r="OS220" i="5"/>
  <c r="OF220" i="5"/>
  <c r="ON220" i="5"/>
  <c r="OG220" i="5"/>
  <c r="OO220" i="5"/>
  <c r="OJ220" i="5"/>
  <c r="OE220" i="5"/>
  <c r="OR220" i="5"/>
  <c r="OB220" i="5"/>
  <c r="OC220" i="5"/>
  <c r="OD220" i="5"/>
  <c r="OF219" i="5"/>
  <c r="OJ219" i="5"/>
  <c r="ON219" i="5"/>
  <c r="OR219" i="5"/>
  <c r="OG219" i="5"/>
  <c r="OK219" i="5"/>
  <c r="OO219" i="5"/>
  <c r="OS219" i="5"/>
  <c r="OI219" i="5"/>
  <c r="OQ219" i="5"/>
  <c r="OL219" i="5"/>
  <c r="OM219" i="5"/>
  <c r="OE219" i="5"/>
  <c r="OB219" i="5"/>
  <c r="OH219" i="5"/>
  <c r="OC219" i="5"/>
  <c r="OP219" i="5"/>
  <c r="OD219" i="5"/>
  <c r="OH218" i="5"/>
  <c r="OL218" i="5"/>
  <c r="OP218" i="5"/>
  <c r="OI218" i="5"/>
  <c r="OM218" i="5"/>
  <c r="OQ218" i="5"/>
  <c r="OG218" i="5"/>
  <c r="OO218" i="5"/>
  <c r="OJ218" i="5"/>
  <c r="OR218" i="5"/>
  <c r="OK218" i="5"/>
  <c r="OS218" i="5"/>
  <c r="OE218" i="5"/>
  <c r="OF218" i="5"/>
  <c r="OB218" i="5"/>
  <c r="ON218" i="5"/>
  <c r="OC218" i="5"/>
  <c r="OD218" i="5"/>
  <c r="CJ218" i="5" s="1"/>
  <c r="OF217" i="5"/>
  <c r="OJ217" i="5"/>
  <c r="ON217" i="5"/>
  <c r="OR217" i="5"/>
  <c r="OG217" i="5"/>
  <c r="OK217" i="5"/>
  <c r="OO217" i="5"/>
  <c r="OS217" i="5"/>
  <c r="OM217" i="5"/>
  <c r="OH217" i="5"/>
  <c r="OP217" i="5"/>
  <c r="OI217" i="5"/>
  <c r="CJ217" i="5" s="1"/>
  <c r="OQ217" i="5"/>
  <c r="OL217" i="5"/>
  <c r="OE217" i="5"/>
  <c r="OB217" i="5"/>
  <c r="OC217" i="5"/>
  <c r="OD217" i="5"/>
  <c r="OH216" i="5"/>
  <c r="OL216" i="5"/>
  <c r="OP216" i="5"/>
  <c r="OI216" i="5"/>
  <c r="OM216" i="5"/>
  <c r="OQ216" i="5"/>
  <c r="OK216" i="5"/>
  <c r="OS216" i="5"/>
  <c r="OF216" i="5"/>
  <c r="ON216" i="5"/>
  <c r="OG216" i="5"/>
  <c r="OO216" i="5"/>
  <c r="CJ216" i="5" s="1"/>
  <c r="OE216" i="5"/>
  <c r="OB216" i="5"/>
  <c r="OJ216" i="5"/>
  <c r="OC216" i="5"/>
  <c r="OD216" i="5"/>
  <c r="OR216" i="5"/>
  <c r="OH215" i="5"/>
  <c r="OL215" i="5"/>
  <c r="OP215" i="5"/>
  <c r="OI215" i="5"/>
  <c r="OM215" i="5"/>
  <c r="OQ215" i="5"/>
  <c r="OG215" i="5"/>
  <c r="OO215" i="5"/>
  <c r="OJ215" i="5"/>
  <c r="OR215" i="5"/>
  <c r="OK215" i="5"/>
  <c r="OS215" i="5"/>
  <c r="OE215" i="5"/>
  <c r="OB215" i="5"/>
  <c r="OF215" i="5"/>
  <c r="OC215" i="5"/>
  <c r="ON215" i="5"/>
  <c r="OD215" i="5"/>
  <c r="OH214" i="5"/>
  <c r="OL214" i="5"/>
  <c r="OP214" i="5"/>
  <c r="OI214" i="5"/>
  <c r="OM214" i="5"/>
  <c r="OQ214" i="5"/>
  <c r="OK214" i="5"/>
  <c r="OS214" i="5"/>
  <c r="OF214" i="5"/>
  <c r="ON214" i="5"/>
  <c r="OG214" i="5"/>
  <c r="OO214" i="5"/>
  <c r="OR214" i="5"/>
  <c r="OE214" i="5"/>
  <c r="OB214" i="5"/>
  <c r="OC214" i="5"/>
  <c r="OJ214" i="5"/>
  <c r="OD214" i="5"/>
  <c r="OH212" i="5"/>
  <c r="OL212" i="5"/>
  <c r="OP212" i="5"/>
  <c r="OI212" i="5"/>
  <c r="CJ212" i="5" s="1"/>
  <c r="OM212" i="5"/>
  <c r="OQ212" i="5"/>
  <c r="OG212" i="5"/>
  <c r="OO212" i="5"/>
  <c r="OJ212" i="5"/>
  <c r="OR212" i="5"/>
  <c r="OK212" i="5"/>
  <c r="OS212" i="5"/>
  <c r="ON212" i="5"/>
  <c r="OE212" i="5"/>
  <c r="OB212" i="5"/>
  <c r="OC212" i="5"/>
  <c r="OF212" i="5"/>
  <c r="OD212" i="5"/>
  <c r="OF208" i="5"/>
  <c r="OJ208" i="5"/>
  <c r="ON208" i="5"/>
  <c r="OR208" i="5"/>
  <c r="OG208" i="5"/>
  <c r="OK208" i="5"/>
  <c r="OO208" i="5"/>
  <c r="OS208" i="5"/>
  <c r="OM208" i="5"/>
  <c r="OH208" i="5"/>
  <c r="OP208" i="5"/>
  <c r="OI208" i="5"/>
  <c r="OQ208" i="5"/>
  <c r="OE208" i="5"/>
  <c r="OB208" i="5"/>
  <c r="OC208" i="5"/>
  <c r="OD208" i="5"/>
  <c r="OL208" i="5"/>
  <c r="OH206" i="5"/>
  <c r="OL206" i="5"/>
  <c r="OP206" i="5"/>
  <c r="OI206" i="5"/>
  <c r="OM206" i="5"/>
  <c r="OQ206" i="5"/>
  <c r="OG206" i="5"/>
  <c r="OO206" i="5"/>
  <c r="OJ206" i="5"/>
  <c r="OR206" i="5"/>
  <c r="OK206" i="5"/>
  <c r="OS206" i="5"/>
  <c r="OE206" i="5"/>
  <c r="OF206" i="5"/>
  <c r="OB206" i="5"/>
  <c r="ON206" i="5"/>
  <c r="OC206" i="5"/>
  <c r="OD206" i="5"/>
  <c r="OH204" i="5"/>
  <c r="OL204" i="5"/>
  <c r="OP204" i="5"/>
  <c r="OI204" i="5"/>
  <c r="OM204" i="5"/>
  <c r="OQ204" i="5"/>
  <c r="OK204" i="5"/>
  <c r="OS204" i="5"/>
  <c r="OF204" i="5"/>
  <c r="ON204" i="5"/>
  <c r="OG204" i="5"/>
  <c r="OO204" i="5"/>
  <c r="OE204" i="5"/>
  <c r="OB204" i="5"/>
  <c r="OJ204" i="5"/>
  <c r="OC204" i="5"/>
  <c r="OR204" i="5"/>
  <c r="OD204" i="5"/>
  <c r="CJ204" i="5" s="1"/>
  <c r="OH202" i="5"/>
  <c r="OL202" i="5"/>
  <c r="OP202" i="5"/>
  <c r="OI202" i="5"/>
  <c r="OM202" i="5"/>
  <c r="OQ202" i="5"/>
  <c r="OG202" i="5"/>
  <c r="OO202" i="5"/>
  <c r="OJ202" i="5"/>
  <c r="OR202" i="5"/>
  <c r="OK202" i="5"/>
  <c r="OS202" i="5"/>
  <c r="OE202" i="5"/>
  <c r="OB202" i="5"/>
  <c r="CJ202" i="5" s="1"/>
  <c r="OF202" i="5"/>
  <c r="OC202" i="5"/>
  <c r="OD202" i="5"/>
  <c r="ON202" i="5"/>
  <c r="OH201" i="5"/>
  <c r="OL201" i="5"/>
  <c r="OP201" i="5"/>
  <c r="OI201" i="5"/>
  <c r="OM201" i="5"/>
  <c r="OQ201" i="5"/>
  <c r="OK201" i="5"/>
  <c r="CJ201" i="5" s="1"/>
  <c r="OS201" i="5"/>
  <c r="OF201" i="5"/>
  <c r="ON201" i="5"/>
  <c r="OG201" i="5"/>
  <c r="OO201" i="5"/>
  <c r="OR201" i="5"/>
  <c r="OE201" i="5"/>
  <c r="OB201" i="5"/>
  <c r="OC201" i="5"/>
  <c r="OD201" i="5"/>
  <c r="OJ201" i="5"/>
  <c r="OF200" i="5"/>
  <c r="OJ200" i="5"/>
  <c r="ON200" i="5"/>
  <c r="OR200" i="5"/>
  <c r="OG200" i="5"/>
  <c r="OK200" i="5"/>
  <c r="OO200" i="5"/>
  <c r="OS200" i="5"/>
  <c r="OI200" i="5"/>
  <c r="OQ200" i="5"/>
  <c r="OL200" i="5"/>
  <c r="OM200" i="5"/>
  <c r="OE200" i="5"/>
  <c r="OH200" i="5"/>
  <c r="OB200" i="5"/>
  <c r="OP200" i="5"/>
  <c r="OC200" i="5"/>
  <c r="OD200" i="5"/>
  <c r="OF199" i="5"/>
  <c r="OJ199" i="5"/>
  <c r="ON199" i="5"/>
  <c r="OR199" i="5"/>
  <c r="OG199" i="5"/>
  <c r="OK199" i="5"/>
  <c r="OO199" i="5"/>
  <c r="OS199" i="5"/>
  <c r="OM199" i="5"/>
  <c r="OH199" i="5"/>
  <c r="OP199" i="5"/>
  <c r="OI199" i="5"/>
  <c r="OQ199" i="5"/>
  <c r="OE199" i="5"/>
  <c r="CJ199" i="5" s="1"/>
  <c r="OB199" i="5"/>
  <c r="OL199" i="5"/>
  <c r="OC199" i="5"/>
  <c r="OD199" i="5"/>
  <c r="OH198" i="5"/>
  <c r="OL198" i="5"/>
  <c r="OP198" i="5"/>
  <c r="OI198" i="5"/>
  <c r="OM198" i="5"/>
  <c r="OQ198" i="5"/>
  <c r="OK198" i="5"/>
  <c r="OS198" i="5"/>
  <c r="OF198" i="5"/>
  <c r="ON198" i="5"/>
  <c r="OG198" i="5"/>
  <c r="OO198" i="5"/>
  <c r="OJ198" i="5"/>
  <c r="OE198" i="5"/>
  <c r="OR198" i="5"/>
  <c r="OB198" i="5"/>
  <c r="OC198" i="5"/>
  <c r="OD198" i="5"/>
  <c r="OF197" i="5"/>
  <c r="OJ197" i="5"/>
  <c r="ON197" i="5"/>
  <c r="OR197" i="5"/>
  <c r="OG197" i="5"/>
  <c r="OK197" i="5"/>
  <c r="OO197" i="5"/>
  <c r="OS197" i="5"/>
  <c r="OI197" i="5"/>
  <c r="OQ197" i="5"/>
  <c r="OL197" i="5"/>
  <c r="OM197" i="5"/>
  <c r="OE197" i="5"/>
  <c r="CJ197" i="5" s="1"/>
  <c r="OB197" i="5"/>
  <c r="OH197" i="5"/>
  <c r="OC197" i="5"/>
  <c r="OP197" i="5"/>
  <c r="OD197" i="5"/>
  <c r="OH196" i="5"/>
  <c r="OL196" i="5"/>
  <c r="OP196" i="5"/>
  <c r="OI196" i="5"/>
  <c r="OM196" i="5"/>
  <c r="OQ196" i="5"/>
  <c r="OG196" i="5"/>
  <c r="OO196" i="5"/>
  <c r="OJ196" i="5"/>
  <c r="OR196" i="5"/>
  <c r="OK196" i="5"/>
  <c r="OS196" i="5"/>
  <c r="OF196" i="5"/>
  <c r="OE196" i="5"/>
  <c r="ON196" i="5"/>
  <c r="OB196" i="5"/>
  <c r="OC196" i="5"/>
  <c r="OD196" i="5"/>
  <c r="OF195" i="5"/>
  <c r="OJ195" i="5"/>
  <c r="ON195" i="5"/>
  <c r="OR195" i="5"/>
  <c r="OG195" i="5"/>
  <c r="OK195" i="5"/>
  <c r="OO195" i="5"/>
  <c r="OS195" i="5"/>
  <c r="OM195" i="5"/>
  <c r="OH195" i="5"/>
  <c r="OP195" i="5"/>
  <c r="OI195" i="5"/>
  <c r="OQ195" i="5"/>
  <c r="OE195" i="5"/>
  <c r="OB195" i="5"/>
  <c r="OC195" i="5"/>
  <c r="OD195" i="5"/>
  <c r="OL195" i="5"/>
  <c r="CJ195" i="5" s="1"/>
  <c r="OH194" i="5"/>
  <c r="OL194" i="5"/>
  <c r="OP194" i="5"/>
  <c r="OI194" i="5"/>
  <c r="OM194" i="5"/>
  <c r="OQ194" i="5"/>
  <c r="OK194" i="5"/>
  <c r="OS194" i="5"/>
  <c r="OF194" i="5"/>
  <c r="ON194" i="5"/>
  <c r="OG194" i="5"/>
  <c r="OO194" i="5"/>
  <c r="OE194" i="5"/>
  <c r="OJ194" i="5"/>
  <c r="OB194" i="5"/>
  <c r="OR194" i="5"/>
  <c r="OC194" i="5"/>
  <c r="OD194" i="5"/>
  <c r="CJ194" i="5" s="1"/>
  <c r="OH192" i="5"/>
  <c r="OL192" i="5"/>
  <c r="OP192" i="5"/>
  <c r="OI192" i="5"/>
  <c r="OM192" i="5"/>
  <c r="OQ192" i="5"/>
  <c r="OG192" i="5"/>
  <c r="OO192" i="5"/>
  <c r="OJ192" i="5"/>
  <c r="OR192" i="5"/>
  <c r="OK192" i="5"/>
  <c r="OS192" i="5"/>
  <c r="OE192" i="5"/>
  <c r="CJ192" i="5" s="1"/>
  <c r="OF192" i="5"/>
  <c r="OB192" i="5"/>
  <c r="ON192" i="5"/>
  <c r="OC192" i="5"/>
  <c r="OD192" i="5"/>
  <c r="OH191" i="5"/>
  <c r="OL191" i="5"/>
  <c r="OP191" i="5"/>
  <c r="OI191" i="5"/>
  <c r="CJ191" i="5" s="1"/>
  <c r="OM191" i="5"/>
  <c r="OQ191" i="5"/>
  <c r="OK191" i="5"/>
  <c r="OS191" i="5"/>
  <c r="OF191" i="5"/>
  <c r="ON191" i="5"/>
  <c r="OG191" i="5"/>
  <c r="OO191" i="5"/>
  <c r="OE191" i="5"/>
  <c r="OB191" i="5"/>
  <c r="OJ191" i="5"/>
  <c r="OC191" i="5"/>
  <c r="OD191" i="5"/>
  <c r="OR191" i="5"/>
  <c r="OF190" i="5"/>
  <c r="OJ190" i="5"/>
  <c r="ON190" i="5"/>
  <c r="OR190" i="5"/>
  <c r="OG190" i="5"/>
  <c r="OK190" i="5"/>
  <c r="OO190" i="5"/>
  <c r="OS190" i="5"/>
  <c r="OI190" i="5"/>
  <c r="OQ190" i="5"/>
  <c r="OL190" i="5"/>
  <c r="OM190" i="5"/>
  <c r="OH190" i="5"/>
  <c r="OE190" i="5"/>
  <c r="OP190" i="5"/>
  <c r="OB190" i="5"/>
  <c r="OC190" i="5"/>
  <c r="OD190" i="5"/>
  <c r="CJ190" i="5" s="1"/>
  <c r="OH189" i="5"/>
  <c r="OL189" i="5"/>
  <c r="OP189" i="5"/>
  <c r="OI189" i="5"/>
  <c r="OM189" i="5"/>
  <c r="OQ189" i="5"/>
  <c r="OG189" i="5"/>
  <c r="OO189" i="5"/>
  <c r="OJ189" i="5"/>
  <c r="OR189" i="5"/>
  <c r="OK189" i="5"/>
  <c r="OS189" i="5"/>
  <c r="OE189" i="5"/>
  <c r="OB189" i="5"/>
  <c r="OF189" i="5"/>
  <c r="OC189" i="5"/>
  <c r="ON189" i="5"/>
  <c r="OD189" i="5"/>
  <c r="OF188" i="5"/>
  <c r="OJ188" i="5"/>
  <c r="ON188" i="5"/>
  <c r="OR188" i="5"/>
  <c r="OG188" i="5"/>
  <c r="OK188" i="5"/>
  <c r="CJ188" i="5" s="1"/>
  <c r="OO188" i="5"/>
  <c r="OS188" i="5"/>
  <c r="OM188" i="5"/>
  <c r="OH188" i="5"/>
  <c r="OP188" i="5"/>
  <c r="OI188" i="5"/>
  <c r="OQ188" i="5"/>
  <c r="OE188" i="5"/>
  <c r="OL188" i="5"/>
  <c r="OB188" i="5"/>
  <c r="OC188" i="5"/>
  <c r="OD188" i="5"/>
  <c r="OH187" i="5"/>
  <c r="OL187" i="5"/>
  <c r="OP187" i="5"/>
  <c r="OI187" i="5"/>
  <c r="OM187" i="5"/>
  <c r="OQ187" i="5"/>
  <c r="OK187" i="5"/>
  <c r="OS187" i="5"/>
  <c r="OF187" i="5"/>
  <c r="ON187" i="5"/>
  <c r="OG187" i="5"/>
  <c r="OO187" i="5"/>
  <c r="OR187" i="5"/>
  <c r="OE187" i="5"/>
  <c r="OB187" i="5"/>
  <c r="OC187" i="5"/>
  <c r="OD187" i="5"/>
  <c r="OJ187" i="5"/>
  <c r="OF186" i="5"/>
  <c r="OJ186" i="5"/>
  <c r="ON186" i="5"/>
  <c r="OR186" i="5"/>
  <c r="OG186" i="5"/>
  <c r="OK186" i="5"/>
  <c r="OO186" i="5"/>
  <c r="CJ186" i="5" s="1"/>
  <c r="OS186" i="5"/>
  <c r="OI186" i="5"/>
  <c r="OQ186" i="5"/>
  <c r="OL186" i="5"/>
  <c r="OM186" i="5"/>
  <c r="OE186" i="5"/>
  <c r="OH186" i="5"/>
  <c r="OB186" i="5"/>
  <c r="OP186" i="5"/>
  <c r="OC186" i="5"/>
  <c r="OD186" i="5"/>
  <c r="OF184" i="5"/>
  <c r="OJ184" i="5"/>
  <c r="ON184" i="5"/>
  <c r="OR184" i="5"/>
  <c r="CJ184" i="5" s="1"/>
  <c r="OG184" i="5"/>
  <c r="OK184" i="5"/>
  <c r="OO184" i="5"/>
  <c r="OS184" i="5"/>
  <c r="OM184" i="5"/>
  <c r="OH184" i="5"/>
  <c r="OP184" i="5"/>
  <c r="OI184" i="5"/>
  <c r="OQ184" i="5"/>
  <c r="OE184" i="5"/>
  <c r="OB184" i="5"/>
  <c r="OL184" i="5"/>
  <c r="OC184" i="5"/>
  <c r="OD184" i="5"/>
  <c r="OH183" i="5"/>
  <c r="OL183" i="5"/>
  <c r="OP183" i="5"/>
  <c r="OI183" i="5"/>
  <c r="OM183" i="5"/>
  <c r="OQ183" i="5"/>
  <c r="OK183" i="5"/>
  <c r="OS183" i="5"/>
  <c r="OF183" i="5"/>
  <c r="ON183" i="5"/>
  <c r="OG183" i="5"/>
  <c r="OO183" i="5"/>
  <c r="OJ183" i="5"/>
  <c r="OE183" i="5"/>
  <c r="OR183" i="5"/>
  <c r="OB183" i="5"/>
  <c r="CJ183" i="5" s="1"/>
  <c r="OC183" i="5"/>
  <c r="OD183" i="5"/>
  <c r="OF182" i="5"/>
  <c r="OJ182" i="5"/>
  <c r="ON182" i="5"/>
  <c r="OR182" i="5"/>
  <c r="OG182" i="5"/>
  <c r="OK182" i="5"/>
  <c r="OO182" i="5"/>
  <c r="OS182" i="5"/>
  <c r="OI182" i="5"/>
  <c r="CJ182" i="5" s="1"/>
  <c r="OQ182" i="5"/>
  <c r="OL182" i="5"/>
  <c r="OM182" i="5"/>
  <c r="OE182" i="5"/>
  <c r="OB182" i="5"/>
  <c r="OH182" i="5"/>
  <c r="OC182" i="5"/>
  <c r="OP182" i="5"/>
  <c r="OD182" i="5"/>
  <c r="OH181" i="5"/>
  <c r="OL181" i="5"/>
  <c r="OP181" i="5"/>
  <c r="OI181" i="5"/>
  <c r="OM181" i="5"/>
  <c r="OQ181" i="5"/>
  <c r="OG181" i="5"/>
  <c r="OO181" i="5"/>
  <c r="OJ181" i="5"/>
  <c r="OR181" i="5"/>
  <c r="OK181" i="5"/>
  <c r="OS181" i="5"/>
  <c r="OF181" i="5"/>
  <c r="OE181" i="5"/>
  <c r="ON181" i="5"/>
  <c r="OB181" i="5"/>
  <c r="OC181" i="5"/>
  <c r="OD181" i="5"/>
  <c r="CJ181" i="5" s="1"/>
  <c r="OF180" i="5"/>
  <c r="OJ180" i="5"/>
  <c r="ON180" i="5"/>
  <c r="OR180" i="5"/>
  <c r="OG180" i="5"/>
  <c r="OK180" i="5"/>
  <c r="OO180" i="5"/>
  <c r="OS180" i="5"/>
  <c r="OM180" i="5"/>
  <c r="OH180" i="5"/>
  <c r="OP180" i="5"/>
  <c r="OI180" i="5"/>
  <c r="OQ180" i="5"/>
  <c r="OE180" i="5"/>
  <c r="OB180" i="5"/>
  <c r="OC180" i="5"/>
  <c r="OL180" i="5"/>
  <c r="OD180" i="5"/>
  <c r="OH179" i="5"/>
  <c r="OL179" i="5"/>
  <c r="OP179" i="5"/>
  <c r="OI179" i="5"/>
  <c r="OM179" i="5"/>
  <c r="OQ179" i="5"/>
  <c r="OK179" i="5"/>
  <c r="OS179" i="5"/>
  <c r="OF179" i="5"/>
  <c r="ON179" i="5"/>
  <c r="OG179" i="5"/>
  <c r="OO179" i="5"/>
  <c r="OE179" i="5"/>
  <c r="OJ179" i="5"/>
  <c r="OB179" i="5"/>
  <c r="OR179" i="5"/>
  <c r="OC179" i="5"/>
  <c r="OD179" i="5"/>
  <c r="OF178" i="5"/>
  <c r="OJ178" i="5"/>
  <c r="ON178" i="5"/>
  <c r="OR178" i="5"/>
  <c r="OG178" i="5"/>
  <c r="OK178" i="5"/>
  <c r="OO178" i="5"/>
  <c r="OS178" i="5"/>
  <c r="OI178" i="5"/>
  <c r="OQ178" i="5"/>
  <c r="OL178" i="5"/>
  <c r="OM178" i="5"/>
  <c r="OP178" i="5"/>
  <c r="OE178" i="5"/>
  <c r="OB178" i="5"/>
  <c r="OC178" i="5"/>
  <c r="OH178" i="5"/>
  <c r="OD178" i="5"/>
  <c r="OF176" i="5"/>
  <c r="OJ176" i="5"/>
  <c r="ON176" i="5"/>
  <c r="OR176" i="5"/>
  <c r="OG176" i="5"/>
  <c r="OK176" i="5"/>
  <c r="OO176" i="5"/>
  <c r="OS176" i="5"/>
  <c r="OM176" i="5"/>
  <c r="OH176" i="5"/>
  <c r="OP176" i="5"/>
  <c r="OI176" i="5"/>
  <c r="OQ176" i="5"/>
  <c r="OL176" i="5"/>
  <c r="OE176" i="5"/>
  <c r="OB176" i="5"/>
  <c r="OC176" i="5"/>
  <c r="OD176" i="5"/>
  <c r="OH175" i="5"/>
  <c r="OL175" i="5"/>
  <c r="OP175" i="5"/>
  <c r="OI175" i="5"/>
  <c r="OM175" i="5"/>
  <c r="OQ175" i="5"/>
  <c r="OK175" i="5"/>
  <c r="OS175" i="5"/>
  <c r="OF175" i="5"/>
  <c r="ON175" i="5"/>
  <c r="OG175" i="5"/>
  <c r="OO175" i="5"/>
  <c r="OE175" i="5"/>
  <c r="OB175" i="5"/>
  <c r="OJ175" i="5"/>
  <c r="OC175" i="5"/>
  <c r="OD175" i="5"/>
  <c r="OR175" i="5"/>
  <c r="OF174" i="5"/>
  <c r="OJ174" i="5"/>
  <c r="ON174" i="5"/>
  <c r="OR174" i="5"/>
  <c r="OG174" i="5"/>
  <c r="OK174" i="5"/>
  <c r="OO174" i="5"/>
  <c r="OS174" i="5"/>
  <c r="OH174" i="5"/>
  <c r="OL174" i="5"/>
  <c r="OQ174" i="5"/>
  <c r="OI174" i="5"/>
  <c r="OM174" i="5"/>
  <c r="OE174" i="5"/>
  <c r="OP174" i="5"/>
  <c r="OB174" i="5"/>
  <c r="CJ174" i="5" s="1"/>
  <c r="OC174" i="5"/>
  <c r="OD174" i="5"/>
  <c r="OH171" i="5"/>
  <c r="OL171" i="5"/>
  <c r="CJ171" i="5" s="1"/>
  <c r="OP171" i="5"/>
  <c r="OI171" i="5"/>
  <c r="OM171" i="5"/>
  <c r="OQ171" i="5"/>
  <c r="OF171" i="5"/>
  <c r="OJ171" i="5"/>
  <c r="ON171" i="5"/>
  <c r="OR171" i="5"/>
  <c r="OO171" i="5"/>
  <c r="OS171" i="5"/>
  <c r="OG171" i="5"/>
  <c r="OE171" i="5"/>
  <c r="OB171" i="5"/>
  <c r="OK171" i="5"/>
  <c r="OC171" i="5"/>
  <c r="OD171" i="5"/>
  <c r="OF167" i="5"/>
  <c r="OJ167" i="5"/>
  <c r="ON167" i="5"/>
  <c r="OR167" i="5"/>
  <c r="OG167" i="5"/>
  <c r="OK167" i="5"/>
  <c r="OO167" i="5"/>
  <c r="OS167" i="5"/>
  <c r="OH167" i="5"/>
  <c r="OL167" i="5"/>
  <c r="CJ167" i="5" s="1"/>
  <c r="OP167" i="5"/>
  <c r="OI167" i="5"/>
  <c r="OM167" i="5"/>
  <c r="OE167" i="5"/>
  <c r="OB167" i="5"/>
  <c r="OQ167" i="5"/>
  <c r="OC167" i="5"/>
  <c r="OD167" i="5"/>
  <c r="OH166" i="5"/>
  <c r="OL166" i="5"/>
  <c r="OP166" i="5"/>
  <c r="OI166" i="5"/>
  <c r="OM166" i="5"/>
  <c r="OQ166" i="5"/>
  <c r="CJ166" i="5" s="1"/>
  <c r="OF166" i="5"/>
  <c r="OJ166" i="5"/>
  <c r="ON166" i="5"/>
  <c r="OR166" i="5"/>
  <c r="OS166" i="5"/>
  <c r="OG166" i="5"/>
  <c r="OK166" i="5"/>
  <c r="OE166" i="5"/>
  <c r="OO166" i="5"/>
  <c r="OB166" i="5"/>
  <c r="OC166" i="5"/>
  <c r="OD166" i="5"/>
  <c r="OF163" i="5"/>
  <c r="OJ163" i="5"/>
  <c r="ON163" i="5"/>
  <c r="OR163" i="5"/>
  <c r="OG163" i="5"/>
  <c r="OK163" i="5"/>
  <c r="OO163" i="5"/>
  <c r="OS163" i="5"/>
  <c r="OH163" i="5"/>
  <c r="OL163" i="5"/>
  <c r="OP163" i="5"/>
  <c r="OM163" i="5"/>
  <c r="OQ163" i="5"/>
  <c r="OE163" i="5"/>
  <c r="OB163" i="5"/>
  <c r="OI163" i="5"/>
  <c r="OC163" i="5"/>
  <c r="CJ163" i="5" s="1"/>
  <c r="OD163" i="5"/>
  <c r="OH162" i="5"/>
  <c r="OL162" i="5"/>
  <c r="OP162" i="5"/>
  <c r="OI162" i="5"/>
  <c r="OM162" i="5"/>
  <c r="OQ162" i="5"/>
  <c r="OF162" i="5"/>
  <c r="OJ162" i="5"/>
  <c r="ON162" i="5"/>
  <c r="OR162" i="5"/>
  <c r="OK162" i="5"/>
  <c r="OO162" i="5"/>
  <c r="OS162" i="5"/>
  <c r="OE162" i="5"/>
  <c r="OG162" i="5"/>
  <c r="OB162" i="5"/>
  <c r="CJ162" i="5" s="1"/>
  <c r="OC162" i="5"/>
  <c r="OD162" i="5"/>
  <c r="OF161" i="5"/>
  <c r="OJ161" i="5"/>
  <c r="ON161" i="5"/>
  <c r="OR161" i="5"/>
  <c r="OG161" i="5"/>
  <c r="OK161" i="5"/>
  <c r="OO161" i="5"/>
  <c r="OS161" i="5"/>
  <c r="OH161" i="5"/>
  <c r="OL161" i="5"/>
  <c r="OP161" i="5"/>
  <c r="OI161" i="5"/>
  <c r="OM161" i="5"/>
  <c r="OQ161" i="5"/>
  <c r="OE161" i="5"/>
  <c r="OB161" i="5"/>
  <c r="OC161" i="5"/>
  <c r="OD161" i="5"/>
  <c r="OH160" i="5"/>
  <c r="OL160" i="5"/>
  <c r="OP160" i="5"/>
  <c r="OI160" i="5"/>
  <c r="OM160" i="5"/>
  <c r="OQ160" i="5"/>
  <c r="OF160" i="5"/>
  <c r="OJ160" i="5"/>
  <c r="ON160" i="5"/>
  <c r="OR160" i="5"/>
  <c r="OG160" i="5"/>
  <c r="OK160" i="5"/>
  <c r="OO160" i="5"/>
  <c r="OS160" i="5"/>
  <c r="OE160" i="5"/>
  <c r="OB160" i="5"/>
  <c r="CJ160" i="5" s="1"/>
  <c r="OC160" i="5"/>
  <c r="OD160" i="5"/>
  <c r="OF159" i="5"/>
  <c r="OJ159" i="5"/>
  <c r="ON159" i="5"/>
  <c r="OR159" i="5"/>
  <c r="OG159" i="5"/>
  <c r="CJ159" i="5" s="1"/>
  <c r="OK159" i="5"/>
  <c r="OO159" i="5"/>
  <c r="OS159" i="5"/>
  <c r="OH159" i="5"/>
  <c r="OL159" i="5"/>
  <c r="OP159" i="5"/>
  <c r="OI159" i="5"/>
  <c r="OM159" i="5"/>
  <c r="OE159" i="5"/>
  <c r="OB159" i="5"/>
  <c r="OC159" i="5"/>
  <c r="OD159" i="5"/>
  <c r="OQ159" i="5"/>
  <c r="OH158" i="5"/>
  <c r="OL158" i="5"/>
  <c r="OP158" i="5"/>
  <c r="OI158" i="5"/>
  <c r="OM158" i="5"/>
  <c r="OQ158" i="5"/>
  <c r="CJ158" i="5" s="1"/>
  <c r="OF158" i="5"/>
  <c r="OJ158" i="5"/>
  <c r="ON158" i="5"/>
  <c r="OR158" i="5"/>
  <c r="OS158" i="5"/>
  <c r="OG158" i="5"/>
  <c r="OK158" i="5"/>
  <c r="OE158" i="5"/>
  <c r="OB158" i="5"/>
  <c r="OO158" i="5"/>
  <c r="OC158" i="5"/>
  <c r="OD158" i="5"/>
  <c r="OF157" i="5"/>
  <c r="OJ157" i="5"/>
  <c r="ON157" i="5"/>
  <c r="OR157" i="5"/>
  <c r="OG157" i="5"/>
  <c r="OK157" i="5"/>
  <c r="OO157" i="5"/>
  <c r="OS157" i="5"/>
  <c r="OH157" i="5"/>
  <c r="OL157" i="5"/>
  <c r="OP157" i="5"/>
  <c r="OQ157" i="5"/>
  <c r="OI157" i="5"/>
  <c r="OE157" i="5"/>
  <c r="OM157" i="5"/>
  <c r="OB157" i="5"/>
  <c r="OC157" i="5"/>
  <c r="OD157" i="5"/>
  <c r="OH154" i="5"/>
  <c r="OL154" i="5"/>
  <c r="OP154" i="5"/>
  <c r="OI154" i="5"/>
  <c r="OM154" i="5"/>
  <c r="OQ154" i="5"/>
  <c r="OF154" i="5"/>
  <c r="OJ154" i="5"/>
  <c r="ON154" i="5"/>
  <c r="OR154" i="5"/>
  <c r="OK154" i="5"/>
  <c r="OO154" i="5"/>
  <c r="OS154" i="5"/>
  <c r="OE154" i="5"/>
  <c r="OB154" i="5"/>
  <c r="OG154" i="5"/>
  <c r="OC154" i="5"/>
  <c r="OD154" i="5"/>
  <c r="CJ154" i="5" s="1"/>
  <c r="OF153" i="5"/>
  <c r="OJ153" i="5"/>
  <c r="ON153" i="5"/>
  <c r="OR153" i="5"/>
  <c r="OG153" i="5"/>
  <c r="OK153" i="5"/>
  <c r="OO153" i="5"/>
  <c r="OS153" i="5"/>
  <c r="OH153" i="5"/>
  <c r="OL153" i="5"/>
  <c r="OP153" i="5"/>
  <c r="OI153" i="5"/>
  <c r="OM153" i="5"/>
  <c r="OQ153" i="5"/>
  <c r="OE153" i="5"/>
  <c r="CJ153" i="5" s="1"/>
  <c r="OB153" i="5"/>
  <c r="OC153" i="5"/>
  <c r="OD153" i="5"/>
  <c r="OH152" i="5"/>
  <c r="OL152" i="5"/>
  <c r="OP152" i="5"/>
  <c r="OI152" i="5"/>
  <c r="OM152" i="5"/>
  <c r="OQ152" i="5"/>
  <c r="OF152" i="5"/>
  <c r="OJ152" i="5"/>
  <c r="ON152" i="5"/>
  <c r="OR152" i="5"/>
  <c r="OG152" i="5"/>
  <c r="OK152" i="5"/>
  <c r="OO152" i="5"/>
  <c r="OE152" i="5"/>
  <c r="OS152" i="5"/>
  <c r="OB152" i="5"/>
  <c r="OC152" i="5"/>
  <c r="OD152" i="5"/>
  <c r="OF151" i="5"/>
  <c r="OJ151" i="5"/>
  <c r="ON151" i="5"/>
  <c r="OR151" i="5"/>
  <c r="OG151" i="5"/>
  <c r="OK151" i="5"/>
  <c r="OO151" i="5"/>
  <c r="OS151" i="5"/>
  <c r="OH151" i="5"/>
  <c r="OL151" i="5"/>
  <c r="OP151" i="5"/>
  <c r="OI151" i="5"/>
  <c r="OM151" i="5"/>
  <c r="OQ151" i="5"/>
  <c r="OE151" i="5"/>
  <c r="OB151" i="5"/>
  <c r="OC151" i="5"/>
  <c r="OD151" i="5"/>
  <c r="OH150" i="5"/>
  <c r="OL150" i="5"/>
  <c r="OP150" i="5"/>
  <c r="OI150" i="5"/>
  <c r="OM150" i="5"/>
  <c r="OQ150" i="5"/>
  <c r="OF150" i="5"/>
  <c r="OJ150" i="5"/>
  <c r="ON150" i="5"/>
  <c r="OR150" i="5"/>
  <c r="OS150" i="5"/>
  <c r="OG150" i="5"/>
  <c r="OK150" i="5"/>
  <c r="OE150" i="5"/>
  <c r="OB150" i="5"/>
  <c r="OC150" i="5"/>
  <c r="OO150" i="5"/>
  <c r="OD150" i="5"/>
  <c r="CJ150" i="5" s="1"/>
  <c r="OH148" i="5"/>
  <c r="OL148" i="5"/>
  <c r="OP148" i="5"/>
  <c r="OI148" i="5"/>
  <c r="OM148" i="5"/>
  <c r="OQ148" i="5"/>
  <c r="OF148" i="5"/>
  <c r="CJ148" i="5" s="1"/>
  <c r="OJ148" i="5"/>
  <c r="ON148" i="5"/>
  <c r="OR148" i="5"/>
  <c r="OO148" i="5"/>
  <c r="OS148" i="5"/>
  <c r="OG148" i="5"/>
  <c r="OE148" i="5"/>
  <c r="OK148" i="5"/>
  <c r="OB148" i="5"/>
  <c r="OC148" i="5"/>
  <c r="OD148" i="5"/>
  <c r="OF147" i="5"/>
  <c r="OJ147" i="5"/>
  <c r="ON147" i="5"/>
  <c r="OR147" i="5"/>
  <c r="OG147" i="5"/>
  <c r="OK147" i="5"/>
  <c r="OO147" i="5"/>
  <c r="OS147" i="5"/>
  <c r="OH147" i="5"/>
  <c r="OL147" i="5"/>
  <c r="OP147" i="5"/>
  <c r="OM147" i="5"/>
  <c r="OQ147" i="5"/>
  <c r="OI147" i="5"/>
  <c r="OE147" i="5"/>
  <c r="OB147" i="5"/>
  <c r="OC147" i="5"/>
  <c r="OD147" i="5"/>
  <c r="OF145" i="5"/>
  <c r="OJ145" i="5"/>
  <c r="ON145" i="5"/>
  <c r="OR145" i="5"/>
  <c r="OG145" i="5"/>
  <c r="OK145" i="5"/>
  <c r="OO145" i="5"/>
  <c r="OS145" i="5"/>
  <c r="OH145" i="5"/>
  <c r="OL145" i="5"/>
  <c r="OP145" i="5"/>
  <c r="OI145" i="5"/>
  <c r="OM145" i="5"/>
  <c r="OQ145" i="5"/>
  <c r="OE145" i="5"/>
  <c r="OB145" i="5"/>
  <c r="OC145" i="5"/>
  <c r="OD145" i="5"/>
  <c r="OH142" i="5"/>
  <c r="OL142" i="5"/>
  <c r="OP142" i="5"/>
  <c r="OI142" i="5"/>
  <c r="OM142" i="5"/>
  <c r="OQ142" i="5"/>
  <c r="OF142" i="5"/>
  <c r="OJ142" i="5"/>
  <c r="ON142" i="5"/>
  <c r="CJ142" i="5" s="1"/>
  <c r="OR142" i="5"/>
  <c r="OO142" i="5"/>
  <c r="OS142" i="5"/>
  <c r="OG142" i="5"/>
  <c r="OE142" i="5"/>
  <c r="OB142" i="5"/>
  <c r="OK142" i="5"/>
  <c r="OC142" i="5"/>
  <c r="OD142" i="5"/>
  <c r="OF141" i="5"/>
  <c r="OJ141" i="5"/>
  <c r="ON141" i="5"/>
  <c r="OR141" i="5"/>
  <c r="OG141" i="5"/>
  <c r="OK141" i="5"/>
  <c r="OO141" i="5"/>
  <c r="OS141" i="5"/>
  <c r="OH141" i="5"/>
  <c r="OL141" i="5"/>
  <c r="OP141" i="5"/>
  <c r="OM141" i="5"/>
  <c r="OQ141" i="5"/>
  <c r="OE141" i="5"/>
  <c r="OI141" i="5"/>
  <c r="OB141" i="5"/>
  <c r="OC141" i="5"/>
  <c r="OD141" i="5"/>
  <c r="OH140" i="5"/>
  <c r="OL140" i="5"/>
  <c r="OP140" i="5"/>
  <c r="OI140" i="5"/>
  <c r="OM140" i="5"/>
  <c r="OQ140" i="5"/>
  <c r="OF140" i="5"/>
  <c r="OJ140" i="5"/>
  <c r="ON140" i="5"/>
  <c r="OR140" i="5"/>
  <c r="OK140" i="5"/>
  <c r="OO140" i="5"/>
  <c r="OS140" i="5"/>
  <c r="OG140" i="5"/>
  <c r="OE140" i="5"/>
  <c r="OB140" i="5"/>
  <c r="OC140" i="5"/>
  <c r="OD140" i="5"/>
  <c r="OH138" i="5"/>
  <c r="OL138" i="5"/>
  <c r="OP138" i="5"/>
  <c r="OI138" i="5"/>
  <c r="OM138" i="5"/>
  <c r="OQ138" i="5"/>
  <c r="OF138" i="5"/>
  <c r="OJ138" i="5"/>
  <c r="ON138" i="5"/>
  <c r="OR138" i="5"/>
  <c r="OG138" i="5"/>
  <c r="OK138" i="5"/>
  <c r="OO138" i="5"/>
  <c r="OE138" i="5"/>
  <c r="OB138" i="5"/>
  <c r="OC138" i="5"/>
  <c r="CJ138" i="5" s="1"/>
  <c r="OD138" i="5"/>
  <c r="OS138" i="5"/>
  <c r="OF137" i="5"/>
  <c r="OJ137" i="5"/>
  <c r="ON137" i="5"/>
  <c r="OR137" i="5"/>
  <c r="OG137" i="5"/>
  <c r="OK137" i="5"/>
  <c r="OO137" i="5"/>
  <c r="OS137" i="5"/>
  <c r="OH137" i="5"/>
  <c r="OL137" i="5"/>
  <c r="OP137" i="5"/>
  <c r="OI137" i="5"/>
  <c r="OM137" i="5"/>
  <c r="OE137" i="5"/>
  <c r="OB137" i="5"/>
  <c r="OQ137" i="5"/>
  <c r="OC137" i="5"/>
  <c r="OD137" i="5"/>
  <c r="OH136" i="5"/>
  <c r="OL136" i="5"/>
  <c r="OP136" i="5"/>
  <c r="OI136" i="5"/>
  <c r="OM136" i="5"/>
  <c r="OQ136" i="5"/>
  <c r="OF136" i="5"/>
  <c r="OJ136" i="5"/>
  <c r="ON136" i="5"/>
  <c r="OR136" i="5"/>
  <c r="OS136" i="5"/>
  <c r="OG136" i="5"/>
  <c r="OK136" i="5"/>
  <c r="OE136" i="5"/>
  <c r="OO136" i="5"/>
  <c r="OB136" i="5"/>
  <c r="OC136" i="5"/>
  <c r="OD136" i="5"/>
  <c r="OF135" i="5"/>
  <c r="CJ135" i="5" s="1"/>
  <c r="OJ135" i="5"/>
  <c r="ON135" i="5"/>
  <c r="OR135" i="5"/>
  <c r="OG135" i="5"/>
  <c r="OK135" i="5"/>
  <c r="OO135" i="5"/>
  <c r="OS135" i="5"/>
  <c r="OH135" i="5"/>
  <c r="OL135" i="5"/>
  <c r="OP135" i="5"/>
  <c r="OQ135" i="5"/>
  <c r="OI135" i="5"/>
  <c r="OM135" i="5"/>
  <c r="OE135" i="5"/>
  <c r="OB135" i="5"/>
  <c r="OC135" i="5"/>
  <c r="OD135" i="5"/>
  <c r="OH134" i="5"/>
  <c r="OL134" i="5"/>
  <c r="OP134" i="5"/>
  <c r="OI134" i="5"/>
  <c r="OM134" i="5"/>
  <c r="OQ134" i="5"/>
  <c r="OF134" i="5"/>
  <c r="OJ134" i="5"/>
  <c r="ON134" i="5"/>
  <c r="OR134" i="5"/>
  <c r="OO134" i="5"/>
  <c r="OS134" i="5"/>
  <c r="OG134" i="5"/>
  <c r="OE134" i="5"/>
  <c r="OB134" i="5"/>
  <c r="OC134" i="5"/>
  <c r="CJ134" i="5" s="1"/>
  <c r="OK134" i="5"/>
  <c r="OD134" i="5"/>
  <c r="OH132" i="5"/>
  <c r="OL132" i="5"/>
  <c r="OP132" i="5"/>
  <c r="OI132" i="5"/>
  <c r="OM132" i="5"/>
  <c r="OQ132" i="5"/>
  <c r="OF132" i="5"/>
  <c r="OJ132" i="5"/>
  <c r="ON132" i="5"/>
  <c r="OR132" i="5"/>
  <c r="OK132" i="5"/>
  <c r="OO132" i="5"/>
  <c r="OS132" i="5"/>
  <c r="OE132" i="5"/>
  <c r="OG132" i="5"/>
  <c r="OB132" i="5"/>
  <c r="OC132" i="5"/>
  <c r="OD132" i="5"/>
  <c r="OH128" i="5"/>
  <c r="OL128" i="5"/>
  <c r="OP128" i="5"/>
  <c r="OI128" i="5"/>
  <c r="CJ128" i="5" s="1"/>
  <c r="OM128" i="5"/>
  <c r="OQ128" i="5"/>
  <c r="OF128" i="5"/>
  <c r="OJ128" i="5"/>
  <c r="ON128" i="5"/>
  <c r="OR128" i="5"/>
  <c r="OS128" i="5"/>
  <c r="OG128" i="5"/>
  <c r="OK128" i="5"/>
  <c r="OE128" i="5"/>
  <c r="OB128" i="5"/>
  <c r="OO128" i="5"/>
  <c r="OC128" i="5"/>
  <c r="OD128" i="5"/>
  <c r="OF127" i="5"/>
  <c r="OJ127" i="5"/>
  <c r="ON127" i="5"/>
  <c r="OR127" i="5"/>
  <c r="OG127" i="5"/>
  <c r="OK127" i="5"/>
  <c r="OO127" i="5"/>
  <c r="OS127" i="5"/>
  <c r="OH127" i="5"/>
  <c r="OL127" i="5"/>
  <c r="OP127" i="5"/>
  <c r="OQ127" i="5"/>
  <c r="OI127" i="5"/>
  <c r="OE127" i="5"/>
  <c r="OM127" i="5"/>
  <c r="CJ127" i="5" s="1"/>
  <c r="OB127" i="5"/>
  <c r="OC127" i="5"/>
  <c r="OD127" i="5"/>
  <c r="OH126" i="5"/>
  <c r="OL126" i="5"/>
  <c r="OP126" i="5"/>
  <c r="OI126" i="5"/>
  <c r="OM126" i="5"/>
  <c r="OQ126" i="5"/>
  <c r="OF126" i="5"/>
  <c r="OJ126" i="5"/>
  <c r="ON126" i="5"/>
  <c r="OR126" i="5"/>
  <c r="OO126" i="5"/>
  <c r="OS126" i="5"/>
  <c r="OG126" i="5"/>
  <c r="OK126" i="5"/>
  <c r="OE126" i="5"/>
  <c r="OB126" i="5"/>
  <c r="OC126" i="5"/>
  <c r="OD126" i="5"/>
  <c r="CJ126" i="5" s="1"/>
  <c r="OH125" i="5"/>
  <c r="OL125" i="5"/>
  <c r="OP125" i="5"/>
  <c r="OI125" i="5"/>
  <c r="OM125" i="5"/>
  <c r="OQ125" i="5"/>
  <c r="OF125" i="5"/>
  <c r="OJ125" i="5"/>
  <c r="ON125" i="5"/>
  <c r="OR125" i="5"/>
  <c r="OK125" i="5"/>
  <c r="OO125" i="5"/>
  <c r="OS125" i="5"/>
  <c r="OE125" i="5"/>
  <c r="OB125" i="5"/>
  <c r="OG125" i="5"/>
  <c r="OC125" i="5"/>
  <c r="OD125" i="5"/>
  <c r="OH123" i="5"/>
  <c r="OL123" i="5"/>
  <c r="OP123" i="5"/>
  <c r="OI123" i="5"/>
  <c r="OM123" i="5"/>
  <c r="OQ123" i="5"/>
  <c r="OF123" i="5"/>
  <c r="OJ123" i="5"/>
  <c r="ON123" i="5"/>
  <c r="OR123" i="5"/>
  <c r="OG123" i="5"/>
  <c r="OK123" i="5"/>
  <c r="OO123" i="5"/>
  <c r="OE123" i="5"/>
  <c r="OS123" i="5"/>
  <c r="OB123" i="5"/>
  <c r="OC123" i="5"/>
  <c r="OD123" i="5"/>
  <c r="OF122" i="5"/>
  <c r="OJ122" i="5"/>
  <c r="ON122" i="5"/>
  <c r="OR122" i="5"/>
  <c r="OG122" i="5"/>
  <c r="OK122" i="5"/>
  <c r="OO122" i="5"/>
  <c r="OS122" i="5"/>
  <c r="OH122" i="5"/>
  <c r="OL122" i="5"/>
  <c r="OP122" i="5"/>
  <c r="OI122" i="5"/>
  <c r="OM122" i="5"/>
  <c r="OQ122" i="5"/>
  <c r="OE122" i="5"/>
  <c r="OB122" i="5"/>
  <c r="OC122" i="5"/>
  <c r="OD122" i="5"/>
  <c r="OF120" i="5"/>
  <c r="OJ120" i="5"/>
  <c r="ON120" i="5"/>
  <c r="OR120" i="5"/>
  <c r="OG120" i="5"/>
  <c r="OK120" i="5"/>
  <c r="OO120" i="5"/>
  <c r="OS120" i="5"/>
  <c r="OH120" i="5"/>
  <c r="OL120" i="5"/>
  <c r="OP120" i="5"/>
  <c r="OQ120" i="5"/>
  <c r="OI120" i="5"/>
  <c r="OE120" i="5"/>
  <c r="OB120" i="5"/>
  <c r="OM120" i="5"/>
  <c r="OC120" i="5"/>
  <c r="OD120" i="5"/>
  <c r="OH119" i="5"/>
  <c r="OL119" i="5"/>
  <c r="OP119" i="5"/>
  <c r="OI119" i="5"/>
  <c r="OM119" i="5"/>
  <c r="OQ119" i="5"/>
  <c r="OF119" i="5"/>
  <c r="OJ119" i="5"/>
  <c r="ON119" i="5"/>
  <c r="OR119" i="5"/>
  <c r="OO119" i="5"/>
  <c r="OS119" i="5"/>
  <c r="OG119" i="5"/>
  <c r="OE119" i="5"/>
  <c r="OK119" i="5"/>
  <c r="OB119" i="5"/>
  <c r="OC119" i="5"/>
  <c r="OD119" i="5"/>
  <c r="OG118" i="5"/>
  <c r="OO118" i="5"/>
  <c r="OQ118" i="5"/>
  <c r="OE118" i="5"/>
  <c r="OH117" i="5"/>
  <c r="OL117" i="5"/>
  <c r="OP117" i="5"/>
  <c r="OI117" i="5"/>
  <c r="OM117" i="5"/>
  <c r="OQ117" i="5"/>
  <c r="OF117" i="5"/>
  <c r="OJ117" i="5"/>
  <c r="ON117" i="5"/>
  <c r="OR117" i="5"/>
  <c r="OK117" i="5"/>
  <c r="OO117" i="5"/>
  <c r="OS117" i="5"/>
  <c r="OE117" i="5"/>
  <c r="OB117" i="5"/>
  <c r="OC117" i="5"/>
  <c r="OG117" i="5"/>
  <c r="OD117" i="5"/>
  <c r="OF116" i="5"/>
  <c r="OJ116" i="5"/>
  <c r="ON116" i="5"/>
  <c r="OR116" i="5"/>
  <c r="OG116" i="5"/>
  <c r="OK116" i="5"/>
  <c r="OO116" i="5"/>
  <c r="OS116" i="5"/>
  <c r="OH116" i="5"/>
  <c r="OL116" i="5"/>
  <c r="OP116" i="5"/>
  <c r="OI116" i="5"/>
  <c r="OM116" i="5"/>
  <c r="OQ116" i="5"/>
  <c r="OE116" i="5"/>
  <c r="OB116" i="5"/>
  <c r="OC116" i="5"/>
  <c r="OD116" i="5"/>
  <c r="OH115" i="5"/>
  <c r="OL115" i="5"/>
  <c r="OP115" i="5"/>
  <c r="OI115" i="5"/>
  <c r="OM115" i="5"/>
  <c r="OQ115" i="5"/>
  <c r="OF115" i="5"/>
  <c r="OJ115" i="5"/>
  <c r="ON115" i="5"/>
  <c r="OR115" i="5"/>
  <c r="OG115" i="5"/>
  <c r="OK115" i="5"/>
  <c r="OO115" i="5"/>
  <c r="OE115" i="5"/>
  <c r="OB115" i="5"/>
  <c r="OS115" i="5"/>
  <c r="OC115" i="5"/>
  <c r="OD115" i="5"/>
  <c r="OF106" i="5"/>
  <c r="OJ106" i="5"/>
  <c r="ON106" i="5"/>
  <c r="OR106" i="5"/>
  <c r="OG106" i="5"/>
  <c r="OK106" i="5"/>
  <c r="OO106" i="5"/>
  <c r="OS106" i="5"/>
  <c r="OH106" i="5"/>
  <c r="OL106" i="5"/>
  <c r="OP106" i="5"/>
  <c r="OI106" i="5"/>
  <c r="OM106" i="5"/>
  <c r="OE106" i="5"/>
  <c r="OB106" i="5"/>
  <c r="OQ106" i="5"/>
  <c r="OC106" i="5"/>
  <c r="OD106" i="5"/>
  <c r="OH105" i="5"/>
  <c r="OL105" i="5"/>
  <c r="OP105" i="5"/>
  <c r="OI105" i="5"/>
  <c r="OM105" i="5"/>
  <c r="OQ105" i="5"/>
  <c r="OF105" i="5"/>
  <c r="OJ105" i="5"/>
  <c r="ON105" i="5"/>
  <c r="OR105" i="5"/>
  <c r="OS105" i="5"/>
  <c r="OG105" i="5"/>
  <c r="OK105" i="5"/>
  <c r="OE105" i="5"/>
  <c r="OO105" i="5"/>
  <c r="OB105" i="5"/>
  <c r="OC105" i="5"/>
  <c r="OD105" i="5"/>
  <c r="OH85" i="5"/>
  <c r="OL85" i="5"/>
  <c r="OP85" i="5"/>
  <c r="OI85" i="5"/>
  <c r="OM85" i="5"/>
  <c r="OQ85" i="5"/>
  <c r="OF85" i="5"/>
  <c r="OJ85" i="5"/>
  <c r="ON85" i="5"/>
  <c r="OR85" i="5"/>
  <c r="OK85" i="5"/>
  <c r="OO85" i="5"/>
  <c r="OS85" i="5"/>
  <c r="OE85" i="5"/>
  <c r="OB85" i="5"/>
  <c r="OC85" i="5"/>
  <c r="OG85" i="5"/>
  <c r="OD85" i="5"/>
  <c r="OF82" i="5"/>
  <c r="OJ82" i="5"/>
  <c r="ON82" i="5"/>
  <c r="OR82" i="5"/>
  <c r="OG82" i="5"/>
  <c r="OK82" i="5"/>
  <c r="OO82" i="5"/>
  <c r="OS82" i="5"/>
  <c r="OH82" i="5"/>
  <c r="OL82" i="5"/>
  <c r="OP82" i="5"/>
  <c r="OI82" i="5"/>
  <c r="OM82" i="5"/>
  <c r="OE82" i="5"/>
  <c r="OQ82" i="5"/>
  <c r="OB82" i="5"/>
  <c r="OC82" i="5"/>
  <c r="OD82" i="5"/>
  <c r="OH79" i="5"/>
  <c r="OP79" i="5"/>
  <c r="ON79" i="5"/>
  <c r="OO79" i="5"/>
  <c r="OC79" i="5"/>
  <c r="OF70" i="5"/>
  <c r="OO70" i="5"/>
  <c r="OH70" i="5"/>
  <c r="OB70" i="5"/>
  <c r="OC70" i="5"/>
  <c r="OH69" i="5"/>
  <c r="OL69" i="5"/>
  <c r="OP69" i="5"/>
  <c r="OI69" i="5"/>
  <c r="OM69" i="5"/>
  <c r="OQ69" i="5"/>
  <c r="OF69" i="5"/>
  <c r="OJ69" i="5"/>
  <c r="ON69" i="5"/>
  <c r="OR69" i="5"/>
  <c r="OK69" i="5"/>
  <c r="OO69" i="5"/>
  <c r="OS69" i="5"/>
  <c r="OE69" i="5"/>
  <c r="OG69" i="5"/>
  <c r="OB69" i="5"/>
  <c r="OC69" i="5"/>
  <c r="OD69" i="5"/>
  <c r="OH59" i="5"/>
  <c r="OL59" i="5"/>
  <c r="OP59" i="5"/>
  <c r="OI59" i="5"/>
  <c r="OM59" i="5"/>
  <c r="OQ59" i="5"/>
  <c r="OF59" i="5"/>
  <c r="OJ59" i="5"/>
  <c r="ON59" i="5"/>
  <c r="OR59" i="5"/>
  <c r="OG59" i="5"/>
  <c r="OK59" i="5"/>
  <c r="OO59" i="5"/>
  <c r="OE59" i="5"/>
  <c r="OS59" i="5"/>
  <c r="OB59" i="5"/>
  <c r="OC59" i="5"/>
  <c r="OD59" i="5"/>
  <c r="OF58" i="5"/>
  <c r="OJ58" i="5"/>
  <c r="ON58" i="5"/>
  <c r="OR58" i="5"/>
  <c r="OG58" i="5"/>
  <c r="OK58" i="5"/>
  <c r="OO58" i="5"/>
  <c r="OS58" i="5"/>
  <c r="OH58" i="5"/>
  <c r="OL58" i="5"/>
  <c r="OP58" i="5"/>
  <c r="OI58" i="5"/>
  <c r="OM58" i="5"/>
  <c r="OQ58" i="5"/>
  <c r="OE58" i="5"/>
  <c r="OB58" i="5"/>
  <c r="OC58" i="5"/>
  <c r="OD58" i="5"/>
  <c r="OH55" i="5"/>
  <c r="OL55" i="5"/>
  <c r="OP55" i="5"/>
  <c r="OI55" i="5"/>
  <c r="OM55" i="5"/>
  <c r="OQ55" i="5"/>
  <c r="OF55" i="5"/>
  <c r="OJ55" i="5"/>
  <c r="ON55" i="5"/>
  <c r="OR55" i="5"/>
  <c r="OO55" i="5"/>
  <c r="OS55" i="5"/>
  <c r="OG55" i="5"/>
  <c r="OE55" i="5"/>
  <c r="OK55" i="5"/>
  <c r="OB55" i="5"/>
  <c r="OC55" i="5"/>
  <c r="OD55" i="5"/>
  <c r="OF36" i="5"/>
  <c r="OJ36" i="5"/>
  <c r="ON36" i="5"/>
  <c r="OR36" i="5"/>
  <c r="OG36" i="5"/>
  <c r="OK36" i="5"/>
  <c r="OO36" i="5"/>
  <c r="OS36" i="5"/>
  <c r="OH36" i="5"/>
  <c r="OL36" i="5"/>
  <c r="OP36" i="5"/>
  <c r="OI36" i="5"/>
  <c r="OM36" i="5"/>
  <c r="OQ36" i="5"/>
  <c r="OE36" i="5"/>
  <c r="OB36" i="5"/>
  <c r="OC36" i="5"/>
  <c r="OD36" i="5"/>
  <c r="OP32" i="5"/>
  <c r="OH29" i="5"/>
  <c r="OL29" i="5"/>
  <c r="OP29" i="5"/>
  <c r="OI29" i="5"/>
  <c r="OM29" i="5"/>
  <c r="OQ29" i="5"/>
  <c r="OF29" i="5"/>
  <c r="OJ29" i="5"/>
  <c r="ON29" i="5"/>
  <c r="OR29" i="5"/>
  <c r="OK29" i="5"/>
  <c r="OO29" i="5"/>
  <c r="OS29" i="5"/>
  <c r="OE29" i="5"/>
  <c r="OB29" i="5"/>
  <c r="OG29" i="5"/>
  <c r="OC29" i="5"/>
  <c r="OD29" i="5"/>
  <c r="OP5" i="5"/>
  <c r="OF5" i="5"/>
  <c r="OK5" i="5"/>
  <c r="OG5" i="5"/>
  <c r="OA102" i="5"/>
  <c r="OA98" i="5"/>
  <c r="OA83" i="5"/>
  <c r="OA72" i="5"/>
  <c r="OA63" i="5"/>
  <c r="OA56" i="5"/>
  <c r="OA43" i="5"/>
  <c r="OA38" i="5"/>
  <c r="OA37" i="5"/>
  <c r="OA33" i="5"/>
  <c r="OA11" i="5"/>
  <c r="OA10" i="5"/>
  <c r="OA76" i="5"/>
  <c r="OA73" i="5"/>
  <c r="OA66" i="5"/>
  <c r="OA65" i="5"/>
  <c r="OA64" i="5"/>
  <c r="OA61" i="5"/>
  <c r="OA47" i="5"/>
  <c r="OA26" i="5"/>
  <c r="OA21" i="5"/>
  <c r="OA18" i="5"/>
  <c r="OA13" i="5"/>
  <c r="OA113" i="5"/>
  <c r="OA112" i="5"/>
  <c r="OA110" i="5"/>
  <c r="OA109" i="5"/>
  <c r="OA92" i="5"/>
  <c r="OA81" i="5"/>
  <c r="OA77" i="5"/>
  <c r="OA74" i="5"/>
  <c r="OA68" i="5"/>
  <c r="OA67" i="5"/>
  <c r="OA51" i="5"/>
  <c r="OA49" i="5"/>
  <c r="OA48" i="5"/>
  <c r="OA41" i="5"/>
  <c r="OA35" i="5"/>
  <c r="OA28" i="5"/>
  <c r="OA27" i="5"/>
  <c r="OA19" i="5"/>
  <c r="OA248" i="5"/>
  <c r="OA247" i="5"/>
  <c r="OA246" i="5"/>
  <c r="OA245" i="5"/>
  <c r="OA244" i="5"/>
  <c r="OA243" i="5"/>
  <c r="OA242" i="5"/>
  <c r="OA241" i="5"/>
  <c r="OA240" i="5"/>
  <c r="OA239" i="5"/>
  <c r="OA238" i="5"/>
  <c r="OA237" i="5"/>
  <c r="OA236" i="5"/>
  <c r="OA235" i="5"/>
  <c r="OA234" i="5"/>
  <c r="OA231" i="5"/>
  <c r="CJ231" i="5" s="1"/>
  <c r="OA230" i="5"/>
  <c r="OA229" i="5"/>
  <c r="OA228" i="5"/>
  <c r="OA227" i="5"/>
  <c r="OA226" i="5"/>
  <c r="OA225" i="5"/>
  <c r="OA224" i="5"/>
  <c r="OA223" i="5"/>
  <c r="OA222" i="5"/>
  <c r="OA221" i="5"/>
  <c r="OA220" i="5"/>
  <c r="OA219" i="5"/>
  <c r="OA218" i="5"/>
  <c r="OA217" i="5"/>
  <c r="OA216" i="5"/>
  <c r="OA215" i="5"/>
  <c r="OA214" i="5"/>
  <c r="OA212" i="5"/>
  <c r="OA208" i="5"/>
  <c r="OA206" i="5"/>
  <c r="OA204" i="5"/>
  <c r="OA202" i="5"/>
  <c r="OA201" i="5"/>
  <c r="OA200" i="5"/>
  <c r="OA199" i="5"/>
  <c r="OA198" i="5"/>
  <c r="OA197" i="5"/>
  <c r="OA196" i="5"/>
  <c r="OA195" i="5"/>
  <c r="OA194" i="5"/>
  <c r="OA192" i="5"/>
  <c r="OA191" i="5"/>
  <c r="OA190" i="5"/>
  <c r="OA189" i="5"/>
  <c r="OA188" i="5"/>
  <c r="OA187" i="5"/>
  <c r="OA186" i="5"/>
  <c r="OA184" i="5"/>
  <c r="OA183" i="5"/>
  <c r="OA182" i="5"/>
  <c r="OA181" i="5"/>
  <c r="OA180" i="5"/>
  <c r="OA179" i="5"/>
  <c r="OA178" i="5"/>
  <c r="OA176" i="5"/>
  <c r="OA175" i="5"/>
  <c r="OA174" i="5"/>
  <c r="OA171" i="5"/>
  <c r="OA167" i="5"/>
  <c r="OA166" i="5"/>
  <c r="OA163" i="5"/>
  <c r="OA162" i="5"/>
  <c r="OA161" i="5"/>
  <c r="OA160" i="5"/>
  <c r="OA159" i="5"/>
  <c r="OA158" i="5"/>
  <c r="OA157" i="5"/>
  <c r="OA154" i="5"/>
  <c r="OA153" i="5"/>
  <c r="OA152" i="5"/>
  <c r="OA151" i="5"/>
  <c r="OA150" i="5"/>
  <c r="OA148" i="5"/>
  <c r="OA147" i="5"/>
  <c r="OA145" i="5"/>
  <c r="OA142" i="5"/>
  <c r="OA141" i="5"/>
  <c r="OA140" i="5"/>
  <c r="OA138" i="5"/>
  <c r="OA137" i="5"/>
  <c r="OA136" i="5"/>
  <c r="OA135" i="5"/>
  <c r="OA134" i="5"/>
  <c r="OA132" i="5"/>
  <c r="OA128" i="5"/>
  <c r="OA127" i="5"/>
  <c r="OA126" i="5"/>
  <c r="OA125" i="5"/>
  <c r="OA123" i="5"/>
  <c r="OA122" i="5"/>
  <c r="OA120" i="5"/>
  <c r="OA119" i="5"/>
  <c r="OA117" i="5"/>
  <c r="OA116" i="5"/>
  <c r="OA115" i="5"/>
  <c r="OA106" i="5"/>
  <c r="OA105" i="5"/>
  <c r="OA85" i="5"/>
  <c r="OA82" i="5"/>
  <c r="OA79" i="5"/>
  <c r="OA69" i="5"/>
  <c r="OA59" i="5"/>
  <c r="OA58" i="5"/>
  <c r="OA55" i="5"/>
  <c r="OA36" i="5"/>
  <c r="OA29" i="5"/>
  <c r="OA5" i="5"/>
  <c r="QR117" i="5"/>
  <c r="CQ117" i="5" s="1"/>
  <c r="QR113" i="5"/>
  <c r="QR109" i="5"/>
  <c r="QR105" i="5"/>
  <c r="QR89" i="5"/>
  <c r="QR85" i="5"/>
  <c r="QR81" i="5"/>
  <c r="QR77" i="5"/>
  <c r="QR73" i="5"/>
  <c r="QR69" i="5"/>
  <c r="QR61" i="5"/>
  <c r="QR49" i="5"/>
  <c r="QR41" i="5"/>
  <c r="QR37" i="5"/>
  <c r="QR21" i="5"/>
  <c r="QR13" i="5"/>
  <c r="CQ13" i="5" s="1"/>
  <c r="QR7" i="5"/>
  <c r="QR119" i="5"/>
  <c r="QR115" i="5"/>
  <c r="QR111" i="5"/>
  <c r="CQ111" i="5" s="1"/>
  <c r="QR103" i="5"/>
  <c r="QR83" i="5"/>
  <c r="QR79" i="5"/>
  <c r="QR67" i="5"/>
  <c r="QR63" i="5"/>
  <c r="QR59" i="5"/>
  <c r="QR55" i="5"/>
  <c r="QR51" i="5"/>
  <c r="QR43" i="5"/>
  <c r="QR35" i="5"/>
  <c r="QR27" i="5"/>
  <c r="QR19" i="5"/>
  <c r="QR5" i="5"/>
  <c r="QR122" i="5"/>
  <c r="QR118" i="5"/>
  <c r="QR116" i="5"/>
  <c r="QR112" i="5"/>
  <c r="QR110" i="5"/>
  <c r="QR106" i="5"/>
  <c r="QR98" i="5"/>
  <c r="QR82" i="5"/>
  <c r="QR78" i="5"/>
  <c r="QR76" i="5"/>
  <c r="QR74" i="5"/>
  <c r="QR70" i="5"/>
  <c r="QR68" i="5"/>
  <c r="QR66" i="5"/>
  <c r="QR64" i="5"/>
  <c r="QR58" i="5"/>
  <c r="QR56" i="5"/>
  <c r="QR50" i="5"/>
  <c r="QR48" i="5"/>
  <c r="QR46" i="5"/>
  <c r="QR40" i="5"/>
  <c r="QR36" i="5"/>
  <c r="QR32" i="5"/>
  <c r="QR24" i="5"/>
  <c r="QR18" i="5"/>
  <c r="CQ18" i="5" s="1"/>
  <c r="QR8" i="5"/>
  <c r="QR4" i="5"/>
  <c r="NP245" i="5"/>
  <c r="NP236" i="5"/>
  <c r="NP230" i="5"/>
  <c r="NP224" i="5"/>
  <c r="NP204" i="5"/>
  <c r="NP186" i="5"/>
  <c r="NP171" i="5"/>
  <c r="NP166" i="5"/>
  <c r="NP160" i="5"/>
  <c r="NP154" i="5"/>
  <c r="NP151" i="5"/>
  <c r="NP145" i="5"/>
  <c r="NP141" i="5"/>
  <c r="NP135" i="5"/>
  <c r="NP248" i="5"/>
  <c r="NP242" i="5"/>
  <c r="NP239" i="5"/>
  <c r="NP227" i="5"/>
  <c r="NP221" i="5"/>
  <c r="NP217" i="5"/>
  <c r="NP215" i="5"/>
  <c r="NP189" i="5"/>
  <c r="NP183" i="5"/>
  <c r="NP180" i="5"/>
  <c r="NP174" i="5"/>
  <c r="NP163" i="5"/>
  <c r="NP157" i="5"/>
  <c r="NP148" i="5"/>
  <c r="NP138" i="5"/>
  <c r="NP132" i="5"/>
  <c r="NP126" i="5"/>
  <c r="NP246" i="5"/>
  <c r="NP243" i="5"/>
  <c r="NP240" i="5"/>
  <c r="NP237" i="5"/>
  <c r="NP234" i="5"/>
  <c r="NP231" i="5"/>
  <c r="NP228" i="5"/>
  <c r="NP225" i="5"/>
  <c r="NP222" i="5"/>
  <c r="NP219" i="5"/>
  <c r="NP218" i="5"/>
  <c r="NP214" i="5"/>
  <c r="NP212" i="5"/>
  <c r="NP202" i="5"/>
  <c r="NP192" i="5"/>
  <c r="NP190" i="5"/>
  <c r="NP187" i="5"/>
  <c r="NP184" i="5"/>
  <c r="NP181" i="5"/>
  <c r="NP178" i="5"/>
  <c r="NP175" i="5"/>
  <c r="NP167" i="5"/>
  <c r="NP161" i="5"/>
  <c r="NP158" i="5"/>
  <c r="NP152" i="5"/>
  <c r="NP142" i="5"/>
  <c r="NP136" i="5"/>
  <c r="NP127" i="5"/>
  <c r="NP125" i="5"/>
  <c r="NP247" i="5"/>
  <c r="NP244" i="5"/>
  <c r="NP241" i="5"/>
  <c r="NP238" i="5"/>
  <c r="NP235" i="5"/>
  <c r="NP229" i="5"/>
  <c r="NP226" i="5"/>
  <c r="NP223" i="5"/>
  <c r="NP220" i="5"/>
  <c r="NP216" i="5"/>
  <c r="NP208" i="5"/>
  <c r="NP206" i="5"/>
  <c r="NP191" i="5"/>
  <c r="NP188" i="5"/>
  <c r="NP182" i="5"/>
  <c r="NP179" i="5"/>
  <c r="NP176" i="5"/>
  <c r="NP162" i="5"/>
  <c r="NP159" i="5"/>
  <c r="NP153" i="5"/>
  <c r="NP150" i="5"/>
  <c r="NP147" i="5"/>
  <c r="NP140" i="5"/>
  <c r="NP137" i="5"/>
  <c r="NP134" i="5"/>
  <c r="NP128" i="5"/>
  <c r="NW7" i="5"/>
  <c r="OL8" i="5" l="1"/>
  <c r="OH78" i="5"/>
  <c r="OQ71" i="5"/>
  <c r="OT8" i="5"/>
  <c r="OU78" i="5"/>
  <c r="OH32" i="5"/>
  <c r="OH8" i="5"/>
  <c r="OS78" i="5"/>
  <c r="OM71" i="5"/>
  <c r="OV32" i="5"/>
  <c r="OS32" i="5"/>
  <c r="OS8" i="5"/>
  <c r="OO78" i="5"/>
  <c r="OP71" i="5"/>
  <c r="PE8" i="5"/>
  <c r="OX78" i="5"/>
  <c r="OT32" i="5"/>
  <c r="OA78" i="5"/>
  <c r="OO32" i="5"/>
  <c r="OO8" i="5"/>
  <c r="OK78" i="5"/>
  <c r="PA8" i="5"/>
  <c r="OT78" i="5"/>
  <c r="OK32" i="5"/>
  <c r="OK8" i="5"/>
  <c r="OG78" i="5"/>
  <c r="OW8" i="5"/>
  <c r="PF78" i="5"/>
  <c r="OG32" i="5"/>
  <c r="OG8" i="5"/>
  <c r="OR78" i="5"/>
  <c r="PH8" i="5"/>
  <c r="PB78" i="5"/>
  <c r="PG71" i="5"/>
  <c r="OA32" i="5"/>
  <c r="OA8" i="5"/>
  <c r="OR32" i="5"/>
  <c r="OR8" i="5"/>
  <c r="ON78" i="5"/>
  <c r="PD8" i="5"/>
  <c r="PE78" i="5"/>
  <c r="OX71" i="5"/>
  <c r="ON32" i="5"/>
  <c r="ON8" i="5"/>
  <c r="OD78" i="5"/>
  <c r="OJ78" i="5"/>
  <c r="OZ8" i="5"/>
  <c r="PA78" i="5"/>
  <c r="OZ61" i="5"/>
  <c r="OT71" i="5"/>
  <c r="OD32" i="5"/>
  <c r="OJ32" i="5"/>
  <c r="OD8" i="5"/>
  <c r="OJ8" i="5"/>
  <c r="OC78" i="5"/>
  <c r="OF78" i="5"/>
  <c r="OV8" i="5"/>
  <c r="OW78" i="5"/>
  <c r="PF61" i="5"/>
  <c r="PE71" i="5"/>
  <c r="OC32" i="5"/>
  <c r="OF32" i="5"/>
  <c r="OC8" i="5"/>
  <c r="OF8" i="5"/>
  <c r="OB78" i="5"/>
  <c r="PG8" i="5"/>
  <c r="PH78" i="5"/>
  <c r="OV71" i="5"/>
  <c r="OL32" i="5"/>
  <c r="OB32" i="5"/>
  <c r="OB8" i="5"/>
  <c r="OI78" i="5"/>
  <c r="PC8" i="5"/>
  <c r="PD78" i="5"/>
  <c r="OM32" i="5"/>
  <c r="OE8" i="5"/>
  <c r="OE78" i="5"/>
  <c r="OB71" i="5"/>
  <c r="OY8" i="5"/>
  <c r="OZ78" i="5"/>
  <c r="OE32" i="5"/>
  <c r="OM8" i="5"/>
  <c r="OQ78" i="5"/>
  <c r="OB61" i="5"/>
  <c r="OE71" i="5"/>
  <c r="OU8" i="5"/>
  <c r="OV78" i="5"/>
  <c r="OA71" i="5"/>
  <c r="OI32" i="5"/>
  <c r="OI8" i="5"/>
  <c r="OM78" i="5"/>
  <c r="ON61" i="5"/>
  <c r="OG71" i="5"/>
  <c r="PF8" i="5"/>
  <c r="PG78" i="5"/>
  <c r="OQ32" i="5"/>
  <c r="OQ8" i="5"/>
  <c r="OP78" i="5"/>
  <c r="OO71" i="5"/>
  <c r="PB8" i="5"/>
  <c r="PC78" i="5"/>
  <c r="OK97" i="5"/>
  <c r="CJ97" i="5" s="1"/>
  <c r="PC115" i="5"/>
  <c r="OU115" i="5"/>
  <c r="PH11" i="5"/>
  <c r="PG115" i="5"/>
  <c r="PD11" i="5"/>
  <c r="PF115" i="5"/>
  <c r="PF11" i="5"/>
  <c r="PB115" i="5"/>
  <c r="PB11" i="5"/>
  <c r="OX115" i="5"/>
  <c r="OT115" i="5"/>
  <c r="OA111" i="5"/>
  <c r="PE115" i="5"/>
  <c r="PA115" i="5"/>
  <c r="OW115" i="5"/>
  <c r="OW29" i="5"/>
  <c r="PH115" i="5"/>
  <c r="OU29" i="5"/>
  <c r="PD115" i="5"/>
  <c r="OZ115" i="5"/>
  <c r="OA40" i="5"/>
  <c r="OS97" i="5"/>
  <c r="OR97" i="5"/>
  <c r="ON97" i="5"/>
  <c r="OJ97" i="5"/>
  <c r="OF97" i="5"/>
  <c r="OG97" i="5"/>
  <c r="OQ97" i="5"/>
  <c r="OG103" i="5"/>
  <c r="OM97" i="5"/>
  <c r="OI97" i="5"/>
  <c r="OA97" i="5"/>
  <c r="OP97" i="5"/>
  <c r="OV5" i="5"/>
  <c r="OD97" i="5"/>
  <c r="OL97" i="5"/>
  <c r="OF40" i="5"/>
  <c r="OD111" i="5"/>
  <c r="OC97" i="5"/>
  <c r="OH97" i="5"/>
  <c r="OL111" i="5"/>
  <c r="OO97" i="5"/>
  <c r="OA103" i="5"/>
  <c r="OB97" i="5"/>
  <c r="OA87" i="5"/>
  <c r="PF106" i="5"/>
  <c r="OC111" i="5"/>
  <c r="OH111" i="5"/>
  <c r="OS103" i="5"/>
  <c r="OK111" i="5"/>
  <c r="OO103" i="5"/>
  <c r="OB111" i="5"/>
  <c r="ON103" i="5"/>
  <c r="OE111" i="5"/>
  <c r="OM103" i="5"/>
  <c r="OG111" i="5"/>
  <c r="OI103" i="5"/>
  <c r="OS111" i="5"/>
  <c r="OP103" i="5"/>
  <c r="OO111" i="5"/>
  <c r="OH103" i="5"/>
  <c r="OR111" i="5"/>
  <c r="OK87" i="5"/>
  <c r="ON111" i="5"/>
  <c r="ON87" i="5"/>
  <c r="OJ111" i="5"/>
  <c r="OP87" i="5"/>
  <c r="OF111" i="5"/>
  <c r="OQ111" i="5"/>
  <c r="OM111" i="5"/>
  <c r="OC40" i="5"/>
  <c r="OI111" i="5"/>
  <c r="OH40" i="5"/>
  <c r="OP111" i="5"/>
  <c r="OD103" i="5"/>
  <c r="PC40" i="5"/>
  <c r="PB87" i="5"/>
  <c r="OU103" i="5"/>
  <c r="PF103" i="5"/>
  <c r="PB103" i="5"/>
  <c r="PH103" i="5"/>
  <c r="PD103" i="5"/>
  <c r="PC111" i="5"/>
  <c r="OZ103" i="5"/>
  <c r="OX111" i="5"/>
  <c r="PH111" i="5"/>
  <c r="OV111" i="5"/>
  <c r="CJ237" i="5"/>
  <c r="CJ238" i="5"/>
  <c r="CJ38" i="5"/>
  <c r="CJ98" i="5"/>
  <c r="CJ59" i="5"/>
  <c r="CJ58" i="5"/>
  <c r="CJ21" i="5"/>
  <c r="CJ43" i="5"/>
  <c r="CJ51" i="5"/>
  <c r="CJ92" i="5"/>
  <c r="CJ76" i="5"/>
  <c r="CJ82" i="5"/>
  <c r="CJ47" i="5"/>
  <c r="CJ65" i="5"/>
  <c r="CJ37" i="5"/>
  <c r="CJ55" i="5"/>
  <c r="CJ49" i="5"/>
  <c r="CJ68" i="5"/>
  <c r="CJ81" i="5"/>
  <c r="OU117" i="5"/>
  <c r="PF117" i="5"/>
  <c r="PH117" i="5"/>
  <c r="CJ123" i="5"/>
  <c r="CJ115" i="5"/>
  <c r="CJ119" i="5"/>
  <c r="CJ116" i="5"/>
  <c r="CJ120" i="5"/>
  <c r="OU10" i="5"/>
  <c r="PH10" i="5"/>
  <c r="PD56" i="5"/>
  <c r="PB56" i="5"/>
  <c r="OV82" i="5"/>
  <c r="PF10" i="5"/>
  <c r="PD10" i="5"/>
  <c r="OZ56" i="5"/>
  <c r="OX56" i="5"/>
  <c r="OX10" i="5"/>
  <c r="OV10" i="5"/>
  <c r="PG56" i="5"/>
  <c r="PE56" i="5"/>
  <c r="PC120" i="5"/>
  <c r="OT10" i="5"/>
  <c r="PC56" i="5"/>
  <c r="PA56" i="5"/>
  <c r="OX102" i="5"/>
  <c r="OU105" i="5"/>
  <c r="OY120" i="5"/>
  <c r="PG10" i="5"/>
  <c r="PE10" i="5"/>
  <c r="OY56" i="5"/>
  <c r="OW56" i="5"/>
  <c r="OT102" i="5"/>
  <c r="OX82" i="5"/>
  <c r="PA120" i="5"/>
  <c r="PC10" i="5"/>
  <c r="PA10" i="5"/>
  <c r="OU56" i="5"/>
  <c r="OV102" i="5"/>
  <c r="OT82" i="5"/>
  <c r="OW120" i="5"/>
  <c r="OB40" i="5"/>
  <c r="OS40" i="5"/>
  <c r="OM110" i="5"/>
  <c r="OR110" i="5"/>
  <c r="OF18" i="5"/>
  <c r="OD66" i="5"/>
  <c r="OD33" i="5"/>
  <c r="OR33" i="5"/>
  <c r="OL33" i="5"/>
  <c r="OB72" i="5"/>
  <c r="OS72" i="5"/>
  <c r="OY40" i="5"/>
  <c r="OW40" i="5"/>
  <c r="OW110" i="5"/>
  <c r="OU110" i="5"/>
  <c r="PG18" i="5"/>
  <c r="OU66" i="5"/>
  <c r="PB33" i="5"/>
  <c r="OZ33" i="5"/>
  <c r="OV72" i="5"/>
  <c r="OT72" i="5"/>
  <c r="PH29" i="5"/>
  <c r="OC4" i="5"/>
  <c r="OE40" i="5"/>
  <c r="OO40" i="5"/>
  <c r="OB74" i="5"/>
  <c r="OP110" i="5"/>
  <c r="ON110" i="5"/>
  <c r="OD18" i="5"/>
  <c r="OP66" i="5"/>
  <c r="OC33" i="5"/>
  <c r="ON33" i="5"/>
  <c r="OH33" i="5"/>
  <c r="OE72" i="5"/>
  <c r="OO72" i="5"/>
  <c r="OU40" i="5"/>
  <c r="PH110" i="5"/>
  <c r="PC18" i="5"/>
  <c r="OX33" i="5"/>
  <c r="OV33" i="5"/>
  <c r="PG72" i="5"/>
  <c r="PE72" i="5"/>
  <c r="PF29" i="5"/>
  <c r="PD29" i="5"/>
  <c r="OM4" i="5"/>
  <c r="OM40" i="5"/>
  <c r="OK40" i="5"/>
  <c r="CJ40" i="5" s="1"/>
  <c r="OH74" i="5"/>
  <c r="OD110" i="5"/>
  <c r="OL110" i="5"/>
  <c r="OJ110" i="5"/>
  <c r="OC18" i="5"/>
  <c r="OL66" i="5"/>
  <c r="OO33" i="5"/>
  <c r="OJ33" i="5"/>
  <c r="CJ33" i="5" s="1"/>
  <c r="OM72" i="5"/>
  <c r="OK72" i="5"/>
  <c r="PH40" i="5"/>
  <c r="PF40" i="5"/>
  <c r="OX110" i="5"/>
  <c r="PD110" i="5"/>
  <c r="PE18" i="5"/>
  <c r="OT33" i="5"/>
  <c r="PG33" i="5"/>
  <c r="PC72" i="5"/>
  <c r="PA72" i="5"/>
  <c r="PB29" i="5"/>
  <c r="OZ29" i="5"/>
  <c r="OH4" i="5"/>
  <c r="OI40" i="5"/>
  <c r="OG40" i="5"/>
  <c r="ON74" i="5"/>
  <c r="OC110" i="5"/>
  <c r="OH110" i="5"/>
  <c r="OF110" i="5"/>
  <c r="OB18" i="5"/>
  <c r="OH66" i="5"/>
  <c r="OB33" i="5"/>
  <c r="OF33" i="5"/>
  <c r="OI72" i="5"/>
  <c r="OG72" i="5"/>
  <c r="PE4" i="5"/>
  <c r="PD40" i="5"/>
  <c r="PB40" i="5"/>
  <c r="PB74" i="5"/>
  <c r="OT110" i="5"/>
  <c r="OZ110" i="5"/>
  <c r="PA18" i="5"/>
  <c r="PE33" i="5"/>
  <c r="PC33" i="5"/>
  <c r="OY72" i="5"/>
  <c r="OW72" i="5"/>
  <c r="OX29" i="5"/>
  <c r="OV29" i="5"/>
  <c r="OG4" i="5"/>
  <c r="OQ40" i="5"/>
  <c r="OR40" i="5"/>
  <c r="OB110" i="5"/>
  <c r="OS110" i="5"/>
  <c r="OL18" i="5"/>
  <c r="ON66" i="5"/>
  <c r="OE33" i="5"/>
  <c r="OQ33" i="5"/>
  <c r="OQ72" i="5"/>
  <c r="OR72" i="5"/>
  <c r="PD4" i="5"/>
  <c r="OZ40" i="5"/>
  <c r="OX40" i="5"/>
  <c r="PD74" i="5"/>
  <c r="PF110" i="5"/>
  <c r="OV110" i="5"/>
  <c r="PA33" i="5"/>
  <c r="OY33" i="5"/>
  <c r="OU72" i="5"/>
  <c r="OT29" i="5"/>
  <c r="PG29" i="5"/>
  <c r="OW97" i="5"/>
  <c r="OF4" i="5"/>
  <c r="OP40" i="5"/>
  <c r="ON40" i="5"/>
  <c r="OI110" i="5"/>
  <c r="CJ110" i="5" s="1"/>
  <c r="OO110" i="5"/>
  <c r="OH18" i="5"/>
  <c r="OJ66" i="5"/>
  <c r="OK33" i="5"/>
  <c r="OM33" i="5"/>
  <c r="OP72" i="5"/>
  <c r="ON72" i="5"/>
  <c r="CJ72" i="5" s="1"/>
  <c r="PC4" i="5"/>
  <c r="OV40" i="5"/>
  <c r="OT40" i="5"/>
  <c r="OU74" i="5"/>
  <c r="PB110" i="5"/>
  <c r="PG110" i="5"/>
  <c r="PA66" i="5"/>
  <c r="OW33" i="5"/>
  <c r="OU33" i="5"/>
  <c r="PH72" i="5"/>
  <c r="PF72" i="5"/>
  <c r="PE29" i="5"/>
  <c r="PC29" i="5"/>
  <c r="PG97" i="5"/>
  <c r="OD40" i="5"/>
  <c r="OL40" i="5"/>
  <c r="OJ40" i="5"/>
  <c r="OE110" i="5"/>
  <c r="OK110" i="5"/>
  <c r="OS18" i="5"/>
  <c r="OF66" i="5"/>
  <c r="CJ66" i="5" s="1"/>
  <c r="OG33" i="5"/>
  <c r="OI33" i="5"/>
  <c r="OD72" i="5"/>
  <c r="OL72" i="5"/>
  <c r="OJ72" i="5"/>
  <c r="PB4" i="5"/>
  <c r="PG40" i="5"/>
  <c r="PE40" i="5"/>
  <c r="PE110" i="5"/>
  <c r="PC110" i="5"/>
  <c r="OW66" i="5"/>
  <c r="PH33" i="5"/>
  <c r="PD72" i="5"/>
  <c r="PB72" i="5"/>
  <c r="PA29" i="5"/>
  <c r="OY29" i="5"/>
  <c r="OX97" i="5"/>
  <c r="OA70" i="5"/>
  <c r="OI70" i="5"/>
  <c r="CJ70" i="5" s="1"/>
  <c r="OS70" i="5"/>
  <c r="OD79" i="5"/>
  <c r="OR79" i="5"/>
  <c r="OL79" i="5"/>
  <c r="OI118" i="5"/>
  <c r="OK118" i="5"/>
  <c r="OQ50" i="5"/>
  <c r="OO50" i="5"/>
  <c r="OD89" i="5"/>
  <c r="OR89" i="5"/>
  <c r="OL89" i="5"/>
  <c r="OF114" i="5"/>
  <c r="OS53" i="5"/>
  <c r="OM53" i="5"/>
  <c r="OD100" i="5"/>
  <c r="OL100" i="5"/>
  <c r="OJ100" i="5"/>
  <c r="OT24" i="5"/>
  <c r="PH50" i="5"/>
  <c r="PA89" i="5"/>
  <c r="OY89" i="5"/>
  <c r="OZ53" i="5"/>
  <c r="OX53" i="5"/>
  <c r="PH70" i="5"/>
  <c r="OY79" i="5"/>
  <c r="PE79" i="5"/>
  <c r="PF118" i="5"/>
  <c r="PD118" i="5"/>
  <c r="OB24" i="5"/>
  <c r="OE50" i="5"/>
  <c r="OK50" i="5"/>
  <c r="OO89" i="5"/>
  <c r="ON89" i="5"/>
  <c r="OH89" i="5"/>
  <c r="OD114" i="5"/>
  <c r="OO53" i="5"/>
  <c r="OI53" i="5"/>
  <c r="OI46" i="5"/>
  <c r="OC100" i="5"/>
  <c r="OH100" i="5"/>
  <c r="OF100" i="5"/>
  <c r="PB50" i="5"/>
  <c r="PD50" i="5"/>
  <c r="OW89" i="5"/>
  <c r="OU89" i="5"/>
  <c r="OV53" i="5"/>
  <c r="OT53" i="5"/>
  <c r="PF70" i="5"/>
  <c r="PD70" i="5"/>
  <c r="OU79" i="5"/>
  <c r="PA79" i="5"/>
  <c r="PB118" i="5"/>
  <c r="OZ118" i="5"/>
  <c r="OE70" i="5"/>
  <c r="OK70" i="5"/>
  <c r="OK79" i="5"/>
  <c r="OJ79" i="5"/>
  <c r="OM118" i="5"/>
  <c r="CJ118" i="5" s="1"/>
  <c r="OR118" i="5"/>
  <c r="OH24" i="5"/>
  <c r="OM50" i="5"/>
  <c r="OG50" i="5"/>
  <c r="OC89" i="5"/>
  <c r="CJ89" i="5" s="1"/>
  <c r="OJ89" i="5"/>
  <c r="OC114" i="5"/>
  <c r="OK53" i="5"/>
  <c r="OP53" i="5"/>
  <c r="OH46" i="5"/>
  <c r="OB100" i="5"/>
  <c r="OS100" i="5"/>
  <c r="OX50" i="5"/>
  <c r="OZ50" i="5"/>
  <c r="PH89" i="5"/>
  <c r="PF89" i="5"/>
  <c r="PG53" i="5"/>
  <c r="PH100" i="5"/>
  <c r="PB70" i="5"/>
  <c r="OZ70" i="5"/>
  <c r="PG79" i="5"/>
  <c r="OW79" i="5"/>
  <c r="OX118" i="5"/>
  <c r="OV118" i="5"/>
  <c r="OA118" i="5"/>
  <c r="OQ70" i="5"/>
  <c r="OG70" i="5"/>
  <c r="OB79" i="5"/>
  <c r="OF79" i="5"/>
  <c r="OP118" i="5"/>
  <c r="ON118" i="5"/>
  <c r="ON24" i="5"/>
  <c r="OI50" i="5"/>
  <c r="OR50" i="5"/>
  <c r="OB89" i="5"/>
  <c r="OF89" i="5"/>
  <c r="OP114" i="5"/>
  <c r="OD53" i="5"/>
  <c r="OR53" i="5"/>
  <c r="OL53" i="5"/>
  <c r="ON46" i="5"/>
  <c r="OE100" i="5"/>
  <c r="OO100" i="5"/>
  <c r="OT50" i="5"/>
  <c r="OV50" i="5"/>
  <c r="PD89" i="5"/>
  <c r="PB89" i="5"/>
  <c r="PB114" i="5"/>
  <c r="PE53" i="5"/>
  <c r="PC53" i="5"/>
  <c r="OY100" i="5"/>
  <c r="OX70" i="5"/>
  <c r="OV70" i="5"/>
  <c r="PC79" i="5"/>
  <c r="PH79" i="5"/>
  <c r="OT118" i="5"/>
  <c r="PG118" i="5"/>
  <c r="OA53" i="5"/>
  <c r="OM70" i="5"/>
  <c r="OR70" i="5"/>
  <c r="OE79" i="5"/>
  <c r="CJ79" i="5" s="1"/>
  <c r="OQ79" i="5"/>
  <c r="OD118" i="5"/>
  <c r="OL118" i="5"/>
  <c r="OJ118" i="5"/>
  <c r="OP50" i="5"/>
  <c r="ON50" i="5"/>
  <c r="OE89" i="5"/>
  <c r="OQ89" i="5"/>
  <c r="OL114" i="5"/>
  <c r="OG53" i="5"/>
  <c r="ON53" i="5"/>
  <c r="OH53" i="5"/>
  <c r="OQ100" i="5"/>
  <c r="OK100" i="5"/>
  <c r="PF50" i="5"/>
  <c r="PG50" i="5"/>
  <c r="OZ89" i="5"/>
  <c r="OX89" i="5"/>
  <c r="OX114" i="5"/>
  <c r="PA53" i="5"/>
  <c r="OY53" i="5"/>
  <c r="OT100" i="5"/>
  <c r="OT70" i="5"/>
  <c r="PG70" i="5"/>
  <c r="PF79" i="5"/>
  <c r="PD79" i="5"/>
  <c r="PE118" i="5"/>
  <c r="PC118" i="5"/>
  <c r="OA24" i="5"/>
  <c r="OA50" i="5"/>
  <c r="OA89" i="5"/>
  <c r="OA114" i="5"/>
  <c r="OA100" i="5"/>
  <c r="OP70" i="5"/>
  <c r="ON70" i="5"/>
  <c r="OG79" i="5"/>
  <c r="OM79" i="5"/>
  <c r="OC118" i="5"/>
  <c r="OH118" i="5"/>
  <c r="OF118" i="5"/>
  <c r="OD50" i="5"/>
  <c r="OL50" i="5"/>
  <c r="OJ50" i="5"/>
  <c r="OK89" i="5"/>
  <c r="OM89" i="5"/>
  <c r="OH114" i="5"/>
  <c r="OC53" i="5"/>
  <c r="OJ53" i="5"/>
  <c r="OM100" i="5"/>
  <c r="OG100" i="5"/>
  <c r="PE50" i="5"/>
  <c r="PC50" i="5"/>
  <c r="OV89" i="5"/>
  <c r="OT89" i="5"/>
  <c r="PD114" i="5"/>
  <c r="OW53" i="5"/>
  <c r="OU53" i="5"/>
  <c r="OW100" i="5"/>
  <c r="PE70" i="5"/>
  <c r="PC70" i="5"/>
  <c r="PB79" i="5"/>
  <c r="OZ79" i="5"/>
  <c r="PA118" i="5"/>
  <c r="OY118" i="5"/>
  <c r="OD70" i="5"/>
  <c r="OL70" i="5"/>
  <c r="OJ70" i="5"/>
  <c r="OS79" i="5"/>
  <c r="OI79" i="5"/>
  <c r="OB118" i="5"/>
  <c r="OS118" i="5"/>
  <c r="OC50" i="5"/>
  <c r="CJ50" i="5" s="1"/>
  <c r="OH50" i="5"/>
  <c r="OF50" i="5"/>
  <c r="OG89" i="5"/>
  <c r="OI89" i="5"/>
  <c r="ON114" i="5"/>
  <c r="OB53" i="5"/>
  <c r="CJ53" i="5" s="1"/>
  <c r="OF53" i="5"/>
  <c r="OI100" i="5"/>
  <c r="OR100" i="5"/>
  <c r="OW24" i="5"/>
  <c r="PA50" i="5"/>
  <c r="OY50" i="5"/>
  <c r="PG89" i="5"/>
  <c r="OZ114" i="5"/>
  <c r="PH53" i="5"/>
  <c r="PF53" i="5"/>
  <c r="PA70" i="5"/>
  <c r="OY70" i="5"/>
  <c r="OX79" i="5"/>
  <c r="OV79" i="5"/>
  <c r="OW118" i="5"/>
  <c r="OU118" i="5"/>
  <c r="OG83" i="5"/>
  <c r="OP83" i="5"/>
  <c r="PE7" i="5"/>
  <c r="PD41" i="5"/>
  <c r="PB41" i="5"/>
  <c r="PG77" i="5"/>
  <c r="PF111" i="5"/>
  <c r="PD111" i="5"/>
  <c r="OT21" i="5"/>
  <c r="OW73" i="5"/>
  <c r="PF37" i="5"/>
  <c r="PD37" i="5"/>
  <c r="PF83" i="5"/>
  <c r="PD83" i="5"/>
  <c r="PG32" i="5"/>
  <c r="PB55" i="5"/>
  <c r="OZ55" i="5"/>
  <c r="PB106" i="5"/>
  <c r="OV106" i="5"/>
  <c r="OD83" i="5"/>
  <c r="OR83" i="5"/>
  <c r="OL83" i="5"/>
  <c r="OZ41" i="5"/>
  <c r="OX41" i="5"/>
  <c r="OW77" i="5"/>
  <c r="PC77" i="5"/>
  <c r="PB111" i="5"/>
  <c r="OZ111" i="5"/>
  <c r="PA21" i="5"/>
  <c r="OV73" i="5"/>
  <c r="PB37" i="5"/>
  <c r="OZ37" i="5"/>
  <c r="PB83" i="5"/>
  <c r="OZ83" i="5"/>
  <c r="PE32" i="5"/>
  <c r="PC32" i="5"/>
  <c r="OX55" i="5"/>
  <c r="OV55" i="5"/>
  <c r="OX106" i="5"/>
  <c r="PG106" i="5"/>
  <c r="OZ21" i="5"/>
  <c r="PG73" i="5"/>
  <c r="OX37" i="5"/>
  <c r="OV37" i="5"/>
  <c r="OX83" i="5"/>
  <c r="OV83" i="5"/>
  <c r="PA32" i="5"/>
  <c r="OY32" i="5"/>
  <c r="OT55" i="5"/>
  <c r="PE106" i="5"/>
  <c r="PC106" i="5"/>
  <c r="OS83" i="5"/>
  <c r="OJ83" i="5"/>
  <c r="PG41" i="5"/>
  <c r="PA77" i="5"/>
  <c r="OU77" i="5"/>
  <c r="OT111" i="5"/>
  <c r="OV21" i="5"/>
  <c r="PC73" i="5"/>
  <c r="OT37" i="5"/>
  <c r="PG37" i="5"/>
  <c r="OT83" i="5"/>
  <c r="OW32" i="5"/>
  <c r="OU32" i="5"/>
  <c r="PG55" i="5"/>
  <c r="PE55" i="5"/>
  <c r="PA106" i="5"/>
  <c r="OY106" i="5"/>
  <c r="OB83" i="5"/>
  <c r="OF83" i="5"/>
  <c r="PE41" i="5"/>
  <c r="PC41" i="5"/>
  <c r="PH77" i="5"/>
  <c r="PF77" i="5"/>
  <c r="OY111" i="5"/>
  <c r="PE111" i="5"/>
  <c r="PG21" i="5"/>
  <c r="OU73" i="5"/>
  <c r="PE37" i="5"/>
  <c r="PC37" i="5"/>
  <c r="PC83" i="5"/>
  <c r="PE83" i="5"/>
  <c r="PH32" i="5"/>
  <c r="PF32" i="5"/>
  <c r="PC55" i="5"/>
  <c r="PA55" i="5"/>
  <c r="OW106" i="5"/>
  <c r="OU106" i="5"/>
  <c r="OE83" i="5"/>
  <c r="CJ83" i="5" s="1"/>
  <c r="OQ83" i="5"/>
  <c r="PH7" i="5"/>
  <c r="PA41" i="5"/>
  <c r="OY41" i="5"/>
  <c r="PD77" i="5"/>
  <c r="PB77" i="5"/>
  <c r="OU111" i="5"/>
  <c r="PA111" i="5"/>
  <c r="OY21" i="5"/>
  <c r="OT73" i="5"/>
  <c r="PA37" i="5"/>
  <c r="OY37" i="5"/>
  <c r="OY83" i="5"/>
  <c r="PA83" i="5"/>
  <c r="PD32" i="5"/>
  <c r="PB32" i="5"/>
  <c r="OY55" i="5"/>
  <c r="OW55" i="5"/>
  <c r="PH106" i="5"/>
  <c r="OO83" i="5"/>
  <c r="OM83" i="5"/>
  <c r="PG7" i="5"/>
  <c r="OW41" i="5"/>
  <c r="OU41" i="5"/>
  <c r="CJ41" i="5" s="1"/>
  <c r="OZ77" i="5"/>
  <c r="PG111" i="5"/>
  <c r="OW111" i="5"/>
  <c r="PB21" i="5"/>
  <c r="OW37" i="5"/>
  <c r="OU37" i="5"/>
  <c r="OU83" i="5"/>
  <c r="OW83" i="5"/>
  <c r="OZ32" i="5"/>
  <c r="OX32" i="5"/>
  <c r="OU55" i="5"/>
  <c r="PH55" i="5"/>
  <c r="OT106" i="5"/>
  <c r="PD106" i="5"/>
  <c r="CJ196" i="5"/>
  <c r="OY122" i="5"/>
  <c r="CJ122" i="5"/>
  <c r="PG46" i="5"/>
  <c r="CJ46" i="5"/>
  <c r="PG100" i="5"/>
  <c r="PE100" i="5"/>
  <c r="PE58" i="5"/>
  <c r="PC58" i="5"/>
  <c r="OV69" i="5"/>
  <c r="OT69" i="5"/>
  <c r="PD116" i="5"/>
  <c r="PF116" i="5"/>
  <c r="PC100" i="5"/>
  <c r="PA100" i="5"/>
  <c r="PA58" i="5"/>
  <c r="OY58" i="5"/>
  <c r="PG69" i="5"/>
  <c r="OZ116" i="5"/>
  <c r="PB116" i="5"/>
  <c r="OW58" i="5"/>
  <c r="OU58" i="5"/>
  <c r="PE69" i="5"/>
  <c r="PC69" i="5"/>
  <c r="OV116" i="5"/>
  <c r="OX116" i="5"/>
  <c r="PA46" i="5"/>
  <c r="OU100" i="5"/>
  <c r="PH58" i="5"/>
  <c r="PA69" i="5"/>
  <c r="OY69" i="5"/>
  <c r="PH116" i="5"/>
  <c r="OT116" i="5"/>
  <c r="PD100" i="5"/>
  <c r="PF100" i="5"/>
  <c r="OT58" i="5"/>
  <c r="PD58" i="5"/>
  <c r="OW69" i="5"/>
  <c r="OU69" i="5"/>
  <c r="PG116" i="5"/>
  <c r="PE116" i="5"/>
  <c r="OZ100" i="5"/>
  <c r="PB100" i="5"/>
  <c r="PF58" i="5"/>
  <c r="OZ58" i="5"/>
  <c r="PH69" i="5"/>
  <c r="PF69" i="5"/>
  <c r="PC116" i="5"/>
  <c r="PA116" i="5"/>
  <c r="OV100" i="5"/>
  <c r="OX100" i="5"/>
  <c r="PB58" i="5"/>
  <c r="OV58" i="5"/>
  <c r="PD69" i="5"/>
  <c r="PB69" i="5"/>
  <c r="OY116" i="5"/>
  <c r="OW116" i="5"/>
  <c r="OC11" i="5"/>
  <c r="OJ11" i="5"/>
  <c r="OC102" i="5"/>
  <c r="OH102" i="5"/>
  <c r="OF102" i="5"/>
  <c r="OZ27" i="5"/>
  <c r="OX27" i="5"/>
  <c r="OX51" i="5"/>
  <c r="OV51" i="5"/>
  <c r="OT114" i="5"/>
  <c r="OV114" i="5"/>
  <c r="OY18" i="5"/>
  <c r="OW18" i="5"/>
  <c r="PH66" i="5"/>
  <c r="OZ11" i="5"/>
  <c r="OX11" i="5"/>
  <c r="OT63" i="5"/>
  <c r="PE102" i="5"/>
  <c r="PC102" i="5"/>
  <c r="PF82" i="5"/>
  <c r="PG82" i="5"/>
  <c r="PD85" i="5"/>
  <c r="PB85" i="5"/>
  <c r="PD117" i="5"/>
  <c r="PB117" i="5"/>
  <c r="OU120" i="5"/>
  <c r="PH122" i="5"/>
  <c r="OK27" i="5"/>
  <c r="OI27" i="5"/>
  <c r="OQ28" i="5"/>
  <c r="OK28" i="5"/>
  <c r="OO51" i="5"/>
  <c r="OM51" i="5"/>
  <c r="OE67" i="5"/>
  <c r="OF67" i="5"/>
  <c r="OB114" i="5"/>
  <c r="OS114" i="5"/>
  <c r="OQ18" i="5"/>
  <c r="OO18" i="5"/>
  <c r="OD21" i="5"/>
  <c r="ON21" i="5"/>
  <c r="OH21" i="5"/>
  <c r="OC66" i="5"/>
  <c r="OS66" i="5"/>
  <c r="OD73" i="5"/>
  <c r="CJ73" i="5" s="1"/>
  <c r="OR73" i="5"/>
  <c r="OL73" i="5"/>
  <c r="OD63" i="5"/>
  <c r="OR63" i="5"/>
  <c r="OL63" i="5"/>
  <c r="OS71" i="5"/>
  <c r="OI71" i="5"/>
  <c r="OK103" i="5"/>
  <c r="OR103" i="5"/>
  <c r="OL103" i="5"/>
  <c r="OB11" i="5"/>
  <c r="OF11" i="5"/>
  <c r="OI102" i="5"/>
  <c r="OS102" i="5"/>
  <c r="OV27" i="5"/>
  <c r="OT27" i="5"/>
  <c r="PD28" i="5"/>
  <c r="PB28" i="5"/>
  <c r="OT51" i="5"/>
  <c r="PC67" i="5"/>
  <c r="PE67" i="5"/>
  <c r="PF114" i="5"/>
  <c r="PG114" i="5"/>
  <c r="OU18" i="5"/>
  <c r="PH18" i="5"/>
  <c r="PE21" i="5"/>
  <c r="PC21" i="5"/>
  <c r="PB66" i="5"/>
  <c r="PD66" i="5"/>
  <c r="PA73" i="5"/>
  <c r="OY73" i="5"/>
  <c r="OV11" i="5"/>
  <c r="OT11" i="5"/>
  <c r="OY63" i="5"/>
  <c r="PE63" i="5"/>
  <c r="PC71" i="5"/>
  <c r="PA71" i="5"/>
  <c r="PA102" i="5"/>
  <c r="OY102" i="5"/>
  <c r="OX103" i="5"/>
  <c r="OV103" i="5"/>
  <c r="PE82" i="5"/>
  <c r="PC82" i="5"/>
  <c r="OZ85" i="5"/>
  <c r="OX85" i="5"/>
  <c r="OZ117" i="5"/>
  <c r="OX117" i="5"/>
  <c r="PH120" i="5"/>
  <c r="PF120" i="5"/>
  <c r="OQ114" i="5"/>
  <c r="OO114" i="5"/>
  <c r="OE18" i="5"/>
  <c r="OK18" i="5"/>
  <c r="OB66" i="5"/>
  <c r="OO66" i="5"/>
  <c r="OC63" i="5"/>
  <c r="CJ63" i="5" s="1"/>
  <c r="ON63" i="5"/>
  <c r="OH63" i="5"/>
  <c r="OE11" i="5"/>
  <c r="OQ11" i="5"/>
  <c r="OB102" i="5"/>
  <c r="CJ102" i="5" s="1"/>
  <c r="OO102" i="5"/>
  <c r="PG27" i="5"/>
  <c r="PE27" i="5"/>
  <c r="PC51" i="5"/>
  <c r="PE51" i="5"/>
  <c r="PE114" i="5"/>
  <c r="PC114" i="5"/>
  <c r="PF18" i="5"/>
  <c r="PD18" i="5"/>
  <c r="OX66" i="5"/>
  <c r="OZ66" i="5"/>
  <c r="PG11" i="5"/>
  <c r="PE11" i="5"/>
  <c r="OU63" i="5"/>
  <c r="PA63" i="5"/>
  <c r="OY71" i="5"/>
  <c r="OW71" i="5"/>
  <c r="OW102" i="5"/>
  <c r="OU102" i="5"/>
  <c r="OT103" i="5"/>
  <c r="PA82" i="5"/>
  <c r="OY82" i="5"/>
  <c r="OV85" i="5"/>
  <c r="OT85" i="5"/>
  <c r="OV117" i="5"/>
  <c r="OT117" i="5"/>
  <c r="PD120" i="5"/>
  <c r="PB120" i="5"/>
  <c r="OD27" i="5"/>
  <c r="OR27" i="5"/>
  <c r="OL27" i="5"/>
  <c r="OG51" i="5"/>
  <c r="OP51" i="5"/>
  <c r="OE114" i="5"/>
  <c r="OK114" i="5"/>
  <c r="OM18" i="5"/>
  <c r="OG18" i="5"/>
  <c r="OB21" i="5"/>
  <c r="OF21" i="5"/>
  <c r="OE66" i="5"/>
  <c r="OK66" i="5"/>
  <c r="OB73" i="5"/>
  <c r="OJ73" i="5"/>
  <c r="OB63" i="5"/>
  <c r="OJ63" i="5"/>
  <c r="OK71" i="5"/>
  <c r="OR71" i="5"/>
  <c r="OL71" i="5"/>
  <c r="OC103" i="5"/>
  <c r="OJ103" i="5"/>
  <c r="OO11" i="5"/>
  <c r="OM11" i="5"/>
  <c r="OE102" i="5"/>
  <c r="OK102" i="5"/>
  <c r="PC27" i="5"/>
  <c r="PA27" i="5"/>
  <c r="OV28" i="5"/>
  <c r="OT28" i="5"/>
  <c r="OY51" i="5"/>
  <c r="PA51" i="5"/>
  <c r="OU67" i="5"/>
  <c r="OW67" i="5"/>
  <c r="PA114" i="5"/>
  <c r="OY114" i="5"/>
  <c r="PB18" i="5"/>
  <c r="OZ18" i="5"/>
  <c r="OW21" i="5"/>
  <c r="OU21" i="5"/>
  <c r="OT66" i="5"/>
  <c r="OV66" i="5"/>
  <c r="PH73" i="5"/>
  <c r="PF73" i="5"/>
  <c r="PC11" i="5"/>
  <c r="PA11" i="5"/>
  <c r="PG63" i="5"/>
  <c r="OW63" i="5"/>
  <c r="OU71" i="5"/>
  <c r="PH71" i="5"/>
  <c r="PH102" i="5"/>
  <c r="PG103" i="5"/>
  <c r="PE103" i="5"/>
  <c r="OW82" i="5"/>
  <c r="OU82" i="5"/>
  <c r="PG85" i="5"/>
  <c r="PG117" i="5"/>
  <c r="OZ120" i="5"/>
  <c r="OX120" i="5"/>
  <c r="OC27" i="5"/>
  <c r="ON27" i="5"/>
  <c r="OH27" i="5"/>
  <c r="CJ27" i="5" s="1"/>
  <c r="OP28" i="5"/>
  <c r="ON28" i="5"/>
  <c r="OD51" i="5"/>
  <c r="OR51" i="5"/>
  <c r="OL51" i="5"/>
  <c r="OK67" i="5"/>
  <c r="OI67" i="5"/>
  <c r="OM114" i="5"/>
  <c r="OG114" i="5"/>
  <c r="OI18" i="5"/>
  <c r="OR18" i="5"/>
  <c r="OE21" i="5"/>
  <c r="OQ21" i="5"/>
  <c r="OM66" i="5"/>
  <c r="OG66" i="5"/>
  <c r="OO73" i="5"/>
  <c r="OF73" i="5"/>
  <c r="OE63" i="5"/>
  <c r="OF63" i="5"/>
  <c r="OD71" i="5"/>
  <c r="ON71" i="5"/>
  <c r="OH71" i="5"/>
  <c r="OB103" i="5"/>
  <c r="OF103" i="5"/>
  <c r="OK11" i="5"/>
  <c r="OI11" i="5"/>
  <c r="OQ102" i="5"/>
  <c r="OG102" i="5"/>
  <c r="OY27" i="5"/>
  <c r="OW27" i="5"/>
  <c r="PG28" i="5"/>
  <c r="OU51" i="5"/>
  <c r="OW51" i="5"/>
  <c r="PG67" i="5"/>
  <c r="PH67" i="5"/>
  <c r="OW114" i="5"/>
  <c r="OU114" i="5"/>
  <c r="OX18" i="5"/>
  <c r="OV18" i="5"/>
  <c r="PH21" i="5"/>
  <c r="PF66" i="5"/>
  <c r="PG66" i="5"/>
  <c r="PD73" i="5"/>
  <c r="PB73" i="5"/>
  <c r="OY11" i="5"/>
  <c r="OW11" i="5"/>
  <c r="PC63" i="5"/>
  <c r="PH63" i="5"/>
  <c r="PF71" i="5"/>
  <c r="PD71" i="5"/>
  <c r="PF102" i="5"/>
  <c r="PD102" i="5"/>
  <c r="PC103" i="5"/>
  <c r="PA103" i="5"/>
  <c r="PH82" i="5"/>
  <c r="PE85" i="5"/>
  <c r="PC85" i="5"/>
  <c r="PE117" i="5"/>
  <c r="PC117" i="5"/>
  <c r="OV120" i="5"/>
  <c r="OT120" i="5"/>
  <c r="OB27" i="5"/>
  <c r="OJ27" i="5"/>
  <c r="OC51" i="5"/>
  <c r="ON51" i="5"/>
  <c r="OH51" i="5"/>
  <c r="OI114" i="5"/>
  <c r="OR114" i="5"/>
  <c r="OP18" i="5"/>
  <c r="ON18" i="5"/>
  <c r="OS21" i="5"/>
  <c r="OM21" i="5"/>
  <c r="OI66" i="5"/>
  <c r="OR66" i="5"/>
  <c r="OE73" i="5"/>
  <c r="OQ73" i="5"/>
  <c r="OK63" i="5"/>
  <c r="OQ63" i="5"/>
  <c r="OC71" i="5"/>
  <c r="OJ71" i="5"/>
  <c r="OE103" i="5"/>
  <c r="OQ103" i="5"/>
  <c r="OG11" i="5"/>
  <c r="OP11" i="5"/>
  <c r="OM102" i="5"/>
  <c r="OR102" i="5"/>
  <c r="OU27" i="5"/>
  <c r="PE28" i="5"/>
  <c r="PC28" i="5"/>
  <c r="PG51" i="5"/>
  <c r="PH51" i="5"/>
  <c r="PF67" i="5"/>
  <c r="PH114" i="5"/>
  <c r="OT18" i="5"/>
  <c r="PF21" i="5"/>
  <c r="PD21" i="5"/>
  <c r="PE66" i="5"/>
  <c r="PC66" i="5"/>
  <c r="OZ73" i="5"/>
  <c r="OX73" i="5"/>
  <c r="OU11" i="5"/>
  <c r="PF63" i="5"/>
  <c r="PD63" i="5"/>
  <c r="PB71" i="5"/>
  <c r="OZ71" i="5"/>
  <c r="PB102" i="5"/>
  <c r="OZ102" i="5"/>
  <c r="OY103" i="5"/>
  <c r="OW103" i="5"/>
  <c r="PB82" i="5"/>
  <c r="PD82" i="5"/>
  <c r="PA85" i="5"/>
  <c r="OY85" i="5"/>
  <c r="PD105" i="5"/>
  <c r="PA117" i="5"/>
  <c r="OY117" i="5"/>
  <c r="PG120" i="5"/>
  <c r="PE120" i="5"/>
  <c r="OT7" i="5"/>
  <c r="OZ13" i="5"/>
  <c r="OY61" i="5"/>
  <c r="PA87" i="5"/>
  <c r="OZ46" i="5"/>
  <c r="OZ98" i="5"/>
  <c r="OY5" i="5"/>
  <c r="PF36" i="5"/>
  <c r="PF97" i="5"/>
  <c r="PG122" i="5"/>
  <c r="PB24" i="5"/>
  <c r="PE48" i="5"/>
  <c r="PC74" i="5"/>
  <c r="OM24" i="5"/>
  <c r="CJ24" i="5" s="1"/>
  <c r="OL24" i="5"/>
  <c r="OR24" i="5"/>
  <c r="OC48" i="5"/>
  <c r="OL48" i="5"/>
  <c r="OR48" i="5"/>
  <c r="OQ74" i="5"/>
  <c r="OL74" i="5"/>
  <c r="OR74" i="5"/>
  <c r="OB113" i="5"/>
  <c r="OR113" i="5"/>
  <c r="OI113" i="5"/>
  <c r="OB13" i="5"/>
  <c r="OR13" i="5"/>
  <c r="OI13" i="5"/>
  <c r="OG61" i="5"/>
  <c r="OR61" i="5"/>
  <c r="OI61" i="5"/>
  <c r="OB87" i="5"/>
  <c r="OR87" i="5"/>
  <c r="OI87" i="5"/>
  <c r="OB46" i="5"/>
  <c r="OL46" i="5"/>
  <c r="OR46" i="5"/>
  <c r="OQ98" i="5"/>
  <c r="OP98" i="5"/>
  <c r="OG98" i="5"/>
  <c r="PA24" i="5"/>
  <c r="PG24" i="5"/>
  <c r="OX24" i="5"/>
  <c r="OV48" i="5"/>
  <c r="OU48" i="5"/>
  <c r="PA48" i="5"/>
  <c r="PF74" i="5"/>
  <c r="PH74" i="5"/>
  <c r="OY74" i="5"/>
  <c r="OW113" i="5"/>
  <c r="PG113" i="5"/>
  <c r="OX113" i="5"/>
  <c r="PE13" i="5"/>
  <c r="OV13" i="5"/>
  <c r="PD61" i="5"/>
  <c r="OU61" i="5"/>
  <c r="PF87" i="5"/>
  <c r="OW87" i="5"/>
  <c r="PE46" i="5"/>
  <c r="OV46" i="5"/>
  <c r="PE98" i="5"/>
  <c r="OV98" i="5"/>
  <c r="OW5" i="5"/>
  <c r="PE36" i="5"/>
  <c r="OV36" i="5"/>
  <c r="PB36" i="5"/>
  <c r="PA97" i="5"/>
  <c r="OV97" i="5"/>
  <c r="PB97" i="5"/>
  <c r="PH105" i="5"/>
  <c r="OY105" i="5"/>
  <c r="OT122" i="5"/>
  <c r="OW122" i="5"/>
  <c r="PC122" i="5"/>
  <c r="OE24" i="5"/>
  <c r="OS24" i="5"/>
  <c r="OJ24" i="5"/>
  <c r="OE48" i="5"/>
  <c r="OS48" i="5"/>
  <c r="OJ48" i="5"/>
  <c r="OE74" i="5"/>
  <c r="OS74" i="5"/>
  <c r="OJ74" i="5"/>
  <c r="OO113" i="5"/>
  <c r="OJ113" i="5"/>
  <c r="OL113" i="5"/>
  <c r="OG13" i="5"/>
  <c r="OJ13" i="5"/>
  <c r="OL13" i="5"/>
  <c r="OE61" i="5"/>
  <c r="OJ61" i="5"/>
  <c r="CJ61" i="5" s="1"/>
  <c r="OL61" i="5"/>
  <c r="OE87" i="5"/>
  <c r="OJ87" i="5"/>
  <c r="OL87" i="5"/>
  <c r="OE46" i="5"/>
  <c r="OS46" i="5"/>
  <c r="OJ46" i="5"/>
  <c r="OB98" i="5"/>
  <c r="OH98" i="5"/>
  <c r="ON98" i="5"/>
  <c r="PH24" i="5"/>
  <c r="OY24" i="5"/>
  <c r="PD48" i="5"/>
  <c r="PB48" i="5"/>
  <c r="OX74" i="5"/>
  <c r="OZ74" i="5"/>
  <c r="PH113" i="5"/>
  <c r="OY113" i="5"/>
  <c r="PF13" i="5"/>
  <c r="OW13" i="5"/>
  <c r="PC13" i="5"/>
  <c r="OW61" i="5"/>
  <c r="OV61" i="5"/>
  <c r="PB61" i="5"/>
  <c r="PG87" i="5"/>
  <c r="OX87" i="5"/>
  <c r="PD87" i="5"/>
  <c r="OX46" i="5"/>
  <c r="OW46" i="5"/>
  <c r="PC46" i="5"/>
  <c r="PB98" i="5"/>
  <c r="OW98" i="5"/>
  <c r="PC98" i="5"/>
  <c r="OU5" i="5"/>
  <c r="OW36" i="5"/>
  <c r="PC36" i="5"/>
  <c r="OT36" i="5"/>
  <c r="PE97" i="5"/>
  <c r="PC97" i="5"/>
  <c r="OT97" i="5"/>
  <c r="OZ105" i="5"/>
  <c r="PF105" i="5"/>
  <c r="PB122" i="5"/>
  <c r="PD122" i="5"/>
  <c r="OU122" i="5"/>
  <c r="OI24" i="5"/>
  <c r="OO24" i="5"/>
  <c r="OF24" i="5"/>
  <c r="OI48" i="5"/>
  <c r="OO48" i="5"/>
  <c r="OF48" i="5"/>
  <c r="CJ48" i="5" s="1"/>
  <c r="OM74" i="5"/>
  <c r="OO74" i="5"/>
  <c r="OF74" i="5"/>
  <c r="OK113" i="5"/>
  <c r="OF113" i="5"/>
  <c r="OH113" i="5"/>
  <c r="CJ113" i="5" s="1"/>
  <c r="OS13" i="5"/>
  <c r="OF13" i="5"/>
  <c r="OH13" i="5"/>
  <c r="OS61" i="5"/>
  <c r="OF61" i="5"/>
  <c r="OH61" i="5"/>
  <c r="OG87" i="5"/>
  <c r="CJ87" i="5" s="1"/>
  <c r="OF87" i="5"/>
  <c r="OH87" i="5"/>
  <c r="OQ46" i="5"/>
  <c r="OO46" i="5"/>
  <c r="OF46" i="5"/>
  <c r="OE98" i="5"/>
  <c r="OS98" i="5"/>
  <c r="OJ98" i="5"/>
  <c r="PD24" i="5"/>
  <c r="OU24" i="5"/>
  <c r="PG48" i="5"/>
  <c r="OX48" i="5"/>
  <c r="PE74" i="5"/>
  <c r="OV74" i="5"/>
  <c r="PD113" i="5"/>
  <c r="OU113" i="5"/>
  <c r="PB13" i="5"/>
  <c r="PH13" i="5"/>
  <c r="OY13" i="5"/>
  <c r="PE61" i="5"/>
  <c r="PG61" i="5"/>
  <c r="OX61" i="5"/>
  <c r="PC87" i="5"/>
  <c r="OT87" i="5"/>
  <c r="OZ87" i="5"/>
  <c r="OT46" i="5"/>
  <c r="PH46" i="5"/>
  <c r="OY46" i="5"/>
  <c r="OX98" i="5"/>
  <c r="PH98" i="5"/>
  <c r="OY98" i="5"/>
  <c r="PH36" i="5"/>
  <c r="OY36" i="5"/>
  <c r="PH97" i="5"/>
  <c r="OY97" i="5"/>
  <c r="PE105" i="5"/>
  <c r="OV105" i="5"/>
  <c r="PB105" i="5"/>
  <c r="OX122" i="5"/>
  <c r="OZ122" i="5"/>
  <c r="OD24" i="5"/>
  <c r="OQ24" i="5"/>
  <c r="OK24" i="5"/>
  <c r="OD48" i="5"/>
  <c r="OQ48" i="5"/>
  <c r="OK48" i="5"/>
  <c r="OD74" i="5"/>
  <c r="OI74" i="5"/>
  <c r="CJ74" i="5" s="1"/>
  <c r="OK74" i="5"/>
  <c r="OD113" i="5"/>
  <c r="OG113" i="5"/>
  <c r="OQ113" i="5"/>
  <c r="OD13" i="5"/>
  <c r="OO13" i="5"/>
  <c r="OQ13" i="5"/>
  <c r="OD61" i="5"/>
  <c r="OO61" i="5"/>
  <c r="OQ61" i="5"/>
  <c r="OD87" i="5"/>
  <c r="OS87" i="5"/>
  <c r="OQ87" i="5"/>
  <c r="OD46" i="5"/>
  <c r="OM46" i="5"/>
  <c r="OK46" i="5"/>
  <c r="OM98" i="5"/>
  <c r="OO98" i="5"/>
  <c r="OF98" i="5"/>
  <c r="OZ24" i="5"/>
  <c r="PF24" i="5"/>
  <c r="PC48" i="5"/>
  <c r="OT48" i="5"/>
  <c r="PA74" i="5"/>
  <c r="PG74" i="5"/>
  <c r="OZ113" i="5"/>
  <c r="PF113" i="5"/>
  <c r="OX13" i="5"/>
  <c r="PD13" i="5"/>
  <c r="OU13" i="5"/>
  <c r="PA61" i="5"/>
  <c r="PC61" i="5"/>
  <c r="OT61" i="5"/>
  <c r="OY87" i="5"/>
  <c r="PE87" i="5"/>
  <c r="OV87" i="5"/>
  <c r="PF46" i="5"/>
  <c r="PD46" i="5"/>
  <c r="OU46" i="5"/>
  <c r="OT98" i="5"/>
  <c r="PD98" i="5"/>
  <c r="OU98" i="5"/>
  <c r="PD36" i="5"/>
  <c r="OU36" i="5"/>
  <c r="PD97" i="5"/>
  <c r="OU97" i="5"/>
  <c r="PA105" i="5"/>
  <c r="PG105" i="5"/>
  <c r="OX105" i="5"/>
  <c r="PE122" i="5"/>
  <c r="OV122" i="5"/>
  <c r="OC24" i="5"/>
  <c r="OP24" i="5"/>
  <c r="OG24" i="5"/>
  <c r="OM48" i="5"/>
  <c r="OP48" i="5"/>
  <c r="OG48" i="5"/>
  <c r="OC74" i="5"/>
  <c r="OP74" i="5"/>
  <c r="OG74" i="5"/>
  <c r="OC113" i="5"/>
  <c r="OS113" i="5"/>
  <c r="OM113" i="5"/>
  <c r="OC13" i="5"/>
  <c r="OK13" i="5"/>
  <c r="OM13" i="5"/>
  <c r="OC61" i="5"/>
  <c r="OK61" i="5"/>
  <c r="OM61" i="5"/>
  <c r="OC87" i="5"/>
  <c r="OO87" i="5"/>
  <c r="OM87" i="5"/>
  <c r="OC46" i="5"/>
  <c r="OP46" i="5"/>
  <c r="OG46" i="5"/>
  <c r="OD98" i="5"/>
  <c r="OI98" i="5"/>
  <c r="OK98" i="5"/>
  <c r="PE24" i="5"/>
  <c r="OV24" i="5"/>
  <c r="OZ48" i="5"/>
  <c r="OY48" i="5"/>
  <c r="OT74" i="5"/>
  <c r="OW74" i="5"/>
  <c r="PA113" i="5"/>
  <c r="OV113" i="5"/>
  <c r="OT13" i="5"/>
  <c r="PH61" i="5"/>
  <c r="OU87" i="5"/>
  <c r="PB46" i="5"/>
  <c r="PF98" i="5"/>
  <c r="OX5" i="5"/>
  <c r="OZ36" i="5"/>
  <c r="OZ97" i="5"/>
  <c r="OW105" i="5"/>
  <c r="PC105" i="5"/>
  <c r="PA122" i="5"/>
  <c r="OA7" i="5"/>
  <c r="OD7" i="5"/>
  <c r="OE7" i="5"/>
  <c r="OR7" i="5"/>
  <c r="OQ7" i="5"/>
  <c r="OL7" i="5"/>
  <c r="PD7" i="5"/>
  <c r="PC7" i="5"/>
  <c r="PB7" i="5"/>
  <c r="PA7" i="5"/>
  <c r="OK7" i="5"/>
  <c r="OG7" i="5"/>
  <c r="ON7" i="5"/>
  <c r="OM7" i="5"/>
  <c r="OH7" i="5"/>
  <c r="OZ7" i="5"/>
  <c r="OY7" i="5"/>
  <c r="OX7" i="5"/>
  <c r="OW7" i="5"/>
  <c r="OC7" i="5"/>
  <c r="OS7" i="5"/>
  <c r="OJ7" i="5"/>
  <c r="OI7" i="5"/>
  <c r="OV7" i="5"/>
  <c r="OU7" i="5"/>
  <c r="OI4" i="5"/>
  <c r="OR4" i="5"/>
  <c r="OX4" i="5"/>
  <c r="OA4" i="5"/>
  <c r="OD5" i="5"/>
  <c r="OE5" i="5"/>
  <c r="OR5" i="5"/>
  <c r="OQ5" i="5"/>
  <c r="OL5" i="5"/>
  <c r="OB4" i="5"/>
  <c r="OS4" i="5"/>
  <c r="PA4" i="5"/>
  <c r="OZ4" i="5"/>
  <c r="OY4" i="5"/>
  <c r="OT5" i="5"/>
  <c r="PH5" i="5"/>
  <c r="PG5" i="5"/>
  <c r="OC5" i="5"/>
  <c r="OS5" i="5"/>
  <c r="ON5" i="5"/>
  <c r="OM5" i="5"/>
  <c r="OH5" i="5"/>
  <c r="OE4" i="5"/>
  <c r="OP4" i="5"/>
  <c r="OO4" i="5"/>
  <c r="ON4" i="5"/>
  <c r="OW4" i="5"/>
  <c r="OV4" i="5"/>
  <c r="OU4" i="5"/>
  <c r="OT4" i="5"/>
  <c r="PF5" i="5"/>
  <c r="PE5" i="5"/>
  <c r="PD5" i="5"/>
  <c r="PC5" i="5"/>
  <c r="OB5" i="5"/>
  <c r="OO5" i="5"/>
  <c r="OJ5" i="5"/>
  <c r="OI5" i="5"/>
  <c r="OD4" i="5"/>
  <c r="OQ4" i="5"/>
  <c r="OL4" i="5"/>
  <c r="OK4" i="5"/>
  <c r="OJ4" i="5"/>
  <c r="PH4" i="5"/>
  <c r="PG4" i="5"/>
  <c r="PF4" i="5"/>
  <c r="PB5" i="5"/>
  <c r="PA5" i="5"/>
  <c r="OZ5" i="5"/>
  <c r="QT8" i="5"/>
  <c r="QX8" i="5"/>
  <c r="RB8" i="5"/>
  <c r="RF8" i="5"/>
  <c r="RJ8" i="5"/>
  <c r="RN8" i="5"/>
  <c r="RR8" i="5"/>
  <c r="QU8" i="5"/>
  <c r="QY8" i="5"/>
  <c r="RC8" i="5"/>
  <c r="RG8" i="5"/>
  <c r="RK8" i="5"/>
  <c r="CQ8" i="5" s="1"/>
  <c r="RO8" i="5"/>
  <c r="RS8" i="5"/>
  <c r="QV8" i="5"/>
  <c r="QZ8" i="5"/>
  <c r="RD8" i="5"/>
  <c r="RH8" i="5"/>
  <c r="RL8" i="5"/>
  <c r="RP8" i="5"/>
  <c r="RT8" i="5"/>
  <c r="RE8" i="5"/>
  <c r="RU8" i="5"/>
  <c r="RI8" i="5"/>
  <c r="RM8" i="5"/>
  <c r="RQ8" i="5"/>
  <c r="QW8" i="5"/>
  <c r="RA8" i="5"/>
  <c r="QW24" i="5"/>
  <c r="RA24" i="5"/>
  <c r="RE24" i="5"/>
  <c r="RI24" i="5"/>
  <c r="RM24" i="5"/>
  <c r="RQ24" i="5"/>
  <c r="RU24" i="5"/>
  <c r="QT24" i="5"/>
  <c r="QX24" i="5"/>
  <c r="RB24" i="5"/>
  <c r="QU24" i="5"/>
  <c r="RC24" i="5"/>
  <c r="RH24" i="5"/>
  <c r="RN24" i="5"/>
  <c r="RS24" i="5"/>
  <c r="CQ24" i="5" s="1"/>
  <c r="QV24" i="5"/>
  <c r="RD24" i="5"/>
  <c r="RJ24" i="5"/>
  <c r="RO24" i="5"/>
  <c r="RT24" i="5"/>
  <c r="QY24" i="5"/>
  <c r="RF24" i="5"/>
  <c r="RK24" i="5"/>
  <c r="RP24" i="5"/>
  <c r="RL24" i="5"/>
  <c r="RR24" i="5"/>
  <c r="QZ24" i="5"/>
  <c r="RG24" i="5"/>
  <c r="QW32" i="5"/>
  <c r="RA32" i="5"/>
  <c r="RE32" i="5"/>
  <c r="RI32" i="5"/>
  <c r="RM32" i="5"/>
  <c r="RQ32" i="5"/>
  <c r="RU32" i="5"/>
  <c r="QT32" i="5"/>
  <c r="QY32" i="5"/>
  <c r="RD32" i="5"/>
  <c r="RJ32" i="5"/>
  <c r="RO32" i="5"/>
  <c r="RT32" i="5"/>
  <c r="QU32" i="5"/>
  <c r="QZ32" i="5"/>
  <c r="RF32" i="5"/>
  <c r="RK32" i="5"/>
  <c r="RP32" i="5"/>
  <c r="QV32" i="5"/>
  <c r="RB32" i="5"/>
  <c r="RG32" i="5"/>
  <c r="RL32" i="5"/>
  <c r="RR32" i="5"/>
  <c r="QX32" i="5"/>
  <c r="RS32" i="5"/>
  <c r="CQ32" i="5" s="1"/>
  <c r="RC32" i="5"/>
  <c r="RH32" i="5"/>
  <c r="RN32" i="5"/>
  <c r="QW36" i="5"/>
  <c r="RA36" i="5"/>
  <c r="RE36" i="5"/>
  <c r="RI36" i="5"/>
  <c r="RM36" i="5"/>
  <c r="CQ36" i="5" s="1"/>
  <c r="RQ36" i="5"/>
  <c r="RU36" i="5"/>
  <c r="QT36" i="5"/>
  <c r="QY36" i="5"/>
  <c r="RD36" i="5"/>
  <c r="RJ36" i="5"/>
  <c r="RO36" i="5"/>
  <c r="RT36" i="5"/>
  <c r="QU36" i="5"/>
  <c r="QZ36" i="5"/>
  <c r="RF36" i="5"/>
  <c r="RK36" i="5"/>
  <c r="RP36" i="5"/>
  <c r="QV36" i="5"/>
  <c r="RB36" i="5"/>
  <c r="RG36" i="5"/>
  <c r="RL36" i="5"/>
  <c r="RR36" i="5"/>
  <c r="RN36" i="5"/>
  <c r="QX36" i="5"/>
  <c r="RS36" i="5"/>
  <c r="RC36" i="5"/>
  <c r="RH36" i="5"/>
  <c r="QW40" i="5"/>
  <c r="RA40" i="5"/>
  <c r="RE40" i="5"/>
  <c r="RI40" i="5"/>
  <c r="RM40" i="5"/>
  <c r="RQ40" i="5"/>
  <c r="RU40" i="5"/>
  <c r="QT40" i="5"/>
  <c r="QY40" i="5"/>
  <c r="RD40" i="5"/>
  <c r="RJ40" i="5"/>
  <c r="RO40" i="5"/>
  <c r="RT40" i="5"/>
  <c r="QU40" i="5"/>
  <c r="QZ40" i="5"/>
  <c r="CQ40" i="5" s="1"/>
  <c r="RF40" i="5"/>
  <c r="RK40" i="5"/>
  <c r="RP40" i="5"/>
  <c r="QV40" i="5"/>
  <c r="RB40" i="5"/>
  <c r="RG40" i="5"/>
  <c r="RL40" i="5"/>
  <c r="RR40" i="5"/>
  <c r="RH40" i="5"/>
  <c r="RN40" i="5"/>
  <c r="QX40" i="5"/>
  <c r="RS40" i="5"/>
  <c r="RC40" i="5"/>
  <c r="QT48" i="5"/>
  <c r="QX48" i="5"/>
  <c r="RB48" i="5"/>
  <c r="RF48" i="5"/>
  <c r="RJ48" i="5"/>
  <c r="RN48" i="5"/>
  <c r="RR48" i="5"/>
  <c r="QV48" i="5"/>
  <c r="RA48" i="5"/>
  <c r="RG48" i="5"/>
  <c r="RL48" i="5"/>
  <c r="RQ48" i="5"/>
  <c r="QW48" i="5"/>
  <c r="RC48" i="5"/>
  <c r="RH48" i="5"/>
  <c r="RM48" i="5"/>
  <c r="RS48" i="5"/>
  <c r="CQ48" i="5" s="1"/>
  <c r="QY48" i="5"/>
  <c r="RD48" i="5"/>
  <c r="RI48" i="5"/>
  <c r="RK48" i="5"/>
  <c r="RU48" i="5"/>
  <c r="QU48" i="5"/>
  <c r="RO48" i="5"/>
  <c r="QZ48" i="5"/>
  <c r="RP48" i="5"/>
  <c r="RE48" i="5"/>
  <c r="RT48" i="5"/>
  <c r="QW56" i="5"/>
  <c r="RA56" i="5"/>
  <c r="RE56" i="5"/>
  <c r="RI56" i="5"/>
  <c r="RM56" i="5"/>
  <c r="CQ56" i="5" s="1"/>
  <c r="RQ56" i="5"/>
  <c r="RU56" i="5"/>
  <c r="QT56" i="5"/>
  <c r="QX56" i="5"/>
  <c r="RB56" i="5"/>
  <c r="RF56" i="5"/>
  <c r="RJ56" i="5"/>
  <c r="RN56" i="5"/>
  <c r="RR56" i="5"/>
  <c r="QZ56" i="5"/>
  <c r="RH56" i="5"/>
  <c r="RP56" i="5"/>
  <c r="QU56" i="5"/>
  <c r="RC56" i="5"/>
  <c r="RK56" i="5"/>
  <c r="RS56" i="5"/>
  <c r="QV56" i="5"/>
  <c r="RD56" i="5"/>
  <c r="RL56" i="5"/>
  <c r="RT56" i="5"/>
  <c r="RG56" i="5"/>
  <c r="RO56" i="5"/>
  <c r="QY56" i="5"/>
  <c r="QW64" i="5"/>
  <c r="RA64" i="5"/>
  <c r="RE64" i="5"/>
  <c r="RI64" i="5"/>
  <c r="RM64" i="5"/>
  <c r="RQ64" i="5"/>
  <c r="RU64" i="5"/>
  <c r="CQ64" i="5" s="1"/>
  <c r="QT64" i="5"/>
  <c r="QX64" i="5"/>
  <c r="RB64" i="5"/>
  <c r="RF64" i="5"/>
  <c r="RJ64" i="5"/>
  <c r="RN64" i="5"/>
  <c r="RR64" i="5"/>
  <c r="QZ64" i="5"/>
  <c r="RH64" i="5"/>
  <c r="RP64" i="5"/>
  <c r="QU64" i="5"/>
  <c r="RC64" i="5"/>
  <c r="RK64" i="5"/>
  <c r="RS64" i="5"/>
  <c r="QV64" i="5"/>
  <c r="RD64" i="5"/>
  <c r="RL64" i="5"/>
  <c r="RT64" i="5"/>
  <c r="RG64" i="5"/>
  <c r="RO64" i="5"/>
  <c r="QY64" i="5"/>
  <c r="QW68" i="5"/>
  <c r="RA68" i="5"/>
  <c r="RE68" i="5"/>
  <c r="RI68" i="5"/>
  <c r="RM68" i="5"/>
  <c r="QT68" i="5"/>
  <c r="QY68" i="5"/>
  <c r="RD68" i="5"/>
  <c r="RJ68" i="5"/>
  <c r="RO68" i="5"/>
  <c r="RS68" i="5"/>
  <c r="QU68" i="5"/>
  <c r="QZ68" i="5"/>
  <c r="RF68" i="5"/>
  <c r="RK68" i="5"/>
  <c r="RP68" i="5"/>
  <c r="RT68" i="5"/>
  <c r="QV68" i="5"/>
  <c r="RB68" i="5"/>
  <c r="RG68" i="5"/>
  <c r="RL68" i="5"/>
  <c r="RQ68" i="5"/>
  <c r="RU68" i="5"/>
  <c r="RN68" i="5"/>
  <c r="QX68" i="5"/>
  <c r="RR68" i="5"/>
  <c r="CQ68" i="5" s="1"/>
  <c r="RC68" i="5"/>
  <c r="RH68" i="5"/>
  <c r="QU76" i="5"/>
  <c r="QY76" i="5"/>
  <c r="RC76" i="5"/>
  <c r="RG76" i="5"/>
  <c r="RK76" i="5"/>
  <c r="RO76" i="5"/>
  <c r="RS76" i="5"/>
  <c r="QV76" i="5"/>
  <c r="QZ76" i="5"/>
  <c r="RD76" i="5"/>
  <c r="RH76" i="5"/>
  <c r="RL76" i="5"/>
  <c r="RP76" i="5"/>
  <c r="RT76" i="5"/>
  <c r="QW76" i="5"/>
  <c r="RA76" i="5"/>
  <c r="RE76" i="5"/>
  <c r="RI76" i="5"/>
  <c r="RM76" i="5"/>
  <c r="RQ76" i="5"/>
  <c r="RU76" i="5"/>
  <c r="QX76" i="5"/>
  <c r="RN76" i="5"/>
  <c r="RB76" i="5"/>
  <c r="RR76" i="5"/>
  <c r="CQ76" i="5" s="1"/>
  <c r="RF76" i="5"/>
  <c r="RJ76" i="5"/>
  <c r="QT76" i="5"/>
  <c r="QW112" i="5"/>
  <c r="RA112" i="5"/>
  <c r="RE112" i="5"/>
  <c r="RI112" i="5"/>
  <c r="RM112" i="5"/>
  <c r="RQ112" i="5"/>
  <c r="RU112" i="5"/>
  <c r="QT112" i="5"/>
  <c r="QX112" i="5"/>
  <c r="RB112" i="5"/>
  <c r="RF112" i="5"/>
  <c r="RJ112" i="5"/>
  <c r="RN112" i="5"/>
  <c r="RR112" i="5"/>
  <c r="QU112" i="5"/>
  <c r="QY112" i="5"/>
  <c r="RC112" i="5"/>
  <c r="CQ112" i="5" s="1"/>
  <c r="RG112" i="5"/>
  <c r="RK112" i="5"/>
  <c r="RO112" i="5"/>
  <c r="RS112" i="5"/>
  <c r="RD112" i="5"/>
  <c r="RT112" i="5"/>
  <c r="RH112" i="5"/>
  <c r="QV112" i="5"/>
  <c r="RL112" i="5"/>
  <c r="QZ112" i="5"/>
  <c r="RP112" i="5"/>
  <c r="QW116" i="5"/>
  <c r="RA116" i="5"/>
  <c r="RE116" i="5"/>
  <c r="RI116" i="5"/>
  <c r="RM116" i="5"/>
  <c r="RQ116" i="5"/>
  <c r="RU116" i="5"/>
  <c r="QT116" i="5"/>
  <c r="QX116" i="5"/>
  <c r="RB116" i="5"/>
  <c r="RF116" i="5"/>
  <c r="RJ116" i="5"/>
  <c r="RN116" i="5"/>
  <c r="RR116" i="5"/>
  <c r="QU116" i="5"/>
  <c r="RC116" i="5"/>
  <c r="RK116" i="5"/>
  <c r="RS116" i="5"/>
  <c r="QV116" i="5"/>
  <c r="RD116" i="5"/>
  <c r="RL116" i="5"/>
  <c r="RT116" i="5"/>
  <c r="QY116" i="5"/>
  <c r="RG116" i="5"/>
  <c r="RO116" i="5"/>
  <c r="QZ116" i="5"/>
  <c r="RH116" i="5"/>
  <c r="RP116" i="5"/>
  <c r="QW19" i="5"/>
  <c r="RA19" i="5"/>
  <c r="RE19" i="5"/>
  <c r="RI19" i="5"/>
  <c r="RM19" i="5"/>
  <c r="RQ19" i="5"/>
  <c r="CQ19" i="5" s="1"/>
  <c r="RU19" i="5"/>
  <c r="QT19" i="5"/>
  <c r="QX19" i="5"/>
  <c r="RB19" i="5"/>
  <c r="RF19" i="5"/>
  <c r="RJ19" i="5"/>
  <c r="RN19" i="5"/>
  <c r="RR19" i="5"/>
  <c r="QY19" i="5"/>
  <c r="RG19" i="5"/>
  <c r="RO19" i="5"/>
  <c r="QZ19" i="5"/>
  <c r="RH19" i="5"/>
  <c r="RP19" i="5"/>
  <c r="QU19" i="5"/>
  <c r="RC19" i="5"/>
  <c r="RK19" i="5"/>
  <c r="RS19" i="5"/>
  <c r="QV19" i="5"/>
  <c r="RD19" i="5"/>
  <c r="RL19" i="5"/>
  <c r="RT19" i="5"/>
  <c r="QW27" i="5"/>
  <c r="RA27" i="5"/>
  <c r="RE27" i="5"/>
  <c r="RI27" i="5"/>
  <c r="RM27" i="5"/>
  <c r="RQ27" i="5"/>
  <c r="RU27" i="5"/>
  <c r="CQ27" i="5" s="1"/>
  <c r="QT27" i="5"/>
  <c r="QX27" i="5"/>
  <c r="RB27" i="5"/>
  <c r="RF27" i="5"/>
  <c r="RJ27" i="5"/>
  <c r="RN27" i="5"/>
  <c r="RR27" i="5"/>
  <c r="QU27" i="5"/>
  <c r="QY27" i="5"/>
  <c r="RC27" i="5"/>
  <c r="RG27" i="5"/>
  <c r="RK27" i="5"/>
  <c r="RO27" i="5"/>
  <c r="RS27" i="5"/>
  <c r="RD27" i="5"/>
  <c r="RT27" i="5"/>
  <c r="RH27" i="5"/>
  <c r="QV27" i="5"/>
  <c r="RL27" i="5"/>
  <c r="QZ27" i="5"/>
  <c r="RP27" i="5"/>
  <c r="QW35" i="5"/>
  <c r="RA35" i="5"/>
  <c r="RE35" i="5"/>
  <c r="RI35" i="5"/>
  <c r="RM35" i="5"/>
  <c r="RQ35" i="5"/>
  <c r="RU35" i="5"/>
  <c r="QU35" i="5"/>
  <c r="QZ35" i="5"/>
  <c r="RF35" i="5"/>
  <c r="RK35" i="5"/>
  <c r="RP35" i="5"/>
  <c r="QV35" i="5"/>
  <c r="RB35" i="5"/>
  <c r="RG35" i="5"/>
  <c r="RL35" i="5"/>
  <c r="RR35" i="5"/>
  <c r="QX35" i="5"/>
  <c r="RC35" i="5"/>
  <c r="RH35" i="5"/>
  <c r="RN35" i="5"/>
  <c r="CQ35" i="5" s="1"/>
  <c r="RS35" i="5"/>
  <c r="QY35" i="5"/>
  <c r="RT35" i="5"/>
  <c r="RD35" i="5"/>
  <c r="RJ35" i="5"/>
  <c r="QT35" i="5"/>
  <c r="RO35" i="5"/>
  <c r="QT43" i="5"/>
  <c r="QX43" i="5"/>
  <c r="RB43" i="5"/>
  <c r="RF43" i="5"/>
  <c r="RJ43" i="5"/>
  <c r="RN43" i="5"/>
  <c r="RR43" i="5"/>
  <c r="QU43" i="5"/>
  <c r="QV43" i="5"/>
  <c r="QZ43" i="5"/>
  <c r="RD43" i="5"/>
  <c r="RH43" i="5"/>
  <c r="RL43" i="5"/>
  <c r="RP43" i="5"/>
  <c r="RT43" i="5"/>
  <c r="RC43" i="5"/>
  <c r="CQ43" i="5" s="1"/>
  <c r="RK43" i="5"/>
  <c r="RS43" i="5"/>
  <c r="QW43" i="5"/>
  <c r="RE43" i="5"/>
  <c r="RM43" i="5"/>
  <c r="RU43" i="5"/>
  <c r="QY43" i="5"/>
  <c r="RG43" i="5"/>
  <c r="RO43" i="5"/>
  <c r="RA43" i="5"/>
  <c r="RI43" i="5"/>
  <c r="RQ43" i="5"/>
  <c r="QT51" i="5"/>
  <c r="QX51" i="5"/>
  <c r="RB51" i="5"/>
  <c r="RF51" i="5"/>
  <c r="RJ51" i="5"/>
  <c r="RN51" i="5"/>
  <c r="RR51" i="5"/>
  <c r="QW51" i="5"/>
  <c r="RC51" i="5"/>
  <c r="RH51" i="5"/>
  <c r="RM51" i="5"/>
  <c r="RS51" i="5"/>
  <c r="QY51" i="5"/>
  <c r="RD51" i="5"/>
  <c r="RI51" i="5"/>
  <c r="RO51" i="5"/>
  <c r="CQ51" i="5" s="1"/>
  <c r="RT51" i="5"/>
  <c r="RA51" i="5"/>
  <c r="RL51" i="5"/>
  <c r="QU51" i="5"/>
  <c r="RE51" i="5"/>
  <c r="RP51" i="5"/>
  <c r="QV51" i="5"/>
  <c r="RG51" i="5"/>
  <c r="RQ51" i="5"/>
  <c r="QZ51" i="5"/>
  <c r="RK51" i="5"/>
  <c r="RU51" i="5"/>
  <c r="QW59" i="5"/>
  <c r="RA59" i="5"/>
  <c r="RE59" i="5"/>
  <c r="RI59" i="5"/>
  <c r="RM59" i="5"/>
  <c r="RQ59" i="5"/>
  <c r="RU59" i="5"/>
  <c r="QT59" i="5"/>
  <c r="QX59" i="5"/>
  <c r="RB59" i="5"/>
  <c r="RF59" i="5"/>
  <c r="RJ59" i="5"/>
  <c r="RN59" i="5"/>
  <c r="RR59" i="5"/>
  <c r="QV59" i="5"/>
  <c r="RD59" i="5"/>
  <c r="RL59" i="5"/>
  <c r="RT59" i="5"/>
  <c r="QY59" i="5"/>
  <c r="RG59" i="5"/>
  <c r="RO59" i="5"/>
  <c r="CQ59" i="5" s="1"/>
  <c r="QZ59" i="5"/>
  <c r="RH59" i="5"/>
  <c r="RP59" i="5"/>
  <c r="RS59" i="5"/>
  <c r="QU59" i="5"/>
  <c r="RC59" i="5"/>
  <c r="RK59" i="5"/>
  <c r="QW67" i="5"/>
  <c r="RA67" i="5"/>
  <c r="RE67" i="5"/>
  <c r="RI67" i="5"/>
  <c r="RM67" i="5"/>
  <c r="RQ67" i="5"/>
  <c r="RU67" i="5"/>
  <c r="QT67" i="5"/>
  <c r="QX67" i="5"/>
  <c r="RB67" i="5"/>
  <c r="RF67" i="5"/>
  <c r="RJ67" i="5"/>
  <c r="RN67" i="5"/>
  <c r="RR67" i="5"/>
  <c r="QV67" i="5"/>
  <c r="RD67" i="5"/>
  <c r="RL67" i="5"/>
  <c r="RT67" i="5"/>
  <c r="QY67" i="5"/>
  <c r="RG67" i="5"/>
  <c r="RO67" i="5"/>
  <c r="QZ67" i="5"/>
  <c r="RH67" i="5"/>
  <c r="RP67" i="5"/>
  <c r="RS67" i="5"/>
  <c r="QU67" i="5"/>
  <c r="RC67" i="5"/>
  <c r="RK67" i="5"/>
  <c r="QU83" i="5"/>
  <c r="QY83" i="5"/>
  <c r="RC83" i="5"/>
  <c r="RG83" i="5"/>
  <c r="RK83" i="5"/>
  <c r="RO83" i="5"/>
  <c r="RS83" i="5"/>
  <c r="QV83" i="5"/>
  <c r="QZ83" i="5"/>
  <c r="RD83" i="5"/>
  <c r="RH83" i="5"/>
  <c r="RL83" i="5"/>
  <c r="RP83" i="5"/>
  <c r="RT83" i="5"/>
  <c r="QW83" i="5"/>
  <c r="RE83" i="5"/>
  <c r="RM83" i="5"/>
  <c r="RU83" i="5"/>
  <c r="QX83" i="5"/>
  <c r="RF83" i="5"/>
  <c r="RN83" i="5"/>
  <c r="RA83" i="5"/>
  <c r="RI83" i="5"/>
  <c r="RQ83" i="5"/>
  <c r="RR83" i="5"/>
  <c r="QT83" i="5"/>
  <c r="RB83" i="5"/>
  <c r="RJ83" i="5"/>
  <c r="QW115" i="5"/>
  <c r="RA115" i="5"/>
  <c r="RE115" i="5"/>
  <c r="RI115" i="5"/>
  <c r="RM115" i="5"/>
  <c r="RQ115" i="5"/>
  <c r="RU115" i="5"/>
  <c r="QT115" i="5"/>
  <c r="QX115" i="5"/>
  <c r="RB115" i="5"/>
  <c r="RF115" i="5"/>
  <c r="RJ115" i="5"/>
  <c r="RN115" i="5"/>
  <c r="RR115" i="5"/>
  <c r="QY115" i="5"/>
  <c r="RG115" i="5"/>
  <c r="RO115" i="5"/>
  <c r="QZ115" i="5"/>
  <c r="RH115" i="5"/>
  <c r="RP115" i="5"/>
  <c r="QU115" i="5"/>
  <c r="RC115" i="5"/>
  <c r="RK115" i="5"/>
  <c r="RS115" i="5"/>
  <c r="QV115" i="5"/>
  <c r="RD115" i="5"/>
  <c r="RL115" i="5"/>
  <c r="RT115" i="5"/>
  <c r="QW41" i="5"/>
  <c r="QX41" i="5"/>
  <c r="RB41" i="5"/>
  <c r="RF41" i="5"/>
  <c r="RJ41" i="5"/>
  <c r="RN41" i="5"/>
  <c r="CQ41" i="5" s="1"/>
  <c r="RR41" i="5"/>
  <c r="QT41" i="5"/>
  <c r="QY41" i="5"/>
  <c r="RC41" i="5"/>
  <c r="RG41" i="5"/>
  <c r="RK41" i="5"/>
  <c r="RO41" i="5"/>
  <c r="RS41" i="5"/>
  <c r="QU41" i="5"/>
  <c r="QZ41" i="5"/>
  <c r="RD41" i="5"/>
  <c r="RH41" i="5"/>
  <c r="RL41" i="5"/>
  <c r="RP41" i="5"/>
  <c r="RT41" i="5"/>
  <c r="RA41" i="5"/>
  <c r="RQ41" i="5"/>
  <c r="RE41" i="5"/>
  <c r="RU41" i="5"/>
  <c r="RI41" i="5"/>
  <c r="QV41" i="5"/>
  <c r="RM41" i="5"/>
  <c r="QT49" i="5"/>
  <c r="QX49" i="5"/>
  <c r="RB49" i="5"/>
  <c r="RF49" i="5"/>
  <c r="RJ49" i="5"/>
  <c r="RN49" i="5"/>
  <c r="RR49" i="5"/>
  <c r="CQ49" i="5" s="1"/>
  <c r="QU49" i="5"/>
  <c r="QZ49" i="5"/>
  <c r="RE49" i="5"/>
  <c r="RK49" i="5"/>
  <c r="RP49" i="5"/>
  <c r="RU49" i="5"/>
  <c r="QV49" i="5"/>
  <c r="RA49" i="5"/>
  <c r="RG49" i="5"/>
  <c r="RL49" i="5"/>
  <c r="RQ49" i="5"/>
  <c r="RD49" i="5"/>
  <c r="RO49" i="5"/>
  <c r="QW49" i="5"/>
  <c r="RH49" i="5"/>
  <c r="RS49" i="5"/>
  <c r="QY49" i="5"/>
  <c r="RI49" i="5"/>
  <c r="RT49" i="5"/>
  <c r="RC49" i="5"/>
  <c r="RM49" i="5"/>
  <c r="QU73" i="5"/>
  <c r="QY73" i="5"/>
  <c r="RC73" i="5"/>
  <c r="RG73" i="5"/>
  <c r="RK73" i="5"/>
  <c r="RO73" i="5"/>
  <c r="RS73" i="5"/>
  <c r="QV73" i="5"/>
  <c r="QZ73" i="5"/>
  <c r="RD73" i="5"/>
  <c r="CQ73" i="5" s="1"/>
  <c r="RH73" i="5"/>
  <c r="RL73" i="5"/>
  <c r="RP73" i="5"/>
  <c r="RT73" i="5"/>
  <c r="QW73" i="5"/>
  <c r="RA73" i="5"/>
  <c r="RE73" i="5"/>
  <c r="RI73" i="5"/>
  <c r="RM73" i="5"/>
  <c r="RQ73" i="5"/>
  <c r="RU73" i="5"/>
  <c r="RB73" i="5"/>
  <c r="RR73" i="5"/>
  <c r="RF73" i="5"/>
  <c r="QT73" i="5"/>
  <c r="RJ73" i="5"/>
  <c r="QX73" i="5"/>
  <c r="RN73" i="5"/>
  <c r="QU81" i="5"/>
  <c r="QY81" i="5"/>
  <c r="RC81" i="5"/>
  <c r="RG81" i="5"/>
  <c r="RK81" i="5"/>
  <c r="RO81" i="5"/>
  <c r="RS81" i="5"/>
  <c r="QV81" i="5"/>
  <c r="QZ81" i="5"/>
  <c r="RD81" i="5"/>
  <c r="RH81" i="5"/>
  <c r="RL81" i="5"/>
  <c r="RP81" i="5"/>
  <c r="RT81" i="5"/>
  <c r="QW81" i="5"/>
  <c r="RA81" i="5"/>
  <c r="RE81" i="5"/>
  <c r="RI81" i="5"/>
  <c r="RM81" i="5"/>
  <c r="RQ81" i="5"/>
  <c r="CQ81" i="5" s="1"/>
  <c r="RU81" i="5"/>
  <c r="RB81" i="5"/>
  <c r="RR81" i="5"/>
  <c r="RF81" i="5"/>
  <c r="QT81" i="5"/>
  <c r="RJ81" i="5"/>
  <c r="QX81" i="5"/>
  <c r="RN81" i="5"/>
  <c r="QU89" i="5"/>
  <c r="QY89" i="5"/>
  <c r="RC89" i="5"/>
  <c r="RG89" i="5"/>
  <c r="RK89" i="5"/>
  <c r="RO89" i="5"/>
  <c r="RS89" i="5"/>
  <c r="QV89" i="5"/>
  <c r="QZ89" i="5"/>
  <c r="RD89" i="5"/>
  <c r="RH89" i="5"/>
  <c r="RL89" i="5"/>
  <c r="RP89" i="5"/>
  <c r="RT89" i="5"/>
  <c r="QW89" i="5"/>
  <c r="RE89" i="5"/>
  <c r="RM89" i="5"/>
  <c r="RU89" i="5"/>
  <c r="QX89" i="5"/>
  <c r="RF89" i="5"/>
  <c r="RN89" i="5"/>
  <c r="RA89" i="5"/>
  <c r="RI89" i="5"/>
  <c r="RQ89" i="5"/>
  <c r="RJ89" i="5"/>
  <c r="RR89" i="5"/>
  <c r="QT89" i="5"/>
  <c r="RB89" i="5"/>
  <c r="QW105" i="5"/>
  <c r="RA105" i="5"/>
  <c r="RE105" i="5"/>
  <c r="RI105" i="5"/>
  <c r="RM105" i="5"/>
  <c r="RQ105" i="5"/>
  <c r="RU105" i="5"/>
  <c r="QT105" i="5"/>
  <c r="QX105" i="5"/>
  <c r="RB105" i="5"/>
  <c r="RF105" i="5"/>
  <c r="RJ105" i="5"/>
  <c r="RN105" i="5"/>
  <c r="RR105" i="5"/>
  <c r="QU105" i="5"/>
  <c r="QY105" i="5"/>
  <c r="RC105" i="5"/>
  <c r="RG105" i="5"/>
  <c r="RK105" i="5"/>
  <c r="CQ105" i="5" s="1"/>
  <c r="RO105" i="5"/>
  <c r="RS105" i="5"/>
  <c r="RH105" i="5"/>
  <c r="QV105" i="5"/>
  <c r="RL105" i="5"/>
  <c r="QZ105" i="5"/>
  <c r="RP105" i="5"/>
  <c r="RD105" i="5"/>
  <c r="RT105" i="5"/>
  <c r="QW113" i="5"/>
  <c r="RA113" i="5"/>
  <c r="RE113" i="5"/>
  <c r="RI113" i="5"/>
  <c r="RM113" i="5"/>
  <c r="RQ113" i="5"/>
  <c r="RU113" i="5"/>
  <c r="QT113" i="5"/>
  <c r="QX113" i="5"/>
  <c r="RB113" i="5"/>
  <c r="RF113" i="5"/>
  <c r="RJ113" i="5"/>
  <c r="RN113" i="5"/>
  <c r="RR113" i="5"/>
  <c r="QU113" i="5"/>
  <c r="QY113" i="5"/>
  <c r="RC113" i="5"/>
  <c r="RG113" i="5"/>
  <c r="RO113" i="5"/>
  <c r="QV113" i="5"/>
  <c r="RH113" i="5"/>
  <c r="RP113" i="5"/>
  <c r="QZ113" i="5"/>
  <c r="RK113" i="5"/>
  <c r="RS113" i="5"/>
  <c r="RT113" i="5"/>
  <c r="RD113" i="5"/>
  <c r="RL113" i="5"/>
  <c r="QU18" i="5"/>
  <c r="QW18" i="5"/>
  <c r="RA18" i="5"/>
  <c r="RE18" i="5"/>
  <c r="RI18" i="5"/>
  <c r="RM18" i="5"/>
  <c r="RQ18" i="5"/>
  <c r="RU18" i="5"/>
  <c r="QX18" i="5"/>
  <c r="RB18" i="5"/>
  <c r="RF18" i="5"/>
  <c r="RJ18" i="5"/>
  <c r="RN18" i="5"/>
  <c r="RR18" i="5"/>
  <c r="QT18" i="5"/>
  <c r="RC18" i="5"/>
  <c r="RK18" i="5"/>
  <c r="RS18" i="5"/>
  <c r="QV18" i="5"/>
  <c r="RD18" i="5"/>
  <c r="RL18" i="5"/>
  <c r="RT18" i="5"/>
  <c r="QY18" i="5"/>
  <c r="RG18" i="5"/>
  <c r="RO18" i="5"/>
  <c r="QZ18" i="5"/>
  <c r="RH18" i="5"/>
  <c r="RP18" i="5"/>
  <c r="QT46" i="5"/>
  <c r="QX46" i="5"/>
  <c r="RB46" i="5"/>
  <c r="RF46" i="5"/>
  <c r="RJ46" i="5"/>
  <c r="RN46" i="5"/>
  <c r="RR46" i="5"/>
  <c r="QV46" i="5"/>
  <c r="QY46" i="5"/>
  <c r="RD46" i="5"/>
  <c r="RI46" i="5"/>
  <c r="CQ46" i="5" s="1"/>
  <c r="RO46" i="5"/>
  <c r="RT46" i="5"/>
  <c r="QZ46" i="5"/>
  <c r="RE46" i="5"/>
  <c r="RK46" i="5"/>
  <c r="RP46" i="5"/>
  <c r="RU46" i="5"/>
  <c r="QU46" i="5"/>
  <c r="RA46" i="5"/>
  <c r="RG46" i="5"/>
  <c r="RL46" i="5"/>
  <c r="RQ46" i="5"/>
  <c r="RC46" i="5"/>
  <c r="RH46" i="5"/>
  <c r="RM46" i="5"/>
  <c r="RS46" i="5"/>
  <c r="QW46" i="5"/>
  <c r="QT50" i="5"/>
  <c r="QX50" i="5"/>
  <c r="RB50" i="5"/>
  <c r="RF50" i="5"/>
  <c r="RJ50" i="5"/>
  <c r="RN50" i="5"/>
  <c r="RR50" i="5"/>
  <c r="QY50" i="5"/>
  <c r="RD50" i="5"/>
  <c r="RI50" i="5"/>
  <c r="RO50" i="5"/>
  <c r="RT50" i="5"/>
  <c r="QU50" i="5"/>
  <c r="QZ50" i="5"/>
  <c r="RE50" i="5"/>
  <c r="RK50" i="5"/>
  <c r="RP50" i="5"/>
  <c r="RU50" i="5"/>
  <c r="CQ50" i="5" s="1"/>
  <c r="QW50" i="5"/>
  <c r="RH50" i="5"/>
  <c r="RS50" i="5"/>
  <c r="RA50" i="5"/>
  <c r="RL50" i="5"/>
  <c r="RC50" i="5"/>
  <c r="RM50" i="5"/>
  <c r="RQ50" i="5"/>
  <c r="QV50" i="5"/>
  <c r="RG50" i="5"/>
  <c r="QW58" i="5"/>
  <c r="RA58" i="5"/>
  <c r="RE58" i="5"/>
  <c r="RI58" i="5"/>
  <c r="RM58" i="5"/>
  <c r="RQ58" i="5"/>
  <c r="RU58" i="5"/>
  <c r="QT58" i="5"/>
  <c r="QX58" i="5"/>
  <c r="RB58" i="5"/>
  <c r="RF58" i="5"/>
  <c r="RJ58" i="5"/>
  <c r="RN58" i="5"/>
  <c r="CQ58" i="5" s="1"/>
  <c r="RR58" i="5"/>
  <c r="QZ58" i="5"/>
  <c r="RH58" i="5"/>
  <c r="RP58" i="5"/>
  <c r="QU58" i="5"/>
  <c r="RC58" i="5"/>
  <c r="RK58" i="5"/>
  <c r="RS58" i="5"/>
  <c r="QV58" i="5"/>
  <c r="RD58" i="5"/>
  <c r="RL58" i="5"/>
  <c r="RT58" i="5"/>
  <c r="RO58" i="5"/>
  <c r="QY58" i="5"/>
  <c r="RG58" i="5"/>
  <c r="QW66" i="5"/>
  <c r="RA66" i="5"/>
  <c r="RE66" i="5"/>
  <c r="RI66" i="5"/>
  <c r="RM66" i="5"/>
  <c r="RQ66" i="5"/>
  <c r="RU66" i="5"/>
  <c r="QT66" i="5"/>
  <c r="QX66" i="5"/>
  <c r="RB66" i="5"/>
  <c r="RF66" i="5"/>
  <c r="RJ66" i="5"/>
  <c r="RN66" i="5"/>
  <c r="RR66" i="5"/>
  <c r="QZ66" i="5"/>
  <c r="RH66" i="5"/>
  <c r="RP66" i="5"/>
  <c r="CQ66" i="5" s="1"/>
  <c r="QU66" i="5"/>
  <c r="RC66" i="5"/>
  <c r="RK66" i="5"/>
  <c r="RS66" i="5"/>
  <c r="QV66" i="5"/>
  <c r="RD66" i="5"/>
  <c r="RL66" i="5"/>
  <c r="RT66" i="5"/>
  <c r="RO66" i="5"/>
  <c r="QY66" i="5"/>
  <c r="RG66" i="5"/>
  <c r="QU70" i="5"/>
  <c r="QY70" i="5"/>
  <c r="RC70" i="5"/>
  <c r="RG70" i="5"/>
  <c r="RK70" i="5"/>
  <c r="RO70" i="5"/>
  <c r="RS70" i="5"/>
  <c r="QV70" i="5"/>
  <c r="QZ70" i="5"/>
  <c r="RD70" i="5"/>
  <c r="RH70" i="5"/>
  <c r="RL70" i="5"/>
  <c r="RP70" i="5"/>
  <c r="RT70" i="5"/>
  <c r="CQ70" i="5" s="1"/>
  <c r="QW70" i="5"/>
  <c r="RA70" i="5"/>
  <c r="RE70" i="5"/>
  <c r="RI70" i="5"/>
  <c r="RM70" i="5"/>
  <c r="RQ70" i="5"/>
  <c r="RU70" i="5"/>
  <c r="RF70" i="5"/>
  <c r="QT70" i="5"/>
  <c r="RJ70" i="5"/>
  <c r="QX70" i="5"/>
  <c r="RN70" i="5"/>
  <c r="RB70" i="5"/>
  <c r="RR70" i="5"/>
  <c r="QU74" i="5"/>
  <c r="QY74" i="5"/>
  <c r="RC74" i="5"/>
  <c r="RG74" i="5"/>
  <c r="RK74" i="5"/>
  <c r="RO74" i="5"/>
  <c r="RS74" i="5"/>
  <c r="QV74" i="5"/>
  <c r="QZ74" i="5"/>
  <c r="RD74" i="5"/>
  <c r="RH74" i="5"/>
  <c r="RL74" i="5"/>
  <c r="RP74" i="5"/>
  <c r="RT74" i="5"/>
  <c r="QW74" i="5"/>
  <c r="RA74" i="5"/>
  <c r="RE74" i="5"/>
  <c r="RI74" i="5"/>
  <c r="RM74" i="5"/>
  <c r="RQ74" i="5"/>
  <c r="RU74" i="5"/>
  <c r="RF74" i="5"/>
  <c r="QT74" i="5"/>
  <c r="RJ74" i="5"/>
  <c r="QX74" i="5"/>
  <c r="RN74" i="5"/>
  <c r="CQ74" i="5" s="1"/>
  <c r="RB74" i="5"/>
  <c r="RR74" i="5"/>
  <c r="QU78" i="5"/>
  <c r="QY78" i="5"/>
  <c r="RC78" i="5"/>
  <c r="RG78" i="5"/>
  <c r="RK78" i="5"/>
  <c r="RO78" i="5"/>
  <c r="RS78" i="5"/>
  <c r="QV78" i="5"/>
  <c r="QZ78" i="5"/>
  <c r="RD78" i="5"/>
  <c r="RH78" i="5"/>
  <c r="RL78" i="5"/>
  <c r="RP78" i="5"/>
  <c r="RT78" i="5"/>
  <c r="QW78" i="5"/>
  <c r="RA78" i="5"/>
  <c r="RE78" i="5"/>
  <c r="RI78" i="5"/>
  <c r="CQ78" i="5" s="1"/>
  <c r="RM78" i="5"/>
  <c r="RQ78" i="5"/>
  <c r="RU78" i="5"/>
  <c r="RF78" i="5"/>
  <c r="QT78" i="5"/>
  <c r="RJ78" i="5"/>
  <c r="QX78" i="5"/>
  <c r="RN78" i="5"/>
  <c r="RR78" i="5"/>
  <c r="RB78" i="5"/>
  <c r="QU82" i="5"/>
  <c r="QY82" i="5"/>
  <c r="RC82" i="5"/>
  <c r="RG82" i="5"/>
  <c r="RK82" i="5"/>
  <c r="RO82" i="5"/>
  <c r="RS82" i="5"/>
  <c r="QV82" i="5"/>
  <c r="QZ82" i="5"/>
  <c r="RD82" i="5"/>
  <c r="RH82" i="5"/>
  <c r="CQ82" i="5" s="1"/>
  <c r="RL82" i="5"/>
  <c r="RP82" i="5"/>
  <c r="RT82" i="5"/>
  <c r="RA82" i="5"/>
  <c r="RI82" i="5"/>
  <c r="RQ82" i="5"/>
  <c r="QT82" i="5"/>
  <c r="RB82" i="5"/>
  <c r="RJ82" i="5"/>
  <c r="RR82" i="5"/>
  <c r="QW82" i="5"/>
  <c r="RE82" i="5"/>
  <c r="RM82" i="5"/>
  <c r="RU82" i="5"/>
  <c r="RN82" i="5"/>
  <c r="QX82" i="5"/>
  <c r="RF82" i="5"/>
  <c r="QU98" i="5"/>
  <c r="QY98" i="5"/>
  <c r="RC98" i="5"/>
  <c r="RG98" i="5"/>
  <c r="QV98" i="5"/>
  <c r="QZ98" i="5"/>
  <c r="RD98" i="5"/>
  <c r="RH98" i="5"/>
  <c r="CQ98" i="5" s="1"/>
  <c r="RA98" i="5"/>
  <c r="RI98" i="5"/>
  <c r="RM98" i="5"/>
  <c r="RQ98" i="5"/>
  <c r="RU98" i="5"/>
  <c r="QT98" i="5"/>
  <c r="RB98" i="5"/>
  <c r="RJ98" i="5"/>
  <c r="RN98" i="5"/>
  <c r="RR98" i="5"/>
  <c r="QW98" i="5"/>
  <c r="RE98" i="5"/>
  <c r="RK98" i="5"/>
  <c r="RO98" i="5"/>
  <c r="RS98" i="5"/>
  <c r="RL98" i="5"/>
  <c r="RP98" i="5"/>
  <c r="QX98" i="5"/>
  <c r="RT98" i="5"/>
  <c r="RF98" i="5"/>
  <c r="QW106" i="5"/>
  <c r="RA106" i="5"/>
  <c r="RE106" i="5"/>
  <c r="RI106" i="5"/>
  <c r="RM106" i="5"/>
  <c r="RQ106" i="5"/>
  <c r="RU106" i="5"/>
  <c r="QT106" i="5"/>
  <c r="QX106" i="5"/>
  <c r="RB106" i="5"/>
  <c r="RF106" i="5"/>
  <c r="RJ106" i="5"/>
  <c r="RN106" i="5"/>
  <c r="RR106" i="5"/>
  <c r="QU106" i="5"/>
  <c r="QY106" i="5"/>
  <c r="RC106" i="5"/>
  <c r="RG106" i="5"/>
  <c r="RK106" i="5"/>
  <c r="RO106" i="5"/>
  <c r="RS106" i="5"/>
  <c r="QV106" i="5"/>
  <c r="RL106" i="5"/>
  <c r="QZ106" i="5"/>
  <c r="RP106" i="5"/>
  <c r="RD106" i="5"/>
  <c r="RT106" i="5"/>
  <c r="RH106" i="5"/>
  <c r="QW110" i="5"/>
  <c r="RA110" i="5"/>
  <c r="RE110" i="5"/>
  <c r="RI110" i="5"/>
  <c r="RM110" i="5"/>
  <c r="RQ110" i="5"/>
  <c r="RU110" i="5"/>
  <c r="QT110" i="5"/>
  <c r="QX110" i="5"/>
  <c r="RB110" i="5"/>
  <c r="RF110" i="5"/>
  <c r="RJ110" i="5"/>
  <c r="RN110" i="5"/>
  <c r="RR110" i="5"/>
  <c r="QU110" i="5"/>
  <c r="QY110" i="5"/>
  <c r="RC110" i="5"/>
  <c r="RG110" i="5"/>
  <c r="RK110" i="5"/>
  <c r="RO110" i="5"/>
  <c r="RS110" i="5"/>
  <c r="QV110" i="5"/>
  <c r="RL110" i="5"/>
  <c r="QZ110" i="5"/>
  <c r="RP110" i="5"/>
  <c r="RD110" i="5"/>
  <c r="CQ110" i="5" s="1"/>
  <c r="RT110" i="5"/>
  <c r="RH110" i="5"/>
  <c r="QW118" i="5"/>
  <c r="RA118" i="5"/>
  <c r="RE118" i="5"/>
  <c r="RI118" i="5"/>
  <c r="RM118" i="5"/>
  <c r="RQ118" i="5"/>
  <c r="RU118" i="5"/>
  <c r="QT118" i="5"/>
  <c r="QX118" i="5"/>
  <c r="RB118" i="5"/>
  <c r="RF118" i="5"/>
  <c r="RJ118" i="5"/>
  <c r="RN118" i="5"/>
  <c r="RR118" i="5"/>
  <c r="QU118" i="5"/>
  <c r="RC118" i="5"/>
  <c r="RK118" i="5"/>
  <c r="CQ118" i="5" s="1"/>
  <c r="RS118" i="5"/>
  <c r="QV118" i="5"/>
  <c r="RD118" i="5"/>
  <c r="RL118" i="5"/>
  <c r="RT118" i="5"/>
  <c r="QY118" i="5"/>
  <c r="RG118" i="5"/>
  <c r="RO118" i="5"/>
  <c r="RH118" i="5"/>
  <c r="RP118" i="5"/>
  <c r="QZ118" i="5"/>
  <c r="QW122" i="5"/>
  <c r="RA122" i="5"/>
  <c r="RE122" i="5"/>
  <c r="RI122" i="5"/>
  <c r="RM122" i="5"/>
  <c r="RQ122" i="5"/>
  <c r="RU122" i="5"/>
  <c r="QT122" i="5"/>
  <c r="QX122" i="5"/>
  <c r="RB122" i="5"/>
  <c r="RF122" i="5"/>
  <c r="RJ122" i="5"/>
  <c r="RN122" i="5"/>
  <c r="RR122" i="5"/>
  <c r="QU122" i="5"/>
  <c r="RC122" i="5"/>
  <c r="RK122" i="5"/>
  <c r="RS122" i="5"/>
  <c r="QV122" i="5"/>
  <c r="RD122" i="5"/>
  <c r="RL122" i="5"/>
  <c r="RT122" i="5"/>
  <c r="QY122" i="5"/>
  <c r="RG122" i="5"/>
  <c r="RO122" i="5"/>
  <c r="QZ122" i="5"/>
  <c r="RH122" i="5"/>
  <c r="RP122" i="5"/>
  <c r="QT55" i="5"/>
  <c r="QW55" i="5"/>
  <c r="RA55" i="5"/>
  <c r="RE55" i="5"/>
  <c r="RI55" i="5"/>
  <c r="RM55" i="5"/>
  <c r="RQ55" i="5"/>
  <c r="RU55" i="5"/>
  <c r="QX55" i="5"/>
  <c r="RB55" i="5"/>
  <c r="RF55" i="5"/>
  <c r="RJ55" i="5"/>
  <c r="RN55" i="5"/>
  <c r="RR55" i="5"/>
  <c r="QV55" i="5"/>
  <c r="RD55" i="5"/>
  <c r="RL55" i="5"/>
  <c r="RT55" i="5"/>
  <c r="QY55" i="5"/>
  <c r="RG55" i="5"/>
  <c r="RO55" i="5"/>
  <c r="QZ55" i="5"/>
  <c r="RH55" i="5"/>
  <c r="RP55" i="5"/>
  <c r="RC55" i="5"/>
  <c r="RK55" i="5"/>
  <c r="RS55" i="5"/>
  <c r="CQ55" i="5" s="1"/>
  <c r="QU55" i="5"/>
  <c r="QW63" i="5"/>
  <c r="RA63" i="5"/>
  <c r="RE63" i="5"/>
  <c r="RI63" i="5"/>
  <c r="RM63" i="5"/>
  <c r="CQ63" i="5" s="1"/>
  <c r="RQ63" i="5"/>
  <c r="RU63" i="5"/>
  <c r="QT63" i="5"/>
  <c r="QX63" i="5"/>
  <c r="RB63" i="5"/>
  <c r="RF63" i="5"/>
  <c r="RJ63" i="5"/>
  <c r="RN63" i="5"/>
  <c r="RR63" i="5"/>
  <c r="QV63" i="5"/>
  <c r="RD63" i="5"/>
  <c r="RL63" i="5"/>
  <c r="RT63" i="5"/>
  <c r="QY63" i="5"/>
  <c r="RG63" i="5"/>
  <c r="RO63" i="5"/>
  <c r="QZ63" i="5"/>
  <c r="RH63" i="5"/>
  <c r="RP63" i="5"/>
  <c r="RC63" i="5"/>
  <c r="RK63" i="5"/>
  <c r="RS63" i="5"/>
  <c r="QU63" i="5"/>
  <c r="QU79" i="5"/>
  <c r="QY79" i="5"/>
  <c r="RC79" i="5"/>
  <c r="RG79" i="5"/>
  <c r="RK79" i="5"/>
  <c r="RO79" i="5"/>
  <c r="RS79" i="5"/>
  <c r="QV79" i="5"/>
  <c r="QZ79" i="5"/>
  <c r="RD79" i="5"/>
  <c r="RH79" i="5"/>
  <c r="RL79" i="5"/>
  <c r="RP79" i="5"/>
  <c r="RT79" i="5"/>
  <c r="QW79" i="5"/>
  <c r="RA79" i="5"/>
  <c r="RE79" i="5"/>
  <c r="RI79" i="5"/>
  <c r="RM79" i="5"/>
  <c r="CQ79" i="5" s="1"/>
  <c r="RQ79" i="5"/>
  <c r="RU79" i="5"/>
  <c r="QT79" i="5"/>
  <c r="RJ79" i="5"/>
  <c r="QX79" i="5"/>
  <c r="RN79" i="5"/>
  <c r="RB79" i="5"/>
  <c r="RR79" i="5"/>
  <c r="RF79" i="5"/>
  <c r="QW103" i="5"/>
  <c r="RA103" i="5"/>
  <c r="RE103" i="5"/>
  <c r="RI103" i="5"/>
  <c r="RM103" i="5"/>
  <c r="RQ103" i="5"/>
  <c r="RU103" i="5"/>
  <c r="QT103" i="5"/>
  <c r="QX103" i="5"/>
  <c r="RB103" i="5"/>
  <c r="RF103" i="5"/>
  <c r="RJ103" i="5"/>
  <c r="RN103" i="5"/>
  <c r="RR103" i="5"/>
  <c r="QU103" i="5"/>
  <c r="QY103" i="5"/>
  <c r="RC103" i="5"/>
  <c r="RG103" i="5"/>
  <c r="RK103" i="5"/>
  <c r="RO103" i="5"/>
  <c r="RS103" i="5"/>
  <c r="QZ103" i="5"/>
  <c r="RP103" i="5"/>
  <c r="RD103" i="5"/>
  <c r="RT103" i="5"/>
  <c r="RH103" i="5"/>
  <c r="QV103" i="5"/>
  <c r="RL103" i="5"/>
  <c r="QW111" i="5"/>
  <c r="RA111" i="5"/>
  <c r="RE111" i="5"/>
  <c r="RI111" i="5"/>
  <c r="RM111" i="5"/>
  <c r="RQ111" i="5"/>
  <c r="RU111" i="5"/>
  <c r="QT111" i="5"/>
  <c r="QX111" i="5"/>
  <c r="RB111" i="5"/>
  <c r="RF111" i="5"/>
  <c r="RJ111" i="5"/>
  <c r="RN111" i="5"/>
  <c r="RR111" i="5"/>
  <c r="QU111" i="5"/>
  <c r="QY111" i="5"/>
  <c r="RC111" i="5"/>
  <c r="RG111" i="5"/>
  <c r="RK111" i="5"/>
  <c r="RO111" i="5"/>
  <c r="RS111" i="5"/>
  <c r="QZ111" i="5"/>
  <c r="RP111" i="5"/>
  <c r="RD111" i="5"/>
  <c r="RT111" i="5"/>
  <c r="RH111" i="5"/>
  <c r="QV111" i="5"/>
  <c r="RL111" i="5"/>
  <c r="QW119" i="5"/>
  <c r="RA119" i="5"/>
  <c r="RE119" i="5"/>
  <c r="RI119" i="5"/>
  <c r="RM119" i="5"/>
  <c r="RQ119" i="5"/>
  <c r="CQ119" i="5" s="1"/>
  <c r="RU119" i="5"/>
  <c r="QT119" i="5"/>
  <c r="QX119" i="5"/>
  <c r="RB119" i="5"/>
  <c r="RF119" i="5"/>
  <c r="RJ119" i="5"/>
  <c r="RN119" i="5"/>
  <c r="RR119" i="5"/>
  <c r="QY119" i="5"/>
  <c r="RG119" i="5"/>
  <c r="RO119" i="5"/>
  <c r="QZ119" i="5"/>
  <c r="RH119" i="5"/>
  <c r="RP119" i="5"/>
  <c r="QU119" i="5"/>
  <c r="RC119" i="5"/>
  <c r="RK119" i="5"/>
  <c r="RS119" i="5"/>
  <c r="RL119" i="5"/>
  <c r="RT119" i="5"/>
  <c r="QV119" i="5"/>
  <c r="RD119" i="5"/>
  <c r="QT7" i="5"/>
  <c r="QX7" i="5"/>
  <c r="RB7" i="5"/>
  <c r="RF7" i="5"/>
  <c r="RJ7" i="5"/>
  <c r="RN7" i="5"/>
  <c r="RR7" i="5"/>
  <c r="QU7" i="5"/>
  <c r="QY7" i="5"/>
  <c r="RC7" i="5"/>
  <c r="RG7" i="5"/>
  <c r="RK7" i="5"/>
  <c r="RO7" i="5"/>
  <c r="RS7" i="5"/>
  <c r="QV7" i="5"/>
  <c r="QZ7" i="5"/>
  <c r="RD7" i="5"/>
  <c r="RH7" i="5"/>
  <c r="RL7" i="5"/>
  <c r="CQ7" i="5" s="1"/>
  <c r="RP7" i="5"/>
  <c r="RT7" i="5"/>
  <c r="RA7" i="5"/>
  <c r="RQ7" i="5"/>
  <c r="RE7" i="5"/>
  <c r="RU7" i="5"/>
  <c r="RI7" i="5"/>
  <c r="RM7" i="5"/>
  <c r="QW7" i="5"/>
  <c r="QT13" i="5"/>
  <c r="QX13" i="5"/>
  <c r="RB13" i="5"/>
  <c r="RF13" i="5"/>
  <c r="RJ13" i="5"/>
  <c r="RN13" i="5"/>
  <c r="RR13" i="5"/>
  <c r="QU13" i="5"/>
  <c r="QY13" i="5"/>
  <c r="RC13" i="5"/>
  <c r="RG13" i="5"/>
  <c r="RK13" i="5"/>
  <c r="RO13" i="5"/>
  <c r="RS13" i="5"/>
  <c r="QV13" i="5"/>
  <c r="QZ13" i="5"/>
  <c r="RD13" i="5"/>
  <c r="RH13" i="5"/>
  <c r="RL13" i="5"/>
  <c r="RP13" i="5"/>
  <c r="RT13" i="5"/>
  <c r="RI13" i="5"/>
  <c r="QW13" i="5"/>
  <c r="RM13" i="5"/>
  <c r="RA13" i="5"/>
  <c r="RE13" i="5"/>
  <c r="RQ13" i="5"/>
  <c r="RU13" i="5"/>
  <c r="QW21" i="5"/>
  <c r="RA21" i="5"/>
  <c r="RE21" i="5"/>
  <c r="RI21" i="5"/>
  <c r="RM21" i="5"/>
  <c r="RQ21" i="5"/>
  <c r="RU21" i="5"/>
  <c r="QT21" i="5"/>
  <c r="QX21" i="5"/>
  <c r="RB21" i="5"/>
  <c r="RF21" i="5"/>
  <c r="RJ21" i="5"/>
  <c r="RN21" i="5"/>
  <c r="RR21" i="5"/>
  <c r="QY21" i="5"/>
  <c r="RG21" i="5"/>
  <c r="RO21" i="5"/>
  <c r="QZ21" i="5"/>
  <c r="RH21" i="5"/>
  <c r="RP21" i="5"/>
  <c r="QU21" i="5"/>
  <c r="RC21" i="5"/>
  <c r="RK21" i="5"/>
  <c r="RS21" i="5"/>
  <c r="RD21" i="5"/>
  <c r="RL21" i="5"/>
  <c r="RT21" i="5"/>
  <c r="QV21" i="5"/>
  <c r="CQ21" i="5" s="1"/>
  <c r="QW37" i="5"/>
  <c r="RA37" i="5"/>
  <c r="RE37" i="5"/>
  <c r="RI37" i="5"/>
  <c r="RM37" i="5"/>
  <c r="RQ37" i="5"/>
  <c r="RU37" i="5"/>
  <c r="QX37" i="5"/>
  <c r="RC37" i="5"/>
  <c r="RH37" i="5"/>
  <c r="RN37" i="5"/>
  <c r="RS37" i="5"/>
  <c r="QT37" i="5"/>
  <c r="QY37" i="5"/>
  <c r="RD37" i="5"/>
  <c r="RJ37" i="5"/>
  <c r="RO37" i="5"/>
  <c r="RT37" i="5"/>
  <c r="CQ37" i="5" s="1"/>
  <c r="QU37" i="5"/>
  <c r="QZ37" i="5"/>
  <c r="RF37" i="5"/>
  <c r="RK37" i="5"/>
  <c r="RP37" i="5"/>
  <c r="RG37" i="5"/>
  <c r="RL37" i="5"/>
  <c r="QV37" i="5"/>
  <c r="RR37" i="5"/>
  <c r="RB37" i="5"/>
  <c r="QW61" i="5"/>
  <c r="RA61" i="5"/>
  <c r="RE61" i="5"/>
  <c r="RI61" i="5"/>
  <c r="RM61" i="5"/>
  <c r="RQ61" i="5"/>
  <c r="RU61" i="5"/>
  <c r="QT61" i="5"/>
  <c r="QX61" i="5"/>
  <c r="RB61" i="5"/>
  <c r="RF61" i="5"/>
  <c r="RJ61" i="5"/>
  <c r="RN61" i="5"/>
  <c r="RR61" i="5"/>
  <c r="QV61" i="5"/>
  <c r="RD61" i="5"/>
  <c r="RL61" i="5"/>
  <c r="RT61" i="5"/>
  <c r="QY61" i="5"/>
  <c r="RG61" i="5"/>
  <c r="RO61" i="5"/>
  <c r="QZ61" i="5"/>
  <c r="RH61" i="5"/>
  <c r="CQ61" i="5" s="1"/>
  <c r="RP61" i="5"/>
  <c r="QU61" i="5"/>
  <c r="RC61" i="5"/>
  <c r="RK61" i="5"/>
  <c r="RS61" i="5"/>
  <c r="QU69" i="5"/>
  <c r="QY69" i="5"/>
  <c r="RC69" i="5"/>
  <c r="RG69" i="5"/>
  <c r="RK69" i="5"/>
  <c r="RO69" i="5"/>
  <c r="RS69" i="5"/>
  <c r="QV69" i="5"/>
  <c r="QZ69" i="5"/>
  <c r="RD69" i="5"/>
  <c r="RH69" i="5"/>
  <c r="RL69" i="5"/>
  <c r="CQ69" i="5" s="1"/>
  <c r="RP69" i="5"/>
  <c r="RT69" i="5"/>
  <c r="QW69" i="5"/>
  <c r="RA69" i="5"/>
  <c r="RE69" i="5"/>
  <c r="RI69" i="5"/>
  <c r="RM69" i="5"/>
  <c r="RQ69" i="5"/>
  <c r="RU69" i="5"/>
  <c r="RB69" i="5"/>
  <c r="RR69" i="5"/>
  <c r="RF69" i="5"/>
  <c r="QT69" i="5"/>
  <c r="RJ69" i="5"/>
  <c r="RN69" i="5"/>
  <c r="QX69" i="5"/>
  <c r="QU77" i="5"/>
  <c r="QY77" i="5"/>
  <c r="RC77" i="5"/>
  <c r="RG77" i="5"/>
  <c r="RK77" i="5"/>
  <c r="RO77" i="5"/>
  <c r="RS77" i="5"/>
  <c r="QV77" i="5"/>
  <c r="QZ77" i="5"/>
  <c r="RD77" i="5"/>
  <c r="RH77" i="5"/>
  <c r="RL77" i="5"/>
  <c r="RP77" i="5"/>
  <c r="RT77" i="5"/>
  <c r="CQ77" i="5" s="1"/>
  <c r="QW77" i="5"/>
  <c r="RA77" i="5"/>
  <c r="RE77" i="5"/>
  <c r="RI77" i="5"/>
  <c r="RM77" i="5"/>
  <c r="RQ77" i="5"/>
  <c r="RU77" i="5"/>
  <c r="RB77" i="5"/>
  <c r="RR77" i="5"/>
  <c r="RF77" i="5"/>
  <c r="QT77" i="5"/>
  <c r="RJ77" i="5"/>
  <c r="QX77" i="5"/>
  <c r="RN77" i="5"/>
  <c r="QU85" i="5"/>
  <c r="QY85" i="5"/>
  <c r="RC85" i="5"/>
  <c r="RG85" i="5"/>
  <c r="RK85" i="5"/>
  <c r="RO85" i="5"/>
  <c r="RS85" i="5"/>
  <c r="QV85" i="5"/>
  <c r="QZ85" i="5"/>
  <c r="RD85" i="5"/>
  <c r="RH85" i="5"/>
  <c r="RL85" i="5"/>
  <c r="RP85" i="5"/>
  <c r="RT85" i="5"/>
  <c r="QW85" i="5"/>
  <c r="RE85" i="5"/>
  <c r="RM85" i="5"/>
  <c r="RU85" i="5"/>
  <c r="QX85" i="5"/>
  <c r="RF85" i="5"/>
  <c r="RN85" i="5"/>
  <c r="RA85" i="5"/>
  <c r="RI85" i="5"/>
  <c r="RQ85" i="5"/>
  <c r="QT85" i="5"/>
  <c r="RB85" i="5"/>
  <c r="CQ85" i="5" s="1"/>
  <c r="RJ85" i="5"/>
  <c r="RR85" i="5"/>
  <c r="QW109" i="5"/>
  <c r="RA109" i="5"/>
  <c r="RE109" i="5"/>
  <c r="RI109" i="5"/>
  <c r="RM109" i="5"/>
  <c r="RQ109" i="5"/>
  <c r="RU109" i="5"/>
  <c r="QT109" i="5"/>
  <c r="QX109" i="5"/>
  <c r="RB109" i="5"/>
  <c r="RF109" i="5"/>
  <c r="RJ109" i="5"/>
  <c r="RN109" i="5"/>
  <c r="RR109" i="5"/>
  <c r="QU109" i="5"/>
  <c r="QY109" i="5"/>
  <c r="RC109" i="5"/>
  <c r="RG109" i="5"/>
  <c r="RK109" i="5"/>
  <c r="CQ109" i="5" s="1"/>
  <c r="RO109" i="5"/>
  <c r="RS109" i="5"/>
  <c r="RH109" i="5"/>
  <c r="QV109" i="5"/>
  <c r="RL109" i="5"/>
  <c r="QZ109" i="5"/>
  <c r="RP109" i="5"/>
  <c r="RT109" i="5"/>
  <c r="RD109" i="5"/>
  <c r="QW117" i="5"/>
  <c r="RA117" i="5"/>
  <c r="RE117" i="5"/>
  <c r="RI117" i="5"/>
  <c r="RM117" i="5"/>
  <c r="RQ117" i="5"/>
  <c r="RU117" i="5"/>
  <c r="QT117" i="5"/>
  <c r="QX117" i="5"/>
  <c r="RB117" i="5"/>
  <c r="RF117" i="5"/>
  <c r="RJ117" i="5"/>
  <c r="RN117" i="5"/>
  <c r="RR117" i="5"/>
  <c r="QY117" i="5"/>
  <c r="RG117" i="5"/>
  <c r="RO117" i="5"/>
  <c r="QZ117" i="5"/>
  <c r="RH117" i="5"/>
  <c r="RP117" i="5"/>
  <c r="QU117" i="5"/>
  <c r="RC117" i="5"/>
  <c r="RK117" i="5"/>
  <c r="RS117" i="5"/>
  <c r="RD117" i="5"/>
  <c r="RL117" i="5"/>
  <c r="RT117" i="5"/>
  <c r="QV117" i="5"/>
  <c r="QT4" i="5"/>
  <c r="QX4" i="5"/>
  <c r="RB4" i="5"/>
  <c r="RF4" i="5"/>
  <c r="RJ4" i="5"/>
  <c r="RN4" i="5"/>
  <c r="RR4" i="5"/>
  <c r="RM4" i="5"/>
  <c r="QU4" i="5"/>
  <c r="QY4" i="5"/>
  <c r="RC4" i="5"/>
  <c r="RG4" i="5"/>
  <c r="RK4" i="5"/>
  <c r="RO4" i="5"/>
  <c r="RS4" i="5"/>
  <c r="RQ4" i="5"/>
  <c r="CQ4" i="5" s="1"/>
  <c r="QV4" i="5"/>
  <c r="QZ4" i="5"/>
  <c r="RD4" i="5"/>
  <c r="RH4" i="5"/>
  <c r="RL4" i="5"/>
  <c r="RP4" i="5"/>
  <c r="RT4" i="5"/>
  <c r="QW4" i="5"/>
  <c r="RA4" i="5"/>
  <c r="RE4" i="5"/>
  <c r="RI4" i="5"/>
  <c r="RU4" i="5"/>
  <c r="QT5" i="5"/>
  <c r="QX5" i="5"/>
  <c r="RB5" i="5"/>
  <c r="RF5" i="5"/>
  <c r="RJ5" i="5"/>
  <c r="RN5" i="5"/>
  <c r="RR5" i="5"/>
  <c r="QU5" i="5"/>
  <c r="QY5" i="5"/>
  <c r="RC5" i="5"/>
  <c r="RG5" i="5"/>
  <c r="RK5" i="5"/>
  <c r="RO5" i="5"/>
  <c r="RS5" i="5"/>
  <c r="QV5" i="5"/>
  <c r="QZ5" i="5"/>
  <c r="RD5" i="5"/>
  <c r="RH5" i="5"/>
  <c r="RL5" i="5"/>
  <c r="RP5" i="5"/>
  <c r="RT5" i="5"/>
  <c r="CQ5" i="5" s="1"/>
  <c r="QW5" i="5"/>
  <c r="RA5" i="5"/>
  <c r="RE5" i="5"/>
  <c r="RI5" i="5"/>
  <c r="RM5" i="5"/>
  <c r="RQ5" i="5"/>
  <c r="RU5" i="5"/>
  <c r="QR28" i="5"/>
  <c r="CQ28" i="5" s="1"/>
  <c r="QR72" i="5"/>
  <c r="QR92" i="5"/>
  <c r="QR100" i="5"/>
  <c r="QR120" i="5"/>
  <c r="QR127" i="5"/>
  <c r="QR135" i="5"/>
  <c r="QR145" i="5"/>
  <c r="QR153" i="5"/>
  <c r="QR157" i="5"/>
  <c r="QR161" i="5"/>
  <c r="CQ161" i="5" s="1"/>
  <c r="QR176" i="5"/>
  <c r="QR180" i="5"/>
  <c r="QR184" i="5"/>
  <c r="QR188" i="5"/>
  <c r="QR195" i="5"/>
  <c r="QR199" i="5"/>
  <c r="QR208" i="5"/>
  <c r="QR217" i="5"/>
  <c r="QR221" i="5"/>
  <c r="QR225" i="5"/>
  <c r="QR229" i="5"/>
  <c r="QR237" i="5"/>
  <c r="QR241" i="5"/>
  <c r="QR245" i="5"/>
  <c r="QR10" i="5"/>
  <c r="QR26" i="5"/>
  <c r="QR38" i="5"/>
  <c r="QR102" i="5"/>
  <c r="QR114" i="5"/>
  <c r="QR137" i="5"/>
  <c r="QR141" i="5"/>
  <c r="QR147" i="5"/>
  <c r="QR151" i="5"/>
  <c r="QR159" i="5"/>
  <c r="QR163" i="5"/>
  <c r="QR167" i="5"/>
  <c r="QR174" i="5"/>
  <c r="QR178" i="5"/>
  <c r="CQ178" i="5" s="1"/>
  <c r="QR182" i="5"/>
  <c r="QR186" i="5"/>
  <c r="QR190" i="5"/>
  <c r="QR197" i="5"/>
  <c r="QR200" i="5"/>
  <c r="QR219" i="5"/>
  <c r="QR223" i="5"/>
  <c r="QR227" i="5"/>
  <c r="QR231" i="5"/>
  <c r="QR235" i="5"/>
  <c r="QR243" i="5"/>
  <c r="QR247" i="5"/>
  <c r="QR47" i="5"/>
  <c r="QR71" i="5"/>
  <c r="CQ71" i="5" s="1"/>
  <c r="QR87" i="5"/>
  <c r="QR126" i="5"/>
  <c r="QR134" i="5"/>
  <c r="QR142" i="5"/>
  <c r="QR148" i="5"/>
  <c r="QR171" i="5"/>
  <c r="QR179" i="5"/>
  <c r="QR187" i="5"/>
  <c r="CQ187" i="5" s="1"/>
  <c r="QR194" i="5"/>
  <c r="QR201" i="5"/>
  <c r="QR214" i="5"/>
  <c r="QR220" i="5"/>
  <c r="QR224" i="5"/>
  <c r="QR240" i="5"/>
  <c r="QR248" i="5"/>
  <c r="QR29" i="5"/>
  <c r="QR53" i="5"/>
  <c r="QR125" i="5"/>
  <c r="QR132" i="5"/>
  <c r="QR140" i="5"/>
  <c r="QR154" i="5"/>
  <c r="QR162" i="5"/>
  <c r="QR192" i="5"/>
  <c r="QR206" i="5"/>
  <c r="QR212" i="5"/>
  <c r="QR216" i="5"/>
  <c r="QR222" i="5"/>
  <c r="QR230" i="5"/>
  <c r="QR238" i="5"/>
  <c r="QR246" i="5"/>
  <c r="QR11" i="5"/>
  <c r="QR123" i="5"/>
  <c r="QR138" i="5"/>
  <c r="QR152" i="5"/>
  <c r="QR160" i="5"/>
  <c r="QR175" i="5"/>
  <c r="QR183" i="5"/>
  <c r="CQ183" i="5" s="1"/>
  <c r="QR191" i="5"/>
  <c r="QR198" i="5"/>
  <c r="QR204" i="5"/>
  <c r="CQ204" i="5" s="1"/>
  <c r="QR228" i="5"/>
  <c r="QR236" i="5"/>
  <c r="QR244" i="5"/>
  <c r="QR33" i="5"/>
  <c r="QR65" i="5"/>
  <c r="QR97" i="5"/>
  <c r="QR128" i="5"/>
  <c r="QR136" i="5"/>
  <c r="QR150" i="5"/>
  <c r="QR158" i="5"/>
  <c r="QR166" i="5"/>
  <c r="QR181" i="5"/>
  <c r="QR189" i="5"/>
  <c r="QR196" i="5"/>
  <c r="QR202" i="5"/>
  <c r="QR215" i="5"/>
  <c r="QR218" i="5"/>
  <c r="QR226" i="5"/>
  <c r="QR234" i="5"/>
  <c r="QR242" i="5"/>
  <c r="PI18" i="5"/>
  <c r="PI46" i="5"/>
  <c r="PI50" i="5"/>
  <c r="PI58" i="5"/>
  <c r="PI66" i="5"/>
  <c r="PI70" i="5"/>
  <c r="PI74" i="5"/>
  <c r="PI78" i="5"/>
  <c r="PI82" i="5"/>
  <c r="PI98" i="5"/>
  <c r="PI106" i="5"/>
  <c r="PI110" i="5"/>
  <c r="PI118" i="5"/>
  <c r="PI122" i="5"/>
  <c r="PI5" i="5"/>
  <c r="PI55" i="5"/>
  <c r="PI63" i="5"/>
  <c r="PI79" i="5"/>
  <c r="PI103" i="5"/>
  <c r="PI111" i="5"/>
  <c r="PI119" i="5"/>
  <c r="PI7" i="5"/>
  <c r="PI13" i="5"/>
  <c r="PI21" i="5"/>
  <c r="PI37" i="5"/>
  <c r="PI61" i="5"/>
  <c r="PI69" i="5"/>
  <c r="PI77" i="5"/>
  <c r="PI85" i="5"/>
  <c r="PI109" i="5"/>
  <c r="PI117" i="5"/>
  <c r="PI4" i="5"/>
  <c r="PI8" i="5"/>
  <c r="PI24" i="5"/>
  <c r="PI32" i="5"/>
  <c r="PI36" i="5"/>
  <c r="PI40" i="5"/>
  <c r="PI48" i="5"/>
  <c r="PI56" i="5"/>
  <c r="PI64" i="5"/>
  <c r="PI68" i="5"/>
  <c r="PI76" i="5"/>
  <c r="PI112" i="5"/>
  <c r="PI116" i="5"/>
  <c r="PI19" i="5"/>
  <c r="PI27" i="5"/>
  <c r="PI35" i="5"/>
  <c r="PI43" i="5"/>
  <c r="PI51" i="5"/>
  <c r="PI59" i="5"/>
  <c r="PI67" i="5"/>
  <c r="PI83" i="5"/>
  <c r="PI115" i="5"/>
  <c r="PI41" i="5"/>
  <c r="PI49" i="5"/>
  <c r="PI73" i="5"/>
  <c r="PI81" i="5"/>
  <c r="PI89" i="5"/>
  <c r="PI105" i="5"/>
  <c r="PI113" i="5"/>
  <c r="PI28" i="5"/>
  <c r="PI72" i="5"/>
  <c r="PI92" i="5"/>
  <c r="PI100" i="5"/>
  <c r="PI120" i="5"/>
  <c r="PI127" i="5"/>
  <c r="PI135" i="5"/>
  <c r="PI145" i="5"/>
  <c r="PI153" i="5"/>
  <c r="PI157" i="5"/>
  <c r="PI161" i="5"/>
  <c r="PI176" i="5"/>
  <c r="PI180" i="5"/>
  <c r="PI184" i="5"/>
  <c r="PI188" i="5"/>
  <c r="PI195" i="5"/>
  <c r="PI199" i="5"/>
  <c r="PI208" i="5"/>
  <c r="PI217" i="5"/>
  <c r="PI221" i="5"/>
  <c r="PI225" i="5"/>
  <c r="PI229" i="5"/>
  <c r="PI237" i="5"/>
  <c r="PI241" i="5"/>
  <c r="PI245" i="5"/>
  <c r="PI11" i="5"/>
  <c r="PI123" i="5"/>
  <c r="PI138" i="5"/>
  <c r="PI152" i="5"/>
  <c r="PI160" i="5"/>
  <c r="PI175" i="5"/>
  <c r="PI183" i="5"/>
  <c r="PI191" i="5"/>
  <c r="PI198" i="5"/>
  <c r="PI204" i="5"/>
  <c r="PI228" i="5"/>
  <c r="PI236" i="5"/>
  <c r="PI244" i="5"/>
  <c r="PI33" i="5"/>
  <c r="PI65" i="5"/>
  <c r="PI97" i="5"/>
  <c r="PI128" i="5"/>
  <c r="PI136" i="5"/>
  <c r="PI150" i="5"/>
  <c r="PI158" i="5"/>
  <c r="PI166" i="5"/>
  <c r="PI181" i="5"/>
  <c r="PI189" i="5"/>
  <c r="PI196" i="5"/>
  <c r="PI202" i="5"/>
  <c r="PI215" i="5"/>
  <c r="PI218" i="5"/>
  <c r="PI226" i="5"/>
  <c r="PI234" i="5"/>
  <c r="PI242" i="5"/>
  <c r="PI10" i="5"/>
  <c r="PI26" i="5"/>
  <c r="PI38" i="5"/>
  <c r="PI102" i="5"/>
  <c r="PI114" i="5"/>
  <c r="PI137" i="5"/>
  <c r="PI141" i="5"/>
  <c r="PI147" i="5"/>
  <c r="PI151" i="5"/>
  <c r="PI159" i="5"/>
  <c r="PI163" i="5"/>
  <c r="PI167" i="5"/>
  <c r="PI174" i="5"/>
  <c r="PI178" i="5"/>
  <c r="PI182" i="5"/>
  <c r="PI186" i="5"/>
  <c r="PI190" i="5"/>
  <c r="PI197" i="5"/>
  <c r="PI200" i="5"/>
  <c r="PI219" i="5"/>
  <c r="PI223" i="5"/>
  <c r="PI227" i="5"/>
  <c r="PI231" i="5"/>
  <c r="PI235" i="5"/>
  <c r="PI243" i="5"/>
  <c r="PI247" i="5"/>
  <c r="PI47" i="5"/>
  <c r="PI71" i="5"/>
  <c r="PI87" i="5"/>
  <c r="PI126" i="5"/>
  <c r="PI134" i="5"/>
  <c r="PI142" i="5"/>
  <c r="PI148" i="5"/>
  <c r="PI171" i="5"/>
  <c r="PI179" i="5"/>
  <c r="PI187" i="5"/>
  <c r="PI194" i="5"/>
  <c r="PI201" i="5"/>
  <c r="PI214" i="5"/>
  <c r="PI220" i="5"/>
  <c r="PI224" i="5"/>
  <c r="PI240" i="5"/>
  <c r="PI248" i="5"/>
  <c r="PI29" i="5"/>
  <c r="PI53" i="5"/>
  <c r="PI125" i="5"/>
  <c r="PI132" i="5"/>
  <c r="PI140" i="5"/>
  <c r="PI154" i="5"/>
  <c r="PI162" i="5"/>
  <c r="PI192" i="5"/>
  <c r="PI206" i="5"/>
  <c r="PI212" i="5"/>
  <c r="PI216" i="5"/>
  <c r="PI222" i="5"/>
  <c r="PI230" i="5"/>
  <c r="PI238" i="5"/>
  <c r="PI246" i="5"/>
  <c r="NW3" i="5"/>
  <c r="NW4" i="5"/>
  <c r="NW5" i="5"/>
  <c r="NW6" i="5"/>
  <c r="NW8" i="5"/>
  <c r="NW9" i="5"/>
  <c r="NW10" i="5"/>
  <c r="NW11" i="5"/>
  <c r="NW12" i="5"/>
  <c r="NW13" i="5"/>
  <c r="NW14" i="5"/>
  <c r="NW15" i="5"/>
  <c r="NW16" i="5"/>
  <c r="NW17" i="5"/>
  <c r="NW18" i="5"/>
  <c r="NW19" i="5"/>
  <c r="NW20" i="5"/>
  <c r="NW21" i="5"/>
  <c r="NW22" i="5"/>
  <c r="NW23" i="5"/>
  <c r="NW24" i="5"/>
  <c r="NW25" i="5"/>
  <c r="NW26" i="5"/>
  <c r="NW27" i="5"/>
  <c r="NW28" i="5"/>
  <c r="NW29" i="5"/>
  <c r="NW30" i="5"/>
  <c r="NW31" i="5"/>
  <c r="NW32" i="5"/>
  <c r="NW33" i="5"/>
  <c r="NW34" i="5"/>
  <c r="NW35" i="5"/>
  <c r="NW36" i="5"/>
  <c r="NW37" i="5"/>
  <c r="NW38" i="5"/>
  <c r="NW39" i="5"/>
  <c r="NW40" i="5"/>
  <c r="NW41" i="5"/>
  <c r="NW42" i="5"/>
  <c r="NW43" i="5"/>
  <c r="NW44" i="5"/>
  <c r="NW45" i="5"/>
  <c r="NW46" i="5"/>
  <c r="NW47" i="5"/>
  <c r="NW48" i="5"/>
  <c r="NW49" i="5"/>
  <c r="NW50" i="5"/>
  <c r="NW51" i="5"/>
  <c r="NW52" i="5"/>
  <c r="NW53" i="5"/>
  <c r="NW54" i="5"/>
  <c r="NW55" i="5"/>
  <c r="NW56" i="5"/>
  <c r="NW57" i="5"/>
  <c r="NW58" i="5"/>
  <c r="NW59" i="5"/>
  <c r="NW60" i="5"/>
  <c r="NW61" i="5"/>
  <c r="NW62" i="5"/>
  <c r="NW63" i="5"/>
  <c r="NW64" i="5"/>
  <c r="NW65" i="5"/>
  <c r="NW66" i="5"/>
  <c r="NW67" i="5"/>
  <c r="NW68" i="5"/>
  <c r="NW69" i="5"/>
  <c r="NW70" i="5"/>
  <c r="NW71" i="5"/>
  <c r="NW72" i="5"/>
  <c r="NW73" i="5"/>
  <c r="NW74" i="5"/>
  <c r="NW75" i="5"/>
  <c r="NW76" i="5"/>
  <c r="NW77" i="5"/>
  <c r="NW78" i="5"/>
  <c r="NW79" i="5"/>
  <c r="NW80" i="5"/>
  <c r="NW81" i="5"/>
  <c r="NW82" i="5"/>
  <c r="NW83" i="5"/>
  <c r="NW84" i="5"/>
  <c r="NW85" i="5"/>
  <c r="NW86" i="5"/>
  <c r="NW87" i="5"/>
  <c r="NW88" i="5"/>
  <c r="NW89" i="5"/>
  <c r="NW90" i="5"/>
  <c r="NW91" i="5"/>
  <c r="NW92" i="5"/>
  <c r="NW93" i="5"/>
  <c r="NW94" i="5"/>
  <c r="NW95" i="5"/>
  <c r="NW96" i="5"/>
  <c r="NW97" i="5"/>
  <c r="NW98" i="5"/>
  <c r="NW99" i="5"/>
  <c r="NW100" i="5"/>
  <c r="NW101" i="5"/>
  <c r="NW102" i="5"/>
  <c r="NW103" i="5"/>
  <c r="NW104" i="5"/>
  <c r="NW105" i="5"/>
  <c r="NW106" i="5"/>
  <c r="NW107" i="5"/>
  <c r="NW108" i="5"/>
  <c r="NW109" i="5"/>
  <c r="NW110" i="5"/>
  <c r="NW111" i="5"/>
  <c r="NW112" i="5"/>
  <c r="NW113" i="5"/>
  <c r="NW114" i="5"/>
  <c r="NW115" i="5"/>
  <c r="NW116" i="5"/>
  <c r="NW117" i="5"/>
  <c r="NW118" i="5"/>
  <c r="NW119" i="5"/>
  <c r="NW120" i="5"/>
  <c r="NW121" i="5"/>
  <c r="NW122" i="5"/>
  <c r="NW123" i="5"/>
  <c r="NW124" i="5"/>
  <c r="NW125" i="5"/>
  <c r="NW126" i="5"/>
  <c r="NW127" i="5"/>
  <c r="NW128" i="5"/>
  <c r="NW129" i="5"/>
  <c r="NW130" i="5"/>
  <c r="NW131" i="5"/>
  <c r="NW132" i="5"/>
  <c r="NW133" i="5"/>
  <c r="NW134" i="5"/>
  <c r="NW135" i="5"/>
  <c r="NW136" i="5"/>
  <c r="NW137" i="5"/>
  <c r="NW138" i="5"/>
  <c r="NW139" i="5"/>
  <c r="NW140" i="5"/>
  <c r="NW141" i="5"/>
  <c r="NW142" i="5"/>
  <c r="NW143" i="5"/>
  <c r="NW144" i="5"/>
  <c r="NW145" i="5"/>
  <c r="NW146" i="5"/>
  <c r="NW147" i="5"/>
  <c r="NW148" i="5"/>
  <c r="NW149" i="5"/>
  <c r="NW150" i="5"/>
  <c r="NW151" i="5"/>
  <c r="NW152" i="5"/>
  <c r="NW153" i="5"/>
  <c r="NW154" i="5"/>
  <c r="NW155" i="5"/>
  <c r="NW156" i="5"/>
  <c r="NW157" i="5"/>
  <c r="NW158" i="5"/>
  <c r="NW159" i="5"/>
  <c r="NW160" i="5"/>
  <c r="NW161" i="5"/>
  <c r="NW162" i="5"/>
  <c r="NW163" i="5"/>
  <c r="NW164" i="5"/>
  <c r="NW165" i="5"/>
  <c r="NW166" i="5"/>
  <c r="NW167" i="5"/>
  <c r="NW168" i="5"/>
  <c r="NW169" i="5"/>
  <c r="NW170" i="5"/>
  <c r="NW171" i="5"/>
  <c r="NW172" i="5"/>
  <c r="NW173" i="5"/>
  <c r="NW174" i="5"/>
  <c r="NW175" i="5"/>
  <c r="NW176" i="5"/>
  <c r="NW177" i="5"/>
  <c r="NW178" i="5"/>
  <c r="NW179" i="5"/>
  <c r="NW180" i="5"/>
  <c r="NW181" i="5"/>
  <c r="NW182" i="5"/>
  <c r="NW183" i="5"/>
  <c r="NW184" i="5"/>
  <c r="NW185" i="5"/>
  <c r="NW186" i="5"/>
  <c r="NW187" i="5"/>
  <c r="NW188" i="5"/>
  <c r="NW189" i="5"/>
  <c r="NW190" i="5"/>
  <c r="NW191" i="5"/>
  <c r="NW192" i="5"/>
  <c r="NW193" i="5"/>
  <c r="NW202" i="5"/>
  <c r="NW203" i="5"/>
  <c r="NW204" i="5"/>
  <c r="NW205" i="5"/>
  <c r="NW206" i="5"/>
  <c r="NW207" i="5"/>
  <c r="NW208" i="5"/>
  <c r="NW209" i="5"/>
  <c r="NW210" i="5"/>
  <c r="NW211" i="5"/>
  <c r="NW212" i="5"/>
  <c r="NW213" i="5"/>
  <c r="NW214" i="5"/>
  <c r="NW215" i="5"/>
  <c r="NW216" i="5"/>
  <c r="NW217" i="5"/>
  <c r="NW218" i="5"/>
  <c r="NW219" i="5"/>
  <c r="NW220" i="5"/>
  <c r="NW221" i="5"/>
  <c r="NW222" i="5"/>
  <c r="NW223" i="5"/>
  <c r="NW224" i="5"/>
  <c r="NW225" i="5"/>
  <c r="NW226" i="5"/>
  <c r="NW227" i="5"/>
  <c r="NW228" i="5"/>
  <c r="NW229" i="5"/>
  <c r="NW230" i="5"/>
  <c r="NW231" i="5"/>
  <c r="NW232" i="5"/>
  <c r="NW233" i="5"/>
  <c r="NW234" i="5"/>
  <c r="NW235" i="5"/>
  <c r="NW236" i="5"/>
  <c r="NW237" i="5"/>
  <c r="NW238" i="5"/>
  <c r="NW239" i="5"/>
  <c r="NW240" i="5"/>
  <c r="NW241" i="5"/>
  <c r="NW242" i="5"/>
  <c r="NW243" i="5"/>
  <c r="NW244" i="5"/>
  <c r="NW245" i="5"/>
  <c r="NW246" i="5"/>
  <c r="NW247" i="5"/>
  <c r="NW248" i="5"/>
  <c r="XFD105" i="30"/>
  <c r="CQ116" i="5" l="1"/>
  <c r="CQ83" i="5"/>
  <c r="CQ89" i="5"/>
  <c r="CQ122" i="5"/>
  <c r="CQ113" i="5"/>
  <c r="CQ115" i="5"/>
  <c r="CQ67" i="5"/>
  <c r="PQ49" i="5"/>
  <c r="PO43" i="5"/>
  <c r="QM32" i="5"/>
  <c r="CO32" i="5" s="1"/>
  <c r="HH32" i="5" s="1"/>
  <c r="QF77" i="5"/>
  <c r="PK111" i="5"/>
  <c r="QN110" i="5"/>
  <c r="PO66" i="5"/>
  <c r="PK41" i="5"/>
  <c r="PK35" i="5"/>
  <c r="PN76" i="5"/>
  <c r="QG24" i="5"/>
  <c r="QO69" i="5"/>
  <c r="PO103" i="5"/>
  <c r="PP106" i="5"/>
  <c r="QG58" i="5"/>
  <c r="QL8" i="5"/>
  <c r="PS61" i="5"/>
  <c r="QG79" i="5"/>
  <c r="CO79" i="5" s="1"/>
  <c r="HH79" i="5" s="1"/>
  <c r="PS98" i="5"/>
  <c r="PM50" i="5"/>
  <c r="PN113" i="5"/>
  <c r="QP115" i="5"/>
  <c r="QD19" i="5"/>
  <c r="QD64" i="5"/>
  <c r="QD4" i="5"/>
  <c r="QG37" i="5"/>
  <c r="QN63" i="5"/>
  <c r="PU46" i="5"/>
  <c r="PV105" i="5"/>
  <c r="QC83" i="5"/>
  <c r="PP116" i="5"/>
  <c r="PQ56" i="5"/>
  <c r="QL117" i="5"/>
  <c r="QM21" i="5"/>
  <c r="PO55" i="5"/>
  <c r="PZ82" i="5"/>
  <c r="QE18" i="5"/>
  <c r="PP89" i="5"/>
  <c r="PM67" i="5"/>
  <c r="PU112" i="5"/>
  <c r="QO48" i="5"/>
  <c r="QD109" i="5"/>
  <c r="PP13" i="5"/>
  <c r="PQ5" i="5"/>
  <c r="QL78" i="5"/>
  <c r="QK81" i="5"/>
  <c r="CO81" i="5" s="1"/>
  <c r="HH81" i="5" s="1"/>
  <c r="PO59" i="5"/>
  <c r="PY40" i="5"/>
  <c r="QC7" i="5"/>
  <c r="PX122" i="5"/>
  <c r="QI74" i="5"/>
  <c r="PP73" i="5"/>
  <c r="QO51" i="5"/>
  <c r="PQ36" i="5"/>
  <c r="PO85" i="5"/>
  <c r="QD119" i="5"/>
  <c r="QL118" i="5"/>
  <c r="PN70" i="5"/>
  <c r="QK43" i="5"/>
  <c r="QM122" i="5"/>
  <c r="PR78" i="5"/>
  <c r="QL76" i="5"/>
  <c r="QB70" i="5"/>
  <c r="PM81" i="5"/>
  <c r="PZ63" i="5"/>
  <c r="PU116" i="5"/>
  <c r="PX76" i="5"/>
  <c r="PW116" i="5"/>
  <c r="QF76" i="5"/>
  <c r="PT43" i="5"/>
  <c r="QI76" i="5"/>
  <c r="QO115" i="5"/>
  <c r="QO98" i="5"/>
  <c r="PX105" i="5"/>
  <c r="PK83" i="5"/>
  <c r="QI40" i="5"/>
  <c r="PO122" i="5"/>
  <c r="QO46" i="5"/>
  <c r="PP105" i="5"/>
  <c r="QB83" i="5"/>
  <c r="PW98" i="5"/>
  <c r="PW105" i="5"/>
  <c r="QL41" i="5"/>
  <c r="QD83" i="5"/>
  <c r="PR105" i="5"/>
  <c r="PO32" i="5"/>
  <c r="PO81" i="5"/>
  <c r="PJ115" i="5"/>
  <c r="PM43" i="5"/>
  <c r="QA116" i="5"/>
  <c r="QK76" i="5"/>
  <c r="PS76" i="5"/>
  <c r="QI43" i="5"/>
  <c r="PT116" i="5"/>
  <c r="PT76" i="5"/>
  <c r="PV76" i="5"/>
  <c r="PQ27" i="5"/>
  <c r="PW27" i="5"/>
  <c r="PW59" i="5"/>
  <c r="PT59" i="5"/>
  <c r="PK27" i="5"/>
  <c r="PU59" i="5"/>
  <c r="PZ27" i="5"/>
  <c r="PM27" i="5"/>
  <c r="QI59" i="5"/>
  <c r="CO59" i="5" s="1"/>
  <c r="HH59" i="5" s="1"/>
  <c r="PS27" i="5"/>
  <c r="QQ81" i="5"/>
  <c r="PW81" i="5"/>
  <c r="QJ81" i="5"/>
  <c r="PP41" i="5"/>
  <c r="QQ115" i="5"/>
  <c r="PK8" i="5"/>
  <c r="QH110" i="5"/>
  <c r="QM81" i="5"/>
  <c r="PJ81" i="5"/>
  <c r="PL81" i="5"/>
  <c r="QQ41" i="5"/>
  <c r="PS115" i="5"/>
  <c r="PX69" i="5"/>
  <c r="QA110" i="5"/>
  <c r="QE81" i="5"/>
  <c r="QG41" i="5"/>
  <c r="QF111" i="5"/>
  <c r="QN105" i="5"/>
  <c r="QO105" i="5"/>
  <c r="PL105" i="5"/>
  <c r="QP105" i="5"/>
  <c r="PJ105" i="5"/>
  <c r="QA59" i="5"/>
  <c r="PY59" i="5"/>
  <c r="PL59" i="5"/>
  <c r="PJ59" i="5"/>
  <c r="PR43" i="5"/>
  <c r="QG43" i="5"/>
  <c r="PZ43" i="5"/>
  <c r="QA43" i="5"/>
  <c r="PN27" i="5"/>
  <c r="QE27" i="5"/>
  <c r="QQ27" i="5"/>
  <c r="QK27" i="5"/>
  <c r="PR116" i="5"/>
  <c r="QO116" i="5"/>
  <c r="PQ116" i="5"/>
  <c r="PJ116" i="5"/>
  <c r="PL116" i="5"/>
  <c r="QL40" i="5"/>
  <c r="QF109" i="5"/>
  <c r="PX63" i="5"/>
  <c r="QN122" i="5"/>
  <c r="PX110" i="5"/>
  <c r="QF98" i="5"/>
  <c r="QC78" i="5"/>
  <c r="CO78" i="5" s="1"/>
  <c r="HH78" i="5" s="1"/>
  <c r="QQ70" i="5"/>
  <c r="QL46" i="5"/>
  <c r="QK18" i="5"/>
  <c r="QJ105" i="5"/>
  <c r="PT105" i="5"/>
  <c r="QK105" i="5"/>
  <c r="QH105" i="5"/>
  <c r="QE59" i="5"/>
  <c r="QK59" i="5"/>
  <c r="PM59" i="5"/>
  <c r="QJ59" i="5"/>
  <c r="PK59" i="5"/>
  <c r="PY43" i="5"/>
  <c r="PV43" i="5"/>
  <c r="PP43" i="5"/>
  <c r="PS43" i="5"/>
  <c r="PL27" i="5"/>
  <c r="PR27" i="5"/>
  <c r="QF27" i="5"/>
  <c r="QC27" i="5"/>
  <c r="QH116" i="5"/>
  <c r="PS116" i="5"/>
  <c r="QP116" i="5"/>
  <c r="QJ116" i="5"/>
  <c r="QH48" i="5"/>
  <c r="QC32" i="5"/>
  <c r="PO109" i="5"/>
  <c r="PU21" i="5"/>
  <c r="QO63" i="5"/>
  <c r="QG122" i="5"/>
  <c r="QI110" i="5"/>
  <c r="PV98" i="5"/>
  <c r="QA78" i="5"/>
  <c r="QH70" i="5"/>
  <c r="QH46" i="5"/>
  <c r="PO105" i="5"/>
  <c r="QG105" i="5"/>
  <c r="QA105" i="5"/>
  <c r="PZ105" i="5"/>
  <c r="PV59" i="5"/>
  <c r="PN59" i="5"/>
  <c r="QH59" i="5"/>
  <c r="QB59" i="5"/>
  <c r="QC43" i="5"/>
  <c r="QH43" i="5"/>
  <c r="PL43" i="5"/>
  <c r="QQ43" i="5"/>
  <c r="PK43" i="5"/>
  <c r="PT27" i="5"/>
  <c r="QJ27" i="5"/>
  <c r="PV27" i="5"/>
  <c r="PU27" i="5"/>
  <c r="PY116" i="5"/>
  <c r="QL116" i="5"/>
  <c r="QE116" i="5"/>
  <c r="QB116" i="5"/>
  <c r="PP48" i="5"/>
  <c r="QD32" i="5"/>
  <c r="PT8" i="5"/>
  <c r="QQ85" i="5"/>
  <c r="PS7" i="5"/>
  <c r="QG63" i="5"/>
  <c r="CO63" i="5" s="1"/>
  <c r="HH63" i="5" s="1"/>
  <c r="QT242" i="5"/>
  <c r="QX242" i="5"/>
  <c r="RB242" i="5"/>
  <c r="RF242" i="5"/>
  <c r="RJ242" i="5"/>
  <c r="RN242" i="5"/>
  <c r="RR242" i="5"/>
  <c r="QU242" i="5"/>
  <c r="QY242" i="5"/>
  <c r="RC242" i="5"/>
  <c r="RG242" i="5"/>
  <c r="RK242" i="5"/>
  <c r="RO242" i="5"/>
  <c r="RS242" i="5"/>
  <c r="QV242" i="5"/>
  <c r="QZ242" i="5"/>
  <c r="RD242" i="5"/>
  <c r="RH242" i="5"/>
  <c r="RL242" i="5"/>
  <c r="RP242" i="5"/>
  <c r="RT242" i="5"/>
  <c r="RI242" i="5"/>
  <c r="QW242" i="5"/>
  <c r="RM242" i="5"/>
  <c r="RA242" i="5"/>
  <c r="RQ242" i="5"/>
  <c r="RE242" i="5"/>
  <c r="RU242" i="5"/>
  <c r="QV215" i="5"/>
  <c r="QZ215" i="5"/>
  <c r="RD215" i="5"/>
  <c r="RH215" i="5"/>
  <c r="RL215" i="5"/>
  <c r="RP215" i="5"/>
  <c r="RT215" i="5"/>
  <c r="QW215" i="5"/>
  <c r="RA215" i="5"/>
  <c r="RE215" i="5"/>
  <c r="RI215" i="5"/>
  <c r="RM215" i="5"/>
  <c r="RQ215" i="5"/>
  <c r="RU215" i="5"/>
  <c r="QT215" i="5"/>
  <c r="QX215" i="5"/>
  <c r="RB215" i="5"/>
  <c r="RF215" i="5"/>
  <c r="RJ215" i="5"/>
  <c r="RN215" i="5"/>
  <c r="RR215" i="5"/>
  <c r="QY215" i="5"/>
  <c r="RO215" i="5"/>
  <c r="RC215" i="5"/>
  <c r="RS215" i="5"/>
  <c r="RG215" i="5"/>
  <c r="QU215" i="5"/>
  <c r="RK215" i="5"/>
  <c r="QV202" i="5"/>
  <c r="QZ202" i="5"/>
  <c r="RD202" i="5"/>
  <c r="RH202" i="5"/>
  <c r="RL202" i="5"/>
  <c r="RP202" i="5"/>
  <c r="RT202" i="5"/>
  <c r="QW202" i="5"/>
  <c r="RA202" i="5"/>
  <c r="RE202" i="5"/>
  <c r="RI202" i="5"/>
  <c r="RM202" i="5"/>
  <c r="RQ202" i="5"/>
  <c r="RU202" i="5"/>
  <c r="QT202" i="5"/>
  <c r="QX202" i="5"/>
  <c r="RB202" i="5"/>
  <c r="RF202" i="5"/>
  <c r="RJ202" i="5"/>
  <c r="RN202" i="5"/>
  <c r="RR202" i="5"/>
  <c r="QY202" i="5"/>
  <c r="RO202" i="5"/>
  <c r="RC202" i="5"/>
  <c r="RS202" i="5"/>
  <c r="RG202" i="5"/>
  <c r="QU202" i="5"/>
  <c r="RK202" i="5"/>
  <c r="QU97" i="5"/>
  <c r="QY97" i="5"/>
  <c r="RC97" i="5"/>
  <c r="RG97" i="5"/>
  <c r="RK97" i="5"/>
  <c r="RO97" i="5"/>
  <c r="RS97" i="5"/>
  <c r="QV97" i="5"/>
  <c r="QZ97" i="5"/>
  <c r="RD97" i="5"/>
  <c r="RH97" i="5"/>
  <c r="RL97" i="5"/>
  <c r="RP97" i="5"/>
  <c r="RT97" i="5"/>
  <c r="QW97" i="5"/>
  <c r="RE97" i="5"/>
  <c r="RM97" i="5"/>
  <c r="RU97" i="5"/>
  <c r="QX97" i="5"/>
  <c r="RF97" i="5"/>
  <c r="RN97" i="5"/>
  <c r="RA97" i="5"/>
  <c r="RI97" i="5"/>
  <c r="RQ97" i="5"/>
  <c r="CQ97" i="5" s="1"/>
  <c r="RJ97" i="5"/>
  <c r="RR97" i="5"/>
  <c r="QT97" i="5"/>
  <c r="RB97" i="5"/>
  <c r="QT244" i="5"/>
  <c r="QX244" i="5"/>
  <c r="RB244" i="5"/>
  <c r="RF244" i="5"/>
  <c r="RJ244" i="5"/>
  <c r="RN244" i="5"/>
  <c r="RR244" i="5"/>
  <c r="QU244" i="5"/>
  <c r="QY244" i="5"/>
  <c r="RC244" i="5"/>
  <c r="RG244" i="5"/>
  <c r="RK244" i="5"/>
  <c r="RO244" i="5"/>
  <c r="RS244" i="5"/>
  <c r="QV244" i="5"/>
  <c r="QZ244" i="5"/>
  <c r="RD244" i="5"/>
  <c r="RH244" i="5"/>
  <c r="RL244" i="5"/>
  <c r="RP244" i="5"/>
  <c r="RT244" i="5"/>
  <c r="RA244" i="5"/>
  <c r="RQ244" i="5"/>
  <c r="RE244" i="5"/>
  <c r="RU244" i="5"/>
  <c r="RI244" i="5"/>
  <c r="QW244" i="5"/>
  <c r="RM244" i="5"/>
  <c r="QV198" i="5"/>
  <c r="QZ198" i="5"/>
  <c r="RD198" i="5"/>
  <c r="RH198" i="5"/>
  <c r="RL198" i="5"/>
  <c r="RP198" i="5"/>
  <c r="RT198" i="5"/>
  <c r="QW198" i="5"/>
  <c r="RA198" i="5"/>
  <c r="RE198" i="5"/>
  <c r="RI198" i="5"/>
  <c r="RM198" i="5"/>
  <c r="RQ198" i="5"/>
  <c r="RU198" i="5"/>
  <c r="CQ198" i="5" s="1"/>
  <c r="QT198" i="5"/>
  <c r="QX198" i="5"/>
  <c r="RB198" i="5"/>
  <c r="RF198" i="5"/>
  <c r="RJ198" i="5"/>
  <c r="RN198" i="5"/>
  <c r="RR198" i="5"/>
  <c r="RG198" i="5"/>
  <c r="QU198" i="5"/>
  <c r="RK198" i="5"/>
  <c r="QY198" i="5"/>
  <c r="RO198" i="5"/>
  <c r="RC198" i="5"/>
  <c r="RS198" i="5"/>
  <c r="QU138" i="5"/>
  <c r="QY138" i="5"/>
  <c r="RC138" i="5"/>
  <c r="RG138" i="5"/>
  <c r="RK138" i="5"/>
  <c r="RO138" i="5"/>
  <c r="RS138" i="5"/>
  <c r="QV138" i="5"/>
  <c r="QZ138" i="5"/>
  <c r="RD138" i="5"/>
  <c r="RH138" i="5"/>
  <c r="RL138" i="5"/>
  <c r="RP138" i="5"/>
  <c r="RT138" i="5"/>
  <c r="QW138" i="5"/>
  <c r="RA138" i="5"/>
  <c r="RE138" i="5"/>
  <c r="RI138" i="5"/>
  <c r="RM138" i="5"/>
  <c r="RQ138" i="5"/>
  <c r="RU138" i="5"/>
  <c r="RF138" i="5"/>
  <c r="QT138" i="5"/>
  <c r="RJ138" i="5"/>
  <c r="QX138" i="5"/>
  <c r="RN138" i="5"/>
  <c r="RB138" i="5"/>
  <c r="RR138" i="5"/>
  <c r="QT238" i="5"/>
  <c r="QX238" i="5"/>
  <c r="RB238" i="5"/>
  <c r="RF238" i="5"/>
  <c r="RJ238" i="5"/>
  <c r="RN238" i="5"/>
  <c r="RR238" i="5"/>
  <c r="QU238" i="5"/>
  <c r="CQ238" i="5" s="1"/>
  <c r="QY238" i="5"/>
  <c r="RC238" i="5"/>
  <c r="RG238" i="5"/>
  <c r="RK238" i="5"/>
  <c r="RO238" i="5"/>
  <c r="RS238" i="5"/>
  <c r="QV238" i="5"/>
  <c r="QZ238" i="5"/>
  <c r="RD238" i="5"/>
  <c r="RH238" i="5"/>
  <c r="RL238" i="5"/>
  <c r="RP238" i="5"/>
  <c r="RT238" i="5"/>
  <c r="RI238" i="5"/>
  <c r="QW238" i="5"/>
  <c r="RM238" i="5"/>
  <c r="RA238" i="5"/>
  <c r="RQ238" i="5"/>
  <c r="RE238" i="5"/>
  <c r="RU238" i="5"/>
  <c r="QU140" i="5"/>
  <c r="QY140" i="5"/>
  <c r="RC140" i="5"/>
  <c r="RG140" i="5"/>
  <c r="RK140" i="5"/>
  <c r="RO140" i="5"/>
  <c r="RS140" i="5"/>
  <c r="QV140" i="5"/>
  <c r="QZ140" i="5"/>
  <c r="RD140" i="5"/>
  <c r="RH140" i="5"/>
  <c r="RL140" i="5"/>
  <c r="RP140" i="5"/>
  <c r="RT140" i="5"/>
  <c r="CQ140" i="5" s="1"/>
  <c r="QW140" i="5"/>
  <c r="RA140" i="5"/>
  <c r="RE140" i="5"/>
  <c r="RI140" i="5"/>
  <c r="RM140" i="5"/>
  <c r="RQ140" i="5"/>
  <c r="RU140" i="5"/>
  <c r="QX140" i="5"/>
  <c r="RN140" i="5"/>
  <c r="RB140" i="5"/>
  <c r="RR140" i="5"/>
  <c r="RF140" i="5"/>
  <c r="RJ140" i="5"/>
  <c r="QT140" i="5"/>
  <c r="QT53" i="5"/>
  <c r="QX53" i="5"/>
  <c r="RB53" i="5"/>
  <c r="RF53" i="5"/>
  <c r="RJ53" i="5"/>
  <c r="CQ53" i="5" s="1"/>
  <c r="RN53" i="5"/>
  <c r="RR53" i="5"/>
  <c r="QU53" i="5"/>
  <c r="QZ53" i="5"/>
  <c r="RE53" i="5"/>
  <c r="RK53" i="5"/>
  <c r="RP53" i="5"/>
  <c r="RU53" i="5"/>
  <c r="QV53" i="5"/>
  <c r="RA53" i="5"/>
  <c r="RG53" i="5"/>
  <c r="RL53" i="5"/>
  <c r="RQ53" i="5"/>
  <c r="QY53" i="5"/>
  <c r="RI53" i="5"/>
  <c r="RT53" i="5"/>
  <c r="RC53" i="5"/>
  <c r="RM53" i="5"/>
  <c r="RD53" i="5"/>
  <c r="RO53" i="5"/>
  <c r="RS53" i="5"/>
  <c r="QW53" i="5"/>
  <c r="RH53" i="5"/>
  <c r="QW187" i="5"/>
  <c r="RA187" i="5"/>
  <c r="RE187" i="5"/>
  <c r="RI187" i="5"/>
  <c r="RM187" i="5"/>
  <c r="RQ187" i="5"/>
  <c r="RU187" i="5"/>
  <c r="QT187" i="5"/>
  <c r="QX187" i="5"/>
  <c r="RB187" i="5"/>
  <c r="RF187" i="5"/>
  <c r="RJ187" i="5"/>
  <c r="RN187" i="5"/>
  <c r="RR187" i="5"/>
  <c r="QZ187" i="5"/>
  <c r="RH187" i="5"/>
  <c r="RP187" i="5"/>
  <c r="QU187" i="5"/>
  <c r="RC187" i="5"/>
  <c r="RK187" i="5"/>
  <c r="RS187" i="5"/>
  <c r="QV187" i="5"/>
  <c r="RD187" i="5"/>
  <c r="RL187" i="5"/>
  <c r="RT187" i="5"/>
  <c r="RG187" i="5"/>
  <c r="RO187" i="5"/>
  <c r="QY187" i="5"/>
  <c r="QW126" i="5"/>
  <c r="RA126" i="5"/>
  <c r="RE126" i="5"/>
  <c r="RI126" i="5"/>
  <c r="RM126" i="5"/>
  <c r="RQ126" i="5"/>
  <c r="RU126" i="5"/>
  <c r="QT126" i="5"/>
  <c r="QX126" i="5"/>
  <c r="RB126" i="5"/>
  <c r="RF126" i="5"/>
  <c r="RJ126" i="5"/>
  <c r="RN126" i="5"/>
  <c r="RR126" i="5"/>
  <c r="QY126" i="5"/>
  <c r="RG126" i="5"/>
  <c r="RO126" i="5"/>
  <c r="QZ126" i="5"/>
  <c r="RH126" i="5"/>
  <c r="RP126" i="5"/>
  <c r="QU126" i="5"/>
  <c r="RC126" i="5"/>
  <c r="RK126" i="5"/>
  <c r="RS126" i="5"/>
  <c r="RL126" i="5"/>
  <c r="RT126" i="5"/>
  <c r="QV126" i="5"/>
  <c r="RD126" i="5"/>
  <c r="QT243" i="5"/>
  <c r="QX243" i="5"/>
  <c r="RB243" i="5"/>
  <c r="RF243" i="5"/>
  <c r="RJ243" i="5"/>
  <c r="RN243" i="5"/>
  <c r="RR243" i="5"/>
  <c r="QU243" i="5"/>
  <c r="QY243" i="5"/>
  <c r="RC243" i="5"/>
  <c r="RG243" i="5"/>
  <c r="RK243" i="5"/>
  <c r="RO243" i="5"/>
  <c r="RS243" i="5"/>
  <c r="QV243" i="5"/>
  <c r="QZ243" i="5"/>
  <c r="RD243" i="5"/>
  <c r="RH243" i="5"/>
  <c r="RL243" i="5"/>
  <c r="RP243" i="5"/>
  <c r="RT243" i="5"/>
  <c r="QW243" i="5"/>
  <c r="RM243" i="5"/>
  <c r="RA243" i="5"/>
  <c r="RQ243" i="5"/>
  <c r="RE243" i="5"/>
  <c r="RU243" i="5"/>
  <c r="CQ243" i="5" s="1"/>
  <c r="RI243" i="5"/>
  <c r="QT227" i="5"/>
  <c r="QX227" i="5"/>
  <c r="RB227" i="5"/>
  <c r="RF227" i="5"/>
  <c r="RJ227" i="5"/>
  <c r="RN227" i="5"/>
  <c r="RR227" i="5"/>
  <c r="QU227" i="5"/>
  <c r="QY227" i="5"/>
  <c r="RC227" i="5"/>
  <c r="RG227" i="5"/>
  <c r="RK227" i="5"/>
  <c r="RO227" i="5"/>
  <c r="RS227" i="5"/>
  <c r="QV227" i="5"/>
  <c r="QZ227" i="5"/>
  <c r="RD227" i="5"/>
  <c r="RH227" i="5"/>
  <c r="RL227" i="5"/>
  <c r="RP227" i="5"/>
  <c r="RT227" i="5"/>
  <c r="QW227" i="5"/>
  <c r="RM227" i="5"/>
  <c r="RA227" i="5"/>
  <c r="RQ227" i="5"/>
  <c r="RE227" i="5"/>
  <c r="RU227" i="5"/>
  <c r="RI227" i="5"/>
  <c r="QW178" i="5"/>
  <c r="RA178" i="5"/>
  <c r="RE178" i="5"/>
  <c r="RI178" i="5"/>
  <c r="RM178" i="5"/>
  <c r="RQ178" i="5"/>
  <c r="RU178" i="5"/>
  <c r="QT178" i="5"/>
  <c r="QX178" i="5"/>
  <c r="RB178" i="5"/>
  <c r="RF178" i="5"/>
  <c r="RJ178" i="5"/>
  <c r="RN178" i="5"/>
  <c r="RR178" i="5"/>
  <c r="QV178" i="5"/>
  <c r="RD178" i="5"/>
  <c r="RL178" i="5"/>
  <c r="RT178" i="5"/>
  <c r="QY178" i="5"/>
  <c r="RG178" i="5"/>
  <c r="RO178" i="5"/>
  <c r="QZ178" i="5"/>
  <c r="RH178" i="5"/>
  <c r="RP178" i="5"/>
  <c r="RC178" i="5"/>
  <c r="RK178" i="5"/>
  <c r="RS178" i="5"/>
  <c r="QU178" i="5"/>
  <c r="QU163" i="5"/>
  <c r="QY163" i="5"/>
  <c r="RC163" i="5"/>
  <c r="RG163" i="5"/>
  <c r="RK163" i="5"/>
  <c r="RO163" i="5"/>
  <c r="RS163" i="5"/>
  <c r="QV163" i="5"/>
  <c r="RA163" i="5"/>
  <c r="RF163" i="5"/>
  <c r="RL163" i="5"/>
  <c r="RQ163" i="5"/>
  <c r="QW163" i="5"/>
  <c r="RB163" i="5"/>
  <c r="RH163" i="5"/>
  <c r="RM163" i="5"/>
  <c r="RR163" i="5"/>
  <c r="QX163" i="5"/>
  <c r="RD163" i="5"/>
  <c r="RI163" i="5"/>
  <c r="RN163" i="5"/>
  <c r="RT163" i="5"/>
  <c r="RJ163" i="5"/>
  <c r="QT163" i="5"/>
  <c r="RP163" i="5"/>
  <c r="QZ163" i="5"/>
  <c r="RU163" i="5"/>
  <c r="RE163" i="5"/>
  <c r="QU147" i="5"/>
  <c r="QY147" i="5"/>
  <c r="RC147" i="5"/>
  <c r="RG147" i="5"/>
  <c r="RK147" i="5"/>
  <c r="RO147" i="5"/>
  <c r="RS147" i="5"/>
  <c r="QV147" i="5"/>
  <c r="QZ147" i="5"/>
  <c r="RD147" i="5"/>
  <c r="RH147" i="5"/>
  <c r="RL147" i="5"/>
  <c r="RP147" i="5"/>
  <c r="RT147" i="5"/>
  <c r="QW147" i="5"/>
  <c r="RA147" i="5"/>
  <c r="RE147" i="5"/>
  <c r="RI147" i="5"/>
  <c r="RM147" i="5"/>
  <c r="RQ147" i="5"/>
  <c r="RU147" i="5"/>
  <c r="RB147" i="5"/>
  <c r="RR147" i="5"/>
  <c r="RF147" i="5"/>
  <c r="QT147" i="5"/>
  <c r="RJ147" i="5"/>
  <c r="RN147" i="5"/>
  <c r="QX147" i="5"/>
  <c r="QW102" i="5"/>
  <c r="RA102" i="5"/>
  <c r="RE102" i="5"/>
  <c r="RI102" i="5"/>
  <c r="RM102" i="5"/>
  <c r="RQ102" i="5"/>
  <c r="RU102" i="5"/>
  <c r="QT102" i="5"/>
  <c r="QX102" i="5"/>
  <c r="RB102" i="5"/>
  <c r="RF102" i="5"/>
  <c r="RJ102" i="5"/>
  <c r="RN102" i="5"/>
  <c r="RR102" i="5"/>
  <c r="QU102" i="5"/>
  <c r="QY102" i="5"/>
  <c r="RC102" i="5"/>
  <c r="RG102" i="5"/>
  <c r="RK102" i="5"/>
  <c r="RO102" i="5"/>
  <c r="RS102" i="5"/>
  <c r="QV102" i="5"/>
  <c r="RL102" i="5"/>
  <c r="QZ102" i="5"/>
  <c r="RP102" i="5"/>
  <c r="RD102" i="5"/>
  <c r="RT102" i="5"/>
  <c r="RH102" i="5"/>
  <c r="QV217" i="5"/>
  <c r="QZ217" i="5"/>
  <c r="RD217" i="5"/>
  <c r="RH217" i="5"/>
  <c r="RL217" i="5"/>
  <c r="RP217" i="5"/>
  <c r="RT217" i="5"/>
  <c r="QW217" i="5"/>
  <c r="RA217" i="5"/>
  <c r="RE217" i="5"/>
  <c r="RI217" i="5"/>
  <c r="RM217" i="5"/>
  <c r="RQ217" i="5"/>
  <c r="RU217" i="5"/>
  <c r="QT217" i="5"/>
  <c r="QX217" i="5"/>
  <c r="RB217" i="5"/>
  <c r="RF217" i="5"/>
  <c r="RJ217" i="5"/>
  <c r="RN217" i="5"/>
  <c r="RR217" i="5"/>
  <c r="QU217" i="5"/>
  <c r="RK217" i="5"/>
  <c r="QY217" i="5"/>
  <c r="RO217" i="5"/>
  <c r="RC217" i="5"/>
  <c r="RS217" i="5"/>
  <c r="RG217" i="5"/>
  <c r="QW176" i="5"/>
  <c r="RA176" i="5"/>
  <c r="RE176" i="5"/>
  <c r="RI176" i="5"/>
  <c r="RM176" i="5"/>
  <c r="RQ176" i="5"/>
  <c r="RU176" i="5"/>
  <c r="QT176" i="5"/>
  <c r="QX176" i="5"/>
  <c r="RB176" i="5"/>
  <c r="RF176" i="5"/>
  <c r="RJ176" i="5"/>
  <c r="RN176" i="5"/>
  <c r="RR176" i="5"/>
  <c r="QV176" i="5"/>
  <c r="RD176" i="5"/>
  <c r="RL176" i="5"/>
  <c r="RT176" i="5"/>
  <c r="QY176" i="5"/>
  <c r="RG176" i="5"/>
  <c r="RO176" i="5"/>
  <c r="QZ176" i="5"/>
  <c r="RH176" i="5"/>
  <c r="RP176" i="5"/>
  <c r="QU176" i="5"/>
  <c r="RC176" i="5"/>
  <c r="RK176" i="5"/>
  <c r="RS176" i="5"/>
  <c r="QU161" i="5"/>
  <c r="QY161" i="5"/>
  <c r="RC161" i="5"/>
  <c r="RG161" i="5"/>
  <c r="RK161" i="5"/>
  <c r="RO161" i="5"/>
  <c r="RS161" i="5"/>
  <c r="QW161" i="5"/>
  <c r="RA161" i="5"/>
  <c r="RE161" i="5"/>
  <c r="RI161" i="5"/>
  <c r="QZ161" i="5"/>
  <c r="RH161" i="5"/>
  <c r="RN161" i="5"/>
  <c r="RT161" i="5"/>
  <c r="QT161" i="5"/>
  <c r="RB161" i="5"/>
  <c r="RJ161" i="5"/>
  <c r="RP161" i="5"/>
  <c r="RU161" i="5"/>
  <c r="QV161" i="5"/>
  <c r="RD161" i="5"/>
  <c r="RL161" i="5"/>
  <c r="RQ161" i="5"/>
  <c r="QX161" i="5"/>
  <c r="RF161" i="5"/>
  <c r="RM161" i="5"/>
  <c r="RR161" i="5"/>
  <c r="QU145" i="5"/>
  <c r="QY145" i="5"/>
  <c r="RC145" i="5"/>
  <c r="RG145" i="5"/>
  <c r="RK145" i="5"/>
  <c r="RO145" i="5"/>
  <c r="RS145" i="5"/>
  <c r="QV145" i="5"/>
  <c r="QZ145" i="5"/>
  <c r="RD145" i="5"/>
  <c r="RH145" i="5"/>
  <c r="RL145" i="5"/>
  <c r="RP145" i="5"/>
  <c r="RT145" i="5"/>
  <c r="QW145" i="5"/>
  <c r="RA145" i="5"/>
  <c r="RE145" i="5"/>
  <c r="RI145" i="5"/>
  <c r="RM145" i="5"/>
  <c r="RQ145" i="5"/>
  <c r="RU145" i="5"/>
  <c r="QT145" i="5"/>
  <c r="RJ145" i="5"/>
  <c r="QX145" i="5"/>
  <c r="RN145" i="5"/>
  <c r="RB145" i="5"/>
  <c r="RR145" i="5"/>
  <c r="RF145" i="5"/>
  <c r="QW100" i="5"/>
  <c r="RA100" i="5"/>
  <c r="RE100" i="5"/>
  <c r="RI100" i="5"/>
  <c r="RM100" i="5"/>
  <c r="RQ100" i="5"/>
  <c r="RU100" i="5"/>
  <c r="QT100" i="5"/>
  <c r="QX100" i="5"/>
  <c r="RB100" i="5"/>
  <c r="RF100" i="5"/>
  <c r="RJ100" i="5"/>
  <c r="RN100" i="5"/>
  <c r="RR100" i="5"/>
  <c r="QU100" i="5"/>
  <c r="QY100" i="5"/>
  <c r="RC100" i="5"/>
  <c r="RG100" i="5"/>
  <c r="RK100" i="5"/>
  <c r="RO100" i="5"/>
  <c r="RS100" i="5"/>
  <c r="RD100" i="5"/>
  <c r="RT100" i="5"/>
  <c r="RH100" i="5"/>
  <c r="QV100" i="5"/>
  <c r="RL100" i="5"/>
  <c r="RP100" i="5"/>
  <c r="QZ100" i="5"/>
  <c r="QW28" i="5"/>
  <c r="RA28" i="5"/>
  <c r="RE28" i="5"/>
  <c r="RI28" i="5"/>
  <c r="RM28" i="5"/>
  <c r="RQ28" i="5"/>
  <c r="RU28" i="5"/>
  <c r="QT28" i="5"/>
  <c r="QX28" i="5"/>
  <c r="RB28" i="5"/>
  <c r="RF28" i="5"/>
  <c r="RJ28" i="5"/>
  <c r="RN28" i="5"/>
  <c r="RR28" i="5"/>
  <c r="QU28" i="5"/>
  <c r="QY28" i="5"/>
  <c r="RC28" i="5"/>
  <c r="RG28" i="5"/>
  <c r="RK28" i="5"/>
  <c r="RO28" i="5"/>
  <c r="RS28" i="5"/>
  <c r="RH28" i="5"/>
  <c r="QV28" i="5"/>
  <c r="RL28" i="5"/>
  <c r="QZ28" i="5"/>
  <c r="RP28" i="5"/>
  <c r="RD28" i="5"/>
  <c r="RT28" i="5"/>
  <c r="QT234" i="5"/>
  <c r="QX234" i="5"/>
  <c r="RB234" i="5"/>
  <c r="RF234" i="5"/>
  <c r="RJ234" i="5"/>
  <c r="RN234" i="5"/>
  <c r="RR234" i="5"/>
  <c r="QU234" i="5"/>
  <c r="QY234" i="5"/>
  <c r="RC234" i="5"/>
  <c r="RG234" i="5"/>
  <c r="RK234" i="5"/>
  <c r="RO234" i="5"/>
  <c r="RS234" i="5"/>
  <c r="QV234" i="5"/>
  <c r="QZ234" i="5"/>
  <c r="RD234" i="5"/>
  <c r="RH234" i="5"/>
  <c r="RL234" i="5"/>
  <c r="RP234" i="5"/>
  <c r="RT234" i="5"/>
  <c r="RI234" i="5"/>
  <c r="QW234" i="5"/>
  <c r="RM234" i="5"/>
  <c r="RA234" i="5"/>
  <c r="RQ234" i="5"/>
  <c r="RE234" i="5"/>
  <c r="RU234" i="5"/>
  <c r="QV196" i="5"/>
  <c r="QZ196" i="5"/>
  <c r="RD196" i="5"/>
  <c r="RH196" i="5"/>
  <c r="RL196" i="5"/>
  <c r="RP196" i="5"/>
  <c r="RT196" i="5"/>
  <c r="QW196" i="5"/>
  <c r="RA196" i="5"/>
  <c r="RE196" i="5"/>
  <c r="RI196" i="5"/>
  <c r="RM196" i="5"/>
  <c r="RQ196" i="5"/>
  <c r="RU196" i="5"/>
  <c r="QT196" i="5"/>
  <c r="QX196" i="5"/>
  <c r="RB196" i="5"/>
  <c r="RF196" i="5"/>
  <c r="RJ196" i="5"/>
  <c r="RN196" i="5"/>
  <c r="RR196" i="5"/>
  <c r="QY196" i="5"/>
  <c r="RO196" i="5"/>
  <c r="RC196" i="5"/>
  <c r="RS196" i="5"/>
  <c r="RG196" i="5"/>
  <c r="QU196" i="5"/>
  <c r="RK196" i="5"/>
  <c r="QU166" i="5"/>
  <c r="QY166" i="5"/>
  <c r="RC166" i="5"/>
  <c r="RG166" i="5"/>
  <c r="RK166" i="5"/>
  <c r="QW166" i="5"/>
  <c r="RB166" i="5"/>
  <c r="RH166" i="5"/>
  <c r="RM166" i="5"/>
  <c r="RQ166" i="5"/>
  <c r="RU166" i="5"/>
  <c r="QX166" i="5"/>
  <c r="RD166" i="5"/>
  <c r="RI166" i="5"/>
  <c r="RN166" i="5"/>
  <c r="RR166" i="5"/>
  <c r="QT166" i="5"/>
  <c r="QZ166" i="5"/>
  <c r="RE166" i="5"/>
  <c r="RJ166" i="5"/>
  <c r="RO166" i="5"/>
  <c r="RS166" i="5"/>
  <c r="RL166" i="5"/>
  <c r="QV166" i="5"/>
  <c r="RP166" i="5"/>
  <c r="RA166" i="5"/>
  <c r="RT166" i="5"/>
  <c r="RF166" i="5"/>
  <c r="CQ166" i="5" s="1"/>
  <c r="QU136" i="5"/>
  <c r="QY136" i="5"/>
  <c r="RC136" i="5"/>
  <c r="RG136" i="5"/>
  <c r="RK136" i="5"/>
  <c r="RO136" i="5"/>
  <c r="RS136" i="5"/>
  <c r="QV136" i="5"/>
  <c r="QZ136" i="5"/>
  <c r="RD136" i="5"/>
  <c r="RH136" i="5"/>
  <c r="RL136" i="5"/>
  <c r="CQ136" i="5" s="1"/>
  <c r="RP136" i="5"/>
  <c r="RT136" i="5"/>
  <c r="QW136" i="5"/>
  <c r="RA136" i="5"/>
  <c r="RE136" i="5"/>
  <c r="RI136" i="5"/>
  <c r="RM136" i="5"/>
  <c r="RQ136" i="5"/>
  <c r="RU136" i="5"/>
  <c r="QX136" i="5"/>
  <c r="RN136" i="5"/>
  <c r="RB136" i="5"/>
  <c r="RR136" i="5"/>
  <c r="RF136" i="5"/>
  <c r="QT136" i="5"/>
  <c r="RJ136" i="5"/>
  <c r="QW65" i="5"/>
  <c r="RA65" i="5"/>
  <c r="CQ65" i="5" s="1"/>
  <c r="RE65" i="5"/>
  <c r="RI65" i="5"/>
  <c r="RM65" i="5"/>
  <c r="RQ65" i="5"/>
  <c r="RU65" i="5"/>
  <c r="QT65" i="5"/>
  <c r="QX65" i="5"/>
  <c r="RB65" i="5"/>
  <c r="RF65" i="5"/>
  <c r="RJ65" i="5"/>
  <c r="RN65" i="5"/>
  <c r="RR65" i="5"/>
  <c r="QV65" i="5"/>
  <c r="RD65" i="5"/>
  <c r="RL65" i="5"/>
  <c r="RT65" i="5"/>
  <c r="QY65" i="5"/>
  <c r="RG65" i="5"/>
  <c r="RO65" i="5"/>
  <c r="QZ65" i="5"/>
  <c r="RH65" i="5"/>
  <c r="RP65" i="5"/>
  <c r="RK65" i="5"/>
  <c r="RS65" i="5"/>
  <c r="QU65" i="5"/>
  <c r="RC65" i="5"/>
  <c r="QT236" i="5"/>
  <c r="QX236" i="5"/>
  <c r="RB236" i="5"/>
  <c r="RF236" i="5"/>
  <c r="RJ236" i="5"/>
  <c r="RN236" i="5"/>
  <c r="RR236" i="5"/>
  <c r="QU236" i="5"/>
  <c r="QY236" i="5"/>
  <c r="RC236" i="5"/>
  <c r="RG236" i="5"/>
  <c r="RK236" i="5"/>
  <c r="RO236" i="5"/>
  <c r="RS236" i="5"/>
  <c r="QV236" i="5"/>
  <c r="QZ236" i="5"/>
  <c r="RD236" i="5"/>
  <c r="RH236" i="5"/>
  <c r="RL236" i="5"/>
  <c r="RP236" i="5"/>
  <c r="RT236" i="5"/>
  <c r="RA236" i="5"/>
  <c r="RQ236" i="5"/>
  <c r="RE236" i="5"/>
  <c r="RU236" i="5"/>
  <c r="RI236" i="5"/>
  <c r="QW236" i="5"/>
  <c r="RM236" i="5"/>
  <c r="QW191" i="5"/>
  <c r="RA191" i="5"/>
  <c r="RE191" i="5"/>
  <c r="RI191" i="5"/>
  <c r="RM191" i="5"/>
  <c r="RQ191" i="5"/>
  <c r="RU191" i="5"/>
  <c r="QT191" i="5"/>
  <c r="QX191" i="5"/>
  <c r="CQ191" i="5" s="1"/>
  <c r="RB191" i="5"/>
  <c r="RF191" i="5"/>
  <c r="RJ191" i="5"/>
  <c r="RN191" i="5"/>
  <c r="RR191" i="5"/>
  <c r="QZ191" i="5"/>
  <c r="RH191" i="5"/>
  <c r="RP191" i="5"/>
  <c r="QU191" i="5"/>
  <c r="RC191" i="5"/>
  <c r="RK191" i="5"/>
  <c r="RS191" i="5"/>
  <c r="QV191" i="5"/>
  <c r="RD191" i="5"/>
  <c r="RL191" i="5"/>
  <c r="RT191" i="5"/>
  <c r="QY191" i="5"/>
  <c r="RG191" i="5"/>
  <c r="RO191" i="5"/>
  <c r="QU160" i="5"/>
  <c r="QY160" i="5"/>
  <c r="RC160" i="5"/>
  <c r="RG160" i="5"/>
  <c r="RK160" i="5"/>
  <c r="RO160" i="5"/>
  <c r="RS160" i="5"/>
  <c r="QW160" i="5"/>
  <c r="RA160" i="5"/>
  <c r="RE160" i="5"/>
  <c r="RI160" i="5"/>
  <c r="RM160" i="5"/>
  <c r="RQ160" i="5"/>
  <c r="RU160" i="5"/>
  <c r="QV160" i="5"/>
  <c r="RD160" i="5"/>
  <c r="RL160" i="5"/>
  <c r="RT160" i="5"/>
  <c r="QX160" i="5"/>
  <c r="RF160" i="5"/>
  <c r="RN160" i="5"/>
  <c r="QZ160" i="5"/>
  <c r="RH160" i="5"/>
  <c r="RP160" i="5"/>
  <c r="QT160" i="5"/>
  <c r="RB160" i="5"/>
  <c r="RJ160" i="5"/>
  <c r="RR160" i="5"/>
  <c r="QT11" i="5"/>
  <c r="QX11" i="5"/>
  <c r="RB11" i="5"/>
  <c r="RF11" i="5"/>
  <c r="RJ11" i="5"/>
  <c r="RN11" i="5"/>
  <c r="RR11" i="5"/>
  <c r="QU11" i="5"/>
  <c r="QY11" i="5"/>
  <c r="RC11" i="5"/>
  <c r="RG11" i="5"/>
  <c r="RK11" i="5"/>
  <c r="RO11" i="5"/>
  <c r="RS11" i="5"/>
  <c r="QV11" i="5"/>
  <c r="QZ11" i="5"/>
  <c r="RD11" i="5"/>
  <c r="RH11" i="5"/>
  <c r="RL11" i="5"/>
  <c r="RP11" i="5"/>
  <c r="RT11" i="5"/>
  <c r="RA11" i="5"/>
  <c r="RQ11" i="5"/>
  <c r="CQ11" i="5" s="1"/>
  <c r="RE11" i="5"/>
  <c r="RU11" i="5"/>
  <c r="QW11" i="5"/>
  <c r="RI11" i="5"/>
  <c r="RM11" i="5"/>
  <c r="QT230" i="5"/>
  <c r="QX230" i="5"/>
  <c r="RB230" i="5"/>
  <c r="RF230" i="5"/>
  <c r="RJ230" i="5"/>
  <c r="RN230" i="5"/>
  <c r="RR230" i="5"/>
  <c r="QU230" i="5"/>
  <c r="QY230" i="5"/>
  <c r="RC230" i="5"/>
  <c r="RG230" i="5"/>
  <c r="RK230" i="5"/>
  <c r="RO230" i="5"/>
  <c r="RS230" i="5"/>
  <c r="QV230" i="5"/>
  <c r="QZ230" i="5"/>
  <c r="RD230" i="5"/>
  <c r="RH230" i="5"/>
  <c r="RL230" i="5"/>
  <c r="RP230" i="5"/>
  <c r="RT230" i="5"/>
  <c r="RI230" i="5"/>
  <c r="QW230" i="5"/>
  <c r="RM230" i="5"/>
  <c r="RA230" i="5"/>
  <c r="RQ230" i="5"/>
  <c r="RE230" i="5"/>
  <c r="RU230" i="5"/>
  <c r="QW192" i="5"/>
  <c r="RA192" i="5"/>
  <c r="RE192" i="5"/>
  <c r="RI192" i="5"/>
  <c r="RM192" i="5"/>
  <c r="RQ192" i="5"/>
  <c r="RU192" i="5"/>
  <c r="QT192" i="5"/>
  <c r="QX192" i="5"/>
  <c r="RB192" i="5"/>
  <c r="RF192" i="5"/>
  <c r="RJ192" i="5"/>
  <c r="RN192" i="5"/>
  <c r="RR192" i="5"/>
  <c r="QZ192" i="5"/>
  <c r="RH192" i="5"/>
  <c r="RP192" i="5"/>
  <c r="QU192" i="5"/>
  <c r="RC192" i="5"/>
  <c r="RK192" i="5"/>
  <c r="RS192" i="5"/>
  <c r="QV192" i="5"/>
  <c r="RD192" i="5"/>
  <c r="RL192" i="5"/>
  <c r="RT192" i="5"/>
  <c r="QY192" i="5"/>
  <c r="RG192" i="5"/>
  <c r="RO192" i="5"/>
  <c r="QU162" i="5"/>
  <c r="QY162" i="5"/>
  <c r="RC162" i="5"/>
  <c r="RG162" i="5"/>
  <c r="RK162" i="5"/>
  <c r="RO162" i="5"/>
  <c r="RS162" i="5"/>
  <c r="QW162" i="5"/>
  <c r="RB162" i="5"/>
  <c r="RH162" i="5"/>
  <c r="RM162" i="5"/>
  <c r="RR162" i="5"/>
  <c r="QX162" i="5"/>
  <c r="RD162" i="5"/>
  <c r="RI162" i="5"/>
  <c r="RN162" i="5"/>
  <c r="RT162" i="5"/>
  <c r="QT162" i="5"/>
  <c r="QZ162" i="5"/>
  <c r="RE162" i="5"/>
  <c r="CQ162" i="5" s="1"/>
  <c r="RJ162" i="5"/>
  <c r="RP162" i="5"/>
  <c r="RU162" i="5"/>
  <c r="QV162" i="5"/>
  <c r="RQ162" i="5"/>
  <c r="RA162" i="5"/>
  <c r="RF162" i="5"/>
  <c r="RL162" i="5"/>
  <c r="QU132" i="5"/>
  <c r="QY132" i="5"/>
  <c r="RC132" i="5"/>
  <c r="RG132" i="5"/>
  <c r="RK132" i="5"/>
  <c r="RO132" i="5"/>
  <c r="RS132" i="5"/>
  <c r="QV132" i="5"/>
  <c r="QZ132" i="5"/>
  <c r="RD132" i="5"/>
  <c r="RH132" i="5"/>
  <c r="RL132" i="5"/>
  <c r="RP132" i="5"/>
  <c r="RT132" i="5"/>
  <c r="QW132" i="5"/>
  <c r="RA132" i="5"/>
  <c r="RE132" i="5"/>
  <c r="RI132" i="5"/>
  <c r="RM132" i="5"/>
  <c r="RQ132" i="5"/>
  <c r="RU132" i="5"/>
  <c r="QX132" i="5"/>
  <c r="RN132" i="5"/>
  <c r="RB132" i="5"/>
  <c r="RR132" i="5"/>
  <c r="RF132" i="5"/>
  <c r="QT132" i="5"/>
  <c r="RJ132" i="5"/>
  <c r="QW29" i="5"/>
  <c r="RA29" i="5"/>
  <c r="RE29" i="5"/>
  <c r="RI29" i="5"/>
  <c r="RM29" i="5"/>
  <c r="RQ29" i="5"/>
  <c r="RU29" i="5"/>
  <c r="QT29" i="5"/>
  <c r="QX29" i="5"/>
  <c r="RB29" i="5"/>
  <c r="RF29" i="5"/>
  <c r="RJ29" i="5"/>
  <c r="RN29" i="5"/>
  <c r="RR29" i="5"/>
  <c r="QU29" i="5"/>
  <c r="QY29" i="5"/>
  <c r="RC29" i="5"/>
  <c r="RG29" i="5"/>
  <c r="RK29" i="5"/>
  <c r="RO29" i="5"/>
  <c r="RS29" i="5"/>
  <c r="CQ29" i="5" s="1"/>
  <c r="QV29" i="5"/>
  <c r="RL29" i="5"/>
  <c r="QZ29" i="5"/>
  <c r="RP29" i="5"/>
  <c r="RD29" i="5"/>
  <c r="RT29" i="5"/>
  <c r="RH29" i="5"/>
  <c r="QT224" i="5"/>
  <c r="QX224" i="5"/>
  <c r="RB224" i="5"/>
  <c r="RF224" i="5"/>
  <c r="RJ224" i="5"/>
  <c r="RN224" i="5"/>
  <c r="RR224" i="5"/>
  <c r="QU224" i="5"/>
  <c r="QY224" i="5"/>
  <c r="RC224" i="5"/>
  <c r="RG224" i="5"/>
  <c r="RK224" i="5"/>
  <c r="RO224" i="5"/>
  <c r="RS224" i="5"/>
  <c r="QV224" i="5"/>
  <c r="QZ224" i="5"/>
  <c r="RD224" i="5"/>
  <c r="RH224" i="5"/>
  <c r="RL224" i="5"/>
  <c r="RP224" i="5"/>
  <c r="RT224" i="5"/>
  <c r="RA224" i="5"/>
  <c r="RQ224" i="5"/>
  <c r="RE224" i="5"/>
  <c r="RU224" i="5"/>
  <c r="RI224" i="5"/>
  <c r="QW224" i="5"/>
  <c r="RM224" i="5"/>
  <c r="QW179" i="5"/>
  <c r="RA179" i="5"/>
  <c r="RE179" i="5"/>
  <c r="RI179" i="5"/>
  <c r="RM179" i="5"/>
  <c r="RQ179" i="5"/>
  <c r="RU179" i="5"/>
  <c r="QT179" i="5"/>
  <c r="CQ179" i="5" s="1"/>
  <c r="QX179" i="5"/>
  <c r="RB179" i="5"/>
  <c r="RF179" i="5"/>
  <c r="RJ179" i="5"/>
  <c r="RN179" i="5"/>
  <c r="RR179" i="5"/>
  <c r="QZ179" i="5"/>
  <c r="RH179" i="5"/>
  <c r="RP179" i="5"/>
  <c r="QU179" i="5"/>
  <c r="RC179" i="5"/>
  <c r="RK179" i="5"/>
  <c r="RS179" i="5"/>
  <c r="QV179" i="5"/>
  <c r="RD179" i="5"/>
  <c r="RL179" i="5"/>
  <c r="RT179" i="5"/>
  <c r="RG179" i="5"/>
  <c r="RO179" i="5"/>
  <c r="QY179" i="5"/>
  <c r="QU148" i="5"/>
  <c r="QY148" i="5"/>
  <c r="RC148" i="5"/>
  <c r="RG148" i="5"/>
  <c r="RK148" i="5"/>
  <c r="RO148" i="5"/>
  <c r="RS148" i="5"/>
  <c r="QV148" i="5"/>
  <c r="QZ148" i="5"/>
  <c r="RD148" i="5"/>
  <c r="RH148" i="5"/>
  <c r="RL148" i="5"/>
  <c r="RP148" i="5"/>
  <c r="RT148" i="5"/>
  <c r="QW148" i="5"/>
  <c r="RA148" i="5"/>
  <c r="RE148" i="5"/>
  <c r="RI148" i="5"/>
  <c r="RM148" i="5"/>
  <c r="RQ148" i="5"/>
  <c r="RU148" i="5"/>
  <c r="RF148" i="5"/>
  <c r="QT148" i="5"/>
  <c r="RJ148" i="5"/>
  <c r="QX148" i="5"/>
  <c r="RN148" i="5"/>
  <c r="RB148" i="5"/>
  <c r="RR148" i="5"/>
  <c r="QU87" i="5"/>
  <c r="QY87" i="5"/>
  <c r="RC87" i="5"/>
  <c r="RG87" i="5"/>
  <c r="RK87" i="5"/>
  <c r="RO87" i="5"/>
  <c r="RS87" i="5"/>
  <c r="QV87" i="5"/>
  <c r="QZ87" i="5"/>
  <c r="RD87" i="5"/>
  <c r="RH87" i="5"/>
  <c r="RL87" i="5"/>
  <c r="RP87" i="5"/>
  <c r="RT87" i="5"/>
  <c r="QW87" i="5"/>
  <c r="RE87" i="5"/>
  <c r="RM87" i="5"/>
  <c r="RU87" i="5"/>
  <c r="QX87" i="5"/>
  <c r="RF87" i="5"/>
  <c r="RN87" i="5"/>
  <c r="RA87" i="5"/>
  <c r="RI87" i="5"/>
  <c r="RQ87" i="5"/>
  <c r="RB87" i="5"/>
  <c r="RJ87" i="5"/>
  <c r="RR87" i="5"/>
  <c r="QT87" i="5"/>
  <c r="CQ103" i="5"/>
  <c r="QT223" i="5"/>
  <c r="QX223" i="5"/>
  <c r="RB223" i="5"/>
  <c r="RF223" i="5"/>
  <c r="RJ223" i="5"/>
  <c r="RN223" i="5"/>
  <c r="RR223" i="5"/>
  <c r="QU223" i="5"/>
  <c r="QY223" i="5"/>
  <c r="RC223" i="5"/>
  <c r="RG223" i="5"/>
  <c r="RK223" i="5"/>
  <c r="RO223" i="5"/>
  <c r="RS223" i="5"/>
  <c r="QV223" i="5"/>
  <c r="QZ223" i="5"/>
  <c r="RD223" i="5"/>
  <c r="RH223" i="5"/>
  <c r="RL223" i="5"/>
  <c r="RP223" i="5"/>
  <c r="RT223" i="5"/>
  <c r="QW223" i="5"/>
  <c r="RM223" i="5"/>
  <c r="RA223" i="5"/>
  <c r="RQ223" i="5"/>
  <c r="RE223" i="5"/>
  <c r="RU223" i="5"/>
  <c r="CQ223" i="5" s="1"/>
  <c r="RI223" i="5"/>
  <c r="QV219" i="5"/>
  <c r="QZ219" i="5"/>
  <c r="RD219" i="5"/>
  <c r="QW219" i="5"/>
  <c r="RA219" i="5"/>
  <c r="RE219" i="5"/>
  <c r="RI219" i="5"/>
  <c r="RM219" i="5"/>
  <c r="RQ219" i="5"/>
  <c r="RU219" i="5"/>
  <c r="QT219" i="5"/>
  <c r="QX219" i="5"/>
  <c r="RB219" i="5"/>
  <c r="RF219" i="5"/>
  <c r="RJ219" i="5"/>
  <c r="RN219" i="5"/>
  <c r="RR219" i="5"/>
  <c r="RC219" i="5"/>
  <c r="RL219" i="5"/>
  <c r="RT219" i="5"/>
  <c r="RG219" i="5"/>
  <c r="RO219" i="5"/>
  <c r="QU219" i="5"/>
  <c r="RH219" i="5"/>
  <c r="RP219" i="5"/>
  <c r="QY219" i="5"/>
  <c r="RK219" i="5"/>
  <c r="RS219" i="5"/>
  <c r="QW190" i="5"/>
  <c r="RA190" i="5"/>
  <c r="RE190" i="5"/>
  <c r="RI190" i="5"/>
  <c r="RM190" i="5"/>
  <c r="RQ190" i="5"/>
  <c r="RU190" i="5"/>
  <c r="QT190" i="5"/>
  <c r="QX190" i="5"/>
  <c r="RB190" i="5"/>
  <c r="RF190" i="5"/>
  <c r="RJ190" i="5"/>
  <c r="RN190" i="5"/>
  <c r="RR190" i="5"/>
  <c r="QV190" i="5"/>
  <c r="RD190" i="5"/>
  <c r="RL190" i="5"/>
  <c r="RT190" i="5"/>
  <c r="QY190" i="5"/>
  <c r="RG190" i="5"/>
  <c r="RO190" i="5"/>
  <c r="QZ190" i="5"/>
  <c r="RH190" i="5"/>
  <c r="RP190" i="5"/>
  <c r="RS190" i="5"/>
  <c r="QU190" i="5"/>
  <c r="RC190" i="5"/>
  <c r="RK190" i="5"/>
  <c r="QW174" i="5"/>
  <c r="RA174" i="5"/>
  <c r="RE174" i="5"/>
  <c r="RI174" i="5"/>
  <c r="RM174" i="5"/>
  <c r="RQ174" i="5"/>
  <c r="RU174" i="5"/>
  <c r="QT174" i="5"/>
  <c r="QX174" i="5"/>
  <c r="RB174" i="5"/>
  <c r="RF174" i="5"/>
  <c r="RJ174" i="5"/>
  <c r="RN174" i="5"/>
  <c r="RR174" i="5"/>
  <c r="QV174" i="5"/>
  <c r="RD174" i="5"/>
  <c r="RL174" i="5"/>
  <c r="RT174" i="5"/>
  <c r="QY174" i="5"/>
  <c r="RG174" i="5"/>
  <c r="RO174" i="5"/>
  <c r="QZ174" i="5"/>
  <c r="RH174" i="5"/>
  <c r="RP174" i="5"/>
  <c r="RS174" i="5"/>
  <c r="QU174" i="5"/>
  <c r="RC174" i="5"/>
  <c r="RK174" i="5"/>
  <c r="QU159" i="5"/>
  <c r="QY159" i="5"/>
  <c r="RC159" i="5"/>
  <c r="RG159" i="5"/>
  <c r="RK159" i="5"/>
  <c r="RO159" i="5"/>
  <c r="RS159" i="5"/>
  <c r="QW159" i="5"/>
  <c r="RA159" i="5"/>
  <c r="RE159" i="5"/>
  <c r="RI159" i="5"/>
  <c r="RM159" i="5"/>
  <c r="RQ159" i="5"/>
  <c r="RU159" i="5"/>
  <c r="QZ159" i="5"/>
  <c r="RH159" i="5"/>
  <c r="RP159" i="5"/>
  <c r="QT159" i="5"/>
  <c r="RB159" i="5"/>
  <c r="RJ159" i="5"/>
  <c r="RR159" i="5"/>
  <c r="QV159" i="5"/>
  <c r="RD159" i="5"/>
  <c r="RL159" i="5"/>
  <c r="RT159" i="5"/>
  <c r="QX159" i="5"/>
  <c r="RF159" i="5"/>
  <c r="RN159" i="5"/>
  <c r="QT245" i="5"/>
  <c r="QX245" i="5"/>
  <c r="RB245" i="5"/>
  <c r="RF245" i="5"/>
  <c r="RJ245" i="5"/>
  <c r="RN245" i="5"/>
  <c r="RR245" i="5"/>
  <c r="QU245" i="5"/>
  <c r="QY245" i="5"/>
  <c r="RC245" i="5"/>
  <c r="RG245" i="5"/>
  <c r="RK245" i="5"/>
  <c r="RO245" i="5"/>
  <c r="RS245" i="5"/>
  <c r="QV245" i="5"/>
  <c r="QZ245" i="5"/>
  <c r="RD245" i="5"/>
  <c r="RH245" i="5"/>
  <c r="RL245" i="5"/>
  <c r="RP245" i="5"/>
  <c r="RT245" i="5"/>
  <c r="RE245" i="5"/>
  <c r="RU245" i="5"/>
  <c r="CQ245" i="5" s="1"/>
  <c r="RI245" i="5"/>
  <c r="QW245" i="5"/>
  <c r="RM245" i="5"/>
  <c r="RQ245" i="5"/>
  <c r="RA245" i="5"/>
  <c r="QT229" i="5"/>
  <c r="QX229" i="5"/>
  <c r="RB229" i="5"/>
  <c r="RF229" i="5"/>
  <c r="RJ229" i="5"/>
  <c r="RN229" i="5"/>
  <c r="RR229" i="5"/>
  <c r="QU229" i="5"/>
  <c r="QY229" i="5"/>
  <c r="RC229" i="5"/>
  <c r="RG229" i="5"/>
  <c r="RK229" i="5"/>
  <c r="RO229" i="5"/>
  <c r="RS229" i="5"/>
  <c r="QV229" i="5"/>
  <c r="QZ229" i="5"/>
  <c r="RD229" i="5"/>
  <c r="RH229" i="5"/>
  <c r="RL229" i="5"/>
  <c r="RP229" i="5"/>
  <c r="RT229" i="5"/>
  <c r="RE229" i="5"/>
  <c r="RU229" i="5"/>
  <c r="RI229" i="5"/>
  <c r="QW229" i="5"/>
  <c r="RM229" i="5"/>
  <c r="RA229" i="5"/>
  <c r="RQ229" i="5"/>
  <c r="QW188" i="5"/>
  <c r="RA188" i="5"/>
  <c r="RE188" i="5"/>
  <c r="RI188" i="5"/>
  <c r="RM188" i="5"/>
  <c r="RQ188" i="5"/>
  <c r="RU188" i="5"/>
  <c r="QT188" i="5"/>
  <c r="QX188" i="5"/>
  <c r="RB188" i="5"/>
  <c r="RF188" i="5"/>
  <c r="RJ188" i="5"/>
  <c r="RN188" i="5"/>
  <c r="RR188" i="5"/>
  <c r="QV188" i="5"/>
  <c r="RD188" i="5"/>
  <c r="RL188" i="5"/>
  <c r="RT188" i="5"/>
  <c r="QY188" i="5"/>
  <c r="RG188" i="5"/>
  <c r="RO188" i="5"/>
  <c r="QZ188" i="5"/>
  <c r="RH188" i="5"/>
  <c r="RP188" i="5"/>
  <c r="RK188" i="5"/>
  <c r="RS188" i="5"/>
  <c r="QU188" i="5"/>
  <c r="RC188" i="5"/>
  <c r="QU157" i="5"/>
  <c r="QY157" i="5"/>
  <c r="CQ157" i="5" s="1"/>
  <c r="RC157" i="5"/>
  <c r="RG157" i="5"/>
  <c r="RK157" i="5"/>
  <c r="RO157" i="5"/>
  <c r="RS157" i="5"/>
  <c r="QW157" i="5"/>
  <c r="RA157" i="5"/>
  <c r="RE157" i="5"/>
  <c r="RI157" i="5"/>
  <c r="RM157" i="5"/>
  <c r="RQ157" i="5"/>
  <c r="RU157" i="5"/>
  <c r="QZ157" i="5"/>
  <c r="RH157" i="5"/>
  <c r="RP157" i="5"/>
  <c r="QT157" i="5"/>
  <c r="RB157" i="5"/>
  <c r="RJ157" i="5"/>
  <c r="RR157" i="5"/>
  <c r="QV157" i="5"/>
  <c r="RD157" i="5"/>
  <c r="RL157" i="5"/>
  <c r="RT157" i="5"/>
  <c r="RN157" i="5"/>
  <c r="QX157" i="5"/>
  <c r="RF157" i="5"/>
  <c r="QW127" i="5"/>
  <c r="RA127" i="5"/>
  <c r="RE127" i="5"/>
  <c r="RI127" i="5"/>
  <c r="RM127" i="5"/>
  <c r="RQ127" i="5"/>
  <c r="RU127" i="5"/>
  <c r="QT127" i="5"/>
  <c r="QX127" i="5"/>
  <c r="RB127" i="5"/>
  <c r="RF127" i="5"/>
  <c r="RJ127" i="5"/>
  <c r="RN127" i="5"/>
  <c r="CQ127" i="5" s="1"/>
  <c r="RR127" i="5"/>
  <c r="QU127" i="5"/>
  <c r="RC127" i="5"/>
  <c r="RK127" i="5"/>
  <c r="RS127" i="5"/>
  <c r="QV127" i="5"/>
  <c r="RD127" i="5"/>
  <c r="RL127" i="5"/>
  <c r="RT127" i="5"/>
  <c r="QY127" i="5"/>
  <c r="RG127" i="5"/>
  <c r="RO127" i="5"/>
  <c r="RP127" i="5"/>
  <c r="QZ127" i="5"/>
  <c r="RH127" i="5"/>
  <c r="QU92" i="5"/>
  <c r="QY92" i="5"/>
  <c r="RC92" i="5"/>
  <c r="RG92" i="5"/>
  <c r="RK92" i="5"/>
  <c r="RO92" i="5"/>
  <c r="RS92" i="5"/>
  <c r="QV92" i="5"/>
  <c r="QZ92" i="5"/>
  <c r="RD92" i="5"/>
  <c r="RH92" i="5"/>
  <c r="RL92" i="5"/>
  <c r="CQ92" i="5" s="1"/>
  <c r="RP92" i="5"/>
  <c r="RT92" i="5"/>
  <c r="RA92" i="5"/>
  <c r="RI92" i="5"/>
  <c r="RQ92" i="5"/>
  <c r="QT92" i="5"/>
  <c r="RB92" i="5"/>
  <c r="RJ92" i="5"/>
  <c r="RR92" i="5"/>
  <c r="QW92" i="5"/>
  <c r="RE92" i="5"/>
  <c r="RM92" i="5"/>
  <c r="RU92" i="5"/>
  <c r="QX92" i="5"/>
  <c r="RF92" i="5"/>
  <c r="RN92" i="5"/>
  <c r="QT226" i="5"/>
  <c r="QX226" i="5"/>
  <c r="RB226" i="5"/>
  <c r="RF226" i="5"/>
  <c r="RJ226" i="5"/>
  <c r="RN226" i="5"/>
  <c r="RR226" i="5"/>
  <c r="QU226" i="5"/>
  <c r="QY226" i="5"/>
  <c r="RC226" i="5"/>
  <c r="RG226" i="5"/>
  <c r="RK226" i="5"/>
  <c r="RO226" i="5"/>
  <c r="RS226" i="5"/>
  <c r="QV226" i="5"/>
  <c r="QZ226" i="5"/>
  <c r="RD226" i="5"/>
  <c r="RH226" i="5"/>
  <c r="RL226" i="5"/>
  <c r="RP226" i="5"/>
  <c r="RT226" i="5"/>
  <c r="RI226" i="5"/>
  <c r="QW226" i="5"/>
  <c r="RM226" i="5"/>
  <c r="RA226" i="5"/>
  <c r="RQ226" i="5"/>
  <c r="RE226" i="5"/>
  <c r="RU226" i="5"/>
  <c r="CQ226" i="5" s="1"/>
  <c r="QW189" i="5"/>
  <c r="RA189" i="5"/>
  <c r="RE189" i="5"/>
  <c r="RI189" i="5"/>
  <c r="RM189" i="5"/>
  <c r="RQ189" i="5"/>
  <c r="RU189" i="5"/>
  <c r="QT189" i="5"/>
  <c r="QX189" i="5"/>
  <c r="RB189" i="5"/>
  <c r="RF189" i="5"/>
  <c r="RJ189" i="5"/>
  <c r="RN189" i="5"/>
  <c r="RR189" i="5"/>
  <c r="QZ189" i="5"/>
  <c r="RH189" i="5"/>
  <c r="RP189" i="5"/>
  <c r="QU189" i="5"/>
  <c r="RC189" i="5"/>
  <c r="RK189" i="5"/>
  <c r="RS189" i="5"/>
  <c r="QV189" i="5"/>
  <c r="RD189" i="5"/>
  <c r="RL189" i="5"/>
  <c r="RT189" i="5"/>
  <c r="RO189" i="5"/>
  <c r="QY189" i="5"/>
  <c r="RG189" i="5"/>
  <c r="QU158" i="5"/>
  <c r="QY158" i="5"/>
  <c r="RC158" i="5"/>
  <c r="RG158" i="5"/>
  <c r="RK158" i="5"/>
  <c r="RO158" i="5"/>
  <c r="CQ158" i="5" s="1"/>
  <c r="RS158" i="5"/>
  <c r="QW158" i="5"/>
  <c r="RA158" i="5"/>
  <c r="RE158" i="5"/>
  <c r="RI158" i="5"/>
  <c r="RM158" i="5"/>
  <c r="RQ158" i="5"/>
  <c r="RU158" i="5"/>
  <c r="QV158" i="5"/>
  <c r="RD158" i="5"/>
  <c r="RL158" i="5"/>
  <c r="RT158" i="5"/>
  <c r="QX158" i="5"/>
  <c r="RF158" i="5"/>
  <c r="RN158" i="5"/>
  <c r="QZ158" i="5"/>
  <c r="RH158" i="5"/>
  <c r="RP158" i="5"/>
  <c r="RR158" i="5"/>
  <c r="QT158" i="5"/>
  <c r="RB158" i="5"/>
  <c r="RJ158" i="5"/>
  <c r="QW128" i="5"/>
  <c r="RA128" i="5"/>
  <c r="RE128" i="5"/>
  <c r="RI128" i="5"/>
  <c r="RM128" i="5"/>
  <c r="RQ128" i="5"/>
  <c r="RU128" i="5"/>
  <c r="QT128" i="5"/>
  <c r="QX128" i="5"/>
  <c r="RB128" i="5"/>
  <c r="RF128" i="5"/>
  <c r="RJ128" i="5"/>
  <c r="RN128" i="5"/>
  <c r="RR128" i="5"/>
  <c r="QY128" i="5"/>
  <c r="RG128" i="5"/>
  <c r="RO128" i="5"/>
  <c r="QZ128" i="5"/>
  <c r="RH128" i="5"/>
  <c r="RP128" i="5"/>
  <c r="QU128" i="5"/>
  <c r="RC128" i="5"/>
  <c r="RK128" i="5"/>
  <c r="RS128" i="5"/>
  <c r="RT128" i="5"/>
  <c r="QV128" i="5"/>
  <c r="RD128" i="5"/>
  <c r="RL128" i="5"/>
  <c r="QW33" i="5"/>
  <c r="RA33" i="5"/>
  <c r="RE33" i="5"/>
  <c r="RI33" i="5"/>
  <c r="RM33" i="5"/>
  <c r="RQ33" i="5"/>
  <c r="RU33" i="5"/>
  <c r="QX33" i="5"/>
  <c r="RC33" i="5"/>
  <c r="RH33" i="5"/>
  <c r="RN33" i="5"/>
  <c r="CQ33" i="5" s="1"/>
  <c r="RS33" i="5"/>
  <c r="QT33" i="5"/>
  <c r="QY33" i="5"/>
  <c r="RD33" i="5"/>
  <c r="RJ33" i="5"/>
  <c r="RO33" i="5"/>
  <c r="RT33" i="5"/>
  <c r="QU33" i="5"/>
  <c r="QZ33" i="5"/>
  <c r="RF33" i="5"/>
  <c r="RK33" i="5"/>
  <c r="RP33" i="5"/>
  <c r="RL33" i="5"/>
  <c r="QV33" i="5"/>
  <c r="RR33" i="5"/>
  <c r="RB33" i="5"/>
  <c r="RG33" i="5"/>
  <c r="QT228" i="5"/>
  <c r="QX228" i="5"/>
  <c r="RB228" i="5"/>
  <c r="RF228" i="5"/>
  <c r="RJ228" i="5"/>
  <c r="RN228" i="5"/>
  <c r="RR228" i="5"/>
  <c r="QU228" i="5"/>
  <c r="QY228" i="5"/>
  <c r="RC228" i="5"/>
  <c r="RG228" i="5"/>
  <c r="RK228" i="5"/>
  <c r="RO228" i="5"/>
  <c r="RS228" i="5"/>
  <c r="QV228" i="5"/>
  <c r="QZ228" i="5"/>
  <c r="RD228" i="5"/>
  <c r="RH228" i="5"/>
  <c r="RL228" i="5"/>
  <c r="RP228" i="5"/>
  <c r="RT228" i="5"/>
  <c r="RA228" i="5"/>
  <c r="RQ228" i="5"/>
  <c r="RE228" i="5"/>
  <c r="RU228" i="5"/>
  <c r="CQ228" i="5" s="1"/>
  <c r="RI228" i="5"/>
  <c r="QW228" i="5"/>
  <c r="RM228" i="5"/>
  <c r="QW183" i="5"/>
  <c r="RA183" i="5"/>
  <c r="RE183" i="5"/>
  <c r="RI183" i="5"/>
  <c r="RM183" i="5"/>
  <c r="RQ183" i="5"/>
  <c r="RU183" i="5"/>
  <c r="QT183" i="5"/>
  <c r="QX183" i="5"/>
  <c r="RB183" i="5"/>
  <c r="RF183" i="5"/>
  <c r="RJ183" i="5"/>
  <c r="RN183" i="5"/>
  <c r="RR183" i="5"/>
  <c r="QZ183" i="5"/>
  <c r="RH183" i="5"/>
  <c r="RP183" i="5"/>
  <c r="QU183" i="5"/>
  <c r="RC183" i="5"/>
  <c r="RK183" i="5"/>
  <c r="RS183" i="5"/>
  <c r="QV183" i="5"/>
  <c r="RD183" i="5"/>
  <c r="RL183" i="5"/>
  <c r="RT183" i="5"/>
  <c r="QY183" i="5"/>
  <c r="RG183" i="5"/>
  <c r="RO183" i="5"/>
  <c r="QU152" i="5"/>
  <c r="QY152" i="5"/>
  <c r="RC152" i="5"/>
  <c r="RG152" i="5"/>
  <c r="RK152" i="5"/>
  <c r="RO152" i="5"/>
  <c r="RS152" i="5"/>
  <c r="QW152" i="5"/>
  <c r="RA152" i="5"/>
  <c r="RE152" i="5"/>
  <c r="RI152" i="5"/>
  <c r="RM152" i="5"/>
  <c r="RQ152" i="5"/>
  <c r="RU152" i="5"/>
  <c r="QV152" i="5"/>
  <c r="RD152" i="5"/>
  <c r="RL152" i="5"/>
  <c r="RT152" i="5"/>
  <c r="QX152" i="5"/>
  <c r="RF152" i="5"/>
  <c r="RN152" i="5"/>
  <c r="QZ152" i="5"/>
  <c r="RH152" i="5"/>
  <c r="RP152" i="5"/>
  <c r="QT152" i="5"/>
  <c r="RB152" i="5"/>
  <c r="RJ152" i="5"/>
  <c r="RR152" i="5"/>
  <c r="QW123" i="5"/>
  <c r="RA123" i="5"/>
  <c r="RE123" i="5"/>
  <c r="RI123" i="5"/>
  <c r="RM123" i="5"/>
  <c r="RQ123" i="5"/>
  <c r="RU123" i="5"/>
  <c r="QT123" i="5"/>
  <c r="QX123" i="5"/>
  <c r="RB123" i="5"/>
  <c r="RF123" i="5"/>
  <c r="RJ123" i="5"/>
  <c r="RN123" i="5"/>
  <c r="RR123" i="5"/>
  <c r="QY123" i="5"/>
  <c r="RG123" i="5"/>
  <c r="RO123" i="5"/>
  <c r="QZ123" i="5"/>
  <c r="RH123" i="5"/>
  <c r="RP123" i="5"/>
  <c r="QU123" i="5"/>
  <c r="RC123" i="5"/>
  <c r="RK123" i="5"/>
  <c r="RS123" i="5"/>
  <c r="QV123" i="5"/>
  <c r="RD123" i="5"/>
  <c r="RL123" i="5"/>
  <c r="RT123" i="5"/>
  <c r="QT222" i="5"/>
  <c r="QX222" i="5"/>
  <c r="RB222" i="5"/>
  <c r="RF222" i="5"/>
  <c r="RJ222" i="5"/>
  <c r="RN222" i="5"/>
  <c r="RR222" i="5"/>
  <c r="QU222" i="5"/>
  <c r="QY222" i="5"/>
  <c r="RC222" i="5"/>
  <c r="RG222" i="5"/>
  <c r="RK222" i="5"/>
  <c r="RO222" i="5"/>
  <c r="RS222" i="5"/>
  <c r="QV222" i="5"/>
  <c r="QZ222" i="5"/>
  <c r="RD222" i="5"/>
  <c r="RH222" i="5"/>
  <c r="RL222" i="5"/>
  <c r="RP222" i="5"/>
  <c r="RT222" i="5"/>
  <c r="RI222" i="5"/>
  <c r="QW222" i="5"/>
  <c r="RM222" i="5"/>
  <c r="RA222" i="5"/>
  <c r="RQ222" i="5"/>
  <c r="RE222" i="5"/>
  <c r="RU222" i="5"/>
  <c r="QV212" i="5"/>
  <c r="QZ212" i="5"/>
  <c r="RD212" i="5"/>
  <c r="RH212" i="5"/>
  <c r="RL212" i="5"/>
  <c r="RP212" i="5"/>
  <c r="RT212" i="5"/>
  <c r="QW212" i="5"/>
  <c r="RA212" i="5"/>
  <c r="RE212" i="5"/>
  <c r="RI212" i="5"/>
  <c r="RM212" i="5"/>
  <c r="RQ212" i="5"/>
  <c r="RU212" i="5"/>
  <c r="QT212" i="5"/>
  <c r="QX212" i="5"/>
  <c r="RB212" i="5"/>
  <c r="RF212" i="5"/>
  <c r="RJ212" i="5"/>
  <c r="RN212" i="5"/>
  <c r="RR212" i="5"/>
  <c r="QY212" i="5"/>
  <c r="RO212" i="5"/>
  <c r="RC212" i="5"/>
  <c r="RS212" i="5"/>
  <c r="RG212" i="5"/>
  <c r="QU212" i="5"/>
  <c r="RK212" i="5"/>
  <c r="QU154" i="5"/>
  <c r="QY154" i="5"/>
  <c r="RC154" i="5"/>
  <c r="RG154" i="5"/>
  <c r="RK154" i="5"/>
  <c r="RO154" i="5"/>
  <c r="RS154" i="5"/>
  <c r="QW154" i="5"/>
  <c r="RA154" i="5"/>
  <c r="RE154" i="5"/>
  <c r="RI154" i="5"/>
  <c r="RM154" i="5"/>
  <c r="RQ154" i="5"/>
  <c r="RU154" i="5"/>
  <c r="QV154" i="5"/>
  <c r="RD154" i="5"/>
  <c r="RL154" i="5"/>
  <c r="RT154" i="5"/>
  <c r="QX154" i="5"/>
  <c r="RF154" i="5"/>
  <c r="RN154" i="5"/>
  <c r="QZ154" i="5"/>
  <c r="RH154" i="5"/>
  <c r="RP154" i="5"/>
  <c r="RB154" i="5"/>
  <c r="RJ154" i="5"/>
  <c r="RR154" i="5"/>
  <c r="QT154" i="5"/>
  <c r="QW125" i="5"/>
  <c r="RA125" i="5"/>
  <c r="RE125" i="5"/>
  <c r="RI125" i="5"/>
  <c r="RM125" i="5"/>
  <c r="RQ125" i="5"/>
  <c r="RU125" i="5"/>
  <c r="QT125" i="5"/>
  <c r="QX125" i="5"/>
  <c r="RB125" i="5"/>
  <c r="RF125" i="5"/>
  <c r="RJ125" i="5"/>
  <c r="RN125" i="5"/>
  <c r="RR125" i="5"/>
  <c r="QY125" i="5"/>
  <c r="RG125" i="5"/>
  <c r="RO125" i="5"/>
  <c r="QZ125" i="5"/>
  <c r="RH125" i="5"/>
  <c r="RP125" i="5"/>
  <c r="QU125" i="5"/>
  <c r="RC125" i="5"/>
  <c r="RK125" i="5"/>
  <c r="RS125" i="5"/>
  <c r="RD125" i="5"/>
  <c r="RL125" i="5"/>
  <c r="RT125" i="5"/>
  <c r="QV125" i="5"/>
  <c r="QT248" i="5"/>
  <c r="QX248" i="5"/>
  <c r="RB248" i="5"/>
  <c r="RF248" i="5"/>
  <c r="RJ248" i="5"/>
  <c r="RN248" i="5"/>
  <c r="RR248" i="5"/>
  <c r="QU248" i="5"/>
  <c r="QY248" i="5"/>
  <c r="RC248" i="5"/>
  <c r="RG248" i="5"/>
  <c r="RK248" i="5"/>
  <c r="RO248" i="5"/>
  <c r="RS248" i="5"/>
  <c r="QV248" i="5"/>
  <c r="QZ248" i="5"/>
  <c r="RD248" i="5"/>
  <c r="RH248" i="5"/>
  <c r="RL248" i="5"/>
  <c r="RP248" i="5"/>
  <c r="RT248" i="5"/>
  <c r="RA248" i="5"/>
  <c r="RQ248" i="5"/>
  <c r="RE248" i="5"/>
  <c r="RU248" i="5"/>
  <c r="CQ248" i="5" s="1"/>
  <c r="RI248" i="5"/>
  <c r="QW248" i="5"/>
  <c r="RM248" i="5"/>
  <c r="QV214" i="5"/>
  <c r="QZ214" i="5"/>
  <c r="RD214" i="5"/>
  <c r="RH214" i="5"/>
  <c r="RL214" i="5"/>
  <c r="RP214" i="5"/>
  <c r="RT214" i="5"/>
  <c r="QW214" i="5"/>
  <c r="RA214" i="5"/>
  <c r="RE214" i="5"/>
  <c r="RI214" i="5"/>
  <c r="RM214" i="5"/>
  <c r="RQ214" i="5"/>
  <c r="RU214" i="5"/>
  <c r="QT214" i="5"/>
  <c r="QX214" i="5"/>
  <c r="RB214" i="5"/>
  <c r="RF214" i="5"/>
  <c r="RJ214" i="5"/>
  <c r="RN214" i="5"/>
  <c r="RR214" i="5"/>
  <c r="RG214" i="5"/>
  <c r="QU214" i="5"/>
  <c r="RK214" i="5"/>
  <c r="QY214" i="5"/>
  <c r="RO214" i="5"/>
  <c r="RC214" i="5"/>
  <c r="RS214" i="5"/>
  <c r="QV201" i="5"/>
  <c r="QZ201" i="5"/>
  <c r="RD201" i="5"/>
  <c r="RH201" i="5"/>
  <c r="RL201" i="5"/>
  <c r="RP201" i="5"/>
  <c r="RT201" i="5"/>
  <c r="QW201" i="5"/>
  <c r="RA201" i="5"/>
  <c r="RE201" i="5"/>
  <c r="RI201" i="5"/>
  <c r="RM201" i="5"/>
  <c r="RQ201" i="5"/>
  <c r="RU201" i="5"/>
  <c r="QT201" i="5"/>
  <c r="QX201" i="5"/>
  <c r="RB201" i="5"/>
  <c r="RF201" i="5"/>
  <c r="RJ201" i="5"/>
  <c r="RN201" i="5"/>
  <c r="RR201" i="5"/>
  <c r="RG201" i="5"/>
  <c r="QU201" i="5"/>
  <c r="RK201" i="5"/>
  <c r="QY201" i="5"/>
  <c r="RO201" i="5"/>
  <c r="RC201" i="5"/>
  <c r="RS201" i="5"/>
  <c r="QW171" i="5"/>
  <c r="RA171" i="5"/>
  <c r="RE171" i="5"/>
  <c r="RI171" i="5"/>
  <c r="RM171" i="5"/>
  <c r="RQ171" i="5"/>
  <c r="RU171" i="5"/>
  <c r="QT171" i="5"/>
  <c r="QX171" i="5"/>
  <c r="RB171" i="5"/>
  <c r="RF171" i="5"/>
  <c r="RJ171" i="5"/>
  <c r="RN171" i="5"/>
  <c r="RR171" i="5"/>
  <c r="QZ171" i="5"/>
  <c r="RH171" i="5"/>
  <c r="RP171" i="5"/>
  <c r="QU171" i="5"/>
  <c r="RC171" i="5"/>
  <c r="RK171" i="5"/>
  <c r="RS171" i="5"/>
  <c r="QV171" i="5"/>
  <c r="RD171" i="5"/>
  <c r="RL171" i="5"/>
  <c r="RT171" i="5"/>
  <c r="RG171" i="5"/>
  <c r="RO171" i="5"/>
  <c r="QY171" i="5"/>
  <c r="QU142" i="5"/>
  <c r="QY142" i="5"/>
  <c r="RC142" i="5"/>
  <c r="RG142" i="5"/>
  <c r="RK142" i="5"/>
  <c r="RO142" i="5"/>
  <c r="RS142" i="5"/>
  <c r="QV142" i="5"/>
  <c r="QZ142" i="5"/>
  <c r="RD142" i="5"/>
  <c r="RH142" i="5"/>
  <c r="RL142" i="5"/>
  <c r="RP142" i="5"/>
  <c r="RT142" i="5"/>
  <c r="QW142" i="5"/>
  <c r="RA142" i="5"/>
  <c r="RE142" i="5"/>
  <c r="RI142" i="5"/>
  <c r="RM142" i="5"/>
  <c r="CQ142" i="5" s="1"/>
  <c r="RQ142" i="5"/>
  <c r="RU142" i="5"/>
  <c r="RF142" i="5"/>
  <c r="QT142" i="5"/>
  <c r="RJ142" i="5"/>
  <c r="QX142" i="5"/>
  <c r="RN142" i="5"/>
  <c r="RR142" i="5"/>
  <c r="RB142" i="5"/>
  <c r="QU71" i="5"/>
  <c r="QY71" i="5"/>
  <c r="RC71" i="5"/>
  <c r="RG71" i="5"/>
  <c r="RK71" i="5"/>
  <c r="RO71" i="5"/>
  <c r="RS71" i="5"/>
  <c r="QV71" i="5"/>
  <c r="QZ71" i="5"/>
  <c r="RD71" i="5"/>
  <c r="RH71" i="5"/>
  <c r="RL71" i="5"/>
  <c r="RP71" i="5"/>
  <c r="RT71" i="5"/>
  <c r="QW71" i="5"/>
  <c r="RA71" i="5"/>
  <c r="RE71" i="5"/>
  <c r="RI71" i="5"/>
  <c r="RM71" i="5"/>
  <c r="RQ71" i="5"/>
  <c r="RU71" i="5"/>
  <c r="QT71" i="5"/>
  <c r="RJ71" i="5"/>
  <c r="QX71" i="5"/>
  <c r="RN71" i="5"/>
  <c r="RB71" i="5"/>
  <c r="RR71" i="5"/>
  <c r="RF71" i="5"/>
  <c r="QT235" i="5"/>
  <c r="QX235" i="5"/>
  <c r="RB235" i="5"/>
  <c r="RF235" i="5"/>
  <c r="RJ235" i="5"/>
  <c r="RN235" i="5"/>
  <c r="RR235" i="5"/>
  <c r="QU235" i="5"/>
  <c r="QY235" i="5"/>
  <c r="RC235" i="5"/>
  <c r="RG235" i="5"/>
  <c r="RK235" i="5"/>
  <c r="RO235" i="5"/>
  <c r="RS235" i="5"/>
  <c r="QV235" i="5"/>
  <c r="QZ235" i="5"/>
  <c r="RD235" i="5"/>
  <c r="RH235" i="5"/>
  <c r="RL235" i="5"/>
  <c r="RP235" i="5"/>
  <c r="RT235" i="5"/>
  <c r="QW235" i="5"/>
  <c r="RM235" i="5"/>
  <c r="RA235" i="5"/>
  <c r="RQ235" i="5"/>
  <c r="RE235" i="5"/>
  <c r="RU235" i="5"/>
  <c r="CQ235" i="5" s="1"/>
  <c r="RI235" i="5"/>
  <c r="QV200" i="5"/>
  <c r="QZ200" i="5"/>
  <c r="RD200" i="5"/>
  <c r="RH200" i="5"/>
  <c r="RL200" i="5"/>
  <c r="RP200" i="5"/>
  <c r="RT200" i="5"/>
  <c r="QW200" i="5"/>
  <c r="RA200" i="5"/>
  <c r="RE200" i="5"/>
  <c r="RI200" i="5"/>
  <c r="RM200" i="5"/>
  <c r="RQ200" i="5"/>
  <c r="RU200" i="5"/>
  <c r="CQ200" i="5" s="1"/>
  <c r="QT200" i="5"/>
  <c r="QX200" i="5"/>
  <c r="RB200" i="5"/>
  <c r="RF200" i="5"/>
  <c r="RJ200" i="5"/>
  <c r="RN200" i="5"/>
  <c r="RR200" i="5"/>
  <c r="RC200" i="5"/>
  <c r="RS200" i="5"/>
  <c r="RG200" i="5"/>
  <c r="QU200" i="5"/>
  <c r="RK200" i="5"/>
  <c r="RO200" i="5"/>
  <c r="QY200" i="5"/>
  <c r="QW186" i="5"/>
  <c r="RA186" i="5"/>
  <c r="RE186" i="5"/>
  <c r="RI186" i="5"/>
  <c r="RM186" i="5"/>
  <c r="RQ186" i="5"/>
  <c r="RU186" i="5"/>
  <c r="QT186" i="5"/>
  <c r="QX186" i="5"/>
  <c r="RB186" i="5"/>
  <c r="RF186" i="5"/>
  <c r="RJ186" i="5"/>
  <c r="RN186" i="5"/>
  <c r="RR186" i="5"/>
  <c r="QV186" i="5"/>
  <c r="RD186" i="5"/>
  <c r="CQ186" i="5" s="1"/>
  <c r="RL186" i="5"/>
  <c r="RT186" i="5"/>
  <c r="QY186" i="5"/>
  <c r="RG186" i="5"/>
  <c r="RO186" i="5"/>
  <c r="QZ186" i="5"/>
  <c r="RH186" i="5"/>
  <c r="RP186" i="5"/>
  <c r="RC186" i="5"/>
  <c r="RK186" i="5"/>
  <c r="RS186" i="5"/>
  <c r="QU186" i="5"/>
  <c r="QU141" i="5"/>
  <c r="QY141" i="5"/>
  <c r="RC141" i="5"/>
  <c r="RG141" i="5"/>
  <c r="RK141" i="5"/>
  <c r="RO141" i="5"/>
  <c r="RS141" i="5"/>
  <c r="QV141" i="5"/>
  <c r="QZ141" i="5"/>
  <c r="RD141" i="5"/>
  <c r="RH141" i="5"/>
  <c r="RL141" i="5"/>
  <c r="RP141" i="5"/>
  <c r="RT141" i="5"/>
  <c r="QW141" i="5"/>
  <c r="RA141" i="5"/>
  <c r="RE141" i="5"/>
  <c r="RI141" i="5"/>
  <c r="RM141" i="5"/>
  <c r="RQ141" i="5"/>
  <c r="RU141" i="5"/>
  <c r="CQ141" i="5" s="1"/>
  <c r="RB141" i="5"/>
  <c r="RR141" i="5"/>
  <c r="RF141" i="5"/>
  <c r="QT141" i="5"/>
  <c r="RJ141" i="5"/>
  <c r="QX141" i="5"/>
  <c r="RN141" i="5"/>
  <c r="QW38" i="5"/>
  <c r="RA38" i="5"/>
  <c r="RE38" i="5"/>
  <c r="RI38" i="5"/>
  <c r="RM38" i="5"/>
  <c r="RQ38" i="5"/>
  <c r="RU38" i="5"/>
  <c r="CQ38" i="5" s="1"/>
  <c r="QV38" i="5"/>
  <c r="RB38" i="5"/>
  <c r="RG38" i="5"/>
  <c r="RL38" i="5"/>
  <c r="RR38" i="5"/>
  <c r="QX38" i="5"/>
  <c r="RC38" i="5"/>
  <c r="RH38" i="5"/>
  <c r="RN38" i="5"/>
  <c r="RS38" i="5"/>
  <c r="QT38" i="5"/>
  <c r="QY38" i="5"/>
  <c r="RD38" i="5"/>
  <c r="RJ38" i="5"/>
  <c r="RO38" i="5"/>
  <c r="RT38" i="5"/>
  <c r="QZ38" i="5"/>
  <c r="RF38" i="5"/>
  <c r="RK38" i="5"/>
  <c r="QU38" i="5"/>
  <c r="RP38" i="5"/>
  <c r="QT10" i="5"/>
  <c r="QX10" i="5"/>
  <c r="RB10" i="5"/>
  <c r="RF10" i="5"/>
  <c r="RJ10" i="5"/>
  <c r="RN10" i="5"/>
  <c r="RR10" i="5"/>
  <c r="QU10" i="5"/>
  <c r="QY10" i="5"/>
  <c r="RC10" i="5"/>
  <c r="RG10" i="5"/>
  <c r="RK10" i="5"/>
  <c r="RO10" i="5"/>
  <c r="RS10" i="5"/>
  <c r="QV10" i="5"/>
  <c r="QZ10" i="5"/>
  <c r="RD10" i="5"/>
  <c r="RH10" i="5"/>
  <c r="RL10" i="5"/>
  <c r="RP10" i="5"/>
  <c r="CQ10" i="5" s="1"/>
  <c r="RT10" i="5"/>
  <c r="QW10" i="5"/>
  <c r="RM10" i="5"/>
  <c r="RA10" i="5"/>
  <c r="RQ10" i="5"/>
  <c r="RU10" i="5"/>
  <c r="RE10" i="5"/>
  <c r="RI10" i="5"/>
  <c r="QT241" i="5"/>
  <c r="QX241" i="5"/>
  <c r="RB241" i="5"/>
  <c r="RF241" i="5"/>
  <c r="RJ241" i="5"/>
  <c r="RN241" i="5"/>
  <c r="RR241" i="5"/>
  <c r="QU241" i="5"/>
  <c r="QY241" i="5"/>
  <c r="RC241" i="5"/>
  <c r="RG241" i="5"/>
  <c r="RK241" i="5"/>
  <c r="RO241" i="5"/>
  <c r="RS241" i="5"/>
  <c r="QV241" i="5"/>
  <c r="QZ241" i="5"/>
  <c r="RD241" i="5"/>
  <c r="RH241" i="5"/>
  <c r="RL241" i="5"/>
  <c r="RP241" i="5"/>
  <c r="RT241" i="5"/>
  <c r="RE241" i="5"/>
  <c r="RU241" i="5"/>
  <c r="CQ241" i="5" s="1"/>
  <c r="RI241" i="5"/>
  <c r="QW241" i="5"/>
  <c r="RM241" i="5"/>
  <c r="RA241" i="5"/>
  <c r="RQ241" i="5"/>
  <c r="QT225" i="5"/>
  <c r="QX225" i="5"/>
  <c r="RB225" i="5"/>
  <c r="RF225" i="5"/>
  <c r="RJ225" i="5"/>
  <c r="RN225" i="5"/>
  <c r="RR225" i="5"/>
  <c r="QU225" i="5"/>
  <c r="QY225" i="5"/>
  <c r="RC225" i="5"/>
  <c r="RG225" i="5"/>
  <c r="RK225" i="5"/>
  <c r="RO225" i="5"/>
  <c r="RS225" i="5"/>
  <c r="QV225" i="5"/>
  <c r="QZ225" i="5"/>
  <c r="RD225" i="5"/>
  <c r="RH225" i="5"/>
  <c r="RL225" i="5"/>
  <c r="RP225" i="5"/>
  <c r="RT225" i="5"/>
  <c r="RE225" i="5"/>
  <c r="RU225" i="5"/>
  <c r="RI225" i="5"/>
  <c r="QW225" i="5"/>
  <c r="RM225" i="5"/>
  <c r="RA225" i="5"/>
  <c r="RQ225" i="5"/>
  <c r="QW221" i="5"/>
  <c r="RA221" i="5"/>
  <c r="RE221" i="5"/>
  <c r="RI221" i="5"/>
  <c r="RM221" i="5"/>
  <c r="RQ221" i="5"/>
  <c r="RU221" i="5"/>
  <c r="CQ221" i="5" s="1"/>
  <c r="QT221" i="5"/>
  <c r="QX221" i="5"/>
  <c r="RB221" i="5"/>
  <c r="RF221" i="5"/>
  <c r="RJ221" i="5"/>
  <c r="RN221" i="5"/>
  <c r="RR221" i="5"/>
  <c r="QV221" i="5"/>
  <c r="RD221" i="5"/>
  <c r="RL221" i="5"/>
  <c r="RT221" i="5"/>
  <c r="QY221" i="5"/>
  <c r="RG221" i="5"/>
  <c r="RO221" i="5"/>
  <c r="QZ221" i="5"/>
  <c r="RH221" i="5"/>
  <c r="RP221" i="5"/>
  <c r="RK221" i="5"/>
  <c r="RS221" i="5"/>
  <c r="QU221" i="5"/>
  <c r="RC221" i="5"/>
  <c r="QV199" i="5"/>
  <c r="QZ199" i="5"/>
  <c r="RD199" i="5"/>
  <c r="RH199" i="5"/>
  <c r="RL199" i="5"/>
  <c r="RP199" i="5"/>
  <c r="RT199" i="5"/>
  <c r="QW199" i="5"/>
  <c r="RA199" i="5"/>
  <c r="RE199" i="5"/>
  <c r="RI199" i="5"/>
  <c r="RM199" i="5"/>
  <c r="RQ199" i="5"/>
  <c r="RU199" i="5"/>
  <c r="QT199" i="5"/>
  <c r="QX199" i="5"/>
  <c r="RB199" i="5"/>
  <c r="RF199" i="5"/>
  <c r="RJ199" i="5"/>
  <c r="RN199" i="5"/>
  <c r="RR199" i="5"/>
  <c r="QU199" i="5"/>
  <c r="RK199" i="5"/>
  <c r="QY199" i="5"/>
  <c r="RO199" i="5"/>
  <c r="RC199" i="5"/>
  <c r="RS199" i="5"/>
  <c r="RG199" i="5"/>
  <c r="QW184" i="5"/>
  <c r="RA184" i="5"/>
  <c r="RE184" i="5"/>
  <c r="RI184" i="5"/>
  <c r="RM184" i="5"/>
  <c r="RQ184" i="5"/>
  <c r="RU184" i="5"/>
  <c r="QT184" i="5"/>
  <c r="QX184" i="5"/>
  <c r="RB184" i="5"/>
  <c r="RF184" i="5"/>
  <c r="RJ184" i="5"/>
  <c r="RN184" i="5"/>
  <c r="RR184" i="5"/>
  <c r="QV184" i="5"/>
  <c r="RD184" i="5"/>
  <c r="RL184" i="5"/>
  <c r="RT184" i="5"/>
  <c r="QY184" i="5"/>
  <c r="RG184" i="5"/>
  <c r="RO184" i="5"/>
  <c r="QZ184" i="5"/>
  <c r="RH184" i="5"/>
  <c r="RP184" i="5"/>
  <c r="QU184" i="5"/>
  <c r="RC184" i="5"/>
  <c r="RK184" i="5"/>
  <c r="RS184" i="5"/>
  <c r="QU153" i="5"/>
  <c r="QY153" i="5"/>
  <c r="RC153" i="5"/>
  <c r="RG153" i="5"/>
  <c r="RK153" i="5"/>
  <c r="RO153" i="5"/>
  <c r="RS153" i="5"/>
  <c r="QW153" i="5"/>
  <c r="RA153" i="5"/>
  <c r="RE153" i="5"/>
  <c r="RI153" i="5"/>
  <c r="RM153" i="5"/>
  <c r="RQ153" i="5"/>
  <c r="RU153" i="5"/>
  <c r="QZ153" i="5"/>
  <c r="RH153" i="5"/>
  <c r="RP153" i="5"/>
  <c r="QT153" i="5"/>
  <c r="RB153" i="5"/>
  <c r="RJ153" i="5"/>
  <c r="RR153" i="5"/>
  <c r="QV153" i="5"/>
  <c r="RD153" i="5"/>
  <c r="RL153" i="5"/>
  <c r="RT153" i="5"/>
  <c r="QX153" i="5"/>
  <c r="RF153" i="5"/>
  <c r="RN153" i="5"/>
  <c r="QU72" i="5"/>
  <c r="QY72" i="5"/>
  <c r="RC72" i="5"/>
  <c r="RG72" i="5"/>
  <c r="RK72" i="5"/>
  <c r="RO72" i="5"/>
  <c r="RS72" i="5"/>
  <c r="QV72" i="5"/>
  <c r="QZ72" i="5"/>
  <c r="RD72" i="5"/>
  <c r="RH72" i="5"/>
  <c r="RL72" i="5"/>
  <c r="RP72" i="5"/>
  <c r="RT72" i="5"/>
  <c r="QW72" i="5"/>
  <c r="RA72" i="5"/>
  <c r="RE72" i="5"/>
  <c r="RI72" i="5"/>
  <c r="RM72" i="5"/>
  <c r="RQ72" i="5"/>
  <c r="RU72" i="5"/>
  <c r="CQ72" i="5" s="1"/>
  <c r="QX72" i="5"/>
  <c r="RN72" i="5"/>
  <c r="RB72" i="5"/>
  <c r="RR72" i="5"/>
  <c r="RF72" i="5"/>
  <c r="QT72" i="5"/>
  <c r="RJ72" i="5"/>
  <c r="CQ106" i="5"/>
  <c r="QV218" i="5"/>
  <c r="QZ218" i="5"/>
  <c r="RD218" i="5"/>
  <c r="RH218" i="5"/>
  <c r="RL218" i="5"/>
  <c r="RP218" i="5"/>
  <c r="RT218" i="5"/>
  <c r="QW218" i="5"/>
  <c r="RA218" i="5"/>
  <c r="RE218" i="5"/>
  <c r="RI218" i="5"/>
  <c r="RM218" i="5"/>
  <c r="RQ218" i="5"/>
  <c r="RU218" i="5"/>
  <c r="CQ218" i="5" s="1"/>
  <c r="QT218" i="5"/>
  <c r="QX218" i="5"/>
  <c r="RB218" i="5"/>
  <c r="RF218" i="5"/>
  <c r="RJ218" i="5"/>
  <c r="RN218" i="5"/>
  <c r="RR218" i="5"/>
  <c r="QY218" i="5"/>
  <c r="RO218" i="5"/>
  <c r="RC218" i="5"/>
  <c r="RS218" i="5"/>
  <c r="RG218" i="5"/>
  <c r="RK218" i="5"/>
  <c r="QU218" i="5"/>
  <c r="QW181" i="5"/>
  <c r="RA181" i="5"/>
  <c r="RE181" i="5"/>
  <c r="RI181" i="5"/>
  <c r="RM181" i="5"/>
  <c r="RQ181" i="5"/>
  <c r="RU181" i="5"/>
  <c r="QT181" i="5"/>
  <c r="QX181" i="5"/>
  <c r="RB181" i="5"/>
  <c r="RF181" i="5"/>
  <c r="RJ181" i="5"/>
  <c r="RN181" i="5"/>
  <c r="RR181" i="5"/>
  <c r="QZ181" i="5"/>
  <c r="RH181" i="5"/>
  <c r="RP181" i="5"/>
  <c r="QU181" i="5"/>
  <c r="RC181" i="5"/>
  <c r="RK181" i="5"/>
  <c r="RS181" i="5"/>
  <c r="QV181" i="5"/>
  <c r="RD181" i="5"/>
  <c r="RL181" i="5"/>
  <c r="RT181" i="5"/>
  <c r="RO181" i="5"/>
  <c r="QY181" i="5"/>
  <c r="CQ181" i="5" s="1"/>
  <c r="RG181" i="5"/>
  <c r="QU150" i="5"/>
  <c r="QY150" i="5"/>
  <c r="RC150" i="5"/>
  <c r="RG150" i="5"/>
  <c r="RK150" i="5"/>
  <c r="RO150" i="5"/>
  <c r="RS150" i="5"/>
  <c r="QW150" i="5"/>
  <c r="RA150" i="5"/>
  <c r="RE150" i="5"/>
  <c r="RI150" i="5"/>
  <c r="RM150" i="5"/>
  <c r="RQ150" i="5"/>
  <c r="RU150" i="5"/>
  <c r="QV150" i="5"/>
  <c r="RD150" i="5"/>
  <c r="RL150" i="5"/>
  <c r="RT150" i="5"/>
  <c r="QX150" i="5"/>
  <c r="RF150" i="5"/>
  <c r="RN150" i="5"/>
  <c r="QZ150" i="5"/>
  <c r="RH150" i="5"/>
  <c r="RP150" i="5"/>
  <c r="RR150" i="5"/>
  <c r="QT150" i="5"/>
  <c r="RB150" i="5"/>
  <c r="RJ150" i="5"/>
  <c r="CQ150" i="5" s="1"/>
  <c r="QV204" i="5"/>
  <c r="QZ204" i="5"/>
  <c r="RD204" i="5"/>
  <c r="RH204" i="5"/>
  <c r="RL204" i="5"/>
  <c r="RP204" i="5"/>
  <c r="RT204" i="5"/>
  <c r="QW204" i="5"/>
  <c r="RA204" i="5"/>
  <c r="RE204" i="5"/>
  <c r="RI204" i="5"/>
  <c r="RM204" i="5"/>
  <c r="RQ204" i="5"/>
  <c r="RU204" i="5"/>
  <c r="QT204" i="5"/>
  <c r="QX204" i="5"/>
  <c r="RB204" i="5"/>
  <c r="RF204" i="5"/>
  <c r="RJ204" i="5"/>
  <c r="RN204" i="5"/>
  <c r="RR204" i="5"/>
  <c r="RG204" i="5"/>
  <c r="QU204" i="5"/>
  <c r="RK204" i="5"/>
  <c r="QY204" i="5"/>
  <c r="RO204" i="5"/>
  <c r="RC204" i="5"/>
  <c r="RS204" i="5"/>
  <c r="QW175" i="5"/>
  <c r="RA175" i="5"/>
  <c r="RE175" i="5"/>
  <c r="RI175" i="5"/>
  <c r="RM175" i="5"/>
  <c r="RQ175" i="5"/>
  <c r="RU175" i="5"/>
  <c r="QT175" i="5"/>
  <c r="QX175" i="5"/>
  <c r="RB175" i="5"/>
  <c r="RF175" i="5"/>
  <c r="RJ175" i="5"/>
  <c r="RN175" i="5"/>
  <c r="RR175" i="5"/>
  <c r="QZ175" i="5"/>
  <c r="RH175" i="5"/>
  <c r="RP175" i="5"/>
  <c r="QU175" i="5"/>
  <c r="RC175" i="5"/>
  <c r="RK175" i="5"/>
  <c r="RS175" i="5"/>
  <c r="QV175" i="5"/>
  <c r="CQ175" i="5" s="1"/>
  <c r="RD175" i="5"/>
  <c r="RL175" i="5"/>
  <c r="RT175" i="5"/>
  <c r="QY175" i="5"/>
  <c r="RG175" i="5"/>
  <c r="RO175" i="5"/>
  <c r="QT246" i="5"/>
  <c r="QX246" i="5"/>
  <c r="RB246" i="5"/>
  <c r="RF246" i="5"/>
  <c r="RJ246" i="5"/>
  <c r="RN246" i="5"/>
  <c r="RR246" i="5"/>
  <c r="QU246" i="5"/>
  <c r="QY246" i="5"/>
  <c r="RC246" i="5"/>
  <c r="RG246" i="5"/>
  <c r="RK246" i="5"/>
  <c r="RO246" i="5"/>
  <c r="RS246" i="5"/>
  <c r="QV246" i="5"/>
  <c r="QZ246" i="5"/>
  <c r="RD246" i="5"/>
  <c r="RH246" i="5"/>
  <c r="RL246" i="5"/>
  <c r="RP246" i="5"/>
  <c r="RT246" i="5"/>
  <c r="RI246" i="5"/>
  <c r="QW246" i="5"/>
  <c r="RM246" i="5"/>
  <c r="RA246" i="5"/>
  <c r="RQ246" i="5"/>
  <c r="RE246" i="5"/>
  <c r="RU246" i="5"/>
  <c r="QV216" i="5"/>
  <c r="QZ216" i="5"/>
  <c r="RD216" i="5"/>
  <c r="RH216" i="5"/>
  <c r="RL216" i="5"/>
  <c r="RP216" i="5"/>
  <c r="RT216" i="5"/>
  <c r="QW216" i="5"/>
  <c r="RA216" i="5"/>
  <c r="RE216" i="5"/>
  <c r="RI216" i="5"/>
  <c r="RM216" i="5"/>
  <c r="RQ216" i="5"/>
  <c r="RU216" i="5"/>
  <c r="QT216" i="5"/>
  <c r="QX216" i="5"/>
  <c r="RB216" i="5"/>
  <c r="RF216" i="5"/>
  <c r="RJ216" i="5"/>
  <c r="RN216" i="5"/>
  <c r="RR216" i="5"/>
  <c r="RG216" i="5"/>
  <c r="QU216" i="5"/>
  <c r="RK216" i="5"/>
  <c r="QY216" i="5"/>
  <c r="RO216" i="5"/>
  <c r="RC216" i="5"/>
  <c r="RS216" i="5"/>
  <c r="QV206" i="5"/>
  <c r="QZ206" i="5"/>
  <c r="RD206" i="5"/>
  <c r="RH206" i="5"/>
  <c r="RL206" i="5"/>
  <c r="RP206" i="5"/>
  <c r="RT206" i="5"/>
  <c r="QW206" i="5"/>
  <c r="RA206" i="5"/>
  <c r="RE206" i="5"/>
  <c r="RI206" i="5"/>
  <c r="RM206" i="5"/>
  <c r="RQ206" i="5"/>
  <c r="RU206" i="5"/>
  <c r="CQ206" i="5" s="1"/>
  <c r="QT206" i="5"/>
  <c r="QX206" i="5"/>
  <c r="RB206" i="5"/>
  <c r="RF206" i="5"/>
  <c r="RJ206" i="5"/>
  <c r="RN206" i="5"/>
  <c r="RR206" i="5"/>
  <c r="QY206" i="5"/>
  <c r="RO206" i="5"/>
  <c r="RC206" i="5"/>
  <c r="RS206" i="5"/>
  <c r="RG206" i="5"/>
  <c r="RK206" i="5"/>
  <c r="QU206" i="5"/>
  <c r="QT240" i="5"/>
  <c r="QX240" i="5"/>
  <c r="RB240" i="5"/>
  <c r="RF240" i="5"/>
  <c r="RJ240" i="5"/>
  <c r="RN240" i="5"/>
  <c r="RR240" i="5"/>
  <c r="QU240" i="5"/>
  <c r="QY240" i="5"/>
  <c r="RC240" i="5"/>
  <c r="RG240" i="5"/>
  <c r="RK240" i="5"/>
  <c r="RO240" i="5"/>
  <c r="RS240" i="5"/>
  <c r="QV240" i="5"/>
  <c r="QZ240" i="5"/>
  <c r="RD240" i="5"/>
  <c r="RH240" i="5"/>
  <c r="RL240" i="5"/>
  <c r="RP240" i="5"/>
  <c r="RT240" i="5"/>
  <c r="RA240" i="5"/>
  <c r="RQ240" i="5"/>
  <c r="RE240" i="5"/>
  <c r="RU240" i="5"/>
  <c r="CQ240" i="5" s="1"/>
  <c r="RI240" i="5"/>
  <c r="QW240" i="5"/>
  <c r="RM240" i="5"/>
  <c r="QW220" i="5"/>
  <c r="RA220" i="5"/>
  <c r="RE220" i="5"/>
  <c r="RI220" i="5"/>
  <c r="RM220" i="5"/>
  <c r="RQ220" i="5"/>
  <c r="RU220" i="5"/>
  <c r="CQ220" i="5" s="1"/>
  <c r="QT220" i="5"/>
  <c r="QX220" i="5"/>
  <c r="RB220" i="5"/>
  <c r="RF220" i="5"/>
  <c r="RJ220" i="5"/>
  <c r="RN220" i="5"/>
  <c r="RR220" i="5"/>
  <c r="QZ220" i="5"/>
  <c r="RH220" i="5"/>
  <c r="RP220" i="5"/>
  <c r="QU220" i="5"/>
  <c r="RC220" i="5"/>
  <c r="RK220" i="5"/>
  <c r="RS220" i="5"/>
  <c r="QV220" i="5"/>
  <c r="RD220" i="5"/>
  <c r="RL220" i="5"/>
  <c r="RT220" i="5"/>
  <c r="RG220" i="5"/>
  <c r="RO220" i="5"/>
  <c r="QY220" i="5"/>
  <c r="QW194" i="5"/>
  <c r="RA194" i="5"/>
  <c r="RE194" i="5"/>
  <c r="RI194" i="5"/>
  <c r="QT194" i="5"/>
  <c r="QX194" i="5"/>
  <c r="RB194" i="5"/>
  <c r="QZ194" i="5"/>
  <c r="CQ194" i="5" s="1"/>
  <c r="RG194" i="5"/>
  <c r="RL194" i="5"/>
  <c r="RP194" i="5"/>
  <c r="RT194" i="5"/>
  <c r="QU194" i="5"/>
  <c r="RC194" i="5"/>
  <c r="RH194" i="5"/>
  <c r="RM194" i="5"/>
  <c r="RQ194" i="5"/>
  <c r="RU194" i="5"/>
  <c r="QV194" i="5"/>
  <c r="RD194" i="5"/>
  <c r="RJ194" i="5"/>
  <c r="RN194" i="5"/>
  <c r="RR194" i="5"/>
  <c r="RF194" i="5"/>
  <c r="RK194" i="5"/>
  <c r="RO194" i="5"/>
  <c r="RS194" i="5"/>
  <c r="QY194" i="5"/>
  <c r="QU134" i="5"/>
  <c r="QY134" i="5"/>
  <c r="RC134" i="5"/>
  <c r="RG134" i="5"/>
  <c r="RK134" i="5"/>
  <c r="RO134" i="5"/>
  <c r="RS134" i="5"/>
  <c r="QV134" i="5"/>
  <c r="QZ134" i="5"/>
  <c r="RD134" i="5"/>
  <c r="RH134" i="5"/>
  <c r="RL134" i="5"/>
  <c r="RP134" i="5"/>
  <c r="RT134" i="5"/>
  <c r="QW134" i="5"/>
  <c r="RA134" i="5"/>
  <c r="RE134" i="5"/>
  <c r="RI134" i="5"/>
  <c r="RM134" i="5"/>
  <c r="RQ134" i="5"/>
  <c r="RU134" i="5"/>
  <c r="RF134" i="5"/>
  <c r="QT134" i="5"/>
  <c r="RJ134" i="5"/>
  <c r="QX134" i="5"/>
  <c r="RN134" i="5"/>
  <c r="RB134" i="5"/>
  <c r="RR134" i="5"/>
  <c r="QT47" i="5"/>
  <c r="QX47" i="5"/>
  <c r="RB47" i="5"/>
  <c r="RF47" i="5"/>
  <c r="RJ47" i="5"/>
  <c r="RN47" i="5"/>
  <c r="RR47" i="5"/>
  <c r="CQ47" i="5" s="1"/>
  <c r="QW47" i="5"/>
  <c r="RC47" i="5"/>
  <c r="RH47" i="5"/>
  <c r="RM47" i="5"/>
  <c r="RS47" i="5"/>
  <c r="QY47" i="5"/>
  <c r="RD47" i="5"/>
  <c r="RI47" i="5"/>
  <c r="RO47" i="5"/>
  <c r="RT47" i="5"/>
  <c r="QU47" i="5"/>
  <c r="QZ47" i="5"/>
  <c r="RE47" i="5"/>
  <c r="RK47" i="5"/>
  <c r="RP47" i="5"/>
  <c r="RU47" i="5"/>
  <c r="QV47" i="5"/>
  <c r="RQ47" i="5"/>
  <c r="RA47" i="5"/>
  <c r="RG47" i="5"/>
  <c r="RL47" i="5"/>
  <c r="QT247" i="5"/>
  <c r="QX247" i="5"/>
  <c r="RB247" i="5"/>
  <c r="RF247" i="5"/>
  <c r="RJ247" i="5"/>
  <c r="RN247" i="5"/>
  <c r="RR247" i="5"/>
  <c r="QU247" i="5"/>
  <c r="QY247" i="5"/>
  <c r="RC247" i="5"/>
  <c r="RG247" i="5"/>
  <c r="RK247" i="5"/>
  <c r="RO247" i="5"/>
  <c r="RS247" i="5"/>
  <c r="QV247" i="5"/>
  <c r="QZ247" i="5"/>
  <c r="RD247" i="5"/>
  <c r="RH247" i="5"/>
  <c r="RL247" i="5"/>
  <c r="RP247" i="5"/>
  <c r="RT247" i="5"/>
  <c r="QW247" i="5"/>
  <c r="RM247" i="5"/>
  <c r="RA247" i="5"/>
  <c r="RQ247" i="5"/>
  <c r="RE247" i="5"/>
  <c r="RU247" i="5"/>
  <c r="CQ247" i="5" s="1"/>
  <c r="RI247" i="5"/>
  <c r="QT231" i="5"/>
  <c r="QX231" i="5"/>
  <c r="RB231" i="5"/>
  <c r="RF231" i="5"/>
  <c r="RJ231" i="5"/>
  <c r="RN231" i="5"/>
  <c r="RR231" i="5"/>
  <c r="QU231" i="5"/>
  <c r="QY231" i="5"/>
  <c r="RC231" i="5"/>
  <c r="RG231" i="5"/>
  <c r="RK231" i="5"/>
  <c r="RO231" i="5"/>
  <c r="RS231" i="5"/>
  <c r="QV231" i="5"/>
  <c r="QZ231" i="5"/>
  <c r="RD231" i="5"/>
  <c r="RH231" i="5"/>
  <c r="RL231" i="5"/>
  <c r="RP231" i="5"/>
  <c r="RT231" i="5"/>
  <c r="QW231" i="5"/>
  <c r="RM231" i="5"/>
  <c r="RA231" i="5"/>
  <c r="RQ231" i="5"/>
  <c r="RE231" i="5"/>
  <c r="RU231" i="5"/>
  <c r="RI231" i="5"/>
  <c r="QV197" i="5"/>
  <c r="QZ197" i="5"/>
  <c r="RD197" i="5"/>
  <c r="RH197" i="5"/>
  <c r="RL197" i="5"/>
  <c r="RP197" i="5"/>
  <c r="RT197" i="5"/>
  <c r="QW197" i="5"/>
  <c r="RA197" i="5"/>
  <c r="RE197" i="5"/>
  <c r="RI197" i="5"/>
  <c r="RM197" i="5"/>
  <c r="RQ197" i="5"/>
  <c r="RU197" i="5"/>
  <c r="QT197" i="5"/>
  <c r="QX197" i="5"/>
  <c r="RB197" i="5"/>
  <c r="RF197" i="5"/>
  <c r="RJ197" i="5"/>
  <c r="RN197" i="5"/>
  <c r="RR197" i="5"/>
  <c r="RC197" i="5"/>
  <c r="RS197" i="5"/>
  <c r="RG197" i="5"/>
  <c r="QU197" i="5"/>
  <c r="RK197" i="5"/>
  <c r="QY197" i="5"/>
  <c r="RO197" i="5"/>
  <c r="QW182" i="5"/>
  <c r="RA182" i="5"/>
  <c r="RE182" i="5"/>
  <c r="RI182" i="5"/>
  <c r="RM182" i="5"/>
  <c r="RQ182" i="5"/>
  <c r="RU182" i="5"/>
  <c r="QT182" i="5"/>
  <c r="QX182" i="5"/>
  <c r="CQ182" i="5" s="1"/>
  <c r="RB182" i="5"/>
  <c r="RF182" i="5"/>
  <c r="RJ182" i="5"/>
  <c r="RN182" i="5"/>
  <c r="RR182" i="5"/>
  <c r="QV182" i="5"/>
  <c r="RD182" i="5"/>
  <c r="RL182" i="5"/>
  <c r="RT182" i="5"/>
  <c r="QY182" i="5"/>
  <c r="RG182" i="5"/>
  <c r="RO182" i="5"/>
  <c r="QZ182" i="5"/>
  <c r="RH182" i="5"/>
  <c r="RP182" i="5"/>
  <c r="RS182" i="5"/>
  <c r="QU182" i="5"/>
  <c r="RC182" i="5"/>
  <c r="RK182" i="5"/>
  <c r="QW167" i="5"/>
  <c r="RA167" i="5"/>
  <c r="RE167" i="5"/>
  <c r="RI167" i="5"/>
  <c r="RM167" i="5"/>
  <c r="RQ167" i="5"/>
  <c r="RU167" i="5"/>
  <c r="QT167" i="5"/>
  <c r="QX167" i="5"/>
  <c r="RB167" i="5"/>
  <c r="RF167" i="5"/>
  <c r="RJ167" i="5"/>
  <c r="RN167" i="5"/>
  <c r="RR167" i="5"/>
  <c r="QU167" i="5"/>
  <c r="QY167" i="5"/>
  <c r="RC167" i="5"/>
  <c r="RG167" i="5"/>
  <c r="RK167" i="5"/>
  <c r="RO167" i="5"/>
  <c r="RS167" i="5"/>
  <c r="QZ167" i="5"/>
  <c r="RP167" i="5"/>
  <c r="RD167" i="5"/>
  <c r="RT167" i="5"/>
  <c r="RH167" i="5"/>
  <c r="QV167" i="5"/>
  <c r="RL167" i="5"/>
  <c r="QU151" i="5"/>
  <c r="QY151" i="5"/>
  <c r="RC151" i="5"/>
  <c r="RG151" i="5"/>
  <c r="RK151" i="5"/>
  <c r="RO151" i="5"/>
  <c r="RS151" i="5"/>
  <c r="QW151" i="5"/>
  <c r="RA151" i="5"/>
  <c r="RE151" i="5"/>
  <c r="RI151" i="5"/>
  <c r="RM151" i="5"/>
  <c r="RQ151" i="5"/>
  <c r="RU151" i="5"/>
  <c r="QZ151" i="5"/>
  <c r="RH151" i="5"/>
  <c r="RP151" i="5"/>
  <c r="QT151" i="5"/>
  <c r="RB151" i="5"/>
  <c r="RJ151" i="5"/>
  <c r="RR151" i="5"/>
  <c r="QV151" i="5"/>
  <c r="RD151" i="5"/>
  <c r="RL151" i="5"/>
  <c r="RT151" i="5"/>
  <c r="QX151" i="5"/>
  <c r="RF151" i="5"/>
  <c r="RN151" i="5"/>
  <c r="QU137" i="5"/>
  <c r="QY137" i="5"/>
  <c r="RC137" i="5"/>
  <c r="RG137" i="5"/>
  <c r="RK137" i="5"/>
  <c r="RO137" i="5"/>
  <c r="RS137" i="5"/>
  <c r="QV137" i="5"/>
  <c r="QZ137" i="5"/>
  <c r="RD137" i="5"/>
  <c r="RH137" i="5"/>
  <c r="RL137" i="5"/>
  <c r="RP137" i="5"/>
  <c r="RT137" i="5"/>
  <c r="QW137" i="5"/>
  <c r="RA137" i="5"/>
  <c r="RE137" i="5"/>
  <c r="RI137" i="5"/>
  <c r="RM137" i="5"/>
  <c r="RQ137" i="5"/>
  <c r="RU137" i="5"/>
  <c r="RB137" i="5"/>
  <c r="RR137" i="5"/>
  <c r="RF137" i="5"/>
  <c r="QT137" i="5"/>
  <c r="RJ137" i="5"/>
  <c r="QX137" i="5"/>
  <c r="RN137" i="5"/>
  <c r="QW114" i="5"/>
  <c r="RA114" i="5"/>
  <c r="RE114" i="5"/>
  <c r="RI114" i="5"/>
  <c r="RM114" i="5"/>
  <c r="RQ114" i="5"/>
  <c r="RU114" i="5"/>
  <c r="QT114" i="5"/>
  <c r="QX114" i="5"/>
  <c r="RB114" i="5"/>
  <c r="RF114" i="5"/>
  <c r="RJ114" i="5"/>
  <c r="RN114" i="5"/>
  <c r="RR114" i="5"/>
  <c r="QU114" i="5"/>
  <c r="RC114" i="5"/>
  <c r="RK114" i="5"/>
  <c r="RS114" i="5"/>
  <c r="QV114" i="5"/>
  <c r="RD114" i="5"/>
  <c r="RL114" i="5"/>
  <c r="RT114" i="5"/>
  <c r="QY114" i="5"/>
  <c r="RG114" i="5"/>
  <c r="RO114" i="5"/>
  <c r="QZ114" i="5"/>
  <c r="RH114" i="5"/>
  <c r="RP114" i="5"/>
  <c r="QW26" i="5"/>
  <c r="RA26" i="5"/>
  <c r="QU26" i="5"/>
  <c r="QZ26" i="5"/>
  <c r="RE26" i="5"/>
  <c r="RI26" i="5"/>
  <c r="RM26" i="5"/>
  <c r="RQ26" i="5"/>
  <c r="RU26" i="5"/>
  <c r="QV26" i="5"/>
  <c r="RB26" i="5"/>
  <c r="RF26" i="5"/>
  <c r="RJ26" i="5"/>
  <c r="RN26" i="5"/>
  <c r="RR26" i="5"/>
  <c r="CQ26" i="5" s="1"/>
  <c r="QX26" i="5"/>
  <c r="RC26" i="5"/>
  <c r="RG26" i="5"/>
  <c r="RK26" i="5"/>
  <c r="RO26" i="5"/>
  <c r="RS26" i="5"/>
  <c r="QY26" i="5"/>
  <c r="RP26" i="5"/>
  <c r="RD26" i="5"/>
  <c r="RT26" i="5"/>
  <c r="RH26" i="5"/>
  <c r="QT26" i="5"/>
  <c r="RL26" i="5"/>
  <c r="QT237" i="5"/>
  <c r="QX237" i="5"/>
  <c r="RB237" i="5"/>
  <c r="RF237" i="5"/>
  <c r="RJ237" i="5"/>
  <c r="RN237" i="5"/>
  <c r="RR237" i="5"/>
  <c r="QU237" i="5"/>
  <c r="QY237" i="5"/>
  <c r="RC237" i="5"/>
  <c r="RG237" i="5"/>
  <c r="RK237" i="5"/>
  <c r="RO237" i="5"/>
  <c r="RS237" i="5"/>
  <c r="QV237" i="5"/>
  <c r="QZ237" i="5"/>
  <c r="RD237" i="5"/>
  <c r="RH237" i="5"/>
  <c r="RL237" i="5"/>
  <c r="RP237" i="5"/>
  <c r="RT237" i="5"/>
  <c r="RE237" i="5"/>
  <c r="RU237" i="5"/>
  <c r="CQ237" i="5" s="1"/>
  <c r="RI237" i="5"/>
  <c r="QW237" i="5"/>
  <c r="RM237" i="5"/>
  <c r="RA237" i="5"/>
  <c r="RQ237" i="5"/>
  <c r="QV208" i="5"/>
  <c r="QZ208" i="5"/>
  <c r="RD208" i="5"/>
  <c r="RH208" i="5"/>
  <c r="RL208" i="5"/>
  <c r="RP208" i="5"/>
  <c r="RT208" i="5"/>
  <c r="QW208" i="5"/>
  <c r="RA208" i="5"/>
  <c r="RE208" i="5"/>
  <c r="RI208" i="5"/>
  <c r="RM208" i="5"/>
  <c r="RQ208" i="5"/>
  <c r="RU208" i="5"/>
  <c r="CQ208" i="5" s="1"/>
  <c r="QT208" i="5"/>
  <c r="QX208" i="5"/>
  <c r="RB208" i="5"/>
  <c r="RF208" i="5"/>
  <c r="RJ208" i="5"/>
  <c r="RN208" i="5"/>
  <c r="RR208" i="5"/>
  <c r="QU208" i="5"/>
  <c r="RK208" i="5"/>
  <c r="QY208" i="5"/>
  <c r="RO208" i="5"/>
  <c r="RC208" i="5"/>
  <c r="RS208" i="5"/>
  <c r="RG208" i="5"/>
  <c r="QV195" i="5"/>
  <c r="QZ195" i="5"/>
  <c r="RD195" i="5"/>
  <c r="RH195" i="5"/>
  <c r="RL195" i="5"/>
  <c r="RP195" i="5"/>
  <c r="RT195" i="5"/>
  <c r="QW195" i="5"/>
  <c r="RA195" i="5"/>
  <c r="RE195" i="5"/>
  <c r="RI195" i="5"/>
  <c r="RM195" i="5"/>
  <c r="RQ195" i="5"/>
  <c r="RU195" i="5"/>
  <c r="QT195" i="5"/>
  <c r="QX195" i="5"/>
  <c r="RB195" i="5"/>
  <c r="RF195" i="5"/>
  <c r="RJ195" i="5"/>
  <c r="RN195" i="5"/>
  <c r="RR195" i="5"/>
  <c r="QU195" i="5"/>
  <c r="RK195" i="5"/>
  <c r="QY195" i="5"/>
  <c r="RO195" i="5"/>
  <c r="RC195" i="5"/>
  <c r="RS195" i="5"/>
  <c r="RG195" i="5"/>
  <c r="QW180" i="5"/>
  <c r="RA180" i="5"/>
  <c r="RE180" i="5"/>
  <c r="RI180" i="5"/>
  <c r="RM180" i="5"/>
  <c r="RQ180" i="5"/>
  <c r="RU180" i="5"/>
  <c r="QT180" i="5"/>
  <c r="QX180" i="5"/>
  <c r="RB180" i="5"/>
  <c r="RF180" i="5"/>
  <c r="RJ180" i="5"/>
  <c r="RN180" i="5"/>
  <c r="RR180" i="5"/>
  <c r="QV180" i="5"/>
  <c r="RD180" i="5"/>
  <c r="RL180" i="5"/>
  <c r="RT180" i="5"/>
  <c r="QY180" i="5"/>
  <c r="RG180" i="5"/>
  <c r="RO180" i="5"/>
  <c r="QZ180" i="5"/>
  <c r="RH180" i="5"/>
  <c r="RP180" i="5"/>
  <c r="RK180" i="5"/>
  <c r="RS180" i="5"/>
  <c r="QU180" i="5"/>
  <c r="RC180" i="5"/>
  <c r="QU135" i="5"/>
  <c r="QY135" i="5"/>
  <c r="RC135" i="5"/>
  <c r="RG135" i="5"/>
  <c r="RK135" i="5"/>
  <c r="RO135" i="5"/>
  <c r="RS135" i="5"/>
  <c r="QV135" i="5"/>
  <c r="QZ135" i="5"/>
  <c r="RD135" i="5"/>
  <c r="RH135" i="5"/>
  <c r="RL135" i="5"/>
  <c r="RP135" i="5"/>
  <c r="RT135" i="5"/>
  <c r="QW135" i="5"/>
  <c r="RA135" i="5"/>
  <c r="RE135" i="5"/>
  <c r="RI135" i="5"/>
  <c r="RM135" i="5"/>
  <c r="RQ135" i="5"/>
  <c r="RU135" i="5"/>
  <c r="QT135" i="5"/>
  <c r="RJ135" i="5"/>
  <c r="QX135" i="5"/>
  <c r="RN135" i="5"/>
  <c r="RB135" i="5"/>
  <c r="RR135" i="5"/>
  <c r="RF135" i="5"/>
  <c r="QW120" i="5"/>
  <c r="RA120" i="5"/>
  <c r="RE120" i="5"/>
  <c r="RI120" i="5"/>
  <c r="RM120" i="5"/>
  <c r="RQ120" i="5"/>
  <c r="RU120" i="5"/>
  <c r="QT120" i="5"/>
  <c r="QX120" i="5"/>
  <c r="RB120" i="5"/>
  <c r="RF120" i="5"/>
  <c r="RJ120" i="5"/>
  <c r="CQ120" i="5" s="1"/>
  <c r="RN120" i="5"/>
  <c r="RR120" i="5"/>
  <c r="QU120" i="5"/>
  <c r="RC120" i="5"/>
  <c r="RK120" i="5"/>
  <c r="RS120" i="5"/>
  <c r="QV120" i="5"/>
  <c r="RD120" i="5"/>
  <c r="RL120" i="5"/>
  <c r="RT120" i="5"/>
  <c r="QY120" i="5"/>
  <c r="RG120" i="5"/>
  <c r="RO120" i="5"/>
  <c r="RP120" i="5"/>
  <c r="QZ120" i="5"/>
  <c r="RH120" i="5"/>
  <c r="PO113" i="5"/>
  <c r="QN35" i="5"/>
  <c r="PU73" i="5"/>
  <c r="QL89" i="5"/>
  <c r="QI49" i="5"/>
  <c r="PV89" i="5"/>
  <c r="PT73" i="5"/>
  <c r="QH89" i="5"/>
  <c r="PV73" i="5"/>
  <c r="QB49" i="5"/>
  <c r="QB89" i="5"/>
  <c r="PZ73" i="5"/>
  <c r="PO49" i="5"/>
  <c r="QA49" i="5"/>
  <c r="QD49" i="5"/>
  <c r="PL49" i="5"/>
  <c r="PP49" i="5"/>
  <c r="PN68" i="5"/>
  <c r="QQ68" i="5"/>
  <c r="PJ89" i="5"/>
  <c r="QP89" i="5"/>
  <c r="PW89" i="5"/>
  <c r="PT89" i="5"/>
  <c r="QE73" i="5"/>
  <c r="QI73" i="5"/>
  <c r="PJ73" i="5"/>
  <c r="PM73" i="5"/>
  <c r="PL73" i="5"/>
  <c r="QN49" i="5"/>
  <c r="QO49" i="5"/>
  <c r="PS49" i="5"/>
  <c r="QE89" i="5"/>
  <c r="PS89" i="5"/>
  <c r="QA89" i="5"/>
  <c r="PM89" i="5"/>
  <c r="PL89" i="5"/>
  <c r="PN73" i="5"/>
  <c r="PS73" i="5"/>
  <c r="QK73" i="5"/>
  <c r="QJ73" i="5"/>
  <c r="QH49" i="5"/>
  <c r="PZ49" i="5"/>
  <c r="PT49" i="5"/>
  <c r="PK49" i="5"/>
  <c r="QO68" i="5"/>
  <c r="PZ89" i="5"/>
  <c r="QK89" i="5"/>
  <c r="PN89" i="5"/>
  <c r="QJ89" i="5"/>
  <c r="PW73" i="5"/>
  <c r="QP73" i="5"/>
  <c r="QC73" i="5"/>
  <c r="QB73" i="5"/>
  <c r="PU49" i="5"/>
  <c r="QF49" i="5"/>
  <c r="QQ49" i="5"/>
  <c r="PL67" i="5"/>
  <c r="PQ64" i="5"/>
  <c r="QH55" i="5"/>
  <c r="PP77" i="5"/>
  <c r="PW106" i="5"/>
  <c r="QK113" i="5"/>
  <c r="PL36" i="5"/>
  <c r="QA117" i="5"/>
  <c r="QF13" i="5"/>
  <c r="QC103" i="5"/>
  <c r="QH113" i="5"/>
  <c r="PZ51" i="5"/>
  <c r="QA19" i="5"/>
  <c r="QI117" i="5"/>
  <c r="PK5" i="5"/>
  <c r="QK82" i="5"/>
  <c r="QO113" i="5"/>
  <c r="PK67" i="5"/>
  <c r="QN56" i="5"/>
  <c r="PZ37" i="5"/>
  <c r="PU119" i="5"/>
  <c r="PQ79" i="5"/>
  <c r="PU118" i="5"/>
  <c r="PJ82" i="5"/>
  <c r="QJ74" i="5"/>
  <c r="PQ66" i="5"/>
  <c r="QE58" i="5"/>
  <c r="QH50" i="5"/>
  <c r="PS64" i="5"/>
  <c r="PN56" i="5"/>
  <c r="PO36" i="5"/>
  <c r="PL24" i="5"/>
  <c r="QF4" i="5"/>
  <c r="QO61" i="5"/>
  <c r="PY112" i="5"/>
  <c r="PZ24" i="5"/>
  <c r="PS4" i="5"/>
  <c r="QD77" i="5"/>
  <c r="PT113" i="5"/>
  <c r="QG113" i="5"/>
  <c r="QA113" i="5"/>
  <c r="PZ113" i="5"/>
  <c r="PR67" i="5"/>
  <c r="QA51" i="5"/>
  <c r="PL35" i="5"/>
  <c r="QF19" i="5"/>
  <c r="PM112" i="5"/>
  <c r="QQ64" i="5"/>
  <c r="PV64" i="5"/>
  <c r="QH56" i="5"/>
  <c r="QA56" i="5"/>
  <c r="PV36" i="5"/>
  <c r="QD36" i="5"/>
  <c r="PK24" i="5"/>
  <c r="QO24" i="5"/>
  <c r="PU4" i="5"/>
  <c r="QL4" i="5"/>
  <c r="PW117" i="5"/>
  <c r="PM117" i="5"/>
  <c r="PN77" i="5"/>
  <c r="QF61" i="5"/>
  <c r="PX37" i="5"/>
  <c r="QD13" i="5"/>
  <c r="PO119" i="5"/>
  <c r="QQ103" i="5"/>
  <c r="QI79" i="5"/>
  <c r="PP79" i="5"/>
  <c r="QE55" i="5"/>
  <c r="QG5" i="5"/>
  <c r="PW118" i="5"/>
  <c r="PR106" i="5"/>
  <c r="QG82" i="5"/>
  <c r="PX74" i="5"/>
  <c r="QE66" i="5"/>
  <c r="PR58" i="5"/>
  <c r="QC50" i="5"/>
  <c r="QC113" i="5"/>
  <c r="PW113" i="5"/>
  <c r="PP113" i="5"/>
  <c r="PR113" i="5"/>
  <c r="PN67" i="5"/>
  <c r="QG51" i="5"/>
  <c r="QQ35" i="5"/>
  <c r="PQ19" i="5"/>
  <c r="PZ112" i="5"/>
  <c r="PL112" i="5"/>
  <c r="QF64" i="5"/>
  <c r="PY64" i="5"/>
  <c r="QJ56" i="5"/>
  <c r="QO56" i="5"/>
  <c r="QL36" i="5"/>
  <c r="QO36" i="5"/>
  <c r="QQ24" i="5"/>
  <c r="PY24" i="5"/>
  <c r="PT4" i="5"/>
  <c r="PV4" i="5"/>
  <c r="PQ117" i="5"/>
  <c r="QD117" i="5"/>
  <c r="PR77" i="5"/>
  <c r="QL61" i="5"/>
  <c r="PL37" i="5"/>
  <c r="PN13" i="5"/>
  <c r="QG119" i="5"/>
  <c r="PN119" i="5"/>
  <c r="QJ103" i="5"/>
  <c r="QE79" i="5"/>
  <c r="QL55" i="5"/>
  <c r="QF5" i="5"/>
  <c r="PQ118" i="5"/>
  <c r="QO106" i="5"/>
  <c r="QM82" i="5"/>
  <c r="PS74" i="5"/>
  <c r="QH66" i="5"/>
  <c r="PO58" i="5"/>
  <c r="PQ58" i="5"/>
  <c r="QL50" i="5"/>
  <c r="PX113" i="5"/>
  <c r="QJ113" i="5"/>
  <c r="PL113" i="5"/>
  <c r="QP113" i="5"/>
  <c r="PJ113" i="5"/>
  <c r="PX35" i="5"/>
  <c r="QN64" i="5"/>
  <c r="QL64" i="5"/>
  <c r="QP56" i="5"/>
  <c r="PY56" i="5"/>
  <c r="QJ36" i="5"/>
  <c r="PY36" i="5"/>
  <c r="PW24" i="5"/>
  <c r="PN24" i="5"/>
  <c r="PY4" i="5"/>
  <c r="QI4" i="5"/>
  <c r="QK117" i="5"/>
  <c r="PY117" i="5"/>
  <c r="PN117" i="5"/>
  <c r="PQ77" i="5"/>
  <c r="PK61" i="5"/>
  <c r="QP37" i="5"/>
  <c r="PO37" i="5"/>
  <c r="QL13" i="5"/>
  <c r="PS119" i="5"/>
  <c r="QD103" i="5"/>
  <c r="PV79" i="5"/>
  <c r="PU55" i="5"/>
  <c r="PO5" i="5"/>
  <c r="PY118" i="5"/>
  <c r="PP118" i="5"/>
  <c r="QF106" i="5"/>
  <c r="QP82" i="5"/>
  <c r="PV74" i="5"/>
  <c r="PL66" i="5"/>
  <c r="QI58" i="5"/>
  <c r="PT50" i="5"/>
  <c r="PX81" i="5"/>
  <c r="PT81" i="5"/>
  <c r="PU81" i="5"/>
  <c r="PZ81" i="5"/>
  <c r="QL81" i="5"/>
  <c r="QB81" i="5"/>
  <c r="QC81" i="5"/>
  <c r="QP81" i="5"/>
  <c r="PW41" i="5"/>
  <c r="PS41" i="5"/>
  <c r="PT41" i="5"/>
  <c r="PZ41" i="5"/>
  <c r="QC41" i="5"/>
  <c r="QA41" i="5"/>
  <c r="QD41" i="5"/>
  <c r="QK41" i="5"/>
  <c r="PV41" i="5"/>
  <c r="QI41" i="5"/>
  <c r="QO41" i="5"/>
  <c r="PQ41" i="5"/>
  <c r="PL41" i="5"/>
  <c r="PV115" i="5"/>
  <c r="PR115" i="5"/>
  <c r="PQ115" i="5"/>
  <c r="QC115" i="5"/>
  <c r="PY115" i="5"/>
  <c r="PZ115" i="5"/>
  <c r="QB115" i="5"/>
  <c r="QN115" i="5"/>
  <c r="PP115" i="5"/>
  <c r="QH115" i="5"/>
  <c r="QM115" i="5"/>
  <c r="PU115" i="5"/>
  <c r="QK115" i="5"/>
  <c r="PX83" i="5"/>
  <c r="QJ83" i="5"/>
  <c r="QO83" i="5"/>
  <c r="QA83" i="5"/>
  <c r="PQ83" i="5"/>
  <c r="PL83" i="5"/>
  <c r="PM83" i="5"/>
  <c r="PR83" i="5"/>
  <c r="QP83" i="5"/>
  <c r="PV83" i="5"/>
  <c r="PT83" i="5"/>
  <c r="PS83" i="5"/>
  <c r="QG83" i="5"/>
  <c r="QL83" i="5"/>
  <c r="PX67" i="5"/>
  <c r="PT67" i="5"/>
  <c r="PU67" i="5"/>
  <c r="QD67" i="5"/>
  <c r="PS67" i="5"/>
  <c r="QB67" i="5"/>
  <c r="QC67" i="5"/>
  <c r="PO67" i="5"/>
  <c r="PJ67" i="5"/>
  <c r="QJ67" i="5"/>
  <c r="QK67" i="5"/>
  <c r="QE67" i="5"/>
  <c r="QP67" i="5"/>
  <c r="PW51" i="5"/>
  <c r="QI51" i="5"/>
  <c r="QK51" i="5"/>
  <c r="PV51" i="5"/>
  <c r="PL51" i="5"/>
  <c r="PK51" i="5"/>
  <c r="QQ51" i="5"/>
  <c r="PM51" i="5"/>
  <c r="QJ51" i="5"/>
  <c r="PX51" i="5"/>
  <c r="PS51" i="5"/>
  <c r="PP51" i="5"/>
  <c r="QB51" i="5"/>
  <c r="QD51" i="5"/>
  <c r="PW35" i="5"/>
  <c r="PS35" i="5"/>
  <c r="PP35" i="5"/>
  <c r="PV35" i="5"/>
  <c r="QD35" i="5"/>
  <c r="QA35" i="5"/>
  <c r="PZ35" i="5"/>
  <c r="QG35" i="5"/>
  <c r="PM35" i="5"/>
  <c r="QI35" i="5"/>
  <c r="QK35" i="5"/>
  <c r="PR35" i="5"/>
  <c r="PN35" i="5"/>
  <c r="PW19" i="5"/>
  <c r="QI19" i="5"/>
  <c r="QO19" i="5"/>
  <c r="QK19" i="5"/>
  <c r="CO19" i="5" s="1"/>
  <c r="HH19" i="5" s="1"/>
  <c r="QG19" i="5"/>
  <c r="PK19" i="5"/>
  <c r="QQ19" i="5"/>
  <c r="PU19" i="5"/>
  <c r="PR19" i="5"/>
  <c r="PV19" i="5"/>
  <c r="PS19" i="5"/>
  <c r="PT19" i="5"/>
  <c r="QH19" i="5"/>
  <c r="QL19" i="5"/>
  <c r="PX112" i="5"/>
  <c r="PT112" i="5"/>
  <c r="PW112" i="5"/>
  <c r="CO112" i="5" s="1"/>
  <c r="HH112" i="5" s="1"/>
  <c r="QI112" i="5"/>
  <c r="QP112" i="5"/>
  <c r="QB112" i="5"/>
  <c r="QH112" i="5"/>
  <c r="PQ112" i="5"/>
  <c r="PV112" i="5"/>
  <c r="QJ112" i="5"/>
  <c r="PN112" i="5"/>
  <c r="QL112" i="5"/>
  <c r="QQ112" i="5"/>
  <c r="QL68" i="5"/>
  <c r="QD68" i="5"/>
  <c r="QJ68" i="5"/>
  <c r="PK68" i="5"/>
  <c r="QK68" i="5"/>
  <c r="QA68" i="5"/>
  <c r="QG68" i="5"/>
  <c r="PX48" i="5"/>
  <c r="QG48" i="5"/>
  <c r="PT40" i="5"/>
  <c r="PP40" i="5"/>
  <c r="QO32" i="5"/>
  <c r="QG32" i="5"/>
  <c r="QM8" i="5"/>
  <c r="QD8" i="5"/>
  <c r="PQ109" i="5"/>
  <c r="PX109" i="5"/>
  <c r="PK85" i="5"/>
  <c r="PN85" i="5"/>
  <c r="QD69" i="5"/>
  <c r="PW21" i="5"/>
  <c r="QN7" i="5"/>
  <c r="PY111" i="5"/>
  <c r="PN48" i="5"/>
  <c r="QD48" i="5"/>
  <c r="PQ48" i="5"/>
  <c r="PS40" i="5"/>
  <c r="QG40" i="5"/>
  <c r="QH32" i="5"/>
  <c r="PL32" i="5"/>
  <c r="PS8" i="5"/>
  <c r="PQ8" i="5"/>
  <c r="PN8" i="5"/>
  <c r="QG109" i="5"/>
  <c r="QL109" i="5"/>
  <c r="PR85" i="5"/>
  <c r="PZ85" i="5"/>
  <c r="QH69" i="5"/>
  <c r="QN21" i="5"/>
  <c r="QG7" i="5"/>
  <c r="PV111" i="5"/>
  <c r="QB48" i="5"/>
  <c r="QL48" i="5"/>
  <c r="PZ40" i="5"/>
  <c r="PW40" i="5"/>
  <c r="PQ40" i="5"/>
  <c r="PY32" i="5"/>
  <c r="QE32" i="5"/>
  <c r="QC8" i="5"/>
  <c r="QF8" i="5"/>
  <c r="QJ109" i="5"/>
  <c r="PV109" i="5"/>
  <c r="QL85" i="5"/>
  <c r="QN85" i="5"/>
  <c r="PY69" i="5"/>
  <c r="QL21" i="5"/>
  <c r="PK7" i="5"/>
  <c r="QG111" i="5"/>
  <c r="PM113" i="5"/>
  <c r="QN113" i="5"/>
  <c r="PY113" i="5"/>
  <c r="QB113" i="5"/>
  <c r="QQ113" i="5"/>
  <c r="PU113" i="5"/>
  <c r="QL113" i="5"/>
  <c r="PV113" i="5"/>
  <c r="PS105" i="5"/>
  <c r="PY105" i="5"/>
  <c r="PM105" i="5"/>
  <c r="QM105" i="5"/>
  <c r="PQ105" i="5"/>
  <c r="QF105" i="5"/>
  <c r="PK105" i="5"/>
  <c r="QD105" i="5"/>
  <c r="PN105" i="5"/>
  <c r="QO89" i="5"/>
  <c r="PY89" i="5"/>
  <c r="QQ89" i="5"/>
  <c r="PO89" i="5"/>
  <c r="PU89" i="5"/>
  <c r="QC89" i="5"/>
  <c r="QN89" i="5"/>
  <c r="PX89" i="5"/>
  <c r="QD81" i="5"/>
  <c r="PS81" i="5"/>
  <c r="QA81" i="5"/>
  <c r="PN81" i="5"/>
  <c r="PR81" i="5"/>
  <c r="QG81" i="5"/>
  <c r="PQ81" i="5"/>
  <c r="QF81" i="5"/>
  <c r="PP81" i="5"/>
  <c r="QD73" i="5"/>
  <c r="QL73" i="5"/>
  <c r="QA73" i="5"/>
  <c r="QH73" i="5"/>
  <c r="QO73" i="5"/>
  <c r="PY73" i="5"/>
  <c r="QN73" i="5"/>
  <c r="PX73" i="5"/>
  <c r="PV49" i="5"/>
  <c r="QP49" i="5"/>
  <c r="QG49" i="5"/>
  <c r="QL49" i="5"/>
  <c r="CO49" i="5" s="1"/>
  <c r="HH49" i="5" s="1"/>
  <c r="PJ49" i="5"/>
  <c r="PY49" i="5"/>
  <c r="QM49" i="5"/>
  <c r="PW49" i="5"/>
  <c r="QH41" i="5"/>
  <c r="CO41" i="5" s="1"/>
  <c r="HH41" i="5" s="1"/>
  <c r="PX41" i="5"/>
  <c r="PR41" i="5"/>
  <c r="QP41" i="5"/>
  <c r="PU41" i="5"/>
  <c r="QJ41" i="5"/>
  <c r="PN41" i="5"/>
  <c r="QE41" i="5"/>
  <c r="PO41" i="5"/>
  <c r="PT115" i="5"/>
  <c r="QA115" i="5"/>
  <c r="PO115" i="5"/>
  <c r="PK115" i="5"/>
  <c r="PX115" i="5"/>
  <c r="QG115" i="5"/>
  <c r="PL115" i="5"/>
  <c r="QD115" i="5"/>
  <c r="PN115" i="5"/>
  <c r="QK83" i="5"/>
  <c r="QQ83" i="5"/>
  <c r="PW83" i="5"/>
  <c r="PU83" i="5"/>
  <c r="PZ83" i="5"/>
  <c r="QI83" i="5"/>
  <c r="PN83" i="5"/>
  <c r="QF83" i="5"/>
  <c r="PP83" i="5"/>
  <c r="QA67" i="5"/>
  <c r="PZ67" i="5"/>
  <c r="QH67" i="5"/>
  <c r="PW67" i="5"/>
  <c r="PV67" i="5"/>
  <c r="QG67" i="5"/>
  <c r="PQ67" i="5"/>
  <c r="QF67" i="5"/>
  <c r="PP67" i="5"/>
  <c r="QQ59" i="5"/>
  <c r="QL59" i="5"/>
  <c r="PZ59" i="5"/>
  <c r="QD59" i="5"/>
  <c r="QM59" i="5"/>
  <c r="PR59" i="5"/>
  <c r="QF59" i="5"/>
  <c r="PP59" i="5"/>
  <c r="PY51" i="5"/>
  <c r="QL51" i="5"/>
  <c r="PQ51" i="5"/>
  <c r="PN51" i="5"/>
  <c r="PT51" i="5"/>
  <c r="QF51" i="5"/>
  <c r="PJ51" i="5"/>
  <c r="QE51" i="5"/>
  <c r="PO51" i="5"/>
  <c r="QO43" i="5"/>
  <c r="QJ43" i="5"/>
  <c r="PX43" i="5"/>
  <c r="QB43" i="5"/>
  <c r="QP43" i="5"/>
  <c r="PU43" i="5"/>
  <c r="QM43" i="5"/>
  <c r="PW43" i="5"/>
  <c r="PY35" i="5"/>
  <c r="QH35" i="5"/>
  <c r="PT35" i="5"/>
  <c r="QL35" i="5"/>
  <c r="PQ35" i="5"/>
  <c r="QF35" i="5"/>
  <c r="PJ35" i="5"/>
  <c r="QE35" i="5"/>
  <c r="PO35" i="5"/>
  <c r="QP27" i="5"/>
  <c r="QI27" i="5"/>
  <c r="QM27" i="5"/>
  <c r="PJ27" i="5"/>
  <c r="PO27" i="5"/>
  <c r="QA27" i="5"/>
  <c r="QO27" i="5"/>
  <c r="PY27" i="5"/>
  <c r="PX19" i="5"/>
  <c r="PP19" i="5"/>
  <c r="QC19" i="5"/>
  <c r="PZ19" i="5"/>
  <c r="QB19" i="5"/>
  <c r="QJ19" i="5"/>
  <c r="PN19" i="5"/>
  <c r="QE19" i="5"/>
  <c r="PO19" i="5"/>
  <c r="QM116" i="5"/>
  <c r="PN116" i="5"/>
  <c r="QD116" i="5"/>
  <c r="QG116" i="5"/>
  <c r="PK116" i="5"/>
  <c r="PZ116" i="5"/>
  <c r="QN116" i="5"/>
  <c r="PX116" i="5"/>
  <c r="QK112" i="5"/>
  <c r="QG112" i="5"/>
  <c r="QE112" i="5"/>
  <c r="QA112" i="5"/>
  <c r="QD112" i="5"/>
  <c r="QM112" i="5"/>
  <c r="PR112" i="5"/>
  <c r="QF112" i="5"/>
  <c r="PP112" i="5"/>
  <c r="PU76" i="5"/>
  <c r="PP76" i="5"/>
  <c r="QQ76" i="5"/>
  <c r="PK76" i="5"/>
  <c r="QF68" i="5"/>
  <c r="PT68" i="5"/>
  <c r="PS68" i="5"/>
  <c r="PV68" i="5"/>
  <c r="QO64" i="5"/>
  <c r="QA64" i="5"/>
  <c r="PO64" i="5"/>
  <c r="PZ56" i="5"/>
  <c r="QE56" i="5"/>
  <c r="QB56" i="5"/>
  <c r="PP56" i="5"/>
  <c r="QI48" i="5"/>
  <c r="PJ48" i="5"/>
  <c r="QA48" i="5"/>
  <c r="PY48" i="5"/>
  <c r="QJ40" i="5"/>
  <c r="QN40" i="5"/>
  <c r="PL40" i="5"/>
  <c r="QO40" i="5"/>
  <c r="QH36" i="5"/>
  <c r="QB36" i="5"/>
  <c r="PZ36" i="5"/>
  <c r="PS36" i="5"/>
  <c r="QJ32" i="5"/>
  <c r="PJ32" i="5"/>
  <c r="PV32" i="5"/>
  <c r="PW32" i="5"/>
  <c r="PP24" i="5"/>
  <c r="QA24" i="5"/>
  <c r="QJ24" i="5"/>
  <c r="PY8" i="5"/>
  <c r="QB8" i="5"/>
  <c r="PU8" i="5"/>
  <c r="PV8" i="5"/>
  <c r="QN4" i="5"/>
  <c r="QJ4" i="5"/>
  <c r="QA4" i="5"/>
  <c r="QF117" i="5"/>
  <c r="QM117" i="5"/>
  <c r="PO117" i="5"/>
  <c r="PK109" i="5"/>
  <c r="QA109" i="5"/>
  <c r="PY109" i="5"/>
  <c r="PM109" i="5"/>
  <c r="PN109" i="5"/>
  <c r="PS85" i="5"/>
  <c r="PW85" i="5"/>
  <c r="QK85" i="5"/>
  <c r="PX85" i="5"/>
  <c r="PK77" i="5"/>
  <c r="QA69" i="5"/>
  <c r="QN69" i="5"/>
  <c r="PM61" i="5"/>
  <c r="QF37" i="5"/>
  <c r="PM21" i="5"/>
  <c r="QP21" i="5"/>
  <c r="QO13" i="5"/>
  <c r="PW13" i="5"/>
  <c r="QO7" i="5"/>
  <c r="PX7" i="5"/>
  <c r="QQ119" i="5"/>
  <c r="QC111" i="5"/>
  <c r="QL111" i="5"/>
  <c r="PQ103" i="5"/>
  <c r="QH79" i="5"/>
  <c r="QI63" i="5"/>
  <c r="PK63" i="5"/>
  <c r="QF55" i="5"/>
  <c r="PZ55" i="5"/>
  <c r="QQ5" i="5"/>
  <c r="PV122" i="5"/>
  <c r="QD122" i="5"/>
  <c r="PN118" i="5"/>
  <c r="QD110" i="5"/>
  <c r="PM110" i="5"/>
  <c r="QA106" i="5"/>
  <c r="PZ106" i="5"/>
  <c r="QE98" i="5"/>
  <c r="PP98" i="5"/>
  <c r="QF82" i="5"/>
  <c r="PP78" i="5"/>
  <c r="QB74" i="5"/>
  <c r="QK70" i="5"/>
  <c r="PS70" i="5"/>
  <c r="PT66" i="5"/>
  <c r="PZ58" i="5"/>
  <c r="QD50" i="5"/>
  <c r="PZ50" i="5"/>
  <c r="QJ46" i="5"/>
  <c r="PR76" i="5"/>
  <c r="QH76" i="5"/>
  <c r="PO76" i="5"/>
  <c r="QE76" i="5"/>
  <c r="PL76" i="5"/>
  <c r="PM76" i="5"/>
  <c r="PY76" i="5"/>
  <c r="QN76" i="5"/>
  <c r="PJ76" i="5"/>
  <c r="PZ76" i="5"/>
  <c r="QP76" i="5"/>
  <c r="PW76" i="5"/>
  <c r="QM76" i="5"/>
  <c r="QB76" i="5"/>
  <c r="QG76" i="5"/>
  <c r="PQ76" i="5"/>
  <c r="QO76" i="5"/>
  <c r="PR64" i="5"/>
  <c r="PM64" i="5"/>
  <c r="QH64" i="5"/>
  <c r="PT64" i="5"/>
  <c r="QM64" i="5"/>
  <c r="QJ64" i="5"/>
  <c r="PU64" i="5"/>
  <c r="PK64" i="5"/>
  <c r="PJ64" i="5"/>
  <c r="PZ64" i="5"/>
  <c r="PX64" i="5"/>
  <c r="QP64" i="5"/>
  <c r="QE64" i="5"/>
  <c r="PP64" i="5"/>
  <c r="QB64" i="5"/>
  <c r="PW64" i="5"/>
  <c r="PL64" i="5"/>
  <c r="PU56" i="5"/>
  <c r="QK56" i="5"/>
  <c r="PV56" i="5"/>
  <c r="QQ56" i="5"/>
  <c r="QI56" i="5"/>
  <c r="QD56" i="5"/>
  <c r="PS56" i="5"/>
  <c r="PL56" i="5"/>
  <c r="PM56" i="5"/>
  <c r="QC56" i="5"/>
  <c r="PK56" i="5"/>
  <c r="QF56" i="5"/>
  <c r="PT56" i="5"/>
  <c r="PO56" i="5"/>
  <c r="PR56" i="5"/>
  <c r="PJ56" i="5"/>
  <c r="PX56" i="5"/>
  <c r="PU36" i="5"/>
  <c r="QK36" i="5"/>
  <c r="PX36" i="5"/>
  <c r="PJ36" i="5"/>
  <c r="QE36" i="5"/>
  <c r="QA36" i="5"/>
  <c r="QM36" i="5"/>
  <c r="PK36" i="5"/>
  <c r="PM36" i="5"/>
  <c r="QC36" i="5"/>
  <c r="PN36" i="5"/>
  <c r="QI36" i="5"/>
  <c r="PT36" i="5"/>
  <c r="QP36" i="5"/>
  <c r="PR36" i="5"/>
  <c r="QQ36" i="5"/>
  <c r="QF36" i="5"/>
  <c r="PU24" i="5"/>
  <c r="QK24" i="5"/>
  <c r="PT24" i="5"/>
  <c r="QP24" i="5"/>
  <c r="QI24" i="5"/>
  <c r="QL24" i="5"/>
  <c r="QM24" i="5"/>
  <c r="QH24" i="5"/>
  <c r="PM24" i="5"/>
  <c r="QC24" i="5"/>
  <c r="PJ24" i="5"/>
  <c r="QE24" i="5"/>
  <c r="PV24" i="5"/>
  <c r="PR24" i="5"/>
  <c r="PS24" i="5"/>
  <c r="QF24" i="5"/>
  <c r="PX24" i="5"/>
  <c r="PR4" i="5"/>
  <c r="QH4" i="5"/>
  <c r="PO4" i="5"/>
  <c r="QE4" i="5"/>
  <c r="PL4" i="5"/>
  <c r="PM4" i="5"/>
  <c r="PP4" i="5"/>
  <c r="PX4" i="5"/>
  <c r="PJ4" i="5"/>
  <c r="PZ4" i="5"/>
  <c r="QP4" i="5"/>
  <c r="PW4" i="5"/>
  <c r="QM4" i="5"/>
  <c r="QB4" i="5"/>
  <c r="QC4" i="5"/>
  <c r="PQ4" i="5"/>
  <c r="QG4" i="5"/>
  <c r="PJ117" i="5"/>
  <c r="CO117" i="5" s="1"/>
  <c r="HH117" i="5" s="1"/>
  <c r="PZ117" i="5"/>
  <c r="QP117" i="5"/>
  <c r="QC117" i="5"/>
  <c r="PT117" i="5"/>
  <c r="QO117" i="5"/>
  <c r="PL117" i="5"/>
  <c r="QQ117" i="5"/>
  <c r="PP117" i="5"/>
  <c r="PR117" i="5"/>
  <c r="QH117" i="5"/>
  <c r="PS117" i="5"/>
  <c r="QN117" i="5"/>
  <c r="QE117" i="5"/>
  <c r="QB117" i="5"/>
  <c r="QG117" i="5"/>
  <c r="PK117" i="5"/>
  <c r="PL77" i="5"/>
  <c r="QB77" i="5"/>
  <c r="PM77" i="5"/>
  <c r="QC77" i="5"/>
  <c r="PJ77" i="5"/>
  <c r="QP77" i="5"/>
  <c r="QQ77" i="5"/>
  <c r="PO77" i="5"/>
  <c r="PS77" i="5"/>
  <c r="PT77" i="5"/>
  <c r="QJ77" i="5"/>
  <c r="PU77" i="5"/>
  <c r="QK77" i="5"/>
  <c r="PZ77" i="5"/>
  <c r="PV77" i="5"/>
  <c r="PW77" i="5"/>
  <c r="QL77" i="5"/>
  <c r="QN77" i="5"/>
  <c r="CO77" i="5" s="1"/>
  <c r="HH77" i="5" s="1"/>
  <c r="QO77" i="5"/>
  <c r="QE77" i="5"/>
  <c r="QM77" i="5"/>
  <c r="PX77" i="5"/>
  <c r="PY77" i="5"/>
  <c r="QH77" i="5"/>
  <c r="QI77" i="5"/>
  <c r="PL61" i="5"/>
  <c r="QB61" i="5"/>
  <c r="CO61" i="5" s="1"/>
  <c r="HH61" i="5" s="1"/>
  <c r="PN61" i="5"/>
  <c r="QI61" i="5"/>
  <c r="PU61" i="5"/>
  <c r="QP61" i="5"/>
  <c r="QQ61" i="5"/>
  <c r="PQ61" i="5"/>
  <c r="QA61" i="5"/>
  <c r="PT61" i="5"/>
  <c r="QJ61" i="5"/>
  <c r="PY61" i="5"/>
  <c r="PJ61" i="5"/>
  <c r="QE61" i="5"/>
  <c r="PV61" i="5"/>
  <c r="PW61" i="5"/>
  <c r="PR61" i="5"/>
  <c r="PX61" i="5"/>
  <c r="QD61" i="5"/>
  <c r="QK61" i="5"/>
  <c r="QH61" i="5"/>
  <c r="QN61" i="5"/>
  <c r="PO61" i="5"/>
  <c r="QG61" i="5"/>
  <c r="QM61" i="5"/>
  <c r="PK37" i="5"/>
  <c r="QA37" i="5"/>
  <c r="QQ37" i="5"/>
  <c r="QB37" i="5"/>
  <c r="PR37" i="5"/>
  <c r="QN37" i="5"/>
  <c r="PP37" i="5"/>
  <c r="PJ37" i="5"/>
  <c r="QO37" i="5"/>
  <c r="PS37" i="5"/>
  <c r="QI37" i="5"/>
  <c r="PQ37" i="5"/>
  <c r="QL37" i="5"/>
  <c r="QC37" i="5"/>
  <c r="PY37" i="5"/>
  <c r="QK37" i="5"/>
  <c r="PT37" i="5"/>
  <c r="QM37" i="5"/>
  <c r="PM37" i="5"/>
  <c r="QJ37" i="5"/>
  <c r="PU37" i="5"/>
  <c r="PW37" i="5"/>
  <c r="PV37" i="5"/>
  <c r="QH37" i="5"/>
  <c r="QD37" i="5"/>
  <c r="PL13" i="5"/>
  <c r="QB13" i="5"/>
  <c r="PK13" i="5"/>
  <c r="QG13" i="5"/>
  <c r="PR13" i="5"/>
  <c r="QM13" i="5"/>
  <c r="PU13" i="5"/>
  <c r="PJ13" i="5"/>
  <c r="QE13" i="5"/>
  <c r="PT13" i="5"/>
  <c r="QJ13" i="5"/>
  <c r="PV13" i="5"/>
  <c r="QQ13" i="5"/>
  <c r="QC13" i="5"/>
  <c r="PY13" i="5"/>
  <c r="PZ13" i="5"/>
  <c r="PO13" i="5"/>
  <c r="PX13" i="5"/>
  <c r="QA13" i="5"/>
  <c r="QH13" i="5"/>
  <c r="QP13" i="5"/>
  <c r="QN13" i="5"/>
  <c r="PM13" i="5"/>
  <c r="QI13" i="5"/>
  <c r="PS13" i="5"/>
  <c r="PJ119" i="5"/>
  <c r="PZ119" i="5"/>
  <c r="QP119" i="5"/>
  <c r="QE119" i="5"/>
  <c r="PP119" i="5"/>
  <c r="QK119" i="5"/>
  <c r="QI119" i="5"/>
  <c r="PQ119" i="5"/>
  <c r="PL119" i="5"/>
  <c r="PR119" i="5"/>
  <c r="QH119" i="5"/>
  <c r="PT119" i="5"/>
  <c r="QO119" i="5"/>
  <c r="QA119" i="5"/>
  <c r="PM119" i="5"/>
  <c r="QC119" i="5"/>
  <c r="PW119" i="5"/>
  <c r="QL119" i="5"/>
  <c r="PK119" i="5"/>
  <c r="PX119" i="5"/>
  <c r="QB119" i="5"/>
  <c r="PV119" i="5"/>
  <c r="PY119" i="5"/>
  <c r="QF119" i="5"/>
  <c r="QN119" i="5"/>
  <c r="PJ103" i="5"/>
  <c r="PZ103" i="5"/>
  <c r="QP103" i="5"/>
  <c r="QE103" i="5"/>
  <c r="PP103" i="5"/>
  <c r="QK103" i="5"/>
  <c r="QI103" i="5"/>
  <c r="PS103" i="5"/>
  <c r="PW103" i="5"/>
  <c r="PR103" i="5"/>
  <c r="QH103" i="5"/>
  <c r="PT103" i="5"/>
  <c r="QO103" i="5"/>
  <c r="QA103" i="5"/>
  <c r="PM103" i="5"/>
  <c r="QB103" i="5"/>
  <c r="QN103" i="5"/>
  <c r="PV103" i="5"/>
  <c r="PY103" i="5"/>
  <c r="QF103" i="5"/>
  <c r="QM103" i="5"/>
  <c r="QL103" i="5"/>
  <c r="PK103" i="5"/>
  <c r="PX103" i="5"/>
  <c r="PL103" i="5"/>
  <c r="PL79" i="5"/>
  <c r="QB79" i="5"/>
  <c r="PM79" i="5"/>
  <c r="QC79" i="5"/>
  <c r="PN79" i="5"/>
  <c r="PR79" i="5"/>
  <c r="PS79" i="5"/>
  <c r="PW79" i="5"/>
  <c r="PZ79" i="5"/>
  <c r="PT79" i="5"/>
  <c r="QJ79" i="5"/>
  <c r="PU79" i="5"/>
  <c r="QK79" i="5"/>
  <c r="QD79" i="5"/>
  <c r="QM79" i="5"/>
  <c r="QP79" i="5"/>
  <c r="QQ79" i="5"/>
  <c r="QN79" i="5"/>
  <c r="QO79" i="5"/>
  <c r="PJ79" i="5"/>
  <c r="PO79" i="5"/>
  <c r="PX79" i="5"/>
  <c r="PY79" i="5"/>
  <c r="QL79" i="5"/>
  <c r="PK79" i="5"/>
  <c r="PK55" i="5"/>
  <c r="QA55" i="5"/>
  <c r="QQ55" i="5"/>
  <c r="QC55" i="5"/>
  <c r="PT55" i="5"/>
  <c r="PN55" i="5"/>
  <c r="QP55" i="5"/>
  <c r="PY55" i="5"/>
  <c r="QD55" i="5"/>
  <c r="PS55" i="5"/>
  <c r="QI55" i="5"/>
  <c r="PR55" i="5"/>
  <c r="QN55" i="5"/>
  <c r="QG55" i="5"/>
  <c r="QB55" i="5"/>
  <c r="QK55" i="5"/>
  <c r="PP55" i="5"/>
  <c r="PW55" i="5"/>
  <c r="PX55" i="5"/>
  <c r="QO55" i="5"/>
  <c r="PJ55" i="5"/>
  <c r="QM55" i="5"/>
  <c r="CO55" i="5" s="1"/>
  <c r="HH55" i="5" s="1"/>
  <c r="PL55" i="5"/>
  <c r="QJ55" i="5"/>
  <c r="PQ55" i="5"/>
  <c r="PL5" i="5"/>
  <c r="QB5" i="5"/>
  <c r="PM5" i="5"/>
  <c r="QC5" i="5"/>
  <c r="PJ5" i="5"/>
  <c r="QP5" i="5"/>
  <c r="QI5" i="5"/>
  <c r="PW5" i="5"/>
  <c r="QE5" i="5"/>
  <c r="PT5" i="5"/>
  <c r="QJ5" i="5"/>
  <c r="PU5" i="5"/>
  <c r="QK5" i="5"/>
  <c r="PZ5" i="5"/>
  <c r="PS5" i="5"/>
  <c r="PN5" i="5"/>
  <c r="QM5" i="5"/>
  <c r="PX5" i="5"/>
  <c r="PY5" i="5"/>
  <c r="QH5" i="5"/>
  <c r="QD5" i="5"/>
  <c r="QN5" i="5"/>
  <c r="QO5" i="5"/>
  <c r="QA5" i="5"/>
  <c r="PV5" i="5"/>
  <c r="PL118" i="5"/>
  <c r="QB118" i="5"/>
  <c r="PK118" i="5"/>
  <c r="QG118" i="5"/>
  <c r="PR118" i="5"/>
  <c r="QM118" i="5"/>
  <c r="PJ118" i="5"/>
  <c r="QD118" i="5"/>
  <c r="QO118" i="5"/>
  <c r="PT118" i="5"/>
  <c r="QJ118" i="5"/>
  <c r="PV118" i="5"/>
  <c r="QQ118" i="5"/>
  <c r="QC118" i="5"/>
  <c r="PZ118" i="5"/>
  <c r="QE118" i="5"/>
  <c r="CO118" i="5" s="1"/>
  <c r="HH118" i="5" s="1"/>
  <c r="QI118" i="5"/>
  <c r="QN118" i="5"/>
  <c r="PM118" i="5"/>
  <c r="QK118" i="5"/>
  <c r="PS118" i="5"/>
  <c r="PX118" i="5"/>
  <c r="QA118" i="5"/>
  <c r="QH118" i="5"/>
  <c r="QP118" i="5"/>
  <c r="PL106" i="5"/>
  <c r="QB106" i="5"/>
  <c r="PN106" i="5"/>
  <c r="QI106" i="5"/>
  <c r="PU106" i="5"/>
  <c r="QP106" i="5"/>
  <c r="PK106" i="5"/>
  <c r="PM106" i="5"/>
  <c r="PQ106" i="5"/>
  <c r="PT106" i="5"/>
  <c r="QJ106" i="5"/>
  <c r="PY106" i="5"/>
  <c r="PJ106" i="5"/>
  <c r="QE106" i="5"/>
  <c r="QC106" i="5"/>
  <c r="QG106" i="5"/>
  <c r="QH106" i="5"/>
  <c r="PX106" i="5"/>
  <c r="QD106" i="5"/>
  <c r="QK106" i="5"/>
  <c r="QQ106" i="5"/>
  <c r="QN106" i="5"/>
  <c r="PO106" i="5"/>
  <c r="QM106" i="5"/>
  <c r="QL106" i="5"/>
  <c r="PV82" i="5"/>
  <c r="QL82" i="5"/>
  <c r="PS82" i="5"/>
  <c r="QI82" i="5"/>
  <c r="PX82" i="5"/>
  <c r="PU82" i="5"/>
  <c r="QJ82" i="5"/>
  <c r="QC82" i="5"/>
  <c r="PN82" i="5"/>
  <c r="QD82" i="5"/>
  <c r="PK82" i="5"/>
  <c r="QA82" i="5"/>
  <c r="QQ82" i="5"/>
  <c r="QN82" i="5"/>
  <c r="PM82" i="5"/>
  <c r="QO82" i="5"/>
  <c r="PQ82" i="5"/>
  <c r="QH82" i="5"/>
  <c r="QE82" i="5"/>
  <c r="PL82" i="5"/>
  <c r="QB82" i="5"/>
  <c r="CO82" i="5" s="1"/>
  <c r="HH82" i="5" s="1"/>
  <c r="PR82" i="5"/>
  <c r="PO82" i="5"/>
  <c r="PP82" i="5"/>
  <c r="PY82" i="5"/>
  <c r="PR74" i="5"/>
  <c r="QH74" i="5"/>
  <c r="CO74" i="5" s="1"/>
  <c r="HH74" i="5" s="1"/>
  <c r="PO74" i="5"/>
  <c r="QE74" i="5"/>
  <c r="PP74" i="5"/>
  <c r="PQ74" i="5"/>
  <c r="PT74" i="5"/>
  <c r="PL74" i="5"/>
  <c r="PJ74" i="5"/>
  <c r="PZ74" i="5"/>
  <c r="QP74" i="5"/>
  <c r="PW74" i="5"/>
  <c r="QM74" i="5"/>
  <c r="QF74" i="5"/>
  <c r="QG74" i="5"/>
  <c r="PU74" i="5"/>
  <c r="PM74" i="5"/>
  <c r="PN74" i="5"/>
  <c r="PK74" i="5"/>
  <c r="QQ74" i="5"/>
  <c r="QO74" i="5"/>
  <c r="QC74" i="5"/>
  <c r="QD74" i="5"/>
  <c r="QA74" i="5"/>
  <c r="QN74" i="5"/>
  <c r="QK74" i="5"/>
  <c r="PN66" i="5"/>
  <c r="QD66" i="5"/>
  <c r="PK66" i="5"/>
  <c r="QA66" i="5"/>
  <c r="QQ66" i="5"/>
  <c r="QN66" i="5"/>
  <c r="QO66" i="5"/>
  <c r="QK66" i="5"/>
  <c r="QC66" i="5"/>
  <c r="PV66" i="5"/>
  <c r="QL66" i="5"/>
  <c r="PS66" i="5"/>
  <c r="QI66" i="5"/>
  <c r="PX66" i="5"/>
  <c r="PY66" i="5"/>
  <c r="QJ66" i="5"/>
  <c r="CO66" i="5" s="1"/>
  <c r="HH66" i="5" s="1"/>
  <c r="QB66" i="5"/>
  <c r="PZ66" i="5"/>
  <c r="PW66" i="5"/>
  <c r="QF66" i="5"/>
  <c r="PU66" i="5"/>
  <c r="PJ66" i="5"/>
  <c r="QP66" i="5"/>
  <c r="QM66" i="5"/>
  <c r="QG66" i="5"/>
  <c r="PM66" i="5"/>
  <c r="PM58" i="5"/>
  <c r="QC58" i="5"/>
  <c r="PL58" i="5"/>
  <c r="QH58" i="5"/>
  <c r="PX58" i="5"/>
  <c r="PS58" i="5"/>
  <c r="PT58" i="5"/>
  <c r="QA58" i="5"/>
  <c r="QQ58" i="5"/>
  <c r="PU58" i="5"/>
  <c r="QK58" i="5"/>
  <c r="PW58" i="5"/>
  <c r="PJ58" i="5"/>
  <c r="QL58" i="5"/>
  <c r="QF58" i="5"/>
  <c r="PV58" i="5"/>
  <c r="PN58" i="5"/>
  <c r="QO58" i="5"/>
  <c r="PP58" i="5"/>
  <c r="QN58" i="5"/>
  <c r="QP58" i="5"/>
  <c r="PY58" i="5"/>
  <c r="QB58" i="5"/>
  <c r="PK58" i="5"/>
  <c r="QJ58" i="5"/>
  <c r="PY50" i="5"/>
  <c r="QO50" i="5"/>
  <c r="QB50" i="5"/>
  <c r="PS50" i="5"/>
  <c r="PN50" i="5"/>
  <c r="QP50" i="5"/>
  <c r="PX50" i="5"/>
  <c r="PP50" i="5"/>
  <c r="PQ50" i="5"/>
  <c r="QG50" i="5"/>
  <c r="PR50" i="5"/>
  <c r="QM50" i="5"/>
  <c r="QF50" i="5"/>
  <c r="QA50" i="5"/>
  <c r="QJ50" i="5"/>
  <c r="PO50" i="5"/>
  <c r="QE50" i="5"/>
  <c r="PU50" i="5"/>
  <c r="PW50" i="5"/>
  <c r="QN50" i="5"/>
  <c r="PJ50" i="5"/>
  <c r="QK50" i="5"/>
  <c r="PK50" i="5"/>
  <c r="QI50" i="5"/>
  <c r="QQ50" i="5"/>
  <c r="CO50" i="5" s="1"/>
  <c r="HH50" i="5" s="1"/>
  <c r="QI113" i="5"/>
  <c r="QE113" i="5"/>
  <c r="PS113" i="5"/>
  <c r="QM113" i="5"/>
  <c r="PQ113" i="5"/>
  <c r="QF113" i="5"/>
  <c r="PK113" i="5"/>
  <c r="QD113" i="5"/>
  <c r="QC105" i="5"/>
  <c r="QI105" i="5"/>
  <c r="QE105" i="5"/>
  <c r="QB105" i="5"/>
  <c r="QQ105" i="5"/>
  <c r="PU105" i="5"/>
  <c r="QL105" i="5"/>
  <c r="PQ89" i="5"/>
  <c r="PK89" i="5"/>
  <c r="QG89" i="5"/>
  <c r="QD89" i="5"/>
  <c r="QI89" i="5"/>
  <c r="QM89" i="5"/>
  <c r="PR89" i="5"/>
  <c r="QF89" i="5"/>
  <c r="PV81" i="5"/>
  <c r="PK81" i="5"/>
  <c r="QI81" i="5"/>
  <c r="QH81" i="5"/>
  <c r="QO81" i="5"/>
  <c r="PY81" i="5"/>
  <c r="QN81" i="5"/>
  <c r="PO73" i="5"/>
  <c r="QM73" i="5"/>
  <c r="QQ73" i="5"/>
  <c r="PK73" i="5"/>
  <c r="PR73" i="5"/>
  <c r="QG73" i="5"/>
  <c r="PQ73" i="5"/>
  <c r="QF73" i="5"/>
  <c r="QK49" i="5"/>
  <c r="QC49" i="5"/>
  <c r="PM49" i="5"/>
  <c r="PR49" i="5"/>
  <c r="PX49" i="5"/>
  <c r="QJ49" i="5"/>
  <c r="PN49" i="5"/>
  <c r="QE49" i="5"/>
  <c r="PM41" i="5"/>
  <c r="QN41" i="5"/>
  <c r="QB41" i="5"/>
  <c r="QF41" i="5"/>
  <c r="PJ41" i="5"/>
  <c r="PY41" i="5"/>
  <c r="QM41" i="5"/>
  <c r="QE115" i="5"/>
  <c r="QJ115" i="5"/>
  <c r="QF115" i="5"/>
  <c r="QI115" i="5"/>
  <c r="PM115" i="5"/>
  <c r="PW115" i="5"/>
  <c r="QL115" i="5"/>
  <c r="QE83" i="5"/>
  <c r="PO83" i="5"/>
  <c r="QH83" i="5"/>
  <c r="QM83" i="5"/>
  <c r="PJ83" i="5"/>
  <c r="PY83" i="5"/>
  <c r="QN83" i="5"/>
  <c r="QQ67" i="5"/>
  <c r="QI67" i="5"/>
  <c r="QM67" i="5"/>
  <c r="QL67" i="5"/>
  <c r="QO67" i="5"/>
  <c r="PY67" i="5"/>
  <c r="QN67" i="5"/>
  <c r="QG59" i="5"/>
  <c r="QP59" i="5"/>
  <c r="PQ59" i="5"/>
  <c r="QO59" i="5"/>
  <c r="PS59" i="5"/>
  <c r="QC59" i="5"/>
  <c r="QN59" i="5"/>
  <c r="PX59" i="5"/>
  <c r="QN51" i="5"/>
  <c r="PR51" i="5"/>
  <c r="QC51" i="5"/>
  <c r="QH51" i="5"/>
  <c r="QP51" i="5"/>
  <c r="PU51" i="5"/>
  <c r="QM51" i="5"/>
  <c r="QD43" i="5"/>
  <c r="QN43" i="5"/>
  <c r="PN43" i="5"/>
  <c r="QL43" i="5"/>
  <c r="PQ43" i="5"/>
  <c r="QF43" i="5"/>
  <c r="PJ43" i="5"/>
  <c r="QE43" i="5"/>
  <c r="QJ35" i="5"/>
  <c r="QO35" i="5"/>
  <c r="QC35" i="5"/>
  <c r="QB35" i="5"/>
  <c r="QP35" i="5"/>
  <c r="PU35" i="5"/>
  <c r="QM35" i="5"/>
  <c r="QB27" i="5"/>
  <c r="QN27" i="5"/>
  <c r="QH27" i="5"/>
  <c r="PX27" i="5"/>
  <c r="QD27" i="5"/>
  <c r="QL27" i="5"/>
  <c r="PP27" i="5"/>
  <c r="QG27" i="5"/>
  <c r="QN19" i="5"/>
  <c r="PL19" i="5"/>
  <c r="PJ19" i="5"/>
  <c r="QP19" i="5"/>
  <c r="PM19" i="5"/>
  <c r="PY19" i="5"/>
  <c r="QM19" i="5"/>
  <c r="QC116" i="5"/>
  <c r="QI116" i="5"/>
  <c r="PM116" i="5"/>
  <c r="QQ116" i="5"/>
  <c r="PV116" i="5"/>
  <c r="QK116" i="5"/>
  <c r="PO116" i="5"/>
  <c r="QF116" i="5"/>
  <c r="PO112" i="5"/>
  <c r="PK112" i="5"/>
  <c r="PJ112" i="5"/>
  <c r="QO112" i="5"/>
  <c r="PS112" i="5"/>
  <c r="QC112" i="5"/>
  <c r="QN112" i="5"/>
  <c r="QC76" i="5"/>
  <c r="QJ76" i="5"/>
  <c r="QA76" i="5"/>
  <c r="QD76" i="5"/>
  <c r="QN68" i="5"/>
  <c r="PU68" i="5"/>
  <c r="QI68" i="5"/>
  <c r="QG64" i="5"/>
  <c r="QK64" i="5"/>
  <c r="QI64" i="5"/>
  <c r="QC64" i="5"/>
  <c r="PN64" i="5"/>
  <c r="QM56" i="5"/>
  <c r="PW56" i="5"/>
  <c r="QL56" i="5"/>
  <c r="QG56" i="5"/>
  <c r="QN48" i="5"/>
  <c r="QM48" i="5"/>
  <c r="CO48" i="5" s="1"/>
  <c r="HH48" i="5" s="1"/>
  <c r="PO48" i="5"/>
  <c r="QP40" i="5"/>
  <c r="QH40" i="5"/>
  <c r="QA40" i="5"/>
  <c r="PW36" i="5"/>
  <c r="PP36" i="5"/>
  <c r="QN36" i="5"/>
  <c r="QG36" i="5"/>
  <c r="CO36" i="5" s="1"/>
  <c r="HH36" i="5" s="1"/>
  <c r="QP32" i="5"/>
  <c r="QN32" i="5"/>
  <c r="PP32" i="5"/>
  <c r="QN24" i="5"/>
  <c r="QD24" i="5"/>
  <c r="QB24" i="5"/>
  <c r="PO24" i="5"/>
  <c r="PQ24" i="5"/>
  <c r="QN8" i="5"/>
  <c r="PX8" i="5"/>
  <c r="QQ8" i="5"/>
  <c r="QO4" i="5"/>
  <c r="QK4" i="5"/>
  <c r="QQ4" i="5"/>
  <c r="PK4" i="5"/>
  <c r="PN4" i="5"/>
  <c r="PU117" i="5"/>
  <c r="QJ117" i="5"/>
  <c r="PX117" i="5"/>
  <c r="PV117" i="5"/>
  <c r="QM109" i="5"/>
  <c r="PL109" i="5"/>
  <c r="QI109" i="5"/>
  <c r="QM85" i="5"/>
  <c r="QA85" i="5"/>
  <c r="QC85" i="5"/>
  <c r="QA77" i="5"/>
  <c r="QG77" i="5"/>
  <c r="QL69" i="5"/>
  <c r="QC61" i="5"/>
  <c r="PZ61" i="5"/>
  <c r="PP61" i="5"/>
  <c r="PN37" i="5"/>
  <c r="QE37" i="5"/>
  <c r="PR21" i="5"/>
  <c r="QK13" i="5"/>
  <c r="PQ13" i="5"/>
  <c r="QL7" i="5"/>
  <c r="QM119" i="5"/>
  <c r="QJ119" i="5"/>
  <c r="QM111" i="5"/>
  <c r="QG103" i="5"/>
  <c r="PU103" i="5"/>
  <c r="PN103" i="5"/>
  <c r="QA79" i="5"/>
  <c r="QF79" i="5"/>
  <c r="QC63" i="5"/>
  <c r="PV55" i="5"/>
  <c r="PM55" i="5"/>
  <c r="QL5" i="5"/>
  <c r="PR5" i="5"/>
  <c r="PP5" i="5"/>
  <c r="QK122" i="5"/>
  <c r="PO118" i="5"/>
  <c r="QF118" i="5"/>
  <c r="QE110" i="5"/>
  <c r="PV106" i="5"/>
  <c r="PS106" i="5"/>
  <c r="QL98" i="5"/>
  <c r="PT82" i="5"/>
  <c r="PW82" i="5"/>
  <c r="PY78" i="5"/>
  <c r="PY74" i="5"/>
  <c r="QL74" i="5"/>
  <c r="PQ70" i="5"/>
  <c r="PP66" i="5"/>
  <c r="PR66" i="5"/>
  <c r="QD58" i="5"/>
  <c r="QM58" i="5"/>
  <c r="PV50" i="5"/>
  <c r="PL50" i="5"/>
  <c r="QI46" i="5"/>
  <c r="PJ68" i="5"/>
  <c r="PZ68" i="5"/>
  <c r="QP68" i="5"/>
  <c r="PW68" i="5"/>
  <c r="QM68" i="5"/>
  <c r="QB68" i="5"/>
  <c r="QC68" i="5"/>
  <c r="PQ68" i="5"/>
  <c r="PY68" i="5"/>
  <c r="PR68" i="5"/>
  <c r="QH68" i="5"/>
  <c r="PO68" i="5"/>
  <c r="QE68" i="5"/>
  <c r="PL68" i="5"/>
  <c r="PM68" i="5"/>
  <c r="PP68" i="5"/>
  <c r="PX68" i="5"/>
  <c r="PM48" i="5"/>
  <c r="QC48" i="5"/>
  <c r="PK48" i="5"/>
  <c r="QF48" i="5"/>
  <c r="PW48" i="5"/>
  <c r="PR48" i="5"/>
  <c r="PS48" i="5"/>
  <c r="PZ48" i="5"/>
  <c r="QP48" i="5"/>
  <c r="PU48" i="5"/>
  <c r="QK48" i="5"/>
  <c r="PV48" i="5"/>
  <c r="QQ48" i="5"/>
  <c r="QJ48" i="5"/>
  <c r="QE48" i="5"/>
  <c r="PT48" i="5"/>
  <c r="PL48" i="5"/>
  <c r="PM40" i="5"/>
  <c r="QC40" i="5"/>
  <c r="PK40" i="5"/>
  <c r="QF40" i="5"/>
  <c r="PR40" i="5"/>
  <c r="QM40" i="5"/>
  <c r="PJ40" i="5"/>
  <c r="PN40" i="5"/>
  <c r="PX40" i="5"/>
  <c r="PU40" i="5"/>
  <c r="QK40" i="5"/>
  <c r="PV40" i="5"/>
  <c r="QQ40" i="5"/>
  <c r="QB40" i="5"/>
  <c r="QD40" i="5"/>
  <c r="QE40" i="5"/>
  <c r="PO40" i="5"/>
  <c r="PK32" i="5"/>
  <c r="QA32" i="5"/>
  <c r="QQ32" i="5"/>
  <c r="QB32" i="5"/>
  <c r="PX32" i="5"/>
  <c r="PR32" i="5"/>
  <c r="PT32" i="5"/>
  <c r="PM32" i="5"/>
  <c r="PZ32" i="5"/>
  <c r="PS32" i="5"/>
  <c r="QI32" i="5"/>
  <c r="PQ32" i="5"/>
  <c r="QL32" i="5"/>
  <c r="QK32" i="5"/>
  <c r="QF32" i="5"/>
  <c r="PU32" i="5"/>
  <c r="PN32" i="5"/>
  <c r="PJ8" i="5"/>
  <c r="PZ8" i="5"/>
  <c r="QP8" i="5"/>
  <c r="QA8" i="5"/>
  <c r="PL8" i="5"/>
  <c r="QG8" i="5"/>
  <c r="QI8" i="5"/>
  <c r="QO8" i="5"/>
  <c r="PO8" i="5"/>
  <c r="PR8" i="5"/>
  <c r="QH8" i="5"/>
  <c r="PP8" i="5"/>
  <c r="QK8" i="5"/>
  <c r="PW8" i="5"/>
  <c r="PM8" i="5"/>
  <c r="QJ8" i="5"/>
  <c r="QE8" i="5"/>
  <c r="PR109" i="5"/>
  <c r="QH109" i="5"/>
  <c r="PS109" i="5"/>
  <c r="QN109" i="5"/>
  <c r="QE109" i="5"/>
  <c r="CO109" i="5" s="1"/>
  <c r="HH109" i="5" s="1"/>
  <c r="PW109" i="5"/>
  <c r="QK109" i="5"/>
  <c r="PU109" i="5"/>
  <c r="PJ109" i="5"/>
  <c r="PZ109" i="5"/>
  <c r="QP109" i="5"/>
  <c r="QC109" i="5"/>
  <c r="PT109" i="5"/>
  <c r="QO109" i="5"/>
  <c r="PP109" i="5"/>
  <c r="QB109" i="5"/>
  <c r="QQ109" i="5"/>
  <c r="PT85" i="5"/>
  <c r="QJ85" i="5"/>
  <c r="PL85" i="5"/>
  <c r="QB85" i="5"/>
  <c r="QF85" i="5"/>
  <c r="PU85" i="5"/>
  <c r="QP85" i="5"/>
  <c r="QI85" i="5"/>
  <c r="QD85" i="5"/>
  <c r="QO85" i="5"/>
  <c r="QH85" i="5"/>
  <c r="PP85" i="5"/>
  <c r="PJ85" i="5"/>
  <c r="QE85" i="5"/>
  <c r="PV85" i="5"/>
  <c r="CO85" i="5" s="1"/>
  <c r="HH85" i="5" s="1"/>
  <c r="PQ85" i="5"/>
  <c r="PM85" i="5"/>
  <c r="QG85" i="5"/>
  <c r="PY85" i="5"/>
  <c r="PT69" i="5"/>
  <c r="QJ69" i="5"/>
  <c r="PU69" i="5"/>
  <c r="QK69" i="5"/>
  <c r="PZ69" i="5"/>
  <c r="PS69" i="5"/>
  <c r="PN69" i="5"/>
  <c r="PV69" i="5"/>
  <c r="PL69" i="5"/>
  <c r="QB69" i="5"/>
  <c r="PM69" i="5"/>
  <c r="QC69" i="5"/>
  <c r="PJ69" i="5"/>
  <c r="QP69" i="5"/>
  <c r="QI69" i="5"/>
  <c r="PO69" i="5"/>
  <c r="QM69" i="5"/>
  <c r="PP69" i="5"/>
  <c r="PQ69" i="5"/>
  <c r="PR69" i="5"/>
  <c r="QQ69" i="5"/>
  <c r="PW69" i="5"/>
  <c r="QF69" i="5"/>
  <c r="QG69" i="5"/>
  <c r="PK69" i="5"/>
  <c r="QE69" i="5"/>
  <c r="PS21" i="5"/>
  <c r="QI21" i="5"/>
  <c r="PP21" i="5"/>
  <c r="QK21" i="5"/>
  <c r="QD21" i="5"/>
  <c r="QH21" i="5"/>
  <c r="PT21" i="5"/>
  <c r="PL21" i="5"/>
  <c r="PK21" i="5"/>
  <c r="QA21" i="5"/>
  <c r="QQ21" i="5"/>
  <c r="PZ21" i="5"/>
  <c r="PQ21" i="5"/>
  <c r="PN21" i="5"/>
  <c r="QB21" i="5"/>
  <c r="PV21" i="5"/>
  <c r="QC21" i="5"/>
  <c r="PO21" i="5"/>
  <c r="PJ21" i="5"/>
  <c r="PX21" i="5"/>
  <c r="QJ21" i="5"/>
  <c r="QG21" i="5"/>
  <c r="QE21" i="5"/>
  <c r="QF21" i="5"/>
  <c r="PY21" i="5"/>
  <c r="QO21" i="5"/>
  <c r="PT7" i="5"/>
  <c r="QJ7" i="5"/>
  <c r="PW7" i="5"/>
  <c r="PN7" i="5"/>
  <c r="QI7" i="5"/>
  <c r="QK7" i="5"/>
  <c r="PU7" i="5"/>
  <c r="QE7" i="5"/>
  <c r="PL7" i="5"/>
  <c r="QB7" i="5"/>
  <c r="PM7" i="5"/>
  <c r="QH7" i="5"/>
  <c r="PY7" i="5"/>
  <c r="PO7" i="5"/>
  <c r="QA7" i="5"/>
  <c r="PV7" i="5"/>
  <c r="PJ7" i="5"/>
  <c r="QF7" i="5"/>
  <c r="QM7" i="5"/>
  <c r="PZ7" i="5"/>
  <c r="QQ7" i="5"/>
  <c r="PP7" i="5"/>
  <c r="PR7" i="5"/>
  <c r="QD7" i="5"/>
  <c r="QP7" i="5"/>
  <c r="PQ7" i="5"/>
  <c r="PR111" i="5"/>
  <c r="QH111" i="5"/>
  <c r="PT111" i="5"/>
  <c r="QO111" i="5"/>
  <c r="QA111" i="5"/>
  <c r="PS111" i="5"/>
  <c r="PW111" i="5"/>
  <c r="QI111" i="5"/>
  <c r="PJ111" i="5"/>
  <c r="PZ111" i="5"/>
  <c r="QP111" i="5"/>
  <c r="QE111" i="5"/>
  <c r="PP111" i="5"/>
  <c r="QK111" i="5"/>
  <c r="QN111" i="5"/>
  <c r="PM111" i="5"/>
  <c r="PQ111" i="5"/>
  <c r="PN111" i="5"/>
  <c r="PO111" i="5"/>
  <c r="PU111" i="5"/>
  <c r="PL111" i="5"/>
  <c r="QB111" i="5"/>
  <c r="QD111" i="5"/>
  <c r="QJ111" i="5"/>
  <c r="QQ111" i="5"/>
  <c r="PX111" i="5"/>
  <c r="PT63" i="5"/>
  <c r="QJ63" i="5"/>
  <c r="PU63" i="5"/>
  <c r="QP63" i="5"/>
  <c r="QA63" i="5"/>
  <c r="PR63" i="5"/>
  <c r="QD63" i="5"/>
  <c r="PN63" i="5"/>
  <c r="PL63" i="5"/>
  <c r="QB63" i="5"/>
  <c r="PJ63" i="5"/>
  <c r="QE63" i="5"/>
  <c r="PQ63" i="5"/>
  <c r="QL63" i="5"/>
  <c r="QM63" i="5"/>
  <c r="PM63" i="5"/>
  <c r="PW63" i="5"/>
  <c r="PP63" i="5"/>
  <c r="PO63" i="5"/>
  <c r="PV63" i="5"/>
  <c r="PS63" i="5"/>
  <c r="PY63" i="5"/>
  <c r="QF63" i="5"/>
  <c r="QK63" i="5"/>
  <c r="QQ63" i="5"/>
  <c r="QH63" i="5"/>
  <c r="PT122" i="5"/>
  <c r="QJ122" i="5"/>
  <c r="PY122" i="5"/>
  <c r="PJ122" i="5"/>
  <c r="QE122" i="5"/>
  <c r="QC122" i="5"/>
  <c r="QH122" i="5"/>
  <c r="PK122" i="5"/>
  <c r="PL122" i="5"/>
  <c r="QB122" i="5"/>
  <c r="PN122" i="5"/>
  <c r="QI122" i="5"/>
  <c r="PU122" i="5"/>
  <c r="QP122" i="5"/>
  <c r="PM122" i="5"/>
  <c r="QQ122" i="5"/>
  <c r="PQ122" i="5"/>
  <c r="QF122" i="5"/>
  <c r="QO122" i="5"/>
  <c r="PR122" i="5"/>
  <c r="QA122" i="5"/>
  <c r="PP122" i="5"/>
  <c r="PS122" i="5"/>
  <c r="PZ122" i="5"/>
  <c r="PW122" i="5"/>
  <c r="QL122" i="5"/>
  <c r="PT110" i="5"/>
  <c r="QJ110" i="5"/>
  <c r="PV110" i="5"/>
  <c r="QQ110" i="5"/>
  <c r="QC110" i="5"/>
  <c r="PU110" i="5"/>
  <c r="PY110" i="5"/>
  <c r="QK110" i="5"/>
  <c r="PL110" i="5"/>
  <c r="QB110" i="5"/>
  <c r="PK110" i="5"/>
  <c r="QG110" i="5"/>
  <c r="PR110" i="5"/>
  <c r="QM110" i="5"/>
  <c r="QP110" i="5"/>
  <c r="PO110" i="5"/>
  <c r="QO110" i="5"/>
  <c r="PP110" i="5"/>
  <c r="PQ110" i="5"/>
  <c r="PW110" i="5"/>
  <c r="PN110" i="5"/>
  <c r="PS110" i="5"/>
  <c r="QF110" i="5"/>
  <c r="QL110" i="5"/>
  <c r="PJ110" i="5"/>
  <c r="PZ110" i="5"/>
  <c r="PK98" i="5"/>
  <c r="QB98" i="5"/>
  <c r="CO98" i="5" s="1"/>
  <c r="HH98" i="5" s="1"/>
  <c r="PM98" i="5"/>
  <c r="QI98" i="5"/>
  <c r="PZ98" i="5"/>
  <c r="PL98" i="5"/>
  <c r="QA98" i="5"/>
  <c r="QM98" i="5"/>
  <c r="PJ98" i="5"/>
  <c r="PT98" i="5"/>
  <c r="QJ98" i="5"/>
  <c r="PY98" i="5"/>
  <c r="PO98" i="5"/>
  <c r="QK98" i="5"/>
  <c r="QH98" i="5"/>
  <c r="PR98" i="5"/>
  <c r="QG98" i="5"/>
  <c r="PX98" i="5"/>
  <c r="QD98" i="5"/>
  <c r="QP98" i="5"/>
  <c r="QC98" i="5"/>
  <c r="PN98" i="5"/>
  <c r="QN98" i="5"/>
  <c r="PU98" i="5"/>
  <c r="PQ98" i="5"/>
  <c r="QQ98" i="5"/>
  <c r="PN78" i="5"/>
  <c r="QH78" i="5"/>
  <c r="PS78" i="5"/>
  <c r="QQ78" i="5"/>
  <c r="PT78" i="5"/>
  <c r="QG78" i="5"/>
  <c r="QK78" i="5"/>
  <c r="PV78" i="5"/>
  <c r="PK78" i="5"/>
  <c r="QE78" i="5"/>
  <c r="PX78" i="5"/>
  <c r="PL78" i="5"/>
  <c r="QJ78" i="5"/>
  <c r="PO78" i="5"/>
  <c r="QN78" i="5"/>
  <c r="PQ78" i="5"/>
  <c r="QD78" i="5"/>
  <c r="QI78" i="5"/>
  <c r="PU78" i="5"/>
  <c r="QD70" i="5"/>
  <c r="PO70" i="5"/>
  <c r="QI70" i="5"/>
  <c r="QN70" i="5"/>
  <c r="CO70" i="5" s="1"/>
  <c r="HH70" i="5" s="1"/>
  <c r="PL70" i="5"/>
  <c r="QJ70" i="5"/>
  <c r="PR70" i="5"/>
  <c r="QL70" i="5"/>
  <c r="QA70" i="5"/>
  <c r="PP70" i="5"/>
  <c r="PY70" i="5"/>
  <c r="QC70" i="5"/>
  <c r="PV70" i="5"/>
  <c r="QE70" i="5"/>
  <c r="QO70" i="5"/>
  <c r="PK70" i="5"/>
  <c r="PX70" i="5"/>
  <c r="PT70" i="5"/>
  <c r="PQ46" i="5"/>
  <c r="QK46" i="5"/>
  <c r="PZ46" i="5"/>
  <c r="QA46" i="5"/>
  <c r="QB46" i="5"/>
  <c r="PR46" i="5"/>
  <c r="PX46" i="5"/>
  <c r="PY46" i="5"/>
  <c r="PO46" i="5"/>
  <c r="QP46" i="5"/>
  <c r="QN46" i="5"/>
  <c r="PP46" i="5"/>
  <c r="PK46" i="5"/>
  <c r="QG46" i="5"/>
  <c r="PL46" i="5"/>
  <c r="QD46" i="5"/>
  <c r="PT46" i="5"/>
  <c r="PV46" i="5"/>
  <c r="QM46" i="5"/>
  <c r="PU18" i="5"/>
  <c r="QH18" i="5"/>
  <c r="PV18" i="5"/>
  <c r="QI18" i="5"/>
  <c r="QJ18" i="5"/>
  <c r="QQ18" i="5"/>
  <c r="PJ78" i="5"/>
  <c r="PZ78" i="5"/>
  <c r="QP78" i="5"/>
  <c r="PW78" i="5"/>
  <c r="QM78" i="5"/>
  <c r="QF78" i="5"/>
  <c r="QO78" i="5"/>
  <c r="PM78" i="5"/>
  <c r="QB78" i="5"/>
  <c r="PJ70" i="5"/>
  <c r="PZ70" i="5"/>
  <c r="QP70" i="5"/>
  <c r="PW70" i="5"/>
  <c r="QM70" i="5"/>
  <c r="QF70" i="5"/>
  <c r="QG70" i="5"/>
  <c r="PM70" i="5"/>
  <c r="PU70" i="5"/>
  <c r="PM46" i="5"/>
  <c r="QC46" i="5"/>
  <c r="CO46" i="5" s="1"/>
  <c r="HH46" i="5" s="1"/>
  <c r="PJ46" i="5"/>
  <c r="QE46" i="5"/>
  <c r="PS46" i="5"/>
  <c r="PN46" i="5"/>
  <c r="QQ46" i="5"/>
  <c r="QF46" i="5"/>
  <c r="PW46" i="5"/>
  <c r="PM18" i="5"/>
  <c r="QC18" i="5"/>
  <c r="PK18" i="5"/>
  <c r="QF18" i="5"/>
  <c r="PS18" i="5"/>
  <c r="PN18" i="5"/>
  <c r="PO18" i="5"/>
  <c r="PJ18" i="5"/>
  <c r="CO18" i="5" s="1"/>
  <c r="HH18" i="5" s="1"/>
  <c r="PR18" i="5"/>
  <c r="PQ18" i="5"/>
  <c r="QG18" i="5"/>
  <c r="PP18" i="5"/>
  <c r="QL18" i="5"/>
  <c r="PZ18" i="5"/>
  <c r="PW18" i="5"/>
  <c r="PX18" i="5"/>
  <c r="QD18" i="5"/>
  <c r="PT18" i="5"/>
  <c r="PY18" i="5"/>
  <c r="QO18" i="5"/>
  <c r="QA18" i="5"/>
  <c r="PL18" i="5"/>
  <c r="QN18" i="5"/>
  <c r="QP18" i="5"/>
  <c r="QB18" i="5"/>
  <c r="QM18" i="5"/>
  <c r="PJ246" i="5"/>
  <c r="PN246" i="5"/>
  <c r="PR246" i="5"/>
  <c r="PV246" i="5"/>
  <c r="PZ246" i="5"/>
  <c r="QD246" i="5"/>
  <c r="QH246" i="5"/>
  <c r="QL246" i="5"/>
  <c r="QP246" i="5"/>
  <c r="PK246" i="5"/>
  <c r="PO246" i="5"/>
  <c r="PS246" i="5"/>
  <c r="PW246" i="5"/>
  <c r="QA246" i="5"/>
  <c r="QE246" i="5"/>
  <c r="QI246" i="5"/>
  <c r="QM246" i="5"/>
  <c r="QQ246" i="5"/>
  <c r="PL246" i="5"/>
  <c r="PP246" i="5"/>
  <c r="PT246" i="5"/>
  <c r="PX246" i="5"/>
  <c r="QB246" i="5"/>
  <c r="QF246" i="5"/>
  <c r="QJ246" i="5"/>
  <c r="QN246" i="5"/>
  <c r="PM246" i="5"/>
  <c r="PQ246" i="5"/>
  <c r="PU246" i="5"/>
  <c r="PY246" i="5"/>
  <c r="QC246" i="5"/>
  <c r="QG246" i="5"/>
  <c r="QK246" i="5"/>
  <c r="QO246" i="5"/>
  <c r="PJ230" i="5"/>
  <c r="PN230" i="5"/>
  <c r="PR230" i="5"/>
  <c r="PV230" i="5"/>
  <c r="PZ230" i="5"/>
  <c r="QD230" i="5"/>
  <c r="QH230" i="5"/>
  <c r="QL230" i="5"/>
  <c r="QP230" i="5"/>
  <c r="PK230" i="5"/>
  <c r="PO230" i="5"/>
  <c r="PS230" i="5"/>
  <c r="PW230" i="5"/>
  <c r="QA230" i="5"/>
  <c r="QE230" i="5"/>
  <c r="QI230" i="5"/>
  <c r="QM230" i="5"/>
  <c r="QQ230" i="5"/>
  <c r="PL230" i="5"/>
  <c r="PP230" i="5"/>
  <c r="PT230" i="5"/>
  <c r="PX230" i="5"/>
  <c r="QB230" i="5"/>
  <c r="QF230" i="5"/>
  <c r="QJ230" i="5"/>
  <c r="QN230" i="5"/>
  <c r="PM230" i="5"/>
  <c r="PQ230" i="5"/>
  <c r="PU230" i="5"/>
  <c r="PY230" i="5"/>
  <c r="QC230" i="5"/>
  <c r="QG230" i="5"/>
  <c r="QK230" i="5"/>
  <c r="QO230" i="5"/>
  <c r="PM216" i="5"/>
  <c r="PQ216" i="5"/>
  <c r="PU216" i="5"/>
  <c r="PY216" i="5"/>
  <c r="QC216" i="5"/>
  <c r="QG216" i="5"/>
  <c r="QK216" i="5"/>
  <c r="QO216" i="5"/>
  <c r="PJ216" i="5"/>
  <c r="PN216" i="5"/>
  <c r="PR216" i="5"/>
  <c r="PV216" i="5"/>
  <c r="PZ216" i="5"/>
  <c r="QD216" i="5"/>
  <c r="QH216" i="5"/>
  <c r="QL216" i="5"/>
  <c r="QP216" i="5"/>
  <c r="PK216" i="5"/>
  <c r="PO216" i="5"/>
  <c r="PS216" i="5"/>
  <c r="PW216" i="5"/>
  <c r="QA216" i="5"/>
  <c r="QE216" i="5"/>
  <c r="QI216" i="5"/>
  <c r="QM216" i="5"/>
  <c r="QQ216" i="5"/>
  <c r="PT216" i="5"/>
  <c r="QJ216" i="5"/>
  <c r="PX216" i="5"/>
  <c r="QN216" i="5"/>
  <c r="PL216" i="5"/>
  <c r="QB216" i="5"/>
  <c r="PP216" i="5"/>
  <c r="QF216" i="5"/>
  <c r="PM206" i="5"/>
  <c r="PQ206" i="5"/>
  <c r="PU206" i="5"/>
  <c r="PY206" i="5"/>
  <c r="QC206" i="5"/>
  <c r="QG206" i="5"/>
  <c r="QK206" i="5"/>
  <c r="QO206" i="5"/>
  <c r="PJ206" i="5"/>
  <c r="PN206" i="5"/>
  <c r="PR206" i="5"/>
  <c r="PV206" i="5"/>
  <c r="PZ206" i="5"/>
  <c r="QD206" i="5"/>
  <c r="QH206" i="5"/>
  <c r="QL206" i="5"/>
  <c r="QP206" i="5"/>
  <c r="PK206" i="5"/>
  <c r="PO206" i="5"/>
  <c r="PS206" i="5"/>
  <c r="PW206" i="5"/>
  <c r="QA206" i="5"/>
  <c r="QE206" i="5"/>
  <c r="QI206" i="5"/>
  <c r="QM206" i="5"/>
  <c r="QQ206" i="5"/>
  <c r="PL206" i="5"/>
  <c r="PP206" i="5"/>
  <c r="PT206" i="5"/>
  <c r="PX206" i="5"/>
  <c r="QB206" i="5"/>
  <c r="QF206" i="5"/>
  <c r="QJ206" i="5"/>
  <c r="QN206" i="5"/>
  <c r="PJ192" i="5"/>
  <c r="PN192" i="5"/>
  <c r="PR192" i="5"/>
  <c r="PV192" i="5"/>
  <c r="PZ192" i="5"/>
  <c r="QD192" i="5"/>
  <c r="QH192" i="5"/>
  <c r="QL192" i="5"/>
  <c r="QP192" i="5"/>
  <c r="PK192" i="5"/>
  <c r="PO192" i="5"/>
  <c r="PS192" i="5"/>
  <c r="PW192" i="5"/>
  <c r="QA192" i="5"/>
  <c r="QE192" i="5"/>
  <c r="QI192" i="5"/>
  <c r="QM192" i="5"/>
  <c r="QQ192" i="5"/>
  <c r="PL192" i="5"/>
  <c r="PT192" i="5"/>
  <c r="QB192" i="5"/>
  <c r="QJ192" i="5"/>
  <c r="PM192" i="5"/>
  <c r="PU192" i="5"/>
  <c r="QC192" i="5"/>
  <c r="QK192" i="5"/>
  <c r="PP192" i="5"/>
  <c r="PX192" i="5"/>
  <c r="QF192" i="5"/>
  <c r="QN192" i="5"/>
  <c r="PQ192" i="5"/>
  <c r="PY192" i="5"/>
  <c r="QG192" i="5"/>
  <c r="QO192" i="5"/>
  <c r="PK162" i="5"/>
  <c r="PO162" i="5"/>
  <c r="PS162" i="5"/>
  <c r="PW162" i="5"/>
  <c r="QA162" i="5"/>
  <c r="QE162" i="5"/>
  <c r="QI162" i="5"/>
  <c r="QM162" i="5"/>
  <c r="QQ162" i="5"/>
  <c r="PL162" i="5"/>
  <c r="PP162" i="5"/>
  <c r="PT162" i="5"/>
  <c r="PX162" i="5"/>
  <c r="QB162" i="5"/>
  <c r="QF162" i="5"/>
  <c r="QJ162" i="5"/>
  <c r="QN162" i="5"/>
  <c r="PM162" i="5"/>
  <c r="PQ162" i="5"/>
  <c r="PU162" i="5"/>
  <c r="PY162" i="5"/>
  <c r="QC162" i="5"/>
  <c r="QG162" i="5"/>
  <c r="QK162" i="5"/>
  <c r="QO162" i="5"/>
  <c r="PR162" i="5"/>
  <c r="QH162" i="5"/>
  <c r="PV162" i="5"/>
  <c r="QL162" i="5"/>
  <c r="PJ162" i="5"/>
  <c r="PZ162" i="5"/>
  <c r="QP162" i="5"/>
  <c r="PN162" i="5"/>
  <c r="QD162" i="5"/>
  <c r="PJ132" i="5"/>
  <c r="PN132" i="5"/>
  <c r="PR132" i="5"/>
  <c r="PV132" i="5"/>
  <c r="PZ132" i="5"/>
  <c r="QD132" i="5"/>
  <c r="QH132" i="5"/>
  <c r="QL132" i="5"/>
  <c r="QP132" i="5"/>
  <c r="PM132" i="5"/>
  <c r="PS132" i="5"/>
  <c r="PX132" i="5"/>
  <c r="QC132" i="5"/>
  <c r="QI132" i="5"/>
  <c r="QN132" i="5"/>
  <c r="PO132" i="5"/>
  <c r="PT132" i="5"/>
  <c r="PY132" i="5"/>
  <c r="QE132" i="5"/>
  <c r="QJ132" i="5"/>
  <c r="QO132" i="5"/>
  <c r="PQ132" i="5"/>
  <c r="QB132" i="5"/>
  <c r="QM132" i="5"/>
  <c r="PP132" i="5"/>
  <c r="QF132" i="5"/>
  <c r="PU132" i="5"/>
  <c r="QG132" i="5"/>
  <c r="PK132" i="5"/>
  <c r="PW132" i="5"/>
  <c r="QK132" i="5"/>
  <c r="PL132" i="5"/>
  <c r="QA132" i="5"/>
  <c r="QQ132" i="5"/>
  <c r="PM29" i="5"/>
  <c r="PQ29" i="5"/>
  <c r="PU29" i="5"/>
  <c r="PY29" i="5"/>
  <c r="QC29" i="5"/>
  <c r="QG29" i="5"/>
  <c r="QK29" i="5"/>
  <c r="QO29" i="5"/>
  <c r="PL29" i="5"/>
  <c r="PR29" i="5"/>
  <c r="PW29" i="5"/>
  <c r="QB29" i="5"/>
  <c r="QH29" i="5"/>
  <c r="QM29" i="5"/>
  <c r="CO29" i="5" s="1"/>
  <c r="HH29" i="5" s="1"/>
  <c r="PK29" i="5"/>
  <c r="PS29" i="5"/>
  <c r="PZ29" i="5"/>
  <c r="QF29" i="5"/>
  <c r="QN29" i="5"/>
  <c r="PN29" i="5"/>
  <c r="PT29" i="5"/>
  <c r="QA29" i="5"/>
  <c r="QI29" i="5"/>
  <c r="QP29" i="5"/>
  <c r="PV29" i="5"/>
  <c r="QJ29" i="5"/>
  <c r="PJ29" i="5"/>
  <c r="PX29" i="5"/>
  <c r="QL29" i="5"/>
  <c r="QD29" i="5"/>
  <c r="QE29" i="5"/>
  <c r="QQ29" i="5"/>
  <c r="PO29" i="5"/>
  <c r="PP29" i="5"/>
  <c r="PJ240" i="5"/>
  <c r="CO240" i="5" s="1"/>
  <c r="HH240" i="5" s="1"/>
  <c r="PN240" i="5"/>
  <c r="PR240" i="5"/>
  <c r="PV240" i="5"/>
  <c r="PZ240" i="5"/>
  <c r="QD240" i="5"/>
  <c r="QH240" i="5"/>
  <c r="QL240" i="5"/>
  <c r="QP240" i="5"/>
  <c r="PK240" i="5"/>
  <c r="PO240" i="5"/>
  <c r="PS240" i="5"/>
  <c r="PW240" i="5"/>
  <c r="QA240" i="5"/>
  <c r="QE240" i="5"/>
  <c r="QI240" i="5"/>
  <c r="QM240" i="5"/>
  <c r="QQ240" i="5"/>
  <c r="PL240" i="5"/>
  <c r="PP240" i="5"/>
  <c r="PT240" i="5"/>
  <c r="PX240" i="5"/>
  <c r="QB240" i="5"/>
  <c r="QF240" i="5"/>
  <c r="QJ240" i="5"/>
  <c r="QN240" i="5"/>
  <c r="PM240" i="5"/>
  <c r="PQ240" i="5"/>
  <c r="PU240" i="5"/>
  <c r="PY240" i="5"/>
  <c r="QC240" i="5"/>
  <c r="QG240" i="5"/>
  <c r="QK240" i="5"/>
  <c r="QO240" i="5"/>
  <c r="PJ224" i="5"/>
  <c r="PN224" i="5"/>
  <c r="PR224" i="5"/>
  <c r="PV224" i="5"/>
  <c r="PZ224" i="5"/>
  <c r="QD224" i="5"/>
  <c r="QH224" i="5"/>
  <c r="QL224" i="5"/>
  <c r="QP224" i="5"/>
  <c r="PK224" i="5"/>
  <c r="PO224" i="5"/>
  <c r="PS224" i="5"/>
  <c r="PW224" i="5"/>
  <c r="QA224" i="5"/>
  <c r="QE224" i="5"/>
  <c r="QI224" i="5"/>
  <c r="QM224" i="5"/>
  <c r="QQ224" i="5"/>
  <c r="PL224" i="5"/>
  <c r="PP224" i="5"/>
  <c r="PT224" i="5"/>
  <c r="PX224" i="5"/>
  <c r="QB224" i="5"/>
  <c r="QF224" i="5"/>
  <c r="QJ224" i="5"/>
  <c r="QN224" i="5"/>
  <c r="PM224" i="5"/>
  <c r="PQ224" i="5"/>
  <c r="PU224" i="5"/>
  <c r="PY224" i="5"/>
  <c r="QC224" i="5"/>
  <c r="QG224" i="5"/>
  <c r="QK224" i="5"/>
  <c r="QO224" i="5"/>
  <c r="PM220" i="5"/>
  <c r="PQ220" i="5"/>
  <c r="PU220" i="5"/>
  <c r="PY220" i="5"/>
  <c r="QC220" i="5"/>
  <c r="QG220" i="5"/>
  <c r="QK220" i="5"/>
  <c r="QO220" i="5"/>
  <c r="PJ220" i="5"/>
  <c r="PN220" i="5"/>
  <c r="PR220" i="5"/>
  <c r="PV220" i="5"/>
  <c r="PZ220" i="5"/>
  <c r="QD220" i="5"/>
  <c r="QH220" i="5"/>
  <c r="QL220" i="5"/>
  <c r="QP220" i="5"/>
  <c r="PK220" i="5"/>
  <c r="PO220" i="5"/>
  <c r="PS220" i="5"/>
  <c r="PW220" i="5"/>
  <c r="QA220" i="5"/>
  <c r="QE220" i="5"/>
  <c r="QI220" i="5"/>
  <c r="QM220" i="5"/>
  <c r="QQ220" i="5"/>
  <c r="PT220" i="5"/>
  <c r="QJ220" i="5"/>
  <c r="PX220" i="5"/>
  <c r="QN220" i="5"/>
  <c r="PL220" i="5"/>
  <c r="QB220" i="5"/>
  <c r="PP220" i="5"/>
  <c r="QF220" i="5"/>
  <c r="PJ194" i="5"/>
  <c r="PN194" i="5"/>
  <c r="PL194" i="5"/>
  <c r="PQ194" i="5"/>
  <c r="PU194" i="5"/>
  <c r="PY194" i="5"/>
  <c r="QC194" i="5"/>
  <c r="QG194" i="5"/>
  <c r="QK194" i="5"/>
  <c r="QO194" i="5"/>
  <c r="PM194" i="5"/>
  <c r="PR194" i="5"/>
  <c r="PV194" i="5"/>
  <c r="PZ194" i="5"/>
  <c r="QD194" i="5"/>
  <c r="QH194" i="5"/>
  <c r="QL194" i="5"/>
  <c r="QP194" i="5"/>
  <c r="PO194" i="5"/>
  <c r="PS194" i="5"/>
  <c r="PW194" i="5"/>
  <c r="QA194" i="5"/>
  <c r="QE194" i="5"/>
  <c r="QI194" i="5"/>
  <c r="QM194" i="5"/>
  <c r="QQ194" i="5"/>
  <c r="PK194" i="5"/>
  <c r="PP194" i="5"/>
  <c r="PT194" i="5"/>
  <c r="PX194" i="5"/>
  <c r="QB194" i="5"/>
  <c r="QF194" i="5"/>
  <c r="QJ194" i="5"/>
  <c r="QN194" i="5"/>
  <c r="PK179" i="5"/>
  <c r="PO179" i="5"/>
  <c r="PS179" i="5"/>
  <c r="PW179" i="5"/>
  <c r="QA179" i="5"/>
  <c r="QE179" i="5"/>
  <c r="QI179" i="5"/>
  <c r="QM179" i="5"/>
  <c r="QQ179" i="5"/>
  <c r="PL179" i="5"/>
  <c r="PQ179" i="5"/>
  <c r="PV179" i="5"/>
  <c r="QB179" i="5"/>
  <c r="QG179" i="5"/>
  <c r="QL179" i="5"/>
  <c r="PM179" i="5"/>
  <c r="PR179" i="5"/>
  <c r="PX179" i="5"/>
  <c r="QC179" i="5"/>
  <c r="QH179" i="5"/>
  <c r="QN179" i="5"/>
  <c r="PN179" i="5"/>
  <c r="PT179" i="5"/>
  <c r="PY179" i="5"/>
  <c r="QD179" i="5"/>
  <c r="QJ179" i="5"/>
  <c r="QO179" i="5"/>
  <c r="PJ179" i="5"/>
  <c r="PP179" i="5"/>
  <c r="PU179" i="5"/>
  <c r="PZ179" i="5"/>
  <c r="QF179" i="5"/>
  <c r="QK179" i="5"/>
  <c r="QP179" i="5"/>
  <c r="PL148" i="5"/>
  <c r="PP148" i="5"/>
  <c r="PT148" i="5"/>
  <c r="PX148" i="5"/>
  <c r="QB148" i="5"/>
  <c r="QF148" i="5"/>
  <c r="QJ148" i="5"/>
  <c r="QN148" i="5"/>
  <c r="PM148" i="5"/>
  <c r="PQ148" i="5"/>
  <c r="PU148" i="5"/>
  <c r="PY148" i="5"/>
  <c r="QC148" i="5"/>
  <c r="QG148" i="5"/>
  <c r="QK148" i="5"/>
  <c r="QO148" i="5"/>
  <c r="PO148" i="5"/>
  <c r="PW148" i="5"/>
  <c r="QE148" i="5"/>
  <c r="QM148" i="5"/>
  <c r="PJ148" i="5"/>
  <c r="PR148" i="5"/>
  <c r="PZ148" i="5"/>
  <c r="QH148" i="5"/>
  <c r="QP148" i="5"/>
  <c r="PK148" i="5"/>
  <c r="PS148" i="5"/>
  <c r="QA148" i="5"/>
  <c r="QI148" i="5"/>
  <c r="QQ148" i="5"/>
  <c r="PN148" i="5"/>
  <c r="PV148" i="5"/>
  <c r="QD148" i="5"/>
  <c r="QL148" i="5"/>
  <c r="PJ134" i="5"/>
  <c r="PN134" i="5"/>
  <c r="PR134" i="5"/>
  <c r="PV134" i="5"/>
  <c r="PZ134" i="5"/>
  <c r="QD134" i="5"/>
  <c r="QH134" i="5"/>
  <c r="QL134" i="5"/>
  <c r="QP134" i="5"/>
  <c r="PO134" i="5"/>
  <c r="PT134" i="5"/>
  <c r="PY134" i="5"/>
  <c r="QE134" i="5"/>
  <c r="QJ134" i="5"/>
  <c r="QO134" i="5"/>
  <c r="PK134" i="5"/>
  <c r="PP134" i="5"/>
  <c r="PU134" i="5"/>
  <c r="QA134" i="5"/>
  <c r="QF134" i="5"/>
  <c r="QK134" i="5"/>
  <c r="QQ134" i="5"/>
  <c r="PM134" i="5"/>
  <c r="PX134" i="5"/>
  <c r="QI134" i="5"/>
  <c r="PS134" i="5"/>
  <c r="QG134" i="5"/>
  <c r="PW134" i="5"/>
  <c r="QM134" i="5"/>
  <c r="PL134" i="5"/>
  <c r="QB134" i="5"/>
  <c r="QN134" i="5"/>
  <c r="PQ134" i="5"/>
  <c r="QC134" i="5"/>
  <c r="PL87" i="5"/>
  <c r="PP87" i="5"/>
  <c r="PT87" i="5"/>
  <c r="PX87" i="5"/>
  <c r="QB87" i="5"/>
  <c r="QF87" i="5"/>
  <c r="QJ87" i="5"/>
  <c r="QN87" i="5"/>
  <c r="PK87" i="5"/>
  <c r="PQ87" i="5"/>
  <c r="PV87" i="5"/>
  <c r="QA87" i="5"/>
  <c r="QG87" i="5"/>
  <c r="QL87" i="5"/>
  <c r="QQ87" i="5"/>
  <c r="PJ87" i="5"/>
  <c r="PR87" i="5"/>
  <c r="PY87" i="5"/>
  <c r="QE87" i="5"/>
  <c r="QM87" i="5"/>
  <c r="PM87" i="5"/>
  <c r="PS87" i="5"/>
  <c r="PZ87" i="5"/>
  <c r="QH87" i="5"/>
  <c r="QO87" i="5"/>
  <c r="PO87" i="5"/>
  <c r="QD87" i="5"/>
  <c r="PU87" i="5"/>
  <c r="QI87" i="5"/>
  <c r="PW87" i="5"/>
  <c r="QK87" i="5"/>
  <c r="QP87" i="5"/>
  <c r="PN87" i="5"/>
  <c r="QC87" i="5"/>
  <c r="PK47" i="5"/>
  <c r="PO47" i="5"/>
  <c r="PS47" i="5"/>
  <c r="PW47" i="5"/>
  <c r="QA47" i="5"/>
  <c r="QE47" i="5"/>
  <c r="QI47" i="5"/>
  <c r="QM47" i="5"/>
  <c r="QQ47" i="5"/>
  <c r="PM47" i="5"/>
  <c r="PR47" i="5"/>
  <c r="PX47" i="5"/>
  <c r="QC47" i="5"/>
  <c r="QH47" i="5"/>
  <c r="QN47" i="5"/>
  <c r="PN47" i="5"/>
  <c r="PU47" i="5"/>
  <c r="QB47" i="5"/>
  <c r="QJ47" i="5"/>
  <c r="QP47" i="5"/>
  <c r="PP47" i="5"/>
  <c r="PV47" i="5"/>
  <c r="QD47" i="5"/>
  <c r="QK47" i="5"/>
  <c r="PJ47" i="5"/>
  <c r="PY47" i="5"/>
  <c r="QL47" i="5"/>
  <c r="CO47" i="5" s="1"/>
  <c r="HH47" i="5" s="1"/>
  <c r="PL47" i="5"/>
  <c r="PZ47" i="5"/>
  <c r="QO47" i="5"/>
  <c r="QF47" i="5"/>
  <c r="QG47" i="5"/>
  <c r="PQ47" i="5"/>
  <c r="PT47" i="5"/>
  <c r="PL247" i="5"/>
  <c r="PP247" i="5"/>
  <c r="PT247" i="5"/>
  <c r="PX247" i="5"/>
  <c r="QB247" i="5"/>
  <c r="QF247" i="5"/>
  <c r="QJ247" i="5"/>
  <c r="QN247" i="5"/>
  <c r="PM247" i="5"/>
  <c r="PQ247" i="5"/>
  <c r="PU247" i="5"/>
  <c r="PY247" i="5"/>
  <c r="QC247" i="5"/>
  <c r="QG247" i="5"/>
  <c r="QK247" i="5"/>
  <c r="QO247" i="5"/>
  <c r="PJ247" i="5"/>
  <c r="CO247" i="5" s="1"/>
  <c r="HH247" i="5" s="1"/>
  <c r="PN247" i="5"/>
  <c r="PR247" i="5"/>
  <c r="PV247" i="5"/>
  <c r="PZ247" i="5"/>
  <c r="QD247" i="5"/>
  <c r="QH247" i="5"/>
  <c r="QL247" i="5"/>
  <c r="QP247" i="5"/>
  <c r="PK247" i="5"/>
  <c r="PO247" i="5"/>
  <c r="PS247" i="5"/>
  <c r="PW247" i="5"/>
  <c r="QA247" i="5"/>
  <c r="QE247" i="5"/>
  <c r="QI247" i="5"/>
  <c r="QM247" i="5"/>
  <c r="QQ247" i="5"/>
  <c r="PL231" i="5"/>
  <c r="PP231" i="5"/>
  <c r="PT231" i="5"/>
  <c r="PX231" i="5"/>
  <c r="QB231" i="5"/>
  <c r="QF231" i="5"/>
  <c r="QJ231" i="5"/>
  <c r="QN231" i="5"/>
  <c r="PM231" i="5"/>
  <c r="PQ231" i="5"/>
  <c r="PU231" i="5"/>
  <c r="PY231" i="5"/>
  <c r="QC231" i="5"/>
  <c r="QG231" i="5"/>
  <c r="QK231" i="5"/>
  <c r="QO231" i="5"/>
  <c r="PJ231" i="5"/>
  <c r="PN231" i="5"/>
  <c r="PR231" i="5"/>
  <c r="PV231" i="5"/>
  <c r="PZ231" i="5"/>
  <c r="QD231" i="5"/>
  <c r="QH231" i="5"/>
  <c r="QL231" i="5"/>
  <c r="QP231" i="5"/>
  <c r="PK231" i="5"/>
  <c r="PO231" i="5"/>
  <c r="PS231" i="5"/>
  <c r="PW231" i="5"/>
  <c r="QA231" i="5"/>
  <c r="QE231" i="5"/>
  <c r="QI231" i="5"/>
  <c r="QM231" i="5"/>
  <c r="QQ231" i="5"/>
  <c r="PL223" i="5"/>
  <c r="PP223" i="5"/>
  <c r="PT223" i="5"/>
  <c r="PX223" i="5"/>
  <c r="QB223" i="5"/>
  <c r="QF223" i="5"/>
  <c r="QJ223" i="5"/>
  <c r="QN223" i="5"/>
  <c r="PM223" i="5"/>
  <c r="PQ223" i="5"/>
  <c r="PU223" i="5"/>
  <c r="PY223" i="5"/>
  <c r="QC223" i="5"/>
  <c r="QG223" i="5"/>
  <c r="QK223" i="5"/>
  <c r="QO223" i="5"/>
  <c r="PJ223" i="5"/>
  <c r="CO223" i="5" s="1"/>
  <c r="HH223" i="5" s="1"/>
  <c r="PN223" i="5"/>
  <c r="PR223" i="5"/>
  <c r="PV223" i="5"/>
  <c r="PZ223" i="5"/>
  <c r="QD223" i="5"/>
  <c r="QH223" i="5"/>
  <c r="QL223" i="5"/>
  <c r="QP223" i="5"/>
  <c r="PK223" i="5"/>
  <c r="PO223" i="5"/>
  <c r="PS223" i="5"/>
  <c r="PW223" i="5"/>
  <c r="QA223" i="5"/>
  <c r="QE223" i="5"/>
  <c r="QI223" i="5"/>
  <c r="QM223" i="5"/>
  <c r="QQ223" i="5"/>
  <c r="PK219" i="5"/>
  <c r="PO219" i="5"/>
  <c r="PS219" i="5"/>
  <c r="PW219" i="5"/>
  <c r="QA219" i="5"/>
  <c r="QE219" i="5"/>
  <c r="QI219" i="5"/>
  <c r="QM219" i="5"/>
  <c r="QQ219" i="5"/>
  <c r="PL219" i="5"/>
  <c r="PP219" i="5"/>
  <c r="PT219" i="5"/>
  <c r="PX219" i="5"/>
  <c r="QB219" i="5"/>
  <c r="QF219" i="5"/>
  <c r="QJ219" i="5"/>
  <c r="QN219" i="5"/>
  <c r="PM219" i="5"/>
  <c r="PQ219" i="5"/>
  <c r="PU219" i="5"/>
  <c r="PY219" i="5"/>
  <c r="QC219" i="5"/>
  <c r="QG219" i="5"/>
  <c r="QK219" i="5"/>
  <c r="QO219" i="5"/>
  <c r="PV219" i="5"/>
  <c r="QL219" i="5"/>
  <c r="PJ219" i="5"/>
  <c r="PZ219" i="5"/>
  <c r="QP219" i="5"/>
  <c r="PN219" i="5"/>
  <c r="QD219" i="5"/>
  <c r="PR219" i="5"/>
  <c r="QH219" i="5"/>
  <c r="PK197" i="5"/>
  <c r="PO197" i="5"/>
  <c r="PS197" i="5"/>
  <c r="PW197" i="5"/>
  <c r="QA197" i="5"/>
  <c r="QE197" i="5"/>
  <c r="QI197" i="5"/>
  <c r="QM197" i="5"/>
  <c r="QQ197" i="5"/>
  <c r="PL197" i="5"/>
  <c r="PP197" i="5"/>
  <c r="PT197" i="5"/>
  <c r="PX197" i="5"/>
  <c r="QB197" i="5"/>
  <c r="QF197" i="5"/>
  <c r="QJ197" i="5"/>
  <c r="QN197" i="5"/>
  <c r="PM197" i="5"/>
  <c r="PQ197" i="5"/>
  <c r="PU197" i="5"/>
  <c r="PY197" i="5"/>
  <c r="QC197" i="5"/>
  <c r="QG197" i="5"/>
  <c r="QK197" i="5"/>
  <c r="QO197" i="5"/>
  <c r="PJ197" i="5"/>
  <c r="PN197" i="5"/>
  <c r="PR197" i="5"/>
  <c r="PV197" i="5"/>
  <c r="PZ197" i="5"/>
  <c r="QD197" i="5"/>
  <c r="QH197" i="5"/>
  <c r="QL197" i="5"/>
  <c r="QP197" i="5"/>
  <c r="PM190" i="5"/>
  <c r="PQ190" i="5"/>
  <c r="PU190" i="5"/>
  <c r="PY190" i="5"/>
  <c r="QC190" i="5"/>
  <c r="QG190" i="5"/>
  <c r="QK190" i="5"/>
  <c r="QO190" i="5"/>
  <c r="PK190" i="5"/>
  <c r="PP190" i="5"/>
  <c r="PV190" i="5"/>
  <c r="QA190" i="5"/>
  <c r="QF190" i="5"/>
  <c r="QL190" i="5"/>
  <c r="QQ190" i="5"/>
  <c r="PL190" i="5"/>
  <c r="PR190" i="5"/>
  <c r="PW190" i="5"/>
  <c r="QB190" i="5"/>
  <c r="QH190" i="5"/>
  <c r="QM190" i="5"/>
  <c r="PN190" i="5"/>
  <c r="PS190" i="5"/>
  <c r="PX190" i="5"/>
  <c r="QD190" i="5"/>
  <c r="QI190" i="5"/>
  <c r="QN190" i="5"/>
  <c r="PJ190" i="5"/>
  <c r="QE190" i="5"/>
  <c r="PO190" i="5"/>
  <c r="QJ190" i="5"/>
  <c r="PT190" i="5"/>
  <c r="QP190" i="5"/>
  <c r="PZ190" i="5"/>
  <c r="PM182" i="5"/>
  <c r="PQ182" i="5"/>
  <c r="PU182" i="5"/>
  <c r="PY182" i="5"/>
  <c r="QC182" i="5"/>
  <c r="QG182" i="5"/>
  <c r="QK182" i="5"/>
  <c r="QO182" i="5"/>
  <c r="PK182" i="5"/>
  <c r="PP182" i="5"/>
  <c r="PV182" i="5"/>
  <c r="QA182" i="5"/>
  <c r="QF182" i="5"/>
  <c r="QL182" i="5"/>
  <c r="QQ182" i="5"/>
  <c r="PL182" i="5"/>
  <c r="PR182" i="5"/>
  <c r="PW182" i="5"/>
  <c r="QB182" i="5"/>
  <c r="QH182" i="5"/>
  <c r="QM182" i="5"/>
  <c r="PN182" i="5"/>
  <c r="PS182" i="5"/>
  <c r="PX182" i="5"/>
  <c r="QD182" i="5"/>
  <c r="QI182" i="5"/>
  <c r="QN182" i="5"/>
  <c r="PJ182" i="5"/>
  <c r="PO182" i="5"/>
  <c r="PT182" i="5"/>
  <c r="PZ182" i="5"/>
  <c r="QE182" i="5"/>
  <c r="QJ182" i="5"/>
  <c r="QP182" i="5"/>
  <c r="PM174" i="5"/>
  <c r="PQ174" i="5"/>
  <c r="PU174" i="5"/>
  <c r="PY174" i="5"/>
  <c r="QC174" i="5"/>
  <c r="QG174" i="5"/>
  <c r="QK174" i="5"/>
  <c r="QO174" i="5"/>
  <c r="PJ174" i="5"/>
  <c r="PN174" i="5"/>
  <c r="PR174" i="5"/>
  <c r="PV174" i="5"/>
  <c r="PZ174" i="5"/>
  <c r="PK174" i="5"/>
  <c r="PS174" i="5"/>
  <c r="QA174" i="5"/>
  <c r="QF174" i="5"/>
  <c r="QL174" i="5"/>
  <c r="QQ174" i="5"/>
  <c r="PL174" i="5"/>
  <c r="PT174" i="5"/>
  <c r="QB174" i="5"/>
  <c r="QH174" i="5"/>
  <c r="QM174" i="5"/>
  <c r="PO174" i="5"/>
  <c r="PW174" i="5"/>
  <c r="QD174" i="5"/>
  <c r="QI174" i="5"/>
  <c r="QN174" i="5"/>
  <c r="PP174" i="5"/>
  <c r="PX174" i="5"/>
  <c r="QE174" i="5"/>
  <c r="QJ174" i="5"/>
  <c r="QP174" i="5"/>
  <c r="PM167" i="5"/>
  <c r="PQ167" i="5"/>
  <c r="PU167" i="5"/>
  <c r="PY167" i="5"/>
  <c r="QC167" i="5"/>
  <c r="QG167" i="5"/>
  <c r="QK167" i="5"/>
  <c r="QO167" i="5"/>
  <c r="PJ167" i="5"/>
  <c r="PN167" i="5"/>
  <c r="PR167" i="5"/>
  <c r="PV167" i="5"/>
  <c r="PZ167" i="5"/>
  <c r="QD167" i="5"/>
  <c r="QH167" i="5"/>
  <c r="QL167" i="5"/>
  <c r="QP167" i="5"/>
  <c r="PK167" i="5"/>
  <c r="PS167" i="5"/>
  <c r="QA167" i="5"/>
  <c r="QI167" i="5"/>
  <c r="QQ167" i="5"/>
  <c r="PL167" i="5"/>
  <c r="PT167" i="5"/>
  <c r="QB167" i="5"/>
  <c r="QJ167" i="5"/>
  <c r="PO167" i="5"/>
  <c r="PW167" i="5"/>
  <c r="QE167" i="5"/>
  <c r="QM167" i="5"/>
  <c r="PP167" i="5"/>
  <c r="PX167" i="5"/>
  <c r="QF167" i="5"/>
  <c r="QN167" i="5"/>
  <c r="PJ159" i="5"/>
  <c r="PN159" i="5"/>
  <c r="PR159" i="5"/>
  <c r="PV159" i="5"/>
  <c r="PZ159" i="5"/>
  <c r="QD159" i="5"/>
  <c r="QH159" i="5"/>
  <c r="QL159" i="5"/>
  <c r="QP159" i="5"/>
  <c r="PK159" i="5"/>
  <c r="PO159" i="5"/>
  <c r="PS159" i="5"/>
  <c r="PW159" i="5"/>
  <c r="QA159" i="5"/>
  <c r="QE159" i="5"/>
  <c r="QI159" i="5"/>
  <c r="QM159" i="5"/>
  <c r="QQ159" i="5"/>
  <c r="PQ159" i="5"/>
  <c r="PY159" i="5"/>
  <c r="QG159" i="5"/>
  <c r="QO159" i="5"/>
  <c r="PL159" i="5"/>
  <c r="PT159" i="5"/>
  <c r="QB159" i="5"/>
  <c r="QJ159" i="5"/>
  <c r="PM159" i="5"/>
  <c r="PU159" i="5"/>
  <c r="QC159" i="5"/>
  <c r="QK159" i="5"/>
  <c r="PX159" i="5"/>
  <c r="QF159" i="5"/>
  <c r="QN159" i="5"/>
  <c r="PP159" i="5"/>
  <c r="PJ151" i="5"/>
  <c r="PN151" i="5"/>
  <c r="PR151" i="5"/>
  <c r="PV151" i="5"/>
  <c r="PZ151" i="5"/>
  <c r="QD151" i="5"/>
  <c r="QH151" i="5"/>
  <c r="QL151" i="5"/>
  <c r="QP151" i="5"/>
  <c r="PK151" i="5"/>
  <c r="PO151" i="5"/>
  <c r="PS151" i="5"/>
  <c r="PW151" i="5"/>
  <c r="QA151" i="5"/>
  <c r="QE151" i="5"/>
  <c r="QI151" i="5"/>
  <c r="QM151" i="5"/>
  <c r="QQ151" i="5"/>
  <c r="PQ151" i="5"/>
  <c r="PY151" i="5"/>
  <c r="QG151" i="5"/>
  <c r="QO151" i="5"/>
  <c r="PL151" i="5"/>
  <c r="PT151" i="5"/>
  <c r="QB151" i="5"/>
  <c r="QJ151" i="5"/>
  <c r="PM151" i="5"/>
  <c r="PU151" i="5"/>
  <c r="QC151" i="5"/>
  <c r="QK151" i="5"/>
  <c r="QN151" i="5"/>
  <c r="PP151" i="5"/>
  <c r="PX151" i="5"/>
  <c r="QF151" i="5"/>
  <c r="PL137" i="5"/>
  <c r="PP137" i="5"/>
  <c r="PT137" i="5"/>
  <c r="PX137" i="5"/>
  <c r="QB137" i="5"/>
  <c r="QF137" i="5"/>
  <c r="QJ137" i="5"/>
  <c r="QN137" i="5"/>
  <c r="PN137" i="5"/>
  <c r="PS137" i="5"/>
  <c r="PY137" i="5"/>
  <c r="QD137" i="5"/>
  <c r="QI137" i="5"/>
  <c r="QO137" i="5"/>
  <c r="PJ137" i="5"/>
  <c r="PO137" i="5"/>
  <c r="PU137" i="5"/>
  <c r="PZ137" i="5"/>
  <c r="QE137" i="5"/>
  <c r="QK137" i="5"/>
  <c r="QP137" i="5"/>
  <c r="PR137" i="5"/>
  <c r="QC137" i="5"/>
  <c r="QM137" i="5"/>
  <c r="PQ137" i="5"/>
  <c r="QG137" i="5"/>
  <c r="PV137" i="5"/>
  <c r="QH137" i="5"/>
  <c r="PK137" i="5"/>
  <c r="PW137" i="5"/>
  <c r="QL137" i="5"/>
  <c r="PM137" i="5"/>
  <c r="QA137" i="5"/>
  <c r="QQ137" i="5"/>
  <c r="PL114" i="5"/>
  <c r="PP114" i="5"/>
  <c r="PT114" i="5"/>
  <c r="PX114" i="5"/>
  <c r="QB114" i="5"/>
  <c r="QF114" i="5"/>
  <c r="QJ114" i="5"/>
  <c r="QN114" i="5"/>
  <c r="PN114" i="5"/>
  <c r="PS114" i="5"/>
  <c r="PY114" i="5"/>
  <c r="QD114" i="5"/>
  <c r="QI114" i="5"/>
  <c r="QO114" i="5"/>
  <c r="PJ114" i="5"/>
  <c r="PO114" i="5"/>
  <c r="PU114" i="5"/>
  <c r="PZ114" i="5"/>
  <c r="QE114" i="5"/>
  <c r="QK114" i="5"/>
  <c r="QP114" i="5"/>
  <c r="PM114" i="5"/>
  <c r="PW114" i="5"/>
  <c r="QH114" i="5"/>
  <c r="PQ114" i="5"/>
  <c r="QA114" i="5"/>
  <c r="QL114" i="5"/>
  <c r="PR114" i="5"/>
  <c r="QC114" i="5"/>
  <c r="QM114" i="5"/>
  <c r="PV114" i="5"/>
  <c r="QG114" i="5"/>
  <c r="QQ114" i="5"/>
  <c r="PK114" i="5"/>
  <c r="PK26" i="5"/>
  <c r="PO26" i="5"/>
  <c r="PS26" i="5"/>
  <c r="PW26" i="5"/>
  <c r="QA26" i="5"/>
  <c r="QE26" i="5"/>
  <c r="QI26" i="5"/>
  <c r="QM26" i="5"/>
  <c r="QQ26" i="5"/>
  <c r="PM26" i="5"/>
  <c r="PR26" i="5"/>
  <c r="PX26" i="5"/>
  <c r="QC26" i="5"/>
  <c r="QH26" i="5"/>
  <c r="QN26" i="5"/>
  <c r="PN26" i="5"/>
  <c r="PU26" i="5"/>
  <c r="QB26" i="5"/>
  <c r="QJ26" i="5"/>
  <c r="QP26" i="5"/>
  <c r="PP26" i="5"/>
  <c r="PV26" i="5"/>
  <c r="QD26" i="5"/>
  <c r="QK26" i="5"/>
  <c r="PJ26" i="5"/>
  <c r="PY26" i="5"/>
  <c r="QL26" i="5"/>
  <c r="CO26" i="5" s="1"/>
  <c r="HH26" i="5" s="1"/>
  <c r="PL26" i="5"/>
  <c r="PZ26" i="5"/>
  <c r="QO26" i="5"/>
  <c r="PQ26" i="5"/>
  <c r="PT26" i="5"/>
  <c r="QF26" i="5"/>
  <c r="QG26" i="5"/>
  <c r="PJ234" i="5"/>
  <c r="PN234" i="5"/>
  <c r="PR234" i="5"/>
  <c r="PV234" i="5"/>
  <c r="PZ234" i="5"/>
  <c r="QD234" i="5"/>
  <c r="QH234" i="5"/>
  <c r="QL234" i="5"/>
  <c r="QP234" i="5"/>
  <c r="PK234" i="5"/>
  <c r="PO234" i="5"/>
  <c r="PS234" i="5"/>
  <c r="PW234" i="5"/>
  <c r="QA234" i="5"/>
  <c r="QE234" i="5"/>
  <c r="QI234" i="5"/>
  <c r="QM234" i="5"/>
  <c r="QQ234" i="5"/>
  <c r="PL234" i="5"/>
  <c r="PP234" i="5"/>
  <c r="PT234" i="5"/>
  <c r="PX234" i="5"/>
  <c r="QB234" i="5"/>
  <c r="QF234" i="5"/>
  <c r="QJ234" i="5"/>
  <c r="QN234" i="5"/>
  <c r="PM234" i="5"/>
  <c r="PQ234" i="5"/>
  <c r="PU234" i="5"/>
  <c r="PY234" i="5"/>
  <c r="QC234" i="5"/>
  <c r="QG234" i="5"/>
  <c r="QK234" i="5"/>
  <c r="QO234" i="5"/>
  <c r="PM218" i="5"/>
  <c r="PQ218" i="5"/>
  <c r="PU218" i="5"/>
  <c r="PY218" i="5"/>
  <c r="QC218" i="5"/>
  <c r="QG218" i="5"/>
  <c r="QK218" i="5"/>
  <c r="QO218" i="5"/>
  <c r="PJ218" i="5"/>
  <c r="PN218" i="5"/>
  <c r="PR218" i="5"/>
  <c r="PV218" i="5"/>
  <c r="PZ218" i="5"/>
  <c r="QD218" i="5"/>
  <c r="QH218" i="5"/>
  <c r="QL218" i="5"/>
  <c r="QP218" i="5"/>
  <c r="PK218" i="5"/>
  <c r="PO218" i="5"/>
  <c r="PS218" i="5"/>
  <c r="PW218" i="5"/>
  <c r="QA218" i="5"/>
  <c r="QE218" i="5"/>
  <c r="QI218" i="5"/>
  <c r="QM218" i="5"/>
  <c r="QQ218" i="5"/>
  <c r="PP218" i="5"/>
  <c r="QF218" i="5"/>
  <c r="PT218" i="5"/>
  <c r="QJ218" i="5"/>
  <c r="PX218" i="5"/>
  <c r="QN218" i="5"/>
  <c r="PL218" i="5"/>
  <c r="QB218" i="5"/>
  <c r="PM196" i="5"/>
  <c r="PQ196" i="5"/>
  <c r="PU196" i="5"/>
  <c r="PY196" i="5"/>
  <c r="QC196" i="5"/>
  <c r="QG196" i="5"/>
  <c r="QK196" i="5"/>
  <c r="QO196" i="5"/>
  <c r="PJ196" i="5"/>
  <c r="PN196" i="5"/>
  <c r="PR196" i="5"/>
  <c r="PV196" i="5"/>
  <c r="PZ196" i="5"/>
  <c r="QD196" i="5"/>
  <c r="QH196" i="5"/>
  <c r="QL196" i="5"/>
  <c r="QP196" i="5"/>
  <c r="PK196" i="5"/>
  <c r="PO196" i="5"/>
  <c r="PS196" i="5"/>
  <c r="PW196" i="5"/>
  <c r="QA196" i="5"/>
  <c r="QE196" i="5"/>
  <c r="QI196" i="5"/>
  <c r="QM196" i="5"/>
  <c r="QQ196" i="5"/>
  <c r="PL196" i="5"/>
  <c r="PP196" i="5"/>
  <c r="PT196" i="5"/>
  <c r="PX196" i="5"/>
  <c r="QB196" i="5"/>
  <c r="QF196" i="5"/>
  <c r="QJ196" i="5"/>
  <c r="QN196" i="5"/>
  <c r="PK181" i="5"/>
  <c r="PO181" i="5"/>
  <c r="PS181" i="5"/>
  <c r="PW181" i="5"/>
  <c r="QA181" i="5"/>
  <c r="QE181" i="5"/>
  <c r="QI181" i="5"/>
  <c r="QM181" i="5"/>
  <c r="QQ181" i="5"/>
  <c r="PM181" i="5"/>
  <c r="PR181" i="5"/>
  <c r="PX181" i="5"/>
  <c r="QC181" i="5"/>
  <c r="QH181" i="5"/>
  <c r="QN181" i="5"/>
  <c r="PN181" i="5"/>
  <c r="PT181" i="5"/>
  <c r="PY181" i="5"/>
  <c r="QD181" i="5"/>
  <c r="QJ181" i="5"/>
  <c r="QO181" i="5"/>
  <c r="PJ181" i="5"/>
  <c r="PP181" i="5"/>
  <c r="PU181" i="5"/>
  <c r="PZ181" i="5"/>
  <c r="QF181" i="5"/>
  <c r="QK181" i="5"/>
  <c r="QP181" i="5"/>
  <c r="PL181" i="5"/>
  <c r="PQ181" i="5"/>
  <c r="PV181" i="5"/>
  <c r="QB181" i="5"/>
  <c r="QG181" i="5"/>
  <c r="QL181" i="5"/>
  <c r="PK166" i="5"/>
  <c r="PO166" i="5"/>
  <c r="PS166" i="5"/>
  <c r="PW166" i="5"/>
  <c r="QA166" i="5"/>
  <c r="QE166" i="5"/>
  <c r="QI166" i="5"/>
  <c r="QM166" i="5"/>
  <c r="QQ166" i="5"/>
  <c r="PL166" i="5"/>
  <c r="PP166" i="5"/>
  <c r="PT166" i="5"/>
  <c r="PX166" i="5"/>
  <c r="QB166" i="5"/>
  <c r="QF166" i="5"/>
  <c r="QJ166" i="5"/>
  <c r="QN166" i="5"/>
  <c r="PM166" i="5"/>
  <c r="PU166" i="5"/>
  <c r="QC166" i="5"/>
  <c r="QK166" i="5"/>
  <c r="PN166" i="5"/>
  <c r="PV166" i="5"/>
  <c r="QD166" i="5"/>
  <c r="QL166" i="5"/>
  <c r="PQ166" i="5"/>
  <c r="PY166" i="5"/>
  <c r="QG166" i="5"/>
  <c r="QO166" i="5"/>
  <c r="PJ166" i="5"/>
  <c r="PR166" i="5"/>
  <c r="PZ166" i="5"/>
  <c r="QH166" i="5"/>
  <c r="QP166" i="5"/>
  <c r="PL150" i="5"/>
  <c r="PP150" i="5"/>
  <c r="PT150" i="5"/>
  <c r="PX150" i="5"/>
  <c r="QB150" i="5"/>
  <c r="QF150" i="5"/>
  <c r="QJ150" i="5"/>
  <c r="QN150" i="5"/>
  <c r="PM150" i="5"/>
  <c r="PQ150" i="5"/>
  <c r="PU150" i="5"/>
  <c r="PY150" i="5"/>
  <c r="QC150" i="5"/>
  <c r="QG150" i="5"/>
  <c r="QK150" i="5"/>
  <c r="QO150" i="5"/>
  <c r="PK150" i="5"/>
  <c r="PS150" i="5"/>
  <c r="QA150" i="5"/>
  <c r="QI150" i="5"/>
  <c r="QQ150" i="5"/>
  <c r="PN150" i="5"/>
  <c r="PV150" i="5"/>
  <c r="QD150" i="5"/>
  <c r="QL150" i="5"/>
  <c r="PO150" i="5"/>
  <c r="PW150" i="5"/>
  <c r="QE150" i="5"/>
  <c r="QM150" i="5"/>
  <c r="PJ150" i="5"/>
  <c r="QP150" i="5"/>
  <c r="PR150" i="5"/>
  <c r="PZ150" i="5"/>
  <c r="QH150" i="5"/>
  <c r="PJ136" i="5"/>
  <c r="PN136" i="5"/>
  <c r="PR136" i="5"/>
  <c r="PV136" i="5"/>
  <c r="PZ136" i="5"/>
  <c r="QD136" i="5"/>
  <c r="QH136" i="5"/>
  <c r="QL136" i="5"/>
  <c r="QP136" i="5"/>
  <c r="PK136" i="5"/>
  <c r="PP136" i="5"/>
  <c r="PU136" i="5"/>
  <c r="QA136" i="5"/>
  <c r="QF136" i="5"/>
  <c r="CO136" i="5" s="1"/>
  <c r="HH136" i="5" s="1"/>
  <c r="QK136" i="5"/>
  <c r="QQ136" i="5"/>
  <c r="PL136" i="5"/>
  <c r="PQ136" i="5"/>
  <c r="PW136" i="5"/>
  <c r="QB136" i="5"/>
  <c r="QG136" i="5"/>
  <c r="QM136" i="5"/>
  <c r="PT136" i="5"/>
  <c r="QE136" i="5"/>
  <c r="QO136" i="5"/>
  <c r="PX136" i="5"/>
  <c r="QJ136" i="5"/>
  <c r="PM136" i="5"/>
  <c r="PY136" i="5"/>
  <c r="QN136" i="5"/>
  <c r="PO136" i="5"/>
  <c r="QC136" i="5"/>
  <c r="PS136" i="5"/>
  <c r="QI136" i="5"/>
  <c r="PL65" i="5"/>
  <c r="PP65" i="5"/>
  <c r="PT65" i="5"/>
  <c r="PX65" i="5"/>
  <c r="QB65" i="5"/>
  <c r="QF65" i="5"/>
  <c r="QJ65" i="5"/>
  <c r="QN65" i="5"/>
  <c r="PM65" i="5"/>
  <c r="PQ65" i="5"/>
  <c r="PU65" i="5"/>
  <c r="PY65" i="5"/>
  <c r="QC65" i="5"/>
  <c r="QG65" i="5"/>
  <c r="QK65" i="5"/>
  <c r="QO65" i="5"/>
  <c r="PJ65" i="5"/>
  <c r="PR65" i="5"/>
  <c r="PZ65" i="5"/>
  <c r="QH65" i="5"/>
  <c r="QP65" i="5"/>
  <c r="PK65" i="5"/>
  <c r="PS65" i="5"/>
  <c r="QA65" i="5"/>
  <c r="QI65" i="5"/>
  <c r="QQ65" i="5"/>
  <c r="PV65" i="5"/>
  <c r="QL65" i="5"/>
  <c r="PW65" i="5"/>
  <c r="QM65" i="5"/>
  <c r="PN65" i="5"/>
  <c r="QD65" i="5"/>
  <c r="PO65" i="5"/>
  <c r="QE65" i="5"/>
  <c r="PJ236" i="5"/>
  <c r="PN236" i="5"/>
  <c r="PR236" i="5"/>
  <c r="PV236" i="5"/>
  <c r="PZ236" i="5"/>
  <c r="QD236" i="5"/>
  <c r="QH236" i="5"/>
  <c r="QL236" i="5"/>
  <c r="QP236" i="5"/>
  <c r="PK236" i="5"/>
  <c r="PO236" i="5"/>
  <c r="PS236" i="5"/>
  <c r="PW236" i="5"/>
  <c r="QA236" i="5"/>
  <c r="QE236" i="5"/>
  <c r="QI236" i="5"/>
  <c r="QM236" i="5"/>
  <c r="QQ236" i="5"/>
  <c r="PL236" i="5"/>
  <c r="PP236" i="5"/>
  <c r="PT236" i="5"/>
  <c r="PX236" i="5"/>
  <c r="QB236" i="5"/>
  <c r="QF236" i="5"/>
  <c r="QJ236" i="5"/>
  <c r="QN236" i="5"/>
  <c r="PM236" i="5"/>
  <c r="PQ236" i="5"/>
  <c r="PU236" i="5"/>
  <c r="PY236" i="5"/>
  <c r="QC236" i="5"/>
  <c r="QG236" i="5"/>
  <c r="QK236" i="5"/>
  <c r="QO236" i="5"/>
  <c r="PM204" i="5"/>
  <c r="CO204" i="5" s="1"/>
  <c r="HH204" i="5" s="1"/>
  <c r="PQ204" i="5"/>
  <c r="PU204" i="5"/>
  <c r="PY204" i="5"/>
  <c r="QC204" i="5"/>
  <c r="QG204" i="5"/>
  <c r="QK204" i="5"/>
  <c r="QO204" i="5"/>
  <c r="PJ204" i="5"/>
  <c r="PN204" i="5"/>
  <c r="PR204" i="5"/>
  <c r="PV204" i="5"/>
  <c r="PZ204" i="5"/>
  <c r="QD204" i="5"/>
  <c r="QH204" i="5"/>
  <c r="QL204" i="5"/>
  <c r="QP204" i="5"/>
  <c r="PK204" i="5"/>
  <c r="PO204" i="5"/>
  <c r="PS204" i="5"/>
  <c r="PW204" i="5"/>
  <c r="QA204" i="5"/>
  <c r="QE204" i="5"/>
  <c r="QI204" i="5"/>
  <c r="QM204" i="5"/>
  <c r="QQ204" i="5"/>
  <c r="PL204" i="5"/>
  <c r="PP204" i="5"/>
  <c r="PT204" i="5"/>
  <c r="PX204" i="5"/>
  <c r="QB204" i="5"/>
  <c r="QF204" i="5"/>
  <c r="QJ204" i="5"/>
  <c r="QN204" i="5"/>
  <c r="PK191" i="5"/>
  <c r="PO191" i="5"/>
  <c r="PS191" i="5"/>
  <c r="PW191" i="5"/>
  <c r="QA191" i="5"/>
  <c r="QE191" i="5"/>
  <c r="QI191" i="5"/>
  <c r="QM191" i="5"/>
  <c r="QQ191" i="5"/>
  <c r="PN191" i="5"/>
  <c r="PT191" i="5"/>
  <c r="PY191" i="5"/>
  <c r="QD191" i="5"/>
  <c r="QJ191" i="5"/>
  <c r="QO191" i="5"/>
  <c r="PJ191" i="5"/>
  <c r="PP191" i="5"/>
  <c r="PU191" i="5"/>
  <c r="PZ191" i="5"/>
  <c r="QF191" i="5"/>
  <c r="QK191" i="5"/>
  <c r="QP191" i="5"/>
  <c r="PL191" i="5"/>
  <c r="PQ191" i="5"/>
  <c r="PV191" i="5"/>
  <c r="PR191" i="5"/>
  <c r="CO191" i="5" s="1"/>
  <c r="HH191" i="5" s="1"/>
  <c r="QG191" i="5"/>
  <c r="PX191" i="5"/>
  <c r="QH191" i="5"/>
  <c r="QB191" i="5"/>
  <c r="QL191" i="5"/>
  <c r="PM191" i="5"/>
  <c r="QC191" i="5"/>
  <c r="QN191" i="5"/>
  <c r="PK175" i="5"/>
  <c r="PO175" i="5"/>
  <c r="PS175" i="5"/>
  <c r="PW175" i="5"/>
  <c r="QA175" i="5"/>
  <c r="QE175" i="5"/>
  <c r="QI175" i="5"/>
  <c r="QM175" i="5"/>
  <c r="QQ175" i="5"/>
  <c r="PN175" i="5"/>
  <c r="PT175" i="5"/>
  <c r="PY175" i="5"/>
  <c r="QD175" i="5"/>
  <c r="QJ175" i="5"/>
  <c r="QO175" i="5"/>
  <c r="PJ175" i="5"/>
  <c r="PP175" i="5"/>
  <c r="PU175" i="5"/>
  <c r="PZ175" i="5"/>
  <c r="QF175" i="5"/>
  <c r="QK175" i="5"/>
  <c r="QP175" i="5"/>
  <c r="PL175" i="5"/>
  <c r="PQ175" i="5"/>
  <c r="PV175" i="5"/>
  <c r="QB175" i="5"/>
  <c r="QG175" i="5"/>
  <c r="QL175" i="5"/>
  <c r="PM175" i="5"/>
  <c r="PR175" i="5"/>
  <c r="PX175" i="5"/>
  <c r="QC175" i="5"/>
  <c r="QH175" i="5"/>
  <c r="QN175" i="5"/>
  <c r="PL160" i="5"/>
  <c r="PM160" i="5"/>
  <c r="PQ160" i="5"/>
  <c r="PU160" i="5"/>
  <c r="PY160" i="5"/>
  <c r="QC160" i="5"/>
  <c r="PO160" i="5"/>
  <c r="PT160" i="5"/>
  <c r="PZ160" i="5"/>
  <c r="QE160" i="5"/>
  <c r="QI160" i="5"/>
  <c r="QM160" i="5"/>
  <c r="QQ160" i="5"/>
  <c r="PJ160" i="5"/>
  <c r="PP160" i="5"/>
  <c r="PV160" i="5"/>
  <c r="QA160" i="5"/>
  <c r="QF160" i="5"/>
  <c r="QJ160" i="5"/>
  <c r="QN160" i="5"/>
  <c r="PK160" i="5"/>
  <c r="PR160" i="5"/>
  <c r="PW160" i="5"/>
  <c r="QB160" i="5"/>
  <c r="QG160" i="5"/>
  <c r="QK160" i="5"/>
  <c r="QO160" i="5"/>
  <c r="PS160" i="5"/>
  <c r="QL160" i="5"/>
  <c r="PX160" i="5"/>
  <c r="QP160" i="5"/>
  <c r="QD160" i="5"/>
  <c r="PN160" i="5"/>
  <c r="QH160" i="5"/>
  <c r="PL11" i="5"/>
  <c r="PP11" i="5"/>
  <c r="PT11" i="5"/>
  <c r="PX11" i="5"/>
  <c r="QB11" i="5"/>
  <c r="QF11" i="5"/>
  <c r="QJ11" i="5"/>
  <c r="QN11" i="5"/>
  <c r="PJ11" i="5"/>
  <c r="PO11" i="5"/>
  <c r="PU11" i="5"/>
  <c r="PZ11" i="5"/>
  <c r="QE11" i="5"/>
  <c r="QK11" i="5"/>
  <c r="QP11" i="5"/>
  <c r="PK11" i="5"/>
  <c r="PQ11" i="5"/>
  <c r="PV11" i="5"/>
  <c r="QA11" i="5"/>
  <c r="QG11" i="5"/>
  <c r="QL11" i="5"/>
  <c r="QQ11" i="5"/>
  <c r="PR11" i="5"/>
  <c r="QC11" i="5"/>
  <c r="QM11" i="5"/>
  <c r="PS11" i="5"/>
  <c r="QH11" i="5"/>
  <c r="PN11" i="5"/>
  <c r="QI11" i="5"/>
  <c r="PW11" i="5"/>
  <c r="QO11" i="5"/>
  <c r="PM11" i="5"/>
  <c r="PY11" i="5"/>
  <c r="QD11" i="5"/>
  <c r="PL245" i="5"/>
  <c r="PP245" i="5"/>
  <c r="PT245" i="5"/>
  <c r="PX245" i="5"/>
  <c r="QB245" i="5"/>
  <c r="QF245" i="5"/>
  <c r="QJ245" i="5"/>
  <c r="QN245" i="5"/>
  <c r="PM245" i="5"/>
  <c r="PQ245" i="5"/>
  <c r="PU245" i="5"/>
  <c r="PY245" i="5"/>
  <c r="QC245" i="5"/>
  <c r="QG245" i="5"/>
  <c r="QK245" i="5"/>
  <c r="QO245" i="5"/>
  <c r="PJ245" i="5"/>
  <c r="PN245" i="5"/>
  <c r="PR245" i="5"/>
  <c r="PV245" i="5"/>
  <c r="PZ245" i="5"/>
  <c r="QD245" i="5"/>
  <c r="QH245" i="5"/>
  <c r="QL245" i="5"/>
  <c r="QP245" i="5"/>
  <c r="PK245" i="5"/>
  <c r="PO245" i="5"/>
  <c r="PS245" i="5"/>
  <c r="PW245" i="5"/>
  <c r="QA245" i="5"/>
  <c r="QE245" i="5"/>
  <c r="QI245" i="5"/>
  <c r="QM245" i="5"/>
  <c r="QQ245" i="5"/>
  <c r="PL237" i="5"/>
  <c r="PP237" i="5"/>
  <c r="PT237" i="5"/>
  <c r="PX237" i="5"/>
  <c r="QB237" i="5"/>
  <c r="QF237" i="5"/>
  <c r="QJ237" i="5"/>
  <c r="QN237" i="5"/>
  <c r="PM237" i="5"/>
  <c r="PQ237" i="5"/>
  <c r="PU237" i="5"/>
  <c r="PY237" i="5"/>
  <c r="QC237" i="5"/>
  <c r="QG237" i="5"/>
  <c r="QK237" i="5"/>
  <c r="QO237" i="5"/>
  <c r="PJ237" i="5"/>
  <c r="PN237" i="5"/>
  <c r="PR237" i="5"/>
  <c r="PV237" i="5"/>
  <c r="PZ237" i="5"/>
  <c r="QD237" i="5"/>
  <c r="QH237" i="5"/>
  <c r="QL237" i="5"/>
  <c r="QP237" i="5"/>
  <c r="PK237" i="5"/>
  <c r="PO237" i="5"/>
  <c r="PS237" i="5"/>
  <c r="PW237" i="5"/>
  <c r="QA237" i="5"/>
  <c r="QE237" i="5"/>
  <c r="QI237" i="5"/>
  <c r="QM237" i="5"/>
  <c r="QQ237" i="5"/>
  <c r="PL229" i="5"/>
  <c r="PP229" i="5"/>
  <c r="PT229" i="5"/>
  <c r="PX229" i="5"/>
  <c r="QB229" i="5"/>
  <c r="QF229" i="5"/>
  <c r="QJ229" i="5"/>
  <c r="QN229" i="5"/>
  <c r="PM229" i="5"/>
  <c r="PQ229" i="5"/>
  <c r="PU229" i="5"/>
  <c r="PY229" i="5"/>
  <c r="QC229" i="5"/>
  <c r="QG229" i="5"/>
  <c r="QK229" i="5"/>
  <c r="QO229" i="5"/>
  <c r="PJ229" i="5"/>
  <c r="PN229" i="5"/>
  <c r="PR229" i="5"/>
  <c r="PV229" i="5"/>
  <c r="PZ229" i="5"/>
  <c r="QD229" i="5"/>
  <c r="QH229" i="5"/>
  <c r="QL229" i="5"/>
  <c r="QP229" i="5"/>
  <c r="PK229" i="5"/>
  <c r="PO229" i="5"/>
  <c r="PS229" i="5"/>
  <c r="PW229" i="5"/>
  <c r="QA229" i="5"/>
  <c r="QE229" i="5"/>
  <c r="QI229" i="5"/>
  <c r="QM229" i="5"/>
  <c r="QQ229" i="5"/>
  <c r="PK208" i="5"/>
  <c r="PO208" i="5"/>
  <c r="PS208" i="5"/>
  <c r="PW208" i="5"/>
  <c r="QA208" i="5"/>
  <c r="QE208" i="5"/>
  <c r="QI208" i="5"/>
  <c r="QM208" i="5"/>
  <c r="QQ208" i="5"/>
  <c r="PL208" i="5"/>
  <c r="PP208" i="5"/>
  <c r="PT208" i="5"/>
  <c r="PX208" i="5"/>
  <c r="QB208" i="5"/>
  <c r="QF208" i="5"/>
  <c r="QJ208" i="5"/>
  <c r="QN208" i="5"/>
  <c r="PM208" i="5"/>
  <c r="PQ208" i="5"/>
  <c r="PU208" i="5"/>
  <c r="PY208" i="5"/>
  <c r="QC208" i="5"/>
  <c r="QG208" i="5"/>
  <c r="QK208" i="5"/>
  <c r="QO208" i="5"/>
  <c r="PJ208" i="5"/>
  <c r="PN208" i="5"/>
  <c r="PR208" i="5"/>
  <c r="PV208" i="5"/>
  <c r="PZ208" i="5"/>
  <c r="QD208" i="5"/>
  <c r="QH208" i="5"/>
  <c r="QL208" i="5"/>
  <c r="QP208" i="5"/>
  <c r="PK195" i="5"/>
  <c r="PO195" i="5"/>
  <c r="PS195" i="5"/>
  <c r="PW195" i="5"/>
  <c r="QA195" i="5"/>
  <c r="QE195" i="5"/>
  <c r="QI195" i="5"/>
  <c r="QM195" i="5"/>
  <c r="QQ195" i="5"/>
  <c r="PL195" i="5"/>
  <c r="PP195" i="5"/>
  <c r="PT195" i="5"/>
  <c r="PX195" i="5"/>
  <c r="QB195" i="5"/>
  <c r="QF195" i="5"/>
  <c r="QJ195" i="5"/>
  <c r="QN195" i="5"/>
  <c r="PM195" i="5"/>
  <c r="PQ195" i="5"/>
  <c r="PU195" i="5"/>
  <c r="PY195" i="5"/>
  <c r="QC195" i="5"/>
  <c r="QG195" i="5"/>
  <c r="QK195" i="5"/>
  <c r="QO195" i="5"/>
  <c r="PJ195" i="5"/>
  <c r="PN195" i="5"/>
  <c r="PR195" i="5"/>
  <c r="PV195" i="5"/>
  <c r="PZ195" i="5"/>
  <c r="QD195" i="5"/>
  <c r="QH195" i="5"/>
  <c r="QL195" i="5"/>
  <c r="QP195" i="5"/>
  <c r="PM188" i="5"/>
  <c r="PQ188" i="5"/>
  <c r="PU188" i="5"/>
  <c r="PY188" i="5"/>
  <c r="QC188" i="5"/>
  <c r="QG188" i="5"/>
  <c r="QK188" i="5"/>
  <c r="QO188" i="5"/>
  <c r="PJ188" i="5"/>
  <c r="PO188" i="5"/>
  <c r="PT188" i="5"/>
  <c r="PZ188" i="5"/>
  <c r="QE188" i="5"/>
  <c r="QJ188" i="5"/>
  <c r="QP188" i="5"/>
  <c r="PK188" i="5"/>
  <c r="PP188" i="5"/>
  <c r="PV188" i="5"/>
  <c r="QA188" i="5"/>
  <c r="QF188" i="5"/>
  <c r="QL188" i="5"/>
  <c r="QQ188" i="5"/>
  <c r="PL188" i="5"/>
  <c r="PR188" i="5"/>
  <c r="PW188" i="5"/>
  <c r="QB188" i="5"/>
  <c r="QH188" i="5"/>
  <c r="QM188" i="5"/>
  <c r="PN188" i="5"/>
  <c r="PS188" i="5"/>
  <c r="PX188" i="5"/>
  <c r="QD188" i="5"/>
  <c r="QI188" i="5"/>
  <c r="QN188" i="5"/>
  <c r="PM180" i="5"/>
  <c r="PQ180" i="5"/>
  <c r="PU180" i="5"/>
  <c r="PY180" i="5"/>
  <c r="QC180" i="5"/>
  <c r="QG180" i="5"/>
  <c r="QK180" i="5"/>
  <c r="QO180" i="5"/>
  <c r="PJ180" i="5"/>
  <c r="PO180" i="5"/>
  <c r="PT180" i="5"/>
  <c r="PZ180" i="5"/>
  <c r="QE180" i="5"/>
  <c r="QJ180" i="5"/>
  <c r="QP180" i="5"/>
  <c r="PK180" i="5"/>
  <c r="PP180" i="5"/>
  <c r="PV180" i="5"/>
  <c r="QA180" i="5"/>
  <c r="QF180" i="5"/>
  <c r="QL180" i="5"/>
  <c r="QQ180" i="5"/>
  <c r="PL180" i="5"/>
  <c r="PR180" i="5"/>
  <c r="PW180" i="5"/>
  <c r="QB180" i="5"/>
  <c r="QH180" i="5"/>
  <c r="QM180" i="5"/>
  <c r="PN180" i="5"/>
  <c r="PS180" i="5"/>
  <c r="PX180" i="5"/>
  <c r="QD180" i="5"/>
  <c r="QI180" i="5"/>
  <c r="QN180" i="5"/>
  <c r="PJ157" i="5"/>
  <c r="PN157" i="5"/>
  <c r="PR157" i="5"/>
  <c r="PV157" i="5"/>
  <c r="PZ157" i="5"/>
  <c r="QD157" i="5"/>
  <c r="QH157" i="5"/>
  <c r="QL157" i="5"/>
  <c r="QP157" i="5"/>
  <c r="PK157" i="5"/>
  <c r="PO157" i="5"/>
  <c r="PS157" i="5"/>
  <c r="PW157" i="5"/>
  <c r="QA157" i="5"/>
  <c r="QE157" i="5"/>
  <c r="QI157" i="5"/>
  <c r="QM157" i="5"/>
  <c r="QQ157" i="5"/>
  <c r="PM157" i="5"/>
  <c r="PU157" i="5"/>
  <c r="QC157" i="5"/>
  <c r="QK157" i="5"/>
  <c r="PP157" i="5"/>
  <c r="PX157" i="5"/>
  <c r="QF157" i="5"/>
  <c r="QN157" i="5"/>
  <c r="PQ157" i="5"/>
  <c r="PY157" i="5"/>
  <c r="QG157" i="5"/>
  <c r="QO157" i="5"/>
  <c r="QB157" i="5"/>
  <c r="QJ157" i="5"/>
  <c r="PL157" i="5"/>
  <c r="PT157" i="5"/>
  <c r="PL135" i="5"/>
  <c r="PP135" i="5"/>
  <c r="PT135" i="5"/>
  <c r="PX135" i="5"/>
  <c r="QB135" i="5"/>
  <c r="QF135" i="5"/>
  <c r="QJ135" i="5"/>
  <c r="QN135" i="5"/>
  <c r="PM135" i="5"/>
  <c r="PR135" i="5"/>
  <c r="PW135" i="5"/>
  <c r="QC135" i="5"/>
  <c r="QH135" i="5"/>
  <c r="QM135" i="5"/>
  <c r="PN135" i="5"/>
  <c r="PS135" i="5"/>
  <c r="PY135" i="5"/>
  <c r="QD135" i="5"/>
  <c r="QI135" i="5"/>
  <c r="QO135" i="5"/>
  <c r="PK135" i="5"/>
  <c r="PV135" i="5"/>
  <c r="QG135" i="5"/>
  <c r="QQ135" i="5"/>
  <c r="PO135" i="5"/>
  <c r="QA135" i="5"/>
  <c r="QP135" i="5"/>
  <c r="PQ135" i="5"/>
  <c r="QE135" i="5"/>
  <c r="PU135" i="5"/>
  <c r="QK135" i="5"/>
  <c r="PJ135" i="5"/>
  <c r="PZ135" i="5"/>
  <c r="QL135" i="5"/>
  <c r="PL127" i="5"/>
  <c r="PP127" i="5"/>
  <c r="PT127" i="5"/>
  <c r="PX127" i="5"/>
  <c r="QB127" i="5"/>
  <c r="QF127" i="5"/>
  <c r="QJ127" i="5"/>
  <c r="QN127" i="5"/>
  <c r="PM127" i="5"/>
  <c r="PR127" i="5"/>
  <c r="PW127" i="5"/>
  <c r="QC127" i="5"/>
  <c r="QH127" i="5"/>
  <c r="QM127" i="5"/>
  <c r="PN127" i="5"/>
  <c r="PS127" i="5"/>
  <c r="PY127" i="5"/>
  <c r="QD127" i="5"/>
  <c r="QI127" i="5"/>
  <c r="QO127" i="5"/>
  <c r="PQ127" i="5"/>
  <c r="QA127" i="5"/>
  <c r="QL127" i="5"/>
  <c r="PK127" i="5"/>
  <c r="PV127" i="5"/>
  <c r="QG127" i="5"/>
  <c r="QQ127" i="5"/>
  <c r="PJ127" i="5"/>
  <c r="QE127" i="5"/>
  <c r="PO127" i="5"/>
  <c r="QK127" i="5"/>
  <c r="PU127" i="5"/>
  <c r="QP127" i="5"/>
  <c r="PZ127" i="5"/>
  <c r="PL120" i="5"/>
  <c r="PP120" i="5"/>
  <c r="PT120" i="5"/>
  <c r="PX120" i="5"/>
  <c r="QB120" i="5"/>
  <c r="QF120" i="5"/>
  <c r="QJ120" i="5"/>
  <c r="QN120" i="5"/>
  <c r="PM120" i="5"/>
  <c r="PR120" i="5"/>
  <c r="PW120" i="5"/>
  <c r="QC120" i="5"/>
  <c r="QH120" i="5"/>
  <c r="QM120" i="5"/>
  <c r="PN120" i="5"/>
  <c r="PS120" i="5"/>
  <c r="PY120" i="5"/>
  <c r="QD120" i="5"/>
  <c r="QI120" i="5"/>
  <c r="QO120" i="5"/>
  <c r="PK120" i="5"/>
  <c r="PV120" i="5"/>
  <c r="QG120" i="5"/>
  <c r="QQ120" i="5"/>
  <c r="PQ120" i="5"/>
  <c r="QA120" i="5"/>
  <c r="QL120" i="5"/>
  <c r="PZ120" i="5"/>
  <c r="PJ120" i="5"/>
  <c r="QE120" i="5"/>
  <c r="PO120" i="5"/>
  <c r="QK120" i="5"/>
  <c r="PU120" i="5"/>
  <c r="QP120" i="5"/>
  <c r="PJ92" i="5"/>
  <c r="PN92" i="5"/>
  <c r="PR92" i="5"/>
  <c r="PV92" i="5"/>
  <c r="PZ92" i="5"/>
  <c r="QD92" i="5"/>
  <c r="QH92" i="5"/>
  <c r="QL92" i="5"/>
  <c r="QP92" i="5"/>
  <c r="PL92" i="5"/>
  <c r="PQ92" i="5"/>
  <c r="PW92" i="5"/>
  <c r="QB92" i="5"/>
  <c r="QG92" i="5"/>
  <c r="QM92" i="5"/>
  <c r="PK92" i="5"/>
  <c r="PS92" i="5"/>
  <c r="PY92" i="5"/>
  <c r="QF92" i="5"/>
  <c r="CO92" i="5" s="1"/>
  <c r="HH92" i="5" s="1"/>
  <c r="QN92" i="5"/>
  <c r="PM92" i="5"/>
  <c r="PT92" i="5"/>
  <c r="QA92" i="5"/>
  <c r="QI92" i="5"/>
  <c r="QO92" i="5"/>
  <c r="PP92" i="5"/>
  <c r="QE92" i="5"/>
  <c r="PU92" i="5"/>
  <c r="QJ92" i="5"/>
  <c r="PX92" i="5"/>
  <c r="QK92" i="5"/>
  <c r="QQ92" i="5"/>
  <c r="PO92" i="5"/>
  <c r="QC92" i="5"/>
  <c r="PJ238" i="5"/>
  <c r="PN238" i="5"/>
  <c r="PR238" i="5"/>
  <c r="PV238" i="5"/>
  <c r="PZ238" i="5"/>
  <c r="QD238" i="5"/>
  <c r="QH238" i="5"/>
  <c r="QL238" i="5"/>
  <c r="QP238" i="5"/>
  <c r="PK238" i="5"/>
  <c r="PO238" i="5"/>
  <c r="PS238" i="5"/>
  <c r="PW238" i="5"/>
  <c r="QA238" i="5"/>
  <c r="QE238" i="5"/>
  <c r="QI238" i="5"/>
  <c r="QM238" i="5"/>
  <c r="QQ238" i="5"/>
  <c r="PL238" i="5"/>
  <c r="PP238" i="5"/>
  <c r="PT238" i="5"/>
  <c r="PX238" i="5"/>
  <c r="QB238" i="5"/>
  <c r="QF238" i="5"/>
  <c r="QJ238" i="5"/>
  <c r="QN238" i="5"/>
  <c r="PM238" i="5"/>
  <c r="PQ238" i="5"/>
  <c r="PU238" i="5"/>
  <c r="PY238" i="5"/>
  <c r="QC238" i="5"/>
  <c r="QG238" i="5"/>
  <c r="QK238" i="5"/>
  <c r="QO238" i="5"/>
  <c r="PJ222" i="5"/>
  <c r="PN222" i="5"/>
  <c r="PR222" i="5"/>
  <c r="PV222" i="5"/>
  <c r="PZ222" i="5"/>
  <c r="QD222" i="5"/>
  <c r="QH222" i="5"/>
  <c r="QL222" i="5"/>
  <c r="QP222" i="5"/>
  <c r="PK222" i="5"/>
  <c r="PO222" i="5"/>
  <c r="PS222" i="5"/>
  <c r="PW222" i="5"/>
  <c r="QA222" i="5"/>
  <c r="QE222" i="5"/>
  <c r="QI222" i="5"/>
  <c r="QM222" i="5"/>
  <c r="QQ222" i="5"/>
  <c r="PL222" i="5"/>
  <c r="PP222" i="5"/>
  <c r="PT222" i="5"/>
  <c r="PX222" i="5"/>
  <c r="QB222" i="5"/>
  <c r="QF222" i="5"/>
  <c r="QJ222" i="5"/>
  <c r="QN222" i="5"/>
  <c r="PM222" i="5"/>
  <c r="PQ222" i="5"/>
  <c r="PU222" i="5"/>
  <c r="PY222" i="5"/>
  <c r="QC222" i="5"/>
  <c r="QG222" i="5"/>
  <c r="QK222" i="5"/>
  <c r="QO222" i="5"/>
  <c r="PM212" i="5"/>
  <c r="PQ212" i="5"/>
  <c r="PU212" i="5"/>
  <c r="PY212" i="5"/>
  <c r="QC212" i="5"/>
  <c r="QG212" i="5"/>
  <c r="QK212" i="5"/>
  <c r="QO212" i="5"/>
  <c r="PJ212" i="5"/>
  <c r="PN212" i="5"/>
  <c r="PR212" i="5"/>
  <c r="PV212" i="5"/>
  <c r="PZ212" i="5"/>
  <c r="QD212" i="5"/>
  <c r="QH212" i="5"/>
  <c r="QL212" i="5"/>
  <c r="QP212" i="5"/>
  <c r="PK212" i="5"/>
  <c r="PO212" i="5"/>
  <c r="PS212" i="5"/>
  <c r="PW212" i="5"/>
  <c r="QA212" i="5"/>
  <c r="QE212" i="5"/>
  <c r="QI212" i="5"/>
  <c r="QM212" i="5"/>
  <c r="QQ212" i="5"/>
  <c r="PL212" i="5"/>
  <c r="PP212" i="5"/>
  <c r="PT212" i="5"/>
  <c r="PX212" i="5"/>
  <c r="QB212" i="5"/>
  <c r="QF212" i="5"/>
  <c r="QJ212" i="5"/>
  <c r="QN212" i="5"/>
  <c r="PL154" i="5"/>
  <c r="PP154" i="5"/>
  <c r="PT154" i="5"/>
  <c r="PX154" i="5"/>
  <c r="QB154" i="5"/>
  <c r="QF154" i="5"/>
  <c r="QJ154" i="5"/>
  <c r="QN154" i="5"/>
  <c r="PM154" i="5"/>
  <c r="PQ154" i="5"/>
  <c r="PU154" i="5"/>
  <c r="PY154" i="5"/>
  <c r="QC154" i="5"/>
  <c r="QG154" i="5"/>
  <c r="QK154" i="5"/>
  <c r="QO154" i="5"/>
  <c r="PK154" i="5"/>
  <c r="PS154" i="5"/>
  <c r="QA154" i="5"/>
  <c r="QI154" i="5"/>
  <c r="QQ154" i="5"/>
  <c r="PN154" i="5"/>
  <c r="PV154" i="5"/>
  <c r="QD154" i="5"/>
  <c r="QL154" i="5"/>
  <c r="PO154" i="5"/>
  <c r="PW154" i="5"/>
  <c r="QE154" i="5"/>
  <c r="QM154" i="5"/>
  <c r="QH154" i="5"/>
  <c r="PJ154" i="5"/>
  <c r="QP154" i="5"/>
  <c r="PR154" i="5"/>
  <c r="PZ154" i="5"/>
  <c r="PJ140" i="5"/>
  <c r="PN140" i="5"/>
  <c r="PR140" i="5"/>
  <c r="PV140" i="5"/>
  <c r="PZ140" i="5"/>
  <c r="QD140" i="5"/>
  <c r="QH140" i="5"/>
  <c r="QL140" i="5"/>
  <c r="QP140" i="5"/>
  <c r="PM140" i="5"/>
  <c r="PS140" i="5"/>
  <c r="PX140" i="5"/>
  <c r="QC140" i="5"/>
  <c r="QI140" i="5"/>
  <c r="QN140" i="5"/>
  <c r="CO140" i="5" s="1"/>
  <c r="HH140" i="5" s="1"/>
  <c r="PO140" i="5"/>
  <c r="PT140" i="5"/>
  <c r="PY140" i="5"/>
  <c r="QE140" i="5"/>
  <c r="QJ140" i="5"/>
  <c r="QO140" i="5"/>
  <c r="PL140" i="5"/>
  <c r="PW140" i="5"/>
  <c r="QG140" i="5"/>
  <c r="PP140" i="5"/>
  <c r="QB140" i="5"/>
  <c r="QQ140" i="5"/>
  <c r="PQ140" i="5"/>
  <c r="QF140" i="5"/>
  <c r="PU140" i="5"/>
  <c r="QK140" i="5"/>
  <c r="PK140" i="5"/>
  <c r="QA140" i="5"/>
  <c r="QM140" i="5"/>
  <c r="PJ125" i="5"/>
  <c r="PN125" i="5"/>
  <c r="PR125" i="5"/>
  <c r="PV125" i="5"/>
  <c r="PZ125" i="5"/>
  <c r="QD125" i="5"/>
  <c r="QH125" i="5"/>
  <c r="QL125" i="5"/>
  <c r="QP125" i="5"/>
  <c r="PM125" i="5"/>
  <c r="PS125" i="5"/>
  <c r="PX125" i="5"/>
  <c r="QC125" i="5"/>
  <c r="QI125" i="5"/>
  <c r="QN125" i="5"/>
  <c r="PO125" i="5"/>
  <c r="PT125" i="5"/>
  <c r="PY125" i="5"/>
  <c r="QE125" i="5"/>
  <c r="QJ125" i="5"/>
  <c r="QO125" i="5"/>
  <c r="PL125" i="5"/>
  <c r="PW125" i="5"/>
  <c r="QG125" i="5"/>
  <c r="PQ125" i="5"/>
  <c r="QB125" i="5"/>
  <c r="QM125" i="5"/>
  <c r="QA125" i="5"/>
  <c r="PK125" i="5"/>
  <c r="QF125" i="5"/>
  <c r="PP125" i="5"/>
  <c r="QK125" i="5"/>
  <c r="PU125" i="5"/>
  <c r="QQ125" i="5"/>
  <c r="PK53" i="5"/>
  <c r="PO53" i="5"/>
  <c r="PS53" i="5"/>
  <c r="PW53" i="5"/>
  <c r="QA53" i="5"/>
  <c r="QE53" i="5"/>
  <c r="QI53" i="5"/>
  <c r="QM53" i="5"/>
  <c r="QQ53" i="5"/>
  <c r="PL53" i="5"/>
  <c r="PQ53" i="5"/>
  <c r="PV53" i="5"/>
  <c r="QB53" i="5"/>
  <c r="QG53" i="5"/>
  <c r="QL53" i="5"/>
  <c r="PP53" i="5"/>
  <c r="PX53" i="5"/>
  <c r="QD53" i="5"/>
  <c r="QK53" i="5"/>
  <c r="PJ53" i="5"/>
  <c r="PR53" i="5"/>
  <c r="PY53" i="5"/>
  <c r="QF53" i="5"/>
  <c r="QN53" i="5"/>
  <c r="PT53" i="5"/>
  <c r="QH53" i="5"/>
  <c r="PU53" i="5"/>
  <c r="QJ53" i="5"/>
  <c r="PZ53" i="5"/>
  <c r="QC53" i="5"/>
  <c r="PM53" i="5"/>
  <c r="QO53" i="5"/>
  <c r="PN53" i="5"/>
  <c r="QP53" i="5"/>
  <c r="PJ248" i="5"/>
  <c r="PN248" i="5"/>
  <c r="PR248" i="5"/>
  <c r="PV248" i="5"/>
  <c r="PZ248" i="5"/>
  <c r="QD248" i="5"/>
  <c r="QH248" i="5"/>
  <c r="QL248" i="5"/>
  <c r="QP248" i="5"/>
  <c r="PK248" i="5"/>
  <c r="PO248" i="5"/>
  <c r="PS248" i="5"/>
  <c r="PW248" i="5"/>
  <c r="QA248" i="5"/>
  <c r="QE248" i="5"/>
  <c r="QI248" i="5"/>
  <c r="QM248" i="5"/>
  <c r="QQ248" i="5"/>
  <c r="PL248" i="5"/>
  <c r="PP248" i="5"/>
  <c r="PT248" i="5"/>
  <c r="PX248" i="5"/>
  <c r="QB248" i="5"/>
  <c r="QF248" i="5"/>
  <c r="QJ248" i="5"/>
  <c r="QN248" i="5"/>
  <c r="PM248" i="5"/>
  <c r="PQ248" i="5"/>
  <c r="PU248" i="5"/>
  <c r="PY248" i="5"/>
  <c r="QC248" i="5"/>
  <c r="QG248" i="5"/>
  <c r="QK248" i="5"/>
  <c r="QO248" i="5"/>
  <c r="PM214" i="5"/>
  <c r="PQ214" i="5"/>
  <c r="PU214" i="5"/>
  <c r="PY214" i="5"/>
  <c r="QC214" i="5"/>
  <c r="QG214" i="5"/>
  <c r="QK214" i="5"/>
  <c r="QO214" i="5"/>
  <c r="PN214" i="5"/>
  <c r="PS214" i="5"/>
  <c r="PX214" i="5"/>
  <c r="QD214" i="5"/>
  <c r="QI214" i="5"/>
  <c r="QN214" i="5"/>
  <c r="PJ214" i="5"/>
  <c r="PO214" i="5"/>
  <c r="PT214" i="5"/>
  <c r="PZ214" i="5"/>
  <c r="QE214" i="5"/>
  <c r="QJ214" i="5"/>
  <c r="QP214" i="5"/>
  <c r="PK214" i="5"/>
  <c r="PP214" i="5"/>
  <c r="PV214" i="5"/>
  <c r="QA214" i="5"/>
  <c r="QF214" i="5"/>
  <c r="QL214" i="5"/>
  <c r="QQ214" i="5"/>
  <c r="PR214" i="5"/>
  <c r="QM214" i="5"/>
  <c r="PW214" i="5"/>
  <c r="QB214" i="5"/>
  <c r="PL214" i="5"/>
  <c r="QH214" i="5"/>
  <c r="PM201" i="5"/>
  <c r="PQ201" i="5"/>
  <c r="PU201" i="5"/>
  <c r="PY201" i="5"/>
  <c r="QC201" i="5"/>
  <c r="QG201" i="5"/>
  <c r="QK201" i="5"/>
  <c r="QO201" i="5"/>
  <c r="PJ201" i="5"/>
  <c r="PN201" i="5"/>
  <c r="PR201" i="5"/>
  <c r="PV201" i="5"/>
  <c r="PZ201" i="5"/>
  <c r="QD201" i="5"/>
  <c r="QH201" i="5"/>
  <c r="QL201" i="5"/>
  <c r="QP201" i="5"/>
  <c r="PK201" i="5"/>
  <c r="PO201" i="5"/>
  <c r="PS201" i="5"/>
  <c r="PW201" i="5"/>
  <c r="QA201" i="5"/>
  <c r="QE201" i="5"/>
  <c r="QI201" i="5"/>
  <c r="QM201" i="5"/>
  <c r="QQ201" i="5"/>
  <c r="PL201" i="5"/>
  <c r="PP201" i="5"/>
  <c r="PT201" i="5"/>
  <c r="PX201" i="5"/>
  <c r="QB201" i="5"/>
  <c r="QF201" i="5"/>
  <c r="QJ201" i="5"/>
  <c r="QN201" i="5"/>
  <c r="PK187" i="5"/>
  <c r="PO187" i="5"/>
  <c r="PS187" i="5"/>
  <c r="PW187" i="5"/>
  <c r="QA187" i="5"/>
  <c r="QE187" i="5"/>
  <c r="QI187" i="5"/>
  <c r="QM187" i="5"/>
  <c r="QQ187" i="5"/>
  <c r="PL187" i="5"/>
  <c r="PQ187" i="5"/>
  <c r="PV187" i="5"/>
  <c r="QB187" i="5"/>
  <c r="QG187" i="5"/>
  <c r="QL187" i="5"/>
  <c r="PM187" i="5"/>
  <c r="PR187" i="5"/>
  <c r="PX187" i="5"/>
  <c r="QC187" i="5"/>
  <c r="QH187" i="5"/>
  <c r="QN187" i="5"/>
  <c r="PN187" i="5"/>
  <c r="PT187" i="5"/>
  <c r="PY187" i="5"/>
  <c r="QD187" i="5"/>
  <c r="QJ187" i="5"/>
  <c r="QO187" i="5"/>
  <c r="PJ187" i="5"/>
  <c r="PP187" i="5"/>
  <c r="PU187" i="5"/>
  <c r="PZ187" i="5"/>
  <c r="QF187" i="5"/>
  <c r="QK187" i="5"/>
  <c r="QP187" i="5"/>
  <c r="PK171" i="5"/>
  <c r="PO171" i="5"/>
  <c r="PS171" i="5"/>
  <c r="PW171" i="5"/>
  <c r="QA171" i="5"/>
  <c r="QE171" i="5"/>
  <c r="QI171" i="5"/>
  <c r="QM171" i="5"/>
  <c r="QQ171" i="5"/>
  <c r="PL171" i="5"/>
  <c r="PP171" i="5"/>
  <c r="PT171" i="5"/>
  <c r="PX171" i="5"/>
  <c r="QB171" i="5"/>
  <c r="QF171" i="5"/>
  <c r="QJ171" i="5"/>
  <c r="QN171" i="5"/>
  <c r="PQ171" i="5"/>
  <c r="PY171" i="5"/>
  <c r="QG171" i="5"/>
  <c r="QO171" i="5"/>
  <c r="PJ171" i="5"/>
  <c r="PR171" i="5"/>
  <c r="PZ171" i="5"/>
  <c r="QH171" i="5"/>
  <c r="QP171" i="5"/>
  <c r="PM171" i="5"/>
  <c r="PU171" i="5"/>
  <c r="QC171" i="5"/>
  <c r="QK171" i="5"/>
  <c r="PN171" i="5"/>
  <c r="PV171" i="5"/>
  <c r="QD171" i="5"/>
  <c r="QL171" i="5"/>
  <c r="PJ142" i="5"/>
  <c r="PN142" i="5"/>
  <c r="PR142" i="5"/>
  <c r="PV142" i="5"/>
  <c r="PZ142" i="5"/>
  <c r="QD142" i="5"/>
  <c r="QH142" i="5"/>
  <c r="QL142" i="5"/>
  <c r="QP142" i="5"/>
  <c r="PO142" i="5"/>
  <c r="PT142" i="5"/>
  <c r="PY142" i="5"/>
  <c r="QE142" i="5"/>
  <c r="QJ142" i="5"/>
  <c r="QO142" i="5"/>
  <c r="PK142" i="5"/>
  <c r="PP142" i="5"/>
  <c r="PU142" i="5"/>
  <c r="QA142" i="5"/>
  <c r="QF142" i="5"/>
  <c r="QK142" i="5"/>
  <c r="QQ142" i="5"/>
  <c r="PS142" i="5"/>
  <c r="QC142" i="5"/>
  <c r="QN142" i="5"/>
  <c r="PQ142" i="5"/>
  <c r="QG142" i="5"/>
  <c r="CO142" i="5" s="1"/>
  <c r="HH142" i="5" s="1"/>
  <c r="PW142" i="5"/>
  <c r="QI142" i="5"/>
  <c r="PL142" i="5"/>
  <c r="PX142" i="5"/>
  <c r="QM142" i="5"/>
  <c r="PM142" i="5"/>
  <c r="QB142" i="5"/>
  <c r="PJ126" i="5"/>
  <c r="PN126" i="5"/>
  <c r="PR126" i="5"/>
  <c r="PV126" i="5"/>
  <c r="PZ126" i="5"/>
  <c r="QD126" i="5"/>
  <c r="QH126" i="5"/>
  <c r="QL126" i="5"/>
  <c r="QP126" i="5"/>
  <c r="PO126" i="5"/>
  <c r="PT126" i="5"/>
  <c r="PY126" i="5"/>
  <c r="QE126" i="5"/>
  <c r="QJ126" i="5"/>
  <c r="QO126" i="5"/>
  <c r="PK126" i="5"/>
  <c r="PP126" i="5"/>
  <c r="PU126" i="5"/>
  <c r="QA126" i="5"/>
  <c r="QF126" i="5"/>
  <c r="CO126" i="5" s="1"/>
  <c r="QK126" i="5"/>
  <c r="QQ126" i="5"/>
  <c r="PS126" i="5"/>
  <c r="QC126" i="5"/>
  <c r="QN126" i="5"/>
  <c r="PM126" i="5"/>
  <c r="PX126" i="5"/>
  <c r="QI126" i="5"/>
  <c r="PW126" i="5"/>
  <c r="QB126" i="5"/>
  <c r="PL126" i="5"/>
  <c r="QG126" i="5"/>
  <c r="PQ126" i="5"/>
  <c r="QM126" i="5"/>
  <c r="PL71" i="5"/>
  <c r="PP71" i="5"/>
  <c r="PT71" i="5"/>
  <c r="PX71" i="5"/>
  <c r="QB71" i="5"/>
  <c r="QF71" i="5"/>
  <c r="QJ71" i="5"/>
  <c r="QN71" i="5"/>
  <c r="PM71" i="5"/>
  <c r="PQ71" i="5"/>
  <c r="PU71" i="5"/>
  <c r="PY71" i="5"/>
  <c r="QC71" i="5"/>
  <c r="QG71" i="5"/>
  <c r="QK71" i="5"/>
  <c r="QO71" i="5"/>
  <c r="PN71" i="5"/>
  <c r="PV71" i="5"/>
  <c r="QD71" i="5"/>
  <c r="QL71" i="5"/>
  <c r="PO71" i="5"/>
  <c r="PW71" i="5"/>
  <c r="QE71" i="5"/>
  <c r="QM71" i="5"/>
  <c r="PJ71" i="5"/>
  <c r="PZ71" i="5"/>
  <c r="QP71" i="5"/>
  <c r="PK71" i="5"/>
  <c r="QA71" i="5"/>
  <c r="QQ71" i="5"/>
  <c r="PR71" i="5"/>
  <c r="QH71" i="5"/>
  <c r="QI71" i="5"/>
  <c r="PS71" i="5"/>
  <c r="PL243" i="5"/>
  <c r="PP243" i="5"/>
  <c r="PT243" i="5"/>
  <c r="PX243" i="5"/>
  <c r="QB243" i="5"/>
  <c r="QF243" i="5"/>
  <c r="QJ243" i="5"/>
  <c r="QN243" i="5"/>
  <c r="PM243" i="5"/>
  <c r="PQ243" i="5"/>
  <c r="PU243" i="5"/>
  <c r="PY243" i="5"/>
  <c r="QC243" i="5"/>
  <c r="QG243" i="5"/>
  <c r="QK243" i="5"/>
  <c r="QO243" i="5"/>
  <c r="PJ243" i="5"/>
  <c r="PN243" i="5"/>
  <c r="PR243" i="5"/>
  <c r="PV243" i="5"/>
  <c r="PZ243" i="5"/>
  <c r="QD243" i="5"/>
  <c r="QH243" i="5"/>
  <c r="QL243" i="5"/>
  <c r="QP243" i="5"/>
  <c r="PK243" i="5"/>
  <c r="PO243" i="5"/>
  <c r="PS243" i="5"/>
  <c r="PW243" i="5"/>
  <c r="QA243" i="5"/>
  <c r="QE243" i="5"/>
  <c r="QI243" i="5"/>
  <c r="QM243" i="5"/>
  <c r="QQ243" i="5"/>
  <c r="PL235" i="5"/>
  <c r="PP235" i="5"/>
  <c r="PT235" i="5"/>
  <c r="PX235" i="5"/>
  <c r="QB235" i="5"/>
  <c r="QF235" i="5"/>
  <c r="QJ235" i="5"/>
  <c r="QN235" i="5"/>
  <c r="PM235" i="5"/>
  <c r="PQ235" i="5"/>
  <c r="PU235" i="5"/>
  <c r="PY235" i="5"/>
  <c r="QC235" i="5"/>
  <c r="QG235" i="5"/>
  <c r="QK235" i="5"/>
  <c r="QO235" i="5"/>
  <c r="PJ235" i="5"/>
  <c r="CO235" i="5" s="1"/>
  <c r="HH235" i="5" s="1"/>
  <c r="PN235" i="5"/>
  <c r="PR235" i="5"/>
  <c r="PV235" i="5"/>
  <c r="PZ235" i="5"/>
  <c r="QD235" i="5"/>
  <c r="QH235" i="5"/>
  <c r="QL235" i="5"/>
  <c r="QP235" i="5"/>
  <c r="PK235" i="5"/>
  <c r="PO235" i="5"/>
  <c r="PS235" i="5"/>
  <c r="PW235" i="5"/>
  <c r="QA235" i="5"/>
  <c r="QE235" i="5"/>
  <c r="QI235" i="5"/>
  <c r="QM235" i="5"/>
  <c r="QQ235" i="5"/>
  <c r="PL227" i="5"/>
  <c r="PP227" i="5"/>
  <c r="PT227" i="5"/>
  <c r="PX227" i="5"/>
  <c r="QB227" i="5"/>
  <c r="QF227" i="5"/>
  <c r="QJ227" i="5"/>
  <c r="QN227" i="5"/>
  <c r="PM227" i="5"/>
  <c r="PQ227" i="5"/>
  <c r="PU227" i="5"/>
  <c r="PY227" i="5"/>
  <c r="QC227" i="5"/>
  <c r="QG227" i="5"/>
  <c r="QK227" i="5"/>
  <c r="QO227" i="5"/>
  <c r="PJ227" i="5"/>
  <c r="PN227" i="5"/>
  <c r="PR227" i="5"/>
  <c r="PV227" i="5"/>
  <c r="PZ227" i="5"/>
  <c r="QD227" i="5"/>
  <c r="QH227" i="5"/>
  <c r="QL227" i="5"/>
  <c r="QP227" i="5"/>
  <c r="PK227" i="5"/>
  <c r="PO227" i="5"/>
  <c r="PS227" i="5"/>
  <c r="PW227" i="5"/>
  <c r="QA227" i="5"/>
  <c r="QE227" i="5"/>
  <c r="QI227" i="5"/>
  <c r="QM227" i="5"/>
  <c r="QQ227" i="5"/>
  <c r="PK200" i="5"/>
  <c r="PO200" i="5"/>
  <c r="PS200" i="5"/>
  <c r="PW200" i="5"/>
  <c r="QA200" i="5"/>
  <c r="QE200" i="5"/>
  <c r="QI200" i="5"/>
  <c r="QM200" i="5"/>
  <c r="QQ200" i="5"/>
  <c r="PL200" i="5"/>
  <c r="PP200" i="5"/>
  <c r="PT200" i="5"/>
  <c r="PX200" i="5"/>
  <c r="QB200" i="5"/>
  <c r="QF200" i="5"/>
  <c r="QJ200" i="5"/>
  <c r="QN200" i="5"/>
  <c r="PM200" i="5"/>
  <c r="PQ200" i="5"/>
  <c r="PU200" i="5"/>
  <c r="PY200" i="5"/>
  <c r="QC200" i="5"/>
  <c r="QG200" i="5"/>
  <c r="QK200" i="5"/>
  <c r="QO200" i="5"/>
  <c r="PJ200" i="5"/>
  <c r="CO200" i="5" s="1"/>
  <c r="HH200" i="5" s="1"/>
  <c r="HI200" i="5" s="1"/>
  <c r="PN200" i="5"/>
  <c r="PR200" i="5"/>
  <c r="PV200" i="5"/>
  <c r="PZ200" i="5"/>
  <c r="QD200" i="5"/>
  <c r="QH200" i="5"/>
  <c r="QL200" i="5"/>
  <c r="QP200" i="5"/>
  <c r="PM186" i="5"/>
  <c r="PQ186" i="5"/>
  <c r="PU186" i="5"/>
  <c r="PY186" i="5"/>
  <c r="QC186" i="5"/>
  <c r="QG186" i="5"/>
  <c r="QK186" i="5"/>
  <c r="QO186" i="5"/>
  <c r="PN186" i="5"/>
  <c r="PS186" i="5"/>
  <c r="PX186" i="5"/>
  <c r="QD186" i="5"/>
  <c r="QI186" i="5"/>
  <c r="QN186" i="5"/>
  <c r="PJ186" i="5"/>
  <c r="PO186" i="5"/>
  <c r="PT186" i="5"/>
  <c r="PZ186" i="5"/>
  <c r="QE186" i="5"/>
  <c r="QJ186" i="5"/>
  <c r="QP186" i="5"/>
  <c r="PK186" i="5"/>
  <c r="PP186" i="5"/>
  <c r="PV186" i="5"/>
  <c r="QA186" i="5"/>
  <c r="QF186" i="5"/>
  <c r="QL186" i="5"/>
  <c r="QQ186" i="5"/>
  <c r="PL186" i="5"/>
  <c r="PR186" i="5"/>
  <c r="PW186" i="5"/>
  <c r="QB186" i="5"/>
  <c r="QH186" i="5"/>
  <c r="QM186" i="5"/>
  <c r="PM178" i="5"/>
  <c r="PQ178" i="5"/>
  <c r="PU178" i="5"/>
  <c r="PY178" i="5"/>
  <c r="QC178" i="5"/>
  <c r="QG178" i="5"/>
  <c r="QK178" i="5"/>
  <c r="QO178" i="5"/>
  <c r="PN178" i="5"/>
  <c r="PS178" i="5"/>
  <c r="PX178" i="5"/>
  <c r="QD178" i="5"/>
  <c r="QI178" i="5"/>
  <c r="QN178" i="5"/>
  <c r="PJ178" i="5"/>
  <c r="CO178" i="5" s="1"/>
  <c r="HH178" i="5" s="1"/>
  <c r="PO178" i="5"/>
  <c r="PT178" i="5"/>
  <c r="PZ178" i="5"/>
  <c r="QE178" i="5"/>
  <c r="QJ178" i="5"/>
  <c r="QP178" i="5"/>
  <c r="PK178" i="5"/>
  <c r="PP178" i="5"/>
  <c r="PV178" i="5"/>
  <c r="QA178" i="5"/>
  <c r="QF178" i="5"/>
  <c r="QL178" i="5"/>
  <c r="QQ178" i="5"/>
  <c r="PL178" i="5"/>
  <c r="PR178" i="5"/>
  <c r="PW178" i="5"/>
  <c r="QB178" i="5"/>
  <c r="QH178" i="5"/>
  <c r="QM178" i="5"/>
  <c r="PM163" i="5"/>
  <c r="PQ163" i="5"/>
  <c r="PU163" i="5"/>
  <c r="PY163" i="5"/>
  <c r="QC163" i="5"/>
  <c r="QG163" i="5"/>
  <c r="QK163" i="5"/>
  <c r="QO163" i="5"/>
  <c r="PJ163" i="5"/>
  <c r="PN163" i="5"/>
  <c r="PR163" i="5"/>
  <c r="PV163" i="5"/>
  <c r="PZ163" i="5"/>
  <c r="QD163" i="5"/>
  <c r="QH163" i="5"/>
  <c r="QL163" i="5"/>
  <c r="QP163" i="5"/>
  <c r="PK163" i="5"/>
  <c r="PO163" i="5"/>
  <c r="PS163" i="5"/>
  <c r="PW163" i="5"/>
  <c r="QA163" i="5"/>
  <c r="QE163" i="5"/>
  <c r="QI163" i="5"/>
  <c r="QM163" i="5"/>
  <c r="QQ163" i="5"/>
  <c r="PP163" i="5"/>
  <c r="QF163" i="5"/>
  <c r="PT163" i="5"/>
  <c r="QJ163" i="5"/>
  <c r="PX163" i="5"/>
  <c r="QN163" i="5"/>
  <c r="PL163" i="5"/>
  <c r="QB163" i="5"/>
  <c r="PJ147" i="5"/>
  <c r="PN147" i="5"/>
  <c r="PR147" i="5"/>
  <c r="PV147" i="5"/>
  <c r="PZ147" i="5"/>
  <c r="QD147" i="5"/>
  <c r="QH147" i="5"/>
  <c r="QL147" i="5"/>
  <c r="QP147" i="5"/>
  <c r="PK147" i="5"/>
  <c r="PO147" i="5"/>
  <c r="PS147" i="5"/>
  <c r="PW147" i="5"/>
  <c r="QA147" i="5"/>
  <c r="QE147" i="5"/>
  <c r="QI147" i="5"/>
  <c r="QM147" i="5"/>
  <c r="QQ147" i="5"/>
  <c r="PQ147" i="5"/>
  <c r="PY147" i="5"/>
  <c r="QG147" i="5"/>
  <c r="QO147" i="5"/>
  <c r="PL147" i="5"/>
  <c r="PT147" i="5"/>
  <c r="QB147" i="5"/>
  <c r="QJ147" i="5"/>
  <c r="PM147" i="5"/>
  <c r="PU147" i="5"/>
  <c r="QC147" i="5"/>
  <c r="QK147" i="5"/>
  <c r="PP147" i="5"/>
  <c r="PX147" i="5"/>
  <c r="QF147" i="5"/>
  <c r="QN147" i="5"/>
  <c r="PL141" i="5"/>
  <c r="PP141" i="5"/>
  <c r="PT141" i="5"/>
  <c r="PX141" i="5"/>
  <c r="QB141" i="5"/>
  <c r="QF141" i="5"/>
  <c r="QJ141" i="5"/>
  <c r="QN141" i="5"/>
  <c r="PK141" i="5"/>
  <c r="PQ141" i="5"/>
  <c r="PV141" i="5"/>
  <c r="QA141" i="5"/>
  <c r="QG141" i="5"/>
  <c r="QL141" i="5"/>
  <c r="QQ141" i="5"/>
  <c r="PM141" i="5"/>
  <c r="PR141" i="5"/>
  <c r="PW141" i="5"/>
  <c r="QC141" i="5"/>
  <c r="QH141" i="5"/>
  <c r="QM141" i="5"/>
  <c r="PJ141" i="5"/>
  <c r="CO141" i="5" s="1"/>
  <c r="HH141" i="5" s="1"/>
  <c r="PU141" i="5"/>
  <c r="QE141" i="5"/>
  <c r="QP141" i="5"/>
  <c r="PY141" i="5"/>
  <c r="QK141" i="5"/>
  <c r="PN141" i="5"/>
  <c r="PZ141" i="5"/>
  <c r="QO141" i="5"/>
  <c r="PO141" i="5"/>
  <c r="QD141" i="5"/>
  <c r="PS141" i="5"/>
  <c r="QI141" i="5"/>
  <c r="PL102" i="5"/>
  <c r="PP102" i="5"/>
  <c r="PT102" i="5"/>
  <c r="PX102" i="5"/>
  <c r="QB102" i="5"/>
  <c r="QF102" i="5"/>
  <c r="QJ102" i="5"/>
  <c r="QN102" i="5"/>
  <c r="PK102" i="5"/>
  <c r="PQ102" i="5"/>
  <c r="PV102" i="5"/>
  <c r="QA102" i="5"/>
  <c r="QG102" i="5"/>
  <c r="QL102" i="5"/>
  <c r="QQ102" i="5"/>
  <c r="PM102" i="5"/>
  <c r="PR102" i="5"/>
  <c r="PW102" i="5"/>
  <c r="QC102" i="5"/>
  <c r="QH102" i="5"/>
  <c r="QM102" i="5"/>
  <c r="PO102" i="5"/>
  <c r="PZ102" i="5"/>
  <c r="QK102" i="5"/>
  <c r="PS102" i="5"/>
  <c r="QD102" i="5"/>
  <c r="QO102" i="5"/>
  <c r="PJ102" i="5"/>
  <c r="PU102" i="5"/>
  <c r="QE102" i="5"/>
  <c r="QP102" i="5"/>
  <c r="PN102" i="5"/>
  <c r="PY102" i="5"/>
  <c r="QI102" i="5"/>
  <c r="PM38" i="5"/>
  <c r="PQ38" i="5"/>
  <c r="PU38" i="5"/>
  <c r="PY38" i="5"/>
  <c r="QC38" i="5"/>
  <c r="QG38" i="5"/>
  <c r="QK38" i="5"/>
  <c r="QO38" i="5"/>
  <c r="PJ38" i="5"/>
  <c r="PO38" i="5"/>
  <c r="PT38" i="5"/>
  <c r="PZ38" i="5"/>
  <c r="QE38" i="5"/>
  <c r="QJ38" i="5"/>
  <c r="QP38" i="5"/>
  <c r="PK38" i="5"/>
  <c r="PP38" i="5"/>
  <c r="PV38" i="5"/>
  <c r="QA38" i="5"/>
  <c r="QF38" i="5"/>
  <c r="QL38" i="5"/>
  <c r="QQ38" i="5"/>
  <c r="CO38" i="5" s="1"/>
  <c r="HH38" i="5" s="1"/>
  <c r="PL38" i="5"/>
  <c r="PW38" i="5"/>
  <c r="QH38" i="5"/>
  <c r="PN38" i="5"/>
  <c r="PX38" i="5"/>
  <c r="QI38" i="5"/>
  <c r="PR38" i="5"/>
  <c r="QM38" i="5"/>
  <c r="PS38" i="5"/>
  <c r="QN38" i="5"/>
  <c r="QB38" i="5"/>
  <c r="QD38" i="5"/>
  <c r="PJ10" i="5"/>
  <c r="PN10" i="5"/>
  <c r="PR10" i="5"/>
  <c r="PV10" i="5"/>
  <c r="PZ10" i="5"/>
  <c r="QD10" i="5"/>
  <c r="QH10" i="5"/>
  <c r="QL10" i="5"/>
  <c r="QP10" i="5"/>
  <c r="PL10" i="5"/>
  <c r="PQ10" i="5"/>
  <c r="PW10" i="5"/>
  <c r="QB10" i="5"/>
  <c r="QG10" i="5"/>
  <c r="QM10" i="5"/>
  <c r="PM10" i="5"/>
  <c r="PS10" i="5"/>
  <c r="PX10" i="5"/>
  <c r="QC10" i="5"/>
  <c r="QI10" i="5"/>
  <c r="QN10" i="5"/>
  <c r="PT10" i="5"/>
  <c r="QE10" i="5"/>
  <c r="QO10" i="5"/>
  <c r="PK10" i="5"/>
  <c r="PY10" i="5"/>
  <c r="QK10" i="5"/>
  <c r="PO10" i="5"/>
  <c r="QF10" i="5"/>
  <c r="PP10" i="5"/>
  <c r="QJ10" i="5"/>
  <c r="CO10" i="5" s="1"/>
  <c r="HH10" i="5" s="1"/>
  <c r="QQ10" i="5"/>
  <c r="PU10" i="5"/>
  <c r="QA10" i="5"/>
  <c r="PJ242" i="5"/>
  <c r="PN242" i="5"/>
  <c r="PR242" i="5"/>
  <c r="PV242" i="5"/>
  <c r="PZ242" i="5"/>
  <c r="QD242" i="5"/>
  <c r="QH242" i="5"/>
  <c r="QL242" i="5"/>
  <c r="QP242" i="5"/>
  <c r="PK242" i="5"/>
  <c r="PO242" i="5"/>
  <c r="PS242" i="5"/>
  <c r="PW242" i="5"/>
  <c r="QA242" i="5"/>
  <c r="QE242" i="5"/>
  <c r="QI242" i="5"/>
  <c r="QM242" i="5"/>
  <c r="QQ242" i="5"/>
  <c r="PL242" i="5"/>
  <c r="PP242" i="5"/>
  <c r="PT242" i="5"/>
  <c r="PX242" i="5"/>
  <c r="QB242" i="5"/>
  <c r="QF242" i="5"/>
  <c r="QJ242" i="5"/>
  <c r="QN242" i="5"/>
  <c r="PM242" i="5"/>
  <c r="PQ242" i="5"/>
  <c r="PU242" i="5"/>
  <c r="PY242" i="5"/>
  <c r="QC242" i="5"/>
  <c r="QG242" i="5"/>
  <c r="QK242" i="5"/>
  <c r="QO242" i="5"/>
  <c r="PJ226" i="5"/>
  <c r="PN226" i="5"/>
  <c r="PR226" i="5"/>
  <c r="PV226" i="5"/>
  <c r="PZ226" i="5"/>
  <c r="QD226" i="5"/>
  <c r="QH226" i="5"/>
  <c r="QL226" i="5"/>
  <c r="QP226" i="5"/>
  <c r="PK226" i="5"/>
  <c r="PO226" i="5"/>
  <c r="PS226" i="5"/>
  <c r="PW226" i="5"/>
  <c r="QA226" i="5"/>
  <c r="QE226" i="5"/>
  <c r="QI226" i="5"/>
  <c r="QM226" i="5"/>
  <c r="QQ226" i="5"/>
  <c r="PL226" i="5"/>
  <c r="PP226" i="5"/>
  <c r="PT226" i="5"/>
  <c r="PX226" i="5"/>
  <c r="QB226" i="5"/>
  <c r="QF226" i="5"/>
  <c r="QJ226" i="5"/>
  <c r="QN226" i="5"/>
  <c r="PM226" i="5"/>
  <c r="PQ226" i="5"/>
  <c r="PU226" i="5"/>
  <c r="PY226" i="5"/>
  <c r="QC226" i="5"/>
  <c r="QG226" i="5"/>
  <c r="QK226" i="5"/>
  <c r="QO226" i="5"/>
  <c r="PM215" i="5"/>
  <c r="PQ215" i="5"/>
  <c r="PU215" i="5"/>
  <c r="PY215" i="5"/>
  <c r="QC215" i="5"/>
  <c r="QG215" i="5"/>
  <c r="QK215" i="5"/>
  <c r="QO215" i="5"/>
  <c r="PJ215" i="5"/>
  <c r="PO215" i="5"/>
  <c r="PT215" i="5"/>
  <c r="PZ215" i="5"/>
  <c r="QE215" i="5"/>
  <c r="QJ215" i="5"/>
  <c r="QP215" i="5"/>
  <c r="PK215" i="5"/>
  <c r="PP215" i="5"/>
  <c r="PV215" i="5"/>
  <c r="QA215" i="5"/>
  <c r="QF215" i="5"/>
  <c r="QL215" i="5"/>
  <c r="QQ215" i="5"/>
  <c r="PL215" i="5"/>
  <c r="PR215" i="5"/>
  <c r="PW215" i="5"/>
  <c r="QB215" i="5"/>
  <c r="QH215" i="5"/>
  <c r="QM215" i="5"/>
  <c r="PN215" i="5"/>
  <c r="QI215" i="5"/>
  <c r="PS215" i="5"/>
  <c r="QN215" i="5"/>
  <c r="PX215" i="5"/>
  <c r="QD215" i="5"/>
  <c r="PM202" i="5"/>
  <c r="PQ202" i="5"/>
  <c r="PU202" i="5"/>
  <c r="PY202" i="5"/>
  <c r="QC202" i="5"/>
  <c r="QG202" i="5"/>
  <c r="QK202" i="5"/>
  <c r="QO202" i="5"/>
  <c r="PJ202" i="5"/>
  <c r="PN202" i="5"/>
  <c r="PR202" i="5"/>
  <c r="PV202" i="5"/>
  <c r="PZ202" i="5"/>
  <c r="QD202" i="5"/>
  <c r="QH202" i="5"/>
  <c r="QL202" i="5"/>
  <c r="QP202" i="5"/>
  <c r="PK202" i="5"/>
  <c r="PO202" i="5"/>
  <c r="PS202" i="5"/>
  <c r="PW202" i="5"/>
  <c r="QA202" i="5"/>
  <c r="QE202" i="5"/>
  <c r="QI202" i="5"/>
  <c r="QM202" i="5"/>
  <c r="QQ202" i="5"/>
  <c r="PL202" i="5"/>
  <c r="PP202" i="5"/>
  <c r="PT202" i="5"/>
  <c r="PX202" i="5"/>
  <c r="QB202" i="5"/>
  <c r="QF202" i="5"/>
  <c r="QJ202" i="5"/>
  <c r="QN202" i="5"/>
  <c r="PK189" i="5"/>
  <c r="PO189" i="5"/>
  <c r="PS189" i="5"/>
  <c r="PW189" i="5"/>
  <c r="QA189" i="5"/>
  <c r="QE189" i="5"/>
  <c r="QI189" i="5"/>
  <c r="QM189" i="5"/>
  <c r="QQ189" i="5"/>
  <c r="PM189" i="5"/>
  <c r="PR189" i="5"/>
  <c r="PX189" i="5"/>
  <c r="QC189" i="5"/>
  <c r="QH189" i="5"/>
  <c r="QN189" i="5"/>
  <c r="PN189" i="5"/>
  <c r="PT189" i="5"/>
  <c r="PY189" i="5"/>
  <c r="QD189" i="5"/>
  <c r="QJ189" i="5"/>
  <c r="QO189" i="5"/>
  <c r="PJ189" i="5"/>
  <c r="PP189" i="5"/>
  <c r="PU189" i="5"/>
  <c r="PZ189" i="5"/>
  <c r="QF189" i="5"/>
  <c r="QK189" i="5"/>
  <c r="QP189" i="5"/>
  <c r="PL189" i="5"/>
  <c r="PQ189" i="5"/>
  <c r="PV189" i="5"/>
  <c r="QB189" i="5"/>
  <c r="QG189" i="5"/>
  <c r="QL189" i="5"/>
  <c r="PL158" i="5"/>
  <c r="PP158" i="5"/>
  <c r="PT158" i="5"/>
  <c r="PX158" i="5"/>
  <c r="QB158" i="5"/>
  <c r="QF158" i="5"/>
  <c r="QJ158" i="5"/>
  <c r="QN158" i="5"/>
  <c r="PM158" i="5"/>
  <c r="PQ158" i="5"/>
  <c r="PU158" i="5"/>
  <c r="PY158" i="5"/>
  <c r="QC158" i="5"/>
  <c r="QG158" i="5"/>
  <c r="QK158" i="5"/>
  <c r="QO158" i="5"/>
  <c r="PK158" i="5"/>
  <c r="PS158" i="5"/>
  <c r="QA158" i="5"/>
  <c r="QI158" i="5"/>
  <c r="CO158" i="5" s="1"/>
  <c r="HH158" i="5" s="1"/>
  <c r="QQ158" i="5"/>
  <c r="PN158" i="5"/>
  <c r="PV158" i="5"/>
  <c r="QD158" i="5"/>
  <c r="QL158" i="5"/>
  <c r="PO158" i="5"/>
  <c r="PW158" i="5"/>
  <c r="QE158" i="5"/>
  <c r="QM158" i="5"/>
  <c r="PZ158" i="5"/>
  <c r="QH158" i="5"/>
  <c r="PJ158" i="5"/>
  <c r="QP158" i="5"/>
  <c r="PR158" i="5"/>
  <c r="PJ128" i="5"/>
  <c r="PN128" i="5"/>
  <c r="PR128" i="5"/>
  <c r="PV128" i="5"/>
  <c r="PZ128" i="5"/>
  <c r="QD128" i="5"/>
  <c r="QH128" i="5"/>
  <c r="QL128" i="5"/>
  <c r="QP128" i="5"/>
  <c r="PK128" i="5"/>
  <c r="PP128" i="5"/>
  <c r="PU128" i="5"/>
  <c r="QA128" i="5"/>
  <c r="QF128" i="5"/>
  <c r="QK128" i="5"/>
  <c r="QQ128" i="5"/>
  <c r="PL128" i="5"/>
  <c r="PQ128" i="5"/>
  <c r="PW128" i="5"/>
  <c r="QB128" i="5"/>
  <c r="QG128" i="5"/>
  <c r="QM128" i="5"/>
  <c r="PO128" i="5"/>
  <c r="PY128" i="5"/>
  <c r="QJ128" i="5"/>
  <c r="PT128" i="5"/>
  <c r="QE128" i="5"/>
  <c r="QO128" i="5"/>
  <c r="PS128" i="5"/>
  <c r="QN128" i="5"/>
  <c r="PX128" i="5"/>
  <c r="QC128" i="5"/>
  <c r="PM128" i="5"/>
  <c r="QI128" i="5"/>
  <c r="PL97" i="5"/>
  <c r="PP97" i="5"/>
  <c r="PT97" i="5"/>
  <c r="PX97" i="5"/>
  <c r="QB97" i="5"/>
  <c r="QF97" i="5"/>
  <c r="QJ97" i="5"/>
  <c r="QN97" i="5"/>
  <c r="PM97" i="5"/>
  <c r="PR97" i="5"/>
  <c r="PW97" i="5"/>
  <c r="QC97" i="5"/>
  <c r="QH97" i="5"/>
  <c r="QM97" i="5"/>
  <c r="PK97" i="5"/>
  <c r="PS97" i="5"/>
  <c r="PZ97" i="5"/>
  <c r="QG97" i="5"/>
  <c r="QO97" i="5"/>
  <c r="PN97" i="5"/>
  <c r="PU97" i="5"/>
  <c r="QA97" i="5"/>
  <c r="QI97" i="5"/>
  <c r="QP97" i="5"/>
  <c r="PQ97" i="5"/>
  <c r="QE97" i="5"/>
  <c r="PV97" i="5"/>
  <c r="QK97" i="5"/>
  <c r="CO97" i="5" s="1"/>
  <c r="HH97" i="5" s="1"/>
  <c r="PJ97" i="5"/>
  <c r="PY97" i="5"/>
  <c r="QL97" i="5"/>
  <c r="QQ97" i="5"/>
  <c r="PO97" i="5"/>
  <c r="QD97" i="5"/>
  <c r="PM33" i="5"/>
  <c r="PQ33" i="5"/>
  <c r="PU33" i="5"/>
  <c r="PY33" i="5"/>
  <c r="QC33" i="5"/>
  <c r="QG33" i="5"/>
  <c r="QK33" i="5"/>
  <c r="QO33" i="5"/>
  <c r="PJ33" i="5"/>
  <c r="PO33" i="5"/>
  <c r="PT33" i="5"/>
  <c r="PZ33" i="5"/>
  <c r="QE33" i="5"/>
  <c r="QJ33" i="5"/>
  <c r="QP33" i="5"/>
  <c r="PK33" i="5"/>
  <c r="PR33" i="5"/>
  <c r="PX33" i="5"/>
  <c r="QF33" i="5"/>
  <c r="QM33" i="5"/>
  <c r="PL33" i="5"/>
  <c r="PS33" i="5"/>
  <c r="QA33" i="5"/>
  <c r="QH33" i="5"/>
  <c r="QN33" i="5"/>
  <c r="PN33" i="5"/>
  <c r="QB33" i="5"/>
  <c r="QQ33" i="5"/>
  <c r="PP33" i="5"/>
  <c r="QD33" i="5"/>
  <c r="QI33" i="5"/>
  <c r="QL33" i="5"/>
  <c r="PV33" i="5"/>
  <c r="PW33" i="5"/>
  <c r="PJ244" i="5"/>
  <c r="PN244" i="5"/>
  <c r="PR244" i="5"/>
  <c r="PV244" i="5"/>
  <c r="PZ244" i="5"/>
  <c r="QD244" i="5"/>
  <c r="QH244" i="5"/>
  <c r="QL244" i="5"/>
  <c r="QP244" i="5"/>
  <c r="PK244" i="5"/>
  <c r="PO244" i="5"/>
  <c r="PS244" i="5"/>
  <c r="PW244" i="5"/>
  <c r="QA244" i="5"/>
  <c r="QE244" i="5"/>
  <c r="QI244" i="5"/>
  <c r="QM244" i="5"/>
  <c r="QQ244" i="5"/>
  <c r="PL244" i="5"/>
  <c r="PP244" i="5"/>
  <c r="PT244" i="5"/>
  <c r="PX244" i="5"/>
  <c r="QB244" i="5"/>
  <c r="QF244" i="5"/>
  <c r="QJ244" i="5"/>
  <c r="QN244" i="5"/>
  <c r="PM244" i="5"/>
  <c r="PQ244" i="5"/>
  <c r="PU244" i="5"/>
  <c r="PY244" i="5"/>
  <c r="QC244" i="5"/>
  <c r="QG244" i="5"/>
  <c r="QK244" i="5"/>
  <c r="QO244" i="5"/>
  <c r="PJ228" i="5"/>
  <c r="PN228" i="5"/>
  <c r="PR228" i="5"/>
  <c r="PV228" i="5"/>
  <c r="PZ228" i="5"/>
  <c r="QD228" i="5"/>
  <c r="QH228" i="5"/>
  <c r="QL228" i="5"/>
  <c r="QP228" i="5"/>
  <c r="PK228" i="5"/>
  <c r="PO228" i="5"/>
  <c r="PS228" i="5"/>
  <c r="PW228" i="5"/>
  <c r="QA228" i="5"/>
  <c r="QE228" i="5"/>
  <c r="QI228" i="5"/>
  <c r="QM228" i="5"/>
  <c r="QQ228" i="5"/>
  <c r="PL228" i="5"/>
  <c r="PP228" i="5"/>
  <c r="PT228" i="5"/>
  <c r="PX228" i="5"/>
  <c r="QB228" i="5"/>
  <c r="QF228" i="5"/>
  <c r="QJ228" i="5"/>
  <c r="QN228" i="5"/>
  <c r="PM228" i="5"/>
  <c r="PQ228" i="5"/>
  <c r="PU228" i="5"/>
  <c r="PY228" i="5"/>
  <c r="QC228" i="5"/>
  <c r="QG228" i="5"/>
  <c r="QK228" i="5"/>
  <c r="QO228" i="5"/>
  <c r="PM198" i="5"/>
  <c r="PQ198" i="5"/>
  <c r="PU198" i="5"/>
  <c r="PY198" i="5"/>
  <c r="QC198" i="5"/>
  <c r="QG198" i="5"/>
  <c r="QK198" i="5"/>
  <c r="QO198" i="5"/>
  <c r="PJ198" i="5"/>
  <c r="CO198" i="5" s="1"/>
  <c r="HH198" i="5" s="1"/>
  <c r="HI198" i="5" s="1"/>
  <c r="PN198" i="5"/>
  <c r="PR198" i="5"/>
  <c r="PV198" i="5"/>
  <c r="PZ198" i="5"/>
  <c r="QD198" i="5"/>
  <c r="QH198" i="5"/>
  <c r="QL198" i="5"/>
  <c r="QP198" i="5"/>
  <c r="PK198" i="5"/>
  <c r="PO198" i="5"/>
  <c r="PS198" i="5"/>
  <c r="PW198" i="5"/>
  <c r="QA198" i="5"/>
  <c r="QE198" i="5"/>
  <c r="QI198" i="5"/>
  <c r="QM198" i="5"/>
  <c r="QQ198" i="5"/>
  <c r="PL198" i="5"/>
  <c r="PP198" i="5"/>
  <c r="PT198" i="5"/>
  <c r="PX198" i="5"/>
  <c r="QB198" i="5"/>
  <c r="QF198" i="5"/>
  <c r="QJ198" i="5"/>
  <c r="QN198" i="5"/>
  <c r="PK183" i="5"/>
  <c r="PO183" i="5"/>
  <c r="PS183" i="5"/>
  <c r="PW183" i="5"/>
  <c r="QA183" i="5"/>
  <c r="QE183" i="5"/>
  <c r="QI183" i="5"/>
  <c r="QM183" i="5"/>
  <c r="QQ183" i="5"/>
  <c r="PN183" i="5"/>
  <c r="PT183" i="5"/>
  <c r="PY183" i="5"/>
  <c r="QD183" i="5"/>
  <c r="QJ183" i="5"/>
  <c r="QO183" i="5"/>
  <c r="PJ183" i="5"/>
  <c r="PP183" i="5"/>
  <c r="PU183" i="5"/>
  <c r="PZ183" i="5"/>
  <c r="QF183" i="5"/>
  <c r="QK183" i="5"/>
  <c r="QP183" i="5"/>
  <c r="PL183" i="5"/>
  <c r="PQ183" i="5"/>
  <c r="PV183" i="5"/>
  <c r="QB183" i="5"/>
  <c r="QG183" i="5"/>
  <c r="QL183" i="5"/>
  <c r="PM183" i="5"/>
  <c r="PR183" i="5"/>
  <c r="PX183" i="5"/>
  <c r="QC183" i="5"/>
  <c r="QH183" i="5"/>
  <c r="QN183" i="5"/>
  <c r="PL152" i="5"/>
  <c r="PP152" i="5"/>
  <c r="PT152" i="5"/>
  <c r="PX152" i="5"/>
  <c r="QB152" i="5"/>
  <c r="QF152" i="5"/>
  <c r="QJ152" i="5"/>
  <c r="QN152" i="5"/>
  <c r="PM152" i="5"/>
  <c r="PQ152" i="5"/>
  <c r="PU152" i="5"/>
  <c r="PY152" i="5"/>
  <c r="QC152" i="5"/>
  <c r="QG152" i="5"/>
  <c r="QK152" i="5"/>
  <c r="QO152" i="5"/>
  <c r="PO152" i="5"/>
  <c r="PW152" i="5"/>
  <c r="QE152" i="5"/>
  <c r="QM152" i="5"/>
  <c r="PJ152" i="5"/>
  <c r="PR152" i="5"/>
  <c r="PZ152" i="5"/>
  <c r="QH152" i="5"/>
  <c r="QP152" i="5"/>
  <c r="PK152" i="5"/>
  <c r="PS152" i="5"/>
  <c r="QA152" i="5"/>
  <c r="QI152" i="5"/>
  <c r="QQ152" i="5"/>
  <c r="QL152" i="5"/>
  <c r="PN152" i="5"/>
  <c r="PV152" i="5"/>
  <c r="QD152" i="5"/>
  <c r="PJ138" i="5"/>
  <c r="PN138" i="5"/>
  <c r="PR138" i="5"/>
  <c r="PV138" i="5"/>
  <c r="PZ138" i="5"/>
  <c r="QD138" i="5"/>
  <c r="QH138" i="5"/>
  <c r="QL138" i="5"/>
  <c r="QP138" i="5"/>
  <c r="PL138" i="5"/>
  <c r="PQ138" i="5"/>
  <c r="PW138" i="5"/>
  <c r="QB138" i="5"/>
  <c r="QG138" i="5"/>
  <c r="QM138" i="5"/>
  <c r="PM138" i="5"/>
  <c r="PS138" i="5"/>
  <c r="PX138" i="5"/>
  <c r="QC138" i="5"/>
  <c r="QI138" i="5"/>
  <c r="QN138" i="5"/>
  <c r="PP138" i="5"/>
  <c r="QA138" i="5"/>
  <c r="QK138" i="5"/>
  <c r="PK138" i="5"/>
  <c r="PY138" i="5"/>
  <c r="QO138" i="5"/>
  <c r="PO138" i="5"/>
  <c r="QE138" i="5"/>
  <c r="QQ138" i="5"/>
  <c r="PT138" i="5"/>
  <c r="QF138" i="5"/>
  <c r="PU138" i="5"/>
  <c r="QJ138" i="5"/>
  <c r="PJ123" i="5"/>
  <c r="PN123" i="5"/>
  <c r="PR123" i="5"/>
  <c r="PV123" i="5"/>
  <c r="PZ123" i="5"/>
  <c r="QD123" i="5"/>
  <c r="QH123" i="5"/>
  <c r="QL123" i="5"/>
  <c r="QP123" i="5"/>
  <c r="PL123" i="5"/>
  <c r="PQ123" i="5"/>
  <c r="PW123" i="5"/>
  <c r="QB123" i="5"/>
  <c r="QG123" i="5"/>
  <c r="QM123" i="5"/>
  <c r="PM123" i="5"/>
  <c r="PS123" i="5"/>
  <c r="PX123" i="5"/>
  <c r="QC123" i="5"/>
  <c r="QI123" i="5"/>
  <c r="QN123" i="5"/>
  <c r="PP123" i="5"/>
  <c r="QA123" i="5"/>
  <c r="QK123" i="5"/>
  <c r="PK123" i="5"/>
  <c r="PU123" i="5"/>
  <c r="QF123" i="5"/>
  <c r="QQ123" i="5"/>
  <c r="QE123" i="5"/>
  <c r="PO123" i="5"/>
  <c r="QJ123" i="5"/>
  <c r="PT123" i="5"/>
  <c r="QO123" i="5"/>
  <c r="PY123" i="5"/>
  <c r="PL241" i="5"/>
  <c r="PP241" i="5"/>
  <c r="PT241" i="5"/>
  <c r="PX241" i="5"/>
  <c r="QB241" i="5"/>
  <c r="QF241" i="5"/>
  <c r="QJ241" i="5"/>
  <c r="QN241" i="5"/>
  <c r="PM241" i="5"/>
  <c r="PQ241" i="5"/>
  <c r="PU241" i="5"/>
  <c r="PY241" i="5"/>
  <c r="QC241" i="5"/>
  <c r="QG241" i="5"/>
  <c r="QK241" i="5"/>
  <c r="QO241" i="5"/>
  <c r="PJ241" i="5"/>
  <c r="CO241" i="5" s="1"/>
  <c r="HH241" i="5" s="1"/>
  <c r="PN241" i="5"/>
  <c r="PR241" i="5"/>
  <c r="PV241" i="5"/>
  <c r="PZ241" i="5"/>
  <c r="QD241" i="5"/>
  <c r="QH241" i="5"/>
  <c r="QL241" i="5"/>
  <c r="QP241" i="5"/>
  <c r="PK241" i="5"/>
  <c r="PO241" i="5"/>
  <c r="PS241" i="5"/>
  <c r="PW241" i="5"/>
  <c r="QA241" i="5"/>
  <c r="QE241" i="5"/>
  <c r="QI241" i="5"/>
  <c r="QM241" i="5"/>
  <c r="QQ241" i="5"/>
  <c r="PL225" i="5"/>
  <c r="PP225" i="5"/>
  <c r="PT225" i="5"/>
  <c r="PX225" i="5"/>
  <c r="QB225" i="5"/>
  <c r="QF225" i="5"/>
  <c r="QJ225" i="5"/>
  <c r="QN225" i="5"/>
  <c r="PM225" i="5"/>
  <c r="PQ225" i="5"/>
  <c r="PU225" i="5"/>
  <c r="PY225" i="5"/>
  <c r="QC225" i="5"/>
  <c r="QG225" i="5"/>
  <c r="QK225" i="5"/>
  <c r="QO225" i="5"/>
  <c r="PJ225" i="5"/>
  <c r="PN225" i="5"/>
  <c r="PR225" i="5"/>
  <c r="PV225" i="5"/>
  <c r="PZ225" i="5"/>
  <c r="QD225" i="5"/>
  <c r="QH225" i="5"/>
  <c r="QL225" i="5"/>
  <c r="QP225" i="5"/>
  <c r="PK225" i="5"/>
  <c r="PO225" i="5"/>
  <c r="PS225" i="5"/>
  <c r="PW225" i="5"/>
  <c r="QA225" i="5"/>
  <c r="QE225" i="5"/>
  <c r="QI225" i="5"/>
  <c r="QM225" i="5"/>
  <c r="QQ225" i="5"/>
  <c r="PK221" i="5"/>
  <c r="PO221" i="5"/>
  <c r="PS221" i="5"/>
  <c r="PW221" i="5"/>
  <c r="QA221" i="5"/>
  <c r="QE221" i="5"/>
  <c r="QI221" i="5"/>
  <c r="QM221" i="5"/>
  <c r="QQ221" i="5"/>
  <c r="PL221" i="5"/>
  <c r="PP221" i="5"/>
  <c r="PT221" i="5"/>
  <c r="PX221" i="5"/>
  <c r="QB221" i="5"/>
  <c r="QF221" i="5"/>
  <c r="QJ221" i="5"/>
  <c r="QN221" i="5"/>
  <c r="PM221" i="5"/>
  <c r="PQ221" i="5"/>
  <c r="PU221" i="5"/>
  <c r="PY221" i="5"/>
  <c r="QC221" i="5"/>
  <c r="QG221" i="5"/>
  <c r="QK221" i="5"/>
  <c r="QO221" i="5"/>
  <c r="PR221" i="5"/>
  <c r="QH221" i="5"/>
  <c r="PV221" i="5"/>
  <c r="QL221" i="5"/>
  <c r="PJ221" i="5"/>
  <c r="PZ221" i="5"/>
  <c r="QP221" i="5"/>
  <c r="PN221" i="5"/>
  <c r="QD221" i="5"/>
  <c r="PK217" i="5"/>
  <c r="PO217" i="5"/>
  <c r="PS217" i="5"/>
  <c r="PW217" i="5"/>
  <c r="QA217" i="5"/>
  <c r="QE217" i="5"/>
  <c r="QI217" i="5"/>
  <c r="QM217" i="5"/>
  <c r="QQ217" i="5"/>
  <c r="PL217" i="5"/>
  <c r="PP217" i="5"/>
  <c r="PT217" i="5"/>
  <c r="PX217" i="5"/>
  <c r="QB217" i="5"/>
  <c r="QF217" i="5"/>
  <c r="QJ217" i="5"/>
  <c r="QN217" i="5"/>
  <c r="PM217" i="5"/>
  <c r="PQ217" i="5"/>
  <c r="PU217" i="5"/>
  <c r="PY217" i="5"/>
  <c r="QC217" i="5"/>
  <c r="QG217" i="5"/>
  <c r="QK217" i="5"/>
  <c r="QO217" i="5"/>
  <c r="PR217" i="5"/>
  <c r="QH217" i="5"/>
  <c r="PV217" i="5"/>
  <c r="QL217" i="5"/>
  <c r="PJ217" i="5"/>
  <c r="PZ217" i="5"/>
  <c r="QP217" i="5"/>
  <c r="PN217" i="5"/>
  <c r="QD217" i="5"/>
  <c r="PK199" i="5"/>
  <c r="PO199" i="5"/>
  <c r="PS199" i="5"/>
  <c r="PW199" i="5"/>
  <c r="QA199" i="5"/>
  <c r="QE199" i="5"/>
  <c r="QI199" i="5"/>
  <c r="QM199" i="5"/>
  <c r="QQ199" i="5"/>
  <c r="PL199" i="5"/>
  <c r="PP199" i="5"/>
  <c r="PT199" i="5"/>
  <c r="PX199" i="5"/>
  <c r="QB199" i="5"/>
  <c r="QF199" i="5"/>
  <c r="QJ199" i="5"/>
  <c r="QN199" i="5"/>
  <c r="PM199" i="5"/>
  <c r="PQ199" i="5"/>
  <c r="PU199" i="5"/>
  <c r="PY199" i="5"/>
  <c r="QC199" i="5"/>
  <c r="QG199" i="5"/>
  <c r="QK199" i="5"/>
  <c r="QO199" i="5"/>
  <c r="PJ199" i="5"/>
  <c r="PN199" i="5"/>
  <c r="PR199" i="5"/>
  <c r="PV199" i="5"/>
  <c r="PZ199" i="5"/>
  <c r="QD199" i="5"/>
  <c r="QH199" i="5"/>
  <c r="QL199" i="5"/>
  <c r="QP199" i="5"/>
  <c r="PM184" i="5"/>
  <c r="PQ184" i="5"/>
  <c r="PU184" i="5"/>
  <c r="PY184" i="5"/>
  <c r="QC184" i="5"/>
  <c r="QG184" i="5"/>
  <c r="QK184" i="5"/>
  <c r="QO184" i="5"/>
  <c r="PL184" i="5"/>
  <c r="PR184" i="5"/>
  <c r="PW184" i="5"/>
  <c r="QB184" i="5"/>
  <c r="QH184" i="5"/>
  <c r="QM184" i="5"/>
  <c r="PN184" i="5"/>
  <c r="PS184" i="5"/>
  <c r="PX184" i="5"/>
  <c r="QD184" i="5"/>
  <c r="QI184" i="5"/>
  <c r="QN184" i="5"/>
  <c r="PJ184" i="5"/>
  <c r="PO184" i="5"/>
  <c r="PT184" i="5"/>
  <c r="PZ184" i="5"/>
  <c r="QE184" i="5"/>
  <c r="QJ184" i="5"/>
  <c r="QP184" i="5"/>
  <c r="PK184" i="5"/>
  <c r="PP184" i="5"/>
  <c r="PV184" i="5"/>
  <c r="QA184" i="5"/>
  <c r="QF184" i="5"/>
  <c r="QL184" i="5"/>
  <c r="QQ184" i="5"/>
  <c r="PM176" i="5"/>
  <c r="PQ176" i="5"/>
  <c r="PU176" i="5"/>
  <c r="PY176" i="5"/>
  <c r="QC176" i="5"/>
  <c r="QG176" i="5"/>
  <c r="QK176" i="5"/>
  <c r="QO176" i="5"/>
  <c r="PL176" i="5"/>
  <c r="PR176" i="5"/>
  <c r="PW176" i="5"/>
  <c r="QB176" i="5"/>
  <c r="QH176" i="5"/>
  <c r="QM176" i="5"/>
  <c r="PN176" i="5"/>
  <c r="PS176" i="5"/>
  <c r="PX176" i="5"/>
  <c r="QD176" i="5"/>
  <c r="QI176" i="5"/>
  <c r="QN176" i="5"/>
  <c r="PJ176" i="5"/>
  <c r="PO176" i="5"/>
  <c r="PT176" i="5"/>
  <c r="PZ176" i="5"/>
  <c r="QE176" i="5"/>
  <c r="QJ176" i="5"/>
  <c r="QP176" i="5"/>
  <c r="PK176" i="5"/>
  <c r="PP176" i="5"/>
  <c r="PV176" i="5"/>
  <c r="QA176" i="5"/>
  <c r="QF176" i="5"/>
  <c r="QL176" i="5"/>
  <c r="QQ176" i="5"/>
  <c r="PM161" i="5"/>
  <c r="CO161" i="5" s="1"/>
  <c r="HH161" i="5" s="1"/>
  <c r="PQ161" i="5"/>
  <c r="PU161" i="5"/>
  <c r="PY161" i="5"/>
  <c r="QC161" i="5"/>
  <c r="QG161" i="5"/>
  <c r="QK161" i="5"/>
  <c r="QO161" i="5"/>
  <c r="PJ161" i="5"/>
  <c r="PN161" i="5"/>
  <c r="PR161" i="5"/>
  <c r="PV161" i="5"/>
  <c r="PZ161" i="5"/>
  <c r="QD161" i="5"/>
  <c r="QH161" i="5"/>
  <c r="QL161" i="5"/>
  <c r="QP161" i="5"/>
  <c r="PK161" i="5"/>
  <c r="PO161" i="5"/>
  <c r="PS161" i="5"/>
  <c r="PW161" i="5"/>
  <c r="QA161" i="5"/>
  <c r="QE161" i="5"/>
  <c r="QI161" i="5"/>
  <c r="QM161" i="5"/>
  <c r="QQ161" i="5"/>
  <c r="PT161" i="5"/>
  <c r="QJ161" i="5"/>
  <c r="PX161" i="5"/>
  <c r="QN161" i="5"/>
  <c r="PL161" i="5"/>
  <c r="QB161" i="5"/>
  <c r="PP161" i="5"/>
  <c r="QF161" i="5"/>
  <c r="PJ153" i="5"/>
  <c r="PN153" i="5"/>
  <c r="PR153" i="5"/>
  <c r="PV153" i="5"/>
  <c r="PZ153" i="5"/>
  <c r="QD153" i="5"/>
  <c r="QH153" i="5"/>
  <c r="QL153" i="5"/>
  <c r="QP153" i="5"/>
  <c r="PK153" i="5"/>
  <c r="PO153" i="5"/>
  <c r="PS153" i="5"/>
  <c r="PW153" i="5"/>
  <c r="QA153" i="5"/>
  <c r="QE153" i="5"/>
  <c r="QI153" i="5"/>
  <c r="QM153" i="5"/>
  <c r="QQ153" i="5"/>
  <c r="PM153" i="5"/>
  <c r="PU153" i="5"/>
  <c r="QC153" i="5"/>
  <c r="QK153" i="5"/>
  <c r="PP153" i="5"/>
  <c r="PX153" i="5"/>
  <c r="QF153" i="5"/>
  <c r="QN153" i="5"/>
  <c r="PQ153" i="5"/>
  <c r="PY153" i="5"/>
  <c r="QG153" i="5"/>
  <c r="QO153" i="5"/>
  <c r="QJ153" i="5"/>
  <c r="PL153" i="5"/>
  <c r="PT153" i="5"/>
  <c r="QB153" i="5"/>
  <c r="PJ145" i="5"/>
  <c r="PN145" i="5"/>
  <c r="PR145" i="5"/>
  <c r="PV145" i="5"/>
  <c r="PZ145" i="5"/>
  <c r="QD145" i="5"/>
  <c r="QH145" i="5"/>
  <c r="QL145" i="5"/>
  <c r="QP145" i="5"/>
  <c r="PK145" i="5"/>
  <c r="PO145" i="5"/>
  <c r="PS145" i="5"/>
  <c r="PW145" i="5"/>
  <c r="QA145" i="5"/>
  <c r="QE145" i="5"/>
  <c r="QI145" i="5"/>
  <c r="QM145" i="5"/>
  <c r="QQ145" i="5"/>
  <c r="PM145" i="5"/>
  <c r="PU145" i="5"/>
  <c r="QC145" i="5"/>
  <c r="QK145" i="5"/>
  <c r="PP145" i="5"/>
  <c r="PX145" i="5"/>
  <c r="QF145" i="5"/>
  <c r="QN145" i="5"/>
  <c r="PQ145" i="5"/>
  <c r="PY145" i="5"/>
  <c r="QG145" i="5"/>
  <c r="QO145" i="5"/>
  <c r="PT145" i="5"/>
  <c r="QB145" i="5"/>
  <c r="QJ145" i="5"/>
  <c r="PL145" i="5"/>
  <c r="PL100" i="5"/>
  <c r="PP100" i="5"/>
  <c r="PT100" i="5"/>
  <c r="PX100" i="5"/>
  <c r="QB100" i="5"/>
  <c r="QF100" i="5"/>
  <c r="QJ100" i="5"/>
  <c r="QN100" i="5"/>
  <c r="PJ100" i="5"/>
  <c r="PO100" i="5"/>
  <c r="PU100" i="5"/>
  <c r="PZ100" i="5"/>
  <c r="QE100" i="5"/>
  <c r="QK100" i="5"/>
  <c r="QP100" i="5"/>
  <c r="PK100" i="5"/>
  <c r="PQ100" i="5"/>
  <c r="PV100" i="5"/>
  <c r="QA100" i="5"/>
  <c r="QG100" i="5"/>
  <c r="QL100" i="5"/>
  <c r="QQ100" i="5"/>
  <c r="PS100" i="5"/>
  <c r="QD100" i="5"/>
  <c r="QO100" i="5"/>
  <c r="PM100" i="5"/>
  <c r="PW100" i="5"/>
  <c r="QH100" i="5"/>
  <c r="PN100" i="5"/>
  <c r="PY100" i="5"/>
  <c r="QI100" i="5"/>
  <c r="QC100" i="5"/>
  <c r="QM100" i="5"/>
  <c r="PR100" i="5"/>
  <c r="PJ72" i="5"/>
  <c r="PN72" i="5"/>
  <c r="PR72" i="5"/>
  <c r="PV72" i="5"/>
  <c r="PZ72" i="5"/>
  <c r="QD72" i="5"/>
  <c r="QH72" i="5"/>
  <c r="QL72" i="5"/>
  <c r="QP72" i="5"/>
  <c r="CO72" i="5" s="1"/>
  <c r="HH72" i="5" s="1"/>
  <c r="PK72" i="5"/>
  <c r="PO72" i="5"/>
  <c r="PS72" i="5"/>
  <c r="PW72" i="5"/>
  <c r="QA72" i="5"/>
  <c r="QE72" i="5"/>
  <c r="QI72" i="5"/>
  <c r="QM72" i="5"/>
  <c r="QQ72" i="5"/>
  <c r="PL72" i="5"/>
  <c r="PT72" i="5"/>
  <c r="QB72" i="5"/>
  <c r="QJ72" i="5"/>
  <c r="PM72" i="5"/>
  <c r="PU72" i="5"/>
  <c r="QC72" i="5"/>
  <c r="QK72" i="5"/>
  <c r="PX72" i="5"/>
  <c r="QN72" i="5"/>
  <c r="PY72" i="5"/>
  <c r="QO72" i="5"/>
  <c r="PP72" i="5"/>
  <c r="QF72" i="5"/>
  <c r="PQ72" i="5"/>
  <c r="QG72" i="5"/>
  <c r="PK28" i="5"/>
  <c r="PO28" i="5"/>
  <c r="PS28" i="5"/>
  <c r="PW28" i="5"/>
  <c r="QA28" i="5"/>
  <c r="QE28" i="5"/>
  <c r="QI28" i="5"/>
  <c r="QM28" i="5"/>
  <c r="QQ28" i="5"/>
  <c r="PN28" i="5"/>
  <c r="PT28" i="5"/>
  <c r="PY28" i="5"/>
  <c r="QD28" i="5"/>
  <c r="QJ28" i="5"/>
  <c r="QO28" i="5"/>
  <c r="PJ28" i="5"/>
  <c r="PQ28" i="5"/>
  <c r="PX28" i="5"/>
  <c r="QF28" i="5"/>
  <c r="QL28" i="5"/>
  <c r="PL28" i="5"/>
  <c r="PR28" i="5"/>
  <c r="PZ28" i="5"/>
  <c r="QG28" i="5"/>
  <c r="QN28" i="5"/>
  <c r="PM28" i="5"/>
  <c r="QB28" i="5"/>
  <c r="QP28" i="5"/>
  <c r="PP28" i="5"/>
  <c r="QC28" i="5"/>
  <c r="QH28" i="5"/>
  <c r="QK28" i="5"/>
  <c r="PU28" i="5"/>
  <c r="PV28" i="5"/>
  <c r="CO245" i="5" l="1"/>
  <c r="HH245" i="5" s="1"/>
  <c r="CO220" i="5"/>
  <c r="HH220" i="5" s="1"/>
  <c r="CO219" i="5"/>
  <c r="HH219" i="5" s="1"/>
  <c r="CQ219" i="5"/>
  <c r="CO248" i="5"/>
  <c r="HH248" i="5" s="1"/>
  <c r="CQ246" i="5"/>
  <c r="CO246" i="5"/>
  <c r="HH246" i="5" s="1"/>
  <c r="CO243" i="5"/>
  <c r="HH243" i="5" s="1"/>
  <c r="CQ132" i="5"/>
  <c r="CQ174" i="5"/>
  <c r="CO132" i="5"/>
  <c r="HH132" i="5" s="1"/>
  <c r="CQ234" i="5"/>
  <c r="CQ244" i="5"/>
  <c r="CO244" i="5"/>
  <c r="HH244" i="5" s="1"/>
  <c r="CO231" i="5"/>
  <c r="HH231" i="5" s="1"/>
  <c r="CQ231" i="5"/>
  <c r="CO206" i="5"/>
  <c r="HH206" i="5" s="1"/>
  <c r="CQ180" i="5"/>
  <c r="CQ152" i="5"/>
  <c r="CO64" i="5"/>
  <c r="HH64" i="5" s="1"/>
  <c r="CO194" i="5"/>
  <c r="HH194" i="5" s="1"/>
  <c r="HI194" i="5" s="1"/>
  <c r="CO125" i="5"/>
  <c r="HH125" i="5" s="1"/>
  <c r="CO116" i="5"/>
  <c r="HH116" i="5" s="1"/>
  <c r="CQ242" i="5"/>
  <c r="CO242" i="5"/>
  <c r="HH242" i="5" s="1"/>
  <c r="CO162" i="5"/>
  <c r="HH162" i="5" s="1"/>
  <c r="CQ123" i="5"/>
  <c r="CO238" i="5"/>
  <c r="HH238" i="5" s="1"/>
  <c r="CO237" i="5"/>
  <c r="HH237" i="5" s="1"/>
  <c r="CO234" i="5"/>
  <c r="HH234" i="5" s="1"/>
  <c r="CQ215" i="5"/>
  <c r="CO215" i="5"/>
  <c r="HH215" i="5" s="1"/>
  <c r="CQ184" i="5"/>
  <c r="CO160" i="5"/>
  <c r="HH160" i="5" s="1"/>
  <c r="CQ160" i="5"/>
  <c r="CO163" i="5"/>
  <c r="HH163" i="5" s="1"/>
  <c r="CQ163" i="5"/>
  <c r="CO151" i="5"/>
  <c r="HH151" i="5" s="1"/>
  <c r="CQ151" i="5"/>
  <c r="CO154" i="5"/>
  <c r="HH154" i="5" s="1"/>
  <c r="CQ154" i="5"/>
  <c r="CQ147" i="5"/>
  <c r="CQ202" i="5"/>
  <c r="CO103" i="5"/>
  <c r="HH103" i="5" s="1"/>
  <c r="CO134" i="5"/>
  <c r="HH134" i="5" s="1"/>
  <c r="CQ134" i="5"/>
  <c r="CO106" i="5"/>
  <c r="HH106" i="5" s="1"/>
  <c r="CQ114" i="5"/>
  <c r="CO114" i="5"/>
  <c r="HH114" i="5" s="1"/>
  <c r="CQ100" i="5"/>
  <c r="CO100" i="5"/>
  <c r="HH100" i="5" s="1"/>
  <c r="CO83" i="5"/>
  <c r="HH83" i="5" s="1"/>
  <c r="CO89" i="5"/>
  <c r="HH89" i="5" s="1"/>
  <c r="CQ189" i="5"/>
  <c r="CO236" i="5"/>
  <c r="HH236" i="5" s="1"/>
  <c r="CQ236" i="5"/>
  <c r="CO176" i="5"/>
  <c r="HH176" i="5" s="1"/>
  <c r="CQ176" i="5"/>
  <c r="CO153" i="5"/>
  <c r="HH153" i="5" s="1"/>
  <c r="CQ153" i="5"/>
  <c r="CQ188" i="5"/>
  <c r="CQ212" i="5"/>
  <c r="CO212" i="5"/>
  <c r="HH212" i="5" s="1"/>
  <c r="HH126" i="5"/>
  <c r="CQ126" i="5"/>
  <c r="CQ192" i="5"/>
  <c r="CQ171" i="5"/>
  <c r="CO171" i="5"/>
  <c r="HH171" i="5" s="1"/>
  <c r="CQ145" i="5"/>
  <c r="CO145" i="5"/>
  <c r="HH145" i="5" s="1"/>
  <c r="CO148" i="5"/>
  <c r="HH148" i="5" s="1"/>
  <c r="CQ148" i="5"/>
  <c r="CQ214" i="5"/>
  <c r="CO214" i="5"/>
  <c r="HH214" i="5" s="1"/>
  <c r="CQ137" i="5"/>
  <c r="CQ138" i="5"/>
  <c r="CO138" i="5"/>
  <c r="HH138" i="5" s="1"/>
  <c r="CQ102" i="5"/>
  <c r="CO113" i="5"/>
  <c r="HH113" i="5" s="1"/>
  <c r="CQ128" i="5"/>
  <c r="CO128" i="5"/>
  <c r="HH128" i="5" s="1"/>
  <c r="CO174" i="5"/>
  <c r="HH174" i="5" s="1"/>
  <c r="CO208" i="5"/>
  <c r="HH208" i="5" s="1"/>
  <c r="CO181" i="5"/>
  <c r="HH181" i="5" s="1"/>
  <c r="CO150" i="5"/>
  <c r="HH150" i="5" s="1"/>
  <c r="CO230" i="5"/>
  <c r="HH230" i="5" s="1"/>
  <c r="CQ230" i="5"/>
  <c r="CO218" i="5"/>
  <c r="HH218" i="5" s="1"/>
  <c r="CQ229" i="5"/>
  <c r="CO229" i="5"/>
  <c r="HH229" i="5" s="1"/>
  <c r="CO228" i="5"/>
  <c r="HH228" i="5" s="1"/>
  <c r="CO227" i="5"/>
  <c r="HH227" i="5" s="1"/>
  <c r="CO226" i="5"/>
  <c r="HH226" i="5" s="1"/>
  <c r="CQ227" i="5"/>
  <c r="CO225" i="5"/>
  <c r="HH225" i="5" s="1"/>
  <c r="CO222" i="5"/>
  <c r="HH222" i="5" s="1"/>
  <c r="CO224" i="5"/>
  <c r="HH224" i="5" s="1"/>
  <c r="CQ224" i="5"/>
  <c r="CQ225" i="5"/>
  <c r="CQ222" i="5"/>
  <c r="CO221" i="5"/>
  <c r="HH221" i="5" s="1"/>
  <c r="CO217" i="5"/>
  <c r="HH217" i="5" s="1"/>
  <c r="CQ217" i="5"/>
  <c r="CQ216" i="5"/>
  <c r="CO216" i="5"/>
  <c r="HH216" i="5" s="1"/>
  <c r="CO190" i="5"/>
  <c r="HH190" i="5" s="1"/>
  <c r="CQ190" i="5"/>
  <c r="CO135" i="5"/>
  <c r="HH135" i="5" s="1"/>
  <c r="CQ135" i="5"/>
  <c r="CO147" i="5"/>
  <c r="HH147" i="5" s="1"/>
  <c r="CQ87" i="5"/>
  <c r="CO87" i="5"/>
  <c r="HH87" i="5" s="1"/>
  <c r="CQ167" i="5"/>
  <c r="CO167" i="5"/>
  <c r="HH167" i="5" s="1"/>
  <c r="CQ159" i="5"/>
  <c r="CO159" i="5"/>
  <c r="HH159" i="5" s="1"/>
  <c r="CO202" i="5"/>
  <c r="HH202" i="5" s="1"/>
  <c r="CO201" i="5"/>
  <c r="HH201" i="5" s="1"/>
  <c r="HI201" i="5" s="1"/>
  <c r="CQ201" i="5"/>
  <c r="CO152" i="5"/>
  <c r="HH152" i="5" s="1"/>
  <c r="CO67" i="5"/>
  <c r="HH67" i="5" s="1"/>
  <c r="CO199" i="5"/>
  <c r="HH199" i="5" s="1"/>
  <c r="HI199" i="5" s="1"/>
  <c r="CQ199" i="5"/>
  <c r="CO197" i="5"/>
  <c r="HH197" i="5" s="1"/>
  <c r="HI197" i="5" s="1"/>
  <c r="CQ197" i="5"/>
  <c r="CQ196" i="5"/>
  <c r="CO196" i="5"/>
  <c r="HH196" i="5" s="1"/>
  <c r="HI196" i="5" s="1"/>
  <c r="CQ125" i="5"/>
  <c r="CO195" i="5"/>
  <c r="HH195" i="5" s="1"/>
  <c r="HI195" i="5" s="1"/>
  <c r="CQ195" i="5"/>
  <c r="CO73" i="5"/>
  <c r="HH73" i="5" s="1"/>
  <c r="CO7" i="5"/>
  <c r="HH7" i="5" s="1"/>
  <c r="CO105" i="5"/>
  <c r="HH105" i="5" s="1"/>
  <c r="CO4" i="5"/>
  <c r="HH4" i="5" s="1"/>
  <c r="CO35" i="5"/>
  <c r="HH35" i="5" s="1"/>
  <c r="CO71" i="5"/>
  <c r="HH71" i="5" s="1"/>
  <c r="CO137" i="5"/>
  <c r="HH137" i="5" s="1"/>
  <c r="CO120" i="5"/>
  <c r="HH120" i="5" s="1"/>
  <c r="CO56" i="5"/>
  <c r="HH56" i="5" s="1"/>
  <c r="CO127" i="5"/>
  <c r="HH127" i="5" s="1"/>
  <c r="CO8" i="5"/>
  <c r="HH8" i="5" s="1"/>
  <c r="CO123" i="5"/>
  <c r="HH123" i="5" s="1"/>
  <c r="CO69" i="5"/>
  <c r="HH69" i="5" s="1"/>
  <c r="CO102" i="5"/>
  <c r="HH102" i="5" s="1"/>
  <c r="CO180" i="5"/>
  <c r="HH180" i="5" s="1"/>
  <c r="CO157" i="5"/>
  <c r="HH157" i="5" s="1"/>
  <c r="CO40" i="5"/>
  <c r="HH40" i="5" s="1"/>
  <c r="CO5" i="5"/>
  <c r="HH5" i="5" s="1"/>
  <c r="CO188" i="5"/>
  <c r="HH188" i="5" s="1"/>
  <c r="CO187" i="5"/>
  <c r="HH187" i="5" s="1"/>
  <c r="CO68" i="5"/>
  <c r="HH68" i="5" s="1"/>
  <c r="CO65" i="5"/>
  <c r="HH65" i="5" s="1"/>
  <c r="CO58" i="5"/>
  <c r="HH58" i="5" s="1"/>
  <c r="CO24" i="5"/>
  <c r="HH24" i="5" s="1"/>
  <c r="CO28" i="5"/>
  <c r="HH28" i="5" s="1"/>
  <c r="CO182" i="5"/>
  <c r="HH182" i="5" s="1"/>
  <c r="CO110" i="5"/>
  <c r="HH110" i="5" s="1"/>
  <c r="CO119" i="5"/>
  <c r="HH119" i="5" s="1"/>
  <c r="CO51" i="5"/>
  <c r="HH51" i="5" s="1"/>
  <c r="CO179" i="5"/>
  <c r="HH179" i="5" s="1"/>
  <c r="CO11" i="5"/>
  <c r="HH11" i="5" s="1"/>
  <c r="CO53" i="5"/>
  <c r="HH53" i="5" s="1"/>
  <c r="CO183" i="5"/>
  <c r="HH183" i="5" s="1"/>
  <c r="CO192" i="5"/>
  <c r="HH192" i="5" s="1"/>
  <c r="CO27" i="5"/>
  <c r="HH27" i="5" s="1"/>
  <c r="CO166" i="5"/>
  <c r="HH166" i="5" s="1"/>
  <c r="CO189" i="5"/>
  <c r="HH189" i="5" s="1"/>
  <c r="CO122" i="5"/>
  <c r="HH122" i="5" s="1"/>
  <c r="CO184" i="5"/>
  <c r="HH184" i="5" s="1"/>
  <c r="CO13" i="5"/>
  <c r="HH13" i="5" s="1"/>
  <c r="CO21" i="5"/>
  <c r="HH21" i="5" s="1"/>
  <c r="CO175" i="5"/>
  <c r="HH175" i="5" s="1"/>
  <c r="CO186" i="5"/>
  <c r="HH186" i="5" s="1"/>
  <c r="CO37" i="5"/>
  <c r="HH37" i="5" s="1"/>
  <c r="CO115" i="5"/>
  <c r="HH115" i="5" s="1"/>
  <c r="CO33" i="5"/>
  <c r="HH33" i="5" s="1"/>
  <c r="CO76" i="5"/>
  <c r="HH76" i="5" s="1"/>
  <c r="CO111" i="5"/>
  <c r="HH111" i="5" s="1"/>
  <c r="CO43" i="5"/>
  <c r="HH43" i="5" s="1"/>
  <c r="NP110" i="5"/>
  <c r="NP48" i="5"/>
  <c r="NP56" i="5"/>
  <c r="NP66" i="5"/>
  <c r="NP64" i="5"/>
  <c r="NP67" i="5"/>
  <c r="NP49" i="5"/>
  <c r="NP40" i="5"/>
  <c r="NP41" i="5"/>
  <c r="NP24" i="5"/>
  <c r="NP117" i="5"/>
  <c r="NP73" i="5"/>
  <c r="NP27" i="5"/>
  <c r="NP120" i="5"/>
  <c r="NP28" i="5"/>
  <c r="NP123" i="5"/>
  <c r="NP33" i="5"/>
  <c r="NP10" i="5"/>
  <c r="NP38" i="5"/>
  <c r="NP102" i="5"/>
  <c r="NP53" i="5"/>
  <c r="NP92" i="5"/>
  <c r="NP11" i="5"/>
  <c r="NP26" i="5"/>
  <c r="NP47" i="5"/>
  <c r="NP87" i="5"/>
  <c r="NP18" i="5"/>
  <c r="NP122" i="5"/>
  <c r="NP111" i="5"/>
  <c r="NP115" i="5"/>
  <c r="NP50" i="5"/>
  <c r="NP58" i="5"/>
  <c r="NP74" i="5"/>
  <c r="NP79" i="5"/>
  <c r="NP103" i="5"/>
  <c r="NP76" i="5"/>
  <c r="NP13" i="5"/>
  <c r="NP32" i="5"/>
  <c r="NP21" i="5"/>
  <c r="NP51" i="5"/>
  <c r="NP113" i="5"/>
  <c r="NP118" i="5"/>
  <c r="NP106" i="5"/>
  <c r="NP89" i="5"/>
  <c r="NP59" i="5"/>
  <c r="NP105" i="5"/>
  <c r="NP72" i="5"/>
  <c r="NP100" i="5"/>
  <c r="NP97" i="5"/>
  <c r="NP65" i="5"/>
  <c r="NP114" i="5"/>
  <c r="NP29" i="5"/>
  <c r="NP46" i="5"/>
  <c r="NP70" i="5"/>
  <c r="NP69" i="5"/>
  <c r="NP109" i="5"/>
  <c r="NP82" i="5"/>
  <c r="NP36" i="5"/>
  <c r="NP5" i="5"/>
  <c r="NP55" i="5"/>
  <c r="NP119" i="5"/>
  <c r="NP61" i="5"/>
  <c r="NP4" i="5"/>
  <c r="NP85" i="5"/>
  <c r="NP43" i="5"/>
  <c r="NP83" i="5"/>
  <c r="NP112" i="5"/>
  <c r="NP19" i="5"/>
  <c r="NP81" i="5"/>
  <c r="NP116" i="5"/>
  <c r="NP71" i="5"/>
  <c r="NP78" i="5"/>
  <c r="NP63" i="5"/>
  <c r="NP7" i="5"/>
  <c r="NP8" i="5"/>
  <c r="NP68" i="5"/>
  <c r="NP37" i="5"/>
  <c r="NP77" i="5"/>
  <c r="NP35" i="5"/>
  <c r="NP98" i="5"/>
  <c r="NQ3" i="5" l="1"/>
  <c r="NQ4" i="5"/>
  <c r="NQ6" i="5"/>
  <c r="NQ7" i="5"/>
  <c r="NQ9" i="5"/>
  <c r="NQ10" i="5"/>
  <c r="NQ12" i="5"/>
  <c r="NQ13" i="5"/>
  <c r="NQ15" i="5"/>
  <c r="NQ16" i="5"/>
  <c r="NQ17" i="5"/>
  <c r="NQ18" i="5"/>
  <c r="NQ20" i="5"/>
  <c r="NQ23" i="5"/>
  <c r="NQ25" i="5"/>
  <c r="NQ26" i="5"/>
  <c r="NQ27" i="5"/>
  <c r="NQ28" i="5"/>
  <c r="NQ31" i="5"/>
  <c r="NQ32" i="5"/>
  <c r="NQ34" i="5"/>
  <c r="NQ35" i="5"/>
  <c r="NQ36" i="5"/>
  <c r="NQ37" i="5"/>
  <c r="NQ39" i="5"/>
  <c r="NQ40" i="5"/>
  <c r="NQ42" i="5"/>
  <c r="NQ45" i="5"/>
  <c r="NQ46" i="5"/>
  <c r="NQ47" i="5"/>
  <c r="NQ48" i="5"/>
  <c r="NQ49" i="5"/>
  <c r="NQ50" i="5"/>
  <c r="NQ52" i="5"/>
  <c r="NQ54" i="5"/>
  <c r="NQ55" i="5"/>
  <c r="NQ56" i="5"/>
  <c r="NQ57" i="5"/>
  <c r="NQ58" i="5"/>
  <c r="NQ60" i="5"/>
  <c r="NQ62" i="5"/>
  <c r="NQ63" i="5"/>
  <c r="NQ64" i="5"/>
  <c r="NQ65" i="5"/>
  <c r="NQ66" i="5"/>
  <c r="NQ67" i="5"/>
  <c r="NQ68" i="5"/>
  <c r="NQ69" i="5"/>
  <c r="NQ70" i="5"/>
  <c r="NQ71" i="5"/>
  <c r="NQ72" i="5"/>
  <c r="NQ75" i="5"/>
  <c r="NQ76" i="5"/>
  <c r="NQ77" i="5"/>
  <c r="NQ78" i="5"/>
  <c r="NQ80" i="5"/>
  <c r="NQ81" i="5"/>
  <c r="NQ82" i="5"/>
  <c r="NQ84" i="5"/>
  <c r="NQ86" i="5"/>
  <c r="NQ87" i="5"/>
  <c r="NQ88" i="5"/>
  <c r="NQ90" i="5"/>
  <c r="NQ91" i="5"/>
  <c r="NQ93" i="5"/>
  <c r="NQ94" i="5"/>
  <c r="NQ95" i="5"/>
  <c r="NQ96" i="5"/>
  <c r="NQ97" i="5"/>
  <c r="NQ98" i="5"/>
  <c r="NQ99" i="5"/>
  <c r="NQ100" i="5"/>
  <c r="NQ101" i="5"/>
  <c r="NQ102" i="5"/>
  <c r="NQ104" i="5"/>
  <c r="NQ105" i="5"/>
  <c r="NQ106" i="5"/>
  <c r="NQ107" i="5"/>
  <c r="NQ108" i="5"/>
  <c r="NQ109" i="5"/>
  <c r="NQ110" i="5"/>
  <c r="NQ111" i="5"/>
  <c r="NQ112" i="5"/>
  <c r="NQ113" i="5"/>
  <c r="NQ114" i="5"/>
  <c r="NQ115" i="5"/>
  <c r="NQ116" i="5"/>
  <c r="NQ117" i="5"/>
  <c r="NQ118" i="5"/>
  <c r="NQ119" i="5"/>
  <c r="NQ120" i="5"/>
  <c r="NQ121" i="5"/>
  <c r="NQ122" i="5"/>
  <c r="NQ123" i="5"/>
  <c r="NQ124" i="5"/>
  <c r="NQ125" i="5"/>
  <c r="NQ126" i="5"/>
  <c r="NQ127" i="5"/>
  <c r="NQ128" i="5"/>
  <c r="NQ129" i="5"/>
  <c r="NQ131" i="5"/>
  <c r="NQ132" i="5"/>
  <c r="NQ133" i="5"/>
  <c r="NQ134" i="5"/>
  <c r="NQ135" i="5"/>
  <c r="NQ136" i="5"/>
  <c r="NQ137" i="5"/>
  <c r="NQ138" i="5"/>
  <c r="NQ139" i="5"/>
  <c r="NQ140" i="5"/>
  <c r="NQ141" i="5"/>
  <c r="NQ142" i="5"/>
  <c r="NQ143" i="5"/>
  <c r="NQ144" i="5"/>
  <c r="NQ146" i="5"/>
  <c r="NQ147" i="5"/>
  <c r="NQ148" i="5"/>
  <c r="NQ149" i="5"/>
  <c r="NQ150" i="5"/>
  <c r="NQ151" i="5"/>
  <c r="NQ152" i="5"/>
  <c r="NQ153" i="5"/>
  <c r="NQ155" i="5"/>
  <c r="NQ156" i="5"/>
  <c r="NQ157" i="5"/>
  <c r="NQ158" i="5"/>
  <c r="NQ159" i="5"/>
  <c r="NQ160" i="5"/>
  <c r="NQ161" i="5"/>
  <c r="NQ162" i="5"/>
  <c r="NQ163" i="5"/>
  <c r="NQ164" i="5"/>
  <c r="NQ165" i="5"/>
  <c r="NQ166" i="5"/>
  <c r="NQ167" i="5"/>
  <c r="NQ168" i="5"/>
  <c r="NQ169" i="5"/>
  <c r="NQ170" i="5"/>
  <c r="NQ171" i="5"/>
  <c r="NQ172" i="5"/>
  <c r="NQ173" i="5"/>
  <c r="NQ174" i="5"/>
  <c r="NQ175" i="5"/>
  <c r="NQ176" i="5"/>
  <c r="NQ177" i="5"/>
  <c r="NQ178" i="5"/>
  <c r="NQ179" i="5"/>
  <c r="NQ180" i="5"/>
  <c r="NQ181" i="5"/>
  <c r="NQ182" i="5"/>
  <c r="NQ183" i="5"/>
  <c r="NQ184" i="5"/>
  <c r="NQ185" i="5"/>
  <c r="NQ186" i="5"/>
  <c r="NQ187" i="5"/>
  <c r="NQ188" i="5"/>
  <c r="NQ189" i="5"/>
  <c r="NQ190" i="5"/>
  <c r="NQ191" i="5"/>
  <c r="NQ192" i="5"/>
  <c r="NQ193" i="5"/>
  <c r="NQ202" i="5"/>
  <c r="NQ203" i="5"/>
  <c r="NQ204" i="5"/>
  <c r="NQ205" i="5"/>
  <c r="NQ206" i="5"/>
  <c r="NQ207" i="5"/>
  <c r="NQ208" i="5"/>
  <c r="NQ209" i="5"/>
  <c r="NQ210" i="5"/>
  <c r="NQ211" i="5"/>
  <c r="NQ212" i="5"/>
  <c r="NQ213" i="5"/>
  <c r="NQ214" i="5"/>
  <c r="NQ215" i="5"/>
  <c r="NQ216" i="5"/>
  <c r="NQ217" i="5"/>
  <c r="NQ218" i="5"/>
  <c r="NQ219" i="5"/>
  <c r="NQ220" i="5"/>
  <c r="NQ221" i="5"/>
  <c r="NQ222" i="5"/>
  <c r="NQ223" i="5"/>
  <c r="NQ224" i="5"/>
  <c r="NQ225" i="5"/>
  <c r="NQ226" i="5"/>
  <c r="NQ227" i="5"/>
  <c r="NQ228" i="5"/>
  <c r="NQ229" i="5"/>
  <c r="NQ230" i="5"/>
  <c r="NQ231" i="5"/>
  <c r="NQ232" i="5"/>
  <c r="NQ233" i="5"/>
  <c r="NQ234" i="5"/>
  <c r="NQ235" i="5"/>
  <c r="NQ236" i="5"/>
  <c r="NQ238" i="5"/>
  <c r="NQ240" i="5"/>
  <c r="NQ241" i="5"/>
  <c r="NQ242" i="5"/>
  <c r="NQ244" i="5"/>
  <c r="NQ245" i="5"/>
  <c r="NQ246" i="5"/>
  <c r="NQ247" i="5"/>
  <c r="NQ248" i="5"/>
  <c r="NA3" i="5" l="1"/>
  <c r="NA4" i="5"/>
  <c r="NA5" i="5"/>
  <c r="NA6" i="5"/>
  <c r="NA7" i="5"/>
  <c r="NA8" i="5"/>
  <c r="NA9" i="5"/>
  <c r="NA10" i="5"/>
  <c r="NA11" i="5"/>
  <c r="NA12" i="5"/>
  <c r="NA13" i="5"/>
  <c r="NA14" i="5"/>
  <c r="NA15" i="5"/>
  <c r="NA16" i="5"/>
  <c r="NA17" i="5"/>
  <c r="NA18" i="5"/>
  <c r="NA19" i="5"/>
  <c r="NA20" i="5"/>
  <c r="NA21" i="5"/>
  <c r="NA22" i="5"/>
  <c r="NA23" i="5"/>
  <c r="NA24" i="5"/>
  <c r="NA25" i="5"/>
  <c r="NA26" i="5"/>
  <c r="NA27" i="5"/>
  <c r="NA28" i="5"/>
  <c r="NA29" i="5"/>
  <c r="NA30" i="5"/>
  <c r="NA31" i="5"/>
  <c r="NA32" i="5"/>
  <c r="NA33" i="5"/>
  <c r="NA34" i="5"/>
  <c r="NA35" i="5"/>
  <c r="NA36" i="5"/>
  <c r="NA37" i="5"/>
  <c r="NA38" i="5"/>
  <c r="NA39" i="5"/>
  <c r="NA40" i="5"/>
  <c r="NA41" i="5"/>
  <c r="NA42" i="5"/>
  <c r="NA43" i="5"/>
  <c r="NA44" i="5"/>
  <c r="NA45" i="5"/>
  <c r="NA46" i="5"/>
  <c r="NA47" i="5"/>
  <c r="NA48" i="5"/>
  <c r="NA49" i="5"/>
  <c r="NA50" i="5"/>
  <c r="NA51" i="5"/>
  <c r="NA52" i="5"/>
  <c r="NA53" i="5"/>
  <c r="NA54" i="5"/>
  <c r="NA55" i="5"/>
  <c r="NA56" i="5"/>
  <c r="NA57" i="5"/>
  <c r="NA58" i="5"/>
  <c r="NA59" i="5"/>
  <c r="NA60" i="5"/>
  <c r="NA61" i="5"/>
  <c r="NA62" i="5"/>
  <c r="NA63" i="5"/>
  <c r="NA64" i="5"/>
  <c r="NA65" i="5"/>
  <c r="NA66" i="5"/>
  <c r="NA67" i="5"/>
  <c r="NA68" i="5"/>
  <c r="NA69" i="5"/>
  <c r="NA70" i="5"/>
  <c r="NA71" i="5"/>
  <c r="NA72" i="5"/>
  <c r="NA73" i="5"/>
  <c r="NA74" i="5"/>
  <c r="NA75" i="5"/>
  <c r="NA76" i="5"/>
  <c r="NA77" i="5"/>
  <c r="NA78" i="5"/>
  <c r="NA79" i="5"/>
  <c r="NA80" i="5"/>
  <c r="NA81" i="5"/>
  <c r="NA82" i="5"/>
  <c r="NA83" i="5"/>
  <c r="NA84" i="5"/>
  <c r="NA85" i="5"/>
  <c r="NA86" i="5"/>
  <c r="NA87" i="5"/>
  <c r="NA88" i="5"/>
  <c r="NA89" i="5"/>
  <c r="NA90" i="5"/>
  <c r="NA91" i="5"/>
  <c r="NA92" i="5"/>
  <c r="NA93" i="5"/>
  <c r="NA94" i="5"/>
  <c r="NA95" i="5"/>
  <c r="NA96" i="5"/>
  <c r="NA97" i="5"/>
  <c r="NA98" i="5"/>
  <c r="NA99" i="5"/>
  <c r="NA100" i="5"/>
  <c r="NA101" i="5"/>
  <c r="NA102" i="5"/>
  <c r="NA103" i="5"/>
  <c r="NA104" i="5"/>
  <c r="NA105" i="5"/>
  <c r="NA106" i="5"/>
  <c r="NA107" i="5"/>
  <c r="NA108" i="5"/>
  <c r="NA109" i="5"/>
  <c r="NA110" i="5"/>
  <c r="NA111" i="5"/>
  <c r="NA112" i="5"/>
  <c r="NA113" i="5"/>
  <c r="NA114" i="5"/>
  <c r="NA115" i="5"/>
  <c r="NA116" i="5"/>
  <c r="NA117" i="5"/>
  <c r="NA118" i="5"/>
  <c r="NA119" i="5"/>
  <c r="NA120" i="5"/>
  <c r="NA121" i="5"/>
  <c r="NA122" i="5"/>
  <c r="NA123" i="5"/>
  <c r="NA124" i="5"/>
  <c r="NA125" i="5"/>
  <c r="NA126" i="5"/>
  <c r="NA127" i="5"/>
  <c r="NA128" i="5"/>
  <c r="NA129" i="5"/>
  <c r="NA130" i="5"/>
  <c r="NA131" i="5"/>
  <c r="NA132" i="5"/>
  <c r="NA133" i="5"/>
  <c r="NA134" i="5"/>
  <c r="NA135" i="5"/>
  <c r="NA136" i="5"/>
  <c r="NA137" i="5"/>
  <c r="NA138" i="5"/>
  <c r="NA139" i="5"/>
  <c r="NA140" i="5"/>
  <c r="NA141" i="5"/>
  <c r="NA142" i="5"/>
  <c r="NA143" i="5"/>
  <c r="NA144" i="5"/>
  <c r="NA145" i="5"/>
  <c r="NA146" i="5"/>
  <c r="NA147" i="5"/>
  <c r="NA148" i="5"/>
  <c r="NA149" i="5"/>
  <c r="NA150" i="5"/>
  <c r="NA151" i="5"/>
  <c r="NA152" i="5"/>
  <c r="NA153" i="5"/>
  <c r="NA154" i="5"/>
  <c r="NA155" i="5"/>
  <c r="NA156" i="5"/>
  <c r="NA157" i="5"/>
  <c r="NA158" i="5"/>
  <c r="NA159" i="5"/>
  <c r="NA160" i="5"/>
  <c r="NA161" i="5"/>
  <c r="NA162" i="5"/>
  <c r="NA163" i="5"/>
  <c r="NA164" i="5"/>
  <c r="NA165" i="5"/>
  <c r="NA166" i="5"/>
  <c r="NA167" i="5"/>
  <c r="NA168" i="5"/>
  <c r="NA169" i="5"/>
  <c r="NA170" i="5"/>
  <c r="NA171" i="5"/>
  <c r="NA172" i="5"/>
  <c r="NA173" i="5"/>
  <c r="NA174" i="5"/>
  <c r="NA175" i="5"/>
  <c r="NA176" i="5"/>
  <c r="NA177" i="5"/>
  <c r="NA178" i="5"/>
  <c r="NA179" i="5"/>
  <c r="NA180" i="5"/>
  <c r="NA181" i="5"/>
  <c r="NA182" i="5"/>
  <c r="NA183" i="5"/>
  <c r="NA184" i="5"/>
  <c r="NA185" i="5"/>
  <c r="NA186" i="5"/>
  <c r="NA187" i="5"/>
  <c r="NA188" i="5"/>
  <c r="NA189" i="5"/>
  <c r="NA190" i="5"/>
  <c r="NA191" i="5"/>
  <c r="NA192" i="5"/>
  <c r="NA193" i="5"/>
  <c r="NA202" i="5"/>
  <c r="NA203" i="5"/>
  <c r="NA204" i="5"/>
  <c r="NA205" i="5"/>
  <c r="NA206" i="5"/>
  <c r="NA207" i="5"/>
  <c r="NA208" i="5"/>
  <c r="NA209" i="5"/>
  <c r="NA210" i="5"/>
  <c r="NA211" i="5"/>
  <c r="NA212" i="5"/>
  <c r="NA213" i="5"/>
  <c r="NA214" i="5"/>
  <c r="NA215" i="5"/>
  <c r="NA216" i="5"/>
  <c r="NA217" i="5"/>
  <c r="NA218" i="5"/>
  <c r="NA219" i="5"/>
  <c r="NA220" i="5"/>
  <c r="NA221" i="5"/>
  <c r="NA222" i="5"/>
  <c r="NA223" i="5"/>
  <c r="NA224" i="5"/>
  <c r="NA225" i="5"/>
  <c r="NA226" i="5"/>
  <c r="NA227" i="5"/>
  <c r="NA228" i="5"/>
  <c r="NA229" i="5"/>
  <c r="NA230" i="5"/>
  <c r="NA231" i="5"/>
  <c r="NA232" i="5"/>
  <c r="NA233" i="5"/>
  <c r="NA234" i="5"/>
  <c r="NA235" i="5"/>
  <c r="NA236" i="5"/>
  <c r="NA237" i="5"/>
  <c r="NA238" i="5"/>
  <c r="NA239" i="5"/>
  <c r="NA240" i="5"/>
  <c r="NA241" i="5"/>
  <c r="NA242" i="5"/>
  <c r="NA243" i="5"/>
  <c r="NA244" i="5"/>
  <c r="NA245" i="5"/>
  <c r="NA246" i="5"/>
  <c r="NA247" i="5"/>
  <c r="NA248" i="5"/>
  <c r="NC3" i="5" l="1"/>
  <c r="NC4" i="5"/>
  <c r="NC5" i="5"/>
  <c r="NC6" i="5"/>
  <c r="NC7" i="5"/>
  <c r="NC8" i="5"/>
  <c r="NC9" i="5"/>
  <c r="NC10" i="5"/>
  <c r="NC11" i="5"/>
  <c r="NC12" i="5"/>
  <c r="NC13" i="5"/>
  <c r="NC14" i="5"/>
  <c r="NC15" i="5"/>
  <c r="NC16" i="5"/>
  <c r="NC17" i="5"/>
  <c r="NC18" i="5"/>
  <c r="NC19" i="5"/>
  <c r="NC20" i="5"/>
  <c r="NC21" i="5"/>
  <c r="NC22" i="5"/>
  <c r="NC23" i="5"/>
  <c r="NC24" i="5"/>
  <c r="NC25" i="5"/>
  <c r="NC26" i="5"/>
  <c r="NC27" i="5"/>
  <c r="NC28" i="5"/>
  <c r="NC29" i="5"/>
  <c r="NC30" i="5"/>
  <c r="NC31" i="5"/>
  <c r="NC32" i="5"/>
  <c r="NC33" i="5"/>
  <c r="NC34" i="5"/>
  <c r="NC35" i="5"/>
  <c r="NC36" i="5"/>
  <c r="NC37" i="5"/>
  <c r="NC38" i="5"/>
  <c r="NC39" i="5"/>
  <c r="NC40" i="5"/>
  <c r="NC41" i="5"/>
  <c r="NC42" i="5"/>
  <c r="NC43" i="5"/>
  <c r="NC44" i="5"/>
  <c r="NC45" i="5"/>
  <c r="NC46" i="5"/>
  <c r="NC47" i="5"/>
  <c r="NC48" i="5"/>
  <c r="NC49" i="5"/>
  <c r="NC50" i="5"/>
  <c r="NC51" i="5"/>
  <c r="NC52" i="5"/>
  <c r="NC53" i="5"/>
  <c r="NC54" i="5"/>
  <c r="NC55" i="5"/>
  <c r="NC56" i="5"/>
  <c r="NC57" i="5"/>
  <c r="NC58" i="5"/>
  <c r="NC59" i="5"/>
  <c r="NC60" i="5"/>
  <c r="NC61" i="5"/>
  <c r="NC62" i="5"/>
  <c r="NC63" i="5"/>
  <c r="NC64" i="5"/>
  <c r="NC65" i="5"/>
  <c r="NC66" i="5"/>
  <c r="NC67" i="5"/>
  <c r="NC68" i="5"/>
  <c r="NC69" i="5"/>
  <c r="NC70" i="5"/>
  <c r="NC71" i="5"/>
  <c r="NC72" i="5"/>
  <c r="NC73" i="5"/>
  <c r="NC74" i="5"/>
  <c r="NC75" i="5"/>
  <c r="NC76" i="5"/>
  <c r="NC77" i="5"/>
  <c r="NC78" i="5"/>
  <c r="NC79" i="5"/>
  <c r="NC80" i="5"/>
  <c r="NC81" i="5"/>
  <c r="NC82" i="5"/>
  <c r="NC83" i="5"/>
  <c r="NC84" i="5"/>
  <c r="NC85" i="5"/>
  <c r="NC86" i="5"/>
  <c r="NC87" i="5"/>
  <c r="NC88" i="5"/>
  <c r="NC89" i="5"/>
  <c r="NC90" i="5"/>
  <c r="NC91" i="5"/>
  <c r="NC92" i="5"/>
  <c r="NC93" i="5"/>
  <c r="NC94" i="5"/>
  <c r="NC95" i="5"/>
  <c r="NC96" i="5"/>
  <c r="NC97" i="5"/>
  <c r="NC98" i="5"/>
  <c r="NC99" i="5"/>
  <c r="NC100" i="5"/>
  <c r="NC101" i="5"/>
  <c r="NC102" i="5"/>
  <c r="NC103" i="5"/>
  <c r="NC104" i="5"/>
  <c r="NC105" i="5"/>
  <c r="NC106" i="5"/>
  <c r="NC107" i="5"/>
  <c r="NC108" i="5"/>
  <c r="NC109" i="5"/>
  <c r="NC110" i="5"/>
  <c r="NC111" i="5"/>
  <c r="NC112" i="5"/>
  <c r="NC113" i="5"/>
  <c r="NC114" i="5"/>
  <c r="NC115" i="5"/>
  <c r="NC116" i="5"/>
  <c r="NC117" i="5"/>
  <c r="NC118" i="5"/>
  <c r="NC119" i="5"/>
  <c r="NC120" i="5"/>
  <c r="NC121" i="5"/>
  <c r="NC122" i="5"/>
  <c r="NC123" i="5"/>
  <c r="NC124" i="5"/>
  <c r="NC125" i="5"/>
  <c r="NC126" i="5"/>
  <c r="NC127" i="5"/>
  <c r="NC128" i="5"/>
  <c r="NC129" i="5"/>
  <c r="NC130" i="5"/>
  <c r="NC131" i="5"/>
  <c r="NC132" i="5"/>
  <c r="NC133" i="5"/>
  <c r="NC134" i="5"/>
  <c r="NC135" i="5"/>
  <c r="NC136" i="5"/>
  <c r="NC137" i="5"/>
  <c r="NC138" i="5"/>
  <c r="NC139" i="5"/>
  <c r="NC140" i="5"/>
  <c r="NC141" i="5"/>
  <c r="NC142" i="5"/>
  <c r="NC143" i="5"/>
  <c r="NC144" i="5"/>
  <c r="NC145" i="5"/>
  <c r="NC146" i="5"/>
  <c r="NC147" i="5"/>
  <c r="NC148" i="5"/>
  <c r="NC149" i="5"/>
  <c r="NC150" i="5"/>
  <c r="NC151" i="5"/>
  <c r="NC152" i="5"/>
  <c r="NC153" i="5"/>
  <c r="NC154" i="5"/>
  <c r="NC155" i="5"/>
  <c r="NC156" i="5"/>
  <c r="NC157" i="5"/>
  <c r="NC158" i="5"/>
  <c r="NC159" i="5"/>
  <c r="NC160" i="5"/>
  <c r="NC161" i="5"/>
  <c r="NC162" i="5"/>
  <c r="NC163" i="5"/>
  <c r="NC164" i="5"/>
  <c r="NC165" i="5"/>
  <c r="NC166" i="5"/>
  <c r="NC167" i="5"/>
  <c r="NC168" i="5"/>
  <c r="NC169" i="5"/>
  <c r="NC170" i="5"/>
  <c r="NC171" i="5"/>
  <c r="NC172" i="5"/>
  <c r="NC173" i="5"/>
  <c r="NC174" i="5"/>
  <c r="NC175" i="5"/>
  <c r="NC176" i="5"/>
  <c r="NC177" i="5"/>
  <c r="NC178" i="5"/>
  <c r="NC179" i="5"/>
  <c r="NC180" i="5"/>
  <c r="NC181" i="5"/>
  <c r="NC182" i="5"/>
  <c r="NC183" i="5"/>
  <c r="NC184" i="5"/>
  <c r="NC185" i="5"/>
  <c r="NC186" i="5"/>
  <c r="NC187" i="5"/>
  <c r="NC188" i="5"/>
  <c r="NC189" i="5"/>
  <c r="NC190" i="5"/>
  <c r="NC191" i="5"/>
  <c r="NC192" i="5"/>
  <c r="NC193" i="5"/>
  <c r="NC202" i="5"/>
  <c r="NC203" i="5"/>
  <c r="NC204" i="5"/>
  <c r="NC205" i="5"/>
  <c r="NC206" i="5"/>
  <c r="NC207" i="5"/>
  <c r="NC208" i="5"/>
  <c r="NC209" i="5"/>
  <c r="NC210" i="5"/>
  <c r="NC211" i="5"/>
  <c r="NC212" i="5"/>
  <c r="NC213" i="5"/>
  <c r="NC214" i="5"/>
  <c r="NC215" i="5"/>
  <c r="NC216" i="5"/>
  <c r="NC217" i="5"/>
  <c r="NC218" i="5"/>
  <c r="NC219" i="5"/>
  <c r="NC220" i="5"/>
  <c r="NC221" i="5"/>
  <c r="NC222" i="5"/>
  <c r="NC223" i="5"/>
  <c r="NC224" i="5"/>
  <c r="NC225" i="5"/>
  <c r="NC226" i="5"/>
  <c r="NC227" i="5"/>
  <c r="NC228" i="5"/>
  <c r="NC229" i="5"/>
  <c r="NC230" i="5"/>
  <c r="NC231" i="5"/>
  <c r="NC232" i="5"/>
  <c r="NC233" i="5"/>
  <c r="NC234" i="5"/>
  <c r="NC235" i="5"/>
  <c r="NC236" i="5"/>
  <c r="NC237" i="5"/>
  <c r="NC238" i="5"/>
  <c r="NC239" i="5"/>
  <c r="NC240" i="5"/>
  <c r="NC241" i="5"/>
  <c r="NC242" i="5"/>
  <c r="NC243" i="5"/>
  <c r="NC244" i="5"/>
  <c r="NC245" i="5"/>
  <c r="NC246" i="5"/>
  <c r="NC247" i="5"/>
  <c r="NC248" i="5"/>
  <c r="NB3" i="5"/>
  <c r="NB4" i="5"/>
  <c r="NB5" i="5"/>
  <c r="NB6" i="5"/>
  <c r="NB7" i="5"/>
  <c r="NB8" i="5"/>
  <c r="NB9" i="5"/>
  <c r="NB10" i="5"/>
  <c r="NB11" i="5"/>
  <c r="NB12" i="5"/>
  <c r="NB13" i="5"/>
  <c r="NB14" i="5"/>
  <c r="NB15" i="5"/>
  <c r="NB16" i="5"/>
  <c r="NB17" i="5"/>
  <c r="NB18" i="5"/>
  <c r="NB19" i="5"/>
  <c r="NB20" i="5"/>
  <c r="NB21" i="5"/>
  <c r="NB22" i="5"/>
  <c r="NB23" i="5"/>
  <c r="NB24" i="5"/>
  <c r="NB25" i="5"/>
  <c r="NB26" i="5"/>
  <c r="NB27" i="5"/>
  <c r="NB28" i="5"/>
  <c r="NB29" i="5"/>
  <c r="NB30" i="5"/>
  <c r="NB31" i="5"/>
  <c r="NB32" i="5"/>
  <c r="NB33" i="5"/>
  <c r="NB34" i="5"/>
  <c r="NB35" i="5"/>
  <c r="NB36" i="5"/>
  <c r="NB37" i="5"/>
  <c r="NB38" i="5"/>
  <c r="NB39" i="5"/>
  <c r="NB40" i="5"/>
  <c r="NB41" i="5"/>
  <c r="NB42" i="5"/>
  <c r="NB43" i="5"/>
  <c r="NB44" i="5"/>
  <c r="NB45" i="5"/>
  <c r="NB46" i="5"/>
  <c r="NB47" i="5"/>
  <c r="NB48" i="5"/>
  <c r="NB49" i="5"/>
  <c r="NB50" i="5"/>
  <c r="NB51" i="5"/>
  <c r="NB52" i="5"/>
  <c r="NB53" i="5"/>
  <c r="NB54" i="5"/>
  <c r="NB55" i="5"/>
  <c r="NB56" i="5"/>
  <c r="NB57" i="5"/>
  <c r="NB58" i="5"/>
  <c r="NB59" i="5"/>
  <c r="NB60" i="5"/>
  <c r="NB61" i="5"/>
  <c r="NB62" i="5"/>
  <c r="NB63" i="5"/>
  <c r="NB64" i="5"/>
  <c r="NB65" i="5"/>
  <c r="NB66" i="5"/>
  <c r="NB67" i="5"/>
  <c r="NB68" i="5"/>
  <c r="NB69" i="5"/>
  <c r="NB70" i="5"/>
  <c r="NB71" i="5"/>
  <c r="NB72" i="5"/>
  <c r="NB73" i="5"/>
  <c r="NB74" i="5"/>
  <c r="NB75" i="5"/>
  <c r="NB76" i="5"/>
  <c r="NB77" i="5"/>
  <c r="NB78" i="5"/>
  <c r="NB79" i="5"/>
  <c r="NB80" i="5"/>
  <c r="NB81" i="5"/>
  <c r="NB82" i="5"/>
  <c r="NB83" i="5"/>
  <c r="NB84" i="5"/>
  <c r="NB85" i="5"/>
  <c r="NB86" i="5"/>
  <c r="NB87" i="5"/>
  <c r="NB88" i="5"/>
  <c r="NB89" i="5"/>
  <c r="NB90" i="5"/>
  <c r="NB91" i="5"/>
  <c r="NB92" i="5"/>
  <c r="NB93" i="5"/>
  <c r="NB94" i="5"/>
  <c r="NB95" i="5"/>
  <c r="NB96" i="5"/>
  <c r="NB97" i="5"/>
  <c r="NB98" i="5"/>
  <c r="NB99" i="5"/>
  <c r="NB100" i="5"/>
  <c r="NB101" i="5"/>
  <c r="NB102" i="5"/>
  <c r="NB103" i="5"/>
  <c r="NB104" i="5"/>
  <c r="NB105" i="5"/>
  <c r="NB106" i="5"/>
  <c r="NB107" i="5"/>
  <c r="NB108" i="5"/>
  <c r="NB109" i="5"/>
  <c r="NB110" i="5"/>
  <c r="NB111" i="5"/>
  <c r="NB112" i="5"/>
  <c r="NB113" i="5"/>
  <c r="NB114" i="5"/>
  <c r="NB115" i="5"/>
  <c r="NB116" i="5"/>
  <c r="NB117" i="5"/>
  <c r="NB118" i="5"/>
  <c r="NB119" i="5"/>
  <c r="NB120" i="5"/>
  <c r="NB121" i="5"/>
  <c r="NB122" i="5"/>
  <c r="NB123" i="5"/>
  <c r="NB124" i="5"/>
  <c r="NB125" i="5"/>
  <c r="NB126" i="5"/>
  <c r="NB127" i="5"/>
  <c r="NB128" i="5"/>
  <c r="NB129" i="5"/>
  <c r="NB130" i="5"/>
  <c r="NB131" i="5"/>
  <c r="NB132" i="5"/>
  <c r="NB133" i="5"/>
  <c r="NB134" i="5"/>
  <c r="NB135" i="5"/>
  <c r="NB136" i="5"/>
  <c r="NB137" i="5"/>
  <c r="NB138" i="5"/>
  <c r="NB139" i="5"/>
  <c r="NB140" i="5"/>
  <c r="NB141" i="5"/>
  <c r="NB142" i="5"/>
  <c r="NB143" i="5"/>
  <c r="NB144" i="5"/>
  <c r="NB145" i="5"/>
  <c r="NB146" i="5"/>
  <c r="NB147" i="5"/>
  <c r="NB148" i="5"/>
  <c r="NB149" i="5"/>
  <c r="NB150" i="5"/>
  <c r="NB151" i="5"/>
  <c r="NB152" i="5"/>
  <c r="NB153" i="5"/>
  <c r="NB154" i="5"/>
  <c r="NB155" i="5"/>
  <c r="NB156" i="5"/>
  <c r="NB157" i="5"/>
  <c r="NB158" i="5"/>
  <c r="NB159" i="5"/>
  <c r="NB160" i="5"/>
  <c r="NB161" i="5"/>
  <c r="NB162" i="5"/>
  <c r="NB163" i="5"/>
  <c r="NB164" i="5"/>
  <c r="NB165" i="5"/>
  <c r="NB166" i="5"/>
  <c r="NB167" i="5"/>
  <c r="NB168" i="5"/>
  <c r="NB169" i="5"/>
  <c r="NB170" i="5"/>
  <c r="NB171" i="5"/>
  <c r="NB172" i="5"/>
  <c r="NB173" i="5"/>
  <c r="NB174" i="5"/>
  <c r="NB175" i="5"/>
  <c r="NB176" i="5"/>
  <c r="NB177" i="5"/>
  <c r="NB178" i="5"/>
  <c r="NB179" i="5"/>
  <c r="NB180" i="5"/>
  <c r="NB181" i="5"/>
  <c r="NB182" i="5"/>
  <c r="NB183" i="5"/>
  <c r="NB184" i="5"/>
  <c r="NB185" i="5"/>
  <c r="NB186" i="5"/>
  <c r="NB187" i="5"/>
  <c r="NB188" i="5"/>
  <c r="NB189" i="5"/>
  <c r="NB190" i="5"/>
  <c r="NB191" i="5"/>
  <c r="NB192" i="5"/>
  <c r="NB193" i="5"/>
  <c r="NB202" i="5"/>
  <c r="NB203" i="5"/>
  <c r="NB204" i="5"/>
  <c r="NB205" i="5"/>
  <c r="NB206" i="5"/>
  <c r="NB207" i="5"/>
  <c r="NB208" i="5"/>
  <c r="NB209" i="5"/>
  <c r="NB210" i="5"/>
  <c r="NB211" i="5"/>
  <c r="NB212" i="5"/>
  <c r="NB213" i="5"/>
  <c r="NB214" i="5"/>
  <c r="NB215" i="5"/>
  <c r="NB216" i="5"/>
  <c r="NB217" i="5"/>
  <c r="NB218" i="5"/>
  <c r="NB219" i="5"/>
  <c r="NB220" i="5"/>
  <c r="NB221" i="5"/>
  <c r="NB222" i="5"/>
  <c r="NB223" i="5"/>
  <c r="NB224" i="5"/>
  <c r="NB225" i="5"/>
  <c r="NB226" i="5"/>
  <c r="NB227" i="5"/>
  <c r="NB228" i="5"/>
  <c r="NB229" i="5"/>
  <c r="NB230" i="5"/>
  <c r="NB231" i="5"/>
  <c r="NB232" i="5"/>
  <c r="NB233" i="5"/>
  <c r="NB234" i="5"/>
  <c r="NB235" i="5"/>
  <c r="NB236" i="5"/>
  <c r="NB237" i="5"/>
  <c r="NB238" i="5"/>
  <c r="NB239" i="5"/>
  <c r="NB240" i="5"/>
  <c r="NB241" i="5"/>
  <c r="NB242" i="5"/>
  <c r="NB243" i="5"/>
  <c r="NB244" i="5"/>
  <c r="NB245" i="5"/>
  <c r="NB246" i="5"/>
  <c r="NB247" i="5"/>
  <c r="NB248" i="5"/>
  <c r="N10" i="30" l="1"/>
  <c r="N7" i="30"/>
  <c r="N9" i="30"/>
  <c r="NI4" i="5"/>
  <c r="NI5" i="5"/>
  <c r="NI7" i="5"/>
  <c r="NI8" i="5"/>
  <c r="NI10" i="5"/>
  <c r="NI11" i="5"/>
  <c r="NI13" i="5"/>
  <c r="NI18" i="5"/>
  <c r="NI19" i="5"/>
  <c r="NI21" i="5"/>
  <c r="NI24" i="5"/>
  <c r="NI26" i="5"/>
  <c r="NI27" i="5"/>
  <c r="NI28" i="5"/>
  <c r="NI29" i="5"/>
  <c r="NI32" i="5"/>
  <c r="NI33" i="5"/>
  <c r="NI35" i="5"/>
  <c r="NI36" i="5"/>
  <c r="NI37" i="5"/>
  <c r="NI38" i="5"/>
  <c r="NI40" i="5"/>
  <c r="NI41" i="5"/>
  <c r="NI43" i="5"/>
  <c r="NI46" i="5"/>
  <c r="NI47" i="5"/>
  <c r="NI48" i="5"/>
  <c r="NI49" i="5"/>
  <c r="NI50" i="5"/>
  <c r="NI51" i="5"/>
  <c r="NI53" i="5"/>
  <c r="NI55" i="5"/>
  <c r="NI56" i="5"/>
  <c r="NI58" i="5"/>
  <c r="NI59" i="5"/>
  <c r="NI61" i="5"/>
  <c r="NI63" i="5"/>
  <c r="NI64" i="5"/>
  <c r="NI65" i="5"/>
  <c r="NI66" i="5"/>
  <c r="NI67" i="5"/>
  <c r="NI68" i="5"/>
  <c r="NI69" i="5"/>
  <c r="NI70" i="5"/>
  <c r="NI71" i="5"/>
  <c r="NI72" i="5"/>
  <c r="NI73" i="5"/>
  <c r="NI74" i="5"/>
  <c r="NI76" i="5"/>
  <c r="NI77" i="5"/>
  <c r="NI78" i="5"/>
  <c r="NI79" i="5"/>
  <c r="NI81" i="5"/>
  <c r="NI82" i="5"/>
  <c r="NI83" i="5"/>
  <c r="NI85" i="5"/>
  <c r="NI87" i="5"/>
  <c r="NI89" i="5"/>
  <c r="NI92" i="5"/>
  <c r="NI97" i="5"/>
  <c r="NI98" i="5"/>
  <c r="NI100" i="5"/>
  <c r="NI102" i="5"/>
  <c r="NI103" i="5"/>
  <c r="NI105" i="5"/>
  <c r="NI106" i="5"/>
  <c r="NI109" i="5"/>
  <c r="NI110" i="5"/>
  <c r="NI111" i="5"/>
  <c r="NI112" i="5"/>
  <c r="NI113" i="5"/>
  <c r="NI114" i="5"/>
  <c r="NI115" i="5"/>
  <c r="NI116" i="5"/>
  <c r="NI117" i="5"/>
  <c r="NI118" i="5"/>
  <c r="NI119" i="5"/>
  <c r="NI120" i="5"/>
  <c r="NI122" i="5"/>
  <c r="NI123" i="5"/>
  <c r="DX118" i="5" l="1"/>
  <c r="HM118" i="5"/>
  <c r="DX110" i="5"/>
  <c r="HM110" i="5"/>
  <c r="DX100" i="5"/>
  <c r="HM100" i="5"/>
  <c r="DX79" i="5"/>
  <c r="HM79" i="5"/>
  <c r="DX70" i="5"/>
  <c r="HM70" i="5"/>
  <c r="DX61" i="5"/>
  <c r="HM61" i="5"/>
  <c r="DX49" i="5"/>
  <c r="HM49" i="5"/>
  <c r="DX37" i="5"/>
  <c r="HM37" i="5"/>
  <c r="DX26" i="5"/>
  <c r="HM26" i="5"/>
  <c r="DX10" i="5"/>
  <c r="HM10" i="5"/>
  <c r="DX117" i="5"/>
  <c r="HM117" i="5"/>
  <c r="DX109" i="5"/>
  <c r="HM109" i="5"/>
  <c r="DX89" i="5"/>
  <c r="HM89" i="5"/>
  <c r="DX78" i="5"/>
  <c r="HM78" i="5"/>
  <c r="DX69" i="5"/>
  <c r="HM69" i="5"/>
  <c r="DX59" i="5"/>
  <c r="HM59" i="5"/>
  <c r="DX48" i="5"/>
  <c r="HM48" i="5"/>
  <c r="DX36" i="5"/>
  <c r="HM36" i="5"/>
  <c r="DX24" i="5"/>
  <c r="HM24" i="5"/>
  <c r="DX8" i="5"/>
  <c r="HM8" i="5"/>
  <c r="DX116" i="5"/>
  <c r="HM116" i="5"/>
  <c r="DX98" i="5"/>
  <c r="HM98" i="5"/>
  <c r="DX77" i="5"/>
  <c r="HM77" i="5"/>
  <c r="DX68" i="5"/>
  <c r="HM68" i="5"/>
  <c r="DX58" i="5"/>
  <c r="HM58" i="5"/>
  <c r="DX47" i="5"/>
  <c r="HM47" i="5"/>
  <c r="DX35" i="5"/>
  <c r="HM35" i="5"/>
  <c r="DX21" i="5"/>
  <c r="HM21" i="5"/>
  <c r="DX7" i="5"/>
  <c r="HM7" i="5"/>
  <c r="DX123" i="5"/>
  <c r="HM123" i="5"/>
  <c r="DX115" i="5"/>
  <c r="HM115" i="5"/>
  <c r="DX106" i="5"/>
  <c r="HM106" i="5"/>
  <c r="DX97" i="5"/>
  <c r="HM97" i="5"/>
  <c r="DX87" i="5"/>
  <c r="HM87" i="5"/>
  <c r="DX76" i="5"/>
  <c r="HM76" i="5"/>
  <c r="DX67" i="5"/>
  <c r="HM67" i="5"/>
  <c r="DX56" i="5"/>
  <c r="HM56" i="5"/>
  <c r="DX46" i="5"/>
  <c r="HM46" i="5"/>
  <c r="DX33" i="5"/>
  <c r="HM33" i="5"/>
  <c r="DX19" i="5"/>
  <c r="HM19" i="5"/>
  <c r="DX5" i="5"/>
  <c r="HM5" i="5"/>
  <c r="DX122" i="5"/>
  <c r="HM122" i="5"/>
  <c r="DX114" i="5"/>
  <c r="HM114" i="5"/>
  <c r="DX105" i="5"/>
  <c r="HM105" i="5"/>
  <c r="DX85" i="5"/>
  <c r="HM85" i="5"/>
  <c r="DX74" i="5"/>
  <c r="HM74" i="5"/>
  <c r="DX66" i="5"/>
  <c r="HM66" i="5"/>
  <c r="DX55" i="5"/>
  <c r="HM55" i="5"/>
  <c r="DX43" i="5"/>
  <c r="HM43" i="5"/>
  <c r="DX32" i="5"/>
  <c r="HM32" i="5"/>
  <c r="DX18" i="5"/>
  <c r="HM18" i="5"/>
  <c r="DX4" i="5"/>
  <c r="HM4" i="5"/>
  <c r="DX113" i="5"/>
  <c r="HM113" i="5"/>
  <c r="DX103" i="5"/>
  <c r="HM103" i="5"/>
  <c r="DX83" i="5"/>
  <c r="HM83" i="5"/>
  <c r="DX73" i="5"/>
  <c r="HM73" i="5"/>
  <c r="DX65" i="5"/>
  <c r="HM65" i="5"/>
  <c r="DX53" i="5"/>
  <c r="HM53" i="5"/>
  <c r="DX41" i="5"/>
  <c r="HM41" i="5"/>
  <c r="DX29" i="5"/>
  <c r="HM29" i="5"/>
  <c r="DX120" i="5"/>
  <c r="HM120" i="5"/>
  <c r="DX112" i="5"/>
  <c r="HM112" i="5"/>
  <c r="DX102" i="5"/>
  <c r="HM102" i="5"/>
  <c r="DX92" i="5"/>
  <c r="HM92" i="5"/>
  <c r="DX82" i="5"/>
  <c r="HM82" i="5"/>
  <c r="DX72" i="5"/>
  <c r="HM72" i="5"/>
  <c r="DX64" i="5"/>
  <c r="HM64" i="5"/>
  <c r="DX51" i="5"/>
  <c r="HM51" i="5"/>
  <c r="DX40" i="5"/>
  <c r="HM40" i="5"/>
  <c r="DX28" i="5"/>
  <c r="HM28" i="5"/>
  <c r="DX13" i="5"/>
  <c r="HM13" i="5"/>
  <c r="DX119" i="5"/>
  <c r="HM119" i="5"/>
  <c r="DX111" i="5"/>
  <c r="HM111" i="5"/>
  <c r="DX81" i="5"/>
  <c r="HM81" i="5"/>
  <c r="DX71" i="5"/>
  <c r="HM71" i="5"/>
  <c r="DX63" i="5"/>
  <c r="HM63" i="5"/>
  <c r="DX50" i="5"/>
  <c r="HM50" i="5"/>
  <c r="DX38" i="5"/>
  <c r="HM38" i="5"/>
  <c r="DX27" i="5"/>
  <c r="HM27" i="5"/>
  <c r="DX11" i="5"/>
  <c r="HM11" i="5"/>
  <c r="B18" i="30"/>
  <c r="D24" i="30"/>
  <c r="B24" i="30"/>
  <c r="D21" i="30"/>
  <c r="B17" i="30"/>
  <c r="D18" i="30"/>
  <c r="B21" i="30"/>
  <c r="D17" i="30"/>
  <c r="NR40" i="5"/>
  <c r="NR41" i="5"/>
  <c r="NR61" i="5"/>
  <c r="NR43" i="5"/>
  <c r="NR248" i="5"/>
  <c r="NR247" i="5"/>
  <c r="NR245" i="5"/>
  <c r="NR246" i="5"/>
  <c r="NR244" i="5"/>
  <c r="NR241" i="5"/>
  <c r="NR243" i="5"/>
  <c r="NR240" i="5"/>
  <c r="NR239" i="5"/>
  <c r="NR235" i="5"/>
  <c r="NR236" i="5"/>
  <c r="NR237" i="5"/>
  <c r="NR221" i="5"/>
  <c r="NR218" i="5"/>
  <c r="NR216" i="5"/>
  <c r="NR217" i="5"/>
  <c r="NR215" i="5"/>
  <c r="NR214" i="5"/>
  <c r="NR207" i="5"/>
  <c r="NR192" i="5"/>
  <c r="NR191" i="5"/>
  <c r="NR186" i="5"/>
  <c r="NR187" i="5"/>
  <c r="NR184" i="5"/>
  <c r="NR182" i="5"/>
  <c r="NR183" i="5"/>
  <c r="NR178" i="5"/>
  <c r="NR167" i="5"/>
  <c r="NR166" i="5"/>
  <c r="NR163" i="5"/>
  <c r="NR161" i="5"/>
  <c r="NR160" i="5"/>
  <c r="NR151" i="5"/>
  <c r="NR147" i="5"/>
  <c r="NR140" i="5"/>
  <c r="NR141" i="5"/>
  <c r="NR122" i="5"/>
  <c r="NR119" i="5"/>
  <c r="NR123" i="5"/>
  <c r="NR118" i="5"/>
  <c r="NR117" i="5"/>
  <c r="NR111" i="5"/>
  <c r="NM4" i="5"/>
  <c r="NM5" i="5"/>
  <c r="NM6" i="5"/>
  <c r="NM7" i="5"/>
  <c r="NM8" i="5"/>
  <c r="NM9" i="5"/>
  <c r="NM10" i="5"/>
  <c r="NM11" i="5"/>
  <c r="NM12" i="5"/>
  <c r="NM13" i="5"/>
  <c r="NM14" i="5"/>
  <c r="NM15" i="5"/>
  <c r="NM16" i="5"/>
  <c r="NM17" i="5"/>
  <c r="NM18" i="5"/>
  <c r="NM19" i="5"/>
  <c r="NM20" i="5"/>
  <c r="NM21" i="5"/>
  <c r="NM22" i="5"/>
  <c r="NM23" i="5"/>
  <c r="NM24" i="5"/>
  <c r="NM25" i="5"/>
  <c r="NM26" i="5"/>
  <c r="NM27" i="5"/>
  <c r="NM28" i="5"/>
  <c r="NM29" i="5"/>
  <c r="NM30" i="5"/>
  <c r="NM31" i="5"/>
  <c r="NM32" i="5"/>
  <c r="NM33" i="5"/>
  <c r="NM34" i="5"/>
  <c r="NM35" i="5"/>
  <c r="NM36" i="5"/>
  <c r="NM37" i="5"/>
  <c r="NM38" i="5"/>
  <c r="NM39" i="5"/>
  <c r="NM40" i="5"/>
  <c r="NN40" i="5"/>
  <c r="NO40" i="5"/>
  <c r="NM41" i="5"/>
  <c r="NM42" i="5"/>
  <c r="NM43" i="5"/>
  <c r="NN43" i="5"/>
  <c r="NO43" i="5"/>
  <c r="NM44" i="5"/>
  <c r="NM45" i="5"/>
  <c r="NM46" i="5"/>
  <c r="NM47" i="5"/>
  <c r="NM48" i="5"/>
  <c r="NM49" i="5"/>
  <c r="NM50" i="5"/>
  <c r="NM51" i="5"/>
  <c r="NM52" i="5"/>
  <c r="NM53" i="5"/>
  <c r="NM54" i="5"/>
  <c r="NM55" i="5"/>
  <c r="NM56" i="5"/>
  <c r="NM57" i="5"/>
  <c r="NM58" i="5"/>
  <c r="NM59" i="5"/>
  <c r="NM60" i="5"/>
  <c r="NM61" i="5"/>
  <c r="NN61" i="5"/>
  <c r="NO61" i="5"/>
  <c r="NM62" i="5"/>
  <c r="NM63" i="5"/>
  <c r="NM64" i="5"/>
  <c r="NM65" i="5"/>
  <c r="NM66" i="5"/>
  <c r="NM67" i="5"/>
  <c r="NM68" i="5"/>
  <c r="NM69" i="5"/>
  <c r="NM70" i="5"/>
  <c r="NM71" i="5"/>
  <c r="NM72" i="5"/>
  <c r="NM73" i="5"/>
  <c r="NM74" i="5"/>
  <c r="NM75" i="5"/>
  <c r="NM76" i="5"/>
  <c r="NM77" i="5"/>
  <c r="NM78" i="5"/>
  <c r="NM79" i="5"/>
  <c r="NM80" i="5"/>
  <c r="NM81" i="5"/>
  <c r="NM82" i="5"/>
  <c r="NM83" i="5"/>
  <c r="NM84" i="5"/>
  <c r="NM85" i="5"/>
  <c r="NM86" i="5"/>
  <c r="NM87" i="5"/>
  <c r="NM88" i="5"/>
  <c r="NM89" i="5"/>
  <c r="NM90" i="5"/>
  <c r="NM91" i="5"/>
  <c r="NM92" i="5"/>
  <c r="NM93" i="5"/>
  <c r="NM94" i="5"/>
  <c r="NM95" i="5"/>
  <c r="NM96" i="5"/>
  <c r="NM97" i="5"/>
  <c r="NM98" i="5"/>
  <c r="NM99" i="5"/>
  <c r="NM100" i="5"/>
  <c r="NM101" i="5"/>
  <c r="NM102" i="5"/>
  <c r="NM103" i="5"/>
  <c r="NM104" i="5"/>
  <c r="NM105" i="5"/>
  <c r="NM106" i="5"/>
  <c r="NM107" i="5"/>
  <c r="NM108" i="5"/>
  <c r="NM109" i="5"/>
  <c r="NM110" i="5"/>
  <c r="NM111" i="5"/>
  <c r="NN111" i="5"/>
  <c r="NO111" i="5"/>
  <c r="NM112" i="5"/>
  <c r="NM113" i="5"/>
  <c r="NM114" i="5"/>
  <c r="NM115" i="5"/>
  <c r="NM116" i="5"/>
  <c r="NM117" i="5"/>
  <c r="NN117" i="5"/>
  <c r="NO117" i="5"/>
  <c r="NM118" i="5"/>
  <c r="NN118" i="5"/>
  <c r="NO118" i="5"/>
  <c r="NM119" i="5"/>
  <c r="NN119" i="5"/>
  <c r="NO119" i="5"/>
  <c r="NM120" i="5"/>
  <c r="NM121" i="5"/>
  <c r="NM122" i="5"/>
  <c r="NN122" i="5"/>
  <c r="NO122" i="5"/>
  <c r="NM123" i="5"/>
  <c r="NN123" i="5"/>
  <c r="NO123" i="5"/>
  <c r="NM124" i="5"/>
  <c r="NM125" i="5"/>
  <c r="NM126" i="5"/>
  <c r="NM127" i="5"/>
  <c r="NM128" i="5"/>
  <c r="NM129" i="5"/>
  <c r="NM130" i="5"/>
  <c r="NM131" i="5"/>
  <c r="NM132" i="5"/>
  <c r="NM133" i="5"/>
  <c r="NM134" i="5"/>
  <c r="NM135" i="5"/>
  <c r="NM136" i="5"/>
  <c r="NM137" i="5"/>
  <c r="NM138" i="5"/>
  <c r="NM139" i="5"/>
  <c r="NM140" i="5"/>
  <c r="NM141" i="5"/>
  <c r="NN141" i="5"/>
  <c r="NO141" i="5"/>
  <c r="NM142" i="5"/>
  <c r="NM143" i="5"/>
  <c r="NM144" i="5"/>
  <c r="NM145" i="5"/>
  <c r="NM146" i="5"/>
  <c r="NM147" i="5"/>
  <c r="NN147" i="5"/>
  <c r="NO147" i="5"/>
  <c r="NM148" i="5"/>
  <c r="NM149" i="5"/>
  <c r="NM150" i="5"/>
  <c r="NM151" i="5"/>
  <c r="NN151" i="5"/>
  <c r="NO151" i="5"/>
  <c r="NM152" i="5"/>
  <c r="NM153" i="5"/>
  <c r="NM154" i="5"/>
  <c r="NM155" i="5"/>
  <c r="NM156" i="5"/>
  <c r="NM157" i="5"/>
  <c r="NM158" i="5"/>
  <c r="NM159" i="5"/>
  <c r="NM160" i="5"/>
  <c r="NN160" i="5"/>
  <c r="NO160" i="5"/>
  <c r="NM161" i="5"/>
  <c r="NN161" i="5"/>
  <c r="NO161" i="5"/>
  <c r="NM162" i="5"/>
  <c r="NM163" i="5"/>
  <c r="NN163" i="5"/>
  <c r="NO163" i="5"/>
  <c r="NM164" i="5"/>
  <c r="NM165" i="5"/>
  <c r="NM166" i="5"/>
  <c r="NN166" i="5"/>
  <c r="NO166" i="5"/>
  <c r="NM167" i="5"/>
  <c r="NN167" i="5"/>
  <c r="NO167" i="5"/>
  <c r="NM168" i="5"/>
  <c r="NM169" i="5"/>
  <c r="NM170" i="5"/>
  <c r="NM171" i="5"/>
  <c r="NM172" i="5"/>
  <c r="NM173" i="5"/>
  <c r="NM174" i="5"/>
  <c r="NM175" i="5"/>
  <c r="NM176" i="5"/>
  <c r="NM177" i="5"/>
  <c r="NM178" i="5"/>
  <c r="NN178" i="5"/>
  <c r="NO178" i="5"/>
  <c r="NM179" i="5"/>
  <c r="NM180" i="5"/>
  <c r="NM181" i="5"/>
  <c r="NM182" i="5"/>
  <c r="NN182" i="5"/>
  <c r="NO182" i="5"/>
  <c r="NM183" i="5"/>
  <c r="NN183" i="5"/>
  <c r="NO183" i="5"/>
  <c r="NM184" i="5"/>
  <c r="NN184" i="5"/>
  <c r="NO184" i="5"/>
  <c r="NM185" i="5"/>
  <c r="NM186" i="5"/>
  <c r="NN186" i="5"/>
  <c r="NO186" i="5"/>
  <c r="NM187" i="5"/>
  <c r="NN187" i="5"/>
  <c r="NO187" i="5"/>
  <c r="NM188" i="5"/>
  <c r="NM189" i="5"/>
  <c r="NM190" i="5"/>
  <c r="NM191" i="5"/>
  <c r="NN191" i="5"/>
  <c r="NO191" i="5"/>
  <c r="NM192" i="5"/>
  <c r="NN192" i="5"/>
  <c r="NO192" i="5"/>
  <c r="NM193" i="5"/>
  <c r="NM202" i="5"/>
  <c r="NN202" i="5"/>
  <c r="NO202" i="5"/>
  <c r="NM203" i="5"/>
  <c r="NM204" i="5"/>
  <c r="NM205" i="5"/>
  <c r="NN205" i="5"/>
  <c r="NO205" i="5"/>
  <c r="NM206" i="5"/>
  <c r="NM207" i="5"/>
  <c r="NN207" i="5"/>
  <c r="NO207" i="5"/>
  <c r="NM208" i="5"/>
  <c r="NM209" i="5"/>
  <c r="NM210" i="5"/>
  <c r="NM211" i="5"/>
  <c r="NM212" i="5"/>
  <c r="NM213" i="5"/>
  <c r="NM214" i="5"/>
  <c r="NN214" i="5"/>
  <c r="NO214" i="5"/>
  <c r="NM215" i="5"/>
  <c r="NN215" i="5"/>
  <c r="NO215" i="5"/>
  <c r="NM216" i="5"/>
  <c r="NN216" i="5"/>
  <c r="NO216" i="5"/>
  <c r="NM217" i="5"/>
  <c r="NN217" i="5"/>
  <c r="NO217" i="5"/>
  <c r="NM218" i="5"/>
  <c r="NN218" i="5"/>
  <c r="NO218" i="5"/>
  <c r="NM219" i="5"/>
  <c r="NM220" i="5"/>
  <c r="NN220" i="5"/>
  <c r="NO220" i="5"/>
  <c r="NM221" i="5"/>
  <c r="NN221" i="5"/>
  <c r="NO221" i="5"/>
  <c r="NM222" i="5"/>
  <c r="NM223" i="5"/>
  <c r="NM224" i="5"/>
  <c r="NM225" i="5"/>
  <c r="NM226" i="5"/>
  <c r="NM227" i="5"/>
  <c r="NM228" i="5"/>
  <c r="NM229" i="5"/>
  <c r="NM230" i="5"/>
  <c r="NM231" i="5"/>
  <c r="NM232" i="5"/>
  <c r="NM233" i="5"/>
  <c r="NM234" i="5"/>
  <c r="NM235" i="5"/>
  <c r="NN235" i="5"/>
  <c r="NO235" i="5"/>
  <c r="NM236" i="5"/>
  <c r="NN236" i="5"/>
  <c r="NO236" i="5"/>
  <c r="NM237" i="5"/>
  <c r="NN237" i="5"/>
  <c r="NO237" i="5"/>
  <c r="NM238" i="5"/>
  <c r="NN238" i="5"/>
  <c r="NO238" i="5"/>
  <c r="NM239" i="5"/>
  <c r="NN239" i="5"/>
  <c r="NO239" i="5"/>
  <c r="NM240" i="5"/>
  <c r="NN240" i="5"/>
  <c r="NO240" i="5"/>
  <c r="NM241" i="5"/>
  <c r="NN241" i="5"/>
  <c r="NO241" i="5"/>
  <c r="NM242" i="5"/>
  <c r="NM243" i="5"/>
  <c r="NN243" i="5"/>
  <c r="NO243" i="5"/>
  <c r="NM244" i="5"/>
  <c r="NN244" i="5"/>
  <c r="NO244" i="5"/>
  <c r="NM245" i="5"/>
  <c r="NN245" i="5"/>
  <c r="NO245" i="5"/>
  <c r="NM246" i="5"/>
  <c r="NN246" i="5"/>
  <c r="NO246" i="5"/>
  <c r="NM247" i="5"/>
  <c r="NN247" i="5"/>
  <c r="NO247" i="5"/>
  <c r="NM248" i="5"/>
  <c r="NN248" i="5"/>
  <c r="NO248" i="5"/>
  <c r="NJ4" i="5"/>
  <c r="NK4" i="5"/>
  <c r="NL4" i="5"/>
  <c r="NJ5" i="5"/>
  <c r="NK5" i="5"/>
  <c r="NL5" i="5"/>
  <c r="NJ6" i="5"/>
  <c r="NK6" i="5"/>
  <c r="NL6" i="5"/>
  <c r="NJ7" i="5"/>
  <c r="NK7" i="5"/>
  <c r="NL7" i="5"/>
  <c r="NJ8" i="5"/>
  <c r="NK8" i="5"/>
  <c r="NL8" i="5"/>
  <c r="NJ9" i="5"/>
  <c r="NK9" i="5"/>
  <c r="NL9" i="5"/>
  <c r="NJ10" i="5"/>
  <c r="NK10" i="5"/>
  <c r="NL10" i="5"/>
  <c r="NJ11" i="5"/>
  <c r="NK11" i="5"/>
  <c r="NL11" i="5"/>
  <c r="NJ12" i="5"/>
  <c r="NK12" i="5"/>
  <c r="NL12" i="5"/>
  <c r="NJ13" i="5"/>
  <c r="NK13" i="5"/>
  <c r="NL13" i="5"/>
  <c r="NJ14" i="5"/>
  <c r="NK14" i="5"/>
  <c r="NL14" i="5"/>
  <c r="NJ15" i="5"/>
  <c r="NK15" i="5"/>
  <c r="NL15" i="5"/>
  <c r="NJ16" i="5"/>
  <c r="NK16" i="5"/>
  <c r="NL16" i="5"/>
  <c r="NJ17" i="5"/>
  <c r="NK17" i="5"/>
  <c r="NL17" i="5"/>
  <c r="NJ18" i="5"/>
  <c r="NK18" i="5"/>
  <c r="NL18" i="5"/>
  <c r="NJ19" i="5"/>
  <c r="NK19" i="5"/>
  <c r="NL19" i="5"/>
  <c r="NJ20" i="5"/>
  <c r="NK20" i="5"/>
  <c r="NL20" i="5"/>
  <c r="NJ21" i="5"/>
  <c r="NK21" i="5"/>
  <c r="NL21" i="5"/>
  <c r="NJ22" i="5"/>
  <c r="NK22" i="5"/>
  <c r="NL22" i="5"/>
  <c r="NJ23" i="5"/>
  <c r="NK23" i="5"/>
  <c r="NL23" i="5"/>
  <c r="NJ24" i="5"/>
  <c r="NK24" i="5"/>
  <c r="NL24" i="5"/>
  <c r="NJ25" i="5"/>
  <c r="NK25" i="5"/>
  <c r="NL25" i="5"/>
  <c r="NJ26" i="5"/>
  <c r="NK26" i="5"/>
  <c r="NL26" i="5"/>
  <c r="NJ27" i="5"/>
  <c r="NK27" i="5"/>
  <c r="NL27" i="5"/>
  <c r="NJ28" i="5"/>
  <c r="NK28" i="5"/>
  <c r="NL28" i="5"/>
  <c r="NJ29" i="5"/>
  <c r="NK29" i="5"/>
  <c r="NL29" i="5"/>
  <c r="NJ30" i="5"/>
  <c r="NK30" i="5"/>
  <c r="NL30" i="5"/>
  <c r="NJ31" i="5"/>
  <c r="NK31" i="5"/>
  <c r="NL31" i="5"/>
  <c r="NJ32" i="5"/>
  <c r="NK32" i="5"/>
  <c r="NL32" i="5"/>
  <c r="NJ33" i="5"/>
  <c r="NK33" i="5"/>
  <c r="NL33" i="5"/>
  <c r="NJ34" i="5"/>
  <c r="NK34" i="5"/>
  <c r="NL34" i="5"/>
  <c r="NJ35" i="5"/>
  <c r="NK35" i="5"/>
  <c r="NL35" i="5"/>
  <c r="NJ36" i="5"/>
  <c r="NK36" i="5"/>
  <c r="NL36" i="5"/>
  <c r="NJ37" i="5"/>
  <c r="NK37" i="5"/>
  <c r="NL37" i="5"/>
  <c r="NJ38" i="5"/>
  <c r="NK38" i="5"/>
  <c r="NL38" i="5"/>
  <c r="NJ39" i="5"/>
  <c r="NK39" i="5"/>
  <c r="NL39" i="5"/>
  <c r="NJ40" i="5"/>
  <c r="NK40" i="5"/>
  <c r="NL40" i="5"/>
  <c r="NJ41" i="5"/>
  <c r="NK41" i="5"/>
  <c r="NL41" i="5"/>
  <c r="NJ42" i="5"/>
  <c r="NK42" i="5"/>
  <c r="NL42" i="5"/>
  <c r="NJ43" i="5"/>
  <c r="NK43" i="5"/>
  <c r="NL43" i="5"/>
  <c r="NJ44" i="5"/>
  <c r="NK44" i="5"/>
  <c r="NL44" i="5"/>
  <c r="NJ45" i="5"/>
  <c r="NK45" i="5"/>
  <c r="NL45" i="5"/>
  <c r="NJ46" i="5"/>
  <c r="NK46" i="5"/>
  <c r="NL46" i="5"/>
  <c r="NJ47" i="5"/>
  <c r="NK47" i="5"/>
  <c r="NL47" i="5"/>
  <c r="NJ48" i="5"/>
  <c r="NK48" i="5"/>
  <c r="NL48" i="5"/>
  <c r="NJ49" i="5"/>
  <c r="NK49" i="5"/>
  <c r="NL49" i="5"/>
  <c r="NJ50" i="5"/>
  <c r="NK50" i="5"/>
  <c r="NL50" i="5"/>
  <c r="NJ51" i="5"/>
  <c r="NK51" i="5"/>
  <c r="NL51" i="5"/>
  <c r="NJ52" i="5"/>
  <c r="NK52" i="5"/>
  <c r="NL52" i="5"/>
  <c r="NJ53" i="5"/>
  <c r="NK53" i="5"/>
  <c r="NL53" i="5"/>
  <c r="NJ54" i="5"/>
  <c r="NK54" i="5"/>
  <c r="NL54" i="5"/>
  <c r="NJ55" i="5"/>
  <c r="NK55" i="5"/>
  <c r="NL55" i="5"/>
  <c r="NJ56" i="5"/>
  <c r="NK56" i="5"/>
  <c r="NL56" i="5"/>
  <c r="NJ57" i="5"/>
  <c r="NK57" i="5"/>
  <c r="NL57" i="5"/>
  <c r="NJ58" i="5"/>
  <c r="NK58" i="5"/>
  <c r="NL58" i="5"/>
  <c r="NJ59" i="5"/>
  <c r="NK59" i="5"/>
  <c r="NL59" i="5"/>
  <c r="NJ60" i="5"/>
  <c r="NK60" i="5"/>
  <c r="NL60" i="5"/>
  <c r="NJ61" i="5"/>
  <c r="NK61" i="5"/>
  <c r="NL61" i="5"/>
  <c r="NJ62" i="5"/>
  <c r="NK62" i="5"/>
  <c r="NL62" i="5"/>
  <c r="NJ63" i="5"/>
  <c r="NK63" i="5"/>
  <c r="NL63" i="5"/>
  <c r="NJ64" i="5"/>
  <c r="NK64" i="5"/>
  <c r="NL64" i="5"/>
  <c r="NJ65" i="5"/>
  <c r="NK65" i="5"/>
  <c r="NL65" i="5"/>
  <c r="NJ66" i="5"/>
  <c r="NK66" i="5"/>
  <c r="NL66" i="5"/>
  <c r="NJ67" i="5"/>
  <c r="NK67" i="5"/>
  <c r="NL67" i="5"/>
  <c r="NJ68" i="5"/>
  <c r="NK68" i="5"/>
  <c r="NL68" i="5"/>
  <c r="NJ69" i="5"/>
  <c r="NK69" i="5"/>
  <c r="NL69" i="5"/>
  <c r="NJ70" i="5"/>
  <c r="NK70" i="5"/>
  <c r="NL70" i="5"/>
  <c r="NJ71" i="5"/>
  <c r="NK71" i="5"/>
  <c r="NL71" i="5"/>
  <c r="NJ72" i="5"/>
  <c r="NK72" i="5"/>
  <c r="NL72" i="5"/>
  <c r="NJ73" i="5"/>
  <c r="NK73" i="5"/>
  <c r="NL73" i="5"/>
  <c r="NJ74" i="5"/>
  <c r="NK74" i="5"/>
  <c r="NL74" i="5"/>
  <c r="NJ75" i="5"/>
  <c r="NK75" i="5"/>
  <c r="NL75" i="5"/>
  <c r="NJ76" i="5"/>
  <c r="NK76" i="5"/>
  <c r="NL76" i="5"/>
  <c r="NJ77" i="5"/>
  <c r="NK77" i="5"/>
  <c r="NL77" i="5"/>
  <c r="NJ78" i="5"/>
  <c r="NK78" i="5"/>
  <c r="NL78" i="5"/>
  <c r="NJ79" i="5"/>
  <c r="NK79" i="5"/>
  <c r="NL79" i="5"/>
  <c r="NJ80" i="5"/>
  <c r="NK80" i="5"/>
  <c r="NL80" i="5"/>
  <c r="NJ81" i="5"/>
  <c r="NK81" i="5"/>
  <c r="NL81" i="5"/>
  <c r="NJ82" i="5"/>
  <c r="NK82" i="5"/>
  <c r="NL82" i="5"/>
  <c r="NJ83" i="5"/>
  <c r="NK83" i="5"/>
  <c r="NL83" i="5"/>
  <c r="NJ84" i="5"/>
  <c r="NK84" i="5"/>
  <c r="NL84" i="5"/>
  <c r="NJ85" i="5"/>
  <c r="NK85" i="5"/>
  <c r="NL85" i="5"/>
  <c r="NJ86" i="5"/>
  <c r="NK86" i="5"/>
  <c r="NL86" i="5"/>
  <c r="NJ87" i="5"/>
  <c r="NK87" i="5"/>
  <c r="NL87" i="5"/>
  <c r="NJ88" i="5"/>
  <c r="NK88" i="5"/>
  <c r="NL88" i="5"/>
  <c r="NJ89" i="5"/>
  <c r="NK89" i="5"/>
  <c r="NL89" i="5"/>
  <c r="NJ90" i="5"/>
  <c r="NK90" i="5"/>
  <c r="NL90" i="5"/>
  <c r="NJ91" i="5"/>
  <c r="NK91" i="5"/>
  <c r="NL91" i="5"/>
  <c r="NJ92" i="5"/>
  <c r="NK92" i="5"/>
  <c r="NL92" i="5"/>
  <c r="NJ93" i="5"/>
  <c r="NK93" i="5"/>
  <c r="NL93" i="5"/>
  <c r="NJ94" i="5"/>
  <c r="NK94" i="5"/>
  <c r="NL94" i="5"/>
  <c r="NJ95" i="5"/>
  <c r="NK95" i="5"/>
  <c r="NL95" i="5"/>
  <c r="NJ96" i="5"/>
  <c r="NK96" i="5"/>
  <c r="NL96" i="5"/>
  <c r="NJ97" i="5"/>
  <c r="NK97" i="5"/>
  <c r="NL97" i="5"/>
  <c r="NJ98" i="5"/>
  <c r="NK98" i="5"/>
  <c r="NL98" i="5"/>
  <c r="NJ99" i="5"/>
  <c r="NK99" i="5"/>
  <c r="NL99" i="5"/>
  <c r="NJ100" i="5"/>
  <c r="NK100" i="5"/>
  <c r="NL100" i="5"/>
  <c r="NJ101" i="5"/>
  <c r="NK101" i="5"/>
  <c r="NL101" i="5"/>
  <c r="NJ102" i="5"/>
  <c r="NK102" i="5"/>
  <c r="NL102" i="5"/>
  <c r="NJ103" i="5"/>
  <c r="NK103" i="5"/>
  <c r="NL103" i="5"/>
  <c r="NJ104" i="5"/>
  <c r="NK104" i="5"/>
  <c r="NL104" i="5"/>
  <c r="NJ105" i="5"/>
  <c r="NK105" i="5"/>
  <c r="NL105" i="5"/>
  <c r="NJ106" i="5"/>
  <c r="NK106" i="5"/>
  <c r="NL106" i="5"/>
  <c r="NJ107" i="5"/>
  <c r="NK107" i="5"/>
  <c r="NL107" i="5"/>
  <c r="NJ108" i="5"/>
  <c r="NK108" i="5"/>
  <c r="NL108" i="5"/>
  <c r="NJ109" i="5"/>
  <c r="NK109" i="5"/>
  <c r="NL109" i="5"/>
  <c r="NJ110" i="5"/>
  <c r="NK110" i="5"/>
  <c r="NL110" i="5"/>
  <c r="NJ111" i="5"/>
  <c r="NK111" i="5"/>
  <c r="NL111" i="5"/>
  <c r="NJ112" i="5"/>
  <c r="NK112" i="5"/>
  <c r="NL112" i="5"/>
  <c r="NJ113" i="5"/>
  <c r="NK113" i="5"/>
  <c r="NL113" i="5"/>
  <c r="NJ114" i="5"/>
  <c r="NK114" i="5"/>
  <c r="NL114" i="5"/>
  <c r="NJ115" i="5"/>
  <c r="NK115" i="5"/>
  <c r="NL115" i="5"/>
  <c r="NJ116" i="5"/>
  <c r="NK116" i="5"/>
  <c r="NL116" i="5"/>
  <c r="NJ117" i="5"/>
  <c r="NK117" i="5"/>
  <c r="NL117" i="5"/>
  <c r="NJ118" i="5"/>
  <c r="NK118" i="5"/>
  <c r="NL118" i="5"/>
  <c r="NJ119" i="5"/>
  <c r="NK119" i="5"/>
  <c r="NL119" i="5"/>
  <c r="NJ120" i="5"/>
  <c r="NK120" i="5"/>
  <c r="NL120" i="5"/>
  <c r="NJ121" i="5"/>
  <c r="NK121" i="5"/>
  <c r="NL121" i="5"/>
  <c r="NJ122" i="5"/>
  <c r="NK122" i="5"/>
  <c r="NL122" i="5"/>
  <c r="NJ123" i="5"/>
  <c r="NK123" i="5"/>
  <c r="NL123" i="5"/>
  <c r="NJ124" i="5"/>
  <c r="NK124" i="5"/>
  <c r="NL124" i="5"/>
  <c r="NJ125" i="5"/>
  <c r="NK125" i="5"/>
  <c r="NL125" i="5"/>
  <c r="NJ126" i="5"/>
  <c r="NK126" i="5"/>
  <c r="NL126" i="5"/>
  <c r="NJ127" i="5"/>
  <c r="NK127" i="5"/>
  <c r="NL127" i="5"/>
  <c r="NJ128" i="5"/>
  <c r="NK128" i="5"/>
  <c r="NL128" i="5"/>
  <c r="NJ129" i="5"/>
  <c r="NK129" i="5"/>
  <c r="NL129" i="5"/>
  <c r="NJ130" i="5"/>
  <c r="NK130" i="5"/>
  <c r="NL130" i="5"/>
  <c r="NJ131" i="5"/>
  <c r="NK131" i="5"/>
  <c r="NL131" i="5"/>
  <c r="NJ132" i="5"/>
  <c r="NK132" i="5"/>
  <c r="NL132" i="5"/>
  <c r="NJ133" i="5"/>
  <c r="NK133" i="5"/>
  <c r="NL133" i="5"/>
  <c r="NJ134" i="5"/>
  <c r="NK134" i="5"/>
  <c r="NL134" i="5"/>
  <c r="NJ135" i="5"/>
  <c r="NK135" i="5"/>
  <c r="NL135" i="5"/>
  <c r="NJ136" i="5"/>
  <c r="NK136" i="5"/>
  <c r="NL136" i="5"/>
  <c r="NJ137" i="5"/>
  <c r="NK137" i="5"/>
  <c r="NL137" i="5"/>
  <c r="NJ138" i="5"/>
  <c r="NK138" i="5"/>
  <c r="NL138" i="5"/>
  <c r="NJ139" i="5"/>
  <c r="NK139" i="5"/>
  <c r="NL139" i="5"/>
  <c r="NJ140" i="5"/>
  <c r="NK140" i="5"/>
  <c r="NL140" i="5"/>
  <c r="NJ141" i="5"/>
  <c r="NK141" i="5"/>
  <c r="NL141" i="5"/>
  <c r="NJ142" i="5"/>
  <c r="NK142" i="5"/>
  <c r="NL142" i="5"/>
  <c r="NJ143" i="5"/>
  <c r="NK143" i="5"/>
  <c r="NL143" i="5"/>
  <c r="NJ144" i="5"/>
  <c r="NK144" i="5"/>
  <c r="NL144" i="5"/>
  <c r="NJ145" i="5"/>
  <c r="NK145" i="5"/>
  <c r="NL145" i="5"/>
  <c r="NJ146" i="5"/>
  <c r="NK146" i="5"/>
  <c r="NL146" i="5"/>
  <c r="NJ147" i="5"/>
  <c r="NK147" i="5"/>
  <c r="NL147" i="5"/>
  <c r="NJ148" i="5"/>
  <c r="NK148" i="5"/>
  <c r="NL148" i="5"/>
  <c r="NJ149" i="5"/>
  <c r="NK149" i="5"/>
  <c r="NL149" i="5"/>
  <c r="NJ150" i="5"/>
  <c r="NK150" i="5"/>
  <c r="NL150" i="5"/>
  <c r="NJ151" i="5"/>
  <c r="NK151" i="5"/>
  <c r="NL151" i="5"/>
  <c r="NJ152" i="5"/>
  <c r="NK152" i="5"/>
  <c r="NL152" i="5"/>
  <c r="NJ153" i="5"/>
  <c r="NK153" i="5"/>
  <c r="NL153" i="5"/>
  <c r="NJ154" i="5"/>
  <c r="NK154" i="5"/>
  <c r="NL154" i="5"/>
  <c r="NJ155" i="5"/>
  <c r="NK155" i="5"/>
  <c r="NL155" i="5"/>
  <c r="NJ156" i="5"/>
  <c r="NK156" i="5"/>
  <c r="NL156" i="5"/>
  <c r="NJ157" i="5"/>
  <c r="NK157" i="5"/>
  <c r="NL157" i="5"/>
  <c r="NJ158" i="5"/>
  <c r="NK158" i="5"/>
  <c r="NL158" i="5"/>
  <c r="NJ159" i="5"/>
  <c r="NK159" i="5"/>
  <c r="NL159" i="5"/>
  <c r="NJ160" i="5"/>
  <c r="NK160" i="5"/>
  <c r="NL160" i="5"/>
  <c r="NJ161" i="5"/>
  <c r="NK161" i="5"/>
  <c r="NL161" i="5"/>
  <c r="NJ162" i="5"/>
  <c r="NK162" i="5"/>
  <c r="NL162" i="5"/>
  <c r="NJ163" i="5"/>
  <c r="NK163" i="5"/>
  <c r="NL163" i="5"/>
  <c r="NJ164" i="5"/>
  <c r="NK164" i="5"/>
  <c r="NL164" i="5"/>
  <c r="NJ165" i="5"/>
  <c r="NK165" i="5"/>
  <c r="NL165" i="5"/>
  <c r="NJ166" i="5"/>
  <c r="NK166" i="5"/>
  <c r="NL166" i="5"/>
  <c r="NJ167" i="5"/>
  <c r="NK167" i="5"/>
  <c r="NL167" i="5"/>
  <c r="NJ168" i="5"/>
  <c r="NK168" i="5"/>
  <c r="NL168" i="5"/>
  <c r="NJ169" i="5"/>
  <c r="NK169" i="5"/>
  <c r="NL169" i="5"/>
  <c r="NJ170" i="5"/>
  <c r="NK170" i="5"/>
  <c r="NL170" i="5"/>
  <c r="NJ171" i="5"/>
  <c r="NK171" i="5"/>
  <c r="NL171" i="5"/>
  <c r="NJ172" i="5"/>
  <c r="NK172" i="5"/>
  <c r="NL172" i="5"/>
  <c r="NJ173" i="5"/>
  <c r="NK173" i="5"/>
  <c r="NL173" i="5"/>
  <c r="NJ174" i="5"/>
  <c r="NK174" i="5"/>
  <c r="NL174" i="5"/>
  <c r="NJ175" i="5"/>
  <c r="NK175" i="5"/>
  <c r="NL175" i="5"/>
  <c r="NJ176" i="5"/>
  <c r="NK176" i="5"/>
  <c r="NL176" i="5"/>
  <c r="NJ177" i="5"/>
  <c r="NK177" i="5"/>
  <c r="NL177" i="5"/>
  <c r="NJ178" i="5"/>
  <c r="NK178" i="5"/>
  <c r="NL178" i="5"/>
  <c r="NJ179" i="5"/>
  <c r="NK179" i="5"/>
  <c r="NL179" i="5"/>
  <c r="NJ180" i="5"/>
  <c r="NK180" i="5"/>
  <c r="NL180" i="5"/>
  <c r="NJ181" i="5"/>
  <c r="NK181" i="5"/>
  <c r="NL181" i="5"/>
  <c r="NJ182" i="5"/>
  <c r="NK182" i="5"/>
  <c r="NL182" i="5"/>
  <c r="NJ183" i="5"/>
  <c r="NK183" i="5"/>
  <c r="NL183" i="5"/>
  <c r="NJ184" i="5"/>
  <c r="NK184" i="5"/>
  <c r="NL184" i="5"/>
  <c r="NJ185" i="5"/>
  <c r="NK185" i="5"/>
  <c r="NL185" i="5"/>
  <c r="NJ186" i="5"/>
  <c r="NK186" i="5"/>
  <c r="NL186" i="5"/>
  <c r="NJ187" i="5"/>
  <c r="NK187" i="5"/>
  <c r="NL187" i="5"/>
  <c r="NJ188" i="5"/>
  <c r="NK188" i="5"/>
  <c r="NL188" i="5"/>
  <c r="NJ189" i="5"/>
  <c r="NK189" i="5"/>
  <c r="NL189" i="5"/>
  <c r="NJ190" i="5"/>
  <c r="NK190" i="5"/>
  <c r="NL190" i="5"/>
  <c r="NJ191" i="5"/>
  <c r="NK191" i="5"/>
  <c r="NL191" i="5"/>
  <c r="NJ192" i="5"/>
  <c r="NK192" i="5"/>
  <c r="NL192" i="5"/>
  <c r="NJ193" i="5"/>
  <c r="NK193" i="5"/>
  <c r="NL193" i="5"/>
  <c r="NJ202" i="5"/>
  <c r="NK202" i="5"/>
  <c r="NL202" i="5"/>
  <c r="NJ203" i="5"/>
  <c r="NK203" i="5"/>
  <c r="NL203" i="5"/>
  <c r="NJ204" i="5"/>
  <c r="NK204" i="5"/>
  <c r="NL204" i="5"/>
  <c r="NJ205" i="5"/>
  <c r="NK205" i="5"/>
  <c r="NL205" i="5"/>
  <c r="NJ206" i="5"/>
  <c r="NK206" i="5"/>
  <c r="NL206" i="5"/>
  <c r="NJ207" i="5"/>
  <c r="NK207" i="5"/>
  <c r="NL207" i="5"/>
  <c r="NJ208" i="5"/>
  <c r="NK208" i="5"/>
  <c r="NL208" i="5"/>
  <c r="NJ209" i="5"/>
  <c r="NK209" i="5"/>
  <c r="NL209" i="5"/>
  <c r="NJ210" i="5"/>
  <c r="NK210" i="5"/>
  <c r="NL210" i="5"/>
  <c r="NJ211" i="5"/>
  <c r="NK211" i="5"/>
  <c r="NL211" i="5"/>
  <c r="NJ212" i="5"/>
  <c r="NK212" i="5"/>
  <c r="NL212" i="5"/>
  <c r="NJ213" i="5"/>
  <c r="NK213" i="5"/>
  <c r="NL213" i="5"/>
  <c r="NJ214" i="5"/>
  <c r="NK214" i="5"/>
  <c r="NL214" i="5"/>
  <c r="NJ215" i="5"/>
  <c r="NK215" i="5"/>
  <c r="NL215" i="5"/>
  <c r="NJ216" i="5"/>
  <c r="NK216" i="5"/>
  <c r="NL216" i="5"/>
  <c r="NJ217" i="5"/>
  <c r="NK217" i="5"/>
  <c r="NL217" i="5"/>
  <c r="NJ218" i="5"/>
  <c r="NK218" i="5"/>
  <c r="NL218" i="5"/>
  <c r="NJ219" i="5"/>
  <c r="NK219" i="5"/>
  <c r="NL219" i="5"/>
  <c r="NJ220" i="5"/>
  <c r="NK220" i="5"/>
  <c r="NL220" i="5"/>
  <c r="NJ221" i="5"/>
  <c r="NK221" i="5"/>
  <c r="NL221" i="5"/>
  <c r="NJ222" i="5"/>
  <c r="NK222" i="5"/>
  <c r="NL222" i="5"/>
  <c r="NJ223" i="5"/>
  <c r="NK223" i="5"/>
  <c r="NL223" i="5"/>
  <c r="NJ224" i="5"/>
  <c r="NK224" i="5"/>
  <c r="NL224" i="5"/>
  <c r="NJ225" i="5"/>
  <c r="NK225" i="5"/>
  <c r="NL225" i="5"/>
  <c r="NJ226" i="5"/>
  <c r="NK226" i="5"/>
  <c r="NL226" i="5"/>
  <c r="NJ227" i="5"/>
  <c r="NK227" i="5"/>
  <c r="NL227" i="5"/>
  <c r="NJ228" i="5"/>
  <c r="NK228" i="5"/>
  <c r="NL228" i="5"/>
  <c r="NJ229" i="5"/>
  <c r="NK229" i="5"/>
  <c r="NL229" i="5"/>
  <c r="NJ230" i="5"/>
  <c r="NK230" i="5"/>
  <c r="NL230" i="5"/>
  <c r="NJ231" i="5"/>
  <c r="NK231" i="5"/>
  <c r="NL231" i="5"/>
  <c r="NJ232" i="5"/>
  <c r="NK232" i="5"/>
  <c r="NL232" i="5"/>
  <c r="NJ233" i="5"/>
  <c r="NK233" i="5"/>
  <c r="NL233" i="5"/>
  <c r="NJ234" i="5"/>
  <c r="NK234" i="5"/>
  <c r="NL234" i="5"/>
  <c r="NJ235" i="5"/>
  <c r="NK235" i="5"/>
  <c r="NL235" i="5"/>
  <c r="NJ236" i="5"/>
  <c r="NK236" i="5"/>
  <c r="NL236" i="5"/>
  <c r="NJ237" i="5"/>
  <c r="NK237" i="5"/>
  <c r="NL237" i="5"/>
  <c r="NJ238" i="5"/>
  <c r="NK238" i="5"/>
  <c r="NL238" i="5"/>
  <c r="NJ239" i="5"/>
  <c r="NK239" i="5"/>
  <c r="NL239" i="5"/>
  <c r="NJ240" i="5"/>
  <c r="NK240" i="5"/>
  <c r="NL240" i="5"/>
  <c r="NJ241" i="5"/>
  <c r="NK241" i="5"/>
  <c r="NL241" i="5"/>
  <c r="NJ242" i="5"/>
  <c r="NK242" i="5"/>
  <c r="NL242" i="5"/>
  <c r="NJ243" i="5"/>
  <c r="NK243" i="5"/>
  <c r="NL243" i="5"/>
  <c r="NJ244" i="5"/>
  <c r="NK244" i="5"/>
  <c r="NL244" i="5"/>
  <c r="NJ245" i="5"/>
  <c r="NK245" i="5"/>
  <c r="NL245" i="5"/>
  <c r="NJ246" i="5"/>
  <c r="NK246" i="5"/>
  <c r="NL246" i="5"/>
  <c r="NJ247" i="5"/>
  <c r="NK247" i="5"/>
  <c r="NL247" i="5"/>
  <c r="NJ248" i="5"/>
  <c r="NK248" i="5"/>
  <c r="NL248" i="5"/>
  <c r="NH4" i="5"/>
  <c r="BR4" i="5" s="1"/>
  <c r="BU4" i="5" s="1"/>
  <c r="NH5" i="5"/>
  <c r="BR5" i="5" s="1"/>
  <c r="BU5" i="5" s="1"/>
  <c r="NH6" i="5"/>
  <c r="BR6" i="5" s="1"/>
  <c r="NH7" i="5"/>
  <c r="BR7" i="5" s="1"/>
  <c r="BU7" i="5" s="1"/>
  <c r="NH8" i="5"/>
  <c r="BR8" i="5" s="1"/>
  <c r="BU8" i="5" s="1"/>
  <c r="NH9" i="5"/>
  <c r="BR9" i="5" s="1"/>
  <c r="BS9" i="5" s="1"/>
  <c r="NH10" i="5"/>
  <c r="BR10" i="5" s="1"/>
  <c r="BU10" i="5" s="1"/>
  <c r="NH11" i="5"/>
  <c r="BR11" i="5" s="1"/>
  <c r="BU11" i="5" s="1"/>
  <c r="NH12" i="5"/>
  <c r="BR12" i="5" s="1"/>
  <c r="BS12" i="5" s="1"/>
  <c r="NH13" i="5"/>
  <c r="BR13" i="5" s="1"/>
  <c r="BU13" i="5" s="1"/>
  <c r="NH14" i="5"/>
  <c r="RX14" i="5" s="1"/>
  <c r="RY14" i="5" s="1"/>
  <c r="NH15" i="5"/>
  <c r="BR15" i="5" s="1"/>
  <c r="NH16" i="5"/>
  <c r="BR16" i="5" s="1"/>
  <c r="NH17" i="5"/>
  <c r="BR17" i="5" s="1"/>
  <c r="NH18" i="5"/>
  <c r="BR18" i="5" s="1"/>
  <c r="BU18" i="5" s="1"/>
  <c r="NH19" i="5"/>
  <c r="BR19" i="5" s="1"/>
  <c r="BU19" i="5" s="1"/>
  <c r="NH20" i="5"/>
  <c r="BR20" i="5" s="1"/>
  <c r="NH21" i="5"/>
  <c r="RX21" i="5" s="1"/>
  <c r="RY21" i="5" s="1"/>
  <c r="NH22" i="5"/>
  <c r="BR22" i="5" s="1"/>
  <c r="NH23" i="5"/>
  <c r="BR23" i="5" s="1"/>
  <c r="NH24" i="5"/>
  <c r="BR24" i="5" s="1"/>
  <c r="BU24" i="5" s="1"/>
  <c r="NH25" i="5"/>
  <c r="BR25" i="5" s="1"/>
  <c r="NH26" i="5"/>
  <c r="BR26" i="5" s="1"/>
  <c r="BU26" i="5" s="1"/>
  <c r="NH27" i="5"/>
  <c r="BR27" i="5" s="1"/>
  <c r="BU27" i="5" s="1"/>
  <c r="NH28" i="5"/>
  <c r="BR28" i="5" s="1"/>
  <c r="BU28" i="5" s="1"/>
  <c r="NH29" i="5"/>
  <c r="BR29" i="5" s="1"/>
  <c r="BU29" i="5" s="1"/>
  <c r="NH30" i="5"/>
  <c r="BR30" i="5" s="1"/>
  <c r="NH31" i="5"/>
  <c r="BR31" i="5" s="1"/>
  <c r="NH32" i="5"/>
  <c r="BR32" i="5" s="1"/>
  <c r="BU32" i="5" s="1"/>
  <c r="NH33" i="5"/>
  <c r="BR33" i="5" s="1"/>
  <c r="BU33" i="5" s="1"/>
  <c r="NH34" i="5"/>
  <c r="BR34" i="5" s="1"/>
  <c r="NH35" i="5"/>
  <c r="BR35" i="5" s="1"/>
  <c r="BU35" i="5" s="1"/>
  <c r="NH36" i="5"/>
  <c r="BR36" i="5" s="1"/>
  <c r="BU36" i="5" s="1"/>
  <c r="NH37" i="5"/>
  <c r="BR37" i="5" s="1"/>
  <c r="BU37" i="5" s="1"/>
  <c r="NH38" i="5"/>
  <c r="BR38" i="5" s="1"/>
  <c r="BU38" i="5" s="1"/>
  <c r="NH39" i="5"/>
  <c r="BR39" i="5" s="1"/>
  <c r="NH40" i="5"/>
  <c r="NH41" i="5"/>
  <c r="BR41" i="5" s="1"/>
  <c r="BU41" i="5" s="1"/>
  <c r="NH42" i="5"/>
  <c r="BR42" i="5" s="1"/>
  <c r="NH43" i="5"/>
  <c r="NH44" i="5"/>
  <c r="BR44" i="5" s="1"/>
  <c r="NH45" i="5"/>
  <c r="BR45" i="5" s="1"/>
  <c r="NH46" i="5"/>
  <c r="BR46" i="5" s="1"/>
  <c r="BU46" i="5" s="1"/>
  <c r="NH47" i="5"/>
  <c r="BR47" i="5" s="1"/>
  <c r="BU47" i="5" s="1"/>
  <c r="NH48" i="5"/>
  <c r="BR48" i="5" s="1"/>
  <c r="BU48" i="5" s="1"/>
  <c r="NH49" i="5"/>
  <c r="BR49" i="5" s="1"/>
  <c r="BU49" i="5" s="1"/>
  <c r="NH50" i="5"/>
  <c r="BR50" i="5" s="1"/>
  <c r="BU50" i="5" s="1"/>
  <c r="NH51" i="5"/>
  <c r="BR51" i="5" s="1"/>
  <c r="BU51" i="5" s="1"/>
  <c r="NH52" i="5"/>
  <c r="BR52" i="5" s="1"/>
  <c r="NH53" i="5"/>
  <c r="BR53" i="5" s="1"/>
  <c r="BU53" i="5" s="1"/>
  <c r="NH54" i="5"/>
  <c r="BR54" i="5" s="1"/>
  <c r="NH55" i="5"/>
  <c r="BR55" i="5" s="1"/>
  <c r="BU55" i="5" s="1"/>
  <c r="NH56" i="5"/>
  <c r="BR56" i="5" s="1"/>
  <c r="BU56" i="5" s="1"/>
  <c r="NH57" i="5"/>
  <c r="BR57" i="5" s="1"/>
  <c r="NH58" i="5"/>
  <c r="BR58" i="5" s="1"/>
  <c r="BU58" i="5" s="1"/>
  <c r="NH59" i="5"/>
  <c r="BR59" i="5" s="1"/>
  <c r="BU59" i="5" s="1"/>
  <c r="NH60" i="5"/>
  <c r="BR60" i="5" s="1"/>
  <c r="BS60" i="5" s="1"/>
  <c r="NH61" i="5"/>
  <c r="NH62" i="5"/>
  <c r="BR62" i="5" s="1"/>
  <c r="NH63" i="5"/>
  <c r="BR63" i="5" s="1"/>
  <c r="BU63" i="5" s="1"/>
  <c r="NH64" i="5"/>
  <c r="BR64" i="5" s="1"/>
  <c r="BU64" i="5" s="1"/>
  <c r="NH65" i="5"/>
  <c r="BR65" i="5" s="1"/>
  <c r="BU65" i="5" s="1"/>
  <c r="NH66" i="5"/>
  <c r="BR66" i="5" s="1"/>
  <c r="BU66" i="5" s="1"/>
  <c r="NH67" i="5"/>
  <c r="BR67" i="5" s="1"/>
  <c r="BU67" i="5" s="1"/>
  <c r="FG67" i="5" s="1"/>
  <c r="NH68" i="5"/>
  <c r="BR68" i="5" s="1"/>
  <c r="BU68" i="5" s="1"/>
  <c r="NH69" i="5"/>
  <c r="BR69" i="5" s="1"/>
  <c r="BU69" i="5" s="1"/>
  <c r="NH70" i="5"/>
  <c r="BR70" i="5" s="1"/>
  <c r="BU70" i="5" s="1"/>
  <c r="NH71" i="5"/>
  <c r="BR71" i="5" s="1"/>
  <c r="BU71" i="5" s="1"/>
  <c r="NH72" i="5"/>
  <c r="BR72" i="5" s="1"/>
  <c r="BU72" i="5" s="1"/>
  <c r="NH73" i="5"/>
  <c r="NH74" i="5"/>
  <c r="BR74" i="5" s="1"/>
  <c r="BU74" i="5" s="1"/>
  <c r="NH75" i="5"/>
  <c r="BR75" i="5" s="1"/>
  <c r="NH76" i="5"/>
  <c r="BR76" i="5" s="1"/>
  <c r="BU76" i="5" s="1"/>
  <c r="NH77" i="5"/>
  <c r="BR77" i="5" s="1"/>
  <c r="BU77" i="5" s="1"/>
  <c r="NH78" i="5"/>
  <c r="BR78" i="5" s="1"/>
  <c r="BU78" i="5" s="1"/>
  <c r="NH79" i="5"/>
  <c r="BR79" i="5" s="1"/>
  <c r="BU79" i="5" s="1"/>
  <c r="NH80" i="5"/>
  <c r="BR80" i="5" s="1"/>
  <c r="NH81" i="5"/>
  <c r="BR81" i="5" s="1"/>
  <c r="BU81" i="5" s="1"/>
  <c r="NH82" i="5"/>
  <c r="BR82" i="5" s="1"/>
  <c r="BU82" i="5" s="1"/>
  <c r="NH83" i="5"/>
  <c r="BR83" i="5" s="1"/>
  <c r="BU83" i="5" s="1"/>
  <c r="NH84" i="5"/>
  <c r="BR84" i="5" s="1"/>
  <c r="NH85" i="5"/>
  <c r="BR85" i="5" s="1"/>
  <c r="BU85" i="5" s="1"/>
  <c r="NH86" i="5"/>
  <c r="BR86" i="5" s="1"/>
  <c r="NH87" i="5"/>
  <c r="BR87" i="5" s="1"/>
  <c r="BU87" i="5" s="1"/>
  <c r="NH88" i="5"/>
  <c r="BR88" i="5" s="1"/>
  <c r="NH89" i="5"/>
  <c r="BR89" i="5" s="1"/>
  <c r="BU89" i="5" s="1"/>
  <c r="NH90" i="5"/>
  <c r="BR90" i="5" s="1"/>
  <c r="NH91" i="5"/>
  <c r="BR91" i="5" s="1"/>
  <c r="NH92" i="5"/>
  <c r="BR92" i="5" s="1"/>
  <c r="BU92" i="5" s="1"/>
  <c r="NH93" i="5"/>
  <c r="BR93" i="5" s="1"/>
  <c r="NH94" i="5"/>
  <c r="BR94" i="5" s="1"/>
  <c r="NH95" i="5"/>
  <c r="NH96" i="5"/>
  <c r="BR96" i="5" s="1"/>
  <c r="NH97" i="5"/>
  <c r="BR97" i="5" s="1"/>
  <c r="BU97" i="5" s="1"/>
  <c r="NH98" i="5"/>
  <c r="BR98" i="5" s="1"/>
  <c r="BU98" i="5" s="1"/>
  <c r="NH99" i="5"/>
  <c r="BR99" i="5" s="1"/>
  <c r="NH100" i="5"/>
  <c r="BR100" i="5" s="1"/>
  <c r="BU100" i="5" s="1"/>
  <c r="CW100" i="5" s="1"/>
  <c r="NH101" i="5"/>
  <c r="BR101" i="5" s="1"/>
  <c r="NH102" i="5"/>
  <c r="BR102" i="5" s="1"/>
  <c r="BU102" i="5" s="1"/>
  <c r="GA102" i="5" s="1"/>
  <c r="NH103" i="5"/>
  <c r="BR103" i="5" s="1"/>
  <c r="NH104" i="5"/>
  <c r="RX104" i="5" s="1"/>
  <c r="RY104" i="5" s="1"/>
  <c r="NH105" i="5"/>
  <c r="BR105" i="5" s="1"/>
  <c r="BU105" i="5" s="1"/>
  <c r="NH106" i="5"/>
  <c r="BR106" i="5" s="1"/>
  <c r="NH107" i="5"/>
  <c r="BR107" i="5" s="1"/>
  <c r="NH108" i="5"/>
  <c r="BR108" i="5" s="1"/>
  <c r="NH109" i="5"/>
  <c r="BR109" i="5" s="1"/>
  <c r="BU109" i="5" s="1"/>
  <c r="NH110" i="5"/>
  <c r="BR110" i="5" s="1"/>
  <c r="BU110" i="5" s="1"/>
  <c r="NH111" i="5"/>
  <c r="NH112" i="5"/>
  <c r="BR112" i="5" s="1"/>
  <c r="BU112" i="5" s="1"/>
  <c r="NH113" i="5"/>
  <c r="BR113" i="5" s="1"/>
  <c r="BU113" i="5" s="1"/>
  <c r="GA113" i="5" s="1"/>
  <c r="NH114" i="5"/>
  <c r="BR114" i="5" s="1"/>
  <c r="BU114" i="5" s="1"/>
  <c r="NH115" i="5"/>
  <c r="BR115" i="5" s="1"/>
  <c r="BU115" i="5" s="1"/>
  <c r="NH116" i="5"/>
  <c r="BR116" i="5" s="1"/>
  <c r="BU116" i="5" s="1"/>
  <c r="NH117" i="5"/>
  <c r="NH118" i="5"/>
  <c r="NH119" i="5"/>
  <c r="NH120" i="5"/>
  <c r="BR120" i="5" s="1"/>
  <c r="BU120" i="5" s="1"/>
  <c r="NH121" i="5"/>
  <c r="BR121" i="5" s="1"/>
  <c r="NH122" i="5"/>
  <c r="NH123" i="5"/>
  <c r="NH124" i="5"/>
  <c r="BR124" i="5" s="1"/>
  <c r="NH125" i="5"/>
  <c r="BR125" i="5" s="1"/>
  <c r="BU125" i="5" s="1"/>
  <c r="NH126" i="5"/>
  <c r="BR126" i="5" s="1"/>
  <c r="BU126" i="5" s="1"/>
  <c r="NH127" i="5"/>
  <c r="BR127" i="5" s="1"/>
  <c r="BU127" i="5" s="1"/>
  <c r="NH128" i="5"/>
  <c r="BR128" i="5" s="1"/>
  <c r="BU128" i="5" s="1"/>
  <c r="NH129" i="5"/>
  <c r="BR129" i="5" s="1"/>
  <c r="BS129" i="5" s="1"/>
  <c r="NH130" i="5"/>
  <c r="BR130" i="5" s="1"/>
  <c r="NH131" i="5"/>
  <c r="BR131" i="5" s="1"/>
  <c r="BS131" i="5" s="1"/>
  <c r="NH132" i="5"/>
  <c r="BR132" i="5" s="1"/>
  <c r="BU132" i="5" s="1"/>
  <c r="NH133" i="5"/>
  <c r="BR133" i="5" s="1"/>
  <c r="NH134" i="5"/>
  <c r="BR134" i="5" s="1"/>
  <c r="NH135" i="5"/>
  <c r="BR135" i="5" s="1"/>
  <c r="BU135" i="5" s="1"/>
  <c r="NH136" i="5"/>
  <c r="BR136" i="5" s="1"/>
  <c r="BU136" i="5" s="1"/>
  <c r="NH137" i="5"/>
  <c r="BR137" i="5" s="1"/>
  <c r="BU137" i="5" s="1"/>
  <c r="NH138" i="5"/>
  <c r="BR138" i="5" s="1"/>
  <c r="BU138" i="5" s="1"/>
  <c r="NH139" i="5"/>
  <c r="BR139" i="5" s="1"/>
  <c r="NH140" i="5"/>
  <c r="BR140" i="5" s="1"/>
  <c r="BU140" i="5" s="1"/>
  <c r="NH141" i="5"/>
  <c r="NH142" i="5"/>
  <c r="BR142" i="5" s="1"/>
  <c r="BU142" i="5" s="1"/>
  <c r="NH143" i="5"/>
  <c r="BR143" i="5" s="1"/>
  <c r="NH144" i="5"/>
  <c r="BR144" i="5" s="1"/>
  <c r="NH145" i="5"/>
  <c r="BR145" i="5" s="1"/>
  <c r="BU145" i="5" s="1"/>
  <c r="NH146" i="5"/>
  <c r="BR146" i="5" s="1"/>
  <c r="NH147" i="5"/>
  <c r="NH148" i="5"/>
  <c r="BR148" i="5" s="1"/>
  <c r="NH149" i="5"/>
  <c r="BR149" i="5" s="1"/>
  <c r="BS149" i="5" s="1"/>
  <c r="NH150" i="5"/>
  <c r="BR150" i="5" s="1"/>
  <c r="NH151" i="5"/>
  <c r="NH152" i="5"/>
  <c r="BR152" i="5" s="1"/>
  <c r="NH153" i="5"/>
  <c r="BR153" i="5" s="1"/>
  <c r="BU153" i="5" s="1"/>
  <c r="CW153" i="5" s="1"/>
  <c r="NH154" i="5"/>
  <c r="BR154" i="5" s="1"/>
  <c r="NH155" i="5"/>
  <c r="BR155" i="5" s="1"/>
  <c r="NH156" i="5"/>
  <c r="BR156" i="5" s="1"/>
  <c r="NH157" i="5"/>
  <c r="BR157" i="5" s="1"/>
  <c r="BU157" i="5" s="1"/>
  <c r="NH158" i="5"/>
  <c r="BR158" i="5" s="1"/>
  <c r="BU158" i="5" s="1"/>
  <c r="NH159" i="5"/>
  <c r="BR159" i="5" s="1"/>
  <c r="BU159" i="5" s="1"/>
  <c r="NH160" i="5"/>
  <c r="NH161" i="5"/>
  <c r="NH162" i="5"/>
  <c r="BR162" i="5" s="1"/>
  <c r="NH163" i="5"/>
  <c r="NH164" i="5"/>
  <c r="BR164" i="5" s="1"/>
  <c r="NH165" i="5"/>
  <c r="BR165" i="5" s="1"/>
  <c r="NH166" i="5"/>
  <c r="NH167" i="5"/>
  <c r="NH168" i="5"/>
  <c r="BR168" i="5" s="1"/>
  <c r="NH169" i="5"/>
  <c r="BR169" i="5" s="1"/>
  <c r="NH170" i="5"/>
  <c r="BR170" i="5" s="1"/>
  <c r="NH171" i="5"/>
  <c r="BR171" i="5" s="1"/>
  <c r="NH172" i="5"/>
  <c r="BR172" i="5" s="1"/>
  <c r="NH173" i="5"/>
  <c r="BR173" i="5" s="1"/>
  <c r="NH174" i="5"/>
  <c r="BR174" i="5" s="1"/>
  <c r="NH175" i="5"/>
  <c r="BR175" i="5" s="1"/>
  <c r="NH176" i="5"/>
  <c r="BR176" i="5" s="1"/>
  <c r="NH177" i="5"/>
  <c r="BR177" i="5" s="1"/>
  <c r="NH178" i="5"/>
  <c r="NH179" i="5"/>
  <c r="BR179" i="5" s="1"/>
  <c r="NH180" i="5"/>
  <c r="BR180" i="5" s="1"/>
  <c r="NH181" i="5"/>
  <c r="BR181" i="5" s="1"/>
  <c r="NH182" i="5"/>
  <c r="NH183" i="5"/>
  <c r="NH184" i="5"/>
  <c r="NH185" i="5"/>
  <c r="BR185" i="5" s="1"/>
  <c r="NH186" i="5"/>
  <c r="NH187" i="5"/>
  <c r="NH188" i="5"/>
  <c r="BR188" i="5" s="1"/>
  <c r="NH189" i="5"/>
  <c r="BR189" i="5" s="1"/>
  <c r="BU189" i="5" s="1"/>
  <c r="NH190" i="5"/>
  <c r="BR190" i="5" s="1"/>
  <c r="NH191" i="5"/>
  <c r="NH192" i="5"/>
  <c r="NH193" i="5"/>
  <c r="BR193" i="5" s="1"/>
  <c r="NH202" i="5"/>
  <c r="NH203" i="5"/>
  <c r="BR203" i="5" s="1"/>
  <c r="NH204" i="5"/>
  <c r="BR204" i="5" s="1"/>
  <c r="NH205" i="5"/>
  <c r="BR205" i="5" s="1"/>
  <c r="NH206" i="5"/>
  <c r="BR206" i="5" s="1"/>
  <c r="NH207" i="5"/>
  <c r="BR207" i="5" s="1"/>
  <c r="BS207" i="5" s="1"/>
  <c r="NH208" i="5"/>
  <c r="BR208" i="5" s="1"/>
  <c r="NH209" i="5"/>
  <c r="BR209" i="5" s="1"/>
  <c r="NH210" i="5"/>
  <c r="BR210" i="5" s="1"/>
  <c r="NH211" i="5"/>
  <c r="BR211" i="5" s="1"/>
  <c r="NH212" i="5"/>
  <c r="BR212" i="5" s="1"/>
  <c r="NH213" i="5"/>
  <c r="BR213" i="5" s="1"/>
  <c r="NH214" i="5"/>
  <c r="NH215" i="5"/>
  <c r="NH216" i="5"/>
  <c r="NH217" i="5"/>
  <c r="NH218" i="5"/>
  <c r="NH219" i="5"/>
  <c r="BR219" i="5" s="1"/>
  <c r="NH220" i="5"/>
  <c r="NH221" i="5"/>
  <c r="NH222" i="5"/>
  <c r="BR222" i="5" s="1"/>
  <c r="BU222" i="5" s="1"/>
  <c r="NH223" i="5"/>
  <c r="BR223" i="5" s="1"/>
  <c r="BU223" i="5" s="1"/>
  <c r="NH224" i="5"/>
  <c r="BR224" i="5" s="1"/>
  <c r="BU224" i="5" s="1"/>
  <c r="NH225" i="5"/>
  <c r="BR225" i="5" s="1"/>
  <c r="BU225" i="5" s="1"/>
  <c r="GG225" i="5" s="1"/>
  <c r="NH226" i="5"/>
  <c r="BR226" i="5" s="1"/>
  <c r="NH227" i="5"/>
  <c r="BR227" i="5" s="1"/>
  <c r="NH228" i="5"/>
  <c r="BR228" i="5" s="1"/>
  <c r="NH229" i="5"/>
  <c r="BR229" i="5" s="1"/>
  <c r="NH230" i="5"/>
  <c r="BR230" i="5" s="1"/>
  <c r="BU230" i="5" s="1"/>
  <c r="NH231" i="5"/>
  <c r="BR231" i="5" s="1"/>
  <c r="NH232" i="5"/>
  <c r="BR232" i="5" s="1"/>
  <c r="NH233" i="5"/>
  <c r="BR233" i="5" s="1"/>
  <c r="NH234" i="5"/>
  <c r="BR234" i="5" s="1"/>
  <c r="NH235" i="5"/>
  <c r="NH236" i="5"/>
  <c r="NH237" i="5"/>
  <c r="NH238" i="5"/>
  <c r="NH239" i="5"/>
  <c r="NH240" i="5"/>
  <c r="NH241" i="5"/>
  <c r="NH242" i="5"/>
  <c r="BR242" i="5" s="1"/>
  <c r="NH243" i="5"/>
  <c r="NH244" i="5"/>
  <c r="NH245" i="5"/>
  <c r="NH246" i="5"/>
  <c r="NH247" i="5"/>
  <c r="NH248" i="5"/>
  <c r="MX4" i="5"/>
  <c r="MX5" i="5"/>
  <c r="MX6" i="5"/>
  <c r="MX7" i="5"/>
  <c r="MX8" i="5"/>
  <c r="MX9" i="5"/>
  <c r="MX10" i="5"/>
  <c r="MX11" i="5"/>
  <c r="MX12" i="5"/>
  <c r="MX13" i="5"/>
  <c r="MX14" i="5"/>
  <c r="MX15" i="5"/>
  <c r="MX16" i="5"/>
  <c r="MX17" i="5"/>
  <c r="MX18" i="5"/>
  <c r="MX19" i="5"/>
  <c r="MX20" i="5"/>
  <c r="MX21" i="5"/>
  <c r="MX22" i="5"/>
  <c r="MX23" i="5"/>
  <c r="MX24" i="5"/>
  <c r="MX25" i="5"/>
  <c r="MX26" i="5"/>
  <c r="MX27" i="5"/>
  <c r="MX28" i="5"/>
  <c r="MX29" i="5"/>
  <c r="MX30" i="5"/>
  <c r="MX31" i="5"/>
  <c r="MX32" i="5"/>
  <c r="MX33" i="5"/>
  <c r="MX34" i="5"/>
  <c r="MX35" i="5"/>
  <c r="MX36" i="5"/>
  <c r="MX37" i="5"/>
  <c r="MX38" i="5"/>
  <c r="MX39" i="5"/>
  <c r="MX40" i="5"/>
  <c r="MX41" i="5"/>
  <c r="MX42" i="5"/>
  <c r="MX43" i="5"/>
  <c r="MX44" i="5"/>
  <c r="MX45" i="5"/>
  <c r="MX46" i="5"/>
  <c r="MX47" i="5"/>
  <c r="MX48" i="5"/>
  <c r="MX49" i="5"/>
  <c r="MX50" i="5"/>
  <c r="MX51" i="5"/>
  <c r="MX52" i="5"/>
  <c r="MX53" i="5"/>
  <c r="MX54" i="5"/>
  <c r="MX55" i="5"/>
  <c r="MX56" i="5"/>
  <c r="MX57" i="5"/>
  <c r="MX58" i="5"/>
  <c r="MX59" i="5"/>
  <c r="MX60" i="5"/>
  <c r="MX61" i="5"/>
  <c r="MX62" i="5"/>
  <c r="MX63" i="5"/>
  <c r="MX64" i="5"/>
  <c r="MX65" i="5"/>
  <c r="MX66" i="5"/>
  <c r="MX67" i="5"/>
  <c r="MX68" i="5"/>
  <c r="MX69" i="5"/>
  <c r="MX70" i="5"/>
  <c r="MX71" i="5"/>
  <c r="MX72" i="5"/>
  <c r="MX73" i="5"/>
  <c r="MX74" i="5"/>
  <c r="MX75" i="5"/>
  <c r="MX76" i="5"/>
  <c r="MX77" i="5"/>
  <c r="MX78" i="5"/>
  <c r="MX79" i="5"/>
  <c r="MX80" i="5"/>
  <c r="MX81" i="5"/>
  <c r="MX82" i="5"/>
  <c r="MX83" i="5"/>
  <c r="MX84" i="5"/>
  <c r="MX85" i="5"/>
  <c r="MX86" i="5"/>
  <c r="MX87" i="5"/>
  <c r="MX88" i="5"/>
  <c r="MX89" i="5"/>
  <c r="MX90" i="5"/>
  <c r="MX91" i="5"/>
  <c r="MX92" i="5"/>
  <c r="MX93" i="5"/>
  <c r="MX94" i="5"/>
  <c r="MX95" i="5"/>
  <c r="MX96" i="5"/>
  <c r="MX97" i="5"/>
  <c r="MX98" i="5"/>
  <c r="MX99" i="5"/>
  <c r="MX100" i="5"/>
  <c r="MX101" i="5"/>
  <c r="MX102" i="5"/>
  <c r="MX103" i="5"/>
  <c r="MX104" i="5"/>
  <c r="MX105" i="5"/>
  <c r="MX106" i="5"/>
  <c r="MX107" i="5"/>
  <c r="MX108" i="5"/>
  <c r="MX109" i="5"/>
  <c r="MX110" i="5"/>
  <c r="MX111" i="5"/>
  <c r="MX112" i="5"/>
  <c r="MX113" i="5"/>
  <c r="MX114" i="5"/>
  <c r="MX115" i="5"/>
  <c r="MX116" i="5"/>
  <c r="MX117" i="5"/>
  <c r="MX118" i="5"/>
  <c r="MX119" i="5"/>
  <c r="MX120" i="5"/>
  <c r="MX121" i="5"/>
  <c r="MX122" i="5"/>
  <c r="MX123" i="5"/>
  <c r="MX124" i="5"/>
  <c r="MX125" i="5"/>
  <c r="MX126" i="5"/>
  <c r="MX127" i="5"/>
  <c r="MX128" i="5"/>
  <c r="MX129" i="5"/>
  <c r="MX130" i="5"/>
  <c r="MX131" i="5"/>
  <c r="MX132" i="5"/>
  <c r="MX133" i="5"/>
  <c r="MX134" i="5"/>
  <c r="MX135" i="5"/>
  <c r="MX136" i="5"/>
  <c r="MX137" i="5"/>
  <c r="MX138" i="5"/>
  <c r="MX139" i="5"/>
  <c r="MX140" i="5"/>
  <c r="MX141" i="5"/>
  <c r="MX142" i="5"/>
  <c r="MX143" i="5"/>
  <c r="MX144" i="5"/>
  <c r="MX145" i="5"/>
  <c r="MX146" i="5"/>
  <c r="MX147" i="5"/>
  <c r="MX148" i="5"/>
  <c r="MX149" i="5"/>
  <c r="MX150" i="5"/>
  <c r="MX151" i="5"/>
  <c r="MX152" i="5"/>
  <c r="MX153" i="5"/>
  <c r="MX154" i="5"/>
  <c r="MX155" i="5"/>
  <c r="MX156" i="5"/>
  <c r="MX157" i="5"/>
  <c r="MX158" i="5"/>
  <c r="MX159" i="5"/>
  <c r="MX160" i="5"/>
  <c r="MX161" i="5"/>
  <c r="MX162" i="5"/>
  <c r="MX163" i="5"/>
  <c r="MX164" i="5"/>
  <c r="MX165" i="5"/>
  <c r="MX166" i="5"/>
  <c r="MX167" i="5"/>
  <c r="MX168" i="5"/>
  <c r="MX169" i="5"/>
  <c r="MX170" i="5"/>
  <c r="MX171" i="5"/>
  <c r="MX172" i="5"/>
  <c r="MX173" i="5"/>
  <c r="MX174" i="5"/>
  <c r="MX175" i="5"/>
  <c r="MX176" i="5"/>
  <c r="MX177" i="5"/>
  <c r="MX178" i="5"/>
  <c r="MX179" i="5"/>
  <c r="MX180" i="5"/>
  <c r="MX181" i="5"/>
  <c r="MX182" i="5"/>
  <c r="MX183" i="5"/>
  <c r="MX184" i="5"/>
  <c r="MX185" i="5"/>
  <c r="MX186" i="5"/>
  <c r="MX187" i="5"/>
  <c r="MX188" i="5"/>
  <c r="MX189" i="5"/>
  <c r="MX190" i="5"/>
  <c r="MX191" i="5"/>
  <c r="MX192" i="5"/>
  <c r="MX193" i="5"/>
  <c r="MX202" i="5"/>
  <c r="MX203" i="5"/>
  <c r="MX204" i="5"/>
  <c r="MX205" i="5"/>
  <c r="MX206" i="5"/>
  <c r="MX207" i="5"/>
  <c r="MX208" i="5"/>
  <c r="MX209" i="5"/>
  <c r="MX210" i="5"/>
  <c r="MX211" i="5"/>
  <c r="MX212" i="5"/>
  <c r="MX213" i="5"/>
  <c r="MX214" i="5"/>
  <c r="MX215" i="5"/>
  <c r="MX216" i="5"/>
  <c r="MX217" i="5"/>
  <c r="MX218" i="5"/>
  <c r="MX219" i="5"/>
  <c r="MX220" i="5"/>
  <c r="MX221" i="5"/>
  <c r="MX222" i="5"/>
  <c r="MX223" i="5"/>
  <c r="MX224" i="5"/>
  <c r="MX225" i="5"/>
  <c r="MX226" i="5"/>
  <c r="MX227" i="5"/>
  <c r="MX228" i="5"/>
  <c r="MX229" i="5"/>
  <c r="MX230" i="5"/>
  <c r="MX231" i="5"/>
  <c r="MX232" i="5"/>
  <c r="MX233" i="5"/>
  <c r="MX234" i="5"/>
  <c r="MX235" i="5"/>
  <c r="MX236" i="5"/>
  <c r="MX237" i="5"/>
  <c r="MX238" i="5"/>
  <c r="MX239" i="5"/>
  <c r="MX240" i="5"/>
  <c r="MX241" i="5"/>
  <c r="MX242" i="5"/>
  <c r="MX243" i="5"/>
  <c r="MX244" i="5"/>
  <c r="MX245" i="5"/>
  <c r="MX246" i="5"/>
  <c r="MX247" i="5"/>
  <c r="MX248" i="5"/>
  <c r="MU4" i="5"/>
  <c r="MW4" i="5"/>
  <c r="MU5" i="5"/>
  <c r="MW5" i="5"/>
  <c r="MU6" i="5"/>
  <c r="MW6" i="5"/>
  <c r="MU7" i="5"/>
  <c r="MW7" i="5"/>
  <c r="MU8" i="5"/>
  <c r="MW8" i="5"/>
  <c r="MU9" i="5"/>
  <c r="MW9" i="5"/>
  <c r="MU10" i="5"/>
  <c r="MW10" i="5"/>
  <c r="MU11" i="5"/>
  <c r="MW11" i="5"/>
  <c r="MU12" i="5"/>
  <c r="MW12" i="5"/>
  <c r="MU13" i="5"/>
  <c r="MW13" i="5"/>
  <c r="MU14" i="5"/>
  <c r="MW14" i="5"/>
  <c r="MU15" i="5"/>
  <c r="MW15" i="5"/>
  <c r="MU16" i="5"/>
  <c r="MW16" i="5"/>
  <c r="MU17" i="5"/>
  <c r="MW17" i="5"/>
  <c r="MU18" i="5"/>
  <c r="MW18" i="5"/>
  <c r="MU19" i="5"/>
  <c r="MW19" i="5"/>
  <c r="MU20" i="5"/>
  <c r="MW20" i="5"/>
  <c r="MU21" i="5"/>
  <c r="MW21" i="5"/>
  <c r="MU22" i="5"/>
  <c r="MW22" i="5"/>
  <c r="MU23" i="5"/>
  <c r="MW23" i="5"/>
  <c r="MU24" i="5"/>
  <c r="MW24" i="5"/>
  <c r="MU25" i="5"/>
  <c r="MW25" i="5"/>
  <c r="MU26" i="5"/>
  <c r="MW26" i="5"/>
  <c r="MU27" i="5"/>
  <c r="MW27" i="5"/>
  <c r="MU28" i="5"/>
  <c r="MW28" i="5"/>
  <c r="MU29" i="5"/>
  <c r="MW29" i="5"/>
  <c r="MU30" i="5"/>
  <c r="MW30" i="5"/>
  <c r="MU31" i="5"/>
  <c r="MW31" i="5"/>
  <c r="MU32" i="5"/>
  <c r="MW32" i="5"/>
  <c r="MU33" i="5"/>
  <c r="MW33" i="5"/>
  <c r="MU34" i="5"/>
  <c r="MW34" i="5"/>
  <c r="MU35" i="5"/>
  <c r="MW35" i="5"/>
  <c r="MU36" i="5"/>
  <c r="MW36" i="5"/>
  <c r="MU37" i="5"/>
  <c r="MW37" i="5"/>
  <c r="MU38" i="5"/>
  <c r="MW38" i="5"/>
  <c r="MU39" i="5"/>
  <c r="MW39" i="5"/>
  <c r="MU40" i="5"/>
  <c r="MW40" i="5"/>
  <c r="MU41" i="5"/>
  <c r="MW41" i="5"/>
  <c r="MU42" i="5"/>
  <c r="MW42" i="5"/>
  <c r="MU43" i="5"/>
  <c r="MW43" i="5"/>
  <c r="MU44" i="5"/>
  <c r="MW44" i="5"/>
  <c r="MU45" i="5"/>
  <c r="MW45" i="5"/>
  <c r="MU46" i="5"/>
  <c r="MW46" i="5"/>
  <c r="MU47" i="5"/>
  <c r="MW47" i="5"/>
  <c r="MU48" i="5"/>
  <c r="MW48" i="5"/>
  <c r="MU49" i="5"/>
  <c r="MW49" i="5"/>
  <c r="MU50" i="5"/>
  <c r="MW50" i="5"/>
  <c r="MU51" i="5"/>
  <c r="MW51" i="5"/>
  <c r="MU52" i="5"/>
  <c r="MW52" i="5"/>
  <c r="MU53" i="5"/>
  <c r="MW53" i="5"/>
  <c r="MU54" i="5"/>
  <c r="MW54" i="5"/>
  <c r="MU55" i="5"/>
  <c r="MW55" i="5"/>
  <c r="MU56" i="5"/>
  <c r="MW56" i="5"/>
  <c r="MU57" i="5"/>
  <c r="MW57" i="5"/>
  <c r="MU58" i="5"/>
  <c r="MW58" i="5"/>
  <c r="MU59" i="5"/>
  <c r="MW59" i="5"/>
  <c r="MU60" i="5"/>
  <c r="MW60" i="5"/>
  <c r="MU61" i="5"/>
  <c r="MW61" i="5"/>
  <c r="MU62" i="5"/>
  <c r="MW62" i="5"/>
  <c r="MU63" i="5"/>
  <c r="MW63" i="5"/>
  <c r="MU64" i="5"/>
  <c r="MW64" i="5"/>
  <c r="MU65" i="5"/>
  <c r="MW65" i="5"/>
  <c r="MU66" i="5"/>
  <c r="MW66" i="5"/>
  <c r="MU67" i="5"/>
  <c r="MW67" i="5"/>
  <c r="MU68" i="5"/>
  <c r="MW68" i="5"/>
  <c r="MU69" i="5"/>
  <c r="MW69" i="5"/>
  <c r="MU70" i="5"/>
  <c r="MW70" i="5"/>
  <c r="MU71" i="5"/>
  <c r="MW71" i="5"/>
  <c r="MU72" i="5"/>
  <c r="MW72" i="5"/>
  <c r="MU73" i="5"/>
  <c r="MW73" i="5"/>
  <c r="MU74" i="5"/>
  <c r="MW74" i="5"/>
  <c r="MU75" i="5"/>
  <c r="MW75" i="5"/>
  <c r="MU76" i="5"/>
  <c r="MW76" i="5"/>
  <c r="MU77" i="5"/>
  <c r="MW77" i="5"/>
  <c r="MU78" i="5"/>
  <c r="MW78" i="5"/>
  <c r="MU79" i="5"/>
  <c r="MW79" i="5"/>
  <c r="MU80" i="5"/>
  <c r="MW80" i="5"/>
  <c r="MU81" i="5"/>
  <c r="MW81" i="5"/>
  <c r="MU82" i="5"/>
  <c r="MW82" i="5"/>
  <c r="MU83" i="5"/>
  <c r="MW83" i="5"/>
  <c r="MU84" i="5"/>
  <c r="MW84" i="5"/>
  <c r="MU85" i="5"/>
  <c r="MW85" i="5"/>
  <c r="MU86" i="5"/>
  <c r="MW86" i="5"/>
  <c r="MU87" i="5"/>
  <c r="MW87" i="5"/>
  <c r="MU88" i="5"/>
  <c r="MW88" i="5"/>
  <c r="MU89" i="5"/>
  <c r="MW89" i="5"/>
  <c r="MU90" i="5"/>
  <c r="MW90" i="5"/>
  <c r="MU91" i="5"/>
  <c r="MW91" i="5"/>
  <c r="MU92" i="5"/>
  <c r="MW92" i="5"/>
  <c r="MU93" i="5"/>
  <c r="MW93" i="5"/>
  <c r="MU94" i="5"/>
  <c r="MW94" i="5"/>
  <c r="MU95" i="5"/>
  <c r="MW95" i="5"/>
  <c r="MU96" i="5"/>
  <c r="MW96" i="5"/>
  <c r="MU97" i="5"/>
  <c r="MW97" i="5"/>
  <c r="MU98" i="5"/>
  <c r="MW98" i="5"/>
  <c r="MU99" i="5"/>
  <c r="MW99" i="5"/>
  <c r="MU100" i="5"/>
  <c r="MW100" i="5"/>
  <c r="MU101" i="5"/>
  <c r="MW101" i="5"/>
  <c r="MU102" i="5"/>
  <c r="MW102" i="5"/>
  <c r="MU103" i="5"/>
  <c r="MW103" i="5"/>
  <c r="MU104" i="5"/>
  <c r="MW104" i="5"/>
  <c r="MU105" i="5"/>
  <c r="MW105" i="5"/>
  <c r="MU106" i="5"/>
  <c r="MW106" i="5"/>
  <c r="MU107" i="5"/>
  <c r="MW107" i="5"/>
  <c r="MU108" i="5"/>
  <c r="MW108" i="5"/>
  <c r="MU109" i="5"/>
  <c r="MW109" i="5"/>
  <c r="MU110" i="5"/>
  <c r="MW110" i="5"/>
  <c r="MU111" i="5"/>
  <c r="MW111" i="5"/>
  <c r="MU112" i="5"/>
  <c r="MW112" i="5"/>
  <c r="MU113" i="5"/>
  <c r="MW113" i="5"/>
  <c r="MU114" i="5"/>
  <c r="MW114" i="5"/>
  <c r="MU115" i="5"/>
  <c r="MW115" i="5"/>
  <c r="MU116" i="5"/>
  <c r="MW116" i="5"/>
  <c r="MU117" i="5"/>
  <c r="MW117" i="5"/>
  <c r="MU118" i="5"/>
  <c r="MW118" i="5"/>
  <c r="MU119" i="5"/>
  <c r="MW119" i="5"/>
  <c r="MU120" i="5"/>
  <c r="MW120" i="5"/>
  <c r="MU121" i="5"/>
  <c r="MW121" i="5"/>
  <c r="MU122" i="5"/>
  <c r="MW122" i="5"/>
  <c r="MU123" i="5"/>
  <c r="MW123" i="5"/>
  <c r="MU124" i="5"/>
  <c r="MW124" i="5"/>
  <c r="MU125" i="5"/>
  <c r="MW125" i="5"/>
  <c r="MU126" i="5"/>
  <c r="MW126" i="5"/>
  <c r="MU127" i="5"/>
  <c r="MW127" i="5"/>
  <c r="MU128" i="5"/>
  <c r="MW128" i="5"/>
  <c r="MU129" i="5"/>
  <c r="MW129" i="5"/>
  <c r="MU130" i="5"/>
  <c r="MW130" i="5"/>
  <c r="MU131" i="5"/>
  <c r="MW131" i="5"/>
  <c r="MU132" i="5"/>
  <c r="MW132" i="5"/>
  <c r="MU133" i="5"/>
  <c r="MW133" i="5"/>
  <c r="MU134" i="5"/>
  <c r="MW134" i="5"/>
  <c r="MU135" i="5"/>
  <c r="MW135" i="5"/>
  <c r="MU136" i="5"/>
  <c r="MW136" i="5"/>
  <c r="MU137" i="5"/>
  <c r="MW137" i="5"/>
  <c r="MU138" i="5"/>
  <c r="MW138" i="5"/>
  <c r="MU139" i="5"/>
  <c r="MW139" i="5"/>
  <c r="MU140" i="5"/>
  <c r="MW140" i="5"/>
  <c r="MU141" i="5"/>
  <c r="MW141" i="5"/>
  <c r="MU142" i="5"/>
  <c r="MW142" i="5"/>
  <c r="MU143" i="5"/>
  <c r="MW143" i="5"/>
  <c r="MU144" i="5"/>
  <c r="MW144" i="5"/>
  <c r="MU145" i="5"/>
  <c r="MW145" i="5"/>
  <c r="MU146" i="5"/>
  <c r="MW146" i="5"/>
  <c r="MU147" i="5"/>
  <c r="MW147" i="5"/>
  <c r="MU148" i="5"/>
  <c r="MW148" i="5"/>
  <c r="MU149" i="5"/>
  <c r="MW149" i="5"/>
  <c r="MU150" i="5"/>
  <c r="MW150" i="5"/>
  <c r="MU151" i="5"/>
  <c r="MW151" i="5"/>
  <c r="MU152" i="5"/>
  <c r="MW152" i="5"/>
  <c r="MU153" i="5"/>
  <c r="MW153" i="5"/>
  <c r="MU154" i="5"/>
  <c r="MW154" i="5"/>
  <c r="MU155" i="5"/>
  <c r="MW155" i="5"/>
  <c r="MU156" i="5"/>
  <c r="MW156" i="5"/>
  <c r="MU157" i="5"/>
  <c r="MW157" i="5"/>
  <c r="MU158" i="5"/>
  <c r="MW158" i="5"/>
  <c r="MU159" i="5"/>
  <c r="MW159" i="5"/>
  <c r="MU160" i="5"/>
  <c r="MW160" i="5"/>
  <c r="MU161" i="5"/>
  <c r="MW161" i="5"/>
  <c r="MU162" i="5"/>
  <c r="MW162" i="5"/>
  <c r="MU163" i="5"/>
  <c r="MW163" i="5"/>
  <c r="MU164" i="5"/>
  <c r="MW164" i="5"/>
  <c r="MU165" i="5"/>
  <c r="MW165" i="5"/>
  <c r="MU166" i="5"/>
  <c r="MW166" i="5"/>
  <c r="MU167" i="5"/>
  <c r="MW167" i="5"/>
  <c r="MU168" i="5"/>
  <c r="MW168" i="5"/>
  <c r="MU169" i="5"/>
  <c r="MW169" i="5"/>
  <c r="MU170" i="5"/>
  <c r="MW170" i="5"/>
  <c r="MU171" i="5"/>
  <c r="MW171" i="5"/>
  <c r="MU172" i="5"/>
  <c r="MW172" i="5"/>
  <c r="MU173" i="5"/>
  <c r="MW173" i="5"/>
  <c r="MU174" i="5"/>
  <c r="MW174" i="5"/>
  <c r="MU175" i="5"/>
  <c r="MW175" i="5"/>
  <c r="MU176" i="5"/>
  <c r="MW176" i="5"/>
  <c r="MU177" i="5"/>
  <c r="MW177" i="5"/>
  <c r="MU178" i="5"/>
  <c r="MW178" i="5"/>
  <c r="MU179" i="5"/>
  <c r="MW179" i="5"/>
  <c r="MU180" i="5"/>
  <c r="MW180" i="5"/>
  <c r="MU181" i="5"/>
  <c r="MW181" i="5"/>
  <c r="MU182" i="5"/>
  <c r="MW182" i="5"/>
  <c r="MU183" i="5"/>
  <c r="MW183" i="5"/>
  <c r="MU184" i="5"/>
  <c r="MW184" i="5"/>
  <c r="MU185" i="5"/>
  <c r="MW185" i="5"/>
  <c r="MU186" i="5"/>
  <c r="MW186" i="5"/>
  <c r="MU187" i="5"/>
  <c r="MW187" i="5"/>
  <c r="MU188" i="5"/>
  <c r="MW188" i="5"/>
  <c r="MU189" i="5"/>
  <c r="MW189" i="5"/>
  <c r="MU190" i="5"/>
  <c r="MW190" i="5"/>
  <c r="MU191" i="5"/>
  <c r="MW191" i="5"/>
  <c r="MU192" i="5"/>
  <c r="MW192" i="5"/>
  <c r="MU193" i="5"/>
  <c r="MW193" i="5"/>
  <c r="MU202" i="5"/>
  <c r="MW202" i="5"/>
  <c r="MU203" i="5"/>
  <c r="MW203" i="5"/>
  <c r="MU204" i="5"/>
  <c r="MW204" i="5"/>
  <c r="MU205" i="5"/>
  <c r="MW205" i="5"/>
  <c r="MU206" i="5"/>
  <c r="MW206" i="5"/>
  <c r="MU207" i="5"/>
  <c r="MW207" i="5"/>
  <c r="MU208" i="5"/>
  <c r="MW208" i="5"/>
  <c r="MU209" i="5"/>
  <c r="MW209" i="5"/>
  <c r="MU210" i="5"/>
  <c r="MW210" i="5"/>
  <c r="MU211" i="5"/>
  <c r="MW211" i="5"/>
  <c r="MU212" i="5"/>
  <c r="MW212" i="5"/>
  <c r="MU213" i="5"/>
  <c r="MW213" i="5"/>
  <c r="MU214" i="5"/>
  <c r="MW214" i="5"/>
  <c r="MU215" i="5"/>
  <c r="MW215" i="5"/>
  <c r="MU216" i="5"/>
  <c r="MW216" i="5"/>
  <c r="MU217" i="5"/>
  <c r="MW217" i="5"/>
  <c r="MU218" i="5"/>
  <c r="MW218" i="5"/>
  <c r="MU219" i="5"/>
  <c r="MW219" i="5"/>
  <c r="MU220" i="5"/>
  <c r="MW220" i="5"/>
  <c r="MU221" i="5"/>
  <c r="MW221" i="5"/>
  <c r="MU222" i="5"/>
  <c r="MW222" i="5"/>
  <c r="MU223" i="5"/>
  <c r="MW223" i="5"/>
  <c r="MU224" i="5"/>
  <c r="MW224" i="5"/>
  <c r="MU225" i="5"/>
  <c r="MW225" i="5"/>
  <c r="MU226" i="5"/>
  <c r="MW226" i="5"/>
  <c r="MU227" i="5"/>
  <c r="MW227" i="5"/>
  <c r="MU228" i="5"/>
  <c r="MW228" i="5"/>
  <c r="MU229" i="5"/>
  <c r="MW229" i="5"/>
  <c r="MU230" i="5"/>
  <c r="MW230" i="5"/>
  <c r="MU231" i="5"/>
  <c r="MW231" i="5"/>
  <c r="MU232" i="5"/>
  <c r="MW232" i="5"/>
  <c r="MU233" i="5"/>
  <c r="MW233" i="5"/>
  <c r="MU234" i="5"/>
  <c r="MW234" i="5"/>
  <c r="MU235" i="5"/>
  <c r="MW235" i="5"/>
  <c r="MU236" i="5"/>
  <c r="MW236" i="5"/>
  <c r="MU237" i="5"/>
  <c r="MW237" i="5"/>
  <c r="MU238" i="5"/>
  <c r="MW238" i="5"/>
  <c r="MU239" i="5"/>
  <c r="MW239" i="5"/>
  <c r="MU240" i="5"/>
  <c r="MW240" i="5"/>
  <c r="MU241" i="5"/>
  <c r="MW241" i="5"/>
  <c r="MU242" i="5"/>
  <c r="MW242" i="5"/>
  <c r="MU243" i="5"/>
  <c r="MW243" i="5"/>
  <c r="MU244" i="5"/>
  <c r="MW244" i="5"/>
  <c r="MU245" i="5"/>
  <c r="MW245" i="5"/>
  <c r="MU246" i="5"/>
  <c r="MW246" i="5"/>
  <c r="MU247" i="5"/>
  <c r="MW247" i="5"/>
  <c r="MU248" i="5"/>
  <c r="MW248" i="5"/>
  <c r="MQ4" i="5"/>
  <c r="MR4" i="5" s="1"/>
  <c r="MQ5" i="5"/>
  <c r="NE5" i="5" s="1"/>
  <c r="MQ6" i="5"/>
  <c r="MQ7" i="5"/>
  <c r="MS7" i="5" s="1"/>
  <c r="MQ8" i="5"/>
  <c r="NE8" i="5" s="1"/>
  <c r="MQ9" i="5"/>
  <c r="MS9" i="5" s="1"/>
  <c r="MQ10" i="5"/>
  <c r="MS10" i="5" s="1"/>
  <c r="MQ11" i="5"/>
  <c r="NE11" i="5" s="1"/>
  <c r="MQ12" i="5"/>
  <c r="MS12" i="5" s="1"/>
  <c r="MQ13" i="5"/>
  <c r="MS13" i="5" s="1"/>
  <c r="MQ14" i="5"/>
  <c r="MQ15" i="5"/>
  <c r="MR15" i="5" s="1"/>
  <c r="MQ16" i="5"/>
  <c r="MQ17" i="5"/>
  <c r="MQ18" i="5"/>
  <c r="MR18" i="5" s="1"/>
  <c r="MQ19" i="5"/>
  <c r="MS19" i="5" s="1"/>
  <c r="MQ20" i="5"/>
  <c r="MQ21" i="5"/>
  <c r="MS21" i="5" s="1"/>
  <c r="MQ22" i="5"/>
  <c r="MQ23" i="5"/>
  <c r="MQ24" i="5"/>
  <c r="MS24" i="5" s="1"/>
  <c r="MQ25" i="5"/>
  <c r="MQ26" i="5"/>
  <c r="NE26" i="5" s="1"/>
  <c r="MQ27" i="5"/>
  <c r="NE27" i="5" s="1"/>
  <c r="MQ28" i="5"/>
  <c r="NE28" i="5" s="1"/>
  <c r="MQ29" i="5"/>
  <c r="NE29" i="5" s="1"/>
  <c r="MQ30" i="5"/>
  <c r="MQ31" i="5"/>
  <c r="MS31" i="5" s="1"/>
  <c r="MQ32" i="5"/>
  <c r="NE32" i="5" s="1"/>
  <c r="MQ33" i="5"/>
  <c r="MS33" i="5" s="1"/>
  <c r="MQ34" i="5"/>
  <c r="MS34" i="5" s="1"/>
  <c r="MQ35" i="5"/>
  <c r="NE35" i="5" s="1"/>
  <c r="MQ36" i="5"/>
  <c r="MQ37" i="5"/>
  <c r="MS37" i="5" s="1"/>
  <c r="MQ38" i="5"/>
  <c r="NE38" i="5" s="1"/>
  <c r="MQ39" i="5"/>
  <c r="MR39" i="5" s="1"/>
  <c r="MQ40" i="5"/>
  <c r="NE40" i="5" s="1"/>
  <c r="MQ41" i="5"/>
  <c r="NE41" i="5" s="1"/>
  <c r="MQ42" i="5"/>
  <c r="MQ43" i="5"/>
  <c r="MS43" i="5" s="1"/>
  <c r="MQ44" i="5"/>
  <c r="MQ45" i="5"/>
  <c r="MR45" i="5" s="1"/>
  <c r="MQ46" i="5"/>
  <c r="NE46" i="5" s="1"/>
  <c r="MQ47" i="5"/>
  <c r="NE47" i="5" s="1"/>
  <c r="MQ48" i="5"/>
  <c r="MS48" i="5" s="1"/>
  <c r="MQ49" i="5"/>
  <c r="NE49" i="5" s="1"/>
  <c r="MQ50" i="5"/>
  <c r="NE50" i="5" s="1"/>
  <c r="MQ51" i="5"/>
  <c r="NE51" i="5" s="1"/>
  <c r="MQ52" i="5"/>
  <c r="MR52" i="5" s="1"/>
  <c r="MQ53" i="5"/>
  <c r="NE53" i="5" s="1"/>
  <c r="MQ54" i="5"/>
  <c r="MQ55" i="5"/>
  <c r="NE55" i="5" s="1"/>
  <c r="MQ56" i="5"/>
  <c r="NE56" i="5" s="1"/>
  <c r="MQ57" i="5"/>
  <c r="MR57" i="5" s="1"/>
  <c r="MQ58" i="5"/>
  <c r="MR58" i="5" s="1"/>
  <c r="MQ59" i="5"/>
  <c r="NE59" i="5" s="1"/>
  <c r="MQ60" i="5"/>
  <c r="MR60" i="5" s="1"/>
  <c r="MQ61" i="5"/>
  <c r="MR61" i="5" s="1"/>
  <c r="MQ62" i="5"/>
  <c r="MQ63" i="5"/>
  <c r="MR63" i="5" s="1"/>
  <c r="MQ64" i="5"/>
  <c r="MR64" i="5" s="1"/>
  <c r="MQ65" i="5"/>
  <c r="NE65" i="5" s="1"/>
  <c r="MQ66" i="5"/>
  <c r="NE66" i="5" s="1"/>
  <c r="HK66" i="5" s="1"/>
  <c r="HI66" i="5" s="1"/>
  <c r="MQ67" i="5"/>
  <c r="NE67" i="5" s="1"/>
  <c r="MQ68" i="5"/>
  <c r="NE68" i="5" s="1"/>
  <c r="MQ69" i="5"/>
  <c r="MR69" i="5" s="1"/>
  <c r="MQ70" i="5"/>
  <c r="NE70" i="5" s="1"/>
  <c r="MQ71" i="5"/>
  <c r="NE71" i="5" s="1"/>
  <c r="MQ72" i="5"/>
  <c r="NE72" i="5" s="1"/>
  <c r="MQ73" i="5"/>
  <c r="MS73" i="5" s="1"/>
  <c r="MQ74" i="5"/>
  <c r="NE74" i="5" s="1"/>
  <c r="MQ75" i="5"/>
  <c r="MQ76" i="5"/>
  <c r="MR76" i="5" s="1"/>
  <c r="MQ77" i="5"/>
  <c r="NE77" i="5" s="1"/>
  <c r="MQ78" i="5"/>
  <c r="MS78" i="5" s="1"/>
  <c r="MQ79" i="5"/>
  <c r="MS79" i="5" s="1"/>
  <c r="MQ80" i="5"/>
  <c r="MQ81" i="5"/>
  <c r="NE81" i="5" s="1"/>
  <c r="MQ82" i="5"/>
  <c r="MQ83" i="5"/>
  <c r="NE83" i="5" s="1"/>
  <c r="MQ84" i="5"/>
  <c r="MS84" i="5" s="1"/>
  <c r="MQ85" i="5"/>
  <c r="MS85" i="5" s="1"/>
  <c r="MQ86" i="5"/>
  <c r="MQ87" i="5"/>
  <c r="MS87" i="5" s="1"/>
  <c r="MQ88" i="5"/>
  <c r="MS88" i="5" s="1"/>
  <c r="MQ89" i="5"/>
  <c r="NE89" i="5" s="1"/>
  <c r="MQ90" i="5"/>
  <c r="MS90" i="5" s="1"/>
  <c r="MQ91" i="5"/>
  <c r="MS91" i="5" s="1"/>
  <c r="MQ92" i="5"/>
  <c r="NE92" i="5" s="1"/>
  <c r="HK92" i="5" s="1"/>
  <c r="HI92" i="5" s="1"/>
  <c r="MQ93" i="5"/>
  <c r="MQ94" i="5"/>
  <c r="MQ95" i="5"/>
  <c r="MQ96" i="5"/>
  <c r="MS96" i="5" s="1"/>
  <c r="MQ97" i="5"/>
  <c r="MS97" i="5" s="1"/>
  <c r="MQ98" i="5"/>
  <c r="NE98" i="5" s="1"/>
  <c r="MQ99" i="5"/>
  <c r="MQ100" i="5"/>
  <c r="MR100" i="5" s="1"/>
  <c r="MQ101" i="5"/>
  <c r="MQ102" i="5"/>
  <c r="MS102" i="5" s="1"/>
  <c r="MQ103" i="5"/>
  <c r="MS103" i="5" s="1"/>
  <c r="MQ104" i="5"/>
  <c r="MQ105" i="5"/>
  <c r="MQ106" i="5"/>
  <c r="MR106" i="5" s="1"/>
  <c r="MQ107" i="5"/>
  <c r="MQ108" i="5"/>
  <c r="MS108" i="5" s="1"/>
  <c r="MQ109" i="5"/>
  <c r="MS109" i="5" s="1"/>
  <c r="MQ110" i="5"/>
  <c r="NE110" i="5" s="1"/>
  <c r="MQ111" i="5"/>
  <c r="MS111" i="5" s="1"/>
  <c r="MQ112" i="5"/>
  <c r="NE112" i="5" s="1"/>
  <c r="MQ113" i="5"/>
  <c r="MS113" i="5" s="1"/>
  <c r="MQ114" i="5"/>
  <c r="MS114" i="5" s="1"/>
  <c r="MQ115" i="5"/>
  <c r="MS115" i="5" s="1"/>
  <c r="MQ116" i="5"/>
  <c r="NE116" i="5" s="1"/>
  <c r="MQ117" i="5"/>
  <c r="NE117" i="5" s="1"/>
  <c r="MQ118" i="5"/>
  <c r="NE118" i="5" s="1"/>
  <c r="MQ119" i="5"/>
  <c r="MS119" i="5" s="1"/>
  <c r="MQ120" i="5"/>
  <c r="NE120" i="5" s="1"/>
  <c r="MQ121" i="5"/>
  <c r="MQ122" i="5"/>
  <c r="MS122" i="5" s="1"/>
  <c r="MQ123" i="5"/>
  <c r="NE123" i="5" s="1"/>
  <c r="MQ124" i="5"/>
  <c r="MR124" i="5" s="1"/>
  <c r="MQ125" i="5"/>
  <c r="MS125" i="5" s="1"/>
  <c r="MQ126" i="5"/>
  <c r="NE126" i="5" s="1"/>
  <c r="MQ127" i="5"/>
  <c r="NE127" i="5" s="1"/>
  <c r="MQ128" i="5"/>
  <c r="MS128" i="5" s="1"/>
  <c r="MQ129" i="5"/>
  <c r="MS129" i="5" s="1"/>
  <c r="MQ130" i="5"/>
  <c r="MS130" i="5" s="1"/>
  <c r="MQ131" i="5"/>
  <c r="MS131" i="5" s="1"/>
  <c r="MQ132" i="5"/>
  <c r="NE132" i="5" s="1"/>
  <c r="MQ133" i="5"/>
  <c r="MQ134" i="5"/>
  <c r="MS134" i="5" s="1"/>
  <c r="MQ135" i="5"/>
  <c r="MS135" i="5" s="1"/>
  <c r="MQ136" i="5"/>
  <c r="MS136" i="5" s="1"/>
  <c r="MQ137" i="5"/>
  <c r="MR137" i="5" s="1"/>
  <c r="MQ138" i="5"/>
  <c r="NE138" i="5" s="1"/>
  <c r="MQ139" i="5"/>
  <c r="MS139" i="5" s="1"/>
  <c r="MQ140" i="5"/>
  <c r="NE140" i="5" s="1"/>
  <c r="MQ141" i="5"/>
  <c r="NE141" i="5" s="1"/>
  <c r="MQ142" i="5"/>
  <c r="MS142" i="5" s="1"/>
  <c r="MQ143" i="5"/>
  <c r="MR143" i="5" s="1"/>
  <c r="MQ144" i="5"/>
  <c r="MR144" i="5" s="1"/>
  <c r="MQ145" i="5"/>
  <c r="MR145" i="5" s="1"/>
  <c r="MQ146" i="5"/>
  <c r="MS146" i="5" s="1"/>
  <c r="MQ147" i="5"/>
  <c r="MS147" i="5" s="1"/>
  <c r="MQ148" i="5"/>
  <c r="MS148" i="5" s="1"/>
  <c r="MQ149" i="5"/>
  <c r="MQ150" i="5"/>
  <c r="MQ151" i="5"/>
  <c r="NE151" i="5" s="1"/>
  <c r="MQ152" i="5"/>
  <c r="MS152" i="5" s="1"/>
  <c r="MQ153" i="5"/>
  <c r="NE153" i="5" s="1"/>
  <c r="MQ154" i="5"/>
  <c r="NE154" i="5" s="1"/>
  <c r="MQ155" i="5"/>
  <c r="MS155" i="5" s="1"/>
  <c r="MQ156" i="5"/>
  <c r="MQ157" i="5"/>
  <c r="MR157" i="5" s="1"/>
  <c r="MQ158" i="5"/>
  <c r="MS158" i="5" s="1"/>
  <c r="MQ159" i="5"/>
  <c r="NE159" i="5" s="1"/>
  <c r="MQ160" i="5"/>
  <c r="NE160" i="5" s="1"/>
  <c r="MQ161" i="5"/>
  <c r="NE161" i="5" s="1"/>
  <c r="MQ162" i="5"/>
  <c r="MS162" i="5" s="1"/>
  <c r="MQ163" i="5"/>
  <c r="MS163" i="5" s="1"/>
  <c r="MQ164" i="5"/>
  <c r="MS164" i="5" s="1"/>
  <c r="MQ165" i="5"/>
  <c r="MQ166" i="5"/>
  <c r="MR166" i="5" s="1"/>
  <c r="MQ167" i="5"/>
  <c r="NE167" i="5" s="1"/>
  <c r="MQ168" i="5"/>
  <c r="MQ169" i="5"/>
  <c r="MS169" i="5" s="1"/>
  <c r="MQ170" i="5"/>
  <c r="MS170" i="5" s="1"/>
  <c r="MQ171" i="5"/>
  <c r="MR171" i="5" s="1"/>
  <c r="MQ172" i="5"/>
  <c r="MS172" i="5" s="1"/>
  <c r="MQ173" i="5"/>
  <c r="MR173" i="5" s="1"/>
  <c r="MQ174" i="5"/>
  <c r="MR174" i="5" s="1"/>
  <c r="MQ175" i="5"/>
  <c r="MS175" i="5" s="1"/>
  <c r="MQ176" i="5"/>
  <c r="MR176" i="5" s="1"/>
  <c r="MQ177" i="5"/>
  <c r="MS177" i="5" s="1"/>
  <c r="MQ178" i="5"/>
  <c r="MS178" i="5" s="1"/>
  <c r="MQ179" i="5"/>
  <c r="MS179" i="5" s="1"/>
  <c r="MQ180" i="5"/>
  <c r="NE180" i="5" s="1"/>
  <c r="MQ181" i="5"/>
  <c r="MS181" i="5" s="1"/>
  <c r="MQ182" i="5"/>
  <c r="MS182" i="5" s="1"/>
  <c r="MQ183" i="5"/>
  <c r="MS183" i="5" s="1"/>
  <c r="MQ184" i="5"/>
  <c r="NE184" i="5" s="1"/>
  <c r="MQ185" i="5"/>
  <c r="MQ186" i="5"/>
  <c r="NE186" i="5" s="1"/>
  <c r="MQ187" i="5"/>
  <c r="MS187" i="5" s="1"/>
  <c r="MQ188" i="5"/>
  <c r="MR188" i="5" s="1"/>
  <c r="MQ189" i="5"/>
  <c r="MR189" i="5" s="1"/>
  <c r="MQ190" i="5"/>
  <c r="MS190" i="5" s="1"/>
  <c r="MQ191" i="5"/>
  <c r="MR191" i="5" s="1"/>
  <c r="MQ192" i="5"/>
  <c r="MS192" i="5" s="1"/>
  <c r="MQ193" i="5"/>
  <c r="MQ202" i="5"/>
  <c r="MS202" i="5" s="1"/>
  <c r="MQ203" i="5"/>
  <c r="MR203" i="5" s="1"/>
  <c r="MQ204" i="5"/>
  <c r="MS204" i="5" s="1"/>
  <c r="MQ205" i="5"/>
  <c r="MS205" i="5" s="1"/>
  <c r="MQ206" i="5"/>
  <c r="MR206" i="5" s="1"/>
  <c r="MQ207" i="5"/>
  <c r="MS207" i="5" s="1"/>
  <c r="MQ208" i="5"/>
  <c r="NE208" i="5" s="1"/>
  <c r="HK208" i="5" s="1"/>
  <c r="MQ209" i="5"/>
  <c r="MQ210" i="5"/>
  <c r="MQ211" i="5"/>
  <c r="MQ212" i="5"/>
  <c r="MS212" i="5" s="1"/>
  <c r="MQ213" i="5"/>
  <c r="MS213" i="5" s="1"/>
  <c r="MQ214" i="5"/>
  <c r="MS214" i="5" s="1"/>
  <c r="MQ215" i="5"/>
  <c r="NE215" i="5" s="1"/>
  <c r="HK215" i="5" s="1"/>
  <c r="HR215" i="5" s="1"/>
  <c r="MQ216" i="5"/>
  <c r="MR216" i="5" s="1"/>
  <c r="MQ217" i="5"/>
  <c r="MR217" i="5" s="1"/>
  <c r="MQ218" i="5"/>
  <c r="MS218" i="5" s="1"/>
  <c r="MQ219" i="5"/>
  <c r="NE219" i="5" s="1"/>
  <c r="HK219" i="5" s="1"/>
  <c r="HR219" i="5" s="1"/>
  <c r="MQ220" i="5"/>
  <c r="MR220" i="5" s="1"/>
  <c r="MQ221" i="5"/>
  <c r="MR221" i="5" s="1"/>
  <c r="MQ222" i="5"/>
  <c r="NE222" i="5" s="1"/>
  <c r="HK222" i="5" s="1"/>
  <c r="MQ223" i="5"/>
  <c r="MR223" i="5" s="1"/>
  <c r="MQ224" i="5"/>
  <c r="NE224" i="5" s="1"/>
  <c r="HK224" i="5" s="1"/>
  <c r="HR224" i="5" s="1"/>
  <c r="MQ225" i="5"/>
  <c r="NE225" i="5" s="1"/>
  <c r="HK225" i="5" s="1"/>
  <c r="MQ226" i="5"/>
  <c r="NE226" i="5" s="1"/>
  <c r="HK226" i="5" s="1"/>
  <c r="HR226" i="5" s="1"/>
  <c r="MQ227" i="5"/>
  <c r="MR227" i="5" s="1"/>
  <c r="MQ228" i="5"/>
  <c r="NE228" i="5" s="1"/>
  <c r="HK228" i="5" s="1"/>
  <c r="MQ229" i="5"/>
  <c r="MR229" i="5" s="1"/>
  <c r="MQ230" i="5"/>
  <c r="MS230" i="5" s="1"/>
  <c r="MQ231" i="5"/>
  <c r="NE231" i="5" s="1"/>
  <c r="HK231" i="5" s="1"/>
  <c r="MQ232" i="5"/>
  <c r="MR232" i="5" s="1"/>
  <c r="MQ233" i="5"/>
  <c r="MR233" i="5" s="1"/>
  <c r="MQ234" i="5"/>
  <c r="NE234" i="5" s="1"/>
  <c r="HK234" i="5" s="1"/>
  <c r="HR234" i="5" s="1"/>
  <c r="MQ235" i="5"/>
  <c r="MR235" i="5" s="1"/>
  <c r="MQ236" i="5"/>
  <c r="MR236" i="5" s="1"/>
  <c r="MQ237" i="5"/>
  <c r="NE237" i="5" s="1"/>
  <c r="HK237" i="5" s="1"/>
  <c r="HR237" i="5" s="1"/>
  <c r="MQ238" i="5"/>
  <c r="MR238" i="5" s="1"/>
  <c r="MQ239" i="5"/>
  <c r="MQ240" i="5"/>
  <c r="NE240" i="5" s="1"/>
  <c r="HK240" i="5" s="1"/>
  <c r="HR240" i="5" s="1"/>
  <c r="MQ241" i="5"/>
  <c r="MR241" i="5" s="1"/>
  <c r="MQ242" i="5"/>
  <c r="NE242" i="5" s="1"/>
  <c r="HK242" i="5" s="1"/>
  <c r="HR242" i="5" s="1"/>
  <c r="MQ243" i="5"/>
  <c r="NE243" i="5" s="1"/>
  <c r="HK243" i="5" s="1"/>
  <c r="HR243" i="5" s="1"/>
  <c r="MQ244" i="5"/>
  <c r="MR244" i="5" s="1"/>
  <c r="MQ245" i="5"/>
  <c r="MR245" i="5" s="1"/>
  <c r="MQ246" i="5"/>
  <c r="NE246" i="5" s="1"/>
  <c r="HK246" i="5" s="1"/>
  <c r="HR246" i="5" s="1"/>
  <c r="MQ247" i="5"/>
  <c r="MR247" i="5" s="1"/>
  <c r="MQ248" i="5"/>
  <c r="NE248" i="5" s="1"/>
  <c r="HK248" i="5" s="1"/>
  <c r="ML4" i="5"/>
  <c r="MN4" i="5"/>
  <c r="MP4" i="5" s="1"/>
  <c r="MO4" i="5"/>
  <c r="ML5" i="5"/>
  <c r="MN5" i="5"/>
  <c r="MP5" i="5" s="1"/>
  <c r="MO5" i="5"/>
  <c r="ML6" i="5"/>
  <c r="MN6" i="5"/>
  <c r="MP6" i="5" s="1"/>
  <c r="MO6" i="5"/>
  <c r="ML7" i="5"/>
  <c r="MN7" i="5"/>
  <c r="MP7" i="5" s="1"/>
  <c r="MO7" i="5"/>
  <c r="ML8" i="5"/>
  <c r="MN8" i="5"/>
  <c r="MP8" i="5" s="1"/>
  <c r="MO8" i="5"/>
  <c r="ML9" i="5"/>
  <c r="MN9" i="5"/>
  <c r="MP9" i="5" s="1"/>
  <c r="MO9" i="5"/>
  <c r="ML10" i="5"/>
  <c r="MN10" i="5"/>
  <c r="MP10" i="5" s="1"/>
  <c r="MO10" i="5"/>
  <c r="ML11" i="5"/>
  <c r="MN11" i="5"/>
  <c r="MP11" i="5" s="1"/>
  <c r="MO11" i="5"/>
  <c r="ML12" i="5"/>
  <c r="MN12" i="5"/>
  <c r="MP12" i="5" s="1"/>
  <c r="MO12" i="5"/>
  <c r="ML13" i="5"/>
  <c r="MN13" i="5"/>
  <c r="MP13" i="5" s="1"/>
  <c r="MO13" i="5"/>
  <c r="ML14" i="5"/>
  <c r="MN14" i="5"/>
  <c r="MP14" i="5" s="1"/>
  <c r="MO14" i="5"/>
  <c r="ML15" i="5"/>
  <c r="MN15" i="5"/>
  <c r="MP15" i="5" s="1"/>
  <c r="MO15" i="5"/>
  <c r="ML16" i="5"/>
  <c r="MN16" i="5"/>
  <c r="MP16" i="5" s="1"/>
  <c r="MO16" i="5"/>
  <c r="ML17" i="5"/>
  <c r="MN17" i="5"/>
  <c r="MP17" i="5" s="1"/>
  <c r="MO17" i="5"/>
  <c r="ML18" i="5"/>
  <c r="MN18" i="5"/>
  <c r="MP18" i="5" s="1"/>
  <c r="MO18" i="5"/>
  <c r="ML19" i="5"/>
  <c r="MN19" i="5"/>
  <c r="MP19" i="5" s="1"/>
  <c r="MO19" i="5"/>
  <c r="ML20" i="5"/>
  <c r="MN20" i="5"/>
  <c r="MP20" i="5" s="1"/>
  <c r="MO20" i="5"/>
  <c r="ML21" i="5"/>
  <c r="MN21" i="5"/>
  <c r="MP21" i="5" s="1"/>
  <c r="MO21" i="5"/>
  <c r="ML22" i="5"/>
  <c r="MN22" i="5"/>
  <c r="MP22" i="5" s="1"/>
  <c r="MO22" i="5"/>
  <c r="ML23" i="5"/>
  <c r="MN23" i="5"/>
  <c r="MP23" i="5" s="1"/>
  <c r="MO23" i="5"/>
  <c r="ML24" i="5"/>
  <c r="MN24" i="5"/>
  <c r="MP24" i="5" s="1"/>
  <c r="MO24" i="5"/>
  <c r="ML25" i="5"/>
  <c r="MN25" i="5"/>
  <c r="MP25" i="5" s="1"/>
  <c r="MO25" i="5"/>
  <c r="ML26" i="5"/>
  <c r="MN26" i="5"/>
  <c r="MP26" i="5" s="1"/>
  <c r="MO26" i="5"/>
  <c r="ML27" i="5"/>
  <c r="MN27" i="5"/>
  <c r="MP27" i="5" s="1"/>
  <c r="MO27" i="5"/>
  <c r="ML28" i="5"/>
  <c r="MN28" i="5"/>
  <c r="MP28" i="5" s="1"/>
  <c r="MO28" i="5"/>
  <c r="ML29" i="5"/>
  <c r="MN29" i="5"/>
  <c r="MP29" i="5" s="1"/>
  <c r="MO29" i="5"/>
  <c r="ML30" i="5"/>
  <c r="MN30" i="5"/>
  <c r="MP30" i="5" s="1"/>
  <c r="MO30" i="5"/>
  <c r="ML31" i="5"/>
  <c r="MN31" i="5"/>
  <c r="MP31" i="5" s="1"/>
  <c r="MO31" i="5"/>
  <c r="ML32" i="5"/>
  <c r="MN32" i="5"/>
  <c r="MP32" i="5" s="1"/>
  <c r="MO32" i="5"/>
  <c r="ML33" i="5"/>
  <c r="MN33" i="5"/>
  <c r="MP33" i="5" s="1"/>
  <c r="MO33" i="5"/>
  <c r="ML34" i="5"/>
  <c r="MN34" i="5"/>
  <c r="MP34" i="5" s="1"/>
  <c r="MO34" i="5"/>
  <c r="ML35" i="5"/>
  <c r="MN35" i="5"/>
  <c r="MP35" i="5" s="1"/>
  <c r="MO35" i="5"/>
  <c r="ML36" i="5"/>
  <c r="MN36" i="5"/>
  <c r="MP36" i="5" s="1"/>
  <c r="MO36" i="5"/>
  <c r="ML37" i="5"/>
  <c r="MN37" i="5"/>
  <c r="MP37" i="5" s="1"/>
  <c r="MO37" i="5"/>
  <c r="ML38" i="5"/>
  <c r="MN38" i="5"/>
  <c r="MP38" i="5" s="1"/>
  <c r="MO38" i="5"/>
  <c r="ML39" i="5"/>
  <c r="MN39" i="5"/>
  <c r="MP39" i="5" s="1"/>
  <c r="MO39" i="5"/>
  <c r="ML40" i="5"/>
  <c r="MN40" i="5"/>
  <c r="MP40" i="5" s="1"/>
  <c r="MO40" i="5"/>
  <c r="ML41" i="5"/>
  <c r="MN41" i="5"/>
  <c r="MP41" i="5" s="1"/>
  <c r="MO41" i="5"/>
  <c r="ML42" i="5"/>
  <c r="MN42" i="5"/>
  <c r="MP42" i="5" s="1"/>
  <c r="MO42" i="5"/>
  <c r="ML43" i="5"/>
  <c r="MN43" i="5"/>
  <c r="MP43" i="5" s="1"/>
  <c r="MO43" i="5"/>
  <c r="ML44" i="5"/>
  <c r="MN44" i="5"/>
  <c r="MP44" i="5" s="1"/>
  <c r="MO44" i="5"/>
  <c r="ML45" i="5"/>
  <c r="MN45" i="5"/>
  <c r="MP45" i="5" s="1"/>
  <c r="MO45" i="5"/>
  <c r="ML46" i="5"/>
  <c r="MN46" i="5"/>
  <c r="MP46" i="5" s="1"/>
  <c r="MO46" i="5"/>
  <c r="ML47" i="5"/>
  <c r="MN47" i="5"/>
  <c r="MP47" i="5" s="1"/>
  <c r="MO47" i="5"/>
  <c r="ML48" i="5"/>
  <c r="MN48" i="5"/>
  <c r="MP48" i="5" s="1"/>
  <c r="MO48" i="5"/>
  <c r="ML49" i="5"/>
  <c r="MN49" i="5"/>
  <c r="MP49" i="5" s="1"/>
  <c r="MO49" i="5"/>
  <c r="ML50" i="5"/>
  <c r="MN50" i="5"/>
  <c r="MP50" i="5" s="1"/>
  <c r="MO50" i="5"/>
  <c r="ML51" i="5"/>
  <c r="MN51" i="5"/>
  <c r="MP51" i="5" s="1"/>
  <c r="MO51" i="5"/>
  <c r="ML52" i="5"/>
  <c r="MN52" i="5"/>
  <c r="MP52" i="5" s="1"/>
  <c r="MO52" i="5"/>
  <c r="ML53" i="5"/>
  <c r="MN53" i="5"/>
  <c r="MP53" i="5" s="1"/>
  <c r="MO53" i="5"/>
  <c r="ML54" i="5"/>
  <c r="MN54" i="5"/>
  <c r="MP54" i="5" s="1"/>
  <c r="MO54" i="5"/>
  <c r="ML55" i="5"/>
  <c r="MN55" i="5"/>
  <c r="MP55" i="5" s="1"/>
  <c r="MO55" i="5"/>
  <c r="ML56" i="5"/>
  <c r="MN56" i="5"/>
  <c r="MP56" i="5" s="1"/>
  <c r="MO56" i="5"/>
  <c r="ML57" i="5"/>
  <c r="MN57" i="5"/>
  <c r="MP57" i="5" s="1"/>
  <c r="MO57" i="5"/>
  <c r="ML58" i="5"/>
  <c r="MN58" i="5"/>
  <c r="MP58" i="5" s="1"/>
  <c r="MO58" i="5"/>
  <c r="ML59" i="5"/>
  <c r="MN59" i="5"/>
  <c r="MP59" i="5" s="1"/>
  <c r="MO59" i="5"/>
  <c r="ML60" i="5"/>
  <c r="MN60" i="5"/>
  <c r="MP60" i="5" s="1"/>
  <c r="MO60" i="5"/>
  <c r="ML61" i="5"/>
  <c r="MN61" i="5"/>
  <c r="MP61" i="5" s="1"/>
  <c r="MO61" i="5"/>
  <c r="ML62" i="5"/>
  <c r="MN62" i="5"/>
  <c r="MP62" i="5" s="1"/>
  <c r="MO62" i="5"/>
  <c r="ML63" i="5"/>
  <c r="MN63" i="5"/>
  <c r="MP63" i="5" s="1"/>
  <c r="MO63" i="5"/>
  <c r="ML64" i="5"/>
  <c r="MN64" i="5"/>
  <c r="MP64" i="5" s="1"/>
  <c r="MO64" i="5"/>
  <c r="ML65" i="5"/>
  <c r="MN65" i="5"/>
  <c r="MP65" i="5" s="1"/>
  <c r="MO65" i="5"/>
  <c r="ML66" i="5"/>
  <c r="MN66" i="5"/>
  <c r="MP66" i="5" s="1"/>
  <c r="MO66" i="5"/>
  <c r="ML67" i="5"/>
  <c r="MN67" i="5"/>
  <c r="MP67" i="5" s="1"/>
  <c r="MO67" i="5"/>
  <c r="ML68" i="5"/>
  <c r="MN68" i="5"/>
  <c r="MP68" i="5" s="1"/>
  <c r="MO68" i="5"/>
  <c r="ML69" i="5"/>
  <c r="MN69" i="5"/>
  <c r="MP69" i="5" s="1"/>
  <c r="MO69" i="5"/>
  <c r="ML70" i="5"/>
  <c r="MN70" i="5"/>
  <c r="MP70" i="5" s="1"/>
  <c r="MO70" i="5"/>
  <c r="ML71" i="5"/>
  <c r="MN71" i="5"/>
  <c r="MP71" i="5" s="1"/>
  <c r="MO71" i="5"/>
  <c r="ML72" i="5"/>
  <c r="MN72" i="5"/>
  <c r="MP72" i="5" s="1"/>
  <c r="MO72" i="5"/>
  <c r="ML73" i="5"/>
  <c r="MN73" i="5"/>
  <c r="MP73" i="5" s="1"/>
  <c r="MO73" i="5"/>
  <c r="ML74" i="5"/>
  <c r="MN74" i="5"/>
  <c r="MP74" i="5" s="1"/>
  <c r="MO74" i="5"/>
  <c r="ML75" i="5"/>
  <c r="MN75" i="5"/>
  <c r="MP75" i="5" s="1"/>
  <c r="MO75" i="5"/>
  <c r="ML76" i="5"/>
  <c r="MN76" i="5"/>
  <c r="MP76" i="5" s="1"/>
  <c r="MO76" i="5"/>
  <c r="ML77" i="5"/>
  <c r="MN77" i="5"/>
  <c r="MP77" i="5" s="1"/>
  <c r="MO77" i="5"/>
  <c r="ML78" i="5"/>
  <c r="MN78" i="5"/>
  <c r="MP78" i="5" s="1"/>
  <c r="MO78" i="5"/>
  <c r="ML79" i="5"/>
  <c r="MN79" i="5"/>
  <c r="MP79" i="5" s="1"/>
  <c r="MO79" i="5"/>
  <c r="ML80" i="5"/>
  <c r="MN80" i="5"/>
  <c r="MP80" i="5" s="1"/>
  <c r="MO80" i="5"/>
  <c r="ML81" i="5"/>
  <c r="MN81" i="5"/>
  <c r="MP81" i="5" s="1"/>
  <c r="MO81" i="5"/>
  <c r="ML82" i="5"/>
  <c r="MN82" i="5"/>
  <c r="MP82" i="5" s="1"/>
  <c r="MO82" i="5"/>
  <c r="ML83" i="5"/>
  <c r="MN83" i="5"/>
  <c r="MP83" i="5" s="1"/>
  <c r="MO83" i="5"/>
  <c r="ML84" i="5"/>
  <c r="MN84" i="5"/>
  <c r="MP84" i="5" s="1"/>
  <c r="MO84" i="5"/>
  <c r="ML85" i="5"/>
  <c r="MN85" i="5"/>
  <c r="MP85" i="5" s="1"/>
  <c r="MO85" i="5"/>
  <c r="ML86" i="5"/>
  <c r="MN86" i="5"/>
  <c r="MP86" i="5" s="1"/>
  <c r="MO86" i="5"/>
  <c r="ML87" i="5"/>
  <c r="MN87" i="5"/>
  <c r="MP87" i="5" s="1"/>
  <c r="MO87" i="5"/>
  <c r="ML88" i="5"/>
  <c r="MN88" i="5"/>
  <c r="MP88" i="5" s="1"/>
  <c r="MO88" i="5"/>
  <c r="ML89" i="5"/>
  <c r="MN89" i="5"/>
  <c r="MP89" i="5" s="1"/>
  <c r="MO89" i="5"/>
  <c r="ML90" i="5"/>
  <c r="MN90" i="5"/>
  <c r="MP90" i="5" s="1"/>
  <c r="MO90" i="5"/>
  <c r="ML91" i="5"/>
  <c r="MN91" i="5"/>
  <c r="MP91" i="5" s="1"/>
  <c r="MO91" i="5"/>
  <c r="ML92" i="5"/>
  <c r="MN92" i="5"/>
  <c r="MP92" i="5" s="1"/>
  <c r="MO92" i="5"/>
  <c r="ML93" i="5"/>
  <c r="MN93" i="5"/>
  <c r="MP93" i="5" s="1"/>
  <c r="MO93" i="5"/>
  <c r="ML94" i="5"/>
  <c r="MN94" i="5"/>
  <c r="MP94" i="5" s="1"/>
  <c r="MO94" i="5"/>
  <c r="ML95" i="5"/>
  <c r="MN95" i="5"/>
  <c r="MP95" i="5" s="1"/>
  <c r="MO95" i="5"/>
  <c r="ML96" i="5"/>
  <c r="MN96" i="5"/>
  <c r="MP96" i="5" s="1"/>
  <c r="MO96" i="5"/>
  <c r="ML97" i="5"/>
  <c r="MN97" i="5"/>
  <c r="MP97" i="5" s="1"/>
  <c r="MO97" i="5"/>
  <c r="ML98" i="5"/>
  <c r="MN98" i="5"/>
  <c r="MP98" i="5" s="1"/>
  <c r="MO98" i="5"/>
  <c r="ML99" i="5"/>
  <c r="MN99" i="5"/>
  <c r="MP99" i="5" s="1"/>
  <c r="MO99" i="5"/>
  <c r="ML100" i="5"/>
  <c r="MN100" i="5"/>
  <c r="MP100" i="5" s="1"/>
  <c r="MO100" i="5"/>
  <c r="ML101" i="5"/>
  <c r="MN101" i="5"/>
  <c r="MP101" i="5" s="1"/>
  <c r="MO101" i="5"/>
  <c r="ML102" i="5"/>
  <c r="MN102" i="5"/>
  <c r="MP102" i="5" s="1"/>
  <c r="MO102" i="5"/>
  <c r="ML103" i="5"/>
  <c r="MN103" i="5"/>
  <c r="MP103" i="5" s="1"/>
  <c r="MO103" i="5"/>
  <c r="ML104" i="5"/>
  <c r="MN104" i="5"/>
  <c r="MP104" i="5" s="1"/>
  <c r="MO104" i="5"/>
  <c r="ML105" i="5"/>
  <c r="MN105" i="5"/>
  <c r="MP105" i="5" s="1"/>
  <c r="MO105" i="5"/>
  <c r="ML106" i="5"/>
  <c r="MN106" i="5"/>
  <c r="MP106" i="5" s="1"/>
  <c r="MO106" i="5"/>
  <c r="ML107" i="5"/>
  <c r="MN107" i="5"/>
  <c r="MP107" i="5" s="1"/>
  <c r="MO107" i="5"/>
  <c r="ML108" i="5"/>
  <c r="MN108" i="5"/>
  <c r="MP108" i="5" s="1"/>
  <c r="MO108" i="5"/>
  <c r="ML109" i="5"/>
  <c r="MN109" i="5"/>
  <c r="MP109" i="5" s="1"/>
  <c r="MO109" i="5"/>
  <c r="ML110" i="5"/>
  <c r="MN110" i="5"/>
  <c r="MP110" i="5" s="1"/>
  <c r="MO110" i="5"/>
  <c r="ML111" i="5"/>
  <c r="MN111" i="5"/>
  <c r="MP111" i="5" s="1"/>
  <c r="MO111" i="5"/>
  <c r="ML112" i="5"/>
  <c r="MN112" i="5"/>
  <c r="MP112" i="5" s="1"/>
  <c r="MO112" i="5"/>
  <c r="ML113" i="5"/>
  <c r="MN113" i="5"/>
  <c r="MP113" i="5" s="1"/>
  <c r="MO113" i="5"/>
  <c r="ML114" i="5"/>
  <c r="MN114" i="5"/>
  <c r="MP114" i="5" s="1"/>
  <c r="MO114" i="5"/>
  <c r="ML115" i="5"/>
  <c r="MN115" i="5"/>
  <c r="MP115" i="5" s="1"/>
  <c r="MO115" i="5"/>
  <c r="ML116" i="5"/>
  <c r="MN116" i="5"/>
  <c r="MP116" i="5" s="1"/>
  <c r="MO116" i="5"/>
  <c r="ML117" i="5"/>
  <c r="MN117" i="5"/>
  <c r="MP117" i="5" s="1"/>
  <c r="MO117" i="5"/>
  <c r="ML118" i="5"/>
  <c r="MN118" i="5"/>
  <c r="MP118" i="5" s="1"/>
  <c r="MO118" i="5"/>
  <c r="ML119" i="5"/>
  <c r="MN119" i="5"/>
  <c r="MP119" i="5" s="1"/>
  <c r="MO119" i="5"/>
  <c r="ML120" i="5"/>
  <c r="MN120" i="5"/>
  <c r="MP120" i="5" s="1"/>
  <c r="MO120" i="5"/>
  <c r="ML121" i="5"/>
  <c r="MN121" i="5"/>
  <c r="MP121" i="5" s="1"/>
  <c r="MO121" i="5"/>
  <c r="ML122" i="5"/>
  <c r="MN122" i="5"/>
  <c r="MP122" i="5" s="1"/>
  <c r="MO122" i="5"/>
  <c r="ML123" i="5"/>
  <c r="MN123" i="5"/>
  <c r="MP123" i="5" s="1"/>
  <c r="MO123" i="5"/>
  <c r="ML124" i="5"/>
  <c r="MN124" i="5"/>
  <c r="MP124" i="5" s="1"/>
  <c r="MO124" i="5"/>
  <c r="ML125" i="5"/>
  <c r="MN125" i="5"/>
  <c r="MP125" i="5" s="1"/>
  <c r="MO125" i="5"/>
  <c r="ML126" i="5"/>
  <c r="MN126" i="5"/>
  <c r="MP126" i="5" s="1"/>
  <c r="MO126" i="5"/>
  <c r="ML127" i="5"/>
  <c r="MN127" i="5"/>
  <c r="MP127" i="5" s="1"/>
  <c r="MO127" i="5"/>
  <c r="ML128" i="5"/>
  <c r="MN128" i="5"/>
  <c r="MP128" i="5" s="1"/>
  <c r="MO128" i="5"/>
  <c r="ML129" i="5"/>
  <c r="MN129" i="5"/>
  <c r="MP129" i="5" s="1"/>
  <c r="MO129" i="5"/>
  <c r="ML130" i="5"/>
  <c r="MN130" i="5"/>
  <c r="MP130" i="5" s="1"/>
  <c r="MO130" i="5"/>
  <c r="ML131" i="5"/>
  <c r="MN131" i="5"/>
  <c r="MP131" i="5" s="1"/>
  <c r="MO131" i="5"/>
  <c r="ML132" i="5"/>
  <c r="MN132" i="5"/>
  <c r="MP132" i="5" s="1"/>
  <c r="MO132" i="5"/>
  <c r="ML133" i="5"/>
  <c r="MN133" i="5"/>
  <c r="MP133" i="5" s="1"/>
  <c r="MO133" i="5"/>
  <c r="ML134" i="5"/>
  <c r="MN134" i="5"/>
  <c r="MP134" i="5" s="1"/>
  <c r="MO134" i="5"/>
  <c r="ML135" i="5"/>
  <c r="MN135" i="5"/>
  <c r="MP135" i="5" s="1"/>
  <c r="MO135" i="5"/>
  <c r="ML136" i="5"/>
  <c r="MN136" i="5"/>
  <c r="MP136" i="5" s="1"/>
  <c r="MO136" i="5"/>
  <c r="ML137" i="5"/>
  <c r="MN137" i="5"/>
  <c r="MP137" i="5" s="1"/>
  <c r="MO137" i="5"/>
  <c r="ML138" i="5"/>
  <c r="MN138" i="5"/>
  <c r="MP138" i="5" s="1"/>
  <c r="MO138" i="5"/>
  <c r="ML139" i="5"/>
  <c r="MN139" i="5"/>
  <c r="MP139" i="5" s="1"/>
  <c r="MO139" i="5"/>
  <c r="ML140" i="5"/>
  <c r="MN140" i="5"/>
  <c r="MP140" i="5" s="1"/>
  <c r="MO140" i="5"/>
  <c r="ML141" i="5"/>
  <c r="MN141" i="5"/>
  <c r="MP141" i="5" s="1"/>
  <c r="MO141" i="5"/>
  <c r="ML142" i="5"/>
  <c r="MN142" i="5"/>
  <c r="MP142" i="5" s="1"/>
  <c r="MO142" i="5"/>
  <c r="ML143" i="5"/>
  <c r="MN143" i="5"/>
  <c r="MP143" i="5" s="1"/>
  <c r="MO143" i="5"/>
  <c r="ML144" i="5"/>
  <c r="MN144" i="5"/>
  <c r="MP144" i="5" s="1"/>
  <c r="MO144" i="5"/>
  <c r="ML145" i="5"/>
  <c r="MN145" i="5"/>
  <c r="MP145" i="5" s="1"/>
  <c r="MO145" i="5"/>
  <c r="ML146" i="5"/>
  <c r="MN146" i="5"/>
  <c r="MP146" i="5" s="1"/>
  <c r="MO146" i="5"/>
  <c r="ML147" i="5"/>
  <c r="MN147" i="5"/>
  <c r="MP147" i="5" s="1"/>
  <c r="MO147" i="5"/>
  <c r="ML148" i="5"/>
  <c r="MN148" i="5"/>
  <c r="MP148" i="5" s="1"/>
  <c r="MO148" i="5"/>
  <c r="ML149" i="5"/>
  <c r="MN149" i="5"/>
  <c r="MP149" i="5" s="1"/>
  <c r="MO149" i="5"/>
  <c r="ML150" i="5"/>
  <c r="MN150" i="5"/>
  <c r="MP150" i="5" s="1"/>
  <c r="MO150" i="5"/>
  <c r="ML151" i="5"/>
  <c r="MN151" i="5"/>
  <c r="MP151" i="5" s="1"/>
  <c r="MO151" i="5"/>
  <c r="ML152" i="5"/>
  <c r="MN152" i="5"/>
  <c r="MP152" i="5" s="1"/>
  <c r="MO152" i="5"/>
  <c r="ML153" i="5"/>
  <c r="MN153" i="5"/>
  <c r="MP153" i="5" s="1"/>
  <c r="MO153" i="5"/>
  <c r="ML154" i="5"/>
  <c r="MN154" i="5"/>
  <c r="MP154" i="5" s="1"/>
  <c r="MO154" i="5"/>
  <c r="ML155" i="5"/>
  <c r="MN155" i="5"/>
  <c r="MP155" i="5" s="1"/>
  <c r="MO155" i="5"/>
  <c r="ML156" i="5"/>
  <c r="MN156" i="5"/>
  <c r="MP156" i="5" s="1"/>
  <c r="MO156" i="5"/>
  <c r="ML157" i="5"/>
  <c r="MN157" i="5"/>
  <c r="MP157" i="5" s="1"/>
  <c r="MO157" i="5"/>
  <c r="ML158" i="5"/>
  <c r="MN158" i="5"/>
  <c r="MP158" i="5" s="1"/>
  <c r="MO158" i="5"/>
  <c r="ML159" i="5"/>
  <c r="MN159" i="5"/>
  <c r="MP159" i="5" s="1"/>
  <c r="MO159" i="5"/>
  <c r="ML160" i="5"/>
  <c r="MN160" i="5"/>
  <c r="MP160" i="5" s="1"/>
  <c r="MO160" i="5"/>
  <c r="ML161" i="5"/>
  <c r="MN161" i="5"/>
  <c r="MP161" i="5" s="1"/>
  <c r="MO161" i="5"/>
  <c r="ML162" i="5"/>
  <c r="MN162" i="5"/>
  <c r="MP162" i="5" s="1"/>
  <c r="MO162" i="5"/>
  <c r="ML163" i="5"/>
  <c r="MN163" i="5"/>
  <c r="MP163" i="5" s="1"/>
  <c r="MO163" i="5"/>
  <c r="ML164" i="5"/>
  <c r="MN164" i="5"/>
  <c r="MP164" i="5" s="1"/>
  <c r="MO164" i="5"/>
  <c r="ML165" i="5"/>
  <c r="MN165" i="5"/>
  <c r="MP165" i="5" s="1"/>
  <c r="MO165" i="5"/>
  <c r="ML166" i="5"/>
  <c r="MN166" i="5"/>
  <c r="MP166" i="5" s="1"/>
  <c r="MO166" i="5"/>
  <c r="ML167" i="5"/>
  <c r="MN167" i="5"/>
  <c r="MP167" i="5" s="1"/>
  <c r="MO167" i="5"/>
  <c r="ML168" i="5"/>
  <c r="MN168" i="5"/>
  <c r="MP168" i="5" s="1"/>
  <c r="MO168" i="5"/>
  <c r="ML169" i="5"/>
  <c r="MN169" i="5"/>
  <c r="MP169" i="5" s="1"/>
  <c r="MO169" i="5"/>
  <c r="ML170" i="5"/>
  <c r="MN170" i="5"/>
  <c r="MP170" i="5" s="1"/>
  <c r="MO170" i="5"/>
  <c r="ML171" i="5"/>
  <c r="MN171" i="5"/>
  <c r="MP171" i="5" s="1"/>
  <c r="MO171" i="5"/>
  <c r="ML172" i="5"/>
  <c r="MN172" i="5"/>
  <c r="MP172" i="5" s="1"/>
  <c r="MO172" i="5"/>
  <c r="ML173" i="5"/>
  <c r="MN173" i="5"/>
  <c r="MP173" i="5" s="1"/>
  <c r="MO173" i="5"/>
  <c r="ML174" i="5"/>
  <c r="MN174" i="5"/>
  <c r="MP174" i="5" s="1"/>
  <c r="MO174" i="5"/>
  <c r="ML175" i="5"/>
  <c r="MN175" i="5"/>
  <c r="MP175" i="5" s="1"/>
  <c r="MO175" i="5"/>
  <c r="ML176" i="5"/>
  <c r="MN176" i="5"/>
  <c r="MP176" i="5" s="1"/>
  <c r="MO176" i="5"/>
  <c r="ML177" i="5"/>
  <c r="MN177" i="5"/>
  <c r="MP177" i="5" s="1"/>
  <c r="MO177" i="5"/>
  <c r="ML178" i="5"/>
  <c r="MN178" i="5"/>
  <c r="MP178" i="5" s="1"/>
  <c r="MO178" i="5"/>
  <c r="ML179" i="5"/>
  <c r="MN179" i="5"/>
  <c r="MP179" i="5" s="1"/>
  <c r="MO179" i="5"/>
  <c r="ML180" i="5"/>
  <c r="MN180" i="5"/>
  <c r="MP180" i="5" s="1"/>
  <c r="MO180" i="5"/>
  <c r="ML181" i="5"/>
  <c r="MN181" i="5"/>
  <c r="MP181" i="5" s="1"/>
  <c r="MO181" i="5"/>
  <c r="ML182" i="5"/>
  <c r="MN182" i="5"/>
  <c r="MP182" i="5" s="1"/>
  <c r="MO182" i="5"/>
  <c r="ML183" i="5"/>
  <c r="MN183" i="5"/>
  <c r="MP183" i="5" s="1"/>
  <c r="MO183" i="5"/>
  <c r="ML184" i="5"/>
  <c r="MN184" i="5"/>
  <c r="MP184" i="5" s="1"/>
  <c r="MO184" i="5"/>
  <c r="ML185" i="5"/>
  <c r="MN185" i="5"/>
  <c r="MP185" i="5" s="1"/>
  <c r="MO185" i="5"/>
  <c r="ML186" i="5"/>
  <c r="MN186" i="5"/>
  <c r="MP186" i="5" s="1"/>
  <c r="MO186" i="5"/>
  <c r="ML187" i="5"/>
  <c r="MN187" i="5"/>
  <c r="MP187" i="5" s="1"/>
  <c r="MO187" i="5"/>
  <c r="ML188" i="5"/>
  <c r="MN188" i="5"/>
  <c r="MP188" i="5" s="1"/>
  <c r="MO188" i="5"/>
  <c r="ML189" i="5"/>
  <c r="MN189" i="5"/>
  <c r="MP189" i="5" s="1"/>
  <c r="MO189" i="5"/>
  <c r="ML190" i="5"/>
  <c r="MN190" i="5"/>
  <c r="MP190" i="5" s="1"/>
  <c r="MO190" i="5"/>
  <c r="ML191" i="5"/>
  <c r="MN191" i="5"/>
  <c r="MP191" i="5" s="1"/>
  <c r="MO191" i="5"/>
  <c r="ML192" i="5"/>
  <c r="MN192" i="5"/>
  <c r="MP192" i="5" s="1"/>
  <c r="MO192" i="5"/>
  <c r="ML193" i="5"/>
  <c r="MN193" i="5"/>
  <c r="MP193" i="5" s="1"/>
  <c r="MO193" i="5"/>
  <c r="ML202" i="5"/>
  <c r="MN202" i="5"/>
  <c r="MP202" i="5" s="1"/>
  <c r="MO202" i="5"/>
  <c r="ML203" i="5"/>
  <c r="MN203" i="5"/>
  <c r="MP203" i="5" s="1"/>
  <c r="MO203" i="5"/>
  <c r="ML204" i="5"/>
  <c r="MN204" i="5"/>
  <c r="MP204" i="5" s="1"/>
  <c r="MO204" i="5"/>
  <c r="ML205" i="5"/>
  <c r="MN205" i="5"/>
  <c r="MP205" i="5" s="1"/>
  <c r="MO205" i="5"/>
  <c r="ML206" i="5"/>
  <c r="MN206" i="5"/>
  <c r="MP206" i="5" s="1"/>
  <c r="MO206" i="5"/>
  <c r="ML207" i="5"/>
  <c r="MN207" i="5"/>
  <c r="MP207" i="5" s="1"/>
  <c r="MO207" i="5"/>
  <c r="ML208" i="5"/>
  <c r="MN208" i="5"/>
  <c r="MP208" i="5" s="1"/>
  <c r="MO208" i="5"/>
  <c r="ML209" i="5"/>
  <c r="MN209" i="5"/>
  <c r="MP209" i="5" s="1"/>
  <c r="MO209" i="5"/>
  <c r="ML210" i="5"/>
  <c r="MN210" i="5"/>
  <c r="MP210" i="5" s="1"/>
  <c r="MO210" i="5"/>
  <c r="ML211" i="5"/>
  <c r="MN211" i="5"/>
  <c r="MP211" i="5" s="1"/>
  <c r="MO211" i="5"/>
  <c r="ML212" i="5"/>
  <c r="MN212" i="5"/>
  <c r="MP212" i="5" s="1"/>
  <c r="MO212" i="5"/>
  <c r="ML213" i="5"/>
  <c r="MN213" i="5"/>
  <c r="MP213" i="5" s="1"/>
  <c r="MO213" i="5"/>
  <c r="ML214" i="5"/>
  <c r="MN214" i="5"/>
  <c r="MP214" i="5" s="1"/>
  <c r="MO214" i="5"/>
  <c r="ML215" i="5"/>
  <c r="MN215" i="5"/>
  <c r="MP215" i="5" s="1"/>
  <c r="MO215" i="5"/>
  <c r="ML216" i="5"/>
  <c r="MN216" i="5"/>
  <c r="MP216" i="5" s="1"/>
  <c r="MO216" i="5"/>
  <c r="ML217" i="5"/>
  <c r="MN217" i="5"/>
  <c r="MP217" i="5" s="1"/>
  <c r="MO217" i="5"/>
  <c r="ML218" i="5"/>
  <c r="MN218" i="5"/>
  <c r="MP218" i="5" s="1"/>
  <c r="MO218" i="5"/>
  <c r="ML219" i="5"/>
  <c r="MN219" i="5"/>
  <c r="MP219" i="5" s="1"/>
  <c r="MO219" i="5"/>
  <c r="ML220" i="5"/>
  <c r="MN220" i="5"/>
  <c r="MP220" i="5" s="1"/>
  <c r="MO220" i="5"/>
  <c r="ML221" i="5"/>
  <c r="MN221" i="5"/>
  <c r="MP221" i="5" s="1"/>
  <c r="MO221" i="5"/>
  <c r="ML222" i="5"/>
  <c r="MN222" i="5"/>
  <c r="MP222" i="5" s="1"/>
  <c r="MO222" i="5"/>
  <c r="ML223" i="5"/>
  <c r="MN223" i="5"/>
  <c r="MP223" i="5" s="1"/>
  <c r="MO223" i="5"/>
  <c r="ML224" i="5"/>
  <c r="MN224" i="5"/>
  <c r="MP224" i="5" s="1"/>
  <c r="MO224" i="5"/>
  <c r="ML225" i="5"/>
  <c r="MN225" i="5"/>
  <c r="MP225" i="5" s="1"/>
  <c r="MO225" i="5"/>
  <c r="ML226" i="5"/>
  <c r="MN226" i="5"/>
  <c r="MP226" i="5" s="1"/>
  <c r="MO226" i="5"/>
  <c r="ML227" i="5"/>
  <c r="MN227" i="5"/>
  <c r="MP227" i="5" s="1"/>
  <c r="MO227" i="5"/>
  <c r="ML228" i="5"/>
  <c r="MN228" i="5"/>
  <c r="MP228" i="5" s="1"/>
  <c r="MO228" i="5"/>
  <c r="ML229" i="5"/>
  <c r="MN229" i="5"/>
  <c r="MP229" i="5" s="1"/>
  <c r="MO229" i="5"/>
  <c r="ML230" i="5"/>
  <c r="MN230" i="5"/>
  <c r="MP230" i="5" s="1"/>
  <c r="MO230" i="5"/>
  <c r="ML231" i="5"/>
  <c r="MN231" i="5"/>
  <c r="MP231" i="5" s="1"/>
  <c r="MO231" i="5"/>
  <c r="ML232" i="5"/>
  <c r="MN232" i="5"/>
  <c r="MP232" i="5" s="1"/>
  <c r="MO232" i="5"/>
  <c r="ML233" i="5"/>
  <c r="MN233" i="5"/>
  <c r="MP233" i="5" s="1"/>
  <c r="MO233" i="5"/>
  <c r="ML234" i="5"/>
  <c r="MN234" i="5"/>
  <c r="MP234" i="5" s="1"/>
  <c r="MO234" i="5"/>
  <c r="ML235" i="5"/>
  <c r="MN235" i="5"/>
  <c r="MP235" i="5" s="1"/>
  <c r="MO235" i="5"/>
  <c r="ML236" i="5"/>
  <c r="MN236" i="5"/>
  <c r="MP236" i="5" s="1"/>
  <c r="MO236" i="5"/>
  <c r="ML237" i="5"/>
  <c r="MN237" i="5"/>
  <c r="MP237" i="5" s="1"/>
  <c r="MO237" i="5"/>
  <c r="ML238" i="5"/>
  <c r="MN238" i="5"/>
  <c r="MP238" i="5" s="1"/>
  <c r="MO238" i="5"/>
  <c r="ML239" i="5"/>
  <c r="MN239" i="5"/>
  <c r="MP239" i="5" s="1"/>
  <c r="MO239" i="5"/>
  <c r="ML240" i="5"/>
  <c r="MN240" i="5"/>
  <c r="MP240" i="5" s="1"/>
  <c r="MO240" i="5"/>
  <c r="ML241" i="5"/>
  <c r="MN241" i="5"/>
  <c r="MP241" i="5" s="1"/>
  <c r="MO241" i="5"/>
  <c r="ML242" i="5"/>
  <c r="MN242" i="5"/>
  <c r="MP242" i="5" s="1"/>
  <c r="MO242" i="5"/>
  <c r="ML243" i="5"/>
  <c r="MN243" i="5"/>
  <c r="MP243" i="5" s="1"/>
  <c r="MO243" i="5"/>
  <c r="ML244" i="5"/>
  <c r="MN244" i="5"/>
  <c r="MP244" i="5" s="1"/>
  <c r="MO244" i="5"/>
  <c r="ML245" i="5"/>
  <c r="MN245" i="5"/>
  <c r="MP245" i="5" s="1"/>
  <c r="MO245" i="5"/>
  <c r="ML246" i="5"/>
  <c r="MN246" i="5"/>
  <c r="MP246" i="5" s="1"/>
  <c r="MO246" i="5"/>
  <c r="ML247" i="5"/>
  <c r="MN247" i="5"/>
  <c r="MP247" i="5" s="1"/>
  <c r="MO247" i="5"/>
  <c r="ML248" i="5"/>
  <c r="MN248" i="5"/>
  <c r="MP248" i="5" s="1"/>
  <c r="MO248" i="5"/>
  <c r="MH4" i="5"/>
  <c r="MK4" i="5"/>
  <c r="MH5" i="5"/>
  <c r="MK5" i="5"/>
  <c r="MH6" i="5"/>
  <c r="MK6" i="5"/>
  <c r="MH7" i="5"/>
  <c r="MK7" i="5"/>
  <c r="MH8" i="5"/>
  <c r="MK8" i="5"/>
  <c r="MH9" i="5"/>
  <c r="MK9" i="5"/>
  <c r="MH10" i="5"/>
  <c r="MK10" i="5"/>
  <c r="MH11" i="5"/>
  <c r="MK11" i="5"/>
  <c r="MH12" i="5"/>
  <c r="MK12" i="5"/>
  <c r="MH13" i="5"/>
  <c r="MK13" i="5"/>
  <c r="MH14" i="5"/>
  <c r="MK14" i="5"/>
  <c r="MH15" i="5"/>
  <c r="MK15" i="5"/>
  <c r="MH16" i="5"/>
  <c r="MK16" i="5"/>
  <c r="MH17" i="5"/>
  <c r="MK17" i="5"/>
  <c r="MH18" i="5"/>
  <c r="MK18" i="5"/>
  <c r="MH19" i="5"/>
  <c r="MK19" i="5"/>
  <c r="MH20" i="5"/>
  <c r="MK20" i="5"/>
  <c r="MH21" i="5"/>
  <c r="MK21" i="5"/>
  <c r="MH22" i="5"/>
  <c r="MK22" i="5"/>
  <c r="MH23" i="5"/>
  <c r="MK23" i="5"/>
  <c r="MH24" i="5"/>
  <c r="MK24" i="5"/>
  <c r="MH25" i="5"/>
  <c r="MK25" i="5"/>
  <c r="MH26" i="5"/>
  <c r="MK26" i="5"/>
  <c r="MH27" i="5"/>
  <c r="MK27" i="5"/>
  <c r="MH28" i="5"/>
  <c r="MK28" i="5"/>
  <c r="MH29" i="5"/>
  <c r="MK29" i="5"/>
  <c r="MH30" i="5"/>
  <c r="MK30" i="5"/>
  <c r="MH31" i="5"/>
  <c r="MK31" i="5"/>
  <c r="MH32" i="5"/>
  <c r="MK32" i="5"/>
  <c r="MH33" i="5"/>
  <c r="MK33" i="5"/>
  <c r="MH34" i="5"/>
  <c r="MK34" i="5"/>
  <c r="MH35" i="5"/>
  <c r="MK35" i="5"/>
  <c r="MH36" i="5"/>
  <c r="MK36" i="5"/>
  <c r="MH37" i="5"/>
  <c r="MK37" i="5"/>
  <c r="MH38" i="5"/>
  <c r="MK38" i="5"/>
  <c r="MH39" i="5"/>
  <c r="MK39" i="5"/>
  <c r="MH40" i="5"/>
  <c r="MK40" i="5"/>
  <c r="MH41" i="5"/>
  <c r="MK41" i="5"/>
  <c r="MH42" i="5"/>
  <c r="MK42" i="5"/>
  <c r="MH43" i="5"/>
  <c r="MK43" i="5"/>
  <c r="MH44" i="5"/>
  <c r="MK44" i="5"/>
  <c r="MH45" i="5"/>
  <c r="MK45" i="5"/>
  <c r="MH46" i="5"/>
  <c r="MK46" i="5"/>
  <c r="MH47" i="5"/>
  <c r="MK47" i="5"/>
  <c r="MH48" i="5"/>
  <c r="MK48" i="5"/>
  <c r="MH49" i="5"/>
  <c r="MK49" i="5"/>
  <c r="MH50" i="5"/>
  <c r="MK50" i="5"/>
  <c r="MH51" i="5"/>
  <c r="MK51" i="5"/>
  <c r="MH52" i="5"/>
  <c r="MK52" i="5"/>
  <c r="MH53" i="5"/>
  <c r="MK53" i="5"/>
  <c r="MH54" i="5"/>
  <c r="MK54" i="5"/>
  <c r="MH55" i="5"/>
  <c r="MK55" i="5"/>
  <c r="MH56" i="5"/>
  <c r="MK56" i="5"/>
  <c r="MH57" i="5"/>
  <c r="MK57" i="5"/>
  <c r="MH58" i="5"/>
  <c r="MK58" i="5"/>
  <c r="MH59" i="5"/>
  <c r="MK59" i="5"/>
  <c r="MH60" i="5"/>
  <c r="MK60" i="5"/>
  <c r="MH61" i="5"/>
  <c r="MK61" i="5"/>
  <c r="MH62" i="5"/>
  <c r="MK62" i="5"/>
  <c r="MH63" i="5"/>
  <c r="MK63" i="5"/>
  <c r="MH64" i="5"/>
  <c r="MK64" i="5"/>
  <c r="MH65" i="5"/>
  <c r="MK65" i="5"/>
  <c r="MH66" i="5"/>
  <c r="MK66" i="5"/>
  <c r="MH67" i="5"/>
  <c r="MK67" i="5"/>
  <c r="MH68" i="5"/>
  <c r="MK68" i="5"/>
  <c r="MH69" i="5"/>
  <c r="MK69" i="5"/>
  <c r="MH70" i="5"/>
  <c r="MK70" i="5"/>
  <c r="MH71" i="5"/>
  <c r="MK71" i="5"/>
  <c r="MH72" i="5"/>
  <c r="MK72" i="5"/>
  <c r="MH73" i="5"/>
  <c r="MK73" i="5"/>
  <c r="MH74" i="5"/>
  <c r="MK74" i="5"/>
  <c r="MH75" i="5"/>
  <c r="MK75" i="5"/>
  <c r="MH76" i="5"/>
  <c r="MK76" i="5"/>
  <c r="MH77" i="5"/>
  <c r="MK77" i="5"/>
  <c r="MH78" i="5"/>
  <c r="MK78" i="5"/>
  <c r="MH79" i="5"/>
  <c r="MK79" i="5"/>
  <c r="MH80" i="5"/>
  <c r="MK80" i="5"/>
  <c r="MH81" i="5"/>
  <c r="MK81" i="5"/>
  <c r="MH82" i="5"/>
  <c r="MK82" i="5"/>
  <c r="MH83" i="5"/>
  <c r="MK83" i="5"/>
  <c r="MH84" i="5"/>
  <c r="MK84" i="5"/>
  <c r="MH85" i="5"/>
  <c r="MK85" i="5"/>
  <c r="MH86" i="5"/>
  <c r="MK86" i="5"/>
  <c r="MH87" i="5"/>
  <c r="MK87" i="5"/>
  <c r="MH88" i="5"/>
  <c r="MK88" i="5"/>
  <c r="MH89" i="5"/>
  <c r="MK89" i="5"/>
  <c r="MH90" i="5"/>
  <c r="MK90" i="5"/>
  <c r="MH91" i="5"/>
  <c r="MK91" i="5"/>
  <c r="MH92" i="5"/>
  <c r="MK92" i="5"/>
  <c r="MH93" i="5"/>
  <c r="MK93" i="5"/>
  <c r="MH94" i="5"/>
  <c r="MK94" i="5"/>
  <c r="MH95" i="5"/>
  <c r="MK95" i="5"/>
  <c r="MH96" i="5"/>
  <c r="MK96" i="5"/>
  <c r="MH97" i="5"/>
  <c r="MK97" i="5"/>
  <c r="MH98" i="5"/>
  <c r="MK98" i="5"/>
  <c r="MH99" i="5"/>
  <c r="MK99" i="5"/>
  <c r="MH100" i="5"/>
  <c r="MK100" i="5"/>
  <c r="MH101" i="5"/>
  <c r="MK101" i="5"/>
  <c r="MH102" i="5"/>
  <c r="MK102" i="5"/>
  <c r="MH103" i="5"/>
  <c r="MK103" i="5"/>
  <c r="MH104" i="5"/>
  <c r="MK104" i="5"/>
  <c r="MH105" i="5"/>
  <c r="MK105" i="5"/>
  <c r="MH106" i="5"/>
  <c r="MK106" i="5"/>
  <c r="MH107" i="5"/>
  <c r="MK107" i="5"/>
  <c r="MH108" i="5"/>
  <c r="MK108" i="5"/>
  <c r="MH109" i="5"/>
  <c r="MK109" i="5"/>
  <c r="MH110" i="5"/>
  <c r="MK110" i="5"/>
  <c r="MH111" i="5"/>
  <c r="MK111" i="5"/>
  <c r="MH112" i="5"/>
  <c r="MK112" i="5"/>
  <c r="MH113" i="5"/>
  <c r="MK113" i="5"/>
  <c r="MH114" i="5"/>
  <c r="MK114" i="5"/>
  <c r="MH115" i="5"/>
  <c r="MK115" i="5"/>
  <c r="MH116" i="5"/>
  <c r="MK116" i="5"/>
  <c r="MH117" i="5"/>
  <c r="MK117" i="5"/>
  <c r="MH118" i="5"/>
  <c r="MK118" i="5"/>
  <c r="MH119" i="5"/>
  <c r="MK119" i="5"/>
  <c r="MH120" i="5"/>
  <c r="MK120" i="5"/>
  <c r="MH121" i="5"/>
  <c r="MK121" i="5"/>
  <c r="MH122" i="5"/>
  <c r="MK122" i="5"/>
  <c r="MH123" i="5"/>
  <c r="MK123" i="5"/>
  <c r="MH124" i="5"/>
  <c r="MK124" i="5"/>
  <c r="MH125" i="5"/>
  <c r="MK125" i="5"/>
  <c r="MH126" i="5"/>
  <c r="MK126" i="5"/>
  <c r="MH127" i="5"/>
  <c r="MK127" i="5"/>
  <c r="MH128" i="5"/>
  <c r="MK128" i="5"/>
  <c r="MH129" i="5"/>
  <c r="MK129" i="5"/>
  <c r="MH130" i="5"/>
  <c r="MK130" i="5"/>
  <c r="MH131" i="5"/>
  <c r="MK131" i="5"/>
  <c r="MH132" i="5"/>
  <c r="MK132" i="5"/>
  <c r="MH133" i="5"/>
  <c r="MK133" i="5"/>
  <c r="MH134" i="5"/>
  <c r="MK134" i="5"/>
  <c r="MH135" i="5"/>
  <c r="MK135" i="5"/>
  <c r="MH136" i="5"/>
  <c r="MK136" i="5"/>
  <c r="MH137" i="5"/>
  <c r="MK137" i="5"/>
  <c r="MH138" i="5"/>
  <c r="MK138" i="5"/>
  <c r="MH139" i="5"/>
  <c r="MK139" i="5"/>
  <c r="MH140" i="5"/>
  <c r="MK140" i="5"/>
  <c r="MH141" i="5"/>
  <c r="MK141" i="5"/>
  <c r="MH142" i="5"/>
  <c r="MK142" i="5"/>
  <c r="MH143" i="5"/>
  <c r="MK143" i="5"/>
  <c r="MH144" i="5"/>
  <c r="MK144" i="5"/>
  <c r="MH145" i="5"/>
  <c r="MK145" i="5"/>
  <c r="MH146" i="5"/>
  <c r="MK146" i="5"/>
  <c r="MH147" i="5"/>
  <c r="MK147" i="5"/>
  <c r="MH148" i="5"/>
  <c r="MK148" i="5"/>
  <c r="MH149" i="5"/>
  <c r="MK149" i="5"/>
  <c r="MH150" i="5"/>
  <c r="MK150" i="5"/>
  <c r="MH151" i="5"/>
  <c r="MK151" i="5"/>
  <c r="MH152" i="5"/>
  <c r="MK152" i="5"/>
  <c r="MH153" i="5"/>
  <c r="MK153" i="5"/>
  <c r="MH154" i="5"/>
  <c r="MK154" i="5"/>
  <c r="MH155" i="5"/>
  <c r="MK155" i="5"/>
  <c r="MH156" i="5"/>
  <c r="MK156" i="5"/>
  <c r="MH157" i="5"/>
  <c r="MK157" i="5"/>
  <c r="MH158" i="5"/>
  <c r="MK158" i="5"/>
  <c r="MH159" i="5"/>
  <c r="MK159" i="5"/>
  <c r="MH160" i="5"/>
  <c r="MK160" i="5"/>
  <c r="MH161" i="5"/>
  <c r="MK161" i="5"/>
  <c r="MH162" i="5"/>
  <c r="MK162" i="5"/>
  <c r="MH163" i="5"/>
  <c r="MK163" i="5"/>
  <c r="MH164" i="5"/>
  <c r="MK164" i="5"/>
  <c r="MH165" i="5"/>
  <c r="MK165" i="5"/>
  <c r="MH166" i="5"/>
  <c r="MK166" i="5"/>
  <c r="MH167" i="5"/>
  <c r="MK167" i="5"/>
  <c r="MH168" i="5"/>
  <c r="MK168" i="5"/>
  <c r="MH169" i="5"/>
  <c r="MK169" i="5"/>
  <c r="MH170" i="5"/>
  <c r="MK170" i="5"/>
  <c r="MH171" i="5"/>
  <c r="MK171" i="5"/>
  <c r="MH172" i="5"/>
  <c r="MK172" i="5"/>
  <c r="MH173" i="5"/>
  <c r="MK173" i="5"/>
  <c r="MH174" i="5"/>
  <c r="MK174" i="5"/>
  <c r="MH175" i="5"/>
  <c r="MK175" i="5"/>
  <c r="MH176" i="5"/>
  <c r="MK176" i="5"/>
  <c r="MH177" i="5"/>
  <c r="MK177" i="5"/>
  <c r="MH178" i="5"/>
  <c r="MK178" i="5"/>
  <c r="MH179" i="5"/>
  <c r="MK179" i="5"/>
  <c r="MH180" i="5"/>
  <c r="MK180" i="5"/>
  <c r="MH181" i="5"/>
  <c r="MK181" i="5"/>
  <c r="MH182" i="5"/>
  <c r="MK182" i="5"/>
  <c r="MH183" i="5"/>
  <c r="MK183" i="5"/>
  <c r="MH184" i="5"/>
  <c r="MK184" i="5"/>
  <c r="MH185" i="5"/>
  <c r="MK185" i="5"/>
  <c r="MH186" i="5"/>
  <c r="MK186" i="5"/>
  <c r="MH187" i="5"/>
  <c r="MK187" i="5"/>
  <c r="MH188" i="5"/>
  <c r="MK188" i="5"/>
  <c r="MH189" i="5"/>
  <c r="MK189" i="5"/>
  <c r="MH190" i="5"/>
  <c r="MK190" i="5"/>
  <c r="MH191" i="5"/>
  <c r="MK191" i="5"/>
  <c r="MH192" i="5"/>
  <c r="MK192" i="5"/>
  <c r="MH193" i="5"/>
  <c r="MK193" i="5"/>
  <c r="MH202" i="5"/>
  <c r="MK202" i="5"/>
  <c r="MH203" i="5"/>
  <c r="MK203" i="5"/>
  <c r="MH204" i="5"/>
  <c r="MK204" i="5"/>
  <c r="MH205" i="5"/>
  <c r="MK205" i="5"/>
  <c r="MH206" i="5"/>
  <c r="MK206" i="5"/>
  <c r="MH207" i="5"/>
  <c r="MK207" i="5"/>
  <c r="MH208" i="5"/>
  <c r="MK208" i="5"/>
  <c r="MH209" i="5"/>
  <c r="MK209" i="5"/>
  <c r="MH210" i="5"/>
  <c r="MK210" i="5"/>
  <c r="MH211" i="5"/>
  <c r="MK211" i="5"/>
  <c r="MH212" i="5"/>
  <c r="MK212" i="5"/>
  <c r="MH213" i="5"/>
  <c r="MK213" i="5"/>
  <c r="MH214" i="5"/>
  <c r="MK214" i="5"/>
  <c r="MH215" i="5"/>
  <c r="MK215" i="5"/>
  <c r="MH216" i="5"/>
  <c r="MK216" i="5"/>
  <c r="MH217" i="5"/>
  <c r="MK217" i="5"/>
  <c r="MH218" i="5"/>
  <c r="MK218" i="5"/>
  <c r="MH219" i="5"/>
  <c r="MK219" i="5"/>
  <c r="MH220" i="5"/>
  <c r="MK220" i="5"/>
  <c r="MH221" i="5"/>
  <c r="MK221" i="5"/>
  <c r="MH222" i="5"/>
  <c r="MK222" i="5"/>
  <c r="MH223" i="5"/>
  <c r="MK223" i="5"/>
  <c r="MH224" i="5"/>
  <c r="MK224" i="5"/>
  <c r="MH225" i="5"/>
  <c r="MK225" i="5"/>
  <c r="MH226" i="5"/>
  <c r="MK226" i="5"/>
  <c r="MH227" i="5"/>
  <c r="MK227" i="5"/>
  <c r="MH228" i="5"/>
  <c r="MK228" i="5"/>
  <c r="MH229" i="5"/>
  <c r="MK229" i="5"/>
  <c r="MH230" i="5"/>
  <c r="MK230" i="5"/>
  <c r="MH231" i="5"/>
  <c r="MK231" i="5"/>
  <c r="MH232" i="5"/>
  <c r="MK232" i="5"/>
  <c r="MH233" i="5"/>
  <c r="MK233" i="5"/>
  <c r="MH234" i="5"/>
  <c r="MK234" i="5"/>
  <c r="MH235" i="5"/>
  <c r="MK235" i="5"/>
  <c r="MH236" i="5"/>
  <c r="MK236" i="5"/>
  <c r="MH237" i="5"/>
  <c r="MK237" i="5"/>
  <c r="MH238" i="5"/>
  <c r="MK238" i="5"/>
  <c r="MH239" i="5"/>
  <c r="MK239" i="5"/>
  <c r="MH240" i="5"/>
  <c r="MK240" i="5"/>
  <c r="MH241" i="5"/>
  <c r="MK241" i="5"/>
  <c r="MH242" i="5"/>
  <c r="MK242" i="5"/>
  <c r="MH243" i="5"/>
  <c r="MK243" i="5"/>
  <c r="MH244" i="5"/>
  <c r="MK244" i="5"/>
  <c r="MH245" i="5"/>
  <c r="MK245" i="5"/>
  <c r="MH246" i="5"/>
  <c r="MK246" i="5"/>
  <c r="MH247" i="5"/>
  <c r="MK247" i="5"/>
  <c r="MH248" i="5"/>
  <c r="MK248" i="5"/>
  <c r="MY40" i="5"/>
  <c r="MY43" i="5"/>
  <c r="MY61" i="5"/>
  <c r="MY111" i="5"/>
  <c r="MY117" i="5"/>
  <c r="MY118" i="5"/>
  <c r="MY119" i="5"/>
  <c r="MY122" i="5"/>
  <c r="MY123" i="5"/>
  <c r="MY141" i="5"/>
  <c r="MY147" i="5"/>
  <c r="MY151" i="5"/>
  <c r="MY160" i="5"/>
  <c r="MY161" i="5"/>
  <c r="MY163" i="5"/>
  <c r="MY166" i="5"/>
  <c r="MY167" i="5"/>
  <c r="MY178" i="5"/>
  <c r="MY182" i="5"/>
  <c r="MY183" i="5"/>
  <c r="MY184" i="5"/>
  <c r="MY186" i="5"/>
  <c r="MY187" i="5"/>
  <c r="MY191" i="5"/>
  <c r="MY192" i="5"/>
  <c r="MY202" i="5"/>
  <c r="MY214" i="5"/>
  <c r="MY215" i="5"/>
  <c r="MY216" i="5"/>
  <c r="MY217" i="5"/>
  <c r="MY218" i="5"/>
  <c r="MY220" i="5"/>
  <c r="MY221" i="5"/>
  <c r="MY235" i="5"/>
  <c r="MY236" i="5"/>
  <c r="MY237" i="5"/>
  <c r="MY238" i="5"/>
  <c r="ND238" i="5" s="1"/>
  <c r="MY239" i="5"/>
  <c r="MY240" i="5"/>
  <c r="MY241" i="5"/>
  <c r="MY243" i="5"/>
  <c r="MY244" i="5"/>
  <c r="MY245" i="5"/>
  <c r="ND245" i="5" s="1"/>
  <c r="MY246" i="5"/>
  <c r="MY247" i="5"/>
  <c r="MY248" i="5"/>
  <c r="ND241" i="5" l="1"/>
  <c r="ND244" i="5"/>
  <c r="ND247" i="5"/>
  <c r="HR248" i="5"/>
  <c r="BU174" i="5"/>
  <c r="RX174" i="5"/>
  <c r="RY174" i="5" s="1"/>
  <c r="BU234" i="5"/>
  <c r="RX234" i="5"/>
  <c r="RY234" i="5" s="1"/>
  <c r="BU176" i="5"/>
  <c r="RX176" i="5"/>
  <c r="RY176" i="5" s="1"/>
  <c r="BS99" i="5"/>
  <c r="RW99" i="5"/>
  <c r="BU175" i="5"/>
  <c r="RX175" i="5"/>
  <c r="RY175" i="5" s="1"/>
  <c r="BU242" i="5"/>
  <c r="RX242" i="5"/>
  <c r="RY242" i="5" s="1"/>
  <c r="BU162" i="5"/>
  <c r="RX162" i="5"/>
  <c r="RY162" i="5" s="1"/>
  <c r="BU103" i="5"/>
  <c r="GG103" i="5" s="1"/>
  <c r="BU154" i="5"/>
  <c r="GA154" i="5" s="1"/>
  <c r="BU134" i="5"/>
  <c r="FL134" i="5" s="1"/>
  <c r="BS130" i="5"/>
  <c r="BU106" i="5"/>
  <c r="GA106" i="5" s="1"/>
  <c r="BS193" i="5"/>
  <c r="RW193" i="5"/>
  <c r="BU193" i="5" s="1"/>
  <c r="BS143" i="5"/>
  <c r="RW143" i="5"/>
  <c r="BS139" i="5"/>
  <c r="RW139" i="5"/>
  <c r="BU139" i="5" s="1"/>
  <c r="BS91" i="5"/>
  <c r="RW91" i="5"/>
  <c r="BU91" i="5" s="1"/>
  <c r="EZ91" i="5" s="1"/>
  <c r="BS213" i="5"/>
  <c r="RW213" i="5"/>
  <c r="BU213" i="5" s="1"/>
  <c r="BS173" i="5"/>
  <c r="RW173" i="5"/>
  <c r="BU173" i="5" s="1"/>
  <c r="EZ173" i="5" s="1"/>
  <c r="BS121" i="5"/>
  <c r="RW121" i="5"/>
  <c r="BS17" i="5"/>
  <c r="RW17" i="5"/>
  <c r="BU17" i="5" s="1"/>
  <c r="BS124" i="5"/>
  <c r="RW124" i="5"/>
  <c r="BU124" i="5" s="1"/>
  <c r="EZ124" i="5" s="1"/>
  <c r="BS96" i="5"/>
  <c r="RW96" i="5"/>
  <c r="BU96" i="5" s="1"/>
  <c r="EZ96" i="5" s="1"/>
  <c r="BS88" i="5"/>
  <c r="RW88" i="5"/>
  <c r="ND216" i="5"/>
  <c r="ND236" i="5"/>
  <c r="ND220" i="5"/>
  <c r="ND221" i="5"/>
  <c r="ND235" i="5"/>
  <c r="ND217" i="5"/>
  <c r="BS133" i="5"/>
  <c r="RW133" i="5"/>
  <c r="BS108" i="5"/>
  <c r="RW108" i="5"/>
  <c r="BS156" i="5"/>
  <c r="RW156" i="5"/>
  <c r="BU156" i="5" s="1"/>
  <c r="BS94" i="5"/>
  <c r="RW94" i="5"/>
  <c r="BS155" i="5"/>
  <c r="RW155" i="5"/>
  <c r="IP155" i="5" s="1"/>
  <c r="NQ243" i="5" s="1"/>
  <c r="BS164" i="5"/>
  <c r="RW164" i="5"/>
  <c r="BU164" i="5" s="1"/>
  <c r="BS90" i="5"/>
  <c r="RW90" i="5"/>
  <c r="IP90" i="5" s="1"/>
  <c r="BS168" i="5"/>
  <c r="RW168" i="5"/>
  <c r="BS177" i="5"/>
  <c r="RW177" i="5"/>
  <c r="BU177" i="5" s="1"/>
  <c r="RX177" i="5"/>
  <c r="RY177" i="5" s="1"/>
  <c r="BS146" i="5"/>
  <c r="RW146" i="5"/>
  <c r="IP146" i="5" s="1"/>
  <c r="EC60" i="5"/>
  <c r="ED60" i="5" s="1"/>
  <c r="CT60" i="5"/>
  <c r="BU181" i="5"/>
  <c r="RX181" i="5"/>
  <c r="RY181" i="5" s="1"/>
  <c r="BS233" i="5"/>
  <c r="RW233" i="5"/>
  <c r="BU233" i="5" s="1"/>
  <c r="RX233" i="5"/>
  <c r="RY233" i="5" s="1"/>
  <c r="BU150" i="5"/>
  <c r="RX150" i="5"/>
  <c r="RY150" i="5" s="1"/>
  <c r="BS232" i="5"/>
  <c r="RW232" i="5"/>
  <c r="IE230" i="5"/>
  <c r="NX230" i="5" s="1"/>
  <c r="FL230" i="5"/>
  <c r="ET230" i="5"/>
  <c r="DU230" i="5"/>
  <c r="GA230" i="5"/>
  <c r="FG230" i="5"/>
  <c r="RX232" i="5"/>
  <c r="RY232" i="5" s="1"/>
  <c r="BU231" i="5"/>
  <c r="GG231" i="5" s="1"/>
  <c r="RX231" i="5"/>
  <c r="RY231" i="5" s="1"/>
  <c r="HR231" i="5"/>
  <c r="BS170" i="5"/>
  <c r="RW170" i="5"/>
  <c r="BU170" i="5" s="1"/>
  <c r="RX170" i="5"/>
  <c r="RY170" i="5" s="1"/>
  <c r="RX230" i="5"/>
  <c r="RY230" i="5" s="1"/>
  <c r="RX193" i="5"/>
  <c r="RY193" i="5" s="1"/>
  <c r="BU229" i="5"/>
  <c r="GG229" i="5" s="1"/>
  <c r="RX229" i="5"/>
  <c r="RY229" i="5" s="1"/>
  <c r="BU228" i="5"/>
  <c r="GG228" i="5" s="1"/>
  <c r="RX228" i="5"/>
  <c r="RY228" i="5" s="1"/>
  <c r="HR228" i="5"/>
  <c r="BS169" i="5"/>
  <c r="RW169" i="5"/>
  <c r="IE225" i="5"/>
  <c r="NX225" i="5" s="1"/>
  <c r="FL225" i="5"/>
  <c r="DU225" i="5"/>
  <c r="GA225" i="5"/>
  <c r="ET225" i="5"/>
  <c r="FG225" i="5"/>
  <c r="IE224" i="5"/>
  <c r="DU224" i="5"/>
  <c r="GA224" i="5"/>
  <c r="ET224" i="5"/>
  <c r="FL224" i="5"/>
  <c r="FG224" i="5"/>
  <c r="GA223" i="5"/>
  <c r="IE223" i="5"/>
  <c r="NX223" i="5" s="1"/>
  <c r="FL223" i="5"/>
  <c r="FG223" i="5"/>
  <c r="ET223" i="5"/>
  <c r="DU223" i="5"/>
  <c r="BU227" i="5"/>
  <c r="GG227" i="5" s="1"/>
  <c r="RX227" i="5"/>
  <c r="RY227" i="5" s="1"/>
  <c r="BU226" i="5"/>
  <c r="GG226" i="5" s="1"/>
  <c r="RX226" i="5"/>
  <c r="RY226" i="5" s="1"/>
  <c r="RX225" i="5"/>
  <c r="RY225" i="5" s="1"/>
  <c r="HR225" i="5"/>
  <c r="RX224" i="5"/>
  <c r="RY224" i="5" s="1"/>
  <c r="RX223" i="5"/>
  <c r="RY223" i="5" s="1"/>
  <c r="RX222" i="5"/>
  <c r="RY222" i="5" s="1"/>
  <c r="HR222" i="5"/>
  <c r="BU219" i="5"/>
  <c r="RX219" i="5"/>
  <c r="RY219" i="5" s="1"/>
  <c r="RX213" i="5"/>
  <c r="RY213" i="5" s="1"/>
  <c r="BS185" i="5"/>
  <c r="RW185" i="5"/>
  <c r="BU212" i="5"/>
  <c r="RX212" i="5"/>
  <c r="RY212" i="5" s="1"/>
  <c r="BU171" i="5"/>
  <c r="GA171" i="5" s="1"/>
  <c r="RX171" i="5"/>
  <c r="RY171" i="5" s="1"/>
  <c r="BS211" i="5"/>
  <c r="RW211" i="5"/>
  <c r="BU211" i="5" s="1"/>
  <c r="RX211" i="5"/>
  <c r="RY211" i="5" s="1"/>
  <c r="BS210" i="5"/>
  <c r="RW210" i="5"/>
  <c r="BU210" i="5" s="1"/>
  <c r="RX210" i="5"/>
  <c r="RY210" i="5" s="1"/>
  <c r="BU190" i="5"/>
  <c r="NR190" i="5" s="1"/>
  <c r="RX190" i="5"/>
  <c r="RY190" i="5" s="1"/>
  <c r="BU180" i="5"/>
  <c r="NR180" i="5" s="1"/>
  <c r="RX180" i="5"/>
  <c r="RY180" i="5" s="1"/>
  <c r="BS209" i="5"/>
  <c r="RW209" i="5"/>
  <c r="BU209" i="5" s="1"/>
  <c r="RX209" i="5"/>
  <c r="RY209" i="5" s="1"/>
  <c r="BS165" i="5"/>
  <c r="RW165" i="5"/>
  <c r="BU165" i="5" s="1"/>
  <c r="RX165" i="5"/>
  <c r="RY165" i="5" s="1"/>
  <c r="RW207" i="5"/>
  <c r="CT207" i="5"/>
  <c r="BU208" i="5"/>
  <c r="RX208" i="5"/>
  <c r="RY208" i="5" s="1"/>
  <c r="HR208" i="5"/>
  <c r="BR95" i="5"/>
  <c r="RX95" i="5" s="1"/>
  <c r="RY95" i="5" s="1"/>
  <c r="RX207" i="5"/>
  <c r="RY207" i="5" s="1"/>
  <c r="BU148" i="5"/>
  <c r="GA148" i="5" s="1"/>
  <c r="RX148" i="5"/>
  <c r="RY148" i="5" s="1"/>
  <c r="BS205" i="5"/>
  <c r="RW205" i="5"/>
  <c r="BU206" i="5"/>
  <c r="IE206" i="5" s="1"/>
  <c r="RX206" i="5"/>
  <c r="RY206" i="5" s="1"/>
  <c r="BS172" i="5"/>
  <c r="RW172" i="5"/>
  <c r="BU179" i="5"/>
  <c r="RX179" i="5"/>
  <c r="RY179" i="5" s="1"/>
  <c r="RX205" i="5"/>
  <c r="RY205" i="5" s="1"/>
  <c r="BU188" i="5"/>
  <c r="RX188" i="5"/>
  <c r="RY188" i="5" s="1"/>
  <c r="BS203" i="5"/>
  <c r="RW203" i="5"/>
  <c r="BU203" i="5" s="1"/>
  <c r="BU204" i="5"/>
  <c r="GA204" i="5" s="1"/>
  <c r="RX204" i="5"/>
  <c r="RY204" i="5" s="1"/>
  <c r="RX203" i="5"/>
  <c r="RY203" i="5" s="1"/>
  <c r="BU152" i="5"/>
  <c r="RX152" i="5"/>
  <c r="RY152" i="5" s="1"/>
  <c r="BS144" i="5"/>
  <c r="RW144" i="5"/>
  <c r="BS101" i="5"/>
  <c r="RW101" i="5"/>
  <c r="RX156" i="5"/>
  <c r="RY156" i="5" s="1"/>
  <c r="RX164" i="5"/>
  <c r="RY164" i="5" s="1"/>
  <c r="HK160" i="5"/>
  <c r="HR160" i="5" s="1"/>
  <c r="HK138" i="5"/>
  <c r="HR138" i="5" s="1"/>
  <c r="HK123" i="5"/>
  <c r="HR123" i="5" s="1"/>
  <c r="HK83" i="5"/>
  <c r="HR83" i="5" s="1"/>
  <c r="HK67" i="5"/>
  <c r="HR67" i="5" s="1"/>
  <c r="HK59" i="5"/>
  <c r="HR59" i="5" s="1"/>
  <c r="HK51" i="5"/>
  <c r="HR51" i="5" s="1"/>
  <c r="HK35" i="5"/>
  <c r="HR35" i="5" s="1"/>
  <c r="HK27" i="5"/>
  <c r="HR27" i="5" s="1"/>
  <c r="HK11" i="5"/>
  <c r="HR11" i="5" s="1"/>
  <c r="IE157" i="5"/>
  <c r="GD157" i="5"/>
  <c r="FR157" i="5"/>
  <c r="FL157" i="5"/>
  <c r="GG157" i="5"/>
  <c r="GA157" i="5"/>
  <c r="FO157" i="5"/>
  <c r="EZ157" i="5"/>
  <c r="DU157" i="5"/>
  <c r="FG157" i="5"/>
  <c r="ET157" i="5"/>
  <c r="CW157" i="5"/>
  <c r="EC149" i="5"/>
  <c r="ED149" i="5" s="1"/>
  <c r="CT149" i="5"/>
  <c r="IE135" i="5"/>
  <c r="FL135" i="5"/>
  <c r="FO135" i="5"/>
  <c r="GD135" i="5"/>
  <c r="FR135" i="5"/>
  <c r="GG135" i="5"/>
  <c r="GA135" i="5"/>
  <c r="EZ135" i="5"/>
  <c r="CW135" i="5"/>
  <c r="FG135" i="5"/>
  <c r="DU135" i="5"/>
  <c r="ET135" i="5"/>
  <c r="IE127" i="5"/>
  <c r="GG127" i="5"/>
  <c r="GA127" i="5"/>
  <c r="FL127" i="5"/>
  <c r="FO127" i="5"/>
  <c r="GD127" i="5"/>
  <c r="FR127" i="5"/>
  <c r="EZ127" i="5"/>
  <c r="FG127" i="5"/>
  <c r="DU127" i="5"/>
  <c r="ET127" i="5"/>
  <c r="CW127" i="5"/>
  <c r="GG120" i="5"/>
  <c r="FL120" i="5"/>
  <c r="FO120" i="5"/>
  <c r="FR120" i="5"/>
  <c r="GD120" i="5"/>
  <c r="CW120" i="5"/>
  <c r="EZ120" i="5"/>
  <c r="FG120" i="5"/>
  <c r="DU120" i="5"/>
  <c r="ET120" i="5"/>
  <c r="IE120" i="5"/>
  <c r="GA112" i="5"/>
  <c r="GG112" i="5"/>
  <c r="GD112" i="5"/>
  <c r="EZ112" i="5"/>
  <c r="FO112" i="5"/>
  <c r="FR112" i="5"/>
  <c r="FL112" i="5"/>
  <c r="DU112" i="5"/>
  <c r="ET112" i="5"/>
  <c r="IE112" i="5"/>
  <c r="GD72" i="5"/>
  <c r="GG72" i="5"/>
  <c r="FO72" i="5"/>
  <c r="FR72" i="5"/>
  <c r="DU72" i="5"/>
  <c r="ET72" i="5"/>
  <c r="FG72" i="5"/>
  <c r="CW72" i="5"/>
  <c r="FL72" i="5"/>
  <c r="IE72" i="5"/>
  <c r="IE64" i="5"/>
  <c r="NX64" i="5" s="1"/>
  <c r="FR64" i="5"/>
  <c r="GA64" i="5"/>
  <c r="FL64" i="5"/>
  <c r="FO64" i="5"/>
  <c r="GD64" i="5"/>
  <c r="GG64" i="5"/>
  <c r="CW64" i="5"/>
  <c r="EZ64" i="5"/>
  <c r="FG64" i="5"/>
  <c r="DU64" i="5"/>
  <c r="ET64" i="5"/>
  <c r="IE56" i="5"/>
  <c r="NX56" i="5" s="1"/>
  <c r="GD56" i="5"/>
  <c r="FR56" i="5"/>
  <c r="FL56" i="5"/>
  <c r="GG56" i="5"/>
  <c r="GA56" i="5"/>
  <c r="FO56" i="5"/>
  <c r="EZ56" i="5"/>
  <c r="CW56" i="5"/>
  <c r="FG56" i="5"/>
  <c r="DU56" i="5"/>
  <c r="ET56" i="5"/>
  <c r="FR48" i="5"/>
  <c r="GD48" i="5"/>
  <c r="GG48" i="5"/>
  <c r="FL48" i="5"/>
  <c r="FO48" i="5"/>
  <c r="CW48" i="5"/>
  <c r="EZ48" i="5"/>
  <c r="FG48" i="5"/>
  <c r="DU48" i="5"/>
  <c r="ET48" i="5"/>
  <c r="IE48" i="5"/>
  <c r="NX48" i="5" s="1"/>
  <c r="GA32" i="5"/>
  <c r="GD32" i="5"/>
  <c r="FL32" i="5"/>
  <c r="GG32" i="5"/>
  <c r="FO32" i="5"/>
  <c r="FR32" i="5"/>
  <c r="CW32" i="5"/>
  <c r="EZ32" i="5"/>
  <c r="FG32" i="5"/>
  <c r="DU32" i="5"/>
  <c r="ET32" i="5"/>
  <c r="IE32" i="5"/>
  <c r="IE24" i="5"/>
  <c r="NX24" i="5" s="1"/>
  <c r="FO24" i="5"/>
  <c r="FR24" i="5"/>
  <c r="GA24" i="5"/>
  <c r="GD24" i="5"/>
  <c r="GG24" i="5"/>
  <c r="FL24" i="5"/>
  <c r="EZ24" i="5"/>
  <c r="DU24" i="5"/>
  <c r="CW24" i="5"/>
  <c r="FG24" i="5"/>
  <c r="ET24" i="5"/>
  <c r="FR8" i="5"/>
  <c r="GG8" i="5"/>
  <c r="GD8" i="5"/>
  <c r="FL8" i="5"/>
  <c r="FO8" i="5"/>
  <c r="DU8" i="5"/>
  <c r="ET8" i="5"/>
  <c r="CW8" i="5"/>
  <c r="EZ8" i="5"/>
  <c r="FG8" i="5"/>
  <c r="IE8" i="5"/>
  <c r="HK167" i="5"/>
  <c r="HR167" i="5" s="1"/>
  <c r="HK159" i="5"/>
  <c r="HR159" i="5" s="1"/>
  <c r="HK151" i="5"/>
  <c r="HR151" i="5" s="1"/>
  <c r="HK98" i="5"/>
  <c r="HR98" i="5" s="1"/>
  <c r="HK74" i="5"/>
  <c r="HR74" i="5" s="1"/>
  <c r="HK50" i="5"/>
  <c r="HR50" i="5" s="1"/>
  <c r="HK26" i="5"/>
  <c r="HR26" i="5" s="1"/>
  <c r="GG142" i="5"/>
  <c r="IE142" i="5"/>
  <c r="GA142" i="5"/>
  <c r="FO142" i="5"/>
  <c r="GD142" i="5"/>
  <c r="FR142" i="5"/>
  <c r="FG142" i="5"/>
  <c r="DU142" i="5"/>
  <c r="ET142" i="5"/>
  <c r="CW142" i="5"/>
  <c r="FL142" i="5"/>
  <c r="EZ134" i="5"/>
  <c r="IE126" i="5"/>
  <c r="GA126" i="5"/>
  <c r="GD126" i="5"/>
  <c r="GG126" i="5"/>
  <c r="FR126" i="5"/>
  <c r="FL126" i="5"/>
  <c r="CW126" i="5"/>
  <c r="FO126" i="5"/>
  <c r="DU126" i="5"/>
  <c r="ET126" i="5"/>
  <c r="EZ126" i="5"/>
  <c r="FG126" i="5"/>
  <c r="EZ103" i="5"/>
  <c r="GG87" i="5"/>
  <c r="GA87" i="5"/>
  <c r="FO87" i="5"/>
  <c r="GD87" i="5"/>
  <c r="FR87" i="5"/>
  <c r="FG87" i="5"/>
  <c r="FL87" i="5"/>
  <c r="DU87" i="5"/>
  <c r="CW87" i="5"/>
  <c r="ET87" i="5"/>
  <c r="IE87" i="5"/>
  <c r="IE79" i="5"/>
  <c r="NX79" i="5" s="1"/>
  <c r="GD79" i="5"/>
  <c r="GG79" i="5"/>
  <c r="FO79" i="5"/>
  <c r="FR79" i="5"/>
  <c r="FG79" i="5"/>
  <c r="DU79" i="5"/>
  <c r="ET79" i="5"/>
  <c r="CW79" i="5"/>
  <c r="FL79" i="5"/>
  <c r="IE71" i="5"/>
  <c r="NX71" i="5" s="1"/>
  <c r="FR71" i="5"/>
  <c r="GA71" i="5"/>
  <c r="FL71" i="5"/>
  <c r="FO71" i="5"/>
  <c r="GD71" i="5"/>
  <c r="GG71" i="5"/>
  <c r="EZ71" i="5"/>
  <c r="DU71" i="5"/>
  <c r="FG71" i="5"/>
  <c r="ET71" i="5"/>
  <c r="CW71" i="5"/>
  <c r="IE63" i="5"/>
  <c r="GD63" i="5"/>
  <c r="GG63" i="5"/>
  <c r="FR63" i="5"/>
  <c r="GA63" i="5"/>
  <c r="FL63" i="5"/>
  <c r="DU63" i="5"/>
  <c r="ET63" i="5"/>
  <c r="FO63" i="5"/>
  <c r="EZ63" i="5"/>
  <c r="CW63" i="5"/>
  <c r="FG63" i="5"/>
  <c r="IE55" i="5"/>
  <c r="GA55" i="5"/>
  <c r="GD55" i="5"/>
  <c r="FL55" i="5"/>
  <c r="GG55" i="5"/>
  <c r="FR55" i="5"/>
  <c r="FO55" i="5"/>
  <c r="CW55" i="5"/>
  <c r="EZ55" i="5"/>
  <c r="FG55" i="5"/>
  <c r="DU55" i="5"/>
  <c r="ET55" i="5"/>
  <c r="FR47" i="5"/>
  <c r="GG47" i="5"/>
  <c r="GD47" i="5"/>
  <c r="FO47" i="5"/>
  <c r="EZ47" i="5"/>
  <c r="DU47" i="5"/>
  <c r="CW47" i="5"/>
  <c r="FG47" i="5"/>
  <c r="ET47" i="5"/>
  <c r="FL47" i="5"/>
  <c r="IE47" i="5"/>
  <c r="NX47" i="5" s="1"/>
  <c r="IE7" i="5"/>
  <c r="GD7" i="5"/>
  <c r="GG7" i="5"/>
  <c r="FR7" i="5"/>
  <c r="GA7" i="5"/>
  <c r="EZ7" i="5"/>
  <c r="CW7" i="5"/>
  <c r="FG7" i="5"/>
  <c r="FL7" i="5"/>
  <c r="FO7" i="5"/>
  <c r="DU7" i="5"/>
  <c r="ET7" i="5"/>
  <c r="HK89" i="5"/>
  <c r="HR89" i="5" s="1"/>
  <c r="HK81" i="5"/>
  <c r="HR81" i="5" s="1"/>
  <c r="HK65" i="5"/>
  <c r="HR65" i="5" s="1"/>
  <c r="HK49" i="5"/>
  <c r="HR49" i="5" s="1"/>
  <c r="HK41" i="5"/>
  <c r="HR41" i="5" s="1"/>
  <c r="EZ133" i="5"/>
  <c r="FR110" i="5"/>
  <c r="GG110" i="5"/>
  <c r="GD110" i="5"/>
  <c r="FL110" i="5"/>
  <c r="FO110" i="5"/>
  <c r="DU110" i="5"/>
  <c r="CW110" i="5"/>
  <c r="ET110" i="5"/>
  <c r="EZ110" i="5"/>
  <c r="FG110" i="5"/>
  <c r="IE110" i="5"/>
  <c r="IE102" i="5"/>
  <c r="GG102" i="5"/>
  <c r="FR102" i="5"/>
  <c r="EZ102" i="5"/>
  <c r="GD102" i="5"/>
  <c r="FO102" i="5"/>
  <c r="DU102" i="5"/>
  <c r="FL102" i="5"/>
  <c r="ET102" i="5"/>
  <c r="CW102" i="5"/>
  <c r="FR78" i="5"/>
  <c r="GG78" i="5"/>
  <c r="GA78" i="5"/>
  <c r="GD78" i="5"/>
  <c r="FG78" i="5"/>
  <c r="FO78" i="5"/>
  <c r="DU78" i="5"/>
  <c r="CW78" i="5"/>
  <c r="ET78" i="5"/>
  <c r="FL78" i="5"/>
  <c r="IE78" i="5"/>
  <c r="GG70" i="5"/>
  <c r="FO70" i="5"/>
  <c r="FR70" i="5"/>
  <c r="GD70" i="5"/>
  <c r="FL70" i="5"/>
  <c r="CW70" i="5"/>
  <c r="DU70" i="5"/>
  <c r="FG70" i="5"/>
  <c r="ET70" i="5"/>
  <c r="IE70" i="5"/>
  <c r="IE46" i="5"/>
  <c r="FR46" i="5"/>
  <c r="FL46" i="5"/>
  <c r="GA46" i="5"/>
  <c r="FO46" i="5"/>
  <c r="GD46" i="5"/>
  <c r="GG46" i="5"/>
  <c r="EZ46" i="5"/>
  <c r="CW46" i="5"/>
  <c r="DU46" i="5"/>
  <c r="ET46" i="5"/>
  <c r="FG46" i="5"/>
  <c r="GG38" i="5"/>
  <c r="FR38" i="5"/>
  <c r="FL38" i="5"/>
  <c r="GD38" i="5"/>
  <c r="FO38" i="5"/>
  <c r="CW38" i="5"/>
  <c r="EZ38" i="5"/>
  <c r="FG38" i="5"/>
  <c r="DU38" i="5"/>
  <c r="ET38" i="5"/>
  <c r="IE38" i="5"/>
  <c r="HK180" i="5"/>
  <c r="HR180" i="5" s="1"/>
  <c r="HK127" i="5"/>
  <c r="HR127" i="5" s="1"/>
  <c r="HK120" i="5"/>
  <c r="HR120" i="5" s="1"/>
  <c r="HK72" i="5"/>
  <c r="HR72" i="5" s="1"/>
  <c r="HK56" i="5"/>
  <c r="HR56" i="5" s="1"/>
  <c r="HK40" i="5"/>
  <c r="HR40" i="5" s="1"/>
  <c r="HK32" i="5"/>
  <c r="HR32" i="5" s="1"/>
  <c r="HK8" i="5"/>
  <c r="HR8" i="5" s="1"/>
  <c r="EZ154" i="5"/>
  <c r="GD140" i="5"/>
  <c r="FL140" i="5"/>
  <c r="FO140" i="5"/>
  <c r="GG140" i="5"/>
  <c r="FR140" i="5"/>
  <c r="DU140" i="5"/>
  <c r="ET140" i="5"/>
  <c r="EZ140" i="5"/>
  <c r="CW140" i="5"/>
  <c r="FG140" i="5"/>
  <c r="IE140" i="5"/>
  <c r="GA132" i="5"/>
  <c r="FO132" i="5"/>
  <c r="GG132" i="5"/>
  <c r="GD132" i="5"/>
  <c r="FR132" i="5"/>
  <c r="IE132" i="5"/>
  <c r="CW132" i="5"/>
  <c r="FG132" i="5"/>
  <c r="FL132" i="5"/>
  <c r="DU132" i="5"/>
  <c r="ET132" i="5"/>
  <c r="IE125" i="5"/>
  <c r="GA125" i="5"/>
  <c r="GD125" i="5"/>
  <c r="GG125" i="5"/>
  <c r="FR125" i="5"/>
  <c r="FL125" i="5"/>
  <c r="DU125" i="5"/>
  <c r="ET125" i="5"/>
  <c r="FO125" i="5"/>
  <c r="EZ125" i="5"/>
  <c r="CW125" i="5"/>
  <c r="FG125" i="5"/>
  <c r="FL109" i="5"/>
  <c r="FO109" i="5"/>
  <c r="FR109" i="5"/>
  <c r="GD109" i="5"/>
  <c r="GG109" i="5"/>
  <c r="EZ109" i="5"/>
  <c r="DU109" i="5"/>
  <c r="FG109" i="5"/>
  <c r="ET109" i="5"/>
  <c r="CW109" i="5"/>
  <c r="IE109" i="5"/>
  <c r="NX109" i="5" s="1"/>
  <c r="IE85" i="5"/>
  <c r="NX85" i="5" s="1"/>
  <c r="GG85" i="5"/>
  <c r="FR85" i="5"/>
  <c r="GA85" i="5"/>
  <c r="FL85" i="5"/>
  <c r="FO85" i="5"/>
  <c r="GD85" i="5"/>
  <c r="DU85" i="5"/>
  <c r="ET85" i="5"/>
  <c r="EZ85" i="5"/>
  <c r="FG85" i="5"/>
  <c r="GD77" i="5"/>
  <c r="FR77" i="5"/>
  <c r="FL77" i="5"/>
  <c r="GG77" i="5"/>
  <c r="GA77" i="5"/>
  <c r="FO77" i="5"/>
  <c r="CW77" i="5"/>
  <c r="EZ77" i="5"/>
  <c r="FG77" i="5"/>
  <c r="DU77" i="5"/>
  <c r="ET77" i="5"/>
  <c r="IE77" i="5"/>
  <c r="NX77" i="5" s="1"/>
  <c r="IE69" i="5"/>
  <c r="FR69" i="5"/>
  <c r="GD69" i="5"/>
  <c r="GG69" i="5"/>
  <c r="FO69" i="5"/>
  <c r="CW69" i="5"/>
  <c r="EZ69" i="5"/>
  <c r="DU69" i="5"/>
  <c r="FG69" i="5"/>
  <c r="ET69" i="5"/>
  <c r="IE53" i="5"/>
  <c r="NX53" i="5" s="1"/>
  <c r="FR53" i="5"/>
  <c r="GA53" i="5"/>
  <c r="GD53" i="5"/>
  <c r="FL53" i="5"/>
  <c r="GG53" i="5"/>
  <c r="FO53" i="5"/>
  <c r="FG53" i="5"/>
  <c r="CW53" i="5"/>
  <c r="DU53" i="5"/>
  <c r="EZ53" i="5"/>
  <c r="ET53" i="5"/>
  <c r="GD37" i="5"/>
  <c r="GG37" i="5"/>
  <c r="FL37" i="5"/>
  <c r="FR37" i="5"/>
  <c r="GA37" i="5"/>
  <c r="EZ37" i="5"/>
  <c r="FG37" i="5"/>
  <c r="FO37" i="5"/>
  <c r="DU37" i="5"/>
  <c r="CW37" i="5"/>
  <c r="ET37" i="5"/>
  <c r="IE37" i="5"/>
  <c r="NX37" i="5" s="1"/>
  <c r="FL29" i="5"/>
  <c r="FO29" i="5"/>
  <c r="GD29" i="5"/>
  <c r="FR29" i="5"/>
  <c r="GG29" i="5"/>
  <c r="GA29" i="5"/>
  <c r="CW29" i="5"/>
  <c r="EZ29" i="5"/>
  <c r="FG29" i="5"/>
  <c r="DU29" i="5"/>
  <c r="ET29" i="5"/>
  <c r="IE29" i="5"/>
  <c r="NX29" i="5" s="1"/>
  <c r="FO13" i="5"/>
  <c r="FR13" i="5"/>
  <c r="GD13" i="5"/>
  <c r="GG13" i="5"/>
  <c r="EZ13" i="5"/>
  <c r="FG13" i="5"/>
  <c r="DU13" i="5"/>
  <c r="ET13" i="5"/>
  <c r="CW13" i="5"/>
  <c r="FL13" i="5"/>
  <c r="IE13" i="5"/>
  <c r="NX13" i="5" s="1"/>
  <c r="FR5" i="5"/>
  <c r="FL5" i="5"/>
  <c r="GG5" i="5"/>
  <c r="FO5" i="5"/>
  <c r="DU5" i="5"/>
  <c r="ET5" i="5"/>
  <c r="EZ5" i="5"/>
  <c r="CW5" i="5"/>
  <c r="FG5" i="5"/>
  <c r="IE5" i="5"/>
  <c r="NX5" i="5" s="1"/>
  <c r="HK126" i="5"/>
  <c r="HR126" i="5" s="1"/>
  <c r="HK71" i="5"/>
  <c r="HR71" i="5" s="1"/>
  <c r="HK55" i="5"/>
  <c r="HR55" i="5" s="1"/>
  <c r="HK47" i="5"/>
  <c r="HR47" i="5" s="1"/>
  <c r="FO153" i="5"/>
  <c r="GG153" i="5"/>
  <c r="FR153" i="5"/>
  <c r="IE153" i="5"/>
  <c r="GD153" i="5"/>
  <c r="FL153" i="5"/>
  <c r="DU153" i="5"/>
  <c r="ET153" i="5"/>
  <c r="IE145" i="5"/>
  <c r="FL145" i="5"/>
  <c r="FO145" i="5"/>
  <c r="GD145" i="5"/>
  <c r="FR145" i="5"/>
  <c r="GG145" i="5"/>
  <c r="GA145" i="5"/>
  <c r="DU145" i="5"/>
  <c r="ET145" i="5"/>
  <c r="EZ145" i="5"/>
  <c r="CW145" i="5"/>
  <c r="FG145" i="5"/>
  <c r="EC131" i="5"/>
  <c r="ED131" i="5" s="1"/>
  <c r="CT131" i="5"/>
  <c r="FR116" i="5"/>
  <c r="GD116" i="5"/>
  <c r="GG116" i="5"/>
  <c r="FL116" i="5"/>
  <c r="FO116" i="5"/>
  <c r="EZ116" i="5"/>
  <c r="DU116" i="5"/>
  <c r="FG116" i="5"/>
  <c r="ET116" i="5"/>
  <c r="CW116" i="5"/>
  <c r="IE116" i="5"/>
  <c r="EZ108" i="5"/>
  <c r="IE100" i="5"/>
  <c r="GG100" i="5"/>
  <c r="FR100" i="5"/>
  <c r="FL100" i="5"/>
  <c r="GA100" i="5"/>
  <c r="FO100" i="5"/>
  <c r="GD100" i="5"/>
  <c r="EZ100" i="5"/>
  <c r="FG100" i="5"/>
  <c r="DU100" i="5"/>
  <c r="ET100" i="5"/>
  <c r="GD92" i="5"/>
  <c r="GG92" i="5"/>
  <c r="FR92" i="5"/>
  <c r="GA92" i="5"/>
  <c r="FL92" i="5"/>
  <c r="FO92" i="5"/>
  <c r="EZ92" i="5"/>
  <c r="FG92" i="5"/>
  <c r="DU92" i="5"/>
  <c r="CW92" i="5"/>
  <c r="ET92" i="5"/>
  <c r="IE92" i="5"/>
  <c r="GA76" i="5"/>
  <c r="GD76" i="5"/>
  <c r="GG76" i="5"/>
  <c r="FL76" i="5"/>
  <c r="FO76" i="5"/>
  <c r="FR76" i="5"/>
  <c r="EZ76" i="5"/>
  <c r="FG76" i="5"/>
  <c r="DU76" i="5"/>
  <c r="CW76" i="5"/>
  <c r="ET76" i="5"/>
  <c r="IE76" i="5"/>
  <c r="NX76" i="5" s="1"/>
  <c r="GD68" i="5"/>
  <c r="FO68" i="5"/>
  <c r="GG68" i="5"/>
  <c r="FR68" i="5"/>
  <c r="FL68" i="5"/>
  <c r="EZ68" i="5"/>
  <c r="CW68" i="5"/>
  <c r="FG68" i="5"/>
  <c r="DU68" i="5"/>
  <c r="ET68" i="5"/>
  <c r="IE68" i="5"/>
  <c r="IE36" i="5"/>
  <c r="NX36" i="5" s="1"/>
  <c r="GG36" i="5"/>
  <c r="GA36" i="5"/>
  <c r="FL36" i="5"/>
  <c r="FO36" i="5"/>
  <c r="GD36" i="5"/>
  <c r="FR36" i="5"/>
  <c r="CW36" i="5"/>
  <c r="DU36" i="5"/>
  <c r="ET36" i="5"/>
  <c r="FR28" i="5"/>
  <c r="GA28" i="5"/>
  <c r="FL28" i="5"/>
  <c r="GD28" i="5"/>
  <c r="GG28" i="5"/>
  <c r="EZ28" i="5"/>
  <c r="CW28" i="5"/>
  <c r="FG28" i="5"/>
  <c r="FO28" i="5"/>
  <c r="DU28" i="5"/>
  <c r="ET28" i="5"/>
  <c r="IE28" i="5"/>
  <c r="EC12" i="5"/>
  <c r="ED12" i="5" s="1"/>
  <c r="CT12" i="5"/>
  <c r="GG4" i="5"/>
  <c r="FR4" i="5"/>
  <c r="GD4" i="5"/>
  <c r="FL4" i="5"/>
  <c r="DU4" i="5"/>
  <c r="ET4" i="5"/>
  <c r="CW4" i="5"/>
  <c r="EZ4" i="5"/>
  <c r="FO4" i="5"/>
  <c r="FG4" i="5"/>
  <c r="IE4" i="5"/>
  <c r="NX4" i="5" s="1"/>
  <c r="HK186" i="5"/>
  <c r="HR186" i="5" s="1"/>
  <c r="HK141" i="5"/>
  <c r="HR141" i="5" s="1"/>
  <c r="HK118" i="5"/>
  <c r="HR118" i="5" s="1"/>
  <c r="HK110" i="5"/>
  <c r="HR110" i="5" s="1"/>
  <c r="HK70" i="5"/>
  <c r="HR70" i="5" s="1"/>
  <c r="HK46" i="5"/>
  <c r="HR46" i="5" s="1"/>
  <c r="HK38" i="5"/>
  <c r="HR38" i="5" s="1"/>
  <c r="IE138" i="5"/>
  <c r="GG138" i="5"/>
  <c r="FR138" i="5"/>
  <c r="GA138" i="5"/>
  <c r="FL138" i="5"/>
  <c r="FO138" i="5"/>
  <c r="GD138" i="5"/>
  <c r="EZ138" i="5"/>
  <c r="FG138" i="5"/>
  <c r="DU138" i="5"/>
  <c r="CW138" i="5"/>
  <c r="ET138" i="5"/>
  <c r="EC130" i="5"/>
  <c r="ED130" i="5" s="1"/>
  <c r="CT130" i="5"/>
  <c r="IE115" i="5"/>
  <c r="NX115" i="5" s="1"/>
  <c r="FR115" i="5"/>
  <c r="GA115" i="5"/>
  <c r="GD115" i="5"/>
  <c r="GG115" i="5"/>
  <c r="FL115" i="5"/>
  <c r="DU115" i="5"/>
  <c r="ET115" i="5"/>
  <c r="FO115" i="5"/>
  <c r="CW115" i="5"/>
  <c r="EZ115" i="5"/>
  <c r="FG115" i="5"/>
  <c r="EZ99" i="5"/>
  <c r="FO83" i="5"/>
  <c r="FR83" i="5"/>
  <c r="GG83" i="5"/>
  <c r="GD83" i="5"/>
  <c r="EZ83" i="5"/>
  <c r="FL83" i="5"/>
  <c r="FG83" i="5"/>
  <c r="CW83" i="5"/>
  <c r="DU83" i="5"/>
  <c r="ET83" i="5"/>
  <c r="IE83" i="5"/>
  <c r="NX83" i="5" s="1"/>
  <c r="FR67" i="5"/>
  <c r="GA67" i="5"/>
  <c r="EZ67" i="5"/>
  <c r="GD67" i="5"/>
  <c r="GG67" i="5"/>
  <c r="CW67" i="5"/>
  <c r="DU67" i="5"/>
  <c r="FL67" i="5"/>
  <c r="ET67" i="5"/>
  <c r="IE67" i="5"/>
  <c r="NX67" i="5" s="1"/>
  <c r="IE59" i="5"/>
  <c r="FR59" i="5"/>
  <c r="GA59" i="5"/>
  <c r="GD59" i="5"/>
  <c r="GG59" i="5"/>
  <c r="FL59" i="5"/>
  <c r="FO59" i="5"/>
  <c r="DU59" i="5"/>
  <c r="ET59" i="5"/>
  <c r="EZ59" i="5"/>
  <c r="FG59" i="5"/>
  <c r="CW59" i="5"/>
  <c r="IE51" i="5"/>
  <c r="GG51" i="5"/>
  <c r="FR51" i="5"/>
  <c r="GA51" i="5"/>
  <c r="FL51" i="5"/>
  <c r="FO51" i="5"/>
  <c r="GD51" i="5"/>
  <c r="EZ51" i="5"/>
  <c r="FG51" i="5"/>
  <c r="DU51" i="5"/>
  <c r="ET51" i="5"/>
  <c r="CW51" i="5"/>
  <c r="GA35" i="5"/>
  <c r="GD35" i="5"/>
  <c r="GG35" i="5"/>
  <c r="FO35" i="5"/>
  <c r="EZ35" i="5"/>
  <c r="FR35" i="5"/>
  <c r="FL35" i="5"/>
  <c r="DU35" i="5"/>
  <c r="ET35" i="5"/>
  <c r="CW35" i="5"/>
  <c r="IE35" i="5"/>
  <c r="GG27" i="5"/>
  <c r="FR27" i="5"/>
  <c r="FG27" i="5"/>
  <c r="FL27" i="5"/>
  <c r="GD27" i="5"/>
  <c r="FO27" i="5"/>
  <c r="DU27" i="5"/>
  <c r="CW27" i="5"/>
  <c r="ET27" i="5"/>
  <c r="IE27" i="5"/>
  <c r="NX27" i="5" s="1"/>
  <c r="GA19" i="5"/>
  <c r="GD19" i="5"/>
  <c r="GG19" i="5"/>
  <c r="FO19" i="5"/>
  <c r="FR19" i="5"/>
  <c r="DU19" i="5"/>
  <c r="EZ19" i="5"/>
  <c r="ET19" i="5"/>
  <c r="FL19" i="5"/>
  <c r="CW19" i="5"/>
  <c r="IE19" i="5"/>
  <c r="NX19" i="5" s="1"/>
  <c r="GA11" i="5"/>
  <c r="GD11" i="5"/>
  <c r="GG11" i="5"/>
  <c r="FO11" i="5"/>
  <c r="FR11" i="5"/>
  <c r="EZ11" i="5"/>
  <c r="DU11" i="5"/>
  <c r="ET11" i="5"/>
  <c r="FL11" i="5"/>
  <c r="CW11" i="5"/>
  <c r="IE11" i="5"/>
  <c r="HK154" i="5"/>
  <c r="HR154" i="5" s="1"/>
  <c r="HK140" i="5"/>
  <c r="HR140" i="5" s="1"/>
  <c r="HK132" i="5"/>
  <c r="HR132" i="5" s="1"/>
  <c r="HK117" i="5"/>
  <c r="HR117" i="5" s="1"/>
  <c r="HK77" i="5"/>
  <c r="HR77" i="5" s="1"/>
  <c r="HK53" i="5"/>
  <c r="HR53" i="5" s="1"/>
  <c r="HK29" i="5"/>
  <c r="HR29" i="5" s="1"/>
  <c r="HK5" i="5"/>
  <c r="HR5" i="5" s="1"/>
  <c r="IE159" i="5"/>
  <c r="GD159" i="5"/>
  <c r="GG159" i="5"/>
  <c r="FR159" i="5"/>
  <c r="FL159" i="5"/>
  <c r="GA159" i="5"/>
  <c r="FO159" i="5"/>
  <c r="DU159" i="5"/>
  <c r="ET159" i="5"/>
  <c r="CW159" i="5"/>
  <c r="EZ159" i="5"/>
  <c r="FG159" i="5"/>
  <c r="IE137" i="5"/>
  <c r="GA137" i="5"/>
  <c r="FO137" i="5"/>
  <c r="GD137" i="5"/>
  <c r="GG137" i="5"/>
  <c r="FR137" i="5"/>
  <c r="EZ137" i="5"/>
  <c r="CW137" i="5"/>
  <c r="FG137" i="5"/>
  <c r="FL137" i="5"/>
  <c r="DU137" i="5"/>
  <c r="ET137" i="5"/>
  <c r="EC129" i="5"/>
  <c r="ED129" i="5" s="1"/>
  <c r="CT129" i="5"/>
  <c r="GG114" i="5"/>
  <c r="FO114" i="5"/>
  <c r="FR114" i="5"/>
  <c r="FG114" i="5"/>
  <c r="GA114" i="5"/>
  <c r="GD114" i="5"/>
  <c r="DU114" i="5"/>
  <c r="ET114" i="5"/>
  <c r="FL114" i="5"/>
  <c r="CW114" i="5"/>
  <c r="IE114" i="5"/>
  <c r="EZ106" i="5"/>
  <c r="IE98" i="5"/>
  <c r="NX98" i="5" s="1"/>
  <c r="GD98" i="5"/>
  <c r="GG98" i="5"/>
  <c r="FL98" i="5"/>
  <c r="FO98" i="5"/>
  <c r="FR98" i="5"/>
  <c r="GA98" i="5"/>
  <c r="EZ98" i="5"/>
  <c r="CW98" i="5"/>
  <c r="FG98" i="5"/>
  <c r="DU98" i="5"/>
  <c r="ET98" i="5"/>
  <c r="FO82" i="5"/>
  <c r="FR82" i="5"/>
  <c r="GG82" i="5"/>
  <c r="GA82" i="5"/>
  <c r="GD82" i="5"/>
  <c r="CW82" i="5"/>
  <c r="FG82" i="5"/>
  <c r="FL82" i="5"/>
  <c r="DU82" i="5"/>
  <c r="ET82" i="5"/>
  <c r="IE82" i="5"/>
  <c r="NX82" i="5" s="1"/>
  <c r="FL74" i="5"/>
  <c r="EZ74" i="5"/>
  <c r="FG74" i="5"/>
  <c r="CW74" i="5"/>
  <c r="IE74" i="5"/>
  <c r="NX74" i="5" s="1"/>
  <c r="FR66" i="5"/>
  <c r="FL66" i="5"/>
  <c r="EZ66" i="5"/>
  <c r="GG66" i="5"/>
  <c r="GD66" i="5"/>
  <c r="FO66" i="5"/>
  <c r="CW66" i="5"/>
  <c r="FG66" i="5"/>
  <c r="DU66" i="5"/>
  <c r="ET66" i="5"/>
  <c r="IE66" i="5"/>
  <c r="GG58" i="5"/>
  <c r="FO58" i="5"/>
  <c r="FR58" i="5"/>
  <c r="GA58" i="5"/>
  <c r="GD58" i="5"/>
  <c r="EZ58" i="5"/>
  <c r="FG58" i="5"/>
  <c r="DU58" i="5"/>
  <c r="FL58" i="5"/>
  <c r="ET58" i="5"/>
  <c r="CW58" i="5"/>
  <c r="IE58" i="5"/>
  <c r="NX58" i="5" s="1"/>
  <c r="GD50" i="5"/>
  <c r="FO50" i="5"/>
  <c r="FR50" i="5"/>
  <c r="FG50" i="5"/>
  <c r="GG50" i="5"/>
  <c r="FL50" i="5"/>
  <c r="GA50" i="5"/>
  <c r="CW50" i="5"/>
  <c r="DU50" i="5"/>
  <c r="ET50" i="5"/>
  <c r="IE50" i="5"/>
  <c r="GA26" i="5"/>
  <c r="GD26" i="5"/>
  <c r="GG26" i="5"/>
  <c r="FO26" i="5"/>
  <c r="FR26" i="5"/>
  <c r="EZ26" i="5"/>
  <c r="CW26" i="5"/>
  <c r="DU26" i="5"/>
  <c r="ET26" i="5"/>
  <c r="FL26" i="5"/>
  <c r="IE26" i="5"/>
  <c r="NX26" i="5" s="1"/>
  <c r="GA18" i="5"/>
  <c r="GD18" i="5"/>
  <c r="FL18" i="5"/>
  <c r="GG18" i="5"/>
  <c r="FO18" i="5"/>
  <c r="FR18" i="5"/>
  <c r="EZ18" i="5"/>
  <c r="DU18" i="5"/>
  <c r="FG18" i="5"/>
  <c r="ET18" i="5"/>
  <c r="CW18" i="5"/>
  <c r="IE18" i="5"/>
  <c r="NX18" i="5" s="1"/>
  <c r="GD10" i="5"/>
  <c r="GG10" i="5"/>
  <c r="FO10" i="5"/>
  <c r="FR10" i="5"/>
  <c r="GA10" i="5"/>
  <c r="EZ10" i="5"/>
  <c r="CW10" i="5"/>
  <c r="DU10" i="5"/>
  <c r="FL10" i="5"/>
  <c r="ET10" i="5"/>
  <c r="IE10" i="5"/>
  <c r="HK184" i="5"/>
  <c r="HR184" i="5" s="1"/>
  <c r="HK161" i="5"/>
  <c r="HR161" i="5" s="1"/>
  <c r="HK153" i="5"/>
  <c r="HR153" i="5" s="1"/>
  <c r="HK116" i="5"/>
  <c r="HR116" i="5" s="1"/>
  <c r="HK68" i="5"/>
  <c r="HR68" i="5" s="1"/>
  <c r="HK28" i="5"/>
  <c r="HR28" i="5" s="1"/>
  <c r="IE189" i="5"/>
  <c r="GG189" i="5"/>
  <c r="FR189" i="5"/>
  <c r="FL189" i="5"/>
  <c r="GA189" i="5"/>
  <c r="FO189" i="5"/>
  <c r="GD189" i="5"/>
  <c r="EZ189" i="5"/>
  <c r="CW189" i="5"/>
  <c r="DU189" i="5"/>
  <c r="ET189" i="5"/>
  <c r="FG189" i="5"/>
  <c r="FO158" i="5"/>
  <c r="FR158" i="5"/>
  <c r="GG158" i="5"/>
  <c r="GD158" i="5"/>
  <c r="IE158" i="5"/>
  <c r="EZ158" i="5"/>
  <c r="FG158" i="5"/>
  <c r="DU158" i="5"/>
  <c r="ET158" i="5"/>
  <c r="CW158" i="5"/>
  <c r="FL158" i="5"/>
  <c r="IE136" i="5"/>
  <c r="GD136" i="5"/>
  <c r="GG136" i="5"/>
  <c r="FO136" i="5"/>
  <c r="FR136" i="5"/>
  <c r="CW136" i="5"/>
  <c r="FG136" i="5"/>
  <c r="FL136" i="5"/>
  <c r="DU136" i="5"/>
  <c r="ET136" i="5"/>
  <c r="FR128" i="5"/>
  <c r="GG128" i="5"/>
  <c r="GD128" i="5"/>
  <c r="IE128" i="5"/>
  <c r="FL128" i="5"/>
  <c r="DU128" i="5"/>
  <c r="ET128" i="5"/>
  <c r="FO128" i="5"/>
  <c r="EZ128" i="5"/>
  <c r="CW128" i="5"/>
  <c r="FG128" i="5"/>
  <c r="FL113" i="5"/>
  <c r="FO113" i="5"/>
  <c r="GG113" i="5"/>
  <c r="FR113" i="5"/>
  <c r="GD113" i="5"/>
  <c r="EZ113" i="5"/>
  <c r="FG113" i="5"/>
  <c r="CW113" i="5"/>
  <c r="DU113" i="5"/>
  <c r="ET113" i="5"/>
  <c r="IE113" i="5"/>
  <c r="FR105" i="5"/>
  <c r="FL105" i="5"/>
  <c r="GG105" i="5"/>
  <c r="GD105" i="5"/>
  <c r="FO105" i="5"/>
  <c r="EZ105" i="5"/>
  <c r="FG105" i="5"/>
  <c r="DU105" i="5"/>
  <c r="CW105" i="5"/>
  <c r="ET105" i="5"/>
  <c r="IE105" i="5"/>
  <c r="IE97" i="5"/>
  <c r="FO97" i="5"/>
  <c r="FR97" i="5"/>
  <c r="GD97" i="5"/>
  <c r="GG97" i="5"/>
  <c r="DU97" i="5"/>
  <c r="ET97" i="5"/>
  <c r="EZ97" i="5"/>
  <c r="FG97" i="5"/>
  <c r="CW97" i="5"/>
  <c r="IE89" i="5"/>
  <c r="NX89" i="5" s="1"/>
  <c r="GG89" i="5"/>
  <c r="FR89" i="5"/>
  <c r="GD89" i="5"/>
  <c r="FO89" i="5"/>
  <c r="DU89" i="5"/>
  <c r="CW89" i="5"/>
  <c r="ET89" i="5"/>
  <c r="FG89" i="5"/>
  <c r="FL89" i="5"/>
  <c r="GD81" i="5"/>
  <c r="FO81" i="5"/>
  <c r="GG81" i="5"/>
  <c r="FR81" i="5"/>
  <c r="FL81" i="5"/>
  <c r="DU81" i="5"/>
  <c r="ET81" i="5"/>
  <c r="CW81" i="5"/>
  <c r="EZ81" i="5"/>
  <c r="FG81" i="5"/>
  <c r="IE81" i="5"/>
  <c r="GA65" i="5"/>
  <c r="FL65" i="5"/>
  <c r="FO65" i="5"/>
  <c r="GD65" i="5"/>
  <c r="GG65" i="5"/>
  <c r="FR65" i="5"/>
  <c r="EZ65" i="5"/>
  <c r="FG65" i="5"/>
  <c r="CW65" i="5"/>
  <c r="DU65" i="5"/>
  <c r="ET65" i="5"/>
  <c r="IE65" i="5"/>
  <c r="FO49" i="5"/>
  <c r="GG49" i="5"/>
  <c r="FR49" i="5"/>
  <c r="GD49" i="5"/>
  <c r="FL49" i="5"/>
  <c r="CW49" i="5"/>
  <c r="DU49" i="5"/>
  <c r="ET49" i="5"/>
  <c r="EZ49" i="5"/>
  <c r="FG49" i="5"/>
  <c r="IE49" i="5"/>
  <c r="IE41" i="5"/>
  <c r="GA41" i="5"/>
  <c r="GD41" i="5"/>
  <c r="GG41" i="5"/>
  <c r="FR41" i="5"/>
  <c r="FL41" i="5"/>
  <c r="FO41" i="5"/>
  <c r="DU41" i="5"/>
  <c r="ET41" i="5"/>
  <c r="EZ41" i="5"/>
  <c r="CW41" i="5"/>
  <c r="FG41" i="5"/>
  <c r="GD33" i="5"/>
  <c r="GG33" i="5"/>
  <c r="FL33" i="5"/>
  <c r="FO33" i="5"/>
  <c r="FR33" i="5"/>
  <c r="EZ33" i="5"/>
  <c r="CW33" i="5"/>
  <c r="FG33" i="5"/>
  <c r="DU33" i="5"/>
  <c r="ET33" i="5"/>
  <c r="IE33" i="5"/>
  <c r="EC9" i="5"/>
  <c r="ED9" i="5" s="1"/>
  <c r="CT9" i="5"/>
  <c r="ND191" i="5"/>
  <c r="RX172" i="5"/>
  <c r="RY172" i="5" s="1"/>
  <c r="RX112" i="5"/>
  <c r="RY112" i="5" s="1"/>
  <c r="RW149" i="5"/>
  <c r="RX142" i="5"/>
  <c r="RY142" i="5" s="1"/>
  <c r="RX158" i="5"/>
  <c r="RY158" i="5" s="1"/>
  <c r="RX146" i="5"/>
  <c r="RY146" i="5" s="1"/>
  <c r="RX136" i="5"/>
  <c r="RY136" i="5" s="1"/>
  <c r="RW130" i="5"/>
  <c r="RX130" i="5"/>
  <c r="RY130" i="5" s="1"/>
  <c r="RX125" i="5"/>
  <c r="RY125" i="5" s="1"/>
  <c r="RX113" i="5"/>
  <c r="RY113" i="5" s="1"/>
  <c r="RX107" i="5"/>
  <c r="RY107" i="5" s="1"/>
  <c r="RX101" i="5"/>
  <c r="RY101" i="5" s="1"/>
  <c r="RX65" i="5"/>
  <c r="RY65" i="5" s="1"/>
  <c r="RX59" i="5"/>
  <c r="RY59" i="5" s="1"/>
  <c r="RX41" i="5"/>
  <c r="RY41" i="5" s="1"/>
  <c r="RX35" i="5"/>
  <c r="RY35" i="5" s="1"/>
  <c r="RX23" i="5"/>
  <c r="RY23" i="5" s="1"/>
  <c r="RX11" i="5"/>
  <c r="RY11" i="5" s="1"/>
  <c r="RX169" i="5"/>
  <c r="RY169" i="5" s="1"/>
  <c r="RX157" i="5"/>
  <c r="RY157" i="5" s="1"/>
  <c r="RX145" i="5"/>
  <c r="RY145" i="5" s="1"/>
  <c r="RX135" i="5"/>
  <c r="RY135" i="5" s="1"/>
  <c r="RW129" i="5"/>
  <c r="RX129" i="5"/>
  <c r="RY129" i="5" s="1"/>
  <c r="RX124" i="5"/>
  <c r="RY124" i="5" s="1"/>
  <c r="RX106" i="5"/>
  <c r="RY106" i="5" s="1"/>
  <c r="RX100" i="5"/>
  <c r="RY100" i="5" s="1"/>
  <c r="RX88" i="5"/>
  <c r="RY88" i="5" s="1"/>
  <c r="RX70" i="5"/>
  <c r="RY70" i="5" s="1"/>
  <c r="RX52" i="5"/>
  <c r="RY52" i="5" s="1"/>
  <c r="RX46" i="5"/>
  <c r="RY46" i="5" s="1"/>
  <c r="RX34" i="5"/>
  <c r="RY34" i="5" s="1"/>
  <c r="RX28" i="5"/>
  <c r="RY28" i="5" s="1"/>
  <c r="RX22" i="5"/>
  <c r="RY22" i="5" s="1"/>
  <c r="RX16" i="5"/>
  <c r="RY16" i="5" s="1"/>
  <c r="RX10" i="5"/>
  <c r="RY10" i="5" s="1"/>
  <c r="NN10" i="5"/>
  <c r="RX185" i="5"/>
  <c r="RY185" i="5" s="1"/>
  <c r="RX173" i="5"/>
  <c r="RY173" i="5" s="1"/>
  <c r="RX168" i="5"/>
  <c r="RY168" i="5" s="1"/>
  <c r="RX144" i="5"/>
  <c r="RY144" i="5" s="1"/>
  <c r="RX140" i="5"/>
  <c r="RY140" i="5" s="1"/>
  <c r="RX134" i="5"/>
  <c r="RY134" i="5" s="1"/>
  <c r="RX128" i="5"/>
  <c r="RY128" i="5" s="1"/>
  <c r="NO105" i="5"/>
  <c r="RX99" i="5"/>
  <c r="RY99" i="5" s="1"/>
  <c r="RX93" i="5"/>
  <c r="RY93" i="5" s="1"/>
  <c r="RX87" i="5"/>
  <c r="RY87" i="5" s="1"/>
  <c r="NN81" i="5"/>
  <c r="RX75" i="5"/>
  <c r="RY75" i="5" s="1"/>
  <c r="NN69" i="5"/>
  <c r="RX57" i="5"/>
  <c r="RY57" i="5" s="1"/>
  <c r="RX51" i="5"/>
  <c r="RY51" i="5" s="1"/>
  <c r="RX45" i="5"/>
  <c r="RY45" i="5" s="1"/>
  <c r="RX39" i="5"/>
  <c r="RY39" i="5" s="1"/>
  <c r="RX15" i="5"/>
  <c r="RY15" i="5" s="1"/>
  <c r="RW9" i="5"/>
  <c r="IP9" i="5" s="1"/>
  <c r="RX155" i="5"/>
  <c r="RY155" i="5" s="1"/>
  <c r="RX149" i="5"/>
  <c r="RY149" i="5" s="1"/>
  <c r="RX139" i="5"/>
  <c r="RY139" i="5" s="1"/>
  <c r="RX133" i="5"/>
  <c r="RY133" i="5" s="1"/>
  <c r="RX127" i="5"/>
  <c r="RY127" i="5" s="1"/>
  <c r="RX116" i="5"/>
  <c r="RY116" i="5" s="1"/>
  <c r="RX110" i="5"/>
  <c r="RY110" i="5" s="1"/>
  <c r="RX92" i="5"/>
  <c r="RY92" i="5" s="1"/>
  <c r="RX86" i="5"/>
  <c r="RY86" i="5" s="1"/>
  <c r="RX80" i="5"/>
  <c r="RY80" i="5" s="1"/>
  <c r="RX68" i="5"/>
  <c r="RY68" i="5" s="1"/>
  <c r="RX62" i="5"/>
  <c r="RY62" i="5" s="1"/>
  <c r="RX50" i="5"/>
  <c r="RY50" i="5" s="1"/>
  <c r="RX44" i="5"/>
  <c r="RY44" i="5" s="1"/>
  <c r="RX38" i="5"/>
  <c r="RY38" i="5" s="1"/>
  <c r="RX32" i="5"/>
  <c r="RY32" i="5" s="1"/>
  <c r="RX20" i="5"/>
  <c r="RY20" i="5" s="1"/>
  <c r="RX189" i="5"/>
  <c r="RY189" i="5" s="1"/>
  <c r="RX154" i="5"/>
  <c r="RY154" i="5" s="1"/>
  <c r="RX143" i="5"/>
  <c r="RY143" i="5" s="1"/>
  <c r="RX138" i="5"/>
  <c r="RY138" i="5" s="1"/>
  <c r="RX132" i="5"/>
  <c r="RY132" i="5" s="1"/>
  <c r="RX126" i="5"/>
  <c r="RY126" i="5" s="1"/>
  <c r="RX121" i="5"/>
  <c r="RY121" i="5" s="1"/>
  <c r="RX103" i="5"/>
  <c r="RY103" i="5" s="1"/>
  <c r="RX97" i="5"/>
  <c r="RY97" i="5" s="1"/>
  <c r="RX91" i="5"/>
  <c r="RY91" i="5" s="1"/>
  <c r="RX55" i="5"/>
  <c r="RY55" i="5" s="1"/>
  <c r="RX49" i="5"/>
  <c r="RY49" i="5" s="1"/>
  <c r="RX31" i="5"/>
  <c r="RY31" i="5" s="1"/>
  <c r="RX25" i="5"/>
  <c r="RY25" i="5" s="1"/>
  <c r="RX159" i="5"/>
  <c r="RY159" i="5" s="1"/>
  <c r="RX153" i="5"/>
  <c r="RY153" i="5" s="1"/>
  <c r="RX137" i="5"/>
  <c r="RY137" i="5" s="1"/>
  <c r="RW131" i="5"/>
  <c r="IP131" i="5" s="1"/>
  <c r="NQ239" i="5" s="1"/>
  <c r="RX131" i="5"/>
  <c r="RY131" i="5" s="1"/>
  <c r="RX120" i="5"/>
  <c r="RY120" i="5" s="1"/>
  <c r="RX114" i="5"/>
  <c r="RY114" i="5" s="1"/>
  <c r="RX108" i="5"/>
  <c r="RY108" i="5" s="1"/>
  <c r="RX102" i="5"/>
  <c r="RY102" i="5" s="1"/>
  <c r="RX96" i="5"/>
  <c r="RY96" i="5" s="1"/>
  <c r="RX90" i="5"/>
  <c r="RY90" i="5" s="1"/>
  <c r="RX84" i="5"/>
  <c r="RY84" i="5" s="1"/>
  <c r="RX78" i="5"/>
  <c r="RY78" i="5" s="1"/>
  <c r="RX72" i="5"/>
  <c r="RY72" i="5" s="1"/>
  <c r="RX66" i="5"/>
  <c r="RY66" i="5" s="1"/>
  <c r="RX60" i="5"/>
  <c r="RY60" i="5" s="1"/>
  <c r="RX54" i="5"/>
  <c r="RY54" i="5" s="1"/>
  <c r="RX42" i="5"/>
  <c r="RY42" i="5" s="1"/>
  <c r="RX30" i="5"/>
  <c r="RY30" i="5" s="1"/>
  <c r="RW12" i="5"/>
  <c r="IP12" i="5" s="1"/>
  <c r="RX12" i="5"/>
  <c r="RY12" i="5" s="1"/>
  <c r="HR92" i="5"/>
  <c r="HR66" i="5"/>
  <c r="ND166" i="5"/>
  <c r="C17" i="30"/>
  <c r="RX27" i="5"/>
  <c r="RY27" i="5" s="1"/>
  <c r="RX98" i="5"/>
  <c r="RY98" i="5" s="1"/>
  <c r="RX74" i="5"/>
  <c r="RY74" i="5" s="1"/>
  <c r="RX56" i="5"/>
  <c r="RY56" i="5" s="1"/>
  <c r="RX26" i="5"/>
  <c r="RY26" i="5" s="1"/>
  <c r="RX115" i="5"/>
  <c r="RY115" i="5" s="1"/>
  <c r="RX109" i="5"/>
  <c r="RY109" i="5" s="1"/>
  <c r="RX85" i="5"/>
  <c r="RY85" i="5" s="1"/>
  <c r="RX79" i="5"/>
  <c r="RY79" i="5" s="1"/>
  <c r="RX73" i="5"/>
  <c r="RY73" i="5" s="1"/>
  <c r="RX67" i="5"/>
  <c r="RY67" i="5" s="1"/>
  <c r="RX37" i="5"/>
  <c r="RY37" i="5" s="1"/>
  <c r="RX19" i="5"/>
  <c r="RY19" i="5" s="1"/>
  <c r="RX48" i="5"/>
  <c r="RY48" i="5" s="1"/>
  <c r="RX36" i="5"/>
  <c r="RY36" i="5" s="1"/>
  <c r="RX24" i="5"/>
  <c r="RY24" i="5" s="1"/>
  <c r="RX18" i="5"/>
  <c r="RY18" i="5" s="1"/>
  <c r="RX89" i="5"/>
  <c r="RY89" i="5" s="1"/>
  <c r="RX83" i="5"/>
  <c r="RY83" i="5" s="1"/>
  <c r="RX77" i="5"/>
  <c r="RY77" i="5" s="1"/>
  <c r="RX71" i="5"/>
  <c r="RY71" i="5" s="1"/>
  <c r="RX53" i="5"/>
  <c r="RY53" i="5" s="1"/>
  <c r="RX47" i="5"/>
  <c r="RY47" i="5" s="1"/>
  <c r="RX29" i="5"/>
  <c r="RY29" i="5" s="1"/>
  <c r="RX17" i="5"/>
  <c r="RY17" i="5" s="1"/>
  <c r="RX94" i="5"/>
  <c r="RY94" i="5" s="1"/>
  <c r="RX82" i="5"/>
  <c r="RY82" i="5" s="1"/>
  <c r="RX76" i="5"/>
  <c r="RY76" i="5" s="1"/>
  <c r="RX64" i="5"/>
  <c r="RY64" i="5" s="1"/>
  <c r="RX58" i="5"/>
  <c r="RY58" i="5" s="1"/>
  <c r="RX13" i="5"/>
  <c r="RY13" i="5" s="1"/>
  <c r="RX8" i="5"/>
  <c r="RY8" i="5" s="1"/>
  <c r="RX6" i="5"/>
  <c r="RY6" i="5" s="1"/>
  <c r="RX5" i="5"/>
  <c r="RY5" i="5" s="1"/>
  <c r="RX4" i="5"/>
  <c r="RY4" i="5" s="1"/>
  <c r="RX7" i="5"/>
  <c r="RY7" i="5" s="1"/>
  <c r="RW107" i="5"/>
  <c r="RW95" i="5"/>
  <c r="RW23" i="5"/>
  <c r="IP23" i="5" s="1"/>
  <c r="RW52" i="5"/>
  <c r="IP52" i="5" s="1"/>
  <c r="RW34" i="5"/>
  <c r="IP34" i="5" s="1"/>
  <c r="RW22" i="5"/>
  <c r="IP22" i="5" s="1"/>
  <c r="RW16" i="5"/>
  <c r="RW93" i="5"/>
  <c r="IP93" i="5" s="1"/>
  <c r="RW75" i="5"/>
  <c r="IP75" i="5" s="1"/>
  <c r="JE74" i="5" s="1"/>
  <c r="RW57" i="5"/>
  <c r="RW45" i="5"/>
  <c r="IP45" i="5" s="1"/>
  <c r="RW39" i="5"/>
  <c r="IP39" i="5" s="1"/>
  <c r="RW15" i="5"/>
  <c r="IP15" i="5" s="1"/>
  <c r="RW104" i="5"/>
  <c r="IP104" i="5" s="1"/>
  <c r="NQ237" i="5" s="1"/>
  <c r="RW86" i="5"/>
  <c r="IP86" i="5" s="1"/>
  <c r="RW80" i="5"/>
  <c r="IP80" i="5" s="1"/>
  <c r="RW62" i="5"/>
  <c r="RW44" i="5"/>
  <c r="IP44" i="5" s="1"/>
  <c r="RW20" i="5"/>
  <c r="IP20" i="5" s="1"/>
  <c r="RW14" i="5"/>
  <c r="RW31" i="5"/>
  <c r="IP31" i="5" s="1"/>
  <c r="RW25" i="5"/>
  <c r="IP25" i="5" s="1"/>
  <c r="RW84" i="5"/>
  <c r="IP84" i="5" s="1"/>
  <c r="RW60" i="5"/>
  <c r="IP60" i="5" s="1"/>
  <c r="RW54" i="5"/>
  <c r="IP54" i="5" s="1"/>
  <c r="RW42" i="5"/>
  <c r="IP42" i="5" s="1"/>
  <c r="RW30" i="5"/>
  <c r="IP30" i="5" s="1"/>
  <c r="RW6" i="5"/>
  <c r="IP6" i="5" s="1"/>
  <c r="MY5" i="5"/>
  <c r="NR82" i="5"/>
  <c r="NR76" i="5"/>
  <c r="NN64" i="5"/>
  <c r="NN58" i="5"/>
  <c r="MY4" i="5"/>
  <c r="NR27" i="5"/>
  <c r="NN98" i="5"/>
  <c r="NN56" i="5"/>
  <c r="NN26" i="5"/>
  <c r="NN115" i="5"/>
  <c r="NR109" i="5"/>
  <c r="NN85" i="5"/>
  <c r="NR79" i="5"/>
  <c r="NN73" i="5"/>
  <c r="NN67" i="5"/>
  <c r="NN37" i="5"/>
  <c r="NN19" i="5"/>
  <c r="NN13" i="5"/>
  <c r="NN7" i="5"/>
  <c r="NR48" i="5"/>
  <c r="NR36" i="5"/>
  <c r="NR24" i="5"/>
  <c r="NR18" i="5"/>
  <c r="MY7" i="5"/>
  <c r="NZ23" i="5"/>
  <c r="CJ23" i="5" s="1"/>
  <c r="NN82" i="5"/>
  <c r="NN76" i="5"/>
  <c r="NN74" i="5"/>
  <c r="NN48" i="5"/>
  <c r="NN36" i="5"/>
  <c r="NN24" i="5"/>
  <c r="NN18" i="5"/>
  <c r="NN4" i="5"/>
  <c r="NR67" i="5"/>
  <c r="NR29" i="5"/>
  <c r="NZ34" i="5"/>
  <c r="NR4" i="5"/>
  <c r="NR85" i="5"/>
  <c r="NR115" i="5"/>
  <c r="NR47" i="5"/>
  <c r="NR71" i="5"/>
  <c r="NR77" i="5"/>
  <c r="NZ93" i="5"/>
  <c r="NZ75" i="5"/>
  <c r="NZ39" i="5"/>
  <c r="NO115" i="5"/>
  <c r="NO109" i="5"/>
  <c r="NO89" i="5"/>
  <c r="NO85" i="5"/>
  <c r="NO83" i="5"/>
  <c r="NO79" i="5"/>
  <c r="NO77" i="5"/>
  <c r="NO73" i="5"/>
  <c r="NO71" i="5"/>
  <c r="NO67" i="5"/>
  <c r="NO53" i="5"/>
  <c r="NO47" i="5"/>
  <c r="NO37" i="5"/>
  <c r="NO29" i="5"/>
  <c r="NO27" i="5"/>
  <c r="NO21" i="5"/>
  <c r="NO19" i="5"/>
  <c r="NO13" i="5"/>
  <c r="NO7" i="5"/>
  <c r="NO5" i="5"/>
  <c r="NR5" i="5"/>
  <c r="NR37" i="5"/>
  <c r="NZ62" i="5"/>
  <c r="CJ62" i="5" s="1"/>
  <c r="NZ44" i="5"/>
  <c r="CJ44" i="5" s="1"/>
  <c r="NZ20" i="5"/>
  <c r="CJ20" i="5" s="1"/>
  <c r="NN109" i="5"/>
  <c r="NN89" i="5"/>
  <c r="NN83" i="5"/>
  <c r="NN79" i="5"/>
  <c r="NN77" i="5"/>
  <c r="NN71" i="5"/>
  <c r="NN53" i="5"/>
  <c r="NN47" i="5"/>
  <c r="NN29" i="5"/>
  <c r="NN27" i="5"/>
  <c r="NN5" i="5"/>
  <c r="NR26" i="5"/>
  <c r="NR53" i="5"/>
  <c r="NX73" i="5"/>
  <c r="NZ31" i="5"/>
  <c r="NZ25" i="5"/>
  <c r="NR89" i="5"/>
  <c r="NR13" i="5"/>
  <c r="NR56" i="5"/>
  <c r="NZ42" i="5"/>
  <c r="NZ30" i="5"/>
  <c r="NZ6" i="5"/>
  <c r="CJ6" i="5" s="1"/>
  <c r="NO98" i="5"/>
  <c r="NO82" i="5"/>
  <c r="NO76" i="5"/>
  <c r="NO74" i="5"/>
  <c r="NO64" i="5"/>
  <c r="NO58" i="5"/>
  <c r="NO56" i="5"/>
  <c r="NO48" i="5"/>
  <c r="NO36" i="5"/>
  <c r="NO26" i="5"/>
  <c r="NO24" i="5"/>
  <c r="NO18" i="5"/>
  <c r="NO4" i="5"/>
  <c r="NR83" i="5"/>
  <c r="NR98" i="5"/>
  <c r="NR19" i="5"/>
  <c r="NR64" i="5"/>
  <c r="NR73" i="5"/>
  <c r="NR21" i="5"/>
  <c r="NR58" i="5"/>
  <c r="NZ107" i="5"/>
  <c r="NZ95" i="5"/>
  <c r="NZ57" i="5"/>
  <c r="CJ57" i="5" s="1"/>
  <c r="NZ104" i="5"/>
  <c r="NZ84" i="5"/>
  <c r="OQ84" i="5" s="1"/>
  <c r="NZ80" i="5"/>
  <c r="OG80" i="5" s="1"/>
  <c r="NZ60" i="5"/>
  <c r="NZ52" i="5"/>
  <c r="NZ22" i="5"/>
  <c r="CJ22" i="5" s="1"/>
  <c r="NZ16" i="5"/>
  <c r="NZ14" i="5"/>
  <c r="ND61" i="5"/>
  <c r="E17" i="30"/>
  <c r="NX247" i="5"/>
  <c r="NX245" i="5"/>
  <c r="NX243" i="5"/>
  <c r="NX241" i="5"/>
  <c r="NX237" i="5"/>
  <c r="NX235" i="5"/>
  <c r="NX221" i="5"/>
  <c r="NX217" i="5"/>
  <c r="NX186" i="5"/>
  <c r="NX184" i="5"/>
  <c r="NX182" i="5"/>
  <c r="NX178" i="5"/>
  <c r="NX167" i="5"/>
  <c r="NX163" i="5"/>
  <c r="NX161" i="5"/>
  <c r="NX151" i="5"/>
  <c r="NX147" i="5"/>
  <c r="NX141" i="5"/>
  <c r="NX122" i="5"/>
  <c r="NX118" i="5"/>
  <c r="NX40" i="5"/>
  <c r="NX248" i="5"/>
  <c r="NX246" i="5"/>
  <c r="NX244" i="5"/>
  <c r="NX240" i="5"/>
  <c r="NX236" i="5"/>
  <c r="NX220" i="5"/>
  <c r="NX218" i="5"/>
  <c r="NX216" i="5"/>
  <c r="NX215" i="5"/>
  <c r="NX214" i="5"/>
  <c r="NX207" i="5"/>
  <c r="NX202" i="5"/>
  <c r="NX192" i="5"/>
  <c r="NX191" i="5"/>
  <c r="NX187" i="5"/>
  <c r="NX183" i="5"/>
  <c r="NX166" i="5"/>
  <c r="NX160" i="5"/>
  <c r="NX123" i="5"/>
  <c r="NX119" i="5"/>
  <c r="NX117" i="5"/>
  <c r="NX111" i="5"/>
  <c r="NX61" i="5"/>
  <c r="NX43" i="5"/>
  <c r="NR224" i="5"/>
  <c r="NR220" i="5"/>
  <c r="NR238" i="5"/>
  <c r="NR202" i="5"/>
  <c r="NE247" i="5"/>
  <c r="HK247" i="5" s="1"/>
  <c r="NE245" i="5"/>
  <c r="HK245" i="5" s="1"/>
  <c r="NE244" i="5"/>
  <c r="HK244" i="5" s="1"/>
  <c r="NE241" i="5"/>
  <c r="HK241" i="5" s="1"/>
  <c r="NE238" i="5"/>
  <c r="HK238" i="5" s="1"/>
  <c r="NE236" i="5"/>
  <c r="HK236" i="5" s="1"/>
  <c r="NE235" i="5"/>
  <c r="HK235" i="5" s="1"/>
  <c r="NE230" i="5"/>
  <c r="HK230" i="5" s="1"/>
  <c r="HR230" i="5" s="1"/>
  <c r="NE229" i="5"/>
  <c r="HK229" i="5" s="1"/>
  <c r="NE227" i="5"/>
  <c r="HK227" i="5" s="1"/>
  <c r="NE223" i="5"/>
  <c r="HK223" i="5" s="1"/>
  <c r="NE221" i="5"/>
  <c r="HK221" i="5" s="1"/>
  <c r="NE220" i="5"/>
  <c r="HK220" i="5" s="1"/>
  <c r="NS43" i="5"/>
  <c r="NU43" i="5" s="1"/>
  <c r="NS40" i="5"/>
  <c r="NU40" i="5" s="1"/>
  <c r="NS61" i="5"/>
  <c r="NU61" i="5" s="1"/>
  <c r="MS45" i="5"/>
  <c r="MS15" i="5"/>
  <c r="MS244" i="5"/>
  <c r="MS227" i="5"/>
  <c r="MR111" i="5"/>
  <c r="MR230" i="5"/>
  <c r="MS18" i="5"/>
  <c r="MS236" i="5"/>
  <c r="MR218" i="5"/>
  <c r="MS123" i="5"/>
  <c r="MR66" i="5"/>
  <c r="MS180" i="5"/>
  <c r="MR177" i="5"/>
  <c r="MR123" i="5"/>
  <c r="MR117" i="5"/>
  <c r="MS238" i="5"/>
  <c r="MS186" i="5"/>
  <c r="MS58" i="5"/>
  <c r="MS55" i="5"/>
  <c r="MS185" i="5"/>
  <c r="MS168" i="5"/>
  <c r="MS54" i="5"/>
  <c r="MR54" i="5"/>
  <c r="MR239" i="5"/>
  <c r="MS239" i="5"/>
  <c r="MR224" i="5"/>
  <c r="MS224" i="5"/>
  <c r="NE82" i="5"/>
  <c r="MS82" i="5"/>
  <c r="MS242" i="5"/>
  <c r="MR242" i="5"/>
  <c r="MS209" i="5"/>
  <c r="NE150" i="5"/>
  <c r="MR150" i="5"/>
  <c r="MS105" i="5"/>
  <c r="NE105" i="5"/>
  <c r="MR105" i="5"/>
  <c r="MR93" i="5"/>
  <c r="MS93" i="5"/>
  <c r="MR248" i="5"/>
  <c r="MS248" i="5"/>
  <c r="MR226" i="5"/>
  <c r="MS226" i="5"/>
  <c r="MS211" i="5"/>
  <c r="MS165" i="5"/>
  <c r="MS36" i="5"/>
  <c r="MR36" i="5"/>
  <c r="MS232" i="5"/>
  <c r="MS220" i="5"/>
  <c r="MR215" i="5"/>
  <c r="MR131" i="5"/>
  <c r="MS112" i="5"/>
  <c r="MS99" i="5"/>
  <c r="MR96" i="5"/>
  <c r="MS30" i="5"/>
  <c r="MR19" i="5"/>
  <c r="NE135" i="5"/>
  <c r="NE58" i="5"/>
  <c r="MS215" i="5"/>
  <c r="MS247" i="5"/>
  <c r="MS235" i="5"/>
  <c r="MS223" i="5"/>
  <c r="MR204" i="5"/>
  <c r="MR185" i="5"/>
  <c r="MR182" i="5"/>
  <c r="ND182" i="5" s="1"/>
  <c r="MR180" i="5"/>
  <c r="MR165" i="5"/>
  <c r="MS151" i="5"/>
  <c r="MR129" i="5"/>
  <c r="MS118" i="5"/>
  <c r="MR91" i="5"/>
  <c r="MR88" i="5"/>
  <c r="MS76" i="5"/>
  <c r="MR13" i="5"/>
  <c r="MR6" i="5"/>
  <c r="NE171" i="5"/>
  <c r="NE111" i="5"/>
  <c r="NE103" i="5"/>
  <c r="MS245" i="5"/>
  <c r="MS233" i="5"/>
  <c r="MS221" i="5"/>
  <c r="MS210" i="5"/>
  <c r="MS81" i="5"/>
  <c r="MS241" i="5"/>
  <c r="MS229" i="5"/>
  <c r="MR210" i="5"/>
  <c r="MR179" i="5"/>
  <c r="MS156" i="5"/>
  <c r="MS150" i="5"/>
  <c r="MR148" i="5"/>
  <c r="MR136" i="5"/>
  <c r="MR119" i="5"/>
  <c r="MS117" i="5"/>
  <c r="MR103" i="5"/>
  <c r="MS94" i="5"/>
  <c r="MR81" i="5"/>
  <c r="MS60" i="5"/>
  <c r="MR34" i="5"/>
  <c r="NE137" i="5"/>
  <c r="NE136" i="5"/>
  <c r="NE134" i="5"/>
  <c r="NE61" i="5"/>
  <c r="NE13" i="5"/>
  <c r="NE4" i="5"/>
  <c r="MR213" i="5"/>
  <c r="MS217" i="5"/>
  <c r="NE218" i="5"/>
  <c r="HK218" i="5" s="1"/>
  <c r="HR218" i="5" s="1"/>
  <c r="NE217" i="5"/>
  <c r="HK217" i="5" s="1"/>
  <c r="NE216" i="5"/>
  <c r="HK216" i="5" s="1"/>
  <c r="NE214" i="5"/>
  <c r="HK214" i="5" s="1"/>
  <c r="HR214" i="5" s="1"/>
  <c r="MR211" i="5"/>
  <c r="MR209" i="5"/>
  <c r="MS203" i="5"/>
  <c r="MR186" i="5"/>
  <c r="ND186" i="5" s="1"/>
  <c r="NE212" i="5"/>
  <c r="HK212" i="5" s="1"/>
  <c r="NE207" i="5"/>
  <c r="HK207" i="5" s="1"/>
  <c r="NE206" i="5"/>
  <c r="HK206" i="5" s="1"/>
  <c r="HR206" i="5" s="1"/>
  <c r="NE204" i="5"/>
  <c r="HK204" i="5" s="1"/>
  <c r="NE202" i="5"/>
  <c r="HK202" i="5" s="1"/>
  <c r="NE192" i="5"/>
  <c r="HK192" i="5" s="1"/>
  <c r="NE191" i="5"/>
  <c r="HK191" i="5" s="1"/>
  <c r="NE190" i="5"/>
  <c r="NE189" i="5"/>
  <c r="NE188" i="5"/>
  <c r="NE187" i="5"/>
  <c r="NE183" i="5"/>
  <c r="NE182" i="5"/>
  <c r="NE181" i="5"/>
  <c r="NE179" i="5"/>
  <c r="NE178" i="5"/>
  <c r="NE176" i="5"/>
  <c r="NE175" i="5"/>
  <c r="NE174" i="5"/>
  <c r="MR187" i="5"/>
  <c r="ND187" i="5" s="1"/>
  <c r="MR170" i="5"/>
  <c r="MS166" i="5"/>
  <c r="NE166" i="5"/>
  <c r="MS157" i="5"/>
  <c r="MR156" i="5"/>
  <c r="MR151" i="5"/>
  <c r="ND151" i="5" s="1"/>
  <c r="HI151" i="5" s="1"/>
  <c r="NE163" i="5"/>
  <c r="NE162" i="5"/>
  <c r="NE158" i="5"/>
  <c r="NE157" i="5"/>
  <c r="NE152" i="5"/>
  <c r="HK152" i="5" s="1"/>
  <c r="HI152" i="5" s="1"/>
  <c r="MR152" i="5"/>
  <c r="MS144" i="5"/>
  <c r="NE148" i="5"/>
  <c r="NE147" i="5"/>
  <c r="NE145" i="5"/>
  <c r="NE142" i="5"/>
  <c r="MS145" i="5"/>
  <c r="MS143" i="5"/>
  <c r="MR147" i="5"/>
  <c r="ND147" i="5" s="1"/>
  <c r="MS137" i="5"/>
  <c r="MS138" i="5"/>
  <c r="MR135" i="5"/>
  <c r="MR138" i="5"/>
  <c r="MR134" i="5"/>
  <c r="MS132" i="5"/>
  <c r="MR132" i="5"/>
  <c r="MR128" i="5"/>
  <c r="NE128" i="5"/>
  <c r="MS124" i="5"/>
  <c r="NE125" i="5"/>
  <c r="NE122" i="5"/>
  <c r="MR118" i="5"/>
  <c r="MR114" i="5"/>
  <c r="MR112" i="5"/>
  <c r="NE119" i="5"/>
  <c r="NE115" i="5"/>
  <c r="NE114" i="5"/>
  <c r="NE113" i="5"/>
  <c r="MR115" i="5"/>
  <c r="MR108" i="5"/>
  <c r="MR109" i="5"/>
  <c r="NE109" i="5"/>
  <c r="MS106" i="5"/>
  <c r="NE106" i="5"/>
  <c r="MR102" i="5"/>
  <c r="NE102" i="5"/>
  <c r="MS100" i="5"/>
  <c r="MR99" i="5"/>
  <c r="NE100" i="5"/>
  <c r="MR97" i="5"/>
  <c r="NE97" i="5"/>
  <c r="MR94" i="5"/>
  <c r="MR90" i="5"/>
  <c r="MR87" i="5"/>
  <c r="NE87" i="5"/>
  <c r="MR84" i="5"/>
  <c r="MR82" i="5"/>
  <c r="MR78" i="5"/>
  <c r="NE85" i="5"/>
  <c r="NE79" i="5"/>
  <c r="NE78" i="5"/>
  <c r="NE76" i="5"/>
  <c r="MR85" i="5"/>
  <c r="MR79" i="5"/>
  <c r="MS69" i="5"/>
  <c r="NE73" i="5"/>
  <c r="NE69" i="5"/>
  <c r="MR73" i="5"/>
  <c r="MS66" i="5"/>
  <c r="MS64" i="5"/>
  <c r="NE64" i="5"/>
  <c r="NE63" i="5"/>
  <c r="MS63" i="5"/>
  <c r="MS61" i="5"/>
  <c r="MS57" i="5"/>
  <c r="MR55" i="5"/>
  <c r="MS52" i="5"/>
  <c r="MR48" i="5"/>
  <c r="NE48" i="5"/>
  <c r="NE43" i="5"/>
  <c r="MR43" i="5"/>
  <c r="MR42" i="5"/>
  <c r="MS42" i="5"/>
  <c r="MS39" i="5"/>
  <c r="MR37" i="5"/>
  <c r="NE37" i="5"/>
  <c r="NE36" i="5"/>
  <c r="MR33" i="5"/>
  <c r="NE33" i="5"/>
  <c r="MR31" i="5"/>
  <c r="MR30" i="5"/>
  <c r="MR24" i="5"/>
  <c r="NE24" i="5"/>
  <c r="MR21" i="5"/>
  <c r="NE21" i="5"/>
  <c r="NE19" i="5"/>
  <c r="NE18" i="5"/>
  <c r="MR12" i="5"/>
  <c r="MR10" i="5"/>
  <c r="NE10" i="5"/>
  <c r="MR9" i="5"/>
  <c r="MR7" i="5"/>
  <c r="MS6" i="5"/>
  <c r="NE7" i="5"/>
  <c r="MS188" i="5"/>
  <c r="MR183" i="5"/>
  <c r="ND183" i="5" s="1"/>
  <c r="MR178" i="5"/>
  <c r="ND178" i="5" s="1"/>
  <c r="MR163" i="5"/>
  <c r="ND163" i="5" s="1"/>
  <c r="MS161" i="5"/>
  <c r="MR161" i="5"/>
  <c r="ND161" i="5" s="1"/>
  <c r="MR159" i="5"/>
  <c r="MS159" i="5"/>
  <c r="MR140" i="5"/>
  <c r="MS140" i="5"/>
  <c r="MR121" i="5"/>
  <c r="MS121" i="5"/>
  <c r="MS49" i="5"/>
  <c r="MR49" i="5"/>
  <c r="MS25" i="5"/>
  <c r="MR25" i="5"/>
  <c r="MS189" i="5"/>
  <c r="MS176" i="5"/>
  <c r="MS173" i="5"/>
  <c r="MS171" i="5"/>
  <c r="MR168" i="5"/>
  <c r="MS127" i="5"/>
  <c r="MR127" i="5"/>
  <c r="MR120" i="5"/>
  <c r="MS120" i="5"/>
  <c r="MR70" i="5"/>
  <c r="MS70" i="5"/>
  <c r="MS46" i="5"/>
  <c r="MR46" i="5"/>
  <c r="MS22" i="5"/>
  <c r="MR22" i="5"/>
  <c r="MR202" i="5"/>
  <c r="MS174" i="5"/>
  <c r="MR169" i="5"/>
  <c r="MR162" i="5"/>
  <c r="MR160" i="5"/>
  <c r="ND160" i="5" s="1"/>
  <c r="MS160" i="5"/>
  <c r="MR154" i="5"/>
  <c r="MS154" i="5"/>
  <c r="MR126" i="5"/>
  <c r="MS126" i="5"/>
  <c r="MR67" i="5"/>
  <c r="MS67" i="5"/>
  <c r="MR51" i="5"/>
  <c r="MS51" i="5"/>
  <c r="MR27" i="5"/>
  <c r="MS27" i="5"/>
  <c r="MR153" i="5"/>
  <c r="MS153" i="5"/>
  <c r="MR141" i="5"/>
  <c r="ND141" i="5" s="1"/>
  <c r="HI141" i="5" s="1"/>
  <c r="MS141" i="5"/>
  <c r="MR75" i="5"/>
  <c r="MS75" i="5"/>
  <c r="MR72" i="5"/>
  <c r="MS72" i="5"/>
  <c r="MS40" i="5"/>
  <c r="MR40" i="5"/>
  <c r="MS16" i="5"/>
  <c r="MR16" i="5"/>
  <c r="MS28" i="5"/>
  <c r="MR28" i="5"/>
  <c r="MS167" i="5"/>
  <c r="MR167" i="5"/>
  <c r="ND167" i="5" s="1"/>
  <c r="HI167" i="5" s="1"/>
  <c r="MS116" i="5"/>
  <c r="MR116" i="5"/>
  <c r="MR246" i="5"/>
  <c r="MS246" i="5"/>
  <c r="MR240" i="5"/>
  <c r="MS240" i="5"/>
  <c r="MR234" i="5"/>
  <c r="MS234" i="5"/>
  <c r="MR228" i="5"/>
  <c r="MS228" i="5"/>
  <c r="MR222" i="5"/>
  <c r="MS222" i="5"/>
  <c r="MR208" i="5"/>
  <c r="MS208" i="5"/>
  <c r="MS149" i="5"/>
  <c r="MR149" i="5"/>
  <c r="MR193" i="5"/>
  <c r="MS193" i="5"/>
  <c r="MR243" i="5"/>
  <c r="MS243" i="5"/>
  <c r="MR237" i="5"/>
  <c r="MS237" i="5"/>
  <c r="MR231" i="5"/>
  <c r="MS231" i="5"/>
  <c r="MR225" i="5"/>
  <c r="MS225" i="5"/>
  <c r="MR219" i="5"/>
  <c r="MS219" i="5"/>
  <c r="MS184" i="5"/>
  <c r="MR184" i="5"/>
  <c r="ND184" i="5" s="1"/>
  <c r="MS133" i="5"/>
  <c r="MR133" i="5"/>
  <c r="MS216" i="5"/>
  <c r="MR205" i="5"/>
  <c r="MR190" i="5"/>
  <c r="MR172" i="5"/>
  <c r="MR155" i="5"/>
  <c r="MR139" i="5"/>
  <c r="MR122" i="5"/>
  <c r="MR107" i="5"/>
  <c r="MS107" i="5"/>
  <c r="MR98" i="5"/>
  <c r="MS98" i="5"/>
  <c r="MR89" i="5"/>
  <c r="MS89" i="5"/>
  <c r="MR80" i="5"/>
  <c r="MS80" i="5"/>
  <c r="MR71" i="5"/>
  <c r="MS71" i="5"/>
  <c r="MR62" i="5"/>
  <c r="MS62" i="5"/>
  <c r="MR53" i="5"/>
  <c r="MS53" i="5"/>
  <c r="MR207" i="5"/>
  <c r="MR192" i="5"/>
  <c r="MR175" i="5"/>
  <c r="MR158" i="5"/>
  <c r="MR142" i="5"/>
  <c r="MR125" i="5"/>
  <c r="MR47" i="5"/>
  <c r="MS47" i="5"/>
  <c r="MR41" i="5"/>
  <c r="MS41" i="5"/>
  <c r="MR35" i="5"/>
  <c r="MS35" i="5"/>
  <c r="MR29" i="5"/>
  <c r="MS29" i="5"/>
  <c r="MR23" i="5"/>
  <c r="MS23" i="5"/>
  <c r="MR17" i="5"/>
  <c r="MS17" i="5"/>
  <c r="MR11" i="5"/>
  <c r="MS11" i="5"/>
  <c r="MR5" i="5"/>
  <c r="MS5" i="5"/>
  <c r="MS206" i="5"/>
  <c r="MS191" i="5"/>
  <c r="MR110" i="5"/>
  <c r="MS110" i="5"/>
  <c r="MR101" i="5"/>
  <c r="MS101" i="5"/>
  <c r="MR92" i="5"/>
  <c r="MS92" i="5"/>
  <c r="MR83" i="5"/>
  <c r="MS83" i="5"/>
  <c r="MR74" i="5"/>
  <c r="MS74" i="5"/>
  <c r="MR65" i="5"/>
  <c r="MS65" i="5"/>
  <c r="MR56" i="5"/>
  <c r="MS56" i="5"/>
  <c r="MR214" i="5"/>
  <c r="MR212" i="5"/>
  <c r="MR181" i="5"/>
  <c r="MR164" i="5"/>
  <c r="MR146" i="5"/>
  <c r="MR130" i="5"/>
  <c r="MR113" i="5"/>
  <c r="MR104" i="5"/>
  <c r="MS104" i="5"/>
  <c r="MR95" i="5"/>
  <c r="MS95" i="5"/>
  <c r="MR86" i="5"/>
  <c r="MS86" i="5"/>
  <c r="MR77" i="5"/>
  <c r="MS77" i="5"/>
  <c r="MR68" i="5"/>
  <c r="MS68" i="5"/>
  <c r="MR59" i="5"/>
  <c r="MS59" i="5"/>
  <c r="MR50" i="5"/>
  <c r="MS50" i="5"/>
  <c r="MR44" i="5"/>
  <c r="MS44" i="5"/>
  <c r="MR38" i="5"/>
  <c r="MS38" i="5"/>
  <c r="MR32" i="5"/>
  <c r="MS32" i="5"/>
  <c r="MR26" i="5"/>
  <c r="MS26" i="5"/>
  <c r="MR20" i="5"/>
  <c r="MS20" i="5"/>
  <c r="MR14" i="5"/>
  <c r="MS14" i="5"/>
  <c r="MR8" i="5"/>
  <c r="MS8" i="5"/>
  <c r="MS4" i="5"/>
  <c r="HI161" i="5" l="1"/>
  <c r="ND248" i="5"/>
  <c r="HI248" i="5" s="1"/>
  <c r="FL154" i="5"/>
  <c r="CW134" i="5"/>
  <c r="HI247" i="5"/>
  <c r="HR247" i="5"/>
  <c r="ND246" i="5"/>
  <c r="HI246" i="5" s="1"/>
  <c r="GG174" i="5"/>
  <c r="EZ174" i="5"/>
  <c r="FL174" i="5"/>
  <c r="DU174" i="5"/>
  <c r="FO174" i="5"/>
  <c r="ET174" i="5"/>
  <c r="FR174" i="5"/>
  <c r="IE174" i="5"/>
  <c r="NX174" i="5" s="1"/>
  <c r="GD174" i="5"/>
  <c r="GA174" i="5"/>
  <c r="FG174" i="5"/>
  <c r="CW174" i="5"/>
  <c r="NO174" i="5"/>
  <c r="MY174" i="5"/>
  <c r="NR174" i="5"/>
  <c r="NN174" i="5"/>
  <c r="EZ234" i="5"/>
  <c r="IE234" i="5"/>
  <c r="NX234" i="5" s="1"/>
  <c r="DU234" i="5"/>
  <c r="GA234" i="5"/>
  <c r="CW234" i="5"/>
  <c r="FO234" i="5"/>
  <c r="FR234" i="5"/>
  <c r="ET234" i="5"/>
  <c r="GD234" i="5"/>
  <c r="GG234" i="5"/>
  <c r="FL234" i="5"/>
  <c r="FG234" i="5"/>
  <c r="NR234" i="5"/>
  <c r="NN234" i="5"/>
  <c r="NO234" i="5"/>
  <c r="MY234" i="5"/>
  <c r="GG176" i="5"/>
  <c r="IE176" i="5"/>
  <c r="NX176" i="5" s="1"/>
  <c r="FL176" i="5"/>
  <c r="DU176" i="5"/>
  <c r="FR176" i="5"/>
  <c r="GD176" i="5"/>
  <c r="EZ176" i="5"/>
  <c r="GA176" i="5"/>
  <c r="FO176" i="5"/>
  <c r="ET176" i="5"/>
  <c r="FG176" i="5"/>
  <c r="CW176" i="5"/>
  <c r="NR176" i="5"/>
  <c r="NN176" i="5"/>
  <c r="NO176" i="5"/>
  <c r="MY176" i="5"/>
  <c r="HI245" i="5"/>
  <c r="HR245" i="5"/>
  <c r="HI244" i="5"/>
  <c r="HR244" i="5"/>
  <c r="DU134" i="5"/>
  <c r="GD134" i="5"/>
  <c r="IG99" i="5"/>
  <c r="NP99" i="5" s="1"/>
  <c r="RV99" i="5"/>
  <c r="DZ99" i="5"/>
  <c r="BQ99" i="5"/>
  <c r="NE99" i="5" s="1"/>
  <c r="HK99" i="5" s="1"/>
  <c r="HR99" i="5" s="1"/>
  <c r="MM99" i="5"/>
  <c r="NF99" i="5"/>
  <c r="EC99" i="5"/>
  <c r="ED99" i="5" s="1"/>
  <c r="CT99" i="5"/>
  <c r="NZ99" i="5"/>
  <c r="BU99" i="5"/>
  <c r="MY99" i="5" s="1"/>
  <c r="ND243" i="5"/>
  <c r="HI243" i="5" s="1"/>
  <c r="IE175" i="5"/>
  <c r="NX175" i="5" s="1"/>
  <c r="GD175" i="5"/>
  <c r="FG175" i="5"/>
  <c r="GG175" i="5"/>
  <c r="FR175" i="5"/>
  <c r="DU175" i="5"/>
  <c r="GA175" i="5"/>
  <c r="ET175" i="5"/>
  <c r="CW175" i="5"/>
  <c r="FL175" i="5"/>
  <c r="FO175" i="5"/>
  <c r="EZ175" i="5"/>
  <c r="NR175" i="5"/>
  <c r="NN175" i="5"/>
  <c r="NO175" i="5"/>
  <c r="MY175" i="5"/>
  <c r="ET103" i="5"/>
  <c r="GD103" i="5"/>
  <c r="FG106" i="5"/>
  <c r="GG106" i="5"/>
  <c r="FR106" i="5"/>
  <c r="GA242" i="5"/>
  <c r="FL242" i="5"/>
  <c r="DU242" i="5"/>
  <c r="IE242" i="5"/>
  <c r="NX242" i="5" s="1"/>
  <c r="ET242" i="5"/>
  <c r="FG242" i="5"/>
  <c r="EZ242" i="5"/>
  <c r="GG242" i="5"/>
  <c r="GD242" i="5"/>
  <c r="FO242" i="5"/>
  <c r="FR242" i="5"/>
  <c r="CW242" i="5"/>
  <c r="NN242" i="5"/>
  <c r="NO242" i="5"/>
  <c r="NR242" i="5"/>
  <c r="MY242" i="5"/>
  <c r="GA162" i="5"/>
  <c r="ET162" i="5"/>
  <c r="GD162" i="5"/>
  <c r="EZ162" i="5"/>
  <c r="GG162" i="5"/>
  <c r="FG162" i="5"/>
  <c r="IE162" i="5"/>
  <c r="NX162" i="5" s="1"/>
  <c r="FL162" i="5"/>
  <c r="FO162" i="5"/>
  <c r="FR162" i="5"/>
  <c r="DU162" i="5"/>
  <c r="CW162" i="5"/>
  <c r="NR162" i="5"/>
  <c r="NN162" i="5"/>
  <c r="NO162" i="5"/>
  <c r="MY162" i="5"/>
  <c r="HI241" i="5"/>
  <c r="HR241" i="5"/>
  <c r="NR74" i="5"/>
  <c r="ET106" i="5"/>
  <c r="FL106" i="5"/>
  <c r="DU106" i="5"/>
  <c r="CW106" i="5"/>
  <c r="FO106" i="5"/>
  <c r="IE106" i="5"/>
  <c r="NX106" i="5" s="1"/>
  <c r="GD106" i="5"/>
  <c r="ND240" i="5"/>
  <c r="HI240" i="5" s="1"/>
  <c r="ND239" i="5"/>
  <c r="HI238" i="5"/>
  <c r="HR238" i="5"/>
  <c r="CW154" i="5"/>
  <c r="FR154" i="5"/>
  <c r="ET154" i="5"/>
  <c r="FO154" i="5"/>
  <c r="FG154" i="5"/>
  <c r="GG154" i="5"/>
  <c r="DU154" i="5"/>
  <c r="IE154" i="5"/>
  <c r="NX154" i="5" s="1"/>
  <c r="GD154" i="5"/>
  <c r="ND237" i="5"/>
  <c r="HI237" i="5" s="1"/>
  <c r="IE103" i="5"/>
  <c r="NX103" i="5" s="1"/>
  <c r="DU103" i="5"/>
  <c r="FR103" i="5"/>
  <c r="FG134" i="5"/>
  <c r="FR134" i="5"/>
  <c r="GA134" i="5"/>
  <c r="FG103" i="5"/>
  <c r="FL103" i="5"/>
  <c r="FO103" i="5"/>
  <c r="GG134" i="5"/>
  <c r="IE134" i="5"/>
  <c r="NX134" i="5" s="1"/>
  <c r="FO134" i="5"/>
  <c r="ET134" i="5"/>
  <c r="CW103" i="5"/>
  <c r="GA103" i="5"/>
  <c r="BQ239" i="5"/>
  <c r="NE239" i="5" s="1"/>
  <c r="HK239" i="5" s="1"/>
  <c r="HR239" i="5" s="1"/>
  <c r="IE239" i="5"/>
  <c r="NX239" i="5" s="1"/>
  <c r="DZ239" i="5"/>
  <c r="MM239" i="5"/>
  <c r="IG193" i="5"/>
  <c r="NP193" i="5" s="1"/>
  <c r="BQ193" i="5"/>
  <c r="NE193" i="5" s="1"/>
  <c r="HK193" i="5" s="1"/>
  <c r="HR193" i="5" s="1"/>
  <c r="DZ193" i="5"/>
  <c r="NF193" i="5"/>
  <c r="RV193" i="5"/>
  <c r="MM193" i="5"/>
  <c r="EC193" i="5"/>
  <c r="ED193" i="5" s="1"/>
  <c r="CT193" i="5"/>
  <c r="NZ193" i="5"/>
  <c r="EZ17" i="5"/>
  <c r="NN17" i="5"/>
  <c r="NO17" i="5"/>
  <c r="DZ96" i="5"/>
  <c r="BQ96" i="5"/>
  <c r="NE96" i="5" s="1"/>
  <c r="IG96" i="5"/>
  <c r="BT96" i="5" s="1"/>
  <c r="RV96" i="5"/>
  <c r="MM96" i="5"/>
  <c r="NF96" i="5"/>
  <c r="CT124" i="5"/>
  <c r="EC124" i="5"/>
  <c r="ED124" i="5" s="1"/>
  <c r="NZ124" i="5"/>
  <c r="DZ173" i="5"/>
  <c r="BQ173" i="5"/>
  <c r="NE173" i="5" s="1"/>
  <c r="RV173" i="5"/>
  <c r="NF173" i="5"/>
  <c r="IG173" i="5"/>
  <c r="NP173" i="5" s="1"/>
  <c r="MM173" i="5"/>
  <c r="EC213" i="5"/>
  <c r="ED213" i="5" s="1"/>
  <c r="CT213" i="5"/>
  <c r="NZ213" i="5"/>
  <c r="CT91" i="5"/>
  <c r="EC91" i="5"/>
  <c r="ED91" i="5" s="1"/>
  <c r="NZ91" i="5"/>
  <c r="IG88" i="5"/>
  <c r="NP88" i="5" s="1"/>
  <c r="DZ88" i="5"/>
  <c r="BQ88" i="5"/>
  <c r="NE88" i="5" s="1"/>
  <c r="RV88" i="5"/>
  <c r="MM88" i="5"/>
  <c r="NF88" i="5"/>
  <c r="CT96" i="5"/>
  <c r="EC96" i="5"/>
  <c r="ED96" i="5" s="1"/>
  <c r="NZ96" i="5"/>
  <c r="BQ121" i="5"/>
  <c r="NE121" i="5" s="1"/>
  <c r="HK121" i="5" s="1"/>
  <c r="HR121" i="5" s="1"/>
  <c r="IG121" i="5"/>
  <c r="NP121" i="5" s="1"/>
  <c r="DZ121" i="5"/>
  <c r="RV121" i="5"/>
  <c r="NF121" i="5"/>
  <c r="MM121" i="5"/>
  <c r="CT173" i="5"/>
  <c r="EC173" i="5"/>
  <c r="ED173" i="5" s="1"/>
  <c r="NZ173" i="5"/>
  <c r="NF143" i="5"/>
  <c r="BQ143" i="5"/>
  <c r="NE143" i="5" s="1"/>
  <c r="RV143" i="5"/>
  <c r="IG143" i="5"/>
  <c r="NP143" i="5" s="1"/>
  <c r="DZ143" i="5"/>
  <c r="MM143" i="5"/>
  <c r="EC88" i="5"/>
  <c r="ED88" i="5" s="1"/>
  <c r="CT88" i="5"/>
  <c r="NZ88" i="5"/>
  <c r="IG17" i="5"/>
  <c r="BT17" i="5" s="1"/>
  <c r="DZ17" i="5"/>
  <c r="RV17" i="5"/>
  <c r="BQ17" i="5"/>
  <c r="NE17" i="5" s="1"/>
  <c r="HK17" i="5" s="1"/>
  <c r="HR17" i="5" s="1"/>
  <c r="NF17" i="5"/>
  <c r="IE17" i="5" s="1"/>
  <c r="NX17" i="5" s="1"/>
  <c r="MM17" i="5"/>
  <c r="EC121" i="5"/>
  <c r="ED121" i="5" s="1"/>
  <c r="CT121" i="5"/>
  <c r="NZ121" i="5"/>
  <c r="RV139" i="5"/>
  <c r="IG139" i="5"/>
  <c r="NP139" i="5" s="1"/>
  <c r="NF139" i="5"/>
  <c r="DZ139" i="5"/>
  <c r="BQ139" i="5"/>
  <c r="NE139" i="5" s="1"/>
  <c r="HK139" i="5" s="1"/>
  <c r="HR139" i="5" s="1"/>
  <c r="MM139" i="5"/>
  <c r="EC143" i="5"/>
  <c r="ED143" i="5" s="1"/>
  <c r="CT143" i="5"/>
  <c r="NZ143" i="5"/>
  <c r="BU88" i="5"/>
  <c r="EZ88" i="5" s="1"/>
  <c r="NF124" i="5"/>
  <c r="IE124" i="5" s="1"/>
  <c r="NX124" i="5" s="1"/>
  <c r="BQ124" i="5"/>
  <c r="NE124" i="5" s="1"/>
  <c r="HK124" i="5" s="1"/>
  <c r="HR124" i="5" s="1"/>
  <c r="RV124" i="5"/>
  <c r="IG124" i="5"/>
  <c r="NP124" i="5" s="1"/>
  <c r="DZ124" i="5"/>
  <c r="MM124" i="5"/>
  <c r="EC17" i="5"/>
  <c r="ED17" i="5" s="1"/>
  <c r="CT17" i="5"/>
  <c r="NZ17" i="5"/>
  <c r="BU121" i="5"/>
  <c r="NO121" i="5" s="1"/>
  <c r="NF213" i="5"/>
  <c r="IE213" i="5" s="1"/>
  <c r="NX213" i="5" s="1"/>
  <c r="RV213" i="5"/>
  <c r="BQ213" i="5"/>
  <c r="NE213" i="5" s="1"/>
  <c r="HK213" i="5" s="1"/>
  <c r="HR213" i="5" s="1"/>
  <c r="IG213" i="5"/>
  <c r="NP213" i="5" s="1"/>
  <c r="DZ213" i="5"/>
  <c r="MM213" i="5"/>
  <c r="DZ91" i="5"/>
  <c r="BQ91" i="5"/>
  <c r="NE91" i="5" s="1"/>
  <c r="HK91" i="5" s="1"/>
  <c r="HR91" i="5" s="1"/>
  <c r="RV91" i="5"/>
  <c r="IG91" i="5"/>
  <c r="BT91" i="5" s="1"/>
  <c r="MM91" i="5"/>
  <c r="NF91" i="5"/>
  <c r="EC139" i="5"/>
  <c r="ED139" i="5" s="1"/>
  <c r="CT139" i="5"/>
  <c r="NZ139" i="5"/>
  <c r="BU143" i="5"/>
  <c r="EZ143" i="5" s="1"/>
  <c r="JO155" i="5"/>
  <c r="JE155" i="5"/>
  <c r="NQ154" i="5"/>
  <c r="JO146" i="5"/>
  <c r="JE146" i="5"/>
  <c r="NQ145" i="5"/>
  <c r="JO131" i="5"/>
  <c r="JE131" i="5"/>
  <c r="NQ130" i="5"/>
  <c r="JO86" i="5"/>
  <c r="JE86" i="5"/>
  <c r="NQ85" i="5"/>
  <c r="JO93" i="5"/>
  <c r="JE93" i="5"/>
  <c r="NQ92" i="5"/>
  <c r="JO74" i="5"/>
  <c r="NQ73" i="5"/>
  <c r="FO74" i="5"/>
  <c r="ET74" i="5"/>
  <c r="GD74" i="5"/>
  <c r="DU74" i="5"/>
  <c r="GG74" i="5"/>
  <c r="FR74" i="5"/>
  <c r="JO54" i="5"/>
  <c r="JE54" i="5"/>
  <c r="NQ53" i="5"/>
  <c r="JO31" i="5"/>
  <c r="JE31" i="5"/>
  <c r="NQ30" i="5"/>
  <c r="JO15" i="5"/>
  <c r="JE15" i="5"/>
  <c r="NQ14" i="5"/>
  <c r="JO75" i="5"/>
  <c r="NQ74" i="5"/>
  <c r="JO34" i="5"/>
  <c r="JE34" i="5"/>
  <c r="NQ33" i="5"/>
  <c r="JO6" i="5"/>
  <c r="JE6" i="5"/>
  <c r="NQ5" i="5"/>
  <c r="JO60" i="5"/>
  <c r="JE60" i="5"/>
  <c r="NQ59" i="5"/>
  <c r="JO39" i="5"/>
  <c r="JE39" i="5"/>
  <c r="NQ38" i="5"/>
  <c r="JO52" i="5"/>
  <c r="JE52" i="5"/>
  <c r="NQ51" i="5"/>
  <c r="JE12" i="5"/>
  <c r="JO12" i="5"/>
  <c r="NQ11" i="5"/>
  <c r="JO30" i="5"/>
  <c r="JE30" i="5"/>
  <c r="NQ29" i="5"/>
  <c r="JO20" i="5"/>
  <c r="JE20" i="5"/>
  <c r="NQ19" i="5"/>
  <c r="JE45" i="5"/>
  <c r="JO45" i="5"/>
  <c r="NQ44" i="5"/>
  <c r="JE23" i="5"/>
  <c r="JO23" i="5"/>
  <c r="NQ22" i="5"/>
  <c r="JO9" i="5"/>
  <c r="JE9" i="5"/>
  <c r="NQ8" i="5"/>
  <c r="JO42" i="5"/>
  <c r="JE42" i="5"/>
  <c r="NQ41" i="5"/>
  <c r="JO25" i="5"/>
  <c r="JE25" i="5"/>
  <c r="NQ24" i="5"/>
  <c r="JO44" i="5"/>
  <c r="JE44" i="5"/>
  <c r="NQ43" i="5"/>
  <c r="JO22" i="5"/>
  <c r="JE22" i="5"/>
  <c r="NQ21" i="5"/>
  <c r="JE80" i="5"/>
  <c r="JO80" i="5"/>
  <c r="NQ79" i="5"/>
  <c r="JO104" i="5"/>
  <c r="JE104" i="5"/>
  <c r="NQ103" i="5"/>
  <c r="JO84" i="5"/>
  <c r="JE84" i="5"/>
  <c r="NQ83" i="5"/>
  <c r="JO90" i="5"/>
  <c r="JE90" i="5"/>
  <c r="NQ89" i="5"/>
  <c r="HI236" i="5"/>
  <c r="HR236" i="5"/>
  <c r="HR212" i="5"/>
  <c r="IE212" i="5"/>
  <c r="NX212" i="5" s="1"/>
  <c r="GG212" i="5"/>
  <c r="FR212" i="5"/>
  <c r="FL212" i="5"/>
  <c r="GD212" i="5"/>
  <c r="DU212" i="5"/>
  <c r="GA212" i="5"/>
  <c r="ET212" i="5"/>
  <c r="FO212" i="5"/>
  <c r="CW212" i="5"/>
  <c r="NO212" i="5"/>
  <c r="NR212" i="5"/>
  <c r="NN212" i="5"/>
  <c r="HI184" i="5"/>
  <c r="RV133" i="5"/>
  <c r="IG133" i="5"/>
  <c r="NP133" i="5" s="1"/>
  <c r="DZ133" i="5"/>
  <c r="NF133" i="5"/>
  <c r="BQ133" i="5"/>
  <c r="NE133" i="5" s="1"/>
  <c r="HK133" i="5" s="1"/>
  <c r="HR133" i="5" s="1"/>
  <c r="MM133" i="5"/>
  <c r="EC133" i="5"/>
  <c r="ED133" i="5" s="1"/>
  <c r="CT133" i="5"/>
  <c r="NZ133" i="5"/>
  <c r="BU133" i="5"/>
  <c r="MY133" i="5" s="1"/>
  <c r="BQ108" i="5"/>
  <c r="NE108" i="5" s="1"/>
  <c r="HK108" i="5" s="1"/>
  <c r="HR108" i="5" s="1"/>
  <c r="IG108" i="5"/>
  <c r="BT108" i="5" s="1"/>
  <c r="DZ108" i="5"/>
  <c r="RV108" i="5"/>
  <c r="NF108" i="5"/>
  <c r="MM108" i="5"/>
  <c r="EC108" i="5"/>
  <c r="ED108" i="5" s="1"/>
  <c r="CT108" i="5"/>
  <c r="NZ108" i="5"/>
  <c r="BU108" i="5"/>
  <c r="NN108" i="5" s="1"/>
  <c r="HI186" i="5"/>
  <c r="IG156" i="5"/>
  <c r="NP156" i="5" s="1"/>
  <c r="RV156" i="5"/>
  <c r="DZ156" i="5"/>
  <c r="NF156" i="5"/>
  <c r="IE156" i="5" s="1"/>
  <c r="NX156" i="5" s="1"/>
  <c r="BQ156" i="5"/>
  <c r="NE156" i="5" s="1"/>
  <c r="HK156" i="5" s="1"/>
  <c r="HR156" i="5" s="1"/>
  <c r="MM156" i="5"/>
  <c r="CT156" i="5"/>
  <c r="EC156" i="5"/>
  <c r="ED156" i="5" s="1"/>
  <c r="NZ156" i="5"/>
  <c r="IG94" i="5"/>
  <c r="NP94" i="5" s="1"/>
  <c r="DZ94" i="5"/>
  <c r="RV94" i="5"/>
  <c r="BQ94" i="5"/>
  <c r="NE94" i="5" s="1"/>
  <c r="HK94" i="5" s="1"/>
  <c r="HR94" i="5" s="1"/>
  <c r="NF94" i="5"/>
  <c r="MM94" i="5"/>
  <c r="EC94" i="5"/>
  <c r="ED94" i="5" s="1"/>
  <c r="CT94" i="5"/>
  <c r="NZ94" i="5"/>
  <c r="BU94" i="5"/>
  <c r="MY94" i="5" s="1"/>
  <c r="DZ155" i="5"/>
  <c r="RV155" i="5"/>
  <c r="NF155" i="5"/>
  <c r="BQ155" i="5"/>
  <c r="NE155" i="5" s="1"/>
  <c r="IG155" i="5"/>
  <c r="NP155" i="5" s="1"/>
  <c r="MM155" i="5"/>
  <c r="EC155" i="5"/>
  <c r="ED155" i="5" s="1"/>
  <c r="CT155" i="5"/>
  <c r="NZ155" i="5"/>
  <c r="BU155" i="5"/>
  <c r="MY155" i="5" s="1"/>
  <c r="NF164" i="5"/>
  <c r="IE164" i="5" s="1"/>
  <c r="NX164" i="5" s="1"/>
  <c r="BQ164" i="5"/>
  <c r="NE164" i="5" s="1"/>
  <c r="HK164" i="5" s="1"/>
  <c r="HR164" i="5" s="1"/>
  <c r="IG164" i="5"/>
  <c r="NP164" i="5" s="1"/>
  <c r="DZ164" i="5"/>
  <c r="RV164" i="5"/>
  <c r="MM164" i="5"/>
  <c r="EC164" i="5"/>
  <c r="ED164" i="5" s="1"/>
  <c r="CT164" i="5"/>
  <c r="NZ164" i="5"/>
  <c r="BQ90" i="5"/>
  <c r="NE90" i="5" s="1"/>
  <c r="IG90" i="5"/>
  <c r="BT90" i="5" s="1"/>
  <c r="RV90" i="5"/>
  <c r="DZ90" i="5"/>
  <c r="MM90" i="5"/>
  <c r="NF90" i="5"/>
  <c r="EC90" i="5"/>
  <c r="ED90" i="5" s="1"/>
  <c r="CT90" i="5"/>
  <c r="NZ90" i="5"/>
  <c r="BU90" i="5"/>
  <c r="NO90" i="5" s="1"/>
  <c r="IG168" i="5"/>
  <c r="NP168" i="5" s="1"/>
  <c r="RV168" i="5"/>
  <c r="NF168" i="5"/>
  <c r="BQ168" i="5"/>
  <c r="NE168" i="5" s="1"/>
  <c r="HK168" i="5" s="1"/>
  <c r="HR168" i="5" s="1"/>
  <c r="DZ168" i="5"/>
  <c r="MM168" i="5"/>
  <c r="CT168" i="5"/>
  <c r="EC168" i="5"/>
  <c r="ED168" i="5" s="1"/>
  <c r="NZ168" i="5"/>
  <c r="BU168" i="5"/>
  <c r="EZ168" i="5" s="1"/>
  <c r="IG177" i="5"/>
  <c r="NP177" i="5" s="1"/>
  <c r="DZ177" i="5"/>
  <c r="NF177" i="5"/>
  <c r="IE177" i="5" s="1"/>
  <c r="NX177" i="5" s="1"/>
  <c r="BQ177" i="5"/>
  <c r="NE177" i="5" s="1"/>
  <c r="RV177" i="5"/>
  <c r="HR177" i="5" s="1"/>
  <c r="MM177" i="5"/>
  <c r="EC177" i="5"/>
  <c r="ED177" i="5" s="1"/>
  <c r="CT177" i="5"/>
  <c r="NZ177" i="5"/>
  <c r="EZ177" i="5"/>
  <c r="NN177" i="5"/>
  <c r="NO177" i="5"/>
  <c r="NR177" i="5"/>
  <c r="MY177" i="5"/>
  <c r="IG146" i="5"/>
  <c r="NP146" i="5" s="1"/>
  <c r="DZ146" i="5"/>
  <c r="RV146" i="5"/>
  <c r="NF146" i="5"/>
  <c r="BQ146" i="5"/>
  <c r="NE146" i="5" s="1"/>
  <c r="HK146" i="5" s="1"/>
  <c r="HR146" i="5" s="1"/>
  <c r="MM146" i="5"/>
  <c r="CT146" i="5"/>
  <c r="EC146" i="5"/>
  <c r="ED146" i="5" s="1"/>
  <c r="NZ146" i="5"/>
  <c r="BU146" i="5"/>
  <c r="MY146" i="5" s="1"/>
  <c r="IE207" i="5"/>
  <c r="DZ207" i="5"/>
  <c r="DW207" i="5" s="1"/>
  <c r="HI207" i="5"/>
  <c r="HR207" i="5"/>
  <c r="FL208" i="5"/>
  <c r="GA208" i="5"/>
  <c r="IE208" i="5"/>
  <c r="NX208" i="5" s="1"/>
  <c r="HI235" i="5"/>
  <c r="HR235" i="5"/>
  <c r="CW204" i="5"/>
  <c r="NN204" i="5"/>
  <c r="NO204" i="5"/>
  <c r="HI204" i="5"/>
  <c r="HR204" i="5"/>
  <c r="GD204" i="5"/>
  <c r="FR204" i="5"/>
  <c r="ET204" i="5"/>
  <c r="DU204" i="5"/>
  <c r="FL204" i="5"/>
  <c r="GG204" i="5"/>
  <c r="NR204" i="5"/>
  <c r="DU181" i="5"/>
  <c r="ET181" i="5"/>
  <c r="GA181" i="5"/>
  <c r="FO181" i="5"/>
  <c r="FL181" i="5"/>
  <c r="GD181" i="5"/>
  <c r="FR181" i="5"/>
  <c r="GG181" i="5"/>
  <c r="IE181" i="5"/>
  <c r="NX181" i="5" s="1"/>
  <c r="FG181" i="5"/>
  <c r="CW181" i="5"/>
  <c r="NR181" i="5"/>
  <c r="NN181" i="5"/>
  <c r="NO181" i="5"/>
  <c r="MY181" i="5"/>
  <c r="IG233" i="5"/>
  <c r="NP233" i="5" s="1"/>
  <c r="NF233" i="5"/>
  <c r="IE233" i="5" s="1"/>
  <c r="NX233" i="5" s="1"/>
  <c r="BQ233" i="5"/>
  <c r="NE233" i="5" s="1"/>
  <c r="HK233" i="5" s="1"/>
  <c r="RV233" i="5"/>
  <c r="DZ233" i="5"/>
  <c r="MM233" i="5"/>
  <c r="CT233" i="5"/>
  <c r="EC233" i="5"/>
  <c r="ED233" i="5" s="1"/>
  <c r="NZ233" i="5"/>
  <c r="EZ233" i="5"/>
  <c r="MY233" i="5"/>
  <c r="NR233" i="5"/>
  <c r="NN233" i="5"/>
  <c r="NO233" i="5"/>
  <c r="GG150" i="5"/>
  <c r="FL150" i="5"/>
  <c r="FO150" i="5"/>
  <c r="IE150" i="5"/>
  <c r="NX150" i="5" s="1"/>
  <c r="FR150" i="5"/>
  <c r="EZ150" i="5"/>
  <c r="GA150" i="5"/>
  <c r="DU150" i="5"/>
  <c r="ET150" i="5"/>
  <c r="GD150" i="5"/>
  <c r="CW150" i="5"/>
  <c r="FG150" i="5"/>
  <c r="NO150" i="5"/>
  <c r="MY150" i="5"/>
  <c r="NR150" i="5"/>
  <c r="NN150" i="5"/>
  <c r="IG232" i="5"/>
  <c r="BT232" i="5" s="1"/>
  <c r="NF232" i="5"/>
  <c r="DZ232" i="5"/>
  <c r="RV232" i="5"/>
  <c r="BQ232" i="5"/>
  <c r="NE232" i="5" s="1"/>
  <c r="HK232" i="5" s="1"/>
  <c r="HR232" i="5" s="1"/>
  <c r="MM232" i="5"/>
  <c r="BU232" i="5"/>
  <c r="NN232" i="5" s="1"/>
  <c r="CT232" i="5"/>
  <c r="EC232" i="5"/>
  <c r="ED232" i="5" s="1"/>
  <c r="NZ232" i="5"/>
  <c r="EZ231" i="5"/>
  <c r="IE231" i="5"/>
  <c r="NX231" i="5" s="1"/>
  <c r="ET231" i="5"/>
  <c r="DU231" i="5"/>
  <c r="GD231" i="5"/>
  <c r="FL231" i="5"/>
  <c r="GA231" i="5"/>
  <c r="FR231" i="5"/>
  <c r="FO231" i="5"/>
  <c r="FG231" i="5"/>
  <c r="CW231" i="5"/>
  <c r="NN231" i="5"/>
  <c r="NO231" i="5"/>
  <c r="MY231" i="5"/>
  <c r="NR231" i="5"/>
  <c r="IG170" i="5"/>
  <c r="NP170" i="5" s="1"/>
  <c r="NF170" i="5"/>
  <c r="IE170" i="5" s="1"/>
  <c r="NX170" i="5" s="1"/>
  <c r="BQ170" i="5"/>
  <c r="NE170" i="5" s="1"/>
  <c r="HK170" i="5" s="1"/>
  <c r="HR170" i="5" s="1"/>
  <c r="RV170" i="5"/>
  <c r="DZ170" i="5"/>
  <c r="MM170" i="5"/>
  <c r="EC170" i="5"/>
  <c r="ED170" i="5" s="1"/>
  <c r="CT170" i="5"/>
  <c r="NZ170" i="5"/>
  <c r="EZ170" i="5"/>
  <c r="NR170" i="5"/>
  <c r="MY170" i="5"/>
  <c r="NN170" i="5"/>
  <c r="NO170" i="5"/>
  <c r="EZ230" i="5"/>
  <c r="GG230" i="5"/>
  <c r="FR230" i="5"/>
  <c r="FO230" i="5"/>
  <c r="CW230" i="5"/>
  <c r="NN230" i="5"/>
  <c r="NO230" i="5"/>
  <c r="MY230" i="5"/>
  <c r="NR230" i="5"/>
  <c r="EZ193" i="5"/>
  <c r="NO193" i="5"/>
  <c r="NR193" i="5"/>
  <c r="NN193" i="5"/>
  <c r="MY193" i="5"/>
  <c r="GA229" i="5"/>
  <c r="IE229" i="5"/>
  <c r="NX229" i="5" s="1"/>
  <c r="DU229" i="5"/>
  <c r="FL229" i="5"/>
  <c r="ET229" i="5"/>
  <c r="FG229" i="5"/>
  <c r="EZ229" i="5"/>
  <c r="FR229" i="5"/>
  <c r="GD229" i="5"/>
  <c r="FO229" i="5"/>
  <c r="CW229" i="5"/>
  <c r="NN229" i="5"/>
  <c r="NO229" i="5"/>
  <c r="MY229" i="5"/>
  <c r="NR229" i="5"/>
  <c r="HR229" i="5"/>
  <c r="DU228" i="5"/>
  <c r="GA228" i="5"/>
  <c r="IE228" i="5"/>
  <c r="NX228" i="5" s="1"/>
  <c r="FL228" i="5"/>
  <c r="ET228" i="5"/>
  <c r="FG228" i="5"/>
  <c r="EZ228" i="5"/>
  <c r="GD228" i="5"/>
  <c r="FR228" i="5"/>
  <c r="FO228" i="5"/>
  <c r="CW228" i="5"/>
  <c r="NR228" i="5"/>
  <c r="NN228" i="5"/>
  <c r="NO228" i="5"/>
  <c r="MY228" i="5"/>
  <c r="NF169" i="5"/>
  <c r="IG169" i="5"/>
  <c r="NP169" i="5" s="1"/>
  <c r="DZ169" i="5"/>
  <c r="BQ169" i="5"/>
  <c r="NE169" i="5" s="1"/>
  <c r="HK169" i="5" s="1"/>
  <c r="HR169" i="5" s="1"/>
  <c r="RV169" i="5"/>
  <c r="MM169" i="5"/>
  <c r="EC169" i="5"/>
  <c r="ED169" i="5" s="1"/>
  <c r="CT169" i="5"/>
  <c r="NZ169" i="5"/>
  <c r="BU169" i="5"/>
  <c r="EZ169" i="5" s="1"/>
  <c r="IE227" i="5"/>
  <c r="NX227" i="5" s="1"/>
  <c r="ET227" i="5"/>
  <c r="DU227" i="5"/>
  <c r="FG227" i="5"/>
  <c r="FL227" i="5"/>
  <c r="GA227" i="5"/>
  <c r="EZ227" i="5"/>
  <c r="FR227" i="5"/>
  <c r="FO227" i="5"/>
  <c r="GD227" i="5"/>
  <c r="CW227" i="5"/>
  <c r="NR227" i="5"/>
  <c r="MY227" i="5"/>
  <c r="NN227" i="5"/>
  <c r="NO227" i="5"/>
  <c r="HR227" i="5"/>
  <c r="IE226" i="5"/>
  <c r="NX226" i="5" s="1"/>
  <c r="GA226" i="5"/>
  <c r="ET226" i="5"/>
  <c r="DU226" i="5"/>
  <c r="FL226" i="5"/>
  <c r="FG226" i="5"/>
  <c r="EZ226" i="5"/>
  <c r="FO226" i="5"/>
  <c r="FR226" i="5"/>
  <c r="GD226" i="5"/>
  <c r="CW226" i="5"/>
  <c r="NR226" i="5"/>
  <c r="NN226" i="5"/>
  <c r="NO226" i="5"/>
  <c r="MY226" i="5"/>
  <c r="EZ225" i="5"/>
  <c r="FR225" i="5"/>
  <c r="FO225" i="5"/>
  <c r="GD225" i="5"/>
  <c r="CW225" i="5"/>
  <c r="MY225" i="5"/>
  <c r="NR225" i="5"/>
  <c r="NN225" i="5"/>
  <c r="NO225" i="5"/>
  <c r="EZ224" i="5"/>
  <c r="GD224" i="5"/>
  <c r="GG224" i="5"/>
  <c r="FO224" i="5"/>
  <c r="FR224" i="5"/>
  <c r="CW224" i="5"/>
  <c r="NN224" i="5"/>
  <c r="MY224" i="5"/>
  <c r="NO224" i="5"/>
  <c r="EZ223" i="5"/>
  <c r="GD223" i="5"/>
  <c r="GG223" i="5"/>
  <c r="FR223" i="5"/>
  <c r="FO223" i="5"/>
  <c r="CW223" i="5"/>
  <c r="NN223" i="5"/>
  <c r="NO223" i="5"/>
  <c r="NR223" i="5"/>
  <c r="MY223" i="5"/>
  <c r="IE222" i="5"/>
  <c r="NX222" i="5" s="1"/>
  <c r="GA222" i="5"/>
  <c r="DU222" i="5"/>
  <c r="FL222" i="5"/>
  <c r="ET222" i="5"/>
  <c r="FG222" i="5"/>
  <c r="HR223" i="5"/>
  <c r="EZ222" i="5"/>
  <c r="GD222" i="5"/>
  <c r="GG222" i="5"/>
  <c r="FR222" i="5"/>
  <c r="FO222" i="5"/>
  <c r="CW222" i="5"/>
  <c r="MY222" i="5"/>
  <c r="NN222" i="5"/>
  <c r="NO222" i="5"/>
  <c r="NR222" i="5"/>
  <c r="EZ219" i="5"/>
  <c r="FO219" i="5"/>
  <c r="FR219" i="5"/>
  <c r="GA219" i="5"/>
  <c r="GD219" i="5"/>
  <c r="DU219" i="5"/>
  <c r="FL219" i="5"/>
  <c r="GG219" i="5"/>
  <c r="IE219" i="5"/>
  <c r="NX219" i="5" s="1"/>
  <c r="ET219" i="5"/>
  <c r="FG219" i="5"/>
  <c r="CW219" i="5"/>
  <c r="NN219" i="5"/>
  <c r="NO219" i="5"/>
  <c r="NR219" i="5"/>
  <c r="MY219" i="5"/>
  <c r="EZ213" i="5"/>
  <c r="NN213" i="5"/>
  <c r="NO213" i="5"/>
  <c r="MY213" i="5"/>
  <c r="NR213" i="5"/>
  <c r="HI221" i="5"/>
  <c r="HR221" i="5"/>
  <c r="HI220" i="5"/>
  <c r="HR220" i="5"/>
  <c r="ND218" i="5"/>
  <c r="HI218" i="5" s="1"/>
  <c r="HI217" i="5"/>
  <c r="HR217" i="5"/>
  <c r="HI216" i="5"/>
  <c r="HR216" i="5"/>
  <c r="ND215" i="5"/>
  <c r="HI215" i="5" s="1"/>
  <c r="ND214" i="5"/>
  <c r="HI214" i="5" s="1"/>
  <c r="NR210" i="5"/>
  <c r="IG185" i="5"/>
  <c r="NP185" i="5" s="1"/>
  <c r="DZ185" i="5"/>
  <c r="NF185" i="5"/>
  <c r="BQ185" i="5"/>
  <c r="NE185" i="5" s="1"/>
  <c r="HK185" i="5" s="1"/>
  <c r="HR185" i="5" s="1"/>
  <c r="RV185" i="5"/>
  <c r="MM185" i="5"/>
  <c r="EC185" i="5"/>
  <c r="ED185" i="5" s="1"/>
  <c r="CT185" i="5"/>
  <c r="NZ185" i="5"/>
  <c r="BU185" i="5"/>
  <c r="MY185" i="5" s="1"/>
  <c r="EZ212" i="5"/>
  <c r="FG212" i="5"/>
  <c r="MY212" i="5"/>
  <c r="IE171" i="5"/>
  <c r="NX171" i="5" s="1"/>
  <c r="DU171" i="5"/>
  <c r="ET171" i="5"/>
  <c r="GD171" i="5"/>
  <c r="FO171" i="5"/>
  <c r="GG171" i="5"/>
  <c r="FR171" i="5"/>
  <c r="FL171" i="5"/>
  <c r="CW171" i="5"/>
  <c r="FG171" i="5"/>
  <c r="NN171" i="5"/>
  <c r="NO171" i="5"/>
  <c r="MY171" i="5"/>
  <c r="NR171" i="5"/>
  <c r="IG211" i="5"/>
  <c r="NP211" i="5" s="1"/>
  <c r="NF211" i="5"/>
  <c r="IE211" i="5" s="1"/>
  <c r="NX211" i="5" s="1"/>
  <c r="BQ211" i="5"/>
  <c r="NE211" i="5" s="1"/>
  <c r="HK211" i="5" s="1"/>
  <c r="HR211" i="5" s="1"/>
  <c r="DZ211" i="5"/>
  <c r="RV211" i="5"/>
  <c r="MM211" i="5"/>
  <c r="EC211" i="5"/>
  <c r="ED211" i="5" s="1"/>
  <c r="CT211" i="5"/>
  <c r="NZ211" i="5"/>
  <c r="EZ211" i="5"/>
  <c r="NO211" i="5"/>
  <c r="MY211" i="5"/>
  <c r="NR211" i="5"/>
  <c r="NN211" i="5"/>
  <c r="MM207" i="5"/>
  <c r="BU207" i="5"/>
  <c r="IG207" i="5"/>
  <c r="NP207" i="5" s="1"/>
  <c r="BQ207" i="5"/>
  <c r="IG210" i="5"/>
  <c r="NP210" i="5" s="1"/>
  <c r="NF210" i="5"/>
  <c r="IE210" i="5" s="1"/>
  <c r="NX210" i="5" s="1"/>
  <c r="RV210" i="5"/>
  <c r="BQ210" i="5"/>
  <c r="NE210" i="5" s="1"/>
  <c r="HK210" i="5" s="1"/>
  <c r="HR210" i="5" s="1"/>
  <c r="DZ210" i="5"/>
  <c r="MM210" i="5"/>
  <c r="EC210" i="5"/>
  <c r="ED210" i="5" s="1"/>
  <c r="CT210" i="5"/>
  <c r="NZ210" i="5"/>
  <c r="EZ210" i="5"/>
  <c r="MY210" i="5"/>
  <c r="NN210" i="5"/>
  <c r="NO210" i="5"/>
  <c r="IE190" i="5"/>
  <c r="NX190" i="5" s="1"/>
  <c r="EZ190" i="5"/>
  <c r="GD190" i="5"/>
  <c r="GG190" i="5"/>
  <c r="FL190" i="5"/>
  <c r="DU190" i="5"/>
  <c r="FR190" i="5"/>
  <c r="FO190" i="5"/>
  <c r="ET190" i="5"/>
  <c r="GA190" i="5"/>
  <c r="FG190" i="5"/>
  <c r="CW190" i="5"/>
  <c r="NO190" i="5"/>
  <c r="NN190" i="5"/>
  <c r="MY190" i="5"/>
  <c r="GG180" i="5"/>
  <c r="DU180" i="5"/>
  <c r="CW180" i="5"/>
  <c r="IE180" i="5"/>
  <c r="NX180" i="5" s="1"/>
  <c r="FL180" i="5"/>
  <c r="ET180" i="5"/>
  <c r="FO180" i="5"/>
  <c r="FR180" i="5"/>
  <c r="GA180" i="5"/>
  <c r="GD180" i="5"/>
  <c r="FG180" i="5"/>
  <c r="NN180" i="5"/>
  <c r="NO180" i="5"/>
  <c r="MY180" i="5"/>
  <c r="EZ209" i="5"/>
  <c r="NN209" i="5"/>
  <c r="NO209" i="5"/>
  <c r="MY209" i="5"/>
  <c r="IG209" i="5"/>
  <c r="NP209" i="5" s="1"/>
  <c r="NF209" i="5"/>
  <c r="IE209" i="5" s="1"/>
  <c r="NX209" i="5" s="1"/>
  <c r="DZ209" i="5"/>
  <c r="RV209" i="5"/>
  <c r="BQ209" i="5"/>
  <c r="NE209" i="5" s="1"/>
  <c r="HK209" i="5" s="1"/>
  <c r="HR209" i="5" s="1"/>
  <c r="MM209" i="5"/>
  <c r="EC209" i="5"/>
  <c r="ED209" i="5" s="1"/>
  <c r="CT209" i="5"/>
  <c r="NZ209" i="5"/>
  <c r="NR209" i="5"/>
  <c r="EZ165" i="5"/>
  <c r="NN165" i="5"/>
  <c r="NO165" i="5"/>
  <c r="MY165" i="5"/>
  <c r="NF165" i="5"/>
  <c r="IE165" i="5" s="1"/>
  <c r="NX165" i="5" s="1"/>
  <c r="DZ165" i="5"/>
  <c r="IG165" i="5"/>
  <c r="BT165" i="5" s="1"/>
  <c r="RV165" i="5"/>
  <c r="BQ165" i="5"/>
  <c r="NE165" i="5" s="1"/>
  <c r="HK165" i="5" s="1"/>
  <c r="HR165" i="5" s="1"/>
  <c r="MM165" i="5"/>
  <c r="EC165" i="5"/>
  <c r="ED165" i="5" s="1"/>
  <c r="CT165" i="5"/>
  <c r="NZ165" i="5"/>
  <c r="NR165" i="5"/>
  <c r="EC207" i="5"/>
  <c r="ED207" i="5" s="1"/>
  <c r="NZ207" i="5"/>
  <c r="CJ207" i="5" s="1"/>
  <c r="DU208" i="5"/>
  <c r="ET208" i="5"/>
  <c r="FG208" i="5"/>
  <c r="EZ208" i="5"/>
  <c r="FO208" i="5"/>
  <c r="GG208" i="5"/>
  <c r="FR208" i="5"/>
  <c r="GD208" i="5"/>
  <c r="CW208" i="5"/>
  <c r="NN208" i="5"/>
  <c r="MY208" i="5"/>
  <c r="NR208" i="5"/>
  <c r="NO208" i="5"/>
  <c r="GG148" i="5"/>
  <c r="IE148" i="5"/>
  <c r="NX148" i="5" s="1"/>
  <c r="FR148" i="5"/>
  <c r="FL148" i="5"/>
  <c r="DU148" i="5"/>
  <c r="GD148" i="5"/>
  <c r="FO148" i="5"/>
  <c r="EZ148" i="5"/>
  <c r="ET148" i="5"/>
  <c r="CW148" i="5"/>
  <c r="FG148" i="5"/>
  <c r="NR148" i="5"/>
  <c r="MY148" i="5"/>
  <c r="NN148" i="5"/>
  <c r="NO148" i="5"/>
  <c r="IG205" i="5"/>
  <c r="NP205" i="5" s="1"/>
  <c r="NF205" i="5"/>
  <c r="RV205" i="5"/>
  <c r="BQ205" i="5"/>
  <c r="NE205" i="5" s="1"/>
  <c r="HK205" i="5" s="1"/>
  <c r="HR205" i="5" s="1"/>
  <c r="DZ205" i="5"/>
  <c r="MM205" i="5"/>
  <c r="EC205" i="5"/>
  <c r="ED205" i="5" s="1"/>
  <c r="CT205" i="5"/>
  <c r="NZ205" i="5"/>
  <c r="NR205" i="5"/>
  <c r="NX206" i="5"/>
  <c r="ET206" i="5"/>
  <c r="GA206" i="5"/>
  <c r="DU206" i="5"/>
  <c r="FL206" i="5"/>
  <c r="FG206" i="5"/>
  <c r="EZ206" i="5"/>
  <c r="GD206" i="5"/>
  <c r="FO206" i="5"/>
  <c r="GG206" i="5"/>
  <c r="FR206" i="5"/>
  <c r="CW206" i="5"/>
  <c r="NN206" i="5"/>
  <c r="NO206" i="5"/>
  <c r="NR206" i="5"/>
  <c r="MY206" i="5"/>
  <c r="IG172" i="5"/>
  <c r="NP172" i="5" s="1"/>
  <c r="DZ172" i="5"/>
  <c r="RV172" i="5"/>
  <c r="NF172" i="5"/>
  <c r="BQ172" i="5"/>
  <c r="NE172" i="5" s="1"/>
  <c r="HK172" i="5" s="1"/>
  <c r="HR172" i="5" s="1"/>
  <c r="MM172" i="5"/>
  <c r="CT172" i="5"/>
  <c r="EC172" i="5"/>
  <c r="ED172" i="5" s="1"/>
  <c r="NZ172" i="5"/>
  <c r="BU172" i="5"/>
  <c r="EZ172" i="5" s="1"/>
  <c r="IE179" i="5"/>
  <c r="NX179" i="5" s="1"/>
  <c r="CW179" i="5"/>
  <c r="GD179" i="5"/>
  <c r="GG179" i="5"/>
  <c r="FL179" i="5"/>
  <c r="FO179" i="5"/>
  <c r="FR179" i="5"/>
  <c r="GA179" i="5"/>
  <c r="DU179" i="5"/>
  <c r="ET179" i="5"/>
  <c r="FG179" i="5"/>
  <c r="NR179" i="5"/>
  <c r="NN179" i="5"/>
  <c r="NO179" i="5"/>
  <c r="MY179" i="5"/>
  <c r="EZ205" i="5"/>
  <c r="MY205" i="5"/>
  <c r="GG188" i="5"/>
  <c r="DU188" i="5"/>
  <c r="IE188" i="5"/>
  <c r="NX188" i="5" s="1"/>
  <c r="ET188" i="5"/>
  <c r="GA188" i="5"/>
  <c r="FO188" i="5"/>
  <c r="FL188" i="5"/>
  <c r="GD188" i="5"/>
  <c r="FR188" i="5"/>
  <c r="CW188" i="5"/>
  <c r="FG188" i="5"/>
  <c r="MY188" i="5"/>
  <c r="NR188" i="5"/>
  <c r="NN188" i="5"/>
  <c r="NO188" i="5"/>
  <c r="IG203" i="5"/>
  <c r="NP203" i="5" s="1"/>
  <c r="NF203" i="5"/>
  <c r="IE203" i="5" s="1"/>
  <c r="NX203" i="5" s="1"/>
  <c r="RV203" i="5"/>
  <c r="BQ203" i="5"/>
  <c r="NE203" i="5" s="1"/>
  <c r="HK203" i="5" s="1"/>
  <c r="HR203" i="5" s="1"/>
  <c r="DZ203" i="5"/>
  <c r="MM203" i="5"/>
  <c r="CT203" i="5"/>
  <c r="EC203" i="5"/>
  <c r="ED203" i="5" s="1"/>
  <c r="NZ203" i="5"/>
  <c r="IE204" i="5"/>
  <c r="NX204" i="5" s="1"/>
  <c r="FO204" i="5"/>
  <c r="EZ204" i="5"/>
  <c r="FG204" i="5"/>
  <c r="MY204" i="5"/>
  <c r="NR203" i="5"/>
  <c r="NN203" i="5"/>
  <c r="NO203" i="5"/>
  <c r="EZ203" i="5"/>
  <c r="MY203" i="5"/>
  <c r="HR202" i="5"/>
  <c r="ND202" i="5"/>
  <c r="HI202" i="5" s="1"/>
  <c r="HI160" i="5"/>
  <c r="FL152" i="5"/>
  <c r="FO152" i="5"/>
  <c r="GD152" i="5"/>
  <c r="IE152" i="5"/>
  <c r="NX152" i="5" s="1"/>
  <c r="GG152" i="5"/>
  <c r="EZ152" i="5"/>
  <c r="FG152" i="5"/>
  <c r="FR152" i="5"/>
  <c r="DU152" i="5"/>
  <c r="GA152" i="5"/>
  <c r="ET152" i="5"/>
  <c r="CW152" i="5"/>
  <c r="NN152" i="5"/>
  <c r="NR152" i="5"/>
  <c r="NO152" i="5"/>
  <c r="MY152" i="5"/>
  <c r="IG144" i="5"/>
  <c r="NP144" i="5" s="1"/>
  <c r="NF144" i="5"/>
  <c r="DZ144" i="5"/>
  <c r="RV144" i="5"/>
  <c r="BQ144" i="5"/>
  <c r="NE144" i="5" s="1"/>
  <c r="HK144" i="5" s="1"/>
  <c r="HR144" i="5" s="1"/>
  <c r="MM144" i="5"/>
  <c r="EC144" i="5"/>
  <c r="ED144" i="5" s="1"/>
  <c r="CT144" i="5"/>
  <c r="NZ144" i="5"/>
  <c r="BU144" i="5"/>
  <c r="EZ144" i="5" s="1"/>
  <c r="IG101" i="5"/>
  <c r="NP101" i="5" s="1"/>
  <c r="BQ101" i="5"/>
  <c r="NE101" i="5" s="1"/>
  <c r="HK101" i="5" s="1"/>
  <c r="HR101" i="5" s="1"/>
  <c r="DZ101" i="5"/>
  <c r="RV101" i="5"/>
  <c r="NF101" i="5"/>
  <c r="MM101" i="5"/>
  <c r="EC101" i="5"/>
  <c r="ED101" i="5" s="1"/>
  <c r="CT101" i="5"/>
  <c r="NZ101" i="5"/>
  <c r="BU101" i="5"/>
  <c r="NN101" i="5" s="1"/>
  <c r="EZ156" i="5"/>
  <c r="NR156" i="5"/>
  <c r="MY156" i="5"/>
  <c r="NN156" i="5"/>
  <c r="NO156" i="5"/>
  <c r="EZ164" i="5"/>
  <c r="NN164" i="5"/>
  <c r="NO164" i="5"/>
  <c r="NR164" i="5"/>
  <c r="MY164" i="5"/>
  <c r="HK10" i="5"/>
  <c r="HR10" i="5" s="1"/>
  <c r="HK79" i="5"/>
  <c r="HR79" i="5" s="1"/>
  <c r="HK122" i="5"/>
  <c r="HR122" i="5" s="1"/>
  <c r="HK147" i="5"/>
  <c r="HR147" i="5" s="1"/>
  <c r="HK158" i="5"/>
  <c r="HR158" i="5" s="1"/>
  <c r="HK176" i="5"/>
  <c r="HR176" i="5" s="1"/>
  <c r="HK188" i="5"/>
  <c r="HR188" i="5" s="1"/>
  <c r="HK13" i="5"/>
  <c r="HR13" i="5" s="1"/>
  <c r="HK111" i="5"/>
  <c r="HR111" i="5" s="1"/>
  <c r="PA107" i="5"/>
  <c r="CJ107" i="5"/>
  <c r="IG31" i="5"/>
  <c r="BT31" i="5" s="1"/>
  <c r="DZ31" i="5"/>
  <c r="DW31" i="5" s="1"/>
  <c r="IG15" i="5"/>
  <c r="BT15" i="5" s="1"/>
  <c r="DZ15" i="5"/>
  <c r="DW15" i="5" s="1"/>
  <c r="IG34" i="5"/>
  <c r="BT34" i="5" s="1"/>
  <c r="DZ34" i="5"/>
  <c r="DW34" i="5" s="1"/>
  <c r="IG149" i="5"/>
  <c r="DZ149" i="5"/>
  <c r="DW149" i="5" s="1"/>
  <c r="HK69" i="5"/>
  <c r="HR69" i="5" s="1"/>
  <c r="HK85" i="5"/>
  <c r="HR85" i="5" s="1"/>
  <c r="HK102" i="5"/>
  <c r="HR102" i="5" s="1"/>
  <c r="HK113" i="5"/>
  <c r="HR113" i="5" s="1"/>
  <c r="HK142" i="5"/>
  <c r="HR142" i="5" s="1"/>
  <c r="HK148" i="5"/>
  <c r="HR148" i="5" s="1"/>
  <c r="HK162" i="5"/>
  <c r="HK189" i="5"/>
  <c r="HR189" i="5" s="1"/>
  <c r="HK61" i="5"/>
  <c r="HR61" i="5" s="1"/>
  <c r="HK171" i="5"/>
  <c r="HR171" i="5" s="1"/>
  <c r="HK58" i="5"/>
  <c r="HR58" i="5" s="1"/>
  <c r="OD52" i="5"/>
  <c r="IG6" i="5"/>
  <c r="BT6" i="5" s="1"/>
  <c r="DZ6" i="5"/>
  <c r="DW6" i="5" s="1"/>
  <c r="IG14" i="5"/>
  <c r="BT14" i="5" s="1"/>
  <c r="DZ14" i="5"/>
  <c r="DW14" i="5" s="1"/>
  <c r="IG39" i="5"/>
  <c r="BT39" i="5" s="1"/>
  <c r="DZ39" i="5"/>
  <c r="DW39" i="5" s="1"/>
  <c r="IG52" i="5"/>
  <c r="BT52" i="5" s="1"/>
  <c r="DZ52" i="5"/>
  <c r="DW52" i="5" s="1"/>
  <c r="IG131" i="5"/>
  <c r="NP131" i="5" s="1"/>
  <c r="DZ131" i="5"/>
  <c r="DW131" i="5" s="1"/>
  <c r="IG9" i="5"/>
  <c r="BT9" i="5" s="1"/>
  <c r="DZ9" i="5"/>
  <c r="DW9" i="5" s="1"/>
  <c r="HK73" i="5"/>
  <c r="HR73" i="5" s="1"/>
  <c r="HK114" i="5"/>
  <c r="HR114" i="5" s="1"/>
  <c r="HK125" i="5"/>
  <c r="HR125" i="5" s="1"/>
  <c r="HK163" i="5"/>
  <c r="HR163" i="5" s="1"/>
  <c r="HK178" i="5"/>
  <c r="HR178" i="5" s="1"/>
  <c r="HK190" i="5"/>
  <c r="HR190" i="5" s="1"/>
  <c r="HK135" i="5"/>
  <c r="HR135" i="5" s="1"/>
  <c r="OJ60" i="5"/>
  <c r="CJ60" i="5"/>
  <c r="IG30" i="5"/>
  <c r="BT30" i="5" s="1"/>
  <c r="DZ30" i="5"/>
  <c r="DW30" i="5" s="1"/>
  <c r="IG20" i="5"/>
  <c r="BT20" i="5" s="1"/>
  <c r="DZ20" i="5"/>
  <c r="DW20" i="5" s="1"/>
  <c r="IG45" i="5"/>
  <c r="BT45" i="5" s="1"/>
  <c r="DZ45" i="5"/>
  <c r="DW45" i="5" s="1"/>
  <c r="IG23" i="5"/>
  <c r="BT23" i="5" s="1"/>
  <c r="DZ23" i="5"/>
  <c r="DW23" i="5" s="1"/>
  <c r="IG129" i="5"/>
  <c r="BT129" i="5" s="1"/>
  <c r="DZ129" i="5"/>
  <c r="DW129" i="5" s="1"/>
  <c r="IG130" i="5"/>
  <c r="NP130" i="5" s="1"/>
  <c r="DZ130" i="5"/>
  <c r="HK18" i="5"/>
  <c r="HR18" i="5" s="1"/>
  <c r="HK33" i="5"/>
  <c r="HR33" i="5" s="1"/>
  <c r="HK96" i="5"/>
  <c r="HR96" i="5" s="1"/>
  <c r="HK106" i="5"/>
  <c r="HR106" i="5" s="1"/>
  <c r="HK115" i="5"/>
  <c r="HR115" i="5" s="1"/>
  <c r="HK143" i="5"/>
  <c r="HR143" i="5" s="1"/>
  <c r="HK173" i="5"/>
  <c r="HR173" i="5" s="1"/>
  <c r="HK179" i="5"/>
  <c r="HR179" i="5" s="1"/>
  <c r="HK134" i="5"/>
  <c r="HR134" i="5" s="1"/>
  <c r="HK105" i="5"/>
  <c r="HR105" i="5" s="1"/>
  <c r="OT80" i="5"/>
  <c r="IG42" i="5"/>
  <c r="BT42" i="5" s="1"/>
  <c r="DZ42" i="5"/>
  <c r="DW42" i="5" s="1"/>
  <c r="IG44" i="5"/>
  <c r="BT44" i="5" s="1"/>
  <c r="DZ44" i="5"/>
  <c r="DW44" i="5" s="1"/>
  <c r="IG57" i="5"/>
  <c r="BT57" i="5" s="1"/>
  <c r="DZ57" i="5"/>
  <c r="DW57" i="5" s="1"/>
  <c r="IG95" i="5"/>
  <c r="BT95" i="5" s="1"/>
  <c r="DZ95" i="5"/>
  <c r="DW95" i="5" s="1"/>
  <c r="HI191" i="5"/>
  <c r="HK7" i="5"/>
  <c r="HR7" i="5" s="1"/>
  <c r="HK19" i="5"/>
  <c r="HR19" i="5" s="1"/>
  <c r="HK43" i="5"/>
  <c r="HR43" i="5" s="1"/>
  <c r="HK63" i="5"/>
  <c r="HR63" i="5" s="1"/>
  <c r="HK97" i="5"/>
  <c r="HR97" i="5" s="1"/>
  <c r="HK119" i="5"/>
  <c r="HR119" i="5" s="1"/>
  <c r="HK128" i="5"/>
  <c r="HR128" i="5" s="1"/>
  <c r="HK181" i="5"/>
  <c r="HK136" i="5"/>
  <c r="HR136" i="5" s="1"/>
  <c r="OJ84" i="5"/>
  <c r="IG54" i="5"/>
  <c r="BT54" i="5" s="1"/>
  <c r="DZ54" i="5"/>
  <c r="DW54" i="5" s="1"/>
  <c r="IG62" i="5"/>
  <c r="BT62" i="5" s="1"/>
  <c r="DZ62" i="5"/>
  <c r="DW62" i="5" s="1"/>
  <c r="IG75" i="5"/>
  <c r="BT75" i="5" s="1"/>
  <c r="DZ75" i="5"/>
  <c r="DW75" i="5" s="1"/>
  <c r="IG107" i="5"/>
  <c r="DZ107" i="5"/>
  <c r="DW107" i="5" s="1"/>
  <c r="IG12" i="5"/>
  <c r="NP12" i="5" s="1"/>
  <c r="DZ12" i="5"/>
  <c r="DW12" i="5" s="1"/>
  <c r="HK21" i="5"/>
  <c r="HR21" i="5" s="1"/>
  <c r="HK36" i="5"/>
  <c r="HR36" i="5" s="1"/>
  <c r="HK48" i="5"/>
  <c r="HR48" i="5" s="1"/>
  <c r="HK64" i="5"/>
  <c r="HR64" i="5" s="1"/>
  <c r="HK87" i="5"/>
  <c r="HR87" i="5" s="1"/>
  <c r="HK109" i="5"/>
  <c r="HR109" i="5" s="1"/>
  <c r="HK182" i="5"/>
  <c r="HR182" i="5" s="1"/>
  <c r="HK137" i="5"/>
  <c r="HR137" i="5" s="1"/>
  <c r="OP104" i="5"/>
  <c r="IG60" i="5"/>
  <c r="BT60" i="5" s="1"/>
  <c r="DZ60" i="5"/>
  <c r="DW60" i="5" s="1"/>
  <c r="IG80" i="5"/>
  <c r="BT80" i="5" s="1"/>
  <c r="DZ80" i="5"/>
  <c r="DW80" i="5" s="1"/>
  <c r="IG93" i="5"/>
  <c r="BT93" i="5" s="1"/>
  <c r="DZ93" i="5"/>
  <c r="DW93" i="5" s="1"/>
  <c r="HK37" i="5"/>
  <c r="HR37" i="5" s="1"/>
  <c r="HK76" i="5"/>
  <c r="HR76" i="5" s="1"/>
  <c r="HK100" i="5"/>
  <c r="HR100" i="5" s="1"/>
  <c r="HK145" i="5"/>
  <c r="HR145" i="5" s="1"/>
  <c r="HK155" i="5"/>
  <c r="HR155" i="5" s="1"/>
  <c r="HK174" i="5"/>
  <c r="HK183" i="5"/>
  <c r="HI183" i="5" s="1"/>
  <c r="HK88" i="5"/>
  <c r="HR88" i="5" s="1"/>
  <c r="HK150" i="5"/>
  <c r="HR150" i="5" s="1"/>
  <c r="OL14" i="5"/>
  <c r="CJ14" i="5"/>
  <c r="IG84" i="5"/>
  <c r="BT84" i="5" s="1"/>
  <c r="DZ84" i="5"/>
  <c r="DW84" i="5" s="1"/>
  <c r="IG86" i="5"/>
  <c r="BT86" i="5" s="1"/>
  <c r="DZ86" i="5"/>
  <c r="DW86" i="5" s="1"/>
  <c r="IG16" i="5"/>
  <c r="BT16" i="5" s="1"/>
  <c r="DZ16" i="5"/>
  <c r="DW16" i="5" s="1"/>
  <c r="HK24" i="5"/>
  <c r="HR24" i="5" s="1"/>
  <c r="HK78" i="5"/>
  <c r="HR78" i="5" s="1"/>
  <c r="HK90" i="5"/>
  <c r="HR90" i="5" s="1"/>
  <c r="HK166" i="5"/>
  <c r="HR166" i="5" s="1"/>
  <c r="HK175" i="5"/>
  <c r="HR175" i="5" s="1"/>
  <c r="HK4" i="5"/>
  <c r="HR4" i="5" s="1"/>
  <c r="HK103" i="5"/>
  <c r="HR103" i="5" s="1"/>
  <c r="HK82" i="5"/>
  <c r="HR82" i="5" s="1"/>
  <c r="PB16" i="5"/>
  <c r="CJ16" i="5"/>
  <c r="OW95" i="5"/>
  <c r="IG25" i="5"/>
  <c r="BT25" i="5" s="1"/>
  <c r="DZ25" i="5"/>
  <c r="DW25" i="5" s="1"/>
  <c r="IG104" i="5"/>
  <c r="BT104" i="5" s="1"/>
  <c r="DZ104" i="5"/>
  <c r="DW104" i="5" s="1"/>
  <c r="IG22" i="5"/>
  <c r="BT22" i="5" s="1"/>
  <c r="DZ22" i="5"/>
  <c r="DW22" i="5" s="1"/>
  <c r="BQ6" i="5"/>
  <c r="NE6" i="5" s="1"/>
  <c r="BU6" i="5"/>
  <c r="BQ30" i="5"/>
  <c r="BU30" i="5"/>
  <c r="BQ42" i="5"/>
  <c r="NE42" i="5" s="1"/>
  <c r="BU42" i="5"/>
  <c r="BQ54" i="5"/>
  <c r="NE54" i="5" s="1"/>
  <c r="BU54" i="5"/>
  <c r="BQ60" i="5"/>
  <c r="NE60" i="5" s="1"/>
  <c r="BU60" i="5"/>
  <c r="BQ84" i="5"/>
  <c r="BU84" i="5"/>
  <c r="NO84" i="5" s="1"/>
  <c r="BQ25" i="5"/>
  <c r="NE25" i="5" s="1"/>
  <c r="BU25" i="5"/>
  <c r="BU31" i="5"/>
  <c r="BQ31" i="5"/>
  <c r="BQ14" i="5"/>
  <c r="BU14" i="5"/>
  <c r="BQ20" i="5"/>
  <c r="NE20" i="5" s="1"/>
  <c r="BU20" i="5"/>
  <c r="BQ44" i="5"/>
  <c r="BU44" i="5"/>
  <c r="IP62" i="5"/>
  <c r="NR62" i="5" s="1"/>
  <c r="BQ62" i="5"/>
  <c r="NE62" i="5" s="1"/>
  <c r="BU62" i="5"/>
  <c r="BU80" i="5"/>
  <c r="BQ80" i="5"/>
  <c r="BQ86" i="5"/>
  <c r="NE86" i="5" s="1"/>
  <c r="BU86" i="5"/>
  <c r="BU104" i="5"/>
  <c r="NR104" i="5" s="1"/>
  <c r="BQ104" i="5"/>
  <c r="NE104" i="5" s="1"/>
  <c r="BU15" i="5"/>
  <c r="BQ15" i="5"/>
  <c r="BU39" i="5"/>
  <c r="BQ39" i="5"/>
  <c r="NE39" i="5" s="1"/>
  <c r="HK39" i="5" s="1"/>
  <c r="HI39" i="5" s="1"/>
  <c r="BU45" i="5"/>
  <c r="BQ45" i="5"/>
  <c r="NE45" i="5" s="1"/>
  <c r="BQ57" i="5"/>
  <c r="NE57" i="5" s="1"/>
  <c r="BU57" i="5"/>
  <c r="BQ75" i="5"/>
  <c r="NE75" i="5" s="1"/>
  <c r="BU75" i="5"/>
  <c r="NO75" i="5" s="1"/>
  <c r="BU93" i="5"/>
  <c r="BQ93" i="5"/>
  <c r="BU16" i="5"/>
  <c r="BQ16" i="5"/>
  <c r="BQ22" i="5"/>
  <c r="BU22" i="5"/>
  <c r="BQ34" i="5"/>
  <c r="NE34" i="5" s="1"/>
  <c r="BU34" i="5"/>
  <c r="BQ52" i="5"/>
  <c r="BU52" i="5"/>
  <c r="BU23" i="5"/>
  <c r="BQ23" i="5"/>
  <c r="BU95" i="5"/>
  <c r="BQ95" i="5"/>
  <c r="NE95" i="5" s="1"/>
  <c r="BQ107" i="5"/>
  <c r="BU107" i="5"/>
  <c r="BQ12" i="5"/>
  <c r="NE12" i="5" s="1"/>
  <c r="HK12" i="5" s="1"/>
  <c r="HI12" i="5" s="1"/>
  <c r="BU12" i="5"/>
  <c r="NR12" i="5" s="1"/>
  <c r="BQ131" i="5"/>
  <c r="NE131" i="5" s="1"/>
  <c r="BU131" i="5"/>
  <c r="MY131" i="5" s="1"/>
  <c r="BQ9" i="5"/>
  <c r="NE9" i="5" s="1"/>
  <c r="BU9" i="5"/>
  <c r="MY9" i="5" s="1"/>
  <c r="BQ129" i="5"/>
  <c r="NE129" i="5" s="1"/>
  <c r="BU129" i="5"/>
  <c r="BQ130" i="5"/>
  <c r="NE130" i="5" s="1"/>
  <c r="BU130" i="5"/>
  <c r="BU149" i="5"/>
  <c r="NR149" i="5" s="1"/>
  <c r="BQ149" i="5"/>
  <c r="NE149" i="5" s="1"/>
  <c r="ND192" i="5"/>
  <c r="HI192" i="5" s="1"/>
  <c r="HR192" i="5"/>
  <c r="HR191" i="5"/>
  <c r="NO69" i="5"/>
  <c r="NR69" i="5"/>
  <c r="NX112" i="5"/>
  <c r="NO112" i="5"/>
  <c r="NR112" i="5"/>
  <c r="MY112" i="5"/>
  <c r="NN112" i="5"/>
  <c r="NF149" i="5"/>
  <c r="RV149" i="5"/>
  <c r="MM149" i="5"/>
  <c r="NZ149" i="5"/>
  <c r="OJ16" i="5"/>
  <c r="OG57" i="5"/>
  <c r="OB80" i="5"/>
  <c r="OO80" i="5"/>
  <c r="NX142" i="5"/>
  <c r="NR142" i="5"/>
  <c r="NO142" i="5"/>
  <c r="MY142" i="5"/>
  <c r="NN142" i="5"/>
  <c r="OB107" i="5"/>
  <c r="OX107" i="5"/>
  <c r="OE16" i="5"/>
  <c r="OS16" i="5"/>
  <c r="PE16" i="5"/>
  <c r="OK52" i="5"/>
  <c r="OM107" i="5"/>
  <c r="OI80" i="5"/>
  <c r="PB80" i="5"/>
  <c r="OI107" i="5"/>
  <c r="OA107" i="5"/>
  <c r="OR80" i="5"/>
  <c r="OO107" i="5"/>
  <c r="OC80" i="5"/>
  <c r="OZ107" i="5"/>
  <c r="OG107" i="5"/>
  <c r="OO57" i="5"/>
  <c r="OY57" i="5"/>
  <c r="OD22" i="5"/>
  <c r="OK22" i="5"/>
  <c r="NN105" i="5"/>
  <c r="MY10" i="5"/>
  <c r="NO10" i="5"/>
  <c r="NR105" i="5"/>
  <c r="NO81" i="5"/>
  <c r="NR81" i="5"/>
  <c r="OQ57" i="5"/>
  <c r="PH57" i="5"/>
  <c r="PG60" i="5"/>
  <c r="OD60" i="5"/>
  <c r="OY107" i="5"/>
  <c r="PB22" i="5"/>
  <c r="OQ60" i="5"/>
  <c r="PB107" i="5"/>
  <c r="PH22" i="5"/>
  <c r="PF60" i="5"/>
  <c r="OB95" i="5"/>
  <c r="OP107" i="5"/>
  <c r="OM22" i="5"/>
  <c r="PD107" i="5"/>
  <c r="PC52" i="5"/>
  <c r="RX81" i="5"/>
  <c r="RY81" i="5" s="1"/>
  <c r="OC107" i="5"/>
  <c r="OF107" i="5"/>
  <c r="OM80" i="5"/>
  <c r="OH80" i="5"/>
  <c r="PG107" i="5"/>
  <c r="PH107" i="5"/>
  <c r="PC80" i="5"/>
  <c r="RX33" i="5"/>
  <c r="RY33" i="5" s="1"/>
  <c r="RX69" i="5"/>
  <c r="RY69" i="5" s="1"/>
  <c r="RX105" i="5"/>
  <c r="RY105" i="5" s="1"/>
  <c r="PA80" i="5"/>
  <c r="OI95" i="5"/>
  <c r="OR107" i="5"/>
  <c r="OH107" i="5"/>
  <c r="OL60" i="5"/>
  <c r="OP80" i="5"/>
  <c r="ON80" i="5"/>
  <c r="OT107" i="5"/>
  <c r="PE60" i="5"/>
  <c r="OD107" i="5"/>
  <c r="ON107" i="5"/>
  <c r="OL80" i="5"/>
  <c r="CJ80" i="5" s="1"/>
  <c r="OF80" i="5"/>
  <c r="OU107" i="5"/>
  <c r="PD80" i="5"/>
  <c r="RX63" i="5"/>
  <c r="RY63" i="5" s="1"/>
  <c r="OK57" i="5"/>
  <c r="OF57" i="5"/>
  <c r="OH57" i="5"/>
  <c r="OQ22" i="5"/>
  <c r="OO22" i="5"/>
  <c r="OF22" i="5"/>
  <c r="OW57" i="5"/>
  <c r="PC57" i="5"/>
  <c r="OT57" i="5"/>
  <c r="PF22" i="5"/>
  <c r="OW22" i="5"/>
  <c r="PF16" i="5"/>
  <c r="PC104" i="5"/>
  <c r="NX72" i="5"/>
  <c r="NR72" i="5"/>
  <c r="MY72" i="5"/>
  <c r="NN72" i="5"/>
  <c r="NO72" i="5"/>
  <c r="NX137" i="5"/>
  <c r="NO137" i="5"/>
  <c r="NR137" i="5"/>
  <c r="MY137" i="5"/>
  <c r="NN137" i="5"/>
  <c r="NN91" i="5"/>
  <c r="MY91" i="5"/>
  <c r="NO91" i="5"/>
  <c r="NR91" i="5"/>
  <c r="NX38" i="5"/>
  <c r="NO38" i="5"/>
  <c r="MY38" i="5"/>
  <c r="NR38" i="5"/>
  <c r="NN38" i="5"/>
  <c r="NZ9" i="5"/>
  <c r="CJ9" i="5" s="1"/>
  <c r="NX63" i="5"/>
  <c r="NX81" i="5"/>
  <c r="NF129" i="5"/>
  <c r="RV129" i="5"/>
  <c r="MM129" i="5"/>
  <c r="NX35" i="5"/>
  <c r="NN35" i="5"/>
  <c r="NO35" i="5"/>
  <c r="NR35" i="5"/>
  <c r="MY35" i="5"/>
  <c r="RV12" i="5"/>
  <c r="NF12" i="5"/>
  <c r="MM12" i="5"/>
  <c r="NX55" i="5"/>
  <c r="NR55" i="5"/>
  <c r="NN55" i="5"/>
  <c r="MY55" i="5"/>
  <c r="NO55" i="5"/>
  <c r="NX126" i="5"/>
  <c r="NR126" i="5"/>
  <c r="NN126" i="5"/>
  <c r="NO126" i="5"/>
  <c r="MY126" i="5"/>
  <c r="NX92" i="5"/>
  <c r="NO92" i="5"/>
  <c r="MY92" i="5"/>
  <c r="NR92" i="5"/>
  <c r="NN92" i="5"/>
  <c r="NX127" i="5"/>
  <c r="NO127" i="5"/>
  <c r="MY127" i="5"/>
  <c r="NR127" i="5"/>
  <c r="NN127" i="5"/>
  <c r="NR99" i="5"/>
  <c r="NR134" i="5"/>
  <c r="MY134" i="5"/>
  <c r="NN134" i="5"/>
  <c r="NO134" i="5"/>
  <c r="NX70" i="5"/>
  <c r="NO70" i="5"/>
  <c r="NR70" i="5"/>
  <c r="MY70" i="5"/>
  <c r="NN70" i="5"/>
  <c r="NO106" i="5"/>
  <c r="NR106" i="5"/>
  <c r="NN106" i="5"/>
  <c r="MY106" i="5"/>
  <c r="NZ129" i="5"/>
  <c r="NX157" i="5"/>
  <c r="NO157" i="5"/>
  <c r="MY157" i="5"/>
  <c r="NR157" i="5"/>
  <c r="NN157" i="5"/>
  <c r="OD57" i="5"/>
  <c r="OS57" i="5"/>
  <c r="OM57" i="5"/>
  <c r="OC22" i="5"/>
  <c r="OP22" i="5"/>
  <c r="OG22" i="5"/>
  <c r="PD57" i="5"/>
  <c r="OU57" i="5"/>
  <c r="PG22" i="5"/>
  <c r="OX22" i="5"/>
  <c r="PD22" i="5"/>
  <c r="OL52" i="5"/>
  <c r="CJ52" i="5" s="1"/>
  <c r="PA95" i="5"/>
  <c r="NZ12" i="5"/>
  <c r="CJ12" i="5" s="1"/>
  <c r="NX78" i="5"/>
  <c r="NR78" i="5"/>
  <c r="NO78" i="5"/>
  <c r="MY78" i="5"/>
  <c r="NN78" i="5"/>
  <c r="NO96" i="5"/>
  <c r="NR96" i="5"/>
  <c r="MY96" i="5"/>
  <c r="NN96" i="5"/>
  <c r="NX114" i="5"/>
  <c r="NR114" i="5"/>
  <c r="NN114" i="5"/>
  <c r="NO114" i="5"/>
  <c r="MY114" i="5"/>
  <c r="NX153" i="5"/>
  <c r="NO153" i="5"/>
  <c r="MY153" i="5"/>
  <c r="NR153" i="5"/>
  <c r="NN153" i="5"/>
  <c r="NX97" i="5"/>
  <c r="NR97" i="5"/>
  <c r="NN97" i="5"/>
  <c r="NO97" i="5"/>
  <c r="MY97" i="5"/>
  <c r="NX68" i="5"/>
  <c r="NN68" i="5"/>
  <c r="MY68" i="5"/>
  <c r="NR68" i="5"/>
  <c r="NO68" i="5"/>
  <c r="NX33" i="5"/>
  <c r="NX69" i="5"/>
  <c r="NX105" i="5"/>
  <c r="NX41" i="5"/>
  <c r="NN41" i="5"/>
  <c r="NO41" i="5"/>
  <c r="MY41" i="5"/>
  <c r="NF130" i="5"/>
  <c r="RV130" i="5"/>
  <c r="MM130" i="5"/>
  <c r="OC57" i="5"/>
  <c r="OR57" i="5"/>
  <c r="OI57" i="5"/>
  <c r="OB22" i="5"/>
  <c r="OL22" i="5"/>
  <c r="OR22" i="5"/>
  <c r="OZ57" i="5"/>
  <c r="PF57" i="5"/>
  <c r="PC22" i="5"/>
  <c r="OT22" i="5"/>
  <c r="OZ22" i="5"/>
  <c r="OK60" i="5"/>
  <c r="OV107" i="5"/>
  <c r="NF131" i="5"/>
  <c r="RV131" i="5"/>
  <c r="MM131" i="5"/>
  <c r="NX132" i="5"/>
  <c r="NR132" i="5"/>
  <c r="NN132" i="5"/>
  <c r="NO132" i="5"/>
  <c r="MY132" i="5"/>
  <c r="NN154" i="5"/>
  <c r="NO154" i="5"/>
  <c r="NR154" i="5"/>
  <c r="MY154" i="5"/>
  <c r="NX110" i="5"/>
  <c r="NN110" i="5"/>
  <c r="MY110" i="5"/>
  <c r="NO110" i="5"/>
  <c r="NR110" i="5"/>
  <c r="NR155" i="5"/>
  <c r="NX51" i="5"/>
  <c r="MY51" i="5"/>
  <c r="NR51" i="5"/>
  <c r="NN51" i="5"/>
  <c r="NO51" i="5"/>
  <c r="NX87" i="5"/>
  <c r="NR87" i="5"/>
  <c r="NN87" i="5"/>
  <c r="NO87" i="5"/>
  <c r="MY87" i="5"/>
  <c r="NX140" i="5"/>
  <c r="MY140" i="5"/>
  <c r="NN140" i="5"/>
  <c r="NO140" i="5"/>
  <c r="NR173" i="5"/>
  <c r="MY173" i="5"/>
  <c r="NN173" i="5"/>
  <c r="NO173" i="5"/>
  <c r="NX46" i="5"/>
  <c r="NR46" i="5"/>
  <c r="NN46" i="5"/>
  <c r="NO46" i="5"/>
  <c r="MY46" i="5"/>
  <c r="NR88" i="5"/>
  <c r="NO124" i="5"/>
  <c r="MY124" i="5"/>
  <c r="NR124" i="5"/>
  <c r="NN124" i="5"/>
  <c r="NX135" i="5"/>
  <c r="NO135" i="5"/>
  <c r="MY135" i="5"/>
  <c r="NR135" i="5"/>
  <c r="NN135" i="5"/>
  <c r="NX59" i="5"/>
  <c r="NR59" i="5"/>
  <c r="NN59" i="5"/>
  <c r="MY59" i="5"/>
  <c r="NO59" i="5"/>
  <c r="NX113" i="5"/>
  <c r="NR113" i="5"/>
  <c r="NN113" i="5"/>
  <c r="MY113" i="5"/>
  <c r="NO113" i="5"/>
  <c r="NZ130" i="5"/>
  <c r="NX158" i="5"/>
  <c r="MY158" i="5"/>
  <c r="NN158" i="5"/>
  <c r="NR158" i="5"/>
  <c r="NO158" i="5"/>
  <c r="OB57" i="5"/>
  <c r="ON57" i="5"/>
  <c r="OP57" i="5"/>
  <c r="OE22" i="5"/>
  <c r="OH22" i="5"/>
  <c r="ON22" i="5"/>
  <c r="PE57" i="5"/>
  <c r="OV57" i="5"/>
  <c r="PB57" i="5"/>
  <c r="OY22" i="5"/>
  <c r="PE22" i="5"/>
  <c r="OV22" i="5"/>
  <c r="PE80" i="5"/>
  <c r="NX66" i="5"/>
  <c r="NN66" i="5"/>
  <c r="NO66" i="5"/>
  <c r="NR66" i="5"/>
  <c r="MY66" i="5"/>
  <c r="NX102" i="5"/>
  <c r="NR102" i="5"/>
  <c r="MY102" i="5"/>
  <c r="NN102" i="5"/>
  <c r="NO102" i="5"/>
  <c r="NX120" i="5"/>
  <c r="NO120" i="5"/>
  <c r="NR120" i="5"/>
  <c r="MY120" i="5"/>
  <c r="NN120" i="5"/>
  <c r="NZ131" i="5"/>
  <c r="NR131" i="5"/>
  <c r="NX159" i="5"/>
  <c r="NO159" i="5"/>
  <c r="NR159" i="5"/>
  <c r="MY159" i="5"/>
  <c r="NN159" i="5"/>
  <c r="NN103" i="5"/>
  <c r="NO103" i="5"/>
  <c r="NR103" i="5"/>
  <c r="MY103" i="5"/>
  <c r="NX32" i="5"/>
  <c r="NN32" i="5"/>
  <c r="NO32" i="5"/>
  <c r="NR32" i="5"/>
  <c r="MY32" i="5"/>
  <c r="NX50" i="5"/>
  <c r="NO50" i="5"/>
  <c r="NR50" i="5"/>
  <c r="NN50" i="5"/>
  <c r="MY50" i="5"/>
  <c r="NX10" i="5"/>
  <c r="NR10" i="5"/>
  <c r="NX11" i="5"/>
  <c r="MY11" i="5"/>
  <c r="NR11" i="5"/>
  <c r="NN11" i="5"/>
  <c r="NO11" i="5"/>
  <c r="OA57" i="5"/>
  <c r="OE57" i="5"/>
  <c r="OJ57" i="5"/>
  <c r="OL57" i="5"/>
  <c r="OI22" i="5"/>
  <c r="OS22" i="5"/>
  <c r="OJ22" i="5"/>
  <c r="PA57" i="5"/>
  <c r="PG57" i="5"/>
  <c r="OX57" i="5"/>
  <c r="OU22" i="5"/>
  <c r="PA22" i="5"/>
  <c r="OZ14" i="5"/>
  <c r="OX84" i="5"/>
  <c r="NX49" i="5"/>
  <c r="NN49" i="5"/>
  <c r="NR49" i="5"/>
  <c r="NO49" i="5"/>
  <c r="MY49" i="5"/>
  <c r="NX138" i="5"/>
  <c r="NN138" i="5"/>
  <c r="NO138" i="5"/>
  <c r="NR138" i="5"/>
  <c r="MY138" i="5"/>
  <c r="NX189" i="5"/>
  <c r="NN189" i="5"/>
  <c r="NR189" i="5"/>
  <c r="NO189" i="5"/>
  <c r="MY189" i="5"/>
  <c r="NX116" i="5"/>
  <c r="NR116" i="5"/>
  <c r="NO116" i="5"/>
  <c r="MY116" i="5"/>
  <c r="NN116" i="5"/>
  <c r="NO139" i="5"/>
  <c r="MY139" i="5"/>
  <c r="NR139" i="5"/>
  <c r="NN139" i="5"/>
  <c r="RV9" i="5"/>
  <c r="NF9" i="5"/>
  <c r="MM9" i="5"/>
  <c r="NX128" i="5"/>
  <c r="NR128" i="5"/>
  <c r="MY128" i="5"/>
  <c r="NN128" i="5"/>
  <c r="NO128" i="5"/>
  <c r="NX28" i="5"/>
  <c r="NN28" i="5"/>
  <c r="NO28" i="5"/>
  <c r="MY28" i="5"/>
  <c r="NR28" i="5"/>
  <c r="NX100" i="5"/>
  <c r="NR100" i="5"/>
  <c r="MY100" i="5"/>
  <c r="NN100" i="5"/>
  <c r="NO100" i="5"/>
  <c r="NX145" i="5"/>
  <c r="NO145" i="5"/>
  <c r="MY145" i="5"/>
  <c r="NR145" i="5"/>
  <c r="NN145" i="5"/>
  <c r="NX65" i="5"/>
  <c r="NN65" i="5"/>
  <c r="NO65" i="5"/>
  <c r="NR65" i="5"/>
  <c r="MY65" i="5"/>
  <c r="NX125" i="5"/>
  <c r="NN125" i="5"/>
  <c r="MY125" i="5"/>
  <c r="NR125" i="5"/>
  <c r="NO125" i="5"/>
  <c r="NX136" i="5"/>
  <c r="NR136" i="5"/>
  <c r="NN136" i="5"/>
  <c r="MY136" i="5"/>
  <c r="NO136" i="5"/>
  <c r="BT107" i="5"/>
  <c r="HR152" i="5"/>
  <c r="OV80" i="5"/>
  <c r="PG84" i="5"/>
  <c r="OS84" i="5"/>
  <c r="OV16" i="5"/>
  <c r="OU80" i="5"/>
  <c r="PB104" i="5"/>
  <c r="RV42" i="5"/>
  <c r="RV14" i="5"/>
  <c r="RV104" i="5"/>
  <c r="RV93" i="5"/>
  <c r="RV95" i="5"/>
  <c r="RV54" i="5"/>
  <c r="RV20" i="5"/>
  <c r="RV15" i="5"/>
  <c r="RV16" i="5"/>
  <c r="RV107" i="5"/>
  <c r="RV60" i="5"/>
  <c r="RV44" i="5"/>
  <c r="RV39" i="5"/>
  <c r="RV22" i="5"/>
  <c r="RV84" i="5"/>
  <c r="RV62" i="5"/>
  <c r="RV45" i="5"/>
  <c r="RV34" i="5"/>
  <c r="RV25" i="5"/>
  <c r="RV80" i="5"/>
  <c r="RV57" i="5"/>
  <c r="RV52" i="5"/>
  <c r="RV30" i="5"/>
  <c r="RV31" i="5"/>
  <c r="RV86" i="5"/>
  <c r="RV75" i="5"/>
  <c r="RV23" i="5"/>
  <c r="OA80" i="5"/>
  <c r="OS107" i="5"/>
  <c r="OK107" i="5"/>
  <c r="OQ107" i="5"/>
  <c r="OI16" i="5"/>
  <c r="OO16" i="5"/>
  <c r="OF16" i="5"/>
  <c r="OR52" i="5"/>
  <c r="OD80" i="5"/>
  <c r="OQ80" i="5"/>
  <c r="OK80" i="5"/>
  <c r="OH104" i="5"/>
  <c r="PF95" i="5"/>
  <c r="PF107" i="5"/>
  <c r="OW107" i="5"/>
  <c r="PA16" i="5"/>
  <c r="PG16" i="5"/>
  <c r="OX16" i="5"/>
  <c r="OV60" i="5"/>
  <c r="PH80" i="5"/>
  <c r="PF80" i="5"/>
  <c r="OW80" i="5"/>
  <c r="OT104" i="5"/>
  <c r="OM16" i="5"/>
  <c r="OQ16" i="5"/>
  <c r="OK16" i="5"/>
  <c r="OG104" i="5"/>
  <c r="OW16" i="5"/>
  <c r="PC16" i="5"/>
  <c r="OT16" i="5"/>
  <c r="OD16" i="5"/>
  <c r="OP16" i="5"/>
  <c r="OG16" i="5"/>
  <c r="OB52" i="5"/>
  <c r="ON104" i="5"/>
  <c r="PH16" i="5"/>
  <c r="OY16" i="5"/>
  <c r="PG80" i="5"/>
  <c r="OX80" i="5"/>
  <c r="OC16" i="5"/>
  <c r="OL16" i="5"/>
  <c r="OR16" i="5"/>
  <c r="OI52" i="5"/>
  <c r="OC104" i="5"/>
  <c r="PD16" i="5"/>
  <c r="OU16" i="5"/>
  <c r="OV104" i="5"/>
  <c r="OR95" i="5"/>
  <c r="OE107" i="5"/>
  <c r="OJ107" i="5"/>
  <c r="OL107" i="5"/>
  <c r="OB16" i="5"/>
  <c r="OH16" i="5"/>
  <c r="ON16" i="5"/>
  <c r="OE80" i="5"/>
  <c r="OS80" i="5"/>
  <c r="OJ80" i="5"/>
  <c r="OE104" i="5"/>
  <c r="PC107" i="5"/>
  <c r="PE107" i="5"/>
  <c r="OZ16" i="5"/>
  <c r="OZ80" i="5"/>
  <c r="OY80" i="5"/>
  <c r="OA84" i="5"/>
  <c r="OE95" i="5"/>
  <c r="ON95" i="5"/>
  <c r="OP95" i="5"/>
  <c r="OK14" i="5"/>
  <c r="OM84" i="5"/>
  <c r="OO84" i="5"/>
  <c r="OF84" i="5"/>
  <c r="PB95" i="5"/>
  <c r="PH95" i="5"/>
  <c r="PC84" i="5"/>
  <c r="OT84" i="5"/>
  <c r="OK95" i="5"/>
  <c r="OJ95" i="5"/>
  <c r="OL95" i="5"/>
  <c r="OJ14" i="5"/>
  <c r="OD84" i="5"/>
  <c r="OI84" i="5"/>
  <c r="OK84" i="5"/>
  <c r="OY95" i="5"/>
  <c r="OX95" i="5"/>
  <c r="PD95" i="5"/>
  <c r="PG14" i="5"/>
  <c r="PD84" i="5"/>
  <c r="OY84" i="5"/>
  <c r="PE84" i="5"/>
  <c r="OG95" i="5"/>
  <c r="OF95" i="5"/>
  <c r="OH95" i="5"/>
  <c r="OC84" i="5"/>
  <c r="OP84" i="5"/>
  <c r="OG84" i="5"/>
  <c r="OU95" i="5"/>
  <c r="OT95" i="5"/>
  <c r="OZ95" i="5"/>
  <c r="PF14" i="5"/>
  <c r="OZ84" i="5"/>
  <c r="OU84" i="5"/>
  <c r="PA84" i="5"/>
  <c r="OD95" i="5"/>
  <c r="OS95" i="5"/>
  <c r="OQ95" i="5"/>
  <c r="OD14" i="5"/>
  <c r="OB84" i="5"/>
  <c r="OL84" i="5"/>
  <c r="CJ84" i="5" s="1"/>
  <c r="OR84" i="5"/>
  <c r="PG95" i="5"/>
  <c r="PE95" i="5"/>
  <c r="OV95" i="5"/>
  <c r="PE14" i="5"/>
  <c r="OV84" i="5"/>
  <c r="PF84" i="5"/>
  <c r="OW84" i="5"/>
  <c r="OC95" i="5"/>
  <c r="CJ95" i="5" s="1"/>
  <c r="OO95" i="5"/>
  <c r="OM95" i="5"/>
  <c r="OE14" i="5"/>
  <c r="OE84" i="5"/>
  <c r="OH84" i="5"/>
  <c r="ON84" i="5"/>
  <c r="PC95" i="5"/>
  <c r="PD14" i="5"/>
  <c r="PH84" i="5"/>
  <c r="PB84" i="5"/>
  <c r="PF20" i="5"/>
  <c r="OV20" i="5"/>
  <c r="OD20" i="5"/>
  <c r="OW20" i="5"/>
  <c r="OJ20" i="5"/>
  <c r="OK20" i="5"/>
  <c r="OT20" i="5"/>
  <c r="OL20" i="5"/>
  <c r="OU20" i="5"/>
  <c r="OQ20" i="5"/>
  <c r="OV62" i="5"/>
  <c r="OR62" i="5"/>
  <c r="OL62" i="5"/>
  <c r="OC62" i="5"/>
  <c r="OA62" i="5"/>
  <c r="PD62" i="5"/>
  <c r="OG62" i="5"/>
  <c r="OP62" i="5"/>
  <c r="OI62" i="5"/>
  <c r="OW62" i="5"/>
  <c r="OK62" i="5"/>
  <c r="OM62" i="5"/>
  <c r="OD62" i="5"/>
  <c r="PF62" i="5"/>
  <c r="OF62" i="5"/>
  <c r="OO62" i="5"/>
  <c r="OQ62" i="5"/>
  <c r="OJ62" i="5"/>
  <c r="OS62" i="5"/>
  <c r="OE62" i="5"/>
  <c r="OU62" i="5"/>
  <c r="ON62" i="5"/>
  <c r="OH62" i="5"/>
  <c r="OB62" i="5"/>
  <c r="OU39" i="5"/>
  <c r="PA39" i="5"/>
  <c r="OY39" i="5"/>
  <c r="OH39" i="5"/>
  <c r="OF39" i="5"/>
  <c r="OG39" i="5"/>
  <c r="OV39" i="5"/>
  <c r="PE39" i="5"/>
  <c r="PC39" i="5"/>
  <c r="OL39" i="5"/>
  <c r="OJ39" i="5"/>
  <c r="CJ39" i="5" s="1"/>
  <c r="OE39" i="5"/>
  <c r="OZ39" i="5"/>
  <c r="OX39" i="5"/>
  <c r="PG39" i="5"/>
  <c r="OP39" i="5"/>
  <c r="ON39" i="5"/>
  <c r="OB39" i="5"/>
  <c r="PD39" i="5"/>
  <c r="PB39" i="5"/>
  <c r="OI39" i="5"/>
  <c r="OR39" i="5"/>
  <c r="OC39" i="5"/>
  <c r="PH39" i="5"/>
  <c r="PF39" i="5"/>
  <c r="OM39" i="5"/>
  <c r="OO39" i="5"/>
  <c r="OD39" i="5"/>
  <c r="OW39" i="5"/>
  <c r="OT39" i="5"/>
  <c r="OQ39" i="5"/>
  <c r="OS39" i="5"/>
  <c r="OK39" i="5"/>
  <c r="OT23" i="5"/>
  <c r="PC23" i="5"/>
  <c r="OH23" i="5"/>
  <c r="OF23" i="5"/>
  <c r="OG23" i="5"/>
  <c r="OX23" i="5"/>
  <c r="PG23" i="5"/>
  <c r="OL23" i="5"/>
  <c r="OJ23" i="5"/>
  <c r="OE23" i="5"/>
  <c r="PB23" i="5"/>
  <c r="OV23" i="5"/>
  <c r="OP23" i="5"/>
  <c r="ON23" i="5"/>
  <c r="OK23" i="5"/>
  <c r="OW23" i="5"/>
  <c r="PF23" i="5"/>
  <c r="OZ23" i="5"/>
  <c r="OI23" i="5"/>
  <c r="OR23" i="5"/>
  <c r="OB23" i="5"/>
  <c r="PA23" i="5"/>
  <c r="OU23" i="5"/>
  <c r="PD23" i="5"/>
  <c r="OM23" i="5"/>
  <c r="OO23" i="5"/>
  <c r="OC23" i="5"/>
  <c r="PE23" i="5"/>
  <c r="OY23" i="5"/>
  <c r="PH23" i="5"/>
  <c r="OQ23" i="5"/>
  <c r="OS23" i="5"/>
  <c r="OD23" i="5"/>
  <c r="OE52" i="5"/>
  <c r="OH52" i="5"/>
  <c r="ON52" i="5"/>
  <c r="OM104" i="5"/>
  <c r="OS104" i="5"/>
  <c r="OJ104" i="5"/>
  <c r="PB52" i="5"/>
  <c r="PH104" i="5"/>
  <c r="OY104" i="5"/>
  <c r="PE104" i="5"/>
  <c r="OQ52" i="5"/>
  <c r="OS52" i="5"/>
  <c r="OJ52" i="5"/>
  <c r="OI104" i="5"/>
  <c r="OO104" i="5"/>
  <c r="OF104" i="5"/>
  <c r="OT52" i="5"/>
  <c r="PD104" i="5"/>
  <c r="OU104" i="5"/>
  <c r="PA104" i="5"/>
  <c r="OM52" i="5"/>
  <c r="OO52" i="5"/>
  <c r="OF52" i="5"/>
  <c r="OD104" i="5"/>
  <c r="OQ104" i="5"/>
  <c r="OK104" i="5"/>
  <c r="PA52" i="5"/>
  <c r="OZ104" i="5"/>
  <c r="PF104" i="5"/>
  <c r="OW104" i="5"/>
  <c r="OC52" i="5"/>
  <c r="OP52" i="5"/>
  <c r="OG52" i="5"/>
  <c r="OB104" i="5"/>
  <c r="OL104" i="5"/>
  <c r="CJ104" i="5" s="1"/>
  <c r="OR104" i="5"/>
  <c r="OZ52" i="5"/>
  <c r="PG104" i="5"/>
  <c r="OX104" i="5"/>
  <c r="PC25" i="5"/>
  <c r="PD25" i="5"/>
  <c r="PE25" i="5"/>
  <c r="PF25" i="5"/>
  <c r="OP25" i="5"/>
  <c r="OF25" i="5"/>
  <c r="OS25" i="5"/>
  <c r="OB25" i="5"/>
  <c r="CJ25" i="5" s="1"/>
  <c r="PG25" i="5"/>
  <c r="PH25" i="5"/>
  <c r="OT25" i="5"/>
  <c r="OI25" i="5"/>
  <c r="OJ25" i="5"/>
  <c r="OG25" i="5"/>
  <c r="OC25" i="5"/>
  <c r="OU25" i="5"/>
  <c r="OV25" i="5"/>
  <c r="OW25" i="5"/>
  <c r="OX25" i="5"/>
  <c r="OH25" i="5"/>
  <c r="OM25" i="5"/>
  <c r="ON25" i="5"/>
  <c r="OK25" i="5"/>
  <c r="OO25" i="5"/>
  <c r="OY25" i="5"/>
  <c r="OZ25" i="5"/>
  <c r="PA25" i="5"/>
  <c r="PB25" i="5"/>
  <c r="OL25" i="5"/>
  <c r="OQ25" i="5"/>
  <c r="OR25" i="5"/>
  <c r="OE25" i="5"/>
  <c r="OD25" i="5"/>
  <c r="PA44" i="5"/>
  <c r="PB44" i="5"/>
  <c r="PC44" i="5"/>
  <c r="PH44" i="5"/>
  <c r="OF44" i="5"/>
  <c r="OG44" i="5"/>
  <c r="OH44" i="5"/>
  <c r="OM44" i="5"/>
  <c r="OC44" i="5"/>
  <c r="PE44" i="5"/>
  <c r="PF44" i="5"/>
  <c r="PG44" i="5"/>
  <c r="OV44" i="5"/>
  <c r="OJ44" i="5"/>
  <c r="OK44" i="5"/>
  <c r="OL44" i="5"/>
  <c r="OQ44" i="5"/>
  <c r="OD44" i="5"/>
  <c r="OT44" i="5"/>
  <c r="OU44" i="5"/>
  <c r="OZ44" i="5"/>
  <c r="ON44" i="5"/>
  <c r="OO44" i="5"/>
  <c r="OP44" i="5"/>
  <c r="OE44" i="5"/>
  <c r="OW44" i="5"/>
  <c r="OX44" i="5"/>
  <c r="OY44" i="5"/>
  <c r="PD44" i="5"/>
  <c r="OR44" i="5"/>
  <c r="OS44" i="5"/>
  <c r="OI44" i="5"/>
  <c r="OB44" i="5"/>
  <c r="OB14" i="5"/>
  <c r="OM14" i="5"/>
  <c r="OS14" i="5"/>
  <c r="OR14" i="5"/>
  <c r="OB20" i="5"/>
  <c r="OI20" i="5"/>
  <c r="OS20" i="5"/>
  <c r="OR20" i="5"/>
  <c r="OB60" i="5"/>
  <c r="OI60" i="5"/>
  <c r="OS60" i="5"/>
  <c r="OR60" i="5"/>
  <c r="OY14" i="5"/>
  <c r="OX14" i="5"/>
  <c r="OW14" i="5"/>
  <c r="OV14" i="5"/>
  <c r="PE20" i="5"/>
  <c r="PD20" i="5"/>
  <c r="PC20" i="5"/>
  <c r="PB20" i="5"/>
  <c r="PD60" i="5"/>
  <c r="OY60" i="5"/>
  <c r="OX60" i="5"/>
  <c r="OW60" i="5"/>
  <c r="OI14" i="5"/>
  <c r="OP14" i="5"/>
  <c r="OO14" i="5"/>
  <c r="ON14" i="5"/>
  <c r="OE20" i="5"/>
  <c r="OP20" i="5"/>
  <c r="OO20" i="5"/>
  <c r="ON20" i="5"/>
  <c r="OE60" i="5"/>
  <c r="OP60" i="5"/>
  <c r="OO60" i="5"/>
  <c r="ON60" i="5"/>
  <c r="OU14" i="5"/>
  <c r="OT14" i="5"/>
  <c r="PH14" i="5"/>
  <c r="PA20" i="5"/>
  <c r="OZ20" i="5"/>
  <c r="OY20" i="5"/>
  <c r="OX20" i="5"/>
  <c r="OZ60" i="5"/>
  <c r="OU60" i="5"/>
  <c r="OT60" i="5"/>
  <c r="NZ15" i="5"/>
  <c r="CJ15" i="5" s="1"/>
  <c r="OC14" i="5"/>
  <c r="OQ14" i="5"/>
  <c r="OH14" i="5"/>
  <c r="OG14" i="5"/>
  <c r="OF14" i="5"/>
  <c r="OC20" i="5"/>
  <c r="OM20" i="5"/>
  <c r="OH20" i="5"/>
  <c r="OG20" i="5"/>
  <c r="OF20" i="5"/>
  <c r="OC60" i="5"/>
  <c r="OM60" i="5"/>
  <c r="OH60" i="5"/>
  <c r="OG60" i="5"/>
  <c r="OF60" i="5"/>
  <c r="PC14" i="5"/>
  <c r="PB14" i="5"/>
  <c r="PA14" i="5"/>
  <c r="PH20" i="5"/>
  <c r="PG20" i="5"/>
  <c r="PH60" i="5"/>
  <c r="PC60" i="5"/>
  <c r="PB60" i="5"/>
  <c r="PA60" i="5"/>
  <c r="MY13" i="5"/>
  <c r="NR17" i="5"/>
  <c r="NS47" i="5"/>
  <c r="NU47" i="5" s="1"/>
  <c r="MY36" i="5"/>
  <c r="NS19" i="5"/>
  <c r="NU19" i="5" s="1"/>
  <c r="MY73" i="5"/>
  <c r="MY26" i="5"/>
  <c r="MY67" i="5"/>
  <c r="MY85" i="5"/>
  <c r="MY98" i="5"/>
  <c r="MY56" i="5"/>
  <c r="MY48" i="5"/>
  <c r="MY83" i="5"/>
  <c r="MY109" i="5"/>
  <c r="MY19" i="5"/>
  <c r="MY27" i="5"/>
  <c r="MY53" i="5"/>
  <c r="MY17" i="5"/>
  <c r="MY47" i="5"/>
  <c r="MY18" i="5"/>
  <c r="MY64" i="5"/>
  <c r="MY24" i="5"/>
  <c r="MY77" i="5"/>
  <c r="MY37" i="5"/>
  <c r="MY76" i="5"/>
  <c r="MY82" i="5"/>
  <c r="MY58" i="5"/>
  <c r="MY79" i="5"/>
  <c r="MY89" i="5"/>
  <c r="MY74" i="5"/>
  <c r="MY29" i="5"/>
  <c r="MY115" i="5"/>
  <c r="MY71" i="5"/>
  <c r="NR8" i="5"/>
  <c r="NN8" i="5"/>
  <c r="NO8" i="5"/>
  <c r="RX9" i="5"/>
  <c r="RY9" i="5" s="1"/>
  <c r="NX8" i="5"/>
  <c r="MY8" i="5"/>
  <c r="RV6" i="5"/>
  <c r="PD6" i="5"/>
  <c r="OY6" i="5"/>
  <c r="OE6" i="5"/>
  <c r="OV6" i="5"/>
  <c r="OJ6" i="5"/>
  <c r="OD6" i="5"/>
  <c r="OW6" i="5"/>
  <c r="OK6" i="5"/>
  <c r="OX6" i="5"/>
  <c r="OL6" i="5"/>
  <c r="OB6" i="5"/>
  <c r="OP6" i="5"/>
  <c r="OO6" i="5"/>
  <c r="ON6" i="5"/>
  <c r="PC6" i="5"/>
  <c r="PB6" i="5"/>
  <c r="PA6" i="5"/>
  <c r="OZ6" i="5"/>
  <c r="OC6" i="5"/>
  <c r="OQ6" i="5"/>
  <c r="OH6" i="5"/>
  <c r="OG6" i="5"/>
  <c r="OF6" i="5"/>
  <c r="OU6" i="5"/>
  <c r="OT6" i="5"/>
  <c r="PH6" i="5"/>
  <c r="OI6" i="5"/>
  <c r="OM6" i="5"/>
  <c r="OS6" i="5"/>
  <c r="OR6" i="5"/>
  <c r="PG6" i="5"/>
  <c r="PF6" i="5"/>
  <c r="PE6" i="5"/>
  <c r="MY69" i="5"/>
  <c r="MY105" i="5"/>
  <c r="MY21" i="5"/>
  <c r="MY33" i="5"/>
  <c r="MY81" i="5"/>
  <c r="MY63" i="5"/>
  <c r="PH30" i="5"/>
  <c r="PB30" i="5"/>
  <c r="OR30" i="5"/>
  <c r="OL30" i="5"/>
  <c r="OC30" i="5"/>
  <c r="ON30" i="5"/>
  <c r="OW30" i="5"/>
  <c r="PF30" i="5"/>
  <c r="OG30" i="5"/>
  <c r="OP30" i="5"/>
  <c r="OD30" i="5"/>
  <c r="PA30" i="5"/>
  <c r="OU30" i="5"/>
  <c r="OK30" i="5"/>
  <c r="OM30" i="5"/>
  <c r="OI30" i="5"/>
  <c r="PD30" i="5"/>
  <c r="PG30" i="5"/>
  <c r="OH30" i="5"/>
  <c r="OV30" i="5"/>
  <c r="PE30" i="5"/>
  <c r="OY30" i="5"/>
  <c r="OF30" i="5"/>
  <c r="OO30" i="5"/>
  <c r="OQ30" i="5"/>
  <c r="OX30" i="5"/>
  <c r="OB30" i="5"/>
  <c r="OZ30" i="5"/>
  <c r="OT30" i="5"/>
  <c r="PC30" i="5"/>
  <c r="OJ30" i="5"/>
  <c r="CJ30" i="5" s="1"/>
  <c r="OS30" i="5"/>
  <c r="OE30" i="5"/>
  <c r="OV42" i="5"/>
  <c r="PE42" i="5"/>
  <c r="OR42" i="5"/>
  <c r="OL42" i="5"/>
  <c r="OQ42" i="5"/>
  <c r="OZ42" i="5"/>
  <c r="OX42" i="5"/>
  <c r="OG42" i="5"/>
  <c r="OP42" i="5"/>
  <c r="OC42" i="5"/>
  <c r="OU42" i="5"/>
  <c r="PD42" i="5"/>
  <c r="PB42" i="5"/>
  <c r="OK42" i="5"/>
  <c r="OI42" i="5"/>
  <c r="OD42" i="5"/>
  <c r="PG42" i="5"/>
  <c r="PA42" i="5"/>
  <c r="OH42" i="5"/>
  <c r="OY42" i="5"/>
  <c r="PH42" i="5"/>
  <c r="PF42" i="5"/>
  <c r="OF42" i="5"/>
  <c r="OO42" i="5"/>
  <c r="OM42" i="5"/>
  <c r="OB42" i="5"/>
  <c r="PC42" i="5"/>
  <c r="OW42" i="5"/>
  <c r="OT42" i="5"/>
  <c r="OJ42" i="5"/>
  <c r="OS42" i="5"/>
  <c r="OE42" i="5"/>
  <c r="CJ42" i="5" s="1"/>
  <c r="ON42" i="5"/>
  <c r="OW31" i="5"/>
  <c r="PF31" i="5"/>
  <c r="OZ31" i="5"/>
  <c r="OI31" i="5"/>
  <c r="OR31" i="5"/>
  <c r="OB31" i="5"/>
  <c r="OP31" i="5"/>
  <c r="PA31" i="5"/>
  <c r="OU31" i="5"/>
  <c r="PD31" i="5"/>
  <c r="OM31" i="5"/>
  <c r="OO31" i="5"/>
  <c r="OC31" i="5"/>
  <c r="OV31" i="5"/>
  <c r="PE31" i="5"/>
  <c r="OY31" i="5"/>
  <c r="PH31" i="5"/>
  <c r="OQ31" i="5"/>
  <c r="OS31" i="5"/>
  <c r="OD31" i="5"/>
  <c r="PB31" i="5"/>
  <c r="ON31" i="5"/>
  <c r="OT31" i="5"/>
  <c r="PC31" i="5"/>
  <c r="OH31" i="5"/>
  <c r="OF31" i="5"/>
  <c r="OG31" i="5"/>
  <c r="OX31" i="5"/>
  <c r="PG31" i="5"/>
  <c r="OL31" i="5"/>
  <c r="OJ31" i="5"/>
  <c r="OK31" i="5"/>
  <c r="OE31" i="5"/>
  <c r="CJ31" i="5" s="1"/>
  <c r="OV75" i="5"/>
  <c r="PE75" i="5"/>
  <c r="PC75" i="5"/>
  <c r="OI75" i="5"/>
  <c r="OR75" i="5"/>
  <c r="OC75" i="5"/>
  <c r="OZ75" i="5"/>
  <c r="OT75" i="5"/>
  <c r="PG75" i="5"/>
  <c r="OM75" i="5"/>
  <c r="OG75" i="5"/>
  <c r="OD75" i="5"/>
  <c r="OY75" i="5"/>
  <c r="OP75" i="5"/>
  <c r="PD75" i="5"/>
  <c r="OX75" i="5"/>
  <c r="OU75" i="5"/>
  <c r="OQ75" i="5"/>
  <c r="OK75" i="5"/>
  <c r="OS75" i="5"/>
  <c r="PA75" i="5"/>
  <c r="ON75" i="5"/>
  <c r="PH75" i="5"/>
  <c r="PB75" i="5"/>
  <c r="OH75" i="5"/>
  <c r="OF75" i="5"/>
  <c r="OO75" i="5"/>
  <c r="OB75" i="5"/>
  <c r="OW75" i="5"/>
  <c r="PF75" i="5"/>
  <c r="OL75" i="5"/>
  <c r="OJ75" i="5"/>
  <c r="OE75" i="5"/>
  <c r="CJ75" i="5" s="1"/>
  <c r="PF93" i="5"/>
  <c r="OZ93" i="5"/>
  <c r="OI93" i="5"/>
  <c r="OR93" i="5"/>
  <c r="OG93" i="5"/>
  <c r="PB93" i="5"/>
  <c r="OU93" i="5"/>
  <c r="PD93" i="5"/>
  <c r="OM93" i="5"/>
  <c r="OK93" i="5"/>
  <c r="OC93" i="5"/>
  <c r="OP93" i="5"/>
  <c r="OY93" i="5"/>
  <c r="PH93" i="5"/>
  <c r="OQ93" i="5"/>
  <c r="OO93" i="5"/>
  <c r="OD93" i="5"/>
  <c r="ON93" i="5"/>
  <c r="CJ93" i="5" s="1"/>
  <c r="OT93" i="5"/>
  <c r="PC93" i="5"/>
  <c r="PA93" i="5"/>
  <c r="OH93" i="5"/>
  <c r="OF93" i="5"/>
  <c r="OS93" i="5"/>
  <c r="OV93" i="5"/>
  <c r="OB93" i="5"/>
  <c r="OX93" i="5"/>
  <c r="PG93" i="5"/>
  <c r="PE93" i="5"/>
  <c r="OL93" i="5"/>
  <c r="OJ93" i="5"/>
  <c r="OE93" i="5"/>
  <c r="OW93" i="5"/>
  <c r="PH34" i="5"/>
  <c r="PD34" i="5"/>
  <c r="OU34" i="5"/>
  <c r="OR34" i="5"/>
  <c r="OL34" i="5"/>
  <c r="OC34" i="5"/>
  <c r="OW34" i="5"/>
  <c r="OY34" i="5"/>
  <c r="OG34" i="5"/>
  <c r="OP34" i="5"/>
  <c r="OQ34" i="5"/>
  <c r="PF34" i="5"/>
  <c r="PA34" i="5"/>
  <c r="PG34" i="5"/>
  <c r="OK34" i="5"/>
  <c r="OI34" i="5"/>
  <c r="OD34" i="5"/>
  <c r="CJ34" i="5" s="1"/>
  <c r="OV34" i="5"/>
  <c r="ON34" i="5"/>
  <c r="PE34" i="5"/>
  <c r="OF34" i="5"/>
  <c r="OO34" i="5"/>
  <c r="OM34" i="5"/>
  <c r="OB34" i="5"/>
  <c r="OX34" i="5"/>
  <c r="OJ34" i="5"/>
  <c r="OS34" i="5"/>
  <c r="OE34" i="5"/>
  <c r="OH34" i="5"/>
  <c r="NZ86" i="5"/>
  <c r="PH52" i="5"/>
  <c r="OX62" i="5"/>
  <c r="PC62" i="5"/>
  <c r="NZ54" i="5"/>
  <c r="CJ54" i="5" s="1"/>
  <c r="NZ45" i="5"/>
  <c r="CJ45" i="5" s="1"/>
  <c r="OU52" i="5"/>
  <c r="PE62" i="5"/>
  <c r="PC34" i="5"/>
  <c r="OT34" i="5"/>
  <c r="OZ34" i="5"/>
  <c r="PG52" i="5"/>
  <c r="OX52" i="5"/>
  <c r="OT62" i="5"/>
  <c r="PH62" i="5"/>
  <c r="OY62" i="5"/>
  <c r="PD52" i="5"/>
  <c r="OY52" i="5"/>
  <c r="PE52" i="5"/>
  <c r="PB62" i="5"/>
  <c r="OZ62" i="5"/>
  <c r="PB34" i="5"/>
  <c r="OV52" i="5"/>
  <c r="PF52" i="5"/>
  <c r="OW52" i="5"/>
  <c r="PA62" i="5"/>
  <c r="PG62" i="5"/>
  <c r="NX21" i="5"/>
  <c r="NR33" i="5"/>
  <c r="NN33" i="5"/>
  <c r="NN21" i="5"/>
  <c r="NO63" i="5"/>
  <c r="NN63" i="5"/>
  <c r="NR63" i="5"/>
  <c r="NO33" i="5"/>
  <c r="NS71" i="5"/>
  <c r="NU71" i="5" s="1"/>
  <c r="NS48" i="5"/>
  <c r="NU48" i="5" s="1"/>
  <c r="NS58" i="5"/>
  <c r="NU58" i="5" s="1"/>
  <c r="NT5" i="5"/>
  <c r="NV5" i="5" s="1"/>
  <c r="NS29" i="5"/>
  <c r="NU29" i="5" s="1"/>
  <c r="NS64" i="5"/>
  <c r="NU64" i="5" s="1"/>
  <c r="NS67" i="5"/>
  <c r="NU67" i="5" s="1"/>
  <c r="NS18" i="5"/>
  <c r="NU18" i="5" s="1"/>
  <c r="NS73" i="5"/>
  <c r="NU73" i="5" s="1"/>
  <c r="NF60" i="5"/>
  <c r="MM60" i="5"/>
  <c r="NF25" i="5"/>
  <c r="MM25" i="5"/>
  <c r="NF44" i="5"/>
  <c r="MM44" i="5"/>
  <c r="NF22" i="5"/>
  <c r="MM22" i="5"/>
  <c r="NF52" i="5"/>
  <c r="MM52" i="5"/>
  <c r="NF42" i="5"/>
  <c r="MM42" i="5"/>
  <c r="NF14" i="5"/>
  <c r="MM14" i="5"/>
  <c r="NF86" i="5"/>
  <c r="MM86" i="5"/>
  <c r="NF62" i="5"/>
  <c r="MM62" i="5"/>
  <c r="NF104" i="5"/>
  <c r="MM104" i="5"/>
  <c r="NF15" i="5"/>
  <c r="MM15" i="5"/>
  <c r="NF39" i="5"/>
  <c r="MM39" i="5"/>
  <c r="NF57" i="5"/>
  <c r="MM57" i="5"/>
  <c r="NF107" i="5"/>
  <c r="MM107" i="5"/>
  <c r="NF54" i="5"/>
  <c r="MM54" i="5"/>
  <c r="NF84" i="5"/>
  <c r="MM84" i="5"/>
  <c r="NF31" i="5"/>
  <c r="MM31" i="5"/>
  <c r="NF75" i="5"/>
  <c r="MM75" i="5"/>
  <c r="NF16" i="5"/>
  <c r="MM16" i="5"/>
  <c r="NF34" i="5"/>
  <c r="MM34" i="5"/>
  <c r="NF6" i="5"/>
  <c r="MM6" i="5"/>
  <c r="NF20" i="5"/>
  <c r="MM20" i="5"/>
  <c r="NF80" i="5"/>
  <c r="MM80" i="5"/>
  <c r="NF30" i="5"/>
  <c r="MM30" i="5"/>
  <c r="NF45" i="5"/>
  <c r="MM45" i="5"/>
  <c r="NF93" i="5"/>
  <c r="MM93" i="5"/>
  <c r="NF23" i="5"/>
  <c r="MM23" i="5"/>
  <c r="NF95" i="5"/>
  <c r="MM95" i="5"/>
  <c r="OA31" i="5"/>
  <c r="OA75" i="5"/>
  <c r="OA16" i="5"/>
  <c r="OA52" i="5"/>
  <c r="OA6" i="5"/>
  <c r="OA22" i="5"/>
  <c r="OA39" i="5"/>
  <c r="OA93" i="5"/>
  <c r="OA30" i="5"/>
  <c r="OA23" i="5"/>
  <c r="OA95" i="5"/>
  <c r="OA34" i="5"/>
  <c r="OA20" i="5"/>
  <c r="OA42" i="5"/>
  <c r="OA60" i="5"/>
  <c r="OA25" i="5"/>
  <c r="OA14" i="5"/>
  <c r="OA44" i="5"/>
  <c r="OA104" i="5"/>
  <c r="ND122" i="5"/>
  <c r="ND119" i="5"/>
  <c r="ND117" i="5"/>
  <c r="HI117" i="5" s="1"/>
  <c r="ND123" i="5"/>
  <c r="HI123" i="5" s="1"/>
  <c r="ND118" i="5"/>
  <c r="HI118" i="5" s="1"/>
  <c r="ND111" i="5"/>
  <c r="ND43" i="5"/>
  <c r="ND40" i="5"/>
  <c r="HI40" i="5" s="1"/>
  <c r="NX238" i="5"/>
  <c r="NX224" i="5"/>
  <c r="NR7" i="5"/>
  <c r="NT82" i="5"/>
  <c r="NV82" i="5" s="1"/>
  <c r="NT79" i="5"/>
  <c r="NV79" i="5" s="1"/>
  <c r="NT248" i="5"/>
  <c r="NV248" i="5" s="1"/>
  <c r="NT67" i="5"/>
  <c r="NV67" i="5" s="1"/>
  <c r="NT240" i="5"/>
  <c r="NV240" i="5" s="1"/>
  <c r="NT58" i="5"/>
  <c r="NV58" i="5" s="1"/>
  <c r="NT247" i="5"/>
  <c r="NV247" i="5" s="1"/>
  <c r="NT115" i="5"/>
  <c r="NV115" i="5" s="1"/>
  <c r="NT186" i="5"/>
  <c r="NV186" i="5" s="1"/>
  <c r="NT184" i="5"/>
  <c r="NV184" i="5" s="1"/>
  <c r="NT118" i="5"/>
  <c r="NV118" i="5" s="1"/>
  <c r="NT73" i="5"/>
  <c r="NV73" i="5" s="1"/>
  <c r="NT4" i="5"/>
  <c r="NV4" i="5" s="1"/>
  <c r="NT123" i="5"/>
  <c r="NV123" i="5" s="1"/>
  <c r="NT221" i="5"/>
  <c r="NV221" i="5" s="1"/>
  <c r="NT236" i="5"/>
  <c r="NV236" i="5" s="1"/>
  <c r="NT244" i="5"/>
  <c r="NV244" i="5" s="1"/>
  <c r="NT241" i="5"/>
  <c r="NV241" i="5" s="1"/>
  <c r="NT245" i="5"/>
  <c r="NV245" i="5" s="1"/>
  <c r="NT191" i="5"/>
  <c r="NV191" i="5" s="1"/>
  <c r="NT237" i="5"/>
  <c r="NV237" i="5" s="1"/>
  <c r="NT239" i="5"/>
  <c r="NV239" i="5" s="1"/>
  <c r="NT61" i="5"/>
  <c r="NV61" i="5" s="1"/>
  <c r="NT243" i="5"/>
  <c r="NV243" i="5" s="1"/>
  <c r="NT235" i="5"/>
  <c r="NV235" i="5" s="1"/>
  <c r="NT71" i="5"/>
  <c r="NV71" i="5" s="1"/>
  <c r="NT192" i="5"/>
  <c r="NV192" i="5" s="1"/>
  <c r="NT183" i="5"/>
  <c r="NV183" i="5" s="1"/>
  <c r="NT214" i="5"/>
  <c r="NV214" i="5" s="1"/>
  <c r="NT64" i="5"/>
  <c r="NV64" i="5" s="1"/>
  <c r="NT8" i="5"/>
  <c r="NT161" i="5"/>
  <c r="NV161" i="5" s="1"/>
  <c r="NT122" i="5"/>
  <c r="NV122" i="5" s="1"/>
  <c r="NT109" i="5"/>
  <c r="NV109" i="5" s="1"/>
  <c r="NT167" i="5"/>
  <c r="NV167" i="5" s="1"/>
  <c r="NT21" i="5"/>
  <c r="NV21" i="5" s="1"/>
  <c r="NT29" i="5"/>
  <c r="NV29" i="5" s="1"/>
  <c r="NT217" i="5"/>
  <c r="NV217" i="5" s="1"/>
  <c r="NT218" i="5"/>
  <c r="NV218" i="5" s="1"/>
  <c r="NT215" i="5"/>
  <c r="NV215" i="5" s="1"/>
  <c r="NT246" i="5"/>
  <c r="NV246" i="5" s="1"/>
  <c r="NT40" i="5"/>
  <c r="NV40" i="5" s="1"/>
  <c r="NT166" i="5"/>
  <c r="NV166" i="5" s="1"/>
  <c r="NT18" i="5"/>
  <c r="NV18" i="5" s="1"/>
  <c r="NT178" i="5"/>
  <c r="NV178" i="5" s="1"/>
  <c r="NT48" i="5"/>
  <c r="NV48" i="5" s="1"/>
  <c r="NT160" i="5"/>
  <c r="NV160" i="5" s="1"/>
  <c r="NT216" i="5"/>
  <c r="NV216" i="5" s="1"/>
  <c r="NT43" i="5"/>
  <c r="NV43" i="5" s="1"/>
  <c r="NS245" i="5"/>
  <c r="NU245" i="5" s="1"/>
  <c r="NS221" i="5"/>
  <c r="NU221" i="5" s="1"/>
  <c r="NS237" i="5"/>
  <c r="NU237" i="5" s="1"/>
  <c r="NS79" i="5"/>
  <c r="NU79" i="5" s="1"/>
  <c r="NS4" i="5"/>
  <c r="NU4" i="5" s="1"/>
  <c r="NS178" i="5"/>
  <c r="NU178" i="5" s="1"/>
  <c r="NS166" i="5"/>
  <c r="NU166" i="5" s="1"/>
  <c r="NS82" i="5"/>
  <c r="NU82" i="5" s="1"/>
  <c r="NS217" i="5"/>
  <c r="NU217" i="5" s="1"/>
  <c r="NS240" i="5"/>
  <c r="NU240" i="5" s="1"/>
  <c r="NS236" i="5"/>
  <c r="NU236" i="5" s="1"/>
  <c r="NS115" i="5"/>
  <c r="NU115" i="5" s="1"/>
  <c r="NS183" i="5"/>
  <c r="NU183" i="5" s="1"/>
  <c r="NS160" i="5"/>
  <c r="NU160" i="5" s="1"/>
  <c r="NS246" i="5"/>
  <c r="NU246" i="5" s="1"/>
  <c r="NS214" i="5"/>
  <c r="NU214" i="5" s="1"/>
  <c r="NS241" i="5"/>
  <c r="NU241" i="5" s="1"/>
  <c r="NS243" i="5"/>
  <c r="NU243" i="5" s="1"/>
  <c r="NS184" i="5"/>
  <c r="NU184" i="5" s="1"/>
  <c r="NS118" i="5"/>
  <c r="NU118" i="5" s="1"/>
  <c r="NS167" i="5"/>
  <c r="NU167" i="5" s="1"/>
  <c r="NS123" i="5"/>
  <c r="NU123" i="5" s="1"/>
  <c r="NS218" i="5"/>
  <c r="NU218" i="5" s="1"/>
  <c r="NS235" i="5"/>
  <c r="NU235" i="5" s="1"/>
  <c r="NS215" i="5"/>
  <c r="NU215" i="5" s="1"/>
  <c r="NS161" i="5"/>
  <c r="NU161" i="5" s="1"/>
  <c r="NS122" i="5"/>
  <c r="NU122" i="5" s="1"/>
  <c r="NS109" i="5"/>
  <c r="NU109" i="5" s="1"/>
  <c r="NS244" i="5"/>
  <c r="NU244" i="5" s="1"/>
  <c r="NS192" i="5"/>
  <c r="NU192" i="5" s="1"/>
  <c r="NS247" i="5"/>
  <c r="NU247" i="5" s="1"/>
  <c r="NS216" i="5"/>
  <c r="NU216" i="5" s="1"/>
  <c r="NS186" i="5"/>
  <c r="NU186" i="5" s="1"/>
  <c r="NS191" i="5"/>
  <c r="NU191" i="5" s="1"/>
  <c r="NS248" i="5"/>
  <c r="NU248" i="5" s="1"/>
  <c r="NS239" i="5"/>
  <c r="NU239" i="5" s="1"/>
  <c r="NS27" i="5"/>
  <c r="NU27" i="5" s="1"/>
  <c r="NS56" i="5"/>
  <c r="NU56" i="5" s="1"/>
  <c r="NS24" i="5"/>
  <c r="NU24" i="5" s="1"/>
  <c r="NS26" i="5"/>
  <c r="NU26" i="5" s="1"/>
  <c r="NS77" i="5"/>
  <c r="NU77" i="5" s="1"/>
  <c r="NS76" i="5"/>
  <c r="NU76" i="5" s="1"/>
  <c r="NS37" i="5"/>
  <c r="NU37" i="5" s="1"/>
  <c r="NS53" i="5"/>
  <c r="NU53" i="5" s="1"/>
  <c r="NS36" i="5"/>
  <c r="NU36" i="5" s="1"/>
  <c r="BT101" i="5" l="1"/>
  <c r="BT233" i="5"/>
  <c r="FL233" i="5" s="1"/>
  <c r="BT193" i="5"/>
  <c r="GA193" i="5" s="1"/>
  <c r="BT156" i="5"/>
  <c r="DU156" i="5" s="1"/>
  <c r="BT177" i="5"/>
  <c r="GD177" i="5" s="1"/>
  <c r="BT210" i="5"/>
  <c r="BT144" i="5"/>
  <c r="BT211" i="5"/>
  <c r="DU211" i="5" s="1"/>
  <c r="NT234" i="5"/>
  <c r="NV234" i="5" s="1"/>
  <c r="NT242" i="5"/>
  <c r="NV242" i="5" s="1"/>
  <c r="NS234" i="5"/>
  <c r="NU234" i="5" s="1"/>
  <c r="NO99" i="5"/>
  <c r="NN99" i="5"/>
  <c r="ND174" i="5"/>
  <c r="HI174" i="5" s="1"/>
  <c r="ND234" i="5"/>
  <c r="HI234" i="5" s="1"/>
  <c r="ND176" i="5"/>
  <c r="HI176" i="5" s="1"/>
  <c r="BT209" i="5"/>
  <c r="GA209" i="5" s="1"/>
  <c r="NS175" i="5"/>
  <c r="NU175" i="5" s="1"/>
  <c r="NT175" i="5"/>
  <c r="NV175" i="5" s="1"/>
  <c r="CN62" i="5"/>
  <c r="CW62" i="5" s="1"/>
  <c r="DW99" i="5"/>
  <c r="NI99" i="5" s="1"/>
  <c r="CN99" i="5"/>
  <c r="QR99" i="5"/>
  <c r="PI99" i="5"/>
  <c r="OT99" i="5"/>
  <c r="OQ99" i="5"/>
  <c r="OS99" i="5"/>
  <c r="OV99" i="5"/>
  <c r="OX99" i="5"/>
  <c r="OF99" i="5"/>
  <c r="OE99" i="5"/>
  <c r="OZ99" i="5"/>
  <c r="PB99" i="5"/>
  <c r="OJ99" i="5"/>
  <c r="OB99" i="5"/>
  <c r="PD99" i="5"/>
  <c r="PF99" i="5"/>
  <c r="OH99" i="5"/>
  <c r="ON99" i="5"/>
  <c r="OC99" i="5"/>
  <c r="PH99" i="5"/>
  <c r="PG99" i="5"/>
  <c r="OL99" i="5"/>
  <c r="OR99" i="5"/>
  <c r="OD99" i="5"/>
  <c r="OA99" i="5"/>
  <c r="OW99" i="5"/>
  <c r="OU99" i="5"/>
  <c r="OP99" i="5"/>
  <c r="OG99" i="5"/>
  <c r="PA99" i="5"/>
  <c r="OY99" i="5"/>
  <c r="OI99" i="5"/>
  <c r="OK99" i="5"/>
  <c r="PE99" i="5"/>
  <c r="PC99" i="5"/>
  <c r="OM99" i="5"/>
  <c r="OO99" i="5"/>
  <c r="BT99" i="5"/>
  <c r="IH99" i="5" s="1"/>
  <c r="II99" i="5" s="1"/>
  <c r="IE99" i="5" s="1"/>
  <c r="NX99" i="5" s="1"/>
  <c r="ND175" i="5"/>
  <c r="HI175" i="5" s="1"/>
  <c r="GD193" i="5"/>
  <c r="NT162" i="5"/>
  <c r="NV162" i="5" s="1"/>
  <c r="NS242" i="5"/>
  <c r="NU242" i="5" s="1"/>
  <c r="ND242" i="5"/>
  <c r="HI242" i="5" s="1"/>
  <c r="NN143" i="5"/>
  <c r="NN121" i="5"/>
  <c r="NS162" i="5"/>
  <c r="NU162" i="5" s="1"/>
  <c r="ND162" i="5"/>
  <c r="HI162" i="5" s="1"/>
  <c r="NP96" i="5"/>
  <c r="BT139" i="5"/>
  <c r="EY139" i="5" s="1"/>
  <c r="NP17" i="5"/>
  <c r="MY121" i="5"/>
  <c r="MY143" i="5"/>
  <c r="NO143" i="5"/>
  <c r="NR143" i="5"/>
  <c r="NN155" i="5"/>
  <c r="NO88" i="5"/>
  <c r="NN88" i="5"/>
  <c r="MY88" i="5"/>
  <c r="NS74" i="5"/>
  <c r="NU74" i="5" s="1"/>
  <c r="QR239" i="5"/>
  <c r="PI239" i="5"/>
  <c r="DW130" i="5"/>
  <c r="NI130" i="5" s="1"/>
  <c r="DW239" i="5"/>
  <c r="NI239" i="5" s="1"/>
  <c r="CN239" i="5"/>
  <c r="DC239" i="5" s="1"/>
  <c r="HL239" i="5" s="1"/>
  <c r="CJ130" i="5"/>
  <c r="CJ239" i="5"/>
  <c r="NO108" i="5"/>
  <c r="NR108" i="5"/>
  <c r="MY108" i="5"/>
  <c r="NR133" i="5"/>
  <c r="OT193" i="5"/>
  <c r="PA193" i="5"/>
  <c r="PF193" i="5"/>
  <c r="OZ193" i="5"/>
  <c r="OF193" i="5"/>
  <c r="OG193" i="5"/>
  <c r="OI193" i="5"/>
  <c r="OP193" i="5"/>
  <c r="OD193" i="5"/>
  <c r="OX193" i="5"/>
  <c r="PE193" i="5"/>
  <c r="OY193" i="5"/>
  <c r="PD193" i="5"/>
  <c r="OJ193" i="5"/>
  <c r="OK193" i="5"/>
  <c r="OQ193" i="5"/>
  <c r="OE193" i="5"/>
  <c r="OH193" i="5"/>
  <c r="OU193" i="5"/>
  <c r="OW193" i="5"/>
  <c r="PC193" i="5"/>
  <c r="PH193" i="5"/>
  <c r="ON193" i="5"/>
  <c r="OO193" i="5"/>
  <c r="OL193" i="5"/>
  <c r="OB193" i="5"/>
  <c r="OV193" i="5"/>
  <c r="PB193" i="5"/>
  <c r="PG193" i="5"/>
  <c r="OR193" i="5"/>
  <c r="OS193" i="5"/>
  <c r="OM193" i="5"/>
  <c r="OC193" i="5"/>
  <c r="CJ193" i="5" s="1"/>
  <c r="OA193" i="5"/>
  <c r="DW193" i="5"/>
  <c r="NI193" i="5" s="1"/>
  <c r="CN193" i="5"/>
  <c r="QR193" i="5"/>
  <c r="PI193" i="5"/>
  <c r="IE88" i="5"/>
  <c r="NX88" i="5" s="1"/>
  <c r="GU91" i="5"/>
  <c r="GV91" i="5" s="1"/>
  <c r="FI91" i="5"/>
  <c r="FG91" i="5" s="1"/>
  <c r="GP91" i="5"/>
  <c r="FC91" i="5"/>
  <c r="FX91" i="5"/>
  <c r="EO91" i="5"/>
  <c r="EQ91" i="5" s="1"/>
  <c r="HZ91" i="5"/>
  <c r="EY91" i="5"/>
  <c r="FO91" i="5"/>
  <c r="GA91" i="5"/>
  <c r="GD91" i="5"/>
  <c r="DU91" i="5"/>
  <c r="FR91" i="5"/>
  <c r="ET91" i="5"/>
  <c r="FL91" i="5"/>
  <c r="GG91" i="5"/>
  <c r="DW91" i="5"/>
  <c r="NI91" i="5" s="1"/>
  <c r="CN91" i="5"/>
  <c r="QR91" i="5"/>
  <c r="PI91" i="5"/>
  <c r="OX121" i="5"/>
  <c r="OL121" i="5"/>
  <c r="OQ121" i="5"/>
  <c r="OR121" i="5"/>
  <c r="OE121" i="5"/>
  <c r="OD121" i="5"/>
  <c r="CJ121" i="5" s="1"/>
  <c r="OZ121" i="5"/>
  <c r="OP121" i="5"/>
  <c r="OF121" i="5"/>
  <c r="OS121" i="5"/>
  <c r="OB121" i="5"/>
  <c r="OA121" i="5"/>
  <c r="OI121" i="5"/>
  <c r="OJ121" i="5"/>
  <c r="OG121" i="5"/>
  <c r="OC121" i="5"/>
  <c r="OH121" i="5"/>
  <c r="OM121" i="5"/>
  <c r="ON121" i="5"/>
  <c r="OK121" i="5"/>
  <c r="OO121" i="5"/>
  <c r="OV121" i="5"/>
  <c r="PG121" i="5"/>
  <c r="PB121" i="5"/>
  <c r="OT121" i="5"/>
  <c r="PE121" i="5"/>
  <c r="PA121" i="5"/>
  <c r="PH121" i="5"/>
  <c r="PC121" i="5"/>
  <c r="OY121" i="5"/>
  <c r="OW121" i="5"/>
  <c r="PF121" i="5"/>
  <c r="OU121" i="5"/>
  <c r="PD121" i="5"/>
  <c r="IH17" i="5"/>
  <c r="II17" i="5" s="1"/>
  <c r="BT121" i="5"/>
  <c r="IH121" i="5" s="1"/>
  <c r="II121" i="5" s="1"/>
  <c r="FX96" i="5"/>
  <c r="EY96" i="5"/>
  <c r="HZ96" i="5"/>
  <c r="FI96" i="5"/>
  <c r="FG96" i="5" s="1"/>
  <c r="GP96" i="5"/>
  <c r="FC96" i="5"/>
  <c r="GU96" i="5"/>
  <c r="GV96" i="5" s="1"/>
  <c r="EO96" i="5"/>
  <c r="EQ96" i="5" s="1"/>
  <c r="GA96" i="5"/>
  <c r="FO96" i="5"/>
  <c r="GD96" i="5"/>
  <c r="DU96" i="5"/>
  <c r="FL96" i="5"/>
  <c r="FR96" i="5"/>
  <c r="GG96" i="5"/>
  <c r="ET96" i="5"/>
  <c r="BT88" i="5"/>
  <c r="IH88" i="5" s="1"/>
  <c r="II88" i="5" s="1"/>
  <c r="CJ213" i="5"/>
  <c r="OU213" i="5"/>
  <c r="OV213" i="5"/>
  <c r="OW213" i="5"/>
  <c r="PF213" i="5"/>
  <c r="OJ213" i="5"/>
  <c r="OK213" i="5"/>
  <c r="OH213" i="5"/>
  <c r="OE213" i="5"/>
  <c r="OD213" i="5"/>
  <c r="OY213" i="5"/>
  <c r="OZ213" i="5"/>
  <c r="PA213" i="5"/>
  <c r="OT213" i="5"/>
  <c r="ON213" i="5"/>
  <c r="OO213" i="5"/>
  <c r="OP213" i="5"/>
  <c r="OB213" i="5"/>
  <c r="PC213" i="5"/>
  <c r="PD213" i="5"/>
  <c r="PE213" i="5"/>
  <c r="OX213" i="5"/>
  <c r="OR213" i="5"/>
  <c r="OS213" i="5"/>
  <c r="OI213" i="5"/>
  <c r="OL213" i="5"/>
  <c r="PG213" i="5"/>
  <c r="PH213" i="5"/>
  <c r="PB213" i="5"/>
  <c r="OF213" i="5"/>
  <c r="OG213" i="5"/>
  <c r="OM213" i="5"/>
  <c r="OQ213" i="5"/>
  <c r="OC213" i="5"/>
  <c r="OA213" i="5"/>
  <c r="IH91" i="5"/>
  <c r="II91" i="5" s="1"/>
  <c r="IE91" i="5" s="1"/>
  <c r="NX91" i="5" s="1"/>
  <c r="OZ17" i="5"/>
  <c r="OJ17" i="5"/>
  <c r="OB17" i="5"/>
  <c r="OA17" i="5"/>
  <c r="OT17" i="5"/>
  <c r="OL17" i="5"/>
  <c r="OR17" i="5"/>
  <c r="OD17" i="5"/>
  <c r="PG17" i="5"/>
  <c r="OX17" i="5"/>
  <c r="OP17" i="5"/>
  <c r="OS17" i="5"/>
  <c r="OV17" i="5"/>
  <c r="PB17" i="5"/>
  <c r="OI17" i="5"/>
  <c r="OG17" i="5"/>
  <c r="PC17" i="5"/>
  <c r="OU17" i="5"/>
  <c r="OK17" i="5"/>
  <c r="PD17" i="5"/>
  <c r="OC17" i="5"/>
  <c r="PH17" i="5"/>
  <c r="OM17" i="5"/>
  <c r="CJ17" i="5" s="1"/>
  <c r="ON17" i="5"/>
  <c r="PA17" i="5"/>
  <c r="OE17" i="5"/>
  <c r="OO17" i="5"/>
  <c r="OH17" i="5"/>
  <c r="PE17" i="5"/>
  <c r="OY17" i="5"/>
  <c r="OF17" i="5"/>
  <c r="OW17" i="5"/>
  <c r="OQ17" i="5"/>
  <c r="PF17" i="5"/>
  <c r="OZ173" i="5"/>
  <c r="PA173" i="5"/>
  <c r="PB173" i="5"/>
  <c r="OY173" i="5"/>
  <c r="OI173" i="5"/>
  <c r="OJ173" i="5"/>
  <c r="OG173" i="5"/>
  <c r="OB173" i="5"/>
  <c r="OA173" i="5"/>
  <c r="PD173" i="5"/>
  <c r="PE173" i="5"/>
  <c r="PF173" i="5"/>
  <c r="PC173" i="5"/>
  <c r="OH173" i="5"/>
  <c r="OM173" i="5"/>
  <c r="ON173" i="5"/>
  <c r="OK173" i="5"/>
  <c r="OC173" i="5"/>
  <c r="PH173" i="5"/>
  <c r="OT173" i="5"/>
  <c r="PG173" i="5"/>
  <c r="OL173" i="5"/>
  <c r="OQ173" i="5"/>
  <c r="OR173" i="5"/>
  <c r="OO173" i="5"/>
  <c r="OD173" i="5"/>
  <c r="OV173" i="5"/>
  <c r="OW173" i="5"/>
  <c r="CJ173" i="5" s="1"/>
  <c r="OX173" i="5"/>
  <c r="OU173" i="5"/>
  <c r="OP173" i="5"/>
  <c r="OF173" i="5"/>
  <c r="OS173" i="5"/>
  <c r="OE173" i="5"/>
  <c r="IE121" i="5"/>
  <c r="NX121" i="5" s="1"/>
  <c r="BT213" i="5"/>
  <c r="BT173" i="5"/>
  <c r="IH173" i="5" s="1"/>
  <c r="II173" i="5" s="1"/>
  <c r="IE173" i="5" s="1"/>
  <c r="NX173" i="5" s="1"/>
  <c r="DW173" i="5"/>
  <c r="NI173" i="5" s="1"/>
  <c r="CN173" i="5"/>
  <c r="PI173" i="5"/>
  <c r="QR173" i="5"/>
  <c r="IH96" i="5"/>
  <c r="II96" i="5" s="1"/>
  <c r="IE96" i="5" s="1"/>
  <c r="NX96" i="5" s="1"/>
  <c r="DW213" i="5"/>
  <c r="NI213" i="5" s="1"/>
  <c r="CN213" i="5"/>
  <c r="QR213" i="5"/>
  <c r="PI213" i="5"/>
  <c r="HZ17" i="5"/>
  <c r="FL17" i="5"/>
  <c r="EY17" i="5"/>
  <c r="GU17" i="5"/>
  <c r="GV17" i="5" s="1"/>
  <c r="FX17" i="5"/>
  <c r="EO17" i="5"/>
  <c r="EQ17" i="5" s="1"/>
  <c r="GP17" i="5"/>
  <c r="FC17" i="5"/>
  <c r="GA17" i="5"/>
  <c r="FI17" i="5"/>
  <c r="FG17" i="5" s="1"/>
  <c r="GD17" i="5"/>
  <c r="GG17" i="5"/>
  <c r="DU17" i="5"/>
  <c r="FO17" i="5"/>
  <c r="ET17" i="5"/>
  <c r="FR17" i="5"/>
  <c r="DW124" i="5"/>
  <c r="NI124" i="5" s="1"/>
  <c r="CN124" i="5"/>
  <c r="QR124" i="5"/>
  <c r="PI124" i="5"/>
  <c r="OV143" i="5"/>
  <c r="OW143" i="5"/>
  <c r="OX143" i="5"/>
  <c r="OU143" i="5"/>
  <c r="OL143" i="5"/>
  <c r="OQ143" i="5"/>
  <c r="OR143" i="5"/>
  <c r="OO143" i="5"/>
  <c r="OD143" i="5"/>
  <c r="OZ143" i="5"/>
  <c r="PA143" i="5"/>
  <c r="PB143" i="5"/>
  <c r="OY143" i="5"/>
  <c r="OP143" i="5"/>
  <c r="OF143" i="5"/>
  <c r="OS143" i="5"/>
  <c r="OE143" i="5"/>
  <c r="PD143" i="5"/>
  <c r="PE143" i="5"/>
  <c r="PF143" i="5"/>
  <c r="PC143" i="5"/>
  <c r="OI143" i="5"/>
  <c r="OJ143" i="5"/>
  <c r="OG143" i="5"/>
  <c r="CJ143" i="5" s="1"/>
  <c r="OB143" i="5"/>
  <c r="PH143" i="5"/>
  <c r="OT143" i="5"/>
  <c r="PG143" i="5"/>
  <c r="OH143" i="5"/>
  <c r="OM143" i="5"/>
  <c r="ON143" i="5"/>
  <c r="OK143" i="5"/>
  <c r="OC143" i="5"/>
  <c r="OA143" i="5"/>
  <c r="OG88" i="5"/>
  <c r="OI88" i="5"/>
  <c r="OU88" i="5"/>
  <c r="CJ88" i="5" s="1"/>
  <c r="PH88" i="5"/>
  <c r="OP88" i="5"/>
  <c r="PD88" i="5"/>
  <c r="OJ88" i="5"/>
  <c r="OF88" i="5"/>
  <c r="OT88" i="5"/>
  <c r="PG88" i="5"/>
  <c r="PC88" i="5"/>
  <c r="OE88" i="5"/>
  <c r="OW88" i="5"/>
  <c r="OQ88" i="5"/>
  <c r="PF88" i="5"/>
  <c r="ON88" i="5"/>
  <c r="PB88" i="5"/>
  <c r="OZ88" i="5"/>
  <c r="OA88" i="5"/>
  <c r="OM88" i="5"/>
  <c r="PE88" i="5"/>
  <c r="OB88" i="5"/>
  <c r="PA88" i="5"/>
  <c r="OK88" i="5"/>
  <c r="OR88" i="5"/>
  <c r="OD88" i="5"/>
  <c r="OX88" i="5"/>
  <c r="OC88" i="5"/>
  <c r="OS88" i="5"/>
  <c r="OO88" i="5"/>
  <c r="OL88" i="5"/>
  <c r="OH88" i="5"/>
  <c r="OV88" i="5"/>
  <c r="OY88" i="5"/>
  <c r="DW143" i="5"/>
  <c r="NI143" i="5" s="1"/>
  <c r="CN143" i="5"/>
  <c r="PI143" i="5"/>
  <c r="QR143" i="5"/>
  <c r="NP91" i="5"/>
  <c r="OU139" i="5"/>
  <c r="OV139" i="5"/>
  <c r="OW139" i="5"/>
  <c r="PF139" i="5"/>
  <c r="OJ139" i="5"/>
  <c r="OK139" i="5"/>
  <c r="OL139" i="5"/>
  <c r="OQ139" i="5"/>
  <c r="OD139" i="5"/>
  <c r="CJ139" i="5" s="1"/>
  <c r="OY139" i="5"/>
  <c r="OZ139" i="5"/>
  <c r="PA139" i="5"/>
  <c r="OT139" i="5"/>
  <c r="ON139" i="5"/>
  <c r="OO139" i="5"/>
  <c r="OP139" i="5"/>
  <c r="OE139" i="5"/>
  <c r="PC139" i="5"/>
  <c r="PD139" i="5"/>
  <c r="PE139" i="5"/>
  <c r="OX139" i="5"/>
  <c r="OR139" i="5"/>
  <c r="OS139" i="5"/>
  <c r="OI139" i="5"/>
  <c r="OB139" i="5"/>
  <c r="PG139" i="5"/>
  <c r="PH139" i="5"/>
  <c r="PB139" i="5"/>
  <c r="OF139" i="5"/>
  <c r="OG139" i="5"/>
  <c r="OH139" i="5"/>
  <c r="OM139" i="5"/>
  <c r="OC139" i="5"/>
  <c r="OA139" i="5"/>
  <c r="EZ121" i="5"/>
  <c r="NR121" i="5"/>
  <c r="BT124" i="5"/>
  <c r="IH124" i="5" s="1"/>
  <c r="II124" i="5" s="1"/>
  <c r="DW139" i="5"/>
  <c r="NI139" i="5" s="1"/>
  <c r="CN139" i="5"/>
  <c r="QR139" i="5"/>
  <c r="PI139" i="5"/>
  <c r="DW17" i="5"/>
  <c r="NI17" i="5" s="1"/>
  <c r="CN17" i="5"/>
  <c r="QR17" i="5"/>
  <c r="PI17" i="5"/>
  <c r="BT143" i="5"/>
  <c r="IH143" i="5" s="1"/>
  <c r="II143" i="5" s="1"/>
  <c r="IE143" i="5" s="1"/>
  <c r="NX143" i="5" s="1"/>
  <c r="DW121" i="5"/>
  <c r="NI121" i="5" s="1"/>
  <c r="CN121" i="5"/>
  <c r="PI121" i="5"/>
  <c r="QR121" i="5"/>
  <c r="OT96" i="5"/>
  <c r="OU96" i="5"/>
  <c r="PD96" i="5"/>
  <c r="OR96" i="5"/>
  <c r="OS96" i="5"/>
  <c r="OQ96" i="5"/>
  <c r="OB96" i="5"/>
  <c r="OW96" i="5"/>
  <c r="OX96" i="5"/>
  <c r="OY96" i="5"/>
  <c r="PH96" i="5"/>
  <c r="OF96" i="5"/>
  <c r="CJ96" i="5" s="1"/>
  <c r="OG96" i="5"/>
  <c r="OH96" i="5"/>
  <c r="OI96" i="5"/>
  <c r="OC96" i="5"/>
  <c r="PA96" i="5"/>
  <c r="PB96" i="5"/>
  <c r="PC96" i="5"/>
  <c r="OV96" i="5"/>
  <c r="OJ96" i="5"/>
  <c r="OK96" i="5"/>
  <c r="OL96" i="5"/>
  <c r="OE96" i="5"/>
  <c r="OD96" i="5"/>
  <c r="OA96" i="5"/>
  <c r="PE96" i="5"/>
  <c r="PF96" i="5"/>
  <c r="PG96" i="5"/>
  <c r="OZ96" i="5"/>
  <c r="ON96" i="5"/>
  <c r="OO96" i="5"/>
  <c r="OP96" i="5"/>
  <c r="OM96" i="5"/>
  <c r="DW88" i="5"/>
  <c r="NI88" i="5" s="1"/>
  <c r="CN88" i="5"/>
  <c r="QR88" i="5"/>
  <c r="PI88" i="5"/>
  <c r="OS91" i="5"/>
  <c r="OV91" i="5"/>
  <c r="PE91" i="5"/>
  <c r="ON91" i="5"/>
  <c r="OA91" i="5"/>
  <c r="OP91" i="5"/>
  <c r="OB91" i="5"/>
  <c r="CJ91" i="5" s="1"/>
  <c r="OZ91" i="5"/>
  <c r="OJ91" i="5"/>
  <c r="OH91" i="5"/>
  <c r="OQ91" i="5"/>
  <c r="OM91" i="5"/>
  <c r="PC91" i="5"/>
  <c r="OR91" i="5"/>
  <c r="OL91" i="5"/>
  <c r="PF91" i="5"/>
  <c r="PB91" i="5"/>
  <c r="OU91" i="5"/>
  <c r="OI91" i="5"/>
  <c r="PG91" i="5"/>
  <c r="OY91" i="5"/>
  <c r="OO91" i="5"/>
  <c r="OW91" i="5"/>
  <c r="OD91" i="5"/>
  <c r="PH91" i="5"/>
  <c r="OC91" i="5"/>
  <c r="OX91" i="5"/>
  <c r="PD91" i="5"/>
  <c r="OT91" i="5"/>
  <c r="OE91" i="5"/>
  <c r="PA91" i="5"/>
  <c r="OF91" i="5"/>
  <c r="OK91" i="5"/>
  <c r="OG91" i="5"/>
  <c r="CJ124" i="5"/>
  <c r="OT124" i="5"/>
  <c r="OU124" i="5"/>
  <c r="OZ124" i="5"/>
  <c r="OR124" i="5"/>
  <c r="OS124" i="5"/>
  <c r="OI124" i="5"/>
  <c r="OB124" i="5"/>
  <c r="OW124" i="5"/>
  <c r="OX124" i="5"/>
  <c r="OY124" i="5"/>
  <c r="PD124" i="5"/>
  <c r="OF124" i="5"/>
  <c r="OG124" i="5"/>
  <c r="OH124" i="5"/>
  <c r="OM124" i="5"/>
  <c r="OC124" i="5"/>
  <c r="PA124" i="5"/>
  <c r="PB124" i="5"/>
  <c r="PC124" i="5"/>
  <c r="PH124" i="5"/>
  <c r="OJ124" i="5"/>
  <c r="OK124" i="5"/>
  <c r="OL124" i="5"/>
  <c r="OQ124" i="5"/>
  <c r="OD124" i="5"/>
  <c r="OA124" i="5"/>
  <c r="PE124" i="5"/>
  <c r="PF124" i="5"/>
  <c r="PG124" i="5"/>
  <c r="OV124" i="5"/>
  <c r="ON124" i="5"/>
  <c r="OO124" i="5"/>
  <c r="OP124" i="5"/>
  <c r="OE124" i="5"/>
  <c r="DW96" i="5"/>
  <c r="NI96" i="5" s="1"/>
  <c r="CN96" i="5"/>
  <c r="QR96" i="5"/>
  <c r="PI96" i="5"/>
  <c r="NO155" i="5"/>
  <c r="NO133" i="5"/>
  <c r="NN133" i="5"/>
  <c r="CN86" i="5"/>
  <c r="CN52" i="5"/>
  <c r="CW52" i="5" s="1"/>
  <c r="CN44" i="5"/>
  <c r="CW44" i="5" s="1"/>
  <c r="FR156" i="5"/>
  <c r="HI119" i="5"/>
  <c r="GG156" i="5"/>
  <c r="HI111" i="5"/>
  <c r="BT172" i="5"/>
  <c r="ET172" i="5" s="1"/>
  <c r="FO156" i="5"/>
  <c r="CN15" i="5"/>
  <c r="CZ15" i="5" s="1"/>
  <c r="GD156" i="5"/>
  <c r="NS212" i="5"/>
  <c r="NU212" i="5" s="1"/>
  <c r="BT146" i="5"/>
  <c r="GU146" i="5" s="1"/>
  <c r="GV146" i="5" s="1"/>
  <c r="CN20" i="5"/>
  <c r="CW20" i="5" s="1"/>
  <c r="CN54" i="5"/>
  <c r="CW54" i="5" s="1"/>
  <c r="NT212" i="5"/>
  <c r="NV212" i="5" s="1"/>
  <c r="ND212" i="5"/>
  <c r="HI212" i="5" s="1"/>
  <c r="HI43" i="5"/>
  <c r="ET156" i="5"/>
  <c r="FL156" i="5"/>
  <c r="NP108" i="5"/>
  <c r="IE133" i="5"/>
  <c r="NX133" i="5" s="1"/>
  <c r="DW133" i="5"/>
  <c r="NI133" i="5" s="1"/>
  <c r="CN133" i="5"/>
  <c r="PI133" i="5"/>
  <c r="QR133" i="5"/>
  <c r="OT133" i="5"/>
  <c r="OV133" i="5"/>
  <c r="OF133" i="5"/>
  <c r="OH133" i="5"/>
  <c r="OC133" i="5"/>
  <c r="OA133" i="5"/>
  <c r="OX133" i="5"/>
  <c r="OZ133" i="5"/>
  <c r="OJ133" i="5"/>
  <c r="OL133" i="5"/>
  <c r="OD133" i="5"/>
  <c r="PB133" i="5"/>
  <c r="PD133" i="5"/>
  <c r="ON133" i="5"/>
  <c r="OP133" i="5"/>
  <c r="PF133" i="5"/>
  <c r="PH133" i="5"/>
  <c r="OR133" i="5"/>
  <c r="OM133" i="5"/>
  <c r="OU133" i="5"/>
  <c r="OG133" i="5"/>
  <c r="CJ133" i="5" s="1"/>
  <c r="OQ133" i="5"/>
  <c r="OW133" i="5"/>
  <c r="OY133" i="5"/>
  <c r="OK133" i="5"/>
  <c r="OE133" i="5"/>
  <c r="PA133" i="5"/>
  <c r="PC133" i="5"/>
  <c r="OO133" i="5"/>
  <c r="OB133" i="5"/>
  <c r="PE133" i="5"/>
  <c r="PG133" i="5"/>
  <c r="OS133" i="5"/>
  <c r="OI133" i="5"/>
  <c r="BT133" i="5"/>
  <c r="HI147" i="5"/>
  <c r="CN25" i="5"/>
  <c r="CZ25" i="5" s="1"/>
  <c r="CN6" i="5"/>
  <c r="CW6" i="5" s="1"/>
  <c r="DW108" i="5"/>
  <c r="NI108" i="5" s="1"/>
  <c r="CN108" i="5"/>
  <c r="QR108" i="5"/>
  <c r="PI108" i="5"/>
  <c r="PF108" i="5"/>
  <c r="OV108" i="5"/>
  <c r="OO108" i="5"/>
  <c r="OE108" i="5"/>
  <c r="OU108" i="5"/>
  <c r="OS108" i="5"/>
  <c r="OB108" i="5"/>
  <c r="OW108" i="5"/>
  <c r="OY108" i="5"/>
  <c r="OF108" i="5"/>
  <c r="OH108" i="5"/>
  <c r="OC108" i="5"/>
  <c r="PA108" i="5"/>
  <c r="PC108" i="5"/>
  <c r="OJ108" i="5"/>
  <c r="OL108" i="5"/>
  <c r="OD108" i="5"/>
  <c r="CJ108" i="5" s="1"/>
  <c r="PE108" i="5"/>
  <c r="PG108" i="5"/>
  <c r="ON108" i="5"/>
  <c r="OP108" i="5"/>
  <c r="OT108" i="5"/>
  <c r="OZ108" i="5"/>
  <c r="OR108" i="5"/>
  <c r="OI108" i="5"/>
  <c r="OA108" i="5"/>
  <c r="OX108" i="5"/>
  <c r="PD108" i="5"/>
  <c r="OG108" i="5"/>
  <c r="OM108" i="5"/>
  <c r="PB108" i="5"/>
  <c r="PH108" i="5"/>
  <c r="OK108" i="5"/>
  <c r="OQ108" i="5"/>
  <c r="IH108" i="5"/>
  <c r="II108" i="5" s="1"/>
  <c r="IE108" i="5" s="1"/>
  <c r="NX108" i="5" s="1"/>
  <c r="GU108" i="5"/>
  <c r="GV108" i="5" s="1"/>
  <c r="GP108" i="5"/>
  <c r="FX108" i="5"/>
  <c r="FC108" i="5"/>
  <c r="FI108" i="5"/>
  <c r="FG108" i="5" s="1"/>
  <c r="EY108" i="5"/>
  <c r="EO108" i="5"/>
  <c r="EQ108" i="5" s="1"/>
  <c r="HZ108" i="5"/>
  <c r="GD108" i="5"/>
  <c r="GG108" i="5"/>
  <c r="FL108" i="5"/>
  <c r="DU108" i="5"/>
  <c r="FO108" i="5"/>
  <c r="FR108" i="5"/>
  <c r="ET108" i="5"/>
  <c r="GA108" i="5"/>
  <c r="NN90" i="5"/>
  <c r="NR90" i="5"/>
  <c r="MY90" i="5"/>
  <c r="NR168" i="5"/>
  <c r="MY168" i="5"/>
  <c r="NO168" i="5"/>
  <c r="NN168" i="5"/>
  <c r="GA156" i="5"/>
  <c r="DW156" i="5"/>
  <c r="NI156" i="5" s="1"/>
  <c r="CN156" i="5"/>
  <c r="PI156" i="5"/>
  <c r="QR156" i="5"/>
  <c r="CJ156" i="5"/>
  <c r="PG156" i="5"/>
  <c r="OQ156" i="5"/>
  <c r="OK156" i="5"/>
  <c r="OT156" i="5"/>
  <c r="OV156" i="5"/>
  <c r="OF156" i="5"/>
  <c r="OE156" i="5"/>
  <c r="OX156" i="5"/>
  <c r="OZ156" i="5"/>
  <c r="OJ156" i="5"/>
  <c r="OB156" i="5"/>
  <c r="PB156" i="5"/>
  <c r="PD156" i="5"/>
  <c r="OH156" i="5"/>
  <c r="ON156" i="5"/>
  <c r="OC156" i="5"/>
  <c r="PF156" i="5"/>
  <c r="PH156" i="5"/>
  <c r="OL156" i="5"/>
  <c r="OR156" i="5"/>
  <c r="OD156" i="5"/>
  <c r="OU156" i="5"/>
  <c r="PE156" i="5"/>
  <c r="OP156" i="5"/>
  <c r="OO156" i="5"/>
  <c r="OA156" i="5"/>
  <c r="OY156" i="5"/>
  <c r="OW156" i="5"/>
  <c r="OI156" i="5"/>
  <c r="OS156" i="5"/>
  <c r="PC156" i="5"/>
  <c r="PA156" i="5"/>
  <c r="OM156" i="5"/>
  <c r="OG156" i="5"/>
  <c r="GU156" i="5"/>
  <c r="GV156" i="5" s="1"/>
  <c r="FC156" i="5"/>
  <c r="GP156" i="5"/>
  <c r="FX156" i="5"/>
  <c r="EO156" i="5"/>
  <c r="EQ156" i="5" s="1"/>
  <c r="EY156" i="5"/>
  <c r="HZ156" i="5"/>
  <c r="FI156" i="5"/>
  <c r="FG156" i="5" s="1"/>
  <c r="ND156" i="5" s="1"/>
  <c r="IH156" i="5"/>
  <c r="II156" i="5" s="1"/>
  <c r="NR94" i="5"/>
  <c r="EZ94" i="5"/>
  <c r="NN94" i="5"/>
  <c r="NO94" i="5"/>
  <c r="DW94" i="5"/>
  <c r="NI94" i="5" s="1"/>
  <c r="CN94" i="5"/>
  <c r="QR94" i="5"/>
  <c r="PI94" i="5"/>
  <c r="PH94" i="5"/>
  <c r="OK94" i="5"/>
  <c r="OE94" i="5"/>
  <c r="CJ94" i="5" s="1"/>
  <c r="OU94" i="5"/>
  <c r="OW94" i="5"/>
  <c r="OO94" i="5"/>
  <c r="OB94" i="5"/>
  <c r="OY94" i="5"/>
  <c r="PA94" i="5"/>
  <c r="OS94" i="5"/>
  <c r="OC94" i="5"/>
  <c r="PC94" i="5"/>
  <c r="PE94" i="5"/>
  <c r="OF94" i="5"/>
  <c r="OH94" i="5"/>
  <c r="OD94" i="5"/>
  <c r="OA94" i="5"/>
  <c r="PG94" i="5"/>
  <c r="PB94" i="5"/>
  <c r="OJ94" i="5"/>
  <c r="OL94" i="5"/>
  <c r="OI94" i="5"/>
  <c r="OV94" i="5"/>
  <c r="PF94" i="5"/>
  <c r="ON94" i="5"/>
  <c r="OP94" i="5"/>
  <c r="OZ94" i="5"/>
  <c r="OT94" i="5"/>
  <c r="OR94" i="5"/>
  <c r="OM94" i="5"/>
  <c r="PD94" i="5"/>
  <c r="OX94" i="5"/>
  <c r="OG94" i="5"/>
  <c r="OQ94" i="5"/>
  <c r="BT94" i="5"/>
  <c r="IH94" i="5" s="1"/>
  <c r="II94" i="5" s="1"/>
  <c r="IE94" i="5" s="1"/>
  <c r="NX94" i="5" s="1"/>
  <c r="CN22" i="5"/>
  <c r="CW22" i="5" s="1"/>
  <c r="CN60" i="5"/>
  <c r="DC60" i="5" s="1"/>
  <c r="HL60" i="5" s="1"/>
  <c r="CN23" i="5"/>
  <c r="DC23" i="5" s="1"/>
  <c r="HL23" i="5" s="1"/>
  <c r="EZ155" i="5"/>
  <c r="IE155" i="5"/>
  <c r="NX155" i="5" s="1"/>
  <c r="OU155" i="5"/>
  <c r="OG155" i="5"/>
  <c r="OQ155" i="5"/>
  <c r="OW155" i="5"/>
  <c r="OY155" i="5"/>
  <c r="OK155" i="5"/>
  <c r="OE155" i="5"/>
  <c r="PA155" i="5"/>
  <c r="PC155" i="5"/>
  <c r="OO155" i="5"/>
  <c r="OB155" i="5"/>
  <c r="PE155" i="5"/>
  <c r="PG155" i="5"/>
  <c r="OS155" i="5"/>
  <c r="OC155" i="5"/>
  <c r="OA155" i="5"/>
  <c r="OT155" i="5"/>
  <c r="PD155" i="5"/>
  <c r="OF155" i="5"/>
  <c r="OH155" i="5"/>
  <c r="OI155" i="5"/>
  <c r="OX155" i="5"/>
  <c r="PH155" i="5"/>
  <c r="OJ155" i="5"/>
  <c r="OL155" i="5"/>
  <c r="OD155" i="5"/>
  <c r="PB155" i="5"/>
  <c r="OV155" i="5"/>
  <c r="ON155" i="5"/>
  <c r="CJ155" i="5" s="1"/>
  <c r="OP155" i="5"/>
  <c r="PF155" i="5"/>
  <c r="OZ155" i="5"/>
  <c r="OR155" i="5"/>
  <c r="OM155" i="5"/>
  <c r="BT155" i="5"/>
  <c r="DW155" i="5"/>
  <c r="NI155" i="5" s="1"/>
  <c r="CN155" i="5"/>
  <c r="PI155" i="5"/>
  <c r="QR155" i="5"/>
  <c r="DW164" i="5"/>
  <c r="NI164" i="5" s="1"/>
  <c r="CN164" i="5"/>
  <c r="QR164" i="5"/>
  <c r="PI164" i="5"/>
  <c r="CJ164" i="5"/>
  <c r="PG164" i="5"/>
  <c r="OL164" i="5"/>
  <c r="OR164" i="5"/>
  <c r="OK164" i="5"/>
  <c r="OT164" i="5"/>
  <c r="OV164" i="5"/>
  <c r="OP164" i="5"/>
  <c r="OO164" i="5"/>
  <c r="OX164" i="5"/>
  <c r="OZ164" i="5"/>
  <c r="OI164" i="5"/>
  <c r="OS164" i="5"/>
  <c r="PB164" i="5"/>
  <c r="PD164" i="5"/>
  <c r="OM164" i="5"/>
  <c r="OG164" i="5"/>
  <c r="PF164" i="5"/>
  <c r="PH164" i="5"/>
  <c r="OQ164" i="5"/>
  <c r="OE164" i="5"/>
  <c r="OA164" i="5"/>
  <c r="OU164" i="5"/>
  <c r="OW164" i="5"/>
  <c r="OF164" i="5"/>
  <c r="OB164" i="5"/>
  <c r="OY164" i="5"/>
  <c r="PA164" i="5"/>
  <c r="OJ164" i="5"/>
  <c r="OC164" i="5"/>
  <c r="PC164" i="5"/>
  <c r="PE164" i="5"/>
  <c r="OH164" i="5"/>
  <c r="ON164" i="5"/>
  <c r="OD164" i="5"/>
  <c r="BT164" i="5"/>
  <c r="IH164" i="5" s="1"/>
  <c r="II164" i="5" s="1"/>
  <c r="NP90" i="5"/>
  <c r="DW90" i="5"/>
  <c r="NI90" i="5" s="1"/>
  <c r="CN90" i="5"/>
  <c r="QR90" i="5"/>
  <c r="PI90" i="5"/>
  <c r="PD90" i="5"/>
  <c r="OB90" i="5"/>
  <c r="OA90" i="5"/>
  <c r="PF90" i="5"/>
  <c r="OF90" i="5"/>
  <c r="CJ90" i="5" s="1"/>
  <c r="OC90" i="5"/>
  <c r="OT90" i="5"/>
  <c r="OG90" i="5"/>
  <c r="OO90" i="5"/>
  <c r="OS90" i="5"/>
  <c r="OH90" i="5"/>
  <c r="OM90" i="5"/>
  <c r="OZ90" i="5"/>
  <c r="OE90" i="5"/>
  <c r="OQ90" i="5"/>
  <c r="OY90" i="5"/>
  <c r="OD90" i="5"/>
  <c r="OK90" i="5"/>
  <c r="OL90" i="5"/>
  <c r="OJ90" i="5"/>
  <c r="PB90" i="5"/>
  <c r="OV90" i="5"/>
  <c r="OX90" i="5"/>
  <c r="PG90" i="5"/>
  <c r="PE90" i="5"/>
  <c r="OI90" i="5"/>
  <c r="OP90" i="5"/>
  <c r="OW90" i="5"/>
  <c r="PC90" i="5"/>
  <c r="OR90" i="5"/>
  <c r="PA90" i="5"/>
  <c r="ON90" i="5"/>
  <c r="OU90" i="5"/>
  <c r="PH90" i="5"/>
  <c r="IH90" i="5"/>
  <c r="II90" i="5" s="1"/>
  <c r="IE90" i="5" s="1"/>
  <c r="NX90" i="5" s="1"/>
  <c r="HZ90" i="5"/>
  <c r="EY90" i="5"/>
  <c r="GU90" i="5"/>
  <c r="GV90" i="5" s="1"/>
  <c r="GP90" i="5"/>
  <c r="FX90" i="5"/>
  <c r="GA90" i="5"/>
  <c r="FC90" i="5"/>
  <c r="FI90" i="5"/>
  <c r="FG90" i="5" s="1"/>
  <c r="EO90" i="5"/>
  <c r="EQ90" i="5" s="1"/>
  <c r="FL90" i="5"/>
  <c r="DU90" i="5"/>
  <c r="GD90" i="5"/>
  <c r="ET90" i="5"/>
  <c r="FO90" i="5"/>
  <c r="GG90" i="5"/>
  <c r="FR90" i="5"/>
  <c r="NR146" i="5"/>
  <c r="NO146" i="5"/>
  <c r="NN146" i="5"/>
  <c r="GA177" i="5"/>
  <c r="DW168" i="5"/>
  <c r="NI168" i="5" s="1"/>
  <c r="CN168" i="5"/>
  <c r="DC168" i="5" s="1"/>
  <c r="HL168" i="5" s="1"/>
  <c r="PI168" i="5"/>
  <c r="QR168" i="5"/>
  <c r="GG177" i="5"/>
  <c r="ET177" i="5"/>
  <c r="OU168" i="5"/>
  <c r="PA168" i="5"/>
  <c r="OI168" i="5"/>
  <c r="OK168" i="5"/>
  <c r="OY168" i="5"/>
  <c r="PE168" i="5"/>
  <c r="OM168" i="5"/>
  <c r="OO168" i="5"/>
  <c r="PC168" i="5"/>
  <c r="OW168" i="5"/>
  <c r="OQ168" i="5"/>
  <c r="OE168" i="5"/>
  <c r="PG168" i="5"/>
  <c r="OF168" i="5"/>
  <c r="OB168" i="5"/>
  <c r="OT168" i="5"/>
  <c r="OV168" i="5"/>
  <c r="OJ168" i="5"/>
  <c r="OC168" i="5"/>
  <c r="OX168" i="5"/>
  <c r="OZ168" i="5"/>
  <c r="OH168" i="5"/>
  <c r="ON168" i="5"/>
  <c r="OS168" i="5"/>
  <c r="PB168" i="5"/>
  <c r="PD168" i="5"/>
  <c r="OL168" i="5"/>
  <c r="OR168" i="5"/>
  <c r="OD168" i="5"/>
  <c r="OA168" i="5"/>
  <c r="PF168" i="5"/>
  <c r="PH168" i="5"/>
  <c r="OP168" i="5"/>
  <c r="OG168" i="5"/>
  <c r="CJ168" i="5" s="1"/>
  <c r="BT168" i="5"/>
  <c r="IH168" i="5" s="1"/>
  <c r="II168" i="5" s="1"/>
  <c r="IE168" i="5" s="1"/>
  <c r="NX168" i="5" s="1"/>
  <c r="FO177" i="5"/>
  <c r="FR177" i="5"/>
  <c r="NT222" i="5"/>
  <c r="NV222" i="5" s="1"/>
  <c r="NT223" i="5"/>
  <c r="NV223" i="5" s="1"/>
  <c r="NT228" i="5"/>
  <c r="NV228" i="5" s="1"/>
  <c r="OT177" i="5"/>
  <c r="OM177" i="5"/>
  <c r="OE177" i="5"/>
  <c r="OV177" i="5"/>
  <c r="OX177" i="5"/>
  <c r="OQ177" i="5"/>
  <c r="OF177" i="5"/>
  <c r="OZ177" i="5"/>
  <c r="PB177" i="5"/>
  <c r="OG177" i="5"/>
  <c r="OB177" i="5"/>
  <c r="CJ177" i="5" s="1"/>
  <c r="PD177" i="5"/>
  <c r="PF177" i="5"/>
  <c r="OO177" i="5"/>
  <c r="ON177" i="5"/>
  <c r="PH177" i="5"/>
  <c r="OU177" i="5"/>
  <c r="OH177" i="5"/>
  <c r="OJ177" i="5"/>
  <c r="OC177" i="5"/>
  <c r="OW177" i="5"/>
  <c r="OY177" i="5"/>
  <c r="OL177" i="5"/>
  <c r="OR177" i="5"/>
  <c r="OD177" i="5"/>
  <c r="OA177" i="5"/>
  <c r="PA177" i="5"/>
  <c r="PC177" i="5"/>
  <c r="OP177" i="5"/>
  <c r="OK177" i="5"/>
  <c r="PE177" i="5"/>
  <c r="PG177" i="5"/>
  <c r="OI177" i="5"/>
  <c r="OS177" i="5"/>
  <c r="DW177" i="5"/>
  <c r="NI177" i="5" s="1"/>
  <c r="CN177" i="5"/>
  <c r="QR177" i="5"/>
  <c r="PI177" i="5"/>
  <c r="EO177" i="5"/>
  <c r="EQ177" i="5" s="1"/>
  <c r="HZ177" i="5"/>
  <c r="GU177" i="5"/>
  <c r="GV177" i="5" s="1"/>
  <c r="GP177" i="5"/>
  <c r="FI177" i="5"/>
  <c r="FG177" i="5" s="1"/>
  <c r="FC177" i="5"/>
  <c r="CN14" i="5"/>
  <c r="CW14" i="5" s="1"/>
  <c r="CN9" i="5"/>
  <c r="CW9" i="5" s="1"/>
  <c r="CN30" i="5"/>
  <c r="EZ146" i="5"/>
  <c r="OV146" i="5"/>
  <c r="OX146" i="5"/>
  <c r="OH146" i="5"/>
  <c r="ON146" i="5"/>
  <c r="OD146" i="5"/>
  <c r="OZ146" i="5"/>
  <c r="PB146" i="5"/>
  <c r="OL146" i="5"/>
  <c r="OR146" i="5"/>
  <c r="CJ146" i="5" s="1"/>
  <c r="OG146" i="5"/>
  <c r="OA146" i="5"/>
  <c r="PD146" i="5"/>
  <c r="PF146" i="5"/>
  <c r="OP146" i="5"/>
  <c r="OK146" i="5"/>
  <c r="PH146" i="5"/>
  <c r="OU146" i="5"/>
  <c r="OI146" i="5"/>
  <c r="OO146" i="5"/>
  <c r="OW146" i="5"/>
  <c r="OY146" i="5"/>
  <c r="OM146" i="5"/>
  <c r="OS146" i="5"/>
  <c r="PA146" i="5"/>
  <c r="PC146" i="5"/>
  <c r="OQ146" i="5"/>
  <c r="OE146" i="5"/>
  <c r="PE146" i="5"/>
  <c r="PG146" i="5"/>
  <c r="OF146" i="5"/>
  <c r="OB146" i="5"/>
  <c r="OT146" i="5"/>
  <c r="OJ146" i="5"/>
  <c r="OC146" i="5"/>
  <c r="DW146" i="5"/>
  <c r="NI146" i="5" s="1"/>
  <c r="CN146" i="5"/>
  <c r="CW146" i="5" s="1"/>
  <c r="PI146" i="5"/>
  <c r="QR146" i="5"/>
  <c r="HZ146" i="5"/>
  <c r="NS181" i="5"/>
  <c r="NU181" i="5" s="1"/>
  <c r="NS227" i="5"/>
  <c r="NU227" i="5" s="1"/>
  <c r="NI207" i="5"/>
  <c r="DX207" i="5" s="1"/>
  <c r="MY207" i="5"/>
  <c r="CN207" i="5"/>
  <c r="CZ207" i="5" s="1"/>
  <c r="BT207" i="5"/>
  <c r="GD207" i="5" s="1"/>
  <c r="ET233" i="5"/>
  <c r="NS230" i="5"/>
  <c r="NU230" i="5" s="1"/>
  <c r="NT229" i="5"/>
  <c r="NV229" i="5" s="1"/>
  <c r="NS231" i="5"/>
  <c r="NU231" i="5" s="1"/>
  <c r="CN95" i="5"/>
  <c r="DC95" i="5" s="1"/>
  <c r="HL95" i="5" s="1"/>
  <c r="CN75" i="5"/>
  <c r="DC75" i="5" s="1"/>
  <c r="HL75" i="5" s="1"/>
  <c r="CN80" i="5"/>
  <c r="DC80" i="5" s="1"/>
  <c r="HL80" i="5" s="1"/>
  <c r="NT231" i="5"/>
  <c r="NV231" i="5" s="1"/>
  <c r="NT204" i="5"/>
  <c r="NV204" i="5" s="1"/>
  <c r="CN129" i="5"/>
  <c r="DU233" i="5"/>
  <c r="GD233" i="5"/>
  <c r="NT225" i="5"/>
  <c r="NV225" i="5" s="1"/>
  <c r="NT230" i="5"/>
  <c r="NV230" i="5" s="1"/>
  <c r="NT150" i="5"/>
  <c r="NV150" i="5" s="1"/>
  <c r="NS150" i="5"/>
  <c r="NU150" i="5" s="1"/>
  <c r="NT181" i="5"/>
  <c r="NV181" i="5" s="1"/>
  <c r="NS204" i="5"/>
  <c r="NU204" i="5" s="1"/>
  <c r="HR233" i="5"/>
  <c r="CN131" i="5"/>
  <c r="CZ131" i="5" s="1"/>
  <c r="GG233" i="5"/>
  <c r="NS223" i="5"/>
  <c r="NU223" i="5" s="1"/>
  <c r="NT227" i="5"/>
  <c r="NV227" i="5" s="1"/>
  <c r="NS229" i="5"/>
  <c r="NU229" i="5" s="1"/>
  <c r="ND181" i="5"/>
  <c r="HI181" i="5" s="1"/>
  <c r="ND204" i="5"/>
  <c r="GA233" i="5"/>
  <c r="FR233" i="5"/>
  <c r="DW233" i="5"/>
  <c r="NI233" i="5" s="1"/>
  <c r="CN233" i="5"/>
  <c r="DC233" i="5" s="1"/>
  <c r="HL233" i="5" s="1"/>
  <c r="QR233" i="5"/>
  <c r="PI233" i="5"/>
  <c r="FO233" i="5"/>
  <c r="OV233" i="5"/>
  <c r="OX233" i="5"/>
  <c r="OO233" i="5"/>
  <c r="OE233" i="5"/>
  <c r="OA233" i="5"/>
  <c r="OZ233" i="5"/>
  <c r="PF233" i="5"/>
  <c r="OS233" i="5"/>
  <c r="OB233" i="5"/>
  <c r="PD233" i="5"/>
  <c r="PA233" i="5"/>
  <c r="OF233" i="5"/>
  <c r="OM233" i="5"/>
  <c r="OC233" i="5"/>
  <c r="CJ233" i="5" s="1"/>
  <c r="PH233" i="5"/>
  <c r="OJ233" i="5"/>
  <c r="OH233" i="5"/>
  <c r="OD233" i="5"/>
  <c r="OU233" i="5"/>
  <c r="OT233" i="5"/>
  <c r="ON233" i="5"/>
  <c r="OP233" i="5"/>
  <c r="OY233" i="5"/>
  <c r="PB233" i="5"/>
  <c r="OR233" i="5"/>
  <c r="OI233" i="5"/>
  <c r="PC233" i="5"/>
  <c r="OW233" i="5"/>
  <c r="OG233" i="5"/>
  <c r="OQ233" i="5"/>
  <c r="PG233" i="5"/>
  <c r="PE233" i="5"/>
  <c r="OK233" i="5"/>
  <c r="OL233" i="5"/>
  <c r="GU233" i="5"/>
  <c r="GV233" i="5" s="1"/>
  <c r="EO233" i="5"/>
  <c r="EQ233" i="5" s="1"/>
  <c r="FI233" i="5"/>
  <c r="FG233" i="5" s="1"/>
  <c r="ND233" i="5" s="1"/>
  <c r="HI233" i="5" s="1"/>
  <c r="EY233" i="5"/>
  <c r="GP233" i="5"/>
  <c r="HZ233" i="5"/>
  <c r="FX233" i="5"/>
  <c r="FC233" i="5"/>
  <c r="IH233" i="5"/>
  <c r="II233" i="5" s="1"/>
  <c r="ND150" i="5"/>
  <c r="HI150" i="5" s="1"/>
  <c r="NO232" i="5"/>
  <c r="GU232" i="5"/>
  <c r="GV232" i="5" s="1"/>
  <c r="HZ232" i="5"/>
  <c r="EO232" i="5"/>
  <c r="EQ232" i="5" s="1"/>
  <c r="FC232" i="5"/>
  <c r="FI232" i="5"/>
  <c r="FG232" i="5" s="1"/>
  <c r="EY232" i="5"/>
  <c r="GP232" i="5"/>
  <c r="FX232" i="5"/>
  <c r="GA232" i="5"/>
  <c r="ET232" i="5"/>
  <c r="GD232" i="5"/>
  <c r="FL232" i="5"/>
  <c r="FR232" i="5"/>
  <c r="GG232" i="5"/>
  <c r="FO232" i="5"/>
  <c r="DU232" i="5"/>
  <c r="IE232" i="5"/>
  <c r="NX232" i="5" s="1"/>
  <c r="NR232" i="5"/>
  <c r="NP232" i="5"/>
  <c r="EZ232" i="5"/>
  <c r="PF232" i="5"/>
  <c r="OW232" i="5"/>
  <c r="OI232" i="5"/>
  <c r="CJ232" i="5" s="1"/>
  <c r="OO232" i="5"/>
  <c r="OU232" i="5"/>
  <c r="PE232" i="5"/>
  <c r="OM232" i="5"/>
  <c r="OE232" i="5"/>
  <c r="OY232" i="5"/>
  <c r="PH232" i="5"/>
  <c r="OQ232" i="5"/>
  <c r="OB232" i="5"/>
  <c r="PC232" i="5"/>
  <c r="OZ232" i="5"/>
  <c r="OK232" i="5"/>
  <c r="OJ232" i="5"/>
  <c r="PG232" i="5"/>
  <c r="OS232" i="5"/>
  <c r="OC232" i="5"/>
  <c r="OA232" i="5"/>
  <c r="OT232" i="5"/>
  <c r="PA232" i="5"/>
  <c r="OH232" i="5"/>
  <c r="OF232" i="5"/>
  <c r="OD232" i="5"/>
  <c r="OX232" i="5"/>
  <c r="OV232" i="5"/>
  <c r="OL232" i="5"/>
  <c r="ON232" i="5"/>
  <c r="OR232" i="5"/>
  <c r="PB232" i="5"/>
  <c r="PD232" i="5"/>
  <c r="OP232" i="5"/>
  <c r="OG232" i="5"/>
  <c r="DW232" i="5"/>
  <c r="NI232" i="5" s="1"/>
  <c r="CN232" i="5"/>
  <c r="DC232" i="5" s="1"/>
  <c r="HL232" i="5" s="1"/>
  <c r="QR232" i="5"/>
  <c r="PI232" i="5"/>
  <c r="MY232" i="5"/>
  <c r="IH232" i="5"/>
  <c r="II232" i="5" s="1"/>
  <c r="NN169" i="5"/>
  <c r="ND231" i="5"/>
  <c r="HI231" i="5" s="1"/>
  <c r="ND230" i="5"/>
  <c r="HI230" i="5" s="1"/>
  <c r="DW170" i="5"/>
  <c r="NI170" i="5" s="1"/>
  <c r="CN170" i="5"/>
  <c r="DC170" i="5" s="1"/>
  <c r="HL170" i="5" s="1"/>
  <c r="PI170" i="5"/>
  <c r="QR170" i="5"/>
  <c r="OZ170" i="5"/>
  <c r="PB170" i="5"/>
  <c r="OP170" i="5"/>
  <c r="OK170" i="5"/>
  <c r="CJ170" i="5" s="1"/>
  <c r="PD170" i="5"/>
  <c r="PF170" i="5"/>
  <c r="OI170" i="5"/>
  <c r="OO170" i="5"/>
  <c r="OR170" i="5"/>
  <c r="PH170" i="5"/>
  <c r="PC170" i="5"/>
  <c r="OM170" i="5"/>
  <c r="OS170" i="5"/>
  <c r="OA170" i="5"/>
  <c r="OW170" i="5"/>
  <c r="PG170" i="5"/>
  <c r="OQ170" i="5"/>
  <c r="OG170" i="5"/>
  <c r="PA170" i="5"/>
  <c r="OU170" i="5"/>
  <c r="OF170" i="5"/>
  <c r="OE170" i="5"/>
  <c r="PE170" i="5"/>
  <c r="OY170" i="5"/>
  <c r="OJ170" i="5"/>
  <c r="OB170" i="5"/>
  <c r="OL170" i="5"/>
  <c r="OT170" i="5"/>
  <c r="OH170" i="5"/>
  <c r="ON170" i="5"/>
  <c r="OC170" i="5"/>
  <c r="OD170" i="5"/>
  <c r="OV170" i="5"/>
  <c r="OX170" i="5"/>
  <c r="BT170" i="5"/>
  <c r="IH170" i="5" s="1"/>
  <c r="II170" i="5" s="1"/>
  <c r="NS226" i="5"/>
  <c r="NU226" i="5" s="1"/>
  <c r="NS228" i="5"/>
  <c r="NU228" i="5" s="1"/>
  <c r="HI122" i="5"/>
  <c r="MY169" i="5"/>
  <c r="CN45" i="5"/>
  <c r="CW45" i="5" s="1"/>
  <c r="NO169" i="5"/>
  <c r="NR169" i="5"/>
  <c r="CN42" i="5"/>
  <c r="CW42" i="5" s="1"/>
  <c r="BT169" i="5"/>
  <c r="FX169" i="5" s="1"/>
  <c r="ND229" i="5"/>
  <c r="HI229" i="5" s="1"/>
  <c r="ND228" i="5"/>
  <c r="HI228" i="5" s="1"/>
  <c r="NS225" i="5"/>
  <c r="NU225" i="5" s="1"/>
  <c r="NT226" i="5"/>
  <c r="NV226" i="5" s="1"/>
  <c r="DW169" i="5"/>
  <c r="NI169" i="5" s="1"/>
  <c r="CN169" i="5"/>
  <c r="QR169" i="5"/>
  <c r="PI169" i="5"/>
  <c r="CJ169" i="5"/>
  <c r="OZ169" i="5"/>
  <c r="OT169" i="5"/>
  <c r="ON169" i="5"/>
  <c r="OP169" i="5"/>
  <c r="PD169" i="5"/>
  <c r="OX169" i="5"/>
  <c r="OR169" i="5"/>
  <c r="OI169" i="5"/>
  <c r="OA169" i="5"/>
  <c r="PH169" i="5"/>
  <c r="OG169" i="5"/>
  <c r="OM169" i="5"/>
  <c r="OU169" i="5"/>
  <c r="OW169" i="5"/>
  <c r="OK169" i="5"/>
  <c r="OQ169" i="5"/>
  <c r="OY169" i="5"/>
  <c r="PA169" i="5"/>
  <c r="OO169" i="5"/>
  <c r="OE169" i="5"/>
  <c r="PC169" i="5"/>
  <c r="PE169" i="5"/>
  <c r="OS169" i="5"/>
  <c r="OB169" i="5"/>
  <c r="PG169" i="5"/>
  <c r="PB169" i="5"/>
  <c r="OF169" i="5"/>
  <c r="OH169" i="5"/>
  <c r="OC169" i="5"/>
  <c r="OV169" i="5"/>
  <c r="PF169" i="5"/>
  <c r="OJ169" i="5"/>
  <c r="OL169" i="5"/>
  <c r="OD169" i="5"/>
  <c r="IE169" i="5"/>
  <c r="NX169" i="5" s="1"/>
  <c r="ND227" i="5"/>
  <c r="HI227" i="5" s="1"/>
  <c r="ND226" i="5"/>
  <c r="HI226" i="5" s="1"/>
  <c r="NS219" i="5"/>
  <c r="NU219" i="5" s="1"/>
  <c r="NS222" i="5"/>
  <c r="NU222" i="5" s="1"/>
  <c r="ND225" i="5"/>
  <c r="HI225" i="5" s="1"/>
  <c r="ND224" i="5"/>
  <c r="HI224" i="5" s="1"/>
  <c r="NT219" i="5"/>
  <c r="NV219" i="5" s="1"/>
  <c r="HI61" i="5"/>
  <c r="ND223" i="5"/>
  <c r="HI223" i="5" s="1"/>
  <c r="ND222" i="5"/>
  <c r="HI222" i="5" s="1"/>
  <c r="ND219" i="5"/>
  <c r="HI219" i="5" s="1"/>
  <c r="CN84" i="5"/>
  <c r="DC84" i="5" s="1"/>
  <c r="HL84" i="5" s="1"/>
  <c r="CN31" i="5"/>
  <c r="CW31" i="5" s="1"/>
  <c r="CN104" i="5"/>
  <c r="DC104" i="5" s="1"/>
  <c r="HL104" i="5" s="1"/>
  <c r="NT171" i="5"/>
  <c r="NV171" i="5" s="1"/>
  <c r="NR185" i="5"/>
  <c r="NO185" i="5"/>
  <c r="NN185" i="5"/>
  <c r="NS171" i="5"/>
  <c r="NU171" i="5" s="1"/>
  <c r="EZ185" i="5"/>
  <c r="IE185" i="5"/>
  <c r="NX185" i="5" s="1"/>
  <c r="DW185" i="5"/>
  <c r="NI185" i="5" s="1"/>
  <c r="CN185" i="5"/>
  <c r="QR185" i="5"/>
  <c r="PI185" i="5"/>
  <c r="PE185" i="5"/>
  <c r="OY185" i="5"/>
  <c r="OQ185" i="5"/>
  <c r="OE185" i="5"/>
  <c r="OT185" i="5"/>
  <c r="OG185" i="5"/>
  <c r="OB185" i="5"/>
  <c r="OA185" i="5"/>
  <c r="OV185" i="5"/>
  <c r="OX185" i="5"/>
  <c r="OO185" i="5"/>
  <c r="OC185" i="5"/>
  <c r="OZ185" i="5"/>
  <c r="PB185" i="5"/>
  <c r="OH185" i="5"/>
  <c r="OJ185" i="5"/>
  <c r="OF185" i="5"/>
  <c r="PD185" i="5"/>
  <c r="PF185" i="5"/>
  <c r="OL185" i="5"/>
  <c r="OR185" i="5"/>
  <c r="OD185" i="5"/>
  <c r="PH185" i="5"/>
  <c r="PC185" i="5"/>
  <c r="OP185" i="5"/>
  <c r="OK185" i="5"/>
  <c r="OW185" i="5"/>
  <c r="PG185" i="5"/>
  <c r="OI185" i="5"/>
  <c r="OS185" i="5"/>
  <c r="PA185" i="5"/>
  <c r="OU185" i="5"/>
  <c r="OM185" i="5"/>
  <c r="ON185" i="5"/>
  <c r="BT185" i="5"/>
  <c r="IH185" i="5" s="1"/>
  <c r="II185" i="5" s="1"/>
  <c r="GG211" i="5"/>
  <c r="EZ207" i="5"/>
  <c r="FO211" i="5"/>
  <c r="ET211" i="5"/>
  <c r="GA211" i="5"/>
  <c r="GD211" i="5"/>
  <c r="CN12" i="5"/>
  <c r="CZ12" i="5" s="1"/>
  <c r="FL211" i="5"/>
  <c r="ND171" i="5"/>
  <c r="HI171" i="5" s="1"/>
  <c r="FR211" i="5"/>
  <c r="DW211" i="5"/>
  <c r="NI211" i="5" s="1"/>
  <c r="CN211" i="5"/>
  <c r="DC211" i="5" s="1"/>
  <c r="HL211" i="5" s="1"/>
  <c r="QR211" i="5"/>
  <c r="PI211" i="5"/>
  <c r="PD211" i="5"/>
  <c r="OX211" i="5"/>
  <c r="OF211" i="5"/>
  <c r="OM211" i="5"/>
  <c r="OC211" i="5"/>
  <c r="PH211" i="5"/>
  <c r="OJ211" i="5"/>
  <c r="OH211" i="5"/>
  <c r="OD211" i="5"/>
  <c r="CJ211" i="5" s="1"/>
  <c r="OU211" i="5"/>
  <c r="OW211" i="5"/>
  <c r="ON211" i="5"/>
  <c r="OP211" i="5"/>
  <c r="OY211" i="5"/>
  <c r="PA211" i="5"/>
  <c r="OR211" i="5"/>
  <c r="OI211" i="5"/>
  <c r="PC211" i="5"/>
  <c r="PE211" i="5"/>
  <c r="OG211" i="5"/>
  <c r="OQ211" i="5"/>
  <c r="PG211" i="5"/>
  <c r="PB211" i="5"/>
  <c r="OK211" i="5"/>
  <c r="OE211" i="5"/>
  <c r="OV211" i="5"/>
  <c r="PF211" i="5"/>
  <c r="OO211" i="5"/>
  <c r="OB211" i="5"/>
  <c r="OA211" i="5"/>
  <c r="OZ211" i="5"/>
  <c r="OT211" i="5"/>
  <c r="OS211" i="5"/>
  <c r="OL211" i="5"/>
  <c r="GU211" i="5"/>
  <c r="GV211" i="5" s="1"/>
  <c r="FI211" i="5"/>
  <c r="FG211" i="5" s="1"/>
  <c r="ND211" i="5" s="1"/>
  <c r="GP211" i="5"/>
  <c r="EY211" i="5"/>
  <c r="EO211" i="5"/>
  <c r="EQ211" i="5" s="1"/>
  <c r="FX211" i="5"/>
  <c r="HZ211" i="5"/>
  <c r="FC211" i="5"/>
  <c r="IH211" i="5"/>
  <c r="II211" i="5" s="1"/>
  <c r="ND180" i="5"/>
  <c r="HI180" i="5" s="1"/>
  <c r="NP165" i="5"/>
  <c r="ET210" i="5"/>
  <c r="GD210" i="5"/>
  <c r="FO210" i="5"/>
  <c r="FR210" i="5"/>
  <c r="FL210" i="5"/>
  <c r="GG210" i="5"/>
  <c r="ND190" i="5"/>
  <c r="HI190" i="5" s="1"/>
  <c r="NS148" i="5"/>
  <c r="NU148" i="5" s="1"/>
  <c r="NT208" i="5"/>
  <c r="NV208" i="5" s="1"/>
  <c r="CN130" i="5"/>
  <c r="DW210" i="5"/>
  <c r="NI210" i="5" s="1"/>
  <c r="CN210" i="5"/>
  <c r="DC210" i="5" s="1"/>
  <c r="HL210" i="5" s="1"/>
  <c r="PI210" i="5"/>
  <c r="QR210" i="5"/>
  <c r="PC210" i="5"/>
  <c r="OW210" i="5"/>
  <c r="OK210" i="5"/>
  <c r="OR210" i="5"/>
  <c r="PG210" i="5"/>
  <c r="OS210" i="5"/>
  <c r="OB210" i="5"/>
  <c r="OA210" i="5"/>
  <c r="OT210" i="5"/>
  <c r="OV210" i="5"/>
  <c r="OH210" i="5"/>
  <c r="OF210" i="5"/>
  <c r="OC210" i="5"/>
  <c r="OX210" i="5"/>
  <c r="OZ210" i="5"/>
  <c r="OL210" i="5"/>
  <c r="ON210" i="5"/>
  <c r="OD210" i="5"/>
  <c r="PB210" i="5"/>
  <c r="PD210" i="5"/>
  <c r="OP210" i="5"/>
  <c r="CJ210" i="5" s="1"/>
  <c r="OG210" i="5"/>
  <c r="PF210" i="5"/>
  <c r="PH210" i="5"/>
  <c r="OI210" i="5"/>
  <c r="OO210" i="5"/>
  <c r="OU210" i="5"/>
  <c r="PA210" i="5"/>
  <c r="OM210" i="5"/>
  <c r="OJ210" i="5"/>
  <c r="OY210" i="5"/>
  <c r="PE210" i="5"/>
  <c r="OQ210" i="5"/>
  <c r="OE210" i="5"/>
  <c r="GU210" i="5"/>
  <c r="GV210" i="5" s="1"/>
  <c r="FC210" i="5"/>
  <c r="EY210" i="5"/>
  <c r="FI210" i="5"/>
  <c r="FG210" i="5" s="1"/>
  <c r="GP210" i="5"/>
  <c r="EO210" i="5"/>
  <c r="EQ210" i="5" s="1"/>
  <c r="HZ210" i="5"/>
  <c r="FX210" i="5"/>
  <c r="IH210" i="5"/>
  <c r="II210" i="5" s="1"/>
  <c r="QR207" i="5"/>
  <c r="PI207" i="5"/>
  <c r="PH209" i="5"/>
  <c r="OY209" i="5"/>
  <c r="OO209" i="5"/>
  <c r="OB209" i="5"/>
  <c r="OW209" i="5"/>
  <c r="PC209" i="5"/>
  <c r="OH209" i="5"/>
  <c r="OJ209" i="5"/>
  <c r="OC209" i="5"/>
  <c r="PA209" i="5"/>
  <c r="PG209" i="5"/>
  <c r="OL209" i="5"/>
  <c r="OR209" i="5"/>
  <c r="OD209" i="5"/>
  <c r="OA209" i="5"/>
  <c r="PE209" i="5"/>
  <c r="OU209" i="5"/>
  <c r="OP209" i="5"/>
  <c r="OK209" i="5"/>
  <c r="OT209" i="5"/>
  <c r="OI209" i="5"/>
  <c r="OS209" i="5"/>
  <c r="OV209" i="5"/>
  <c r="OX209" i="5"/>
  <c r="OM209" i="5"/>
  <c r="OF209" i="5"/>
  <c r="OZ209" i="5"/>
  <c r="PB209" i="5"/>
  <c r="OQ209" i="5"/>
  <c r="OE209" i="5"/>
  <c r="CJ209" i="5" s="1"/>
  <c r="PD209" i="5"/>
  <c r="PF209" i="5"/>
  <c r="OG209" i="5"/>
  <c r="ON209" i="5"/>
  <c r="GU209" i="5"/>
  <c r="GV209" i="5" s="1"/>
  <c r="HZ209" i="5"/>
  <c r="FC209" i="5"/>
  <c r="FL209" i="5"/>
  <c r="GD209" i="5"/>
  <c r="FI209" i="5"/>
  <c r="FG209" i="5" s="1"/>
  <c r="FR209" i="5"/>
  <c r="EO209" i="5"/>
  <c r="EQ209" i="5" s="1"/>
  <c r="EY209" i="5"/>
  <c r="GG209" i="5"/>
  <c r="DU209" i="5"/>
  <c r="FX209" i="5"/>
  <c r="GP209" i="5"/>
  <c r="FO209" i="5"/>
  <c r="ET209" i="5"/>
  <c r="IH209" i="5"/>
  <c r="II209" i="5" s="1"/>
  <c r="DW209" i="5"/>
  <c r="NI209" i="5" s="1"/>
  <c r="CN209" i="5"/>
  <c r="DC209" i="5" s="1"/>
  <c r="HL209" i="5" s="1"/>
  <c r="QR209" i="5"/>
  <c r="PI209" i="5"/>
  <c r="NT206" i="5"/>
  <c r="NV206" i="5" s="1"/>
  <c r="NS208" i="5"/>
  <c r="NU208" i="5" s="1"/>
  <c r="NO101" i="5"/>
  <c r="OZ165" i="5"/>
  <c r="PF165" i="5"/>
  <c r="OJ165" i="5"/>
  <c r="OL165" i="5"/>
  <c r="OD165" i="5"/>
  <c r="PD165" i="5"/>
  <c r="OT165" i="5"/>
  <c r="ON165" i="5"/>
  <c r="OP165" i="5"/>
  <c r="PH165" i="5"/>
  <c r="OR165" i="5"/>
  <c r="OQ165" i="5"/>
  <c r="OU165" i="5"/>
  <c r="OW165" i="5"/>
  <c r="OG165" i="5"/>
  <c r="CJ165" i="5" s="1"/>
  <c r="OI165" i="5"/>
  <c r="OY165" i="5"/>
  <c r="PA165" i="5"/>
  <c r="OK165" i="5"/>
  <c r="OM165" i="5"/>
  <c r="PC165" i="5"/>
  <c r="PE165" i="5"/>
  <c r="OO165" i="5"/>
  <c r="OE165" i="5"/>
  <c r="PG165" i="5"/>
  <c r="OX165" i="5"/>
  <c r="OS165" i="5"/>
  <c r="OB165" i="5"/>
  <c r="OV165" i="5"/>
  <c r="PB165" i="5"/>
  <c r="OF165" i="5"/>
  <c r="OH165" i="5"/>
  <c r="OC165" i="5"/>
  <c r="OA165" i="5"/>
  <c r="IH165" i="5"/>
  <c r="II165" i="5" s="1"/>
  <c r="GG165" i="5"/>
  <c r="FO165" i="5"/>
  <c r="FR165" i="5"/>
  <c r="GD165" i="5"/>
  <c r="GU165" i="5"/>
  <c r="GV165" i="5" s="1"/>
  <c r="GA165" i="5"/>
  <c r="FI165" i="5"/>
  <c r="FG165" i="5" s="1"/>
  <c r="FL165" i="5"/>
  <c r="ET165" i="5"/>
  <c r="EY165" i="5"/>
  <c r="HZ165" i="5"/>
  <c r="FC165" i="5"/>
  <c r="FX165" i="5"/>
  <c r="GP165" i="5"/>
  <c r="DU165" i="5"/>
  <c r="EO165" i="5"/>
  <c r="EQ165" i="5" s="1"/>
  <c r="DW165" i="5"/>
  <c r="NI165" i="5" s="1"/>
  <c r="CN165" i="5"/>
  <c r="DC165" i="5" s="1"/>
  <c r="HL165" i="5" s="1"/>
  <c r="QR165" i="5"/>
  <c r="PI165" i="5"/>
  <c r="NN172" i="5"/>
  <c r="HI178" i="5"/>
  <c r="OU207" i="5"/>
  <c r="OW207" i="5"/>
  <c r="OM207" i="5"/>
  <c r="OE207" i="5"/>
  <c r="OY207" i="5"/>
  <c r="PA207" i="5"/>
  <c r="OQ207" i="5"/>
  <c r="OJ207" i="5"/>
  <c r="PC207" i="5"/>
  <c r="PE207" i="5"/>
  <c r="OK207" i="5"/>
  <c r="OB207" i="5"/>
  <c r="PG207" i="5"/>
  <c r="OS207" i="5"/>
  <c r="OR207" i="5"/>
  <c r="OT207" i="5"/>
  <c r="OV207" i="5"/>
  <c r="OH207" i="5"/>
  <c r="OF207" i="5"/>
  <c r="OC207" i="5"/>
  <c r="OX207" i="5"/>
  <c r="OZ207" i="5"/>
  <c r="OL207" i="5"/>
  <c r="ON207" i="5"/>
  <c r="OD207" i="5"/>
  <c r="PB207" i="5"/>
  <c r="PD207" i="5"/>
  <c r="OP207" i="5"/>
  <c r="OG207" i="5"/>
  <c r="PF207" i="5"/>
  <c r="PH207" i="5"/>
  <c r="OI207" i="5"/>
  <c r="OO207" i="5"/>
  <c r="OA207" i="5"/>
  <c r="CN16" i="5"/>
  <c r="CW16" i="5" s="1"/>
  <c r="JE62" i="5"/>
  <c r="ND208" i="5"/>
  <c r="HI208" i="5" s="1"/>
  <c r="NT148" i="5"/>
  <c r="NV148" i="5" s="1"/>
  <c r="ND148" i="5"/>
  <c r="HI148" i="5" s="1"/>
  <c r="DW205" i="5"/>
  <c r="NI205" i="5" s="1"/>
  <c r="CN205" i="5"/>
  <c r="DC205" i="5" s="1"/>
  <c r="HL205" i="5" s="1"/>
  <c r="PI205" i="5"/>
  <c r="QR205" i="5"/>
  <c r="PG205" i="5"/>
  <c r="OT205" i="5"/>
  <c r="OR205" i="5"/>
  <c r="OI205" i="5"/>
  <c r="OV205" i="5"/>
  <c r="OX205" i="5"/>
  <c r="OG205" i="5"/>
  <c r="OQ205" i="5"/>
  <c r="OZ205" i="5"/>
  <c r="PB205" i="5"/>
  <c r="OK205" i="5"/>
  <c r="OL205" i="5"/>
  <c r="PD205" i="5"/>
  <c r="PF205" i="5"/>
  <c r="OO205" i="5"/>
  <c r="OE205" i="5"/>
  <c r="PH205" i="5"/>
  <c r="OS205" i="5"/>
  <c r="OB205" i="5"/>
  <c r="OU205" i="5"/>
  <c r="OW205" i="5"/>
  <c r="OF205" i="5"/>
  <c r="CJ205" i="5" s="1"/>
  <c r="OM205" i="5"/>
  <c r="OC205" i="5"/>
  <c r="OY205" i="5"/>
  <c r="PA205" i="5"/>
  <c r="OJ205" i="5"/>
  <c r="OH205" i="5"/>
  <c r="OD205" i="5"/>
  <c r="PC205" i="5"/>
  <c r="PE205" i="5"/>
  <c r="ON205" i="5"/>
  <c r="OP205" i="5"/>
  <c r="OA205" i="5"/>
  <c r="BT205" i="5"/>
  <c r="IH205" i="5" s="1"/>
  <c r="II205" i="5" s="1"/>
  <c r="IE205" i="5" s="1"/>
  <c r="NX205" i="5" s="1"/>
  <c r="BT203" i="5"/>
  <c r="FL203" i="5" s="1"/>
  <c r="NS206" i="5"/>
  <c r="NU206" i="5" s="1"/>
  <c r="MY172" i="5"/>
  <c r="NR172" i="5"/>
  <c r="NO172" i="5"/>
  <c r="ND206" i="5"/>
  <c r="HI206" i="5" s="1"/>
  <c r="ND179" i="5"/>
  <c r="HI179" i="5" s="1"/>
  <c r="PG172" i="5"/>
  <c r="PF172" i="5"/>
  <c r="OJ172" i="5"/>
  <c r="OL172" i="5"/>
  <c r="OD172" i="5"/>
  <c r="OV172" i="5"/>
  <c r="OT172" i="5"/>
  <c r="ON172" i="5"/>
  <c r="OP172" i="5"/>
  <c r="OM172" i="5"/>
  <c r="OZ172" i="5"/>
  <c r="OX172" i="5"/>
  <c r="OR172" i="5"/>
  <c r="OQ172" i="5"/>
  <c r="OA172" i="5"/>
  <c r="PC172" i="5"/>
  <c r="OH172" i="5"/>
  <c r="PD172" i="5"/>
  <c r="PB172" i="5"/>
  <c r="OG172" i="5"/>
  <c r="OI172" i="5"/>
  <c r="PH172" i="5"/>
  <c r="OK172" i="5"/>
  <c r="CJ172" i="5" s="1"/>
  <c r="OE172" i="5"/>
  <c r="OU172" i="5"/>
  <c r="OW172" i="5"/>
  <c r="OO172" i="5"/>
  <c r="OB172" i="5"/>
  <c r="PE172" i="5"/>
  <c r="OY172" i="5"/>
  <c r="PA172" i="5"/>
  <c r="OS172" i="5"/>
  <c r="OC172" i="5"/>
  <c r="OF172" i="5"/>
  <c r="DW172" i="5"/>
  <c r="NI172" i="5" s="1"/>
  <c r="CN172" i="5"/>
  <c r="QR172" i="5"/>
  <c r="PI172" i="5"/>
  <c r="BT131" i="5"/>
  <c r="FI131" i="5" s="1"/>
  <c r="FG131" i="5" s="1"/>
  <c r="CN149" i="5"/>
  <c r="DC149" i="5" s="1"/>
  <c r="HL149" i="5" s="1"/>
  <c r="NR101" i="5"/>
  <c r="ND188" i="5"/>
  <c r="HI188" i="5" s="1"/>
  <c r="DW203" i="5"/>
  <c r="NI203" i="5" s="1"/>
  <c r="CN203" i="5"/>
  <c r="PI203" i="5"/>
  <c r="QR203" i="5"/>
  <c r="PA203" i="5"/>
  <c r="PC203" i="5"/>
  <c r="OK203" i="5"/>
  <c r="CJ203" i="5" s="1"/>
  <c r="OE203" i="5"/>
  <c r="PE203" i="5"/>
  <c r="PG203" i="5"/>
  <c r="OO203" i="5"/>
  <c r="OP203" i="5"/>
  <c r="OT203" i="5"/>
  <c r="PH203" i="5"/>
  <c r="OS203" i="5"/>
  <c r="OB203" i="5"/>
  <c r="OX203" i="5"/>
  <c r="OV203" i="5"/>
  <c r="OF203" i="5"/>
  <c r="OI203" i="5"/>
  <c r="OC203" i="5"/>
  <c r="PB203" i="5"/>
  <c r="OZ203" i="5"/>
  <c r="OJ203" i="5"/>
  <c r="OQ203" i="5"/>
  <c r="OD203" i="5"/>
  <c r="PF203" i="5"/>
  <c r="PD203" i="5"/>
  <c r="ON203" i="5"/>
  <c r="OL203" i="5"/>
  <c r="OU203" i="5"/>
  <c r="OR203" i="5"/>
  <c r="OM203" i="5"/>
  <c r="OW203" i="5"/>
  <c r="OY203" i="5"/>
  <c r="OG203" i="5"/>
  <c r="OH203" i="5"/>
  <c r="OA203" i="5"/>
  <c r="NO144" i="5"/>
  <c r="NN144" i="5"/>
  <c r="MY144" i="5"/>
  <c r="NR144" i="5"/>
  <c r="MY101" i="5"/>
  <c r="ND152" i="5"/>
  <c r="DW144" i="5"/>
  <c r="NI144" i="5" s="1"/>
  <c r="CN144" i="5"/>
  <c r="QR144" i="5"/>
  <c r="PI144" i="5"/>
  <c r="CJ144" i="5"/>
  <c r="PB144" i="5"/>
  <c r="PD144" i="5"/>
  <c r="OL144" i="5"/>
  <c r="OR144" i="5"/>
  <c r="OD144" i="5"/>
  <c r="PF144" i="5"/>
  <c r="PH144" i="5"/>
  <c r="OP144" i="5"/>
  <c r="OG144" i="5"/>
  <c r="OU144" i="5"/>
  <c r="OW144" i="5"/>
  <c r="OI144" i="5"/>
  <c r="OK144" i="5"/>
  <c r="OA144" i="5"/>
  <c r="OY144" i="5"/>
  <c r="PA144" i="5"/>
  <c r="OM144" i="5"/>
  <c r="OO144" i="5"/>
  <c r="PC144" i="5"/>
  <c r="PE144" i="5"/>
  <c r="OQ144" i="5"/>
  <c r="OE144" i="5"/>
  <c r="PG144" i="5"/>
  <c r="OF144" i="5"/>
  <c r="OB144" i="5"/>
  <c r="OT144" i="5"/>
  <c r="OV144" i="5"/>
  <c r="OJ144" i="5"/>
  <c r="OS144" i="5"/>
  <c r="OX144" i="5"/>
  <c r="OZ144" i="5"/>
  <c r="OH144" i="5"/>
  <c r="ON144" i="5"/>
  <c r="OC144" i="5"/>
  <c r="IE144" i="5"/>
  <c r="NX144" i="5" s="1"/>
  <c r="FC144" i="5"/>
  <c r="EO144" i="5"/>
  <c r="EQ144" i="5" s="1"/>
  <c r="HZ144" i="5"/>
  <c r="GU144" i="5"/>
  <c r="GV144" i="5" s="1"/>
  <c r="GP144" i="5"/>
  <c r="FX144" i="5"/>
  <c r="EY144" i="5"/>
  <c r="FI144" i="5"/>
  <c r="FG144" i="5" s="1"/>
  <c r="GA144" i="5"/>
  <c r="FL144" i="5"/>
  <c r="DU144" i="5"/>
  <c r="FO144" i="5"/>
  <c r="ET144" i="5"/>
  <c r="GD144" i="5"/>
  <c r="GG144" i="5"/>
  <c r="FR144" i="5"/>
  <c r="IH144" i="5"/>
  <c r="II144" i="5" s="1"/>
  <c r="EZ101" i="5"/>
  <c r="DW101" i="5"/>
  <c r="NI101" i="5" s="1"/>
  <c r="CN101" i="5"/>
  <c r="QR101" i="5"/>
  <c r="PI101" i="5"/>
  <c r="OU101" i="5"/>
  <c r="OW101" i="5"/>
  <c r="OP101" i="5"/>
  <c r="OK101" i="5"/>
  <c r="OY101" i="5"/>
  <c r="PA101" i="5"/>
  <c r="OI101" i="5"/>
  <c r="OO101" i="5"/>
  <c r="PC101" i="5"/>
  <c r="PE101" i="5"/>
  <c r="OM101" i="5"/>
  <c r="OS101" i="5"/>
  <c r="PG101" i="5"/>
  <c r="OQ101" i="5"/>
  <c r="OE101" i="5"/>
  <c r="OT101" i="5"/>
  <c r="OV101" i="5"/>
  <c r="OF101" i="5"/>
  <c r="OG101" i="5"/>
  <c r="OX101" i="5"/>
  <c r="OZ101" i="5"/>
  <c r="OJ101" i="5"/>
  <c r="OB101" i="5"/>
  <c r="OA101" i="5"/>
  <c r="PB101" i="5"/>
  <c r="PD101" i="5"/>
  <c r="OH101" i="5"/>
  <c r="ON101" i="5"/>
  <c r="OC101" i="5"/>
  <c r="CJ101" i="5" s="1"/>
  <c r="PF101" i="5"/>
  <c r="PH101" i="5"/>
  <c r="OL101" i="5"/>
  <c r="OR101" i="5"/>
  <c r="OD101" i="5"/>
  <c r="FX101" i="5"/>
  <c r="FI101" i="5"/>
  <c r="FG101" i="5" s="1"/>
  <c r="FC101" i="5"/>
  <c r="EY101" i="5"/>
  <c r="EO101" i="5"/>
  <c r="EQ101" i="5" s="1"/>
  <c r="HZ101" i="5"/>
  <c r="GU101" i="5"/>
  <c r="GV101" i="5" s="1"/>
  <c r="GP101" i="5"/>
  <c r="FO101" i="5"/>
  <c r="DU101" i="5"/>
  <c r="ET101" i="5"/>
  <c r="FR101" i="5"/>
  <c r="FL101" i="5"/>
  <c r="GA101" i="5"/>
  <c r="GG101" i="5"/>
  <c r="GD101" i="5"/>
  <c r="IH101" i="5"/>
  <c r="II101" i="5" s="1"/>
  <c r="IE101" i="5" s="1"/>
  <c r="NX101" i="5" s="1"/>
  <c r="HI163" i="5"/>
  <c r="MY149" i="5"/>
  <c r="NN149" i="5"/>
  <c r="NO149" i="5"/>
  <c r="HR162" i="5"/>
  <c r="CN93" i="5"/>
  <c r="CZ93" i="5" s="1"/>
  <c r="NQ61" i="5"/>
  <c r="BT12" i="5"/>
  <c r="EY12" i="5" s="1"/>
  <c r="JO62" i="5"/>
  <c r="BT130" i="5"/>
  <c r="HZ130" i="5" s="1"/>
  <c r="HI182" i="5"/>
  <c r="HR183" i="5"/>
  <c r="HR181" i="5"/>
  <c r="IE130" i="5"/>
  <c r="NX130" i="5" s="1"/>
  <c r="HR174" i="5"/>
  <c r="HK149" i="5"/>
  <c r="HR149" i="5" s="1"/>
  <c r="HK20" i="5"/>
  <c r="HR20" i="5" s="1"/>
  <c r="HK75" i="5"/>
  <c r="HR75" i="5" s="1"/>
  <c r="HK9" i="5"/>
  <c r="HR9" i="5" s="1"/>
  <c r="HK129" i="5"/>
  <c r="HR129" i="5" s="1"/>
  <c r="HI166" i="5"/>
  <c r="OZ86" i="5"/>
  <c r="HK86" i="5"/>
  <c r="HR86" i="5" s="1"/>
  <c r="NR130" i="5"/>
  <c r="IE60" i="5"/>
  <c r="NX60" i="5" s="1"/>
  <c r="HK57" i="5"/>
  <c r="HR57" i="5" s="1"/>
  <c r="HK60" i="5"/>
  <c r="HR60" i="5" s="1"/>
  <c r="IE129" i="5"/>
  <c r="NX129" i="5" s="1"/>
  <c r="HK42" i="5"/>
  <c r="HR42" i="5" s="1"/>
  <c r="HK25" i="5"/>
  <c r="HR25" i="5" s="1"/>
  <c r="CN34" i="5"/>
  <c r="CW34" i="5" s="1"/>
  <c r="NN131" i="5"/>
  <c r="HK6" i="5"/>
  <c r="HR6" i="5" s="1"/>
  <c r="HK54" i="5"/>
  <c r="HR54" i="5" s="1"/>
  <c r="CN107" i="5"/>
  <c r="DC107" i="5" s="1"/>
  <c r="HL107" i="5" s="1"/>
  <c r="CN57" i="5"/>
  <c r="DC57" i="5" s="1"/>
  <c r="HL57" i="5" s="1"/>
  <c r="NO131" i="5"/>
  <c r="IE22" i="5"/>
  <c r="HK34" i="5"/>
  <c r="HR34" i="5" s="1"/>
  <c r="HK95" i="5"/>
  <c r="HR95" i="5" s="1"/>
  <c r="CN39" i="5"/>
  <c r="CW39" i="5" s="1"/>
  <c r="HK131" i="5"/>
  <c r="HR131" i="5" s="1"/>
  <c r="NO130" i="5"/>
  <c r="IE44" i="5"/>
  <c r="HK45" i="5"/>
  <c r="HR45" i="5" s="1"/>
  <c r="MY130" i="5"/>
  <c r="HK62" i="5"/>
  <c r="HR62" i="5" s="1"/>
  <c r="HK104" i="5"/>
  <c r="HR104" i="5" s="1"/>
  <c r="HK130" i="5"/>
  <c r="HR130" i="5" s="1"/>
  <c r="NN130" i="5"/>
  <c r="HZ34" i="5"/>
  <c r="GU34" i="5"/>
  <c r="GV34" i="5" s="1"/>
  <c r="GP34" i="5"/>
  <c r="GA34" i="5"/>
  <c r="FX34" i="5"/>
  <c r="FI34" i="5"/>
  <c r="FG34" i="5" s="1"/>
  <c r="FC34" i="5"/>
  <c r="EY34" i="5"/>
  <c r="EO34" i="5"/>
  <c r="EQ34" i="5" s="1"/>
  <c r="IH34" i="5"/>
  <c r="II34" i="5" s="1"/>
  <c r="HZ22" i="5"/>
  <c r="GU22" i="5"/>
  <c r="GV22" i="5" s="1"/>
  <c r="GP22" i="5"/>
  <c r="FX22" i="5"/>
  <c r="FI22" i="5"/>
  <c r="FG22" i="5" s="1"/>
  <c r="FC22" i="5"/>
  <c r="EY22" i="5"/>
  <c r="EO22" i="5"/>
  <c r="EQ22" i="5" s="1"/>
  <c r="IH22" i="5"/>
  <c r="II22" i="5" s="1"/>
  <c r="IH107" i="5"/>
  <c r="II107" i="5" s="1"/>
  <c r="IE107" i="5" s="1"/>
  <c r="NX107" i="5" s="1"/>
  <c r="HZ107" i="5"/>
  <c r="GU107" i="5"/>
  <c r="GV107" i="5" s="1"/>
  <c r="GP107" i="5"/>
  <c r="GA107" i="5"/>
  <c r="FX107" i="5"/>
  <c r="FI107" i="5"/>
  <c r="FG107" i="5" s="1"/>
  <c r="FC107" i="5"/>
  <c r="EO107" i="5"/>
  <c r="EQ107" i="5" s="1"/>
  <c r="EY107" i="5"/>
  <c r="HZ54" i="5"/>
  <c r="GU54" i="5"/>
  <c r="GV54" i="5" s="1"/>
  <c r="GP54" i="5"/>
  <c r="FX54" i="5"/>
  <c r="FI54" i="5"/>
  <c r="FG54" i="5" s="1"/>
  <c r="FC54" i="5"/>
  <c r="EY54" i="5"/>
  <c r="EO54" i="5"/>
  <c r="EQ54" i="5" s="1"/>
  <c r="IH54" i="5"/>
  <c r="II54" i="5" s="1"/>
  <c r="IH14" i="5"/>
  <c r="II14" i="5" s="1"/>
  <c r="IE14" i="5" s="1"/>
  <c r="HZ14" i="5"/>
  <c r="GU14" i="5"/>
  <c r="GV14" i="5" s="1"/>
  <c r="GP14" i="5"/>
  <c r="FX14" i="5"/>
  <c r="FI14" i="5"/>
  <c r="FG14" i="5" s="1"/>
  <c r="FC14" i="5"/>
  <c r="EY14" i="5"/>
  <c r="EO14" i="5"/>
  <c r="EQ14" i="5" s="1"/>
  <c r="HZ86" i="5"/>
  <c r="GU86" i="5"/>
  <c r="GV86" i="5" s="1"/>
  <c r="GP86" i="5"/>
  <c r="GA86" i="5"/>
  <c r="FX86" i="5"/>
  <c r="FI86" i="5"/>
  <c r="FG86" i="5" s="1"/>
  <c r="EY86" i="5"/>
  <c r="FC86" i="5"/>
  <c r="EO86" i="5"/>
  <c r="EQ86" i="5" s="1"/>
  <c r="IH86" i="5"/>
  <c r="II86" i="5" s="1"/>
  <c r="IE86" i="5" s="1"/>
  <c r="NX86" i="5" s="1"/>
  <c r="HZ57" i="5"/>
  <c r="GP57" i="5"/>
  <c r="GU57" i="5"/>
  <c r="GV57" i="5" s="1"/>
  <c r="FX57" i="5"/>
  <c r="FC57" i="5"/>
  <c r="EY57" i="5"/>
  <c r="FI57" i="5"/>
  <c r="FG57" i="5" s="1"/>
  <c r="EO57" i="5"/>
  <c r="EQ57" i="5" s="1"/>
  <c r="IH57" i="5"/>
  <c r="II57" i="5" s="1"/>
  <c r="IE57" i="5" s="1"/>
  <c r="NX57" i="5" s="1"/>
  <c r="HZ45" i="5"/>
  <c r="GU45" i="5"/>
  <c r="GV45" i="5" s="1"/>
  <c r="GP45" i="5"/>
  <c r="FX45" i="5"/>
  <c r="FI45" i="5"/>
  <c r="FG45" i="5" s="1"/>
  <c r="EY45" i="5"/>
  <c r="FC45" i="5"/>
  <c r="EO45" i="5"/>
  <c r="EQ45" i="5" s="1"/>
  <c r="IH45" i="5"/>
  <c r="II45" i="5" s="1"/>
  <c r="IE45" i="5" s="1"/>
  <c r="IH39" i="5"/>
  <c r="II39" i="5" s="1"/>
  <c r="HZ39" i="5"/>
  <c r="GU39" i="5"/>
  <c r="GV39" i="5" s="1"/>
  <c r="GP39" i="5"/>
  <c r="GA39" i="5"/>
  <c r="FX39" i="5"/>
  <c r="FI39" i="5"/>
  <c r="FG39" i="5" s="1"/>
  <c r="EY39" i="5"/>
  <c r="FC39" i="5"/>
  <c r="EO39" i="5"/>
  <c r="EQ39" i="5" s="1"/>
  <c r="HZ16" i="5"/>
  <c r="GU16" i="5"/>
  <c r="GV16" i="5" s="1"/>
  <c r="GP16" i="5"/>
  <c r="GA16" i="5"/>
  <c r="FX16" i="5"/>
  <c r="EY16" i="5"/>
  <c r="FC16" i="5"/>
  <c r="FI16" i="5"/>
  <c r="FG16" i="5" s="1"/>
  <c r="EO16" i="5"/>
  <c r="EQ16" i="5" s="1"/>
  <c r="IH16" i="5"/>
  <c r="II16" i="5" s="1"/>
  <c r="IE16" i="5" s="1"/>
  <c r="IH95" i="5"/>
  <c r="II95" i="5" s="1"/>
  <c r="HZ95" i="5"/>
  <c r="GU95" i="5"/>
  <c r="GV95" i="5" s="1"/>
  <c r="GP95" i="5"/>
  <c r="FX95" i="5"/>
  <c r="FI95" i="5"/>
  <c r="FG95" i="5" s="1"/>
  <c r="EY95" i="5"/>
  <c r="FC95" i="5"/>
  <c r="EO95" i="5"/>
  <c r="EQ95" i="5" s="1"/>
  <c r="HZ42" i="5"/>
  <c r="GP42" i="5"/>
  <c r="GU42" i="5"/>
  <c r="GV42" i="5" s="1"/>
  <c r="GA42" i="5"/>
  <c r="FX42" i="5"/>
  <c r="FI42" i="5"/>
  <c r="FG42" i="5" s="1"/>
  <c r="EY42" i="5"/>
  <c r="FC42" i="5"/>
  <c r="EO42" i="5"/>
  <c r="EQ42" i="5" s="1"/>
  <c r="IH42" i="5"/>
  <c r="II42" i="5" s="1"/>
  <c r="IH31" i="5"/>
  <c r="II31" i="5" s="1"/>
  <c r="IE31" i="5" s="1"/>
  <c r="HZ31" i="5"/>
  <c r="GU31" i="5"/>
  <c r="GV31" i="5" s="1"/>
  <c r="GP31" i="5"/>
  <c r="FI31" i="5"/>
  <c r="FG31" i="5" s="1"/>
  <c r="FX31" i="5"/>
  <c r="EY31" i="5"/>
  <c r="FC31" i="5"/>
  <c r="EO31" i="5"/>
  <c r="EQ31" i="5" s="1"/>
  <c r="IH80" i="5"/>
  <c r="II80" i="5" s="1"/>
  <c r="HZ80" i="5"/>
  <c r="GU80" i="5"/>
  <c r="GV80" i="5" s="1"/>
  <c r="GP80" i="5"/>
  <c r="GA80" i="5"/>
  <c r="FX80" i="5"/>
  <c r="FI80" i="5"/>
  <c r="FG80" i="5" s="1"/>
  <c r="EY80" i="5"/>
  <c r="FC80" i="5"/>
  <c r="EO80" i="5"/>
  <c r="EQ80" i="5" s="1"/>
  <c r="IH62" i="5"/>
  <c r="II62" i="5" s="1"/>
  <c r="IE62" i="5" s="1"/>
  <c r="NX62" i="5" s="1"/>
  <c r="HZ62" i="5"/>
  <c r="GU62" i="5"/>
  <c r="GV62" i="5" s="1"/>
  <c r="GP62" i="5"/>
  <c r="FX62" i="5"/>
  <c r="FI62" i="5"/>
  <c r="FG62" i="5" s="1"/>
  <c r="FC62" i="5"/>
  <c r="EY62" i="5"/>
  <c r="EO62" i="5"/>
  <c r="EQ62" i="5" s="1"/>
  <c r="HZ44" i="5"/>
  <c r="GU44" i="5"/>
  <c r="GV44" i="5" s="1"/>
  <c r="GP44" i="5"/>
  <c r="FX44" i="5"/>
  <c r="FI44" i="5"/>
  <c r="FG44" i="5" s="1"/>
  <c r="FC44" i="5"/>
  <c r="EY44" i="5"/>
  <c r="EO44" i="5"/>
  <c r="EQ44" i="5" s="1"/>
  <c r="IH44" i="5"/>
  <c r="II44" i="5" s="1"/>
  <c r="IH15" i="5"/>
  <c r="II15" i="5" s="1"/>
  <c r="IE15" i="5" s="1"/>
  <c r="HZ15" i="5"/>
  <c r="GU15" i="5"/>
  <c r="GV15" i="5" s="1"/>
  <c r="GP15" i="5"/>
  <c r="FX15" i="5"/>
  <c r="FI15" i="5"/>
  <c r="FG15" i="5" s="1"/>
  <c r="EY15" i="5"/>
  <c r="FC15" i="5"/>
  <c r="EO15" i="5"/>
  <c r="EQ15" i="5" s="1"/>
  <c r="HZ93" i="5"/>
  <c r="GU93" i="5"/>
  <c r="GV93" i="5" s="1"/>
  <c r="GP93" i="5"/>
  <c r="FX93" i="5"/>
  <c r="FI93" i="5"/>
  <c r="FG93" i="5" s="1"/>
  <c r="FC93" i="5"/>
  <c r="EY93" i="5"/>
  <c r="EO93" i="5"/>
  <c r="EQ93" i="5" s="1"/>
  <c r="IH93" i="5"/>
  <c r="II93" i="5" s="1"/>
  <c r="IH23" i="5"/>
  <c r="II23" i="5" s="1"/>
  <c r="HZ23" i="5"/>
  <c r="GU23" i="5"/>
  <c r="GV23" i="5" s="1"/>
  <c r="GP23" i="5"/>
  <c r="FI23" i="5"/>
  <c r="FG23" i="5" s="1"/>
  <c r="FX23" i="5"/>
  <c r="EY23" i="5"/>
  <c r="FC23" i="5"/>
  <c r="EO23" i="5"/>
  <c r="EQ23" i="5" s="1"/>
  <c r="IH30" i="5"/>
  <c r="II30" i="5" s="1"/>
  <c r="IE30" i="5" s="1"/>
  <c r="HZ30" i="5"/>
  <c r="GU30" i="5"/>
  <c r="GV30" i="5" s="1"/>
  <c r="GP30" i="5"/>
  <c r="GA30" i="5"/>
  <c r="FX30" i="5"/>
  <c r="FI30" i="5"/>
  <c r="FG30" i="5" s="1"/>
  <c r="EY30" i="5"/>
  <c r="FC30" i="5"/>
  <c r="EO30" i="5"/>
  <c r="EQ30" i="5" s="1"/>
  <c r="HZ25" i="5"/>
  <c r="GU25" i="5"/>
  <c r="GV25" i="5" s="1"/>
  <c r="GP25" i="5"/>
  <c r="FX25" i="5"/>
  <c r="FI25" i="5"/>
  <c r="FG25" i="5" s="1"/>
  <c r="FC25" i="5"/>
  <c r="EY25" i="5"/>
  <c r="EO25" i="5"/>
  <c r="EQ25" i="5" s="1"/>
  <c r="IH25" i="5"/>
  <c r="II25" i="5" s="1"/>
  <c r="HZ84" i="5"/>
  <c r="GU84" i="5"/>
  <c r="GV84" i="5" s="1"/>
  <c r="GP84" i="5"/>
  <c r="FX84" i="5"/>
  <c r="FC84" i="5"/>
  <c r="EY84" i="5"/>
  <c r="FI84" i="5"/>
  <c r="FG84" i="5" s="1"/>
  <c r="EO84" i="5"/>
  <c r="EQ84" i="5" s="1"/>
  <c r="IH84" i="5"/>
  <c r="II84" i="5" s="1"/>
  <c r="IE84" i="5" s="1"/>
  <c r="NX84" i="5" s="1"/>
  <c r="HZ60" i="5"/>
  <c r="GU60" i="5"/>
  <c r="GV60" i="5" s="1"/>
  <c r="GP60" i="5"/>
  <c r="FX60" i="5"/>
  <c r="FI60" i="5"/>
  <c r="FG60" i="5" s="1"/>
  <c r="FC60" i="5"/>
  <c r="EY60" i="5"/>
  <c r="EO60" i="5"/>
  <c r="EQ60" i="5" s="1"/>
  <c r="IH60" i="5"/>
  <c r="II60" i="5" s="1"/>
  <c r="HZ9" i="5"/>
  <c r="GU9" i="5"/>
  <c r="GV9" i="5" s="1"/>
  <c r="GP9" i="5"/>
  <c r="FX9" i="5"/>
  <c r="FI9" i="5"/>
  <c r="FG9" i="5" s="1"/>
  <c r="FC9" i="5"/>
  <c r="EY9" i="5"/>
  <c r="EO9" i="5"/>
  <c r="EQ9" i="5" s="1"/>
  <c r="IH9" i="5"/>
  <c r="II9" i="5" s="1"/>
  <c r="IE9" i="5" s="1"/>
  <c r="HZ129" i="5"/>
  <c r="GU129" i="5"/>
  <c r="GV129" i="5" s="1"/>
  <c r="GP129" i="5"/>
  <c r="GA129" i="5"/>
  <c r="FX129" i="5"/>
  <c r="FL129" i="5"/>
  <c r="FC129" i="5"/>
  <c r="EO129" i="5"/>
  <c r="EQ129" i="5" s="1"/>
  <c r="EY129" i="5"/>
  <c r="FI129" i="5"/>
  <c r="FG129" i="5" s="1"/>
  <c r="IH129" i="5"/>
  <c r="II129" i="5" s="1"/>
  <c r="HZ20" i="5"/>
  <c r="GU20" i="5"/>
  <c r="GV20" i="5" s="1"/>
  <c r="GP20" i="5"/>
  <c r="FX20" i="5"/>
  <c r="FI20" i="5"/>
  <c r="FG20" i="5" s="1"/>
  <c r="EY20" i="5"/>
  <c r="FC20" i="5"/>
  <c r="EO20" i="5"/>
  <c r="EQ20" i="5" s="1"/>
  <c r="IH20" i="5"/>
  <c r="II20" i="5" s="1"/>
  <c r="IH104" i="5"/>
  <c r="II104" i="5" s="1"/>
  <c r="IE104" i="5" s="1"/>
  <c r="NX104" i="5" s="1"/>
  <c r="HZ104" i="5"/>
  <c r="GU104" i="5"/>
  <c r="GV104" i="5" s="1"/>
  <c r="GP104" i="5"/>
  <c r="FX104" i="5"/>
  <c r="GA104" i="5"/>
  <c r="FI104" i="5"/>
  <c r="FG104" i="5" s="1"/>
  <c r="FC104" i="5"/>
  <c r="EY104" i="5"/>
  <c r="EO104" i="5"/>
  <c r="EQ104" i="5" s="1"/>
  <c r="IH75" i="5"/>
  <c r="II75" i="5" s="1"/>
  <c r="IE75" i="5" s="1"/>
  <c r="NX75" i="5" s="1"/>
  <c r="HZ75" i="5"/>
  <c r="GU75" i="5"/>
  <c r="GV75" i="5" s="1"/>
  <c r="GP75" i="5"/>
  <c r="GA75" i="5"/>
  <c r="FX75" i="5"/>
  <c r="FI75" i="5"/>
  <c r="FG75" i="5" s="1"/>
  <c r="EY75" i="5"/>
  <c r="FC75" i="5"/>
  <c r="EO75" i="5"/>
  <c r="EQ75" i="5" s="1"/>
  <c r="HZ52" i="5"/>
  <c r="GU52" i="5"/>
  <c r="GV52" i="5" s="1"/>
  <c r="GA52" i="5"/>
  <c r="GP52" i="5"/>
  <c r="FX52" i="5"/>
  <c r="FI52" i="5"/>
  <c r="FG52" i="5" s="1"/>
  <c r="FC52" i="5"/>
  <c r="EY52" i="5"/>
  <c r="EO52" i="5"/>
  <c r="EQ52" i="5" s="1"/>
  <c r="IH52" i="5"/>
  <c r="II52" i="5" s="1"/>
  <c r="HZ6" i="5"/>
  <c r="GU6" i="5"/>
  <c r="GV6" i="5" s="1"/>
  <c r="GP6" i="5"/>
  <c r="FX6" i="5"/>
  <c r="FI6" i="5"/>
  <c r="FG6" i="5" s="1"/>
  <c r="FC6" i="5"/>
  <c r="EY6" i="5"/>
  <c r="EO6" i="5"/>
  <c r="EQ6" i="5" s="1"/>
  <c r="IH6" i="5"/>
  <c r="II6" i="5" s="1"/>
  <c r="GG54" i="5"/>
  <c r="IE54" i="5"/>
  <c r="NX54" i="5" s="1"/>
  <c r="GG9" i="5"/>
  <c r="GG57" i="5"/>
  <c r="GG95" i="5"/>
  <c r="IE95" i="5"/>
  <c r="NX95" i="5" s="1"/>
  <c r="GG42" i="5"/>
  <c r="IE42" i="5"/>
  <c r="NX42" i="5" s="1"/>
  <c r="IE149" i="5"/>
  <c r="NX149" i="5" s="1"/>
  <c r="GG16" i="5"/>
  <c r="GG30" i="5"/>
  <c r="NO12" i="5"/>
  <c r="IE12" i="5"/>
  <c r="NX12" i="5" s="1"/>
  <c r="GG52" i="5"/>
  <c r="IE52" i="5"/>
  <c r="NX52" i="5" s="1"/>
  <c r="GG39" i="5"/>
  <c r="GG80" i="5"/>
  <c r="IE80" i="5"/>
  <c r="NX80" i="5" s="1"/>
  <c r="GG107" i="5"/>
  <c r="GG34" i="5"/>
  <c r="GG75" i="5"/>
  <c r="NO9" i="5"/>
  <c r="GD15" i="5"/>
  <c r="GG15" i="5"/>
  <c r="GD22" i="5"/>
  <c r="GG22" i="5"/>
  <c r="GD31" i="5"/>
  <c r="GG31" i="5"/>
  <c r="GD104" i="5"/>
  <c r="GG104" i="5"/>
  <c r="GD44" i="5"/>
  <c r="GG44" i="5"/>
  <c r="GD25" i="5"/>
  <c r="GG25" i="5"/>
  <c r="GD86" i="5"/>
  <c r="GG86" i="5"/>
  <c r="GD23" i="5"/>
  <c r="GG23" i="5"/>
  <c r="GD45" i="5"/>
  <c r="GG45" i="5"/>
  <c r="GD20" i="5"/>
  <c r="GG20" i="5"/>
  <c r="GD84" i="5"/>
  <c r="GG84" i="5"/>
  <c r="GD93" i="5"/>
  <c r="GG93" i="5"/>
  <c r="GD14" i="5"/>
  <c r="GG14" i="5"/>
  <c r="GD60" i="5"/>
  <c r="GG60" i="5"/>
  <c r="GD6" i="5"/>
  <c r="GG6" i="5"/>
  <c r="GD129" i="5"/>
  <c r="GG129" i="5"/>
  <c r="GD62" i="5"/>
  <c r="GG62" i="5"/>
  <c r="GA54" i="5"/>
  <c r="GD54" i="5"/>
  <c r="GA9" i="5"/>
  <c r="GD9" i="5"/>
  <c r="GA57" i="5"/>
  <c r="GD57" i="5"/>
  <c r="GA95" i="5"/>
  <c r="GD95" i="5"/>
  <c r="FR42" i="5"/>
  <c r="GD42" i="5"/>
  <c r="FR16" i="5"/>
  <c r="GD16" i="5"/>
  <c r="FR30" i="5"/>
  <c r="GD30" i="5"/>
  <c r="FR52" i="5"/>
  <c r="GD52" i="5"/>
  <c r="FR39" i="5"/>
  <c r="GD39" i="5"/>
  <c r="FR80" i="5"/>
  <c r="GD80" i="5"/>
  <c r="FR107" i="5"/>
  <c r="GD107" i="5"/>
  <c r="FR34" i="5"/>
  <c r="GD34" i="5"/>
  <c r="FR75" i="5"/>
  <c r="GD75" i="5"/>
  <c r="FR15" i="5"/>
  <c r="GA15" i="5"/>
  <c r="FR22" i="5"/>
  <c r="GA22" i="5"/>
  <c r="FR31" i="5"/>
  <c r="GA31" i="5"/>
  <c r="FR44" i="5"/>
  <c r="GA44" i="5"/>
  <c r="FR25" i="5"/>
  <c r="GA25" i="5"/>
  <c r="FR23" i="5"/>
  <c r="GA23" i="5"/>
  <c r="FR45" i="5"/>
  <c r="GA45" i="5"/>
  <c r="FR20" i="5"/>
  <c r="GA20" i="5"/>
  <c r="FR84" i="5"/>
  <c r="GA84" i="5"/>
  <c r="FR93" i="5"/>
  <c r="GA93" i="5"/>
  <c r="FR14" i="5"/>
  <c r="GA14" i="5"/>
  <c r="FR6" i="5"/>
  <c r="GA6" i="5"/>
  <c r="FR62" i="5"/>
  <c r="GA62" i="5"/>
  <c r="FO54" i="5"/>
  <c r="FR54" i="5"/>
  <c r="FO9" i="5"/>
  <c r="FR9" i="5"/>
  <c r="FO57" i="5"/>
  <c r="FR57" i="5"/>
  <c r="FO95" i="5"/>
  <c r="FR95" i="5"/>
  <c r="FO104" i="5"/>
  <c r="FR104" i="5"/>
  <c r="FO86" i="5"/>
  <c r="FR86" i="5"/>
  <c r="FO60" i="5"/>
  <c r="FR60" i="5"/>
  <c r="FO129" i="5"/>
  <c r="FR129" i="5"/>
  <c r="FL15" i="5"/>
  <c r="FO15" i="5"/>
  <c r="FL22" i="5"/>
  <c r="FO22" i="5"/>
  <c r="FL31" i="5"/>
  <c r="FO31" i="5"/>
  <c r="FL44" i="5"/>
  <c r="FO44" i="5"/>
  <c r="FL25" i="5"/>
  <c r="FO25" i="5"/>
  <c r="FL42" i="5"/>
  <c r="FO42" i="5"/>
  <c r="FL23" i="5"/>
  <c r="FO23" i="5"/>
  <c r="FL16" i="5"/>
  <c r="FO16" i="5"/>
  <c r="FL45" i="5"/>
  <c r="FO45" i="5"/>
  <c r="FL20" i="5"/>
  <c r="FO20" i="5"/>
  <c r="FL84" i="5"/>
  <c r="FO84" i="5"/>
  <c r="FL30" i="5"/>
  <c r="FO30" i="5"/>
  <c r="FL52" i="5"/>
  <c r="FO52" i="5"/>
  <c r="FL93" i="5"/>
  <c r="FO93" i="5"/>
  <c r="FL39" i="5"/>
  <c r="FO39" i="5"/>
  <c r="FL80" i="5"/>
  <c r="FO80" i="5"/>
  <c r="FL14" i="5"/>
  <c r="FO14" i="5"/>
  <c r="FL6" i="5"/>
  <c r="FO6" i="5"/>
  <c r="FL107" i="5"/>
  <c r="FO107" i="5"/>
  <c r="FL34" i="5"/>
  <c r="FO34" i="5"/>
  <c r="FL75" i="5"/>
  <c r="FO75" i="5"/>
  <c r="FL62" i="5"/>
  <c r="FO62" i="5"/>
  <c r="MY12" i="5"/>
  <c r="FL54" i="5"/>
  <c r="FL9" i="5"/>
  <c r="FL57" i="5"/>
  <c r="FL95" i="5"/>
  <c r="FL104" i="5"/>
  <c r="EZ86" i="5"/>
  <c r="FL86" i="5"/>
  <c r="FL60" i="5"/>
  <c r="EZ15" i="5"/>
  <c r="EZ22" i="5"/>
  <c r="EZ31" i="5"/>
  <c r="EZ44" i="5"/>
  <c r="EZ25" i="5"/>
  <c r="EZ42" i="5"/>
  <c r="EZ131" i="5"/>
  <c r="EZ23" i="5"/>
  <c r="EZ16" i="5"/>
  <c r="EZ45" i="5"/>
  <c r="EZ20" i="5"/>
  <c r="EZ84" i="5"/>
  <c r="EZ30" i="5"/>
  <c r="EZ130" i="5"/>
  <c r="EZ12" i="5"/>
  <c r="EZ52" i="5"/>
  <c r="EZ93" i="5"/>
  <c r="EZ39" i="5"/>
  <c r="EZ80" i="5"/>
  <c r="EZ14" i="5"/>
  <c r="EZ6" i="5"/>
  <c r="EZ129" i="5"/>
  <c r="EZ107" i="5"/>
  <c r="EZ34" i="5"/>
  <c r="EZ75" i="5"/>
  <c r="EZ62" i="5"/>
  <c r="ET54" i="5"/>
  <c r="EZ54" i="5"/>
  <c r="NN9" i="5"/>
  <c r="EZ9" i="5"/>
  <c r="DU129" i="5"/>
  <c r="ET129" i="5"/>
  <c r="DU9" i="5"/>
  <c r="ET9" i="5"/>
  <c r="DU107" i="5"/>
  <c r="ET107" i="5"/>
  <c r="DU95" i="5"/>
  <c r="ET95" i="5"/>
  <c r="DU23" i="5"/>
  <c r="ET23" i="5"/>
  <c r="DU52" i="5"/>
  <c r="ET52" i="5"/>
  <c r="DU34" i="5"/>
  <c r="ET34" i="5"/>
  <c r="DU22" i="5"/>
  <c r="ET22" i="5"/>
  <c r="DU16" i="5"/>
  <c r="ET16" i="5"/>
  <c r="DU93" i="5"/>
  <c r="ET93" i="5"/>
  <c r="DU75" i="5"/>
  <c r="ET75" i="5"/>
  <c r="DU57" i="5"/>
  <c r="ET57" i="5"/>
  <c r="DU45" i="5"/>
  <c r="ET45" i="5"/>
  <c r="DU39" i="5"/>
  <c r="ET39" i="5"/>
  <c r="DU15" i="5"/>
  <c r="ET15" i="5"/>
  <c r="DU104" i="5"/>
  <c r="ET104" i="5"/>
  <c r="DU86" i="5"/>
  <c r="ET86" i="5"/>
  <c r="DU80" i="5"/>
  <c r="ET80" i="5"/>
  <c r="DU62" i="5"/>
  <c r="ET62" i="5"/>
  <c r="DU44" i="5"/>
  <c r="ET44" i="5"/>
  <c r="DU20" i="5"/>
  <c r="ET20" i="5"/>
  <c r="DU14" i="5"/>
  <c r="ET14" i="5"/>
  <c r="DU31" i="5"/>
  <c r="ET31" i="5"/>
  <c r="DU25" i="5"/>
  <c r="ET25" i="5"/>
  <c r="DU84" i="5"/>
  <c r="ET84" i="5"/>
  <c r="DU60" i="5"/>
  <c r="ET60" i="5"/>
  <c r="DU42" i="5"/>
  <c r="ET42" i="5"/>
  <c r="DU30" i="5"/>
  <c r="ET30" i="5"/>
  <c r="DU6" i="5"/>
  <c r="ET6" i="5"/>
  <c r="NN12" i="5"/>
  <c r="NR9" i="5"/>
  <c r="NR54" i="5"/>
  <c r="DU54" i="5"/>
  <c r="CW86" i="5"/>
  <c r="CZ86" i="5"/>
  <c r="CW131" i="5"/>
  <c r="CZ80" i="5"/>
  <c r="CZ22" i="5"/>
  <c r="CW30" i="5"/>
  <c r="CZ30" i="5"/>
  <c r="NP149" i="5"/>
  <c r="BT149" i="5"/>
  <c r="NT112" i="5"/>
  <c r="NV112" i="5" s="1"/>
  <c r="NS68" i="5"/>
  <c r="NU68" i="5" s="1"/>
  <c r="HR12" i="5"/>
  <c r="ND112" i="5"/>
  <c r="NT35" i="5"/>
  <c r="NV35" i="5" s="1"/>
  <c r="NT63" i="5"/>
  <c r="NV63" i="5" s="1"/>
  <c r="NS112" i="5"/>
  <c r="NU112" i="5" s="1"/>
  <c r="NI149" i="5"/>
  <c r="PI149" i="5"/>
  <c r="QR149" i="5"/>
  <c r="OU149" i="5"/>
  <c r="OW149" i="5"/>
  <c r="OF149" i="5"/>
  <c r="OH149" i="5"/>
  <c r="OC149" i="5"/>
  <c r="OY149" i="5"/>
  <c r="PA149" i="5"/>
  <c r="OJ149" i="5"/>
  <c r="OL149" i="5"/>
  <c r="OD149" i="5"/>
  <c r="PC149" i="5"/>
  <c r="PE149" i="5"/>
  <c r="ON149" i="5"/>
  <c r="OP149" i="5"/>
  <c r="PG149" i="5"/>
  <c r="OX149" i="5"/>
  <c r="OR149" i="5"/>
  <c r="OQ149" i="5"/>
  <c r="OA149" i="5"/>
  <c r="OV149" i="5"/>
  <c r="PB149" i="5"/>
  <c r="OG149" i="5"/>
  <c r="OI149" i="5"/>
  <c r="OZ149" i="5"/>
  <c r="PF149" i="5"/>
  <c r="OK149" i="5"/>
  <c r="OE149" i="5"/>
  <c r="PD149" i="5"/>
  <c r="OT149" i="5"/>
  <c r="OO149" i="5"/>
  <c r="OB149" i="5"/>
  <c r="CJ149" i="5" s="1"/>
  <c r="PH149" i="5"/>
  <c r="OS149" i="5"/>
  <c r="OM149" i="5"/>
  <c r="ND87" i="5"/>
  <c r="HI87" i="5" s="1"/>
  <c r="NS78" i="5"/>
  <c r="NU78" i="5" s="1"/>
  <c r="NT55" i="5"/>
  <c r="NV55" i="5" s="1"/>
  <c r="ND142" i="5"/>
  <c r="HI142" i="5" s="1"/>
  <c r="NT138" i="5"/>
  <c r="NV138" i="5" s="1"/>
  <c r="ND102" i="5"/>
  <c r="HI102" i="5" s="1"/>
  <c r="NT70" i="5"/>
  <c r="NV70" i="5" s="1"/>
  <c r="NS159" i="5"/>
  <c r="NU159" i="5" s="1"/>
  <c r="NT159" i="5"/>
  <c r="NV159" i="5" s="1"/>
  <c r="NS46" i="5"/>
  <c r="NU46" i="5" s="1"/>
  <c r="NT106" i="5"/>
  <c r="NV106" i="5" s="1"/>
  <c r="ND46" i="5"/>
  <c r="HI46" i="5" s="1"/>
  <c r="ND97" i="5"/>
  <c r="HI97" i="5" s="1"/>
  <c r="ND11" i="5"/>
  <c r="HI11" i="5" s="1"/>
  <c r="NT114" i="5"/>
  <c r="NV114" i="5" s="1"/>
  <c r="NT66" i="5"/>
  <c r="NV66" i="5" s="1"/>
  <c r="NT10" i="5"/>
  <c r="NV10" i="5" s="1"/>
  <c r="NS134" i="5"/>
  <c r="NU134" i="5" s="1"/>
  <c r="NT154" i="5"/>
  <c r="NV154" i="5" s="1"/>
  <c r="ND70" i="5"/>
  <c r="HI70" i="5" s="1"/>
  <c r="NS138" i="5"/>
  <c r="NU138" i="5" s="1"/>
  <c r="ND113" i="5"/>
  <c r="HI113" i="5" s="1"/>
  <c r="ND59" i="5"/>
  <c r="HI59" i="5" s="1"/>
  <c r="NT136" i="5"/>
  <c r="NV136" i="5" s="1"/>
  <c r="ND28" i="5"/>
  <c r="HI28" i="5" s="1"/>
  <c r="NT189" i="5"/>
  <c r="NV189" i="5" s="1"/>
  <c r="NT49" i="5"/>
  <c r="NV49" i="5" s="1"/>
  <c r="NT11" i="5"/>
  <c r="NV11" i="5" s="1"/>
  <c r="NT32" i="5"/>
  <c r="NV32" i="5" s="1"/>
  <c r="NS120" i="5"/>
  <c r="NU120" i="5" s="1"/>
  <c r="ND66" i="5"/>
  <c r="NT59" i="5"/>
  <c r="NV59" i="5" s="1"/>
  <c r="NS135" i="5"/>
  <c r="NU135" i="5" s="1"/>
  <c r="ND51" i="5"/>
  <c r="HI51" i="5" s="1"/>
  <c r="NS41" i="5"/>
  <c r="NU41" i="5" s="1"/>
  <c r="NS69" i="5"/>
  <c r="NU69" i="5" s="1"/>
  <c r="NT153" i="5"/>
  <c r="NV153" i="5" s="1"/>
  <c r="NS114" i="5"/>
  <c r="NU114" i="5" s="1"/>
  <c r="NT157" i="5"/>
  <c r="NV157" i="5" s="1"/>
  <c r="NT134" i="5"/>
  <c r="NV134" i="5" s="1"/>
  <c r="NS81" i="5"/>
  <c r="NU81" i="5" s="1"/>
  <c r="NS10" i="5"/>
  <c r="NU10" i="5" s="1"/>
  <c r="ND50" i="5"/>
  <c r="HI50" i="5" s="1"/>
  <c r="NS50" i="5"/>
  <c r="NU50" i="5" s="1"/>
  <c r="NT120" i="5"/>
  <c r="NV120" i="5" s="1"/>
  <c r="NS158" i="5"/>
  <c r="NU158" i="5" s="1"/>
  <c r="NT113" i="5"/>
  <c r="NV113" i="5" s="1"/>
  <c r="NS113" i="5"/>
  <c r="NU113" i="5" s="1"/>
  <c r="ND110" i="5"/>
  <c r="HI110" i="5" s="1"/>
  <c r="ND114" i="5"/>
  <c r="HI114" i="5" s="1"/>
  <c r="ND38" i="5"/>
  <c r="HI38" i="5" s="1"/>
  <c r="NT38" i="5"/>
  <c r="NT87" i="5"/>
  <c r="NV87" i="5" s="1"/>
  <c r="ND10" i="5"/>
  <c r="HI10" i="5" s="1"/>
  <c r="NV38" i="5"/>
  <c r="NT140" i="5"/>
  <c r="NV140" i="5" s="1"/>
  <c r="ND68" i="5"/>
  <c r="HI68" i="5" s="1"/>
  <c r="ND37" i="5"/>
  <c r="HI37" i="5" s="1"/>
  <c r="ND13" i="5"/>
  <c r="HI13" i="5" s="1"/>
  <c r="NT51" i="5"/>
  <c r="NV51" i="5" s="1"/>
  <c r="NT132" i="5"/>
  <c r="NV132" i="5" s="1"/>
  <c r="NS132" i="5"/>
  <c r="NU132" i="5" s="1"/>
  <c r="NT105" i="5"/>
  <c r="NV105" i="5" s="1"/>
  <c r="ND92" i="5"/>
  <c r="ND55" i="5"/>
  <c r="HI55" i="5" s="1"/>
  <c r="NT81" i="5"/>
  <c r="NV81" i="5" s="1"/>
  <c r="ND72" i="5"/>
  <c r="HI72" i="5" s="1"/>
  <c r="NT158" i="5"/>
  <c r="NV158" i="5" s="1"/>
  <c r="NT135" i="5"/>
  <c r="NV135" i="5" s="1"/>
  <c r="NS105" i="5"/>
  <c r="NU105" i="5" s="1"/>
  <c r="ND127" i="5"/>
  <c r="HI127" i="5" s="1"/>
  <c r="ND35" i="5"/>
  <c r="HI35" i="5" s="1"/>
  <c r="NS136" i="5"/>
  <c r="NU136" i="5" s="1"/>
  <c r="NV17" i="5"/>
  <c r="NS28" i="5"/>
  <c r="NU28" i="5" s="1"/>
  <c r="NS189" i="5"/>
  <c r="NU189" i="5" s="1"/>
  <c r="NS140" i="5"/>
  <c r="NU140" i="5" s="1"/>
  <c r="NS87" i="5"/>
  <c r="NU87" i="5" s="1"/>
  <c r="NS154" i="5"/>
  <c r="NU154" i="5" s="1"/>
  <c r="ND41" i="5"/>
  <c r="HI41" i="5" s="1"/>
  <c r="NS153" i="5"/>
  <c r="NU153" i="5" s="1"/>
  <c r="ND78" i="5"/>
  <c r="HI78" i="5" s="1"/>
  <c r="NS157" i="5"/>
  <c r="NU157" i="5" s="1"/>
  <c r="NS106" i="5"/>
  <c r="NU106" i="5" s="1"/>
  <c r="OA45" i="5"/>
  <c r="NS72" i="5"/>
  <c r="NU72" i="5" s="1"/>
  <c r="ND65" i="5"/>
  <c r="HI65" i="5" s="1"/>
  <c r="ND103" i="5"/>
  <c r="HI103" i="5" s="1"/>
  <c r="NS65" i="5"/>
  <c r="NU65" i="5" s="1"/>
  <c r="ND49" i="5"/>
  <c r="HI49" i="5" s="1"/>
  <c r="ND32" i="5"/>
  <c r="HI32" i="5" s="1"/>
  <c r="ND189" i="5"/>
  <c r="HI189" i="5" s="1"/>
  <c r="ND116" i="5"/>
  <c r="HI116" i="5" s="1"/>
  <c r="NS51" i="5"/>
  <c r="NU51" i="5" s="1"/>
  <c r="ND106" i="5"/>
  <c r="HI106" i="5" s="1"/>
  <c r="NS38" i="5"/>
  <c r="NU38" i="5" s="1"/>
  <c r="ND125" i="5"/>
  <c r="HI125" i="5" s="1"/>
  <c r="ND153" i="5"/>
  <c r="HI153" i="5" s="1"/>
  <c r="ND47" i="5"/>
  <c r="HI47" i="5" s="1"/>
  <c r="NN54" i="5"/>
  <c r="ND136" i="5"/>
  <c r="HI136" i="5" s="1"/>
  <c r="ND138" i="5"/>
  <c r="HI138" i="5" s="1"/>
  <c r="ND135" i="5"/>
  <c r="HI135" i="5" s="1"/>
  <c r="ND74" i="5"/>
  <c r="HI74" i="5" s="1"/>
  <c r="NO54" i="5"/>
  <c r="ND100" i="5"/>
  <c r="HI100" i="5" s="1"/>
  <c r="ND140" i="5"/>
  <c r="HI140" i="5" s="1"/>
  <c r="ND132" i="5"/>
  <c r="HI132" i="5" s="1"/>
  <c r="ND81" i="5"/>
  <c r="HI81" i="5" s="1"/>
  <c r="NS59" i="5"/>
  <c r="NU59" i="5" s="1"/>
  <c r="ND154" i="5"/>
  <c r="HI154" i="5" s="1"/>
  <c r="NS35" i="5"/>
  <c r="NU35" i="5" s="1"/>
  <c r="ND26" i="5"/>
  <c r="HI26" i="5" s="1"/>
  <c r="ND83" i="5"/>
  <c r="HI83" i="5" s="1"/>
  <c r="ND128" i="5"/>
  <c r="HI128" i="5" s="1"/>
  <c r="NS32" i="5"/>
  <c r="NU32" i="5" s="1"/>
  <c r="ND158" i="5"/>
  <c r="HI158" i="5" s="1"/>
  <c r="ND134" i="5"/>
  <c r="HI134" i="5" s="1"/>
  <c r="ND145" i="5"/>
  <c r="HI145" i="5" s="1"/>
  <c r="NO129" i="5"/>
  <c r="MY129" i="5"/>
  <c r="NN129" i="5"/>
  <c r="PG131" i="5"/>
  <c r="PA131" i="5"/>
  <c r="ON131" i="5"/>
  <c r="OH131" i="5"/>
  <c r="OE131" i="5"/>
  <c r="OV131" i="5"/>
  <c r="PE131" i="5"/>
  <c r="OR131" i="5"/>
  <c r="OL131" i="5"/>
  <c r="OB131" i="5"/>
  <c r="OZ131" i="5"/>
  <c r="OT131" i="5"/>
  <c r="OG131" i="5"/>
  <c r="OP131" i="5"/>
  <c r="OC131" i="5"/>
  <c r="OA131" i="5"/>
  <c r="OU131" i="5"/>
  <c r="PD131" i="5"/>
  <c r="OX131" i="5"/>
  <c r="OK131" i="5"/>
  <c r="OI131" i="5"/>
  <c r="OD131" i="5"/>
  <c r="OY131" i="5"/>
  <c r="PH131" i="5"/>
  <c r="PB131" i="5"/>
  <c r="OF131" i="5"/>
  <c r="OO131" i="5"/>
  <c r="OM131" i="5"/>
  <c r="PC131" i="5"/>
  <c r="OW131" i="5"/>
  <c r="PF131" i="5"/>
  <c r="OJ131" i="5"/>
  <c r="OS131" i="5"/>
  <c r="OQ131" i="5"/>
  <c r="NS70" i="5"/>
  <c r="NU70" i="5" s="1"/>
  <c r="NI12" i="5"/>
  <c r="QR12" i="5"/>
  <c r="PI12" i="5"/>
  <c r="NP9" i="5"/>
  <c r="PD86" i="5"/>
  <c r="OE12" i="5"/>
  <c r="PF12" i="5"/>
  <c r="OZ12" i="5"/>
  <c r="OA12" i="5"/>
  <c r="ON12" i="5"/>
  <c r="OH12" i="5"/>
  <c r="OR12" i="5"/>
  <c r="OJ12" i="5"/>
  <c r="OO12" i="5"/>
  <c r="OF12" i="5"/>
  <c r="OW12" i="5"/>
  <c r="OC12" i="5"/>
  <c r="PE12" i="5"/>
  <c r="PC12" i="5"/>
  <c r="OP12" i="5"/>
  <c r="OV12" i="5"/>
  <c r="PA12" i="5"/>
  <c r="OD12" i="5"/>
  <c r="OT12" i="5"/>
  <c r="OG12" i="5"/>
  <c r="OY12" i="5"/>
  <c r="OB12" i="5"/>
  <c r="PD12" i="5"/>
  <c r="OQ12" i="5"/>
  <c r="PB12" i="5"/>
  <c r="PG12" i="5"/>
  <c r="OI12" i="5"/>
  <c r="OL12" i="5"/>
  <c r="OU12" i="5"/>
  <c r="OS12" i="5"/>
  <c r="OM12" i="5"/>
  <c r="OX12" i="5"/>
  <c r="OK12" i="5"/>
  <c r="PH12" i="5"/>
  <c r="ND157" i="5"/>
  <c r="NR129" i="5"/>
  <c r="OY9" i="5"/>
  <c r="PH9" i="5"/>
  <c r="PB9" i="5"/>
  <c r="OP9" i="5"/>
  <c r="ON9" i="5"/>
  <c r="OO9" i="5"/>
  <c r="PC9" i="5"/>
  <c r="OW9" i="5"/>
  <c r="PF9" i="5"/>
  <c r="OI9" i="5"/>
  <c r="OR9" i="5"/>
  <c r="OB9" i="5"/>
  <c r="OH9" i="5"/>
  <c r="PG9" i="5"/>
  <c r="PA9" i="5"/>
  <c r="OM9" i="5"/>
  <c r="OS9" i="5"/>
  <c r="OC9" i="5"/>
  <c r="OV9" i="5"/>
  <c r="PE9" i="5"/>
  <c r="OQ9" i="5"/>
  <c r="OG9" i="5"/>
  <c r="OD9" i="5"/>
  <c r="OK9" i="5"/>
  <c r="OZ9" i="5"/>
  <c r="OT9" i="5"/>
  <c r="OF9" i="5"/>
  <c r="OU9" i="5"/>
  <c r="PD9" i="5"/>
  <c r="OX9" i="5"/>
  <c r="OL9" i="5"/>
  <c r="OJ9" i="5"/>
  <c r="OE9" i="5"/>
  <c r="OA9" i="5"/>
  <c r="OA86" i="5"/>
  <c r="PH86" i="5"/>
  <c r="ND159" i="5"/>
  <c r="HI159" i="5" s="1"/>
  <c r="NS11" i="5"/>
  <c r="NU11" i="5" s="1"/>
  <c r="NS66" i="5"/>
  <c r="NU66" i="5" s="1"/>
  <c r="ND126" i="5"/>
  <c r="HI126" i="5" s="1"/>
  <c r="NP129" i="5"/>
  <c r="ND137" i="5"/>
  <c r="HI137" i="5" s="1"/>
  <c r="ND120" i="5"/>
  <c r="HI120" i="5" s="1"/>
  <c r="OT130" i="5"/>
  <c r="PC130" i="5"/>
  <c r="OW130" i="5"/>
  <c r="OP130" i="5"/>
  <c r="ON130" i="5"/>
  <c r="OE130" i="5"/>
  <c r="OX130" i="5"/>
  <c r="PG130" i="5"/>
  <c r="PA130" i="5"/>
  <c r="OI130" i="5"/>
  <c r="OR130" i="5"/>
  <c r="OB130" i="5"/>
  <c r="PB130" i="5"/>
  <c r="OV130" i="5"/>
  <c r="PE130" i="5"/>
  <c r="OM130" i="5"/>
  <c r="OG130" i="5"/>
  <c r="OC130" i="5"/>
  <c r="PF130" i="5"/>
  <c r="OZ130" i="5"/>
  <c r="OQ130" i="5"/>
  <c r="OK130" i="5"/>
  <c r="OD130" i="5"/>
  <c r="OA130" i="5"/>
  <c r="OU130" i="5"/>
  <c r="PD130" i="5"/>
  <c r="OH130" i="5"/>
  <c r="OF130" i="5"/>
  <c r="OO130" i="5"/>
  <c r="OY130" i="5"/>
  <c r="PH130" i="5"/>
  <c r="OL130" i="5"/>
  <c r="OJ130" i="5"/>
  <c r="OS130" i="5"/>
  <c r="NI131" i="5"/>
  <c r="PI131" i="5"/>
  <c r="QR131" i="5"/>
  <c r="PI130" i="5"/>
  <c r="QR130" i="5"/>
  <c r="OT129" i="5"/>
  <c r="PC129" i="5"/>
  <c r="ON129" i="5"/>
  <c r="OH129" i="5"/>
  <c r="OB129" i="5"/>
  <c r="OX129" i="5"/>
  <c r="PG129" i="5"/>
  <c r="OR129" i="5"/>
  <c r="OL129" i="5"/>
  <c r="OC129" i="5"/>
  <c r="PB129" i="5"/>
  <c r="PH129" i="5"/>
  <c r="OG129" i="5"/>
  <c r="OP129" i="5"/>
  <c r="OD129" i="5"/>
  <c r="OW129" i="5"/>
  <c r="PF129" i="5"/>
  <c r="OV129" i="5"/>
  <c r="OK129" i="5"/>
  <c r="OI129" i="5"/>
  <c r="OQ129" i="5"/>
  <c r="OA129" i="5"/>
  <c r="PA129" i="5"/>
  <c r="OU129" i="5"/>
  <c r="OZ129" i="5"/>
  <c r="OF129" i="5"/>
  <c r="CJ129" i="5" s="1"/>
  <c r="OO129" i="5"/>
  <c r="OM129" i="5"/>
  <c r="PE129" i="5"/>
  <c r="OY129" i="5"/>
  <c r="PD129" i="5"/>
  <c r="OJ129" i="5"/>
  <c r="OS129" i="5"/>
  <c r="OE129" i="5"/>
  <c r="OA15" i="5"/>
  <c r="PE86" i="5"/>
  <c r="NI9" i="5"/>
  <c r="QR9" i="5"/>
  <c r="PI9" i="5"/>
  <c r="NS49" i="5"/>
  <c r="NU49" i="5" s="1"/>
  <c r="NS55" i="5"/>
  <c r="NU55" i="5" s="1"/>
  <c r="NI129" i="5"/>
  <c r="PI129" i="5"/>
  <c r="QR129" i="5"/>
  <c r="ND67" i="5"/>
  <c r="HI67" i="5" s="1"/>
  <c r="HR39" i="5"/>
  <c r="NI16" i="5"/>
  <c r="NI54" i="5"/>
  <c r="NI23" i="5"/>
  <c r="NI31" i="5"/>
  <c r="NI80" i="5"/>
  <c r="NI84" i="5"/>
  <c r="NI44" i="5"/>
  <c r="NI93" i="5"/>
  <c r="NI15" i="5"/>
  <c r="NI30" i="5"/>
  <c r="NI52" i="5"/>
  <c r="NI25" i="5"/>
  <c r="NI60" i="5"/>
  <c r="NI107" i="5"/>
  <c r="NI20" i="5"/>
  <c r="NI57" i="5"/>
  <c r="NI6" i="5"/>
  <c r="NI62" i="5"/>
  <c r="NI39" i="5"/>
  <c r="NI95" i="5"/>
  <c r="ND98" i="5"/>
  <c r="HI98" i="5" s="1"/>
  <c r="ND33" i="5"/>
  <c r="HI33" i="5" s="1"/>
  <c r="ND89" i="5"/>
  <c r="HI89" i="5" s="1"/>
  <c r="ND17" i="5"/>
  <c r="ND48" i="5"/>
  <c r="HI48" i="5" s="1"/>
  <c r="ND73" i="5"/>
  <c r="HI73" i="5" s="1"/>
  <c r="ND21" i="5"/>
  <c r="HI21" i="5" s="1"/>
  <c r="ND79" i="5"/>
  <c r="HI79" i="5" s="1"/>
  <c r="ND77" i="5"/>
  <c r="HI77" i="5" s="1"/>
  <c r="ND53" i="5"/>
  <c r="HI53" i="5" s="1"/>
  <c r="ND56" i="5"/>
  <c r="HI56" i="5" s="1"/>
  <c r="ND105" i="5"/>
  <c r="HI105" i="5" s="1"/>
  <c r="ND71" i="5"/>
  <c r="HI71" i="5" s="1"/>
  <c r="ND58" i="5"/>
  <c r="HI58" i="5" s="1"/>
  <c r="ND24" i="5"/>
  <c r="HI24" i="5" s="1"/>
  <c r="ND27" i="5"/>
  <c r="HI27" i="5" s="1"/>
  <c r="ND36" i="5"/>
  <c r="HI36" i="5" s="1"/>
  <c r="ND63" i="5"/>
  <c r="HI63" i="5" s="1"/>
  <c r="ND69" i="5"/>
  <c r="HI69" i="5" s="1"/>
  <c r="ND115" i="5"/>
  <c r="HI115" i="5" s="1"/>
  <c r="ND82" i="5"/>
  <c r="HI82" i="5" s="1"/>
  <c r="ND64" i="5"/>
  <c r="HI64" i="5" s="1"/>
  <c r="ND19" i="5"/>
  <c r="HI19" i="5" s="1"/>
  <c r="ND85" i="5"/>
  <c r="HI85" i="5" s="1"/>
  <c r="ND29" i="5"/>
  <c r="HI29" i="5" s="1"/>
  <c r="ND76" i="5"/>
  <c r="HI76" i="5" s="1"/>
  <c r="ND18" i="5"/>
  <c r="HI18" i="5" s="1"/>
  <c r="ND109" i="5"/>
  <c r="HI109" i="5" s="1"/>
  <c r="NN107" i="5"/>
  <c r="MY42" i="5"/>
  <c r="NR80" i="5"/>
  <c r="NO23" i="5"/>
  <c r="NR6" i="5"/>
  <c r="NO42" i="5"/>
  <c r="NR107" i="5"/>
  <c r="NO107" i="5"/>
  <c r="NN6" i="5"/>
  <c r="NR42" i="5"/>
  <c r="NO6" i="5"/>
  <c r="NN42" i="5"/>
  <c r="NU17" i="5"/>
  <c r="NR84" i="5"/>
  <c r="NN80" i="5"/>
  <c r="NR75" i="5"/>
  <c r="NN84" i="5"/>
  <c r="NO80" i="5"/>
  <c r="MY84" i="5"/>
  <c r="NN75" i="5"/>
  <c r="MY80" i="5"/>
  <c r="NN104" i="5"/>
  <c r="NR25" i="5"/>
  <c r="NO22" i="5"/>
  <c r="NO25" i="5"/>
  <c r="NN23" i="5"/>
  <c r="NN86" i="5"/>
  <c r="NR86" i="5"/>
  <c r="NR23" i="5"/>
  <c r="MY57" i="5"/>
  <c r="NR93" i="5"/>
  <c r="NR57" i="5"/>
  <c r="NO31" i="5"/>
  <c r="NN62" i="5"/>
  <c r="NO93" i="5"/>
  <c r="NO57" i="5"/>
  <c r="NN31" i="5"/>
  <c r="NO62" i="5"/>
  <c r="NN93" i="5"/>
  <c r="NN57" i="5"/>
  <c r="NN22" i="5"/>
  <c r="NO86" i="5"/>
  <c r="NR22" i="5"/>
  <c r="NN45" i="5"/>
  <c r="NN25" i="5"/>
  <c r="NR45" i="5"/>
  <c r="NV8" i="5"/>
  <c r="OT86" i="5"/>
  <c r="OY86" i="5"/>
  <c r="PA86" i="5"/>
  <c r="NO45" i="5"/>
  <c r="ND8" i="5"/>
  <c r="HI8" i="5" s="1"/>
  <c r="OW15" i="5"/>
  <c r="OX15" i="5"/>
  <c r="OY15" i="5"/>
  <c r="OZ15" i="5"/>
  <c r="OP15" i="5"/>
  <c r="OF15" i="5"/>
  <c r="OO15" i="5"/>
  <c r="OB15" i="5"/>
  <c r="PA15" i="5"/>
  <c r="PB15" i="5"/>
  <c r="PC15" i="5"/>
  <c r="PD15" i="5"/>
  <c r="OI15" i="5"/>
  <c r="OJ15" i="5"/>
  <c r="OS15" i="5"/>
  <c r="OK15" i="5"/>
  <c r="PE15" i="5"/>
  <c r="PF15" i="5"/>
  <c r="PG15" i="5"/>
  <c r="PH15" i="5"/>
  <c r="OH15" i="5"/>
  <c r="OM15" i="5"/>
  <c r="ON15" i="5"/>
  <c r="OG15" i="5"/>
  <c r="OC15" i="5"/>
  <c r="OT15" i="5"/>
  <c r="OU15" i="5"/>
  <c r="OV15" i="5"/>
  <c r="OL15" i="5"/>
  <c r="OQ15" i="5"/>
  <c r="OR15" i="5"/>
  <c r="OE15" i="5"/>
  <c r="OD15" i="5"/>
  <c r="NS8" i="5"/>
  <c r="NU8" i="5" s="1"/>
  <c r="MY6" i="5"/>
  <c r="MY107" i="5"/>
  <c r="NR15" i="5"/>
  <c r="NO30" i="5"/>
  <c r="NO104" i="5"/>
  <c r="MY45" i="5"/>
  <c r="MY86" i="5"/>
  <c r="NR52" i="5"/>
  <c r="NO44" i="5"/>
  <c r="NO20" i="5"/>
  <c r="NN14" i="5"/>
  <c r="MY62" i="5"/>
  <c r="NR16" i="5"/>
  <c r="NR31" i="5"/>
  <c r="MY95" i="5"/>
  <c r="MY22" i="5"/>
  <c r="MY25" i="5"/>
  <c r="MY93" i="5"/>
  <c r="MY39" i="5"/>
  <c r="NR34" i="5"/>
  <c r="MY54" i="5"/>
  <c r="MY75" i="5"/>
  <c r="MY23" i="5"/>
  <c r="NS33" i="5"/>
  <c r="NU33" i="5" s="1"/>
  <c r="MY52" i="5"/>
  <c r="OZ54" i="5"/>
  <c r="OT54" i="5"/>
  <c r="OR54" i="5"/>
  <c r="OL54" i="5"/>
  <c r="OB54" i="5"/>
  <c r="OU54" i="5"/>
  <c r="PD54" i="5"/>
  <c r="OX54" i="5"/>
  <c r="OG54" i="5"/>
  <c r="OP54" i="5"/>
  <c r="OC54" i="5"/>
  <c r="OV54" i="5"/>
  <c r="PE54" i="5"/>
  <c r="ON54" i="5"/>
  <c r="OY54" i="5"/>
  <c r="PH54" i="5"/>
  <c r="PB54" i="5"/>
  <c r="OK54" i="5"/>
  <c r="OM54" i="5"/>
  <c r="OD54" i="5"/>
  <c r="OE54" i="5"/>
  <c r="PC54" i="5"/>
  <c r="OW54" i="5"/>
  <c r="PF54" i="5"/>
  <c r="OF54" i="5"/>
  <c r="OO54" i="5"/>
  <c r="OQ54" i="5"/>
  <c r="PG54" i="5"/>
  <c r="PA54" i="5"/>
  <c r="OJ54" i="5"/>
  <c r="OS54" i="5"/>
  <c r="OI54" i="5"/>
  <c r="OH54" i="5"/>
  <c r="OA54" i="5"/>
  <c r="PC86" i="5"/>
  <c r="PG86" i="5"/>
  <c r="PB86" i="5"/>
  <c r="PF86" i="5"/>
  <c r="OT45" i="5"/>
  <c r="PC45" i="5"/>
  <c r="PA45" i="5"/>
  <c r="OI45" i="5"/>
  <c r="OR45" i="5"/>
  <c r="OB45" i="5"/>
  <c r="OY45" i="5"/>
  <c r="OX45" i="5"/>
  <c r="PG45" i="5"/>
  <c r="PE45" i="5"/>
  <c r="OM45" i="5"/>
  <c r="OK45" i="5"/>
  <c r="OC45" i="5"/>
  <c r="PB45" i="5"/>
  <c r="OV45" i="5"/>
  <c r="OW45" i="5"/>
  <c r="OQ45" i="5"/>
  <c r="OO45" i="5"/>
  <c r="OD45" i="5"/>
  <c r="PF45" i="5"/>
  <c r="OZ45" i="5"/>
  <c r="OH45" i="5"/>
  <c r="OF45" i="5"/>
  <c r="OS45" i="5"/>
  <c r="ON45" i="5"/>
  <c r="OE45" i="5"/>
  <c r="OU45" i="5"/>
  <c r="PD45" i="5"/>
  <c r="OL45" i="5"/>
  <c r="OJ45" i="5"/>
  <c r="OG45" i="5"/>
  <c r="PH45" i="5"/>
  <c r="OP45" i="5"/>
  <c r="OW86" i="5"/>
  <c r="OR86" i="5"/>
  <c r="OL86" i="5"/>
  <c r="OB86" i="5"/>
  <c r="ON86" i="5"/>
  <c r="OE86" i="5"/>
  <c r="OX86" i="5"/>
  <c r="OG86" i="5"/>
  <c r="CJ86" i="5" s="1"/>
  <c r="OP86" i="5"/>
  <c r="OC86" i="5"/>
  <c r="OK86" i="5"/>
  <c r="OM86" i="5"/>
  <c r="OD86" i="5"/>
  <c r="OV86" i="5"/>
  <c r="OF86" i="5"/>
  <c r="OO86" i="5"/>
  <c r="OQ86" i="5"/>
  <c r="OU86" i="5"/>
  <c r="OJ86" i="5"/>
  <c r="OS86" i="5"/>
  <c r="OI86" i="5"/>
  <c r="OH86" i="5"/>
  <c r="MY44" i="5"/>
  <c r="MY31" i="5"/>
  <c r="MY104" i="5"/>
  <c r="NO34" i="5"/>
  <c r="NR44" i="5"/>
  <c r="NN44" i="5"/>
  <c r="NN34" i="5"/>
  <c r="MY34" i="5"/>
  <c r="NR20" i="5"/>
  <c r="NN16" i="5"/>
  <c r="NO39" i="5"/>
  <c r="MY16" i="5"/>
  <c r="NN30" i="5"/>
  <c r="NO16" i="5"/>
  <c r="NR30" i="5"/>
  <c r="MY30" i="5"/>
  <c r="NN52" i="5"/>
  <c r="NO14" i="5"/>
  <c r="NO52" i="5"/>
  <c r="NR14" i="5"/>
  <c r="MY14" i="5"/>
  <c r="NS21" i="5"/>
  <c r="NU21" i="5" s="1"/>
  <c r="NS63" i="5"/>
  <c r="NU63" i="5" s="1"/>
  <c r="NR39" i="5"/>
  <c r="NN39" i="5"/>
  <c r="MY20" i="5"/>
  <c r="NN20" i="5"/>
  <c r="NO95" i="5"/>
  <c r="MY15" i="5"/>
  <c r="NN15" i="5"/>
  <c r="NR95" i="5"/>
  <c r="NN95" i="5"/>
  <c r="NO15" i="5"/>
  <c r="NP45" i="5"/>
  <c r="NP30" i="5"/>
  <c r="QR20" i="5"/>
  <c r="PI20" i="5"/>
  <c r="NP6" i="5"/>
  <c r="QR16" i="5"/>
  <c r="PI16" i="5"/>
  <c r="NE31" i="5"/>
  <c r="NP54" i="5"/>
  <c r="QR57" i="5"/>
  <c r="PI57" i="5"/>
  <c r="NE15" i="5"/>
  <c r="NP62" i="5"/>
  <c r="QR86" i="5"/>
  <c r="PI86" i="5"/>
  <c r="NI86" i="5"/>
  <c r="NP22" i="5"/>
  <c r="QR25" i="5"/>
  <c r="PI25" i="5"/>
  <c r="NP23" i="5"/>
  <c r="NP93" i="5"/>
  <c r="NO60" i="5"/>
  <c r="MY60" i="5"/>
  <c r="NN60" i="5"/>
  <c r="NR60" i="5"/>
  <c r="QR80" i="5"/>
  <c r="PI80" i="5"/>
  <c r="QR34" i="5"/>
  <c r="PI34" i="5"/>
  <c r="NI34" i="5"/>
  <c r="NP84" i="5"/>
  <c r="QR107" i="5"/>
  <c r="PI107" i="5"/>
  <c r="NP104" i="5"/>
  <c r="NP52" i="5"/>
  <c r="QR44" i="5"/>
  <c r="PI44" i="5"/>
  <c r="NP95" i="5"/>
  <c r="QR45" i="5"/>
  <c r="PI45" i="5"/>
  <c r="NI45" i="5"/>
  <c r="QR30" i="5"/>
  <c r="PI30" i="5"/>
  <c r="QR6" i="5"/>
  <c r="PI6" i="5"/>
  <c r="NE16" i="5"/>
  <c r="NP31" i="5"/>
  <c r="QR54" i="5"/>
  <c r="PI54" i="5"/>
  <c r="NP15" i="5"/>
  <c r="QR62" i="5"/>
  <c r="CQ62" i="5" s="1"/>
  <c r="PI62" i="5"/>
  <c r="NE14" i="5"/>
  <c r="NP42" i="5"/>
  <c r="QR22" i="5"/>
  <c r="PI22" i="5"/>
  <c r="NI22" i="5"/>
  <c r="PI23" i="5"/>
  <c r="QR23" i="5"/>
  <c r="PI93" i="5"/>
  <c r="QR93" i="5"/>
  <c r="NP75" i="5"/>
  <c r="QR84" i="5"/>
  <c r="PI84" i="5"/>
  <c r="NE107" i="5"/>
  <c r="NP39" i="5"/>
  <c r="QR104" i="5"/>
  <c r="PI104" i="5"/>
  <c r="NI104" i="5"/>
  <c r="NP14" i="5"/>
  <c r="PI52" i="5"/>
  <c r="QR52" i="5"/>
  <c r="NP60" i="5"/>
  <c r="QR95" i="5"/>
  <c r="PI95" i="5"/>
  <c r="NE30" i="5"/>
  <c r="NE80" i="5"/>
  <c r="NP20" i="5"/>
  <c r="NP16" i="5"/>
  <c r="QR31" i="5"/>
  <c r="PI31" i="5"/>
  <c r="NP57" i="5"/>
  <c r="QR15" i="5"/>
  <c r="PI15" i="5"/>
  <c r="NP86" i="5"/>
  <c r="QR42" i="5"/>
  <c r="PI42" i="5"/>
  <c r="NI42" i="5"/>
  <c r="NE22" i="5"/>
  <c r="NE44" i="5"/>
  <c r="NP25" i="5"/>
  <c r="NE23" i="5"/>
  <c r="NE93" i="5"/>
  <c r="NP80" i="5"/>
  <c r="NP34" i="5"/>
  <c r="QR75" i="5"/>
  <c r="PI75" i="5"/>
  <c r="NI75" i="5"/>
  <c r="NE84" i="5"/>
  <c r="NP107" i="5"/>
  <c r="QR39" i="5"/>
  <c r="PI39" i="5"/>
  <c r="PI14" i="5"/>
  <c r="QR14" i="5"/>
  <c r="CQ14" i="5" s="1"/>
  <c r="NI14" i="5"/>
  <c r="NE52" i="5"/>
  <c r="NP44" i="5"/>
  <c r="QR60" i="5"/>
  <c r="PI60" i="5"/>
  <c r="NS224" i="5"/>
  <c r="NU224" i="5" s="1"/>
  <c r="NT190" i="5"/>
  <c r="NV190" i="5" s="1"/>
  <c r="NS238" i="5"/>
  <c r="NU238" i="5" s="1"/>
  <c r="NS202" i="5"/>
  <c r="NU202" i="5" s="1"/>
  <c r="NS220" i="5"/>
  <c r="NU220" i="5" s="1"/>
  <c r="NS190" i="5"/>
  <c r="NU190" i="5" s="1"/>
  <c r="NT224" i="5"/>
  <c r="NV224" i="5" s="1"/>
  <c r="NT220" i="5"/>
  <c r="NV220" i="5" s="1"/>
  <c r="NT238" i="5"/>
  <c r="NV238" i="5" s="1"/>
  <c r="NT202" i="5"/>
  <c r="NV202" i="5" s="1"/>
  <c r="NX7" i="5"/>
  <c r="NT116" i="5"/>
  <c r="NV116" i="5" s="1"/>
  <c r="NT68" i="5"/>
  <c r="NV68" i="5" s="1"/>
  <c r="NT65" i="5"/>
  <c r="NV65" i="5" s="1"/>
  <c r="NT179" i="5"/>
  <c r="NV179" i="5" s="1"/>
  <c r="NT137" i="5"/>
  <c r="NV137" i="5" s="1"/>
  <c r="NT100" i="5"/>
  <c r="NV100" i="5" s="1"/>
  <c r="NT36" i="5"/>
  <c r="NV36" i="5" s="1"/>
  <c r="NT176" i="5"/>
  <c r="NV176" i="5" s="1"/>
  <c r="NT128" i="5"/>
  <c r="NV128" i="5" s="1"/>
  <c r="NT103" i="5"/>
  <c r="NV103" i="5" s="1"/>
  <c r="NT97" i="5"/>
  <c r="NV97" i="5" s="1"/>
  <c r="NT83" i="5"/>
  <c r="NV83" i="5" s="1"/>
  <c r="NT53" i="5"/>
  <c r="NV53" i="5" s="1"/>
  <c r="NT37" i="5"/>
  <c r="NV37" i="5" s="1"/>
  <c r="NT76" i="5"/>
  <c r="NV76" i="5" s="1"/>
  <c r="NT50" i="5"/>
  <c r="NV50" i="5" s="1"/>
  <c r="NT182" i="5"/>
  <c r="NV182" i="5" s="1"/>
  <c r="NT117" i="5"/>
  <c r="NV117" i="5" s="1"/>
  <c r="NT69" i="5"/>
  <c r="NV69" i="5" s="1"/>
  <c r="NT163" i="5"/>
  <c r="NV163" i="5" s="1"/>
  <c r="NT141" i="5"/>
  <c r="NV141" i="5" s="1"/>
  <c r="NT127" i="5"/>
  <c r="NV127" i="5" s="1"/>
  <c r="NT151" i="5"/>
  <c r="NV151" i="5" s="1"/>
  <c r="NT126" i="5"/>
  <c r="NV126" i="5" s="1"/>
  <c r="NT74" i="5"/>
  <c r="NV74" i="5" s="1"/>
  <c r="NT56" i="5"/>
  <c r="NV56" i="5" s="1"/>
  <c r="NT47" i="5"/>
  <c r="NV47" i="5" s="1"/>
  <c r="NT27" i="5"/>
  <c r="NV27" i="5" s="1"/>
  <c r="NT33" i="5"/>
  <c r="NV33" i="5" s="1"/>
  <c r="NT19" i="5"/>
  <c r="NV19" i="5" s="1"/>
  <c r="NT98" i="5"/>
  <c r="NV98" i="5" s="1"/>
  <c r="NT72" i="5"/>
  <c r="NV72" i="5" s="1"/>
  <c r="NT174" i="5"/>
  <c r="NV174" i="5" s="1"/>
  <c r="NT85" i="5"/>
  <c r="NV85" i="5" s="1"/>
  <c r="NT92" i="5"/>
  <c r="NV92" i="5" s="1"/>
  <c r="NT78" i="5"/>
  <c r="NV78" i="5" s="1"/>
  <c r="NT46" i="5"/>
  <c r="NV46" i="5" s="1"/>
  <c r="NT188" i="5"/>
  <c r="NV188" i="5" s="1"/>
  <c r="NT180" i="5"/>
  <c r="NV180" i="5" s="1"/>
  <c r="NT152" i="5"/>
  <c r="NV152" i="5" s="1"/>
  <c r="NT111" i="5"/>
  <c r="NV111" i="5" s="1"/>
  <c r="NT145" i="5"/>
  <c r="NV145" i="5" s="1"/>
  <c r="NT125" i="5"/>
  <c r="NV125" i="5" s="1"/>
  <c r="NT26" i="5"/>
  <c r="NV26" i="5" s="1"/>
  <c r="NT13" i="5"/>
  <c r="NV13" i="5" s="1"/>
  <c r="NT77" i="5"/>
  <c r="NV77" i="5" s="1"/>
  <c r="NT41" i="5"/>
  <c r="NV41" i="5" s="1"/>
  <c r="NT187" i="5"/>
  <c r="NV187" i="5" s="1"/>
  <c r="NT147" i="5"/>
  <c r="NV147" i="5" s="1"/>
  <c r="NT28" i="5"/>
  <c r="NV28" i="5" s="1"/>
  <c r="NT142" i="5"/>
  <c r="NV142" i="5" s="1"/>
  <c r="NT119" i="5"/>
  <c r="NV119" i="5" s="1"/>
  <c r="NT110" i="5"/>
  <c r="NV110" i="5" s="1"/>
  <c r="NT102" i="5"/>
  <c r="NV102" i="5" s="1"/>
  <c r="NT89" i="5"/>
  <c r="NV89" i="5" s="1"/>
  <c r="NT24" i="5"/>
  <c r="NV24" i="5" s="1"/>
  <c r="NS92" i="5"/>
  <c r="NU92" i="5" s="1"/>
  <c r="NS152" i="5"/>
  <c r="NU152" i="5" s="1"/>
  <c r="NS147" i="5"/>
  <c r="NU147" i="5" s="1"/>
  <c r="NS119" i="5"/>
  <c r="NU119" i="5" s="1"/>
  <c r="NS102" i="5"/>
  <c r="NU102" i="5" s="1"/>
  <c r="NS151" i="5"/>
  <c r="NU151" i="5" s="1"/>
  <c r="NS137" i="5"/>
  <c r="NU137" i="5" s="1"/>
  <c r="NS176" i="5"/>
  <c r="NU176" i="5" s="1"/>
  <c r="NS97" i="5"/>
  <c r="NU97" i="5" s="1"/>
  <c r="NS117" i="5"/>
  <c r="NU117" i="5" s="1"/>
  <c r="NS174" i="5"/>
  <c r="NU174" i="5" s="1"/>
  <c r="NS141" i="5"/>
  <c r="NU141" i="5" s="1"/>
  <c r="NS163" i="5"/>
  <c r="NU163" i="5" s="1"/>
  <c r="NS180" i="5"/>
  <c r="NU180" i="5" s="1"/>
  <c r="NS111" i="5"/>
  <c r="NU111" i="5" s="1"/>
  <c r="NS116" i="5"/>
  <c r="NU116" i="5" s="1"/>
  <c r="NS125" i="5"/>
  <c r="NU125" i="5" s="1"/>
  <c r="NS187" i="5"/>
  <c r="NU187" i="5" s="1"/>
  <c r="NS142" i="5"/>
  <c r="NU142" i="5" s="1"/>
  <c r="NS110" i="5"/>
  <c r="NU110" i="5" s="1"/>
  <c r="NS89" i="5"/>
  <c r="NU89" i="5" s="1"/>
  <c r="NS98" i="5"/>
  <c r="NU98" i="5" s="1"/>
  <c r="NS126" i="5"/>
  <c r="NU126" i="5" s="1"/>
  <c r="NS85" i="5"/>
  <c r="NU85" i="5" s="1"/>
  <c r="NS179" i="5"/>
  <c r="NU179" i="5" s="1"/>
  <c r="NS100" i="5"/>
  <c r="NU100" i="5" s="1"/>
  <c r="NS103" i="5"/>
  <c r="NU103" i="5" s="1"/>
  <c r="NS83" i="5"/>
  <c r="NU83" i="5" s="1"/>
  <c r="NS145" i="5"/>
  <c r="NU145" i="5" s="1"/>
  <c r="NS182" i="5"/>
  <c r="NU182" i="5" s="1"/>
  <c r="NS128" i="5"/>
  <c r="NU128" i="5" s="1"/>
  <c r="NS127" i="5"/>
  <c r="NU127" i="5" s="1"/>
  <c r="NS188" i="5"/>
  <c r="NU188" i="5" s="1"/>
  <c r="CZ42" i="5" l="1"/>
  <c r="CZ14" i="5"/>
  <c r="CQ42" i="5"/>
  <c r="DU210" i="5"/>
  <c r="GA210" i="5"/>
  <c r="CW80" i="5"/>
  <c r="CZ20" i="5"/>
  <c r="CW25" i="5"/>
  <c r="IH193" i="5"/>
  <c r="II193" i="5" s="1"/>
  <c r="IE193" i="5" s="1"/>
  <c r="NX193" i="5" s="1"/>
  <c r="CZ54" i="5"/>
  <c r="FC193" i="5"/>
  <c r="EO193" i="5"/>
  <c r="EQ193" i="5" s="1"/>
  <c r="HZ193" i="5"/>
  <c r="FX193" i="5"/>
  <c r="GU193" i="5"/>
  <c r="GV193" i="5" s="1"/>
  <c r="GP193" i="5"/>
  <c r="FI193" i="5"/>
  <c r="FG193" i="5" s="1"/>
  <c r="FL193" i="5"/>
  <c r="IH139" i="5"/>
  <c r="II139" i="5" s="1"/>
  <c r="IE139" i="5" s="1"/>
  <c r="NX139" i="5" s="1"/>
  <c r="FX139" i="5"/>
  <c r="DU193" i="5"/>
  <c r="ET193" i="5"/>
  <c r="GG193" i="5"/>
  <c r="NT193" i="5" s="1"/>
  <c r="NV193" i="5" s="1"/>
  <c r="FO193" i="5"/>
  <c r="FR193" i="5"/>
  <c r="EY193" i="5"/>
  <c r="DU177" i="5"/>
  <c r="FL177" i="5"/>
  <c r="NS177" i="5" s="1"/>
  <c r="NU177" i="5" s="1"/>
  <c r="IH177" i="5"/>
  <c r="II177" i="5" s="1"/>
  <c r="EY177" i="5"/>
  <c r="FX177" i="5"/>
  <c r="GA139" i="5"/>
  <c r="CW15" i="5"/>
  <c r="CZ62" i="5"/>
  <c r="EO139" i="5"/>
  <c r="EQ139" i="5" s="1"/>
  <c r="DU146" i="5"/>
  <c r="CZ44" i="5"/>
  <c r="CW104" i="5"/>
  <c r="DU12" i="5"/>
  <c r="NS91" i="5"/>
  <c r="NU91" i="5" s="1"/>
  <c r="FL146" i="5"/>
  <c r="EO146" i="5"/>
  <c r="EQ146" i="5" s="1"/>
  <c r="GD146" i="5"/>
  <c r="EY146" i="5"/>
  <c r="GA146" i="5"/>
  <c r="FC146" i="5"/>
  <c r="IH146" i="5"/>
  <c r="II146" i="5" s="1"/>
  <c r="IE146" i="5" s="1"/>
  <c r="NX146" i="5" s="1"/>
  <c r="FR146" i="5"/>
  <c r="FI146" i="5"/>
  <c r="FG146" i="5" s="1"/>
  <c r="FO146" i="5"/>
  <c r="FX146" i="5"/>
  <c r="GG146" i="5"/>
  <c r="GP146" i="5"/>
  <c r="ET146" i="5"/>
  <c r="ND91" i="5"/>
  <c r="GU139" i="5"/>
  <c r="GV139" i="5" s="1"/>
  <c r="FL139" i="5"/>
  <c r="CZ129" i="5"/>
  <c r="DC129" i="5"/>
  <c r="HL129" i="5" s="1"/>
  <c r="FI99" i="5"/>
  <c r="FG99" i="5" s="1"/>
  <c r="EY99" i="5"/>
  <c r="EO99" i="5"/>
  <c r="EQ99" i="5" s="1"/>
  <c r="FC99" i="5"/>
  <c r="HZ99" i="5"/>
  <c r="GP99" i="5"/>
  <c r="GU99" i="5"/>
  <c r="GV99" i="5" s="1"/>
  <c r="FX99" i="5"/>
  <c r="DU99" i="5"/>
  <c r="ET99" i="5"/>
  <c r="GG99" i="5"/>
  <c r="FR99" i="5"/>
  <c r="GA99" i="5"/>
  <c r="GD99" i="5"/>
  <c r="FL99" i="5"/>
  <c r="FO99" i="5"/>
  <c r="QH99" i="5"/>
  <c r="QM99" i="5"/>
  <c r="PU99" i="5"/>
  <c r="QK99" i="5"/>
  <c r="QL99" i="5"/>
  <c r="PM99" i="5"/>
  <c r="QF99" i="5"/>
  <c r="PT99" i="5"/>
  <c r="PJ99" i="5"/>
  <c r="QP99" i="5"/>
  <c r="PS99" i="5"/>
  <c r="QQ99" i="5"/>
  <c r="QE99" i="5"/>
  <c r="PN99" i="5"/>
  <c r="PL99" i="5"/>
  <c r="PX99" i="5"/>
  <c r="PO99" i="5"/>
  <c r="QO99" i="5"/>
  <c r="PR99" i="5"/>
  <c r="PQ99" i="5"/>
  <c r="QC99" i="5"/>
  <c r="PY99" i="5"/>
  <c r="PV99" i="5"/>
  <c r="PW99" i="5"/>
  <c r="QI99" i="5"/>
  <c r="QJ99" i="5"/>
  <c r="PZ99" i="5"/>
  <c r="QB99" i="5"/>
  <c r="QN99" i="5"/>
  <c r="PP99" i="5"/>
  <c r="QD99" i="5"/>
  <c r="QG99" i="5"/>
  <c r="PK99" i="5"/>
  <c r="QA99" i="5"/>
  <c r="RU99" i="5"/>
  <c r="QU99" i="5"/>
  <c r="RP99" i="5"/>
  <c r="QT99" i="5"/>
  <c r="QY99" i="5"/>
  <c r="RD99" i="5"/>
  <c r="QW99" i="5"/>
  <c r="QX99" i="5"/>
  <c r="RC99" i="5"/>
  <c r="RT99" i="5"/>
  <c r="RA99" i="5"/>
  <c r="RB99" i="5"/>
  <c r="RG99" i="5"/>
  <c r="RH99" i="5"/>
  <c r="RE99" i="5"/>
  <c r="RF99" i="5"/>
  <c r="RK99" i="5"/>
  <c r="QV99" i="5"/>
  <c r="RI99" i="5"/>
  <c r="RJ99" i="5"/>
  <c r="RO99" i="5"/>
  <c r="RL99" i="5"/>
  <c r="RM99" i="5"/>
  <c r="RN99" i="5"/>
  <c r="RS99" i="5"/>
  <c r="RQ99" i="5"/>
  <c r="RR99" i="5"/>
  <c r="QZ99" i="5"/>
  <c r="CZ99" i="5"/>
  <c r="CW99" i="5"/>
  <c r="DC99" i="5"/>
  <c r="HL99" i="5" s="1"/>
  <c r="DX99" i="5"/>
  <c r="HM99" i="5"/>
  <c r="FR139" i="5"/>
  <c r="FO139" i="5"/>
  <c r="GD139" i="5"/>
  <c r="CZ16" i="5"/>
  <c r="FC139" i="5"/>
  <c r="HZ139" i="5"/>
  <c r="DU139" i="5"/>
  <c r="GP139" i="5"/>
  <c r="GG139" i="5"/>
  <c r="ET139" i="5"/>
  <c r="FI139" i="5"/>
  <c r="FG139" i="5" s="1"/>
  <c r="CW130" i="5"/>
  <c r="DC130" i="5"/>
  <c r="HL130" i="5" s="1"/>
  <c r="NS96" i="5"/>
  <c r="NU96" i="5" s="1"/>
  <c r="NS108" i="5"/>
  <c r="NU108" i="5" s="1"/>
  <c r="NT96" i="5"/>
  <c r="NV96" i="5" s="1"/>
  <c r="CZ239" i="5"/>
  <c r="CW239" i="5"/>
  <c r="DX239" i="5"/>
  <c r="HM239" i="5"/>
  <c r="ND90" i="5"/>
  <c r="NT91" i="5"/>
  <c r="NV91" i="5" s="1"/>
  <c r="ND96" i="5"/>
  <c r="PL239" i="5"/>
  <c r="QB239" i="5"/>
  <c r="PM239" i="5"/>
  <c r="QC239" i="5"/>
  <c r="PJ239" i="5"/>
  <c r="PZ239" i="5"/>
  <c r="QP239" i="5"/>
  <c r="PW239" i="5"/>
  <c r="QM239" i="5"/>
  <c r="PP239" i="5"/>
  <c r="QF239" i="5"/>
  <c r="PQ239" i="5"/>
  <c r="QG239" i="5"/>
  <c r="PN239" i="5"/>
  <c r="QD239" i="5"/>
  <c r="PK239" i="5"/>
  <c r="QA239" i="5"/>
  <c r="QQ239" i="5"/>
  <c r="PT239" i="5"/>
  <c r="QJ239" i="5"/>
  <c r="PU239" i="5"/>
  <c r="QK239" i="5"/>
  <c r="PR239" i="5"/>
  <c r="QH239" i="5"/>
  <c r="PO239" i="5"/>
  <c r="QE239" i="5"/>
  <c r="PX239" i="5"/>
  <c r="QN239" i="5"/>
  <c r="PY239" i="5"/>
  <c r="QO239" i="5"/>
  <c r="PV239" i="5"/>
  <c r="QL239" i="5"/>
  <c r="PS239" i="5"/>
  <c r="QI239" i="5"/>
  <c r="QT239" i="5"/>
  <c r="RJ239" i="5"/>
  <c r="QY239" i="5"/>
  <c r="RO239" i="5"/>
  <c r="RD239" i="5"/>
  <c r="RT239" i="5"/>
  <c r="RQ239" i="5"/>
  <c r="QX239" i="5"/>
  <c r="RN239" i="5"/>
  <c r="RC239" i="5"/>
  <c r="RS239" i="5"/>
  <c r="RH239" i="5"/>
  <c r="QW239" i="5"/>
  <c r="RE239" i="5"/>
  <c r="RB239" i="5"/>
  <c r="RR239" i="5"/>
  <c r="RG239" i="5"/>
  <c r="QV239" i="5"/>
  <c r="RL239" i="5"/>
  <c r="RM239" i="5"/>
  <c r="RU239" i="5"/>
  <c r="CQ239" i="5" s="1"/>
  <c r="RF239" i="5"/>
  <c r="QU239" i="5"/>
  <c r="RK239" i="5"/>
  <c r="QZ239" i="5"/>
  <c r="RP239" i="5"/>
  <c r="RA239" i="5"/>
  <c r="RI239" i="5"/>
  <c r="HM193" i="5"/>
  <c r="DX193" i="5"/>
  <c r="PP193" i="5"/>
  <c r="QF193" i="5"/>
  <c r="PQ193" i="5"/>
  <c r="PY193" i="5"/>
  <c r="PK193" i="5"/>
  <c r="QK193" i="5"/>
  <c r="QA193" i="5"/>
  <c r="PO193" i="5"/>
  <c r="QM193" i="5"/>
  <c r="PT193" i="5"/>
  <c r="QJ193" i="5"/>
  <c r="PU193" i="5"/>
  <c r="QD193" i="5"/>
  <c r="PS193" i="5"/>
  <c r="QP193" i="5"/>
  <c r="QG193" i="5"/>
  <c r="PW193" i="5"/>
  <c r="PX193" i="5"/>
  <c r="QN193" i="5"/>
  <c r="PJ193" i="5"/>
  <c r="QI193" i="5"/>
  <c r="PZ193" i="5"/>
  <c r="PN193" i="5"/>
  <c r="QL193" i="5"/>
  <c r="QC193" i="5"/>
  <c r="PL193" i="5"/>
  <c r="QB193" i="5"/>
  <c r="PM193" i="5"/>
  <c r="PR193" i="5"/>
  <c r="QO193" i="5"/>
  <c r="QE193" i="5"/>
  <c r="PV193" i="5"/>
  <c r="CO193" i="5" s="1"/>
  <c r="HH193" i="5" s="1"/>
  <c r="QQ193" i="5"/>
  <c r="QH193" i="5"/>
  <c r="RI193" i="5"/>
  <c r="QT193" i="5"/>
  <c r="RJ193" i="5"/>
  <c r="RD193" i="5"/>
  <c r="RG193" i="5"/>
  <c r="RP193" i="5"/>
  <c r="QU193" i="5"/>
  <c r="QW193" i="5"/>
  <c r="RM193" i="5"/>
  <c r="QX193" i="5"/>
  <c r="RN193" i="5"/>
  <c r="RL193" i="5"/>
  <c r="RO193" i="5"/>
  <c r="RC193" i="5"/>
  <c r="RA193" i="5"/>
  <c r="RQ193" i="5"/>
  <c r="RB193" i="5"/>
  <c r="RR193" i="5"/>
  <c r="RT193" i="5"/>
  <c r="QZ193" i="5"/>
  <c r="RK193" i="5"/>
  <c r="RE193" i="5"/>
  <c r="RU193" i="5"/>
  <c r="RF193" i="5"/>
  <c r="QV193" i="5"/>
  <c r="QY193" i="5"/>
  <c r="RH193" i="5"/>
  <c r="RS193" i="5"/>
  <c r="DC193" i="5"/>
  <c r="HL193" i="5" s="1"/>
  <c r="CZ193" i="5"/>
  <c r="CW193" i="5"/>
  <c r="QU96" i="5"/>
  <c r="RK96" i="5"/>
  <c r="CQ96" i="5" s="1"/>
  <c r="QZ96" i="5"/>
  <c r="RP96" i="5"/>
  <c r="RQ96" i="5"/>
  <c r="RR96" i="5"/>
  <c r="RU96" i="5"/>
  <c r="QY96" i="5"/>
  <c r="RO96" i="5"/>
  <c r="RD96" i="5"/>
  <c r="RT96" i="5"/>
  <c r="QT96" i="5"/>
  <c r="QW96" i="5"/>
  <c r="RF96" i="5"/>
  <c r="RC96" i="5"/>
  <c r="RS96" i="5"/>
  <c r="RH96" i="5"/>
  <c r="RA96" i="5"/>
  <c r="RB96" i="5"/>
  <c r="RE96" i="5"/>
  <c r="RN96" i="5"/>
  <c r="RG96" i="5"/>
  <c r="QV96" i="5"/>
  <c r="RL96" i="5"/>
  <c r="RI96" i="5"/>
  <c r="RJ96" i="5"/>
  <c r="RM96" i="5"/>
  <c r="QX96" i="5"/>
  <c r="DX88" i="5"/>
  <c r="HM88" i="5"/>
  <c r="RE121" i="5"/>
  <c r="RU121" i="5"/>
  <c r="RF121" i="5"/>
  <c r="QY121" i="5"/>
  <c r="RH121" i="5"/>
  <c r="RK121" i="5"/>
  <c r="RD121" i="5"/>
  <c r="RI121" i="5"/>
  <c r="QT121" i="5"/>
  <c r="CQ121" i="5" s="1"/>
  <c r="RJ121" i="5"/>
  <c r="RG121" i="5"/>
  <c r="RP121" i="5"/>
  <c r="RS121" i="5"/>
  <c r="RL121" i="5"/>
  <c r="QW121" i="5"/>
  <c r="RM121" i="5"/>
  <c r="QX121" i="5"/>
  <c r="RN121" i="5"/>
  <c r="RO121" i="5"/>
  <c r="QU121" i="5"/>
  <c r="RT121" i="5"/>
  <c r="RA121" i="5"/>
  <c r="RQ121" i="5"/>
  <c r="RB121" i="5"/>
  <c r="RR121" i="5"/>
  <c r="QZ121" i="5"/>
  <c r="RC121" i="5"/>
  <c r="QV121" i="5"/>
  <c r="CZ17" i="5"/>
  <c r="CW17" i="5"/>
  <c r="DC139" i="5"/>
  <c r="HL139" i="5" s="1"/>
  <c r="CZ139" i="5"/>
  <c r="CW139" i="5"/>
  <c r="RC143" i="5"/>
  <c r="RS143" i="5"/>
  <c r="RH143" i="5"/>
  <c r="QW143" i="5"/>
  <c r="RM143" i="5"/>
  <c r="RN143" i="5"/>
  <c r="QT143" i="5"/>
  <c r="RG143" i="5"/>
  <c r="QV143" i="5"/>
  <c r="RL143" i="5"/>
  <c r="RA143" i="5"/>
  <c r="CQ143" i="5" s="1"/>
  <c r="RQ143" i="5"/>
  <c r="RB143" i="5"/>
  <c r="RJ143" i="5"/>
  <c r="QU143" i="5"/>
  <c r="RK143" i="5"/>
  <c r="QZ143" i="5"/>
  <c r="RP143" i="5"/>
  <c r="RE143" i="5"/>
  <c r="RU143" i="5"/>
  <c r="RR143" i="5"/>
  <c r="QY143" i="5"/>
  <c r="RO143" i="5"/>
  <c r="RD143" i="5"/>
  <c r="RT143" i="5"/>
  <c r="RI143" i="5"/>
  <c r="QX143" i="5"/>
  <c r="RF143" i="5"/>
  <c r="CZ124" i="5"/>
  <c r="CW124" i="5"/>
  <c r="NS17" i="5"/>
  <c r="DC213" i="5"/>
  <c r="HL213" i="5" s="1"/>
  <c r="CZ213" i="5"/>
  <c r="CW213" i="5"/>
  <c r="DC173" i="5"/>
  <c r="HL173" i="5" s="1"/>
  <c r="CZ173" i="5"/>
  <c r="CW173" i="5"/>
  <c r="IH213" i="5"/>
  <c r="II213" i="5" s="1"/>
  <c r="FC213" i="5"/>
  <c r="HZ213" i="5"/>
  <c r="GU213" i="5"/>
  <c r="GV213" i="5" s="1"/>
  <c r="FI213" i="5"/>
  <c r="FG213" i="5" s="1"/>
  <c r="GP213" i="5"/>
  <c r="EY213" i="5"/>
  <c r="FX213" i="5"/>
  <c r="EO213" i="5"/>
  <c r="EQ213" i="5" s="1"/>
  <c r="GD213" i="5"/>
  <c r="GG213" i="5"/>
  <c r="ET213" i="5"/>
  <c r="GA213" i="5"/>
  <c r="FL213" i="5"/>
  <c r="FR213" i="5"/>
  <c r="FO213" i="5"/>
  <c r="DU213" i="5"/>
  <c r="FX88" i="5"/>
  <c r="EO88" i="5"/>
  <c r="EQ88" i="5" s="1"/>
  <c r="GU88" i="5"/>
  <c r="GV88" i="5" s="1"/>
  <c r="FC88" i="5"/>
  <c r="FI88" i="5"/>
  <c r="FG88" i="5" s="1"/>
  <c r="EY88" i="5"/>
  <c r="GP88" i="5"/>
  <c r="HZ88" i="5"/>
  <c r="ET88" i="5"/>
  <c r="FL88" i="5"/>
  <c r="GD88" i="5"/>
  <c r="DU88" i="5"/>
  <c r="GG88" i="5"/>
  <c r="FO88" i="5"/>
  <c r="GA88" i="5"/>
  <c r="FR88" i="5"/>
  <c r="RC91" i="5"/>
  <c r="RS91" i="5"/>
  <c r="RH91" i="5"/>
  <c r="CQ91" i="5" s="1"/>
  <c r="QW91" i="5"/>
  <c r="QX91" i="5"/>
  <c r="RI91" i="5"/>
  <c r="RB91" i="5"/>
  <c r="RG91" i="5"/>
  <c r="QV91" i="5"/>
  <c r="RL91" i="5"/>
  <c r="RE91" i="5"/>
  <c r="RF91" i="5"/>
  <c r="RQ91" i="5"/>
  <c r="RJ91" i="5"/>
  <c r="QU91" i="5"/>
  <c r="RK91" i="5"/>
  <c r="QZ91" i="5"/>
  <c r="RP91" i="5"/>
  <c r="RM91" i="5"/>
  <c r="RN91" i="5"/>
  <c r="RR91" i="5"/>
  <c r="QY91" i="5"/>
  <c r="RO91" i="5"/>
  <c r="RD91" i="5"/>
  <c r="RT91" i="5"/>
  <c r="RU91" i="5"/>
  <c r="RA91" i="5"/>
  <c r="QT91" i="5"/>
  <c r="DC96" i="5"/>
  <c r="HL96" i="5" s="1"/>
  <c r="CZ96" i="5"/>
  <c r="CW96" i="5"/>
  <c r="PS88" i="5"/>
  <c r="PT88" i="5"/>
  <c r="QE88" i="5"/>
  <c r="QO88" i="5"/>
  <c r="QK88" i="5"/>
  <c r="QA88" i="5"/>
  <c r="QM88" i="5"/>
  <c r="PY88" i="5"/>
  <c r="PZ88" i="5"/>
  <c r="QP88" i="5"/>
  <c r="QG88" i="5"/>
  <c r="PM88" i="5"/>
  <c r="QB88" i="5"/>
  <c r="QC88" i="5"/>
  <c r="QJ88" i="5"/>
  <c r="QI88" i="5"/>
  <c r="PR88" i="5"/>
  <c r="PW88" i="5"/>
  <c r="QQ88" i="5"/>
  <c r="PX88" i="5"/>
  <c r="PP88" i="5"/>
  <c r="PQ88" i="5"/>
  <c r="PK88" i="5"/>
  <c r="PO88" i="5"/>
  <c r="QN88" i="5"/>
  <c r="QH88" i="5"/>
  <c r="QL88" i="5"/>
  <c r="PN88" i="5"/>
  <c r="QD88" i="5"/>
  <c r="CO88" i="5" s="1"/>
  <c r="HH88" i="5" s="1"/>
  <c r="PU88" i="5"/>
  <c r="PV88" i="5"/>
  <c r="QF88" i="5"/>
  <c r="PL88" i="5"/>
  <c r="PJ88" i="5"/>
  <c r="PN121" i="5"/>
  <c r="QD121" i="5"/>
  <c r="PK121" i="5"/>
  <c r="QF121" i="5"/>
  <c r="PQ121" i="5"/>
  <c r="QM121" i="5"/>
  <c r="PO121" i="5"/>
  <c r="QI121" i="5"/>
  <c r="QC121" i="5"/>
  <c r="PR121" i="5"/>
  <c r="QL121" i="5"/>
  <c r="QA121" i="5"/>
  <c r="PW121" i="5"/>
  <c r="QE121" i="5"/>
  <c r="PM121" i="5"/>
  <c r="CO121" i="5" s="1"/>
  <c r="HH121" i="5" s="1"/>
  <c r="QH121" i="5"/>
  <c r="PT121" i="5"/>
  <c r="PV121" i="5"/>
  <c r="QP121" i="5"/>
  <c r="QK121" i="5"/>
  <c r="QB121" i="5"/>
  <c r="QO121" i="5"/>
  <c r="PS121" i="5"/>
  <c r="PL121" i="5"/>
  <c r="PZ121" i="5"/>
  <c r="PP121" i="5"/>
  <c r="QQ121" i="5"/>
  <c r="QG121" i="5"/>
  <c r="PY121" i="5"/>
  <c r="QN121" i="5"/>
  <c r="PJ121" i="5"/>
  <c r="PU121" i="5"/>
  <c r="QJ121" i="5"/>
  <c r="PX121" i="5"/>
  <c r="GU143" i="5"/>
  <c r="GV143" i="5" s="1"/>
  <c r="EY143" i="5"/>
  <c r="GP143" i="5"/>
  <c r="FI143" i="5"/>
  <c r="FG143" i="5" s="1"/>
  <c r="FX143" i="5"/>
  <c r="EO143" i="5"/>
  <c r="EQ143" i="5" s="1"/>
  <c r="HZ143" i="5"/>
  <c r="FC143" i="5"/>
  <c r="GG143" i="5"/>
  <c r="DU143" i="5"/>
  <c r="FR143" i="5"/>
  <c r="FO143" i="5"/>
  <c r="GA143" i="5"/>
  <c r="FL143" i="5"/>
  <c r="ET143" i="5"/>
  <c r="GD143" i="5"/>
  <c r="DX17" i="5"/>
  <c r="HM17" i="5"/>
  <c r="HM139" i="5"/>
  <c r="DX139" i="5"/>
  <c r="PJ143" i="5"/>
  <c r="PZ143" i="5"/>
  <c r="QP143" i="5"/>
  <c r="QA143" i="5"/>
  <c r="PL143" i="5"/>
  <c r="QG143" i="5"/>
  <c r="QO143" i="5"/>
  <c r="PO143" i="5"/>
  <c r="QC143" i="5"/>
  <c r="PU143" i="5"/>
  <c r="CO143" i="5" s="1"/>
  <c r="HH143" i="5" s="1"/>
  <c r="QE143" i="5"/>
  <c r="PN143" i="5"/>
  <c r="QD143" i="5"/>
  <c r="PK143" i="5"/>
  <c r="QF143" i="5"/>
  <c r="PQ143" i="5"/>
  <c r="QM143" i="5"/>
  <c r="PM143" i="5"/>
  <c r="PY143" i="5"/>
  <c r="QN143" i="5"/>
  <c r="PR143" i="5"/>
  <c r="QH143" i="5"/>
  <c r="PP143" i="5"/>
  <c r="QK143" i="5"/>
  <c r="PW143" i="5"/>
  <c r="PT143" i="5"/>
  <c r="PX143" i="5"/>
  <c r="QJ143" i="5"/>
  <c r="QL143" i="5"/>
  <c r="QQ143" i="5"/>
  <c r="QI143" i="5"/>
  <c r="PV143" i="5"/>
  <c r="QB143" i="5"/>
  <c r="PS143" i="5"/>
  <c r="DX124" i="5"/>
  <c r="HM124" i="5"/>
  <c r="NT17" i="5"/>
  <c r="HM213" i="5"/>
  <c r="DX213" i="5"/>
  <c r="DX173" i="5"/>
  <c r="HM173" i="5"/>
  <c r="DC91" i="5"/>
  <c r="HL91" i="5" s="1"/>
  <c r="CZ91" i="5"/>
  <c r="CW91" i="5"/>
  <c r="DX96" i="5"/>
  <c r="HM96" i="5"/>
  <c r="QU88" i="5"/>
  <c r="RK88" i="5"/>
  <c r="QZ88" i="5"/>
  <c r="RP88" i="5"/>
  <c r="RQ88" i="5"/>
  <c r="RR88" i="5"/>
  <c r="RU88" i="5"/>
  <c r="QY88" i="5"/>
  <c r="RO88" i="5"/>
  <c r="RD88" i="5"/>
  <c r="RT88" i="5"/>
  <c r="QT88" i="5"/>
  <c r="QW88" i="5"/>
  <c r="RF88" i="5"/>
  <c r="RC88" i="5"/>
  <c r="RS88" i="5"/>
  <c r="RH88" i="5"/>
  <c r="RA88" i="5"/>
  <c r="RB88" i="5"/>
  <c r="RE88" i="5"/>
  <c r="RN88" i="5"/>
  <c r="RG88" i="5"/>
  <c r="QV88" i="5"/>
  <c r="RL88" i="5"/>
  <c r="RI88" i="5"/>
  <c r="RJ88" i="5"/>
  <c r="RM88" i="5"/>
  <c r="QX88" i="5"/>
  <c r="CZ121" i="5"/>
  <c r="CW121" i="5"/>
  <c r="QI17" i="5"/>
  <c r="PK17" i="5"/>
  <c r="PN17" i="5"/>
  <c r="QO17" i="5"/>
  <c r="PP17" i="5"/>
  <c r="PY17" i="5"/>
  <c r="PO17" i="5"/>
  <c r="PV17" i="5"/>
  <c r="PR17" i="5"/>
  <c r="PX17" i="5"/>
  <c r="QH17" i="5"/>
  <c r="QQ17" i="5"/>
  <c r="PS17" i="5"/>
  <c r="PZ17" i="5"/>
  <c r="QC17" i="5"/>
  <c r="PJ17" i="5"/>
  <c r="QM17" i="5"/>
  <c r="PT17" i="5"/>
  <c r="QP17" i="5"/>
  <c r="QK17" i="5"/>
  <c r="PQ17" i="5"/>
  <c r="PM17" i="5"/>
  <c r="QD17" i="5"/>
  <c r="PL17" i="5"/>
  <c r="QL17" i="5"/>
  <c r="QA17" i="5"/>
  <c r="PW17" i="5"/>
  <c r="QG17" i="5"/>
  <c r="CO17" i="5" s="1"/>
  <c r="HH17" i="5" s="1"/>
  <c r="HI17" i="5" s="1"/>
  <c r="PU17" i="5"/>
  <c r="QF17" i="5"/>
  <c r="QB17" i="5"/>
  <c r="QE17" i="5"/>
  <c r="QJ17" i="5"/>
  <c r="QN17" i="5"/>
  <c r="PL139" i="5"/>
  <c r="QB139" i="5"/>
  <c r="PJ139" i="5"/>
  <c r="QE139" i="5"/>
  <c r="PQ139" i="5"/>
  <c r="QL139" i="5"/>
  <c r="QI139" i="5"/>
  <c r="QM139" i="5"/>
  <c r="PR139" i="5"/>
  <c r="PP139" i="5"/>
  <c r="QF139" i="5"/>
  <c r="PO139" i="5"/>
  <c r="QK139" i="5"/>
  <c r="PV139" i="5"/>
  <c r="QQ139" i="5"/>
  <c r="PS139" i="5"/>
  <c r="PM139" i="5"/>
  <c r="QD139" i="5"/>
  <c r="PX139" i="5"/>
  <c r="PZ139" i="5"/>
  <c r="PK139" i="5"/>
  <c r="PW139" i="5"/>
  <c r="PT139" i="5"/>
  <c r="QJ139" i="5"/>
  <c r="PU139" i="5"/>
  <c r="QP139" i="5"/>
  <c r="QA139" i="5"/>
  <c r="PN139" i="5"/>
  <c r="QH139" i="5"/>
  <c r="QC139" i="5"/>
  <c r="QN139" i="5"/>
  <c r="PY139" i="5"/>
  <c r="QO139" i="5"/>
  <c r="QG139" i="5"/>
  <c r="DC143" i="5"/>
  <c r="HL143" i="5" s="1"/>
  <c r="CZ143" i="5"/>
  <c r="CW143" i="5"/>
  <c r="PT124" i="5"/>
  <c r="QJ124" i="5"/>
  <c r="PU124" i="5"/>
  <c r="QP124" i="5"/>
  <c r="QA124" i="5"/>
  <c r="PN124" i="5"/>
  <c r="QD124" i="5"/>
  <c r="PW124" i="5"/>
  <c r="QF124" i="5"/>
  <c r="QM124" i="5"/>
  <c r="PX124" i="5"/>
  <c r="QN124" i="5"/>
  <c r="PZ124" i="5"/>
  <c r="PK124" i="5"/>
  <c r="QG124" i="5"/>
  <c r="PY124" i="5"/>
  <c r="QO124" i="5"/>
  <c r="QC124" i="5"/>
  <c r="PP124" i="5"/>
  <c r="PV124" i="5"/>
  <c r="PS124" i="5"/>
  <c r="PL124" i="5"/>
  <c r="QB124" i="5"/>
  <c r="PJ124" i="5"/>
  <c r="QE124" i="5"/>
  <c r="PQ124" i="5"/>
  <c r="QL124" i="5"/>
  <c r="QI124" i="5"/>
  <c r="PR124" i="5"/>
  <c r="PM124" i="5"/>
  <c r="PO124" i="5"/>
  <c r="QQ124" i="5"/>
  <c r="QH124" i="5"/>
  <c r="QK124" i="5"/>
  <c r="PK213" i="5"/>
  <c r="QA213" i="5"/>
  <c r="QQ213" i="5"/>
  <c r="PY213" i="5"/>
  <c r="QO213" i="5"/>
  <c r="QJ213" i="5"/>
  <c r="QL213" i="5"/>
  <c r="QN213" i="5"/>
  <c r="QH213" i="5"/>
  <c r="PZ213" i="5"/>
  <c r="PO213" i="5"/>
  <c r="QE213" i="5"/>
  <c r="PM213" i="5"/>
  <c r="QC213" i="5"/>
  <c r="PL213" i="5"/>
  <c r="PN213" i="5"/>
  <c r="PP213" i="5"/>
  <c r="PJ213" i="5"/>
  <c r="QP213" i="5"/>
  <c r="PW213" i="5"/>
  <c r="PU213" i="5"/>
  <c r="QB213" i="5"/>
  <c r="QF213" i="5"/>
  <c r="PS213" i="5"/>
  <c r="CO213" i="5" s="1"/>
  <c r="HH213" i="5" s="1"/>
  <c r="QI213" i="5"/>
  <c r="PQ213" i="5"/>
  <c r="QG213" i="5"/>
  <c r="PT213" i="5"/>
  <c r="PV213" i="5"/>
  <c r="PX213" i="5"/>
  <c r="PR213" i="5"/>
  <c r="QM213" i="5"/>
  <c r="QK213" i="5"/>
  <c r="QD213" i="5"/>
  <c r="RE173" i="5"/>
  <c r="RU173" i="5"/>
  <c r="CQ173" i="5" s="1"/>
  <c r="RF173" i="5"/>
  <c r="QZ173" i="5"/>
  <c r="RC173" i="5"/>
  <c r="RD173" i="5"/>
  <c r="QY173" i="5"/>
  <c r="RI173" i="5"/>
  <c r="QT173" i="5"/>
  <c r="RJ173" i="5"/>
  <c r="RH173" i="5"/>
  <c r="RK173" i="5"/>
  <c r="RL173" i="5"/>
  <c r="RG173" i="5"/>
  <c r="QW173" i="5"/>
  <c r="RM173" i="5"/>
  <c r="QX173" i="5"/>
  <c r="RN173" i="5"/>
  <c r="RP173" i="5"/>
  <c r="RS173" i="5"/>
  <c r="RT173" i="5"/>
  <c r="RA173" i="5"/>
  <c r="RQ173" i="5"/>
  <c r="RB173" i="5"/>
  <c r="RR173" i="5"/>
  <c r="QU173" i="5"/>
  <c r="QV173" i="5"/>
  <c r="RO173" i="5"/>
  <c r="GP121" i="5"/>
  <c r="EY121" i="5"/>
  <c r="FX121" i="5"/>
  <c r="EO121" i="5"/>
  <c r="EQ121" i="5" s="1"/>
  <c r="HZ121" i="5"/>
  <c r="FC121" i="5"/>
  <c r="GU121" i="5"/>
  <c r="GV121" i="5" s="1"/>
  <c r="FI121" i="5"/>
  <c r="FG121" i="5" s="1"/>
  <c r="FR121" i="5"/>
  <c r="ET121" i="5"/>
  <c r="FL121" i="5"/>
  <c r="GD121" i="5"/>
  <c r="GA121" i="5"/>
  <c r="GG121" i="5"/>
  <c r="FO121" i="5"/>
  <c r="DU121" i="5"/>
  <c r="DX91" i="5"/>
  <c r="HM91" i="5"/>
  <c r="QH96" i="5"/>
  <c r="QB96" i="5"/>
  <c r="QF96" i="5"/>
  <c r="QN96" i="5"/>
  <c r="QC96" i="5"/>
  <c r="PK96" i="5"/>
  <c r="QQ96" i="5"/>
  <c r="QJ96" i="5"/>
  <c r="PN96" i="5"/>
  <c r="QO96" i="5"/>
  <c r="PL96" i="5"/>
  <c r="PT96" i="5"/>
  <c r="PQ96" i="5"/>
  <c r="PM96" i="5"/>
  <c r="PY96" i="5"/>
  <c r="PW96" i="5"/>
  <c r="PO96" i="5"/>
  <c r="QE96" i="5"/>
  <c r="PR96" i="5"/>
  <c r="QP96" i="5"/>
  <c r="QG96" i="5"/>
  <c r="QL96" i="5"/>
  <c r="PS96" i="5"/>
  <c r="QD96" i="5"/>
  <c r="PP96" i="5"/>
  <c r="QA96" i="5"/>
  <c r="PZ96" i="5"/>
  <c r="QK96" i="5"/>
  <c r="PU96" i="5"/>
  <c r="PJ96" i="5"/>
  <c r="QM96" i="5"/>
  <c r="PV96" i="5"/>
  <c r="QI96" i="5"/>
  <c r="PX96" i="5"/>
  <c r="CZ88" i="5"/>
  <c r="CW88" i="5"/>
  <c r="DX121" i="5"/>
  <c r="HM121" i="5"/>
  <c r="QU17" i="5"/>
  <c r="RK17" i="5"/>
  <c r="RD17" i="5"/>
  <c r="QT17" i="5"/>
  <c r="RP17" i="5"/>
  <c r="RB17" i="5"/>
  <c r="RQ17" i="5"/>
  <c r="QY17" i="5"/>
  <c r="RO17" i="5"/>
  <c r="RI17" i="5"/>
  <c r="QZ17" i="5"/>
  <c r="RU17" i="5"/>
  <c r="RM17" i="5"/>
  <c r="RR17" i="5"/>
  <c r="RC17" i="5"/>
  <c r="RS17" i="5"/>
  <c r="RN17" i="5"/>
  <c r="RE17" i="5"/>
  <c r="RA17" i="5"/>
  <c r="QV17" i="5"/>
  <c r="QW17" i="5"/>
  <c r="RG17" i="5"/>
  <c r="QX17" i="5"/>
  <c r="RT17" i="5"/>
  <c r="RJ17" i="5"/>
  <c r="RL17" i="5"/>
  <c r="RF17" i="5"/>
  <c r="RH17" i="5"/>
  <c r="CQ17" i="5"/>
  <c r="RC139" i="5"/>
  <c r="RS139" i="5"/>
  <c r="RH139" i="5"/>
  <c r="QW139" i="5"/>
  <c r="RM139" i="5"/>
  <c r="RJ139" i="5"/>
  <c r="RR139" i="5"/>
  <c r="RG139" i="5"/>
  <c r="QV139" i="5"/>
  <c r="RL139" i="5"/>
  <c r="RA139" i="5"/>
  <c r="RQ139" i="5"/>
  <c r="QX139" i="5"/>
  <c r="RF139" i="5"/>
  <c r="QU139" i="5"/>
  <c r="RK139" i="5"/>
  <c r="QZ139" i="5"/>
  <c r="RP139" i="5"/>
  <c r="RE139" i="5"/>
  <c r="RU139" i="5"/>
  <c r="RN139" i="5"/>
  <c r="QY139" i="5"/>
  <c r="RO139" i="5"/>
  <c r="RD139" i="5"/>
  <c r="RT139" i="5"/>
  <c r="RI139" i="5"/>
  <c r="QT139" i="5"/>
  <c r="RB139" i="5"/>
  <c r="GP124" i="5"/>
  <c r="FI124" i="5"/>
  <c r="FG124" i="5" s="1"/>
  <c r="FX124" i="5"/>
  <c r="EO124" i="5"/>
  <c r="EQ124" i="5" s="1"/>
  <c r="HZ124" i="5"/>
  <c r="EY124" i="5"/>
  <c r="GU124" i="5"/>
  <c r="GV124" i="5" s="1"/>
  <c r="FC124" i="5"/>
  <c r="FR124" i="5"/>
  <c r="FL124" i="5"/>
  <c r="GG124" i="5"/>
  <c r="FO124" i="5"/>
  <c r="GA124" i="5"/>
  <c r="DU124" i="5"/>
  <c r="GD124" i="5"/>
  <c r="ET124" i="5"/>
  <c r="DX143" i="5"/>
  <c r="HM143" i="5"/>
  <c r="CQ124" i="5"/>
  <c r="RE124" i="5"/>
  <c r="RU124" i="5"/>
  <c r="RF124" i="5"/>
  <c r="QU124" i="5"/>
  <c r="QV124" i="5"/>
  <c r="QY124" i="5"/>
  <c r="RH124" i="5"/>
  <c r="RI124" i="5"/>
  <c r="QT124" i="5"/>
  <c r="RJ124" i="5"/>
  <c r="RC124" i="5"/>
  <c r="RD124" i="5"/>
  <c r="RG124" i="5"/>
  <c r="RP124" i="5"/>
  <c r="QW124" i="5"/>
  <c r="RM124" i="5"/>
  <c r="QX124" i="5"/>
  <c r="RN124" i="5"/>
  <c r="RK124" i="5"/>
  <c r="RL124" i="5"/>
  <c r="RO124" i="5"/>
  <c r="RA124" i="5"/>
  <c r="RQ124" i="5"/>
  <c r="RB124" i="5"/>
  <c r="RR124" i="5"/>
  <c r="RS124" i="5"/>
  <c r="RT124" i="5"/>
  <c r="QZ124" i="5"/>
  <c r="RD213" i="5"/>
  <c r="RT213" i="5"/>
  <c r="RI213" i="5"/>
  <c r="QT213" i="5"/>
  <c r="RJ213" i="5"/>
  <c r="RK213" i="5"/>
  <c r="RS213" i="5"/>
  <c r="RH213" i="5"/>
  <c r="QW213" i="5"/>
  <c r="RM213" i="5"/>
  <c r="QX213" i="5"/>
  <c r="RN213" i="5"/>
  <c r="QY213" i="5"/>
  <c r="CQ213" i="5" s="1"/>
  <c r="RG213" i="5"/>
  <c r="QV213" i="5"/>
  <c r="RL213" i="5"/>
  <c r="RA213" i="5"/>
  <c r="RQ213" i="5"/>
  <c r="RB213" i="5"/>
  <c r="RR213" i="5"/>
  <c r="RO213" i="5"/>
  <c r="QZ213" i="5"/>
  <c r="RP213" i="5"/>
  <c r="RE213" i="5"/>
  <c r="RU213" i="5"/>
  <c r="RF213" i="5"/>
  <c r="QU213" i="5"/>
  <c r="RC213" i="5"/>
  <c r="PK173" i="5"/>
  <c r="QA173" i="5"/>
  <c r="QQ173" i="5"/>
  <c r="PX173" i="5"/>
  <c r="QN173" i="5"/>
  <c r="QK173" i="5"/>
  <c r="QL173" i="5"/>
  <c r="QO173" i="5"/>
  <c r="QH173" i="5"/>
  <c r="PT173" i="5"/>
  <c r="PO173" i="5"/>
  <c r="QE173" i="5"/>
  <c r="PL173" i="5"/>
  <c r="QB173" i="5"/>
  <c r="PM173" i="5"/>
  <c r="PN173" i="5"/>
  <c r="PQ173" i="5"/>
  <c r="PJ173" i="5"/>
  <c r="QP173" i="5"/>
  <c r="PW173" i="5"/>
  <c r="QJ173" i="5"/>
  <c r="QD173" i="5"/>
  <c r="PZ173" i="5"/>
  <c r="PS173" i="5"/>
  <c r="QI173" i="5"/>
  <c r="PP173" i="5"/>
  <c r="QF173" i="5"/>
  <c r="PU173" i="5"/>
  <c r="PV173" i="5"/>
  <c r="PY173" i="5"/>
  <c r="PR173" i="5"/>
  <c r="QC173" i="5"/>
  <c r="QM173" i="5"/>
  <c r="QG173" i="5"/>
  <c r="GU173" i="5"/>
  <c r="GV173" i="5" s="1"/>
  <c r="EY173" i="5"/>
  <c r="FX173" i="5"/>
  <c r="FI173" i="5"/>
  <c r="FG173" i="5" s="1"/>
  <c r="HZ173" i="5"/>
  <c r="GA173" i="5"/>
  <c r="EO173" i="5"/>
  <c r="EQ173" i="5" s="1"/>
  <c r="GP173" i="5"/>
  <c r="FC173" i="5"/>
  <c r="FR173" i="5"/>
  <c r="FO173" i="5"/>
  <c r="ET173" i="5"/>
  <c r="GD173" i="5"/>
  <c r="DU173" i="5"/>
  <c r="GG173" i="5"/>
  <c r="FL173" i="5"/>
  <c r="PL91" i="5"/>
  <c r="QB91" i="5"/>
  <c r="CO91" i="5" s="1"/>
  <c r="HH91" i="5" s="1"/>
  <c r="PN91" i="5"/>
  <c r="QI91" i="5"/>
  <c r="PW91" i="5"/>
  <c r="PR91" i="5"/>
  <c r="PV91" i="5"/>
  <c r="QP91" i="5"/>
  <c r="PU91" i="5"/>
  <c r="PK91" i="5"/>
  <c r="PP91" i="5"/>
  <c r="QF91" i="5"/>
  <c r="PS91" i="5"/>
  <c r="QO91" i="5"/>
  <c r="QE91" i="5"/>
  <c r="PZ91" i="5"/>
  <c r="QK91" i="5"/>
  <c r="PO91" i="5"/>
  <c r="QH91" i="5"/>
  <c r="PT91" i="5"/>
  <c r="QJ91" i="5"/>
  <c r="PY91" i="5"/>
  <c r="PJ91" i="5"/>
  <c r="QL91" i="5"/>
  <c r="QG91" i="5"/>
  <c r="PM91" i="5"/>
  <c r="QC91" i="5"/>
  <c r="PX91" i="5"/>
  <c r="QD91" i="5"/>
  <c r="PQ91" i="5"/>
  <c r="QM91" i="5"/>
  <c r="QQ91" i="5"/>
  <c r="QN91" i="5"/>
  <c r="QA91" i="5"/>
  <c r="CZ75" i="5"/>
  <c r="CW75" i="5"/>
  <c r="CZ52" i="5"/>
  <c r="CW93" i="5"/>
  <c r="CZ104" i="5"/>
  <c r="FR172" i="5"/>
  <c r="GP172" i="5"/>
  <c r="GG172" i="5"/>
  <c r="GA172" i="5"/>
  <c r="EY172" i="5"/>
  <c r="IH172" i="5"/>
  <c r="II172" i="5" s="1"/>
  <c r="IE172" i="5" s="1"/>
  <c r="NX172" i="5" s="1"/>
  <c r="GU172" i="5"/>
  <c r="GV172" i="5" s="1"/>
  <c r="CW129" i="5"/>
  <c r="HZ172" i="5"/>
  <c r="DU172" i="5"/>
  <c r="CZ34" i="5"/>
  <c r="EO172" i="5"/>
  <c r="EQ172" i="5" s="1"/>
  <c r="FX172" i="5"/>
  <c r="FI172" i="5"/>
  <c r="FG172" i="5" s="1"/>
  <c r="ND172" i="5" s="1"/>
  <c r="FL172" i="5"/>
  <c r="GD172" i="5"/>
  <c r="FC172" i="5"/>
  <c r="FO172" i="5"/>
  <c r="CZ6" i="5"/>
  <c r="FC131" i="5"/>
  <c r="FO130" i="5"/>
  <c r="FX131" i="5"/>
  <c r="GD131" i="5"/>
  <c r="CZ60" i="5"/>
  <c r="CW60" i="5"/>
  <c r="CZ45" i="5"/>
  <c r="DU131" i="5"/>
  <c r="NS90" i="5"/>
  <c r="NU90" i="5" s="1"/>
  <c r="CZ31" i="5"/>
  <c r="NS156" i="5"/>
  <c r="NU156" i="5" s="1"/>
  <c r="NT156" i="5"/>
  <c r="NV156" i="5" s="1"/>
  <c r="ET130" i="5"/>
  <c r="CW12" i="5"/>
  <c r="CZ95" i="5"/>
  <c r="CW95" i="5"/>
  <c r="CZ84" i="5"/>
  <c r="CW84" i="5"/>
  <c r="CZ23" i="5"/>
  <c r="CW23" i="5"/>
  <c r="QU133" i="5"/>
  <c r="QZ133" i="5"/>
  <c r="RE133" i="5"/>
  <c r="QT133" i="5"/>
  <c r="QY133" i="5"/>
  <c r="RD133" i="5"/>
  <c r="RI133" i="5"/>
  <c r="RJ133" i="5"/>
  <c r="RC133" i="5"/>
  <c r="RH133" i="5"/>
  <c r="RM133" i="5"/>
  <c r="RN133" i="5"/>
  <c r="RG133" i="5"/>
  <c r="RL133" i="5"/>
  <c r="CQ133" i="5" s="1"/>
  <c r="RQ133" i="5"/>
  <c r="QX133" i="5"/>
  <c r="RK133" i="5"/>
  <c r="RP133" i="5"/>
  <c r="RU133" i="5"/>
  <c r="RO133" i="5"/>
  <c r="RT133" i="5"/>
  <c r="RB133" i="5"/>
  <c r="RS133" i="5"/>
  <c r="QW133" i="5"/>
  <c r="RR133" i="5"/>
  <c r="QV133" i="5"/>
  <c r="RA133" i="5"/>
  <c r="RF133" i="5"/>
  <c r="PP133" i="5"/>
  <c r="PQ133" i="5"/>
  <c r="PW133" i="5"/>
  <c r="PY133" i="5"/>
  <c r="QI133" i="5"/>
  <c r="PT133" i="5"/>
  <c r="PV133" i="5"/>
  <c r="QC133" i="5"/>
  <c r="QO133" i="5"/>
  <c r="PN133" i="5"/>
  <c r="QB133" i="5"/>
  <c r="QG133" i="5"/>
  <c r="QM133" i="5"/>
  <c r="QD133" i="5"/>
  <c r="QF133" i="5"/>
  <c r="CO133" i="5" s="1"/>
  <c r="HH133" i="5" s="1"/>
  <c r="QL133" i="5"/>
  <c r="PO133" i="5"/>
  <c r="QP133" i="5"/>
  <c r="QJ133" i="5"/>
  <c r="QQ133" i="5"/>
  <c r="PZ133" i="5"/>
  <c r="PS133" i="5"/>
  <c r="PL133" i="5"/>
  <c r="PK133" i="5"/>
  <c r="PR133" i="5"/>
  <c r="PU133" i="5"/>
  <c r="PX133" i="5"/>
  <c r="QH133" i="5"/>
  <c r="QN133" i="5"/>
  <c r="PM133" i="5"/>
  <c r="QK133" i="5"/>
  <c r="QE133" i="5"/>
  <c r="PJ133" i="5"/>
  <c r="QA133" i="5"/>
  <c r="DC133" i="5"/>
  <c r="HL133" i="5" s="1"/>
  <c r="CZ133" i="5"/>
  <c r="DX133" i="5"/>
  <c r="HM133" i="5"/>
  <c r="FX133" i="5"/>
  <c r="EY133" i="5"/>
  <c r="FC133" i="5"/>
  <c r="EO133" i="5"/>
  <c r="EQ133" i="5" s="1"/>
  <c r="HZ133" i="5"/>
  <c r="GU133" i="5"/>
  <c r="GV133" i="5" s="1"/>
  <c r="GP133" i="5"/>
  <c r="FI133" i="5"/>
  <c r="FG133" i="5" s="1"/>
  <c r="FR133" i="5"/>
  <c r="GA133" i="5"/>
  <c r="GD133" i="5"/>
  <c r="DU133" i="5"/>
  <c r="ET133" i="5"/>
  <c r="GG133" i="5"/>
  <c r="FL133" i="5"/>
  <c r="FO133" i="5"/>
  <c r="IH133" i="5"/>
  <c r="II133" i="5" s="1"/>
  <c r="CW133" i="5"/>
  <c r="ND108" i="5"/>
  <c r="CZ9" i="5"/>
  <c r="NT108" i="5"/>
  <c r="NV108" i="5" s="1"/>
  <c r="PX108" i="5"/>
  <c r="PV108" i="5"/>
  <c r="QL108" i="5"/>
  <c r="QB108" i="5"/>
  <c r="PM108" i="5"/>
  <c r="QK108" i="5"/>
  <c r="QM108" i="5"/>
  <c r="PO108" i="5"/>
  <c r="PW108" i="5"/>
  <c r="PY108" i="5"/>
  <c r="QF108" i="5"/>
  <c r="PS108" i="5"/>
  <c r="QC108" i="5"/>
  <c r="QI108" i="5"/>
  <c r="QO108" i="5"/>
  <c r="QG108" i="5"/>
  <c r="QH108" i="5"/>
  <c r="QE108" i="5"/>
  <c r="QA108" i="5"/>
  <c r="PQ108" i="5"/>
  <c r="PN108" i="5"/>
  <c r="PK108" i="5"/>
  <c r="QD108" i="5"/>
  <c r="PP108" i="5"/>
  <c r="PU108" i="5"/>
  <c r="PJ108" i="5"/>
  <c r="QP108" i="5"/>
  <c r="PZ108" i="5"/>
  <c r="PR108" i="5"/>
  <c r="PT108" i="5"/>
  <c r="PL108" i="5"/>
  <c r="QJ108" i="5"/>
  <c r="QN108" i="5"/>
  <c r="QQ108" i="5"/>
  <c r="RU108" i="5"/>
  <c r="QU108" i="5"/>
  <c r="RT108" i="5"/>
  <c r="QT108" i="5"/>
  <c r="QY108" i="5"/>
  <c r="RH108" i="5"/>
  <c r="QW108" i="5"/>
  <c r="QX108" i="5"/>
  <c r="RC108" i="5"/>
  <c r="QV108" i="5"/>
  <c r="RA108" i="5"/>
  <c r="RB108" i="5"/>
  <c r="RG108" i="5"/>
  <c r="RL108" i="5"/>
  <c r="RE108" i="5"/>
  <c r="RF108" i="5"/>
  <c r="RK108" i="5"/>
  <c r="QZ108" i="5"/>
  <c r="RI108" i="5"/>
  <c r="RJ108" i="5"/>
  <c r="RO108" i="5"/>
  <c r="RP108" i="5"/>
  <c r="RM108" i="5"/>
  <c r="RN108" i="5"/>
  <c r="RS108" i="5"/>
  <c r="RQ108" i="5"/>
  <c r="RR108" i="5"/>
  <c r="RD108" i="5"/>
  <c r="DC108" i="5"/>
  <c r="HL108" i="5" s="1"/>
  <c r="CZ108" i="5"/>
  <c r="CW108" i="5"/>
  <c r="DX108" i="5"/>
  <c r="HM108" i="5"/>
  <c r="NT90" i="5"/>
  <c r="NV90" i="5" s="1"/>
  <c r="QY156" i="5"/>
  <c r="RE156" i="5"/>
  <c r="RT156" i="5"/>
  <c r="RR156" i="5"/>
  <c r="RC156" i="5"/>
  <c r="RI156" i="5"/>
  <c r="QX156" i="5"/>
  <c r="QT156" i="5"/>
  <c r="RG156" i="5"/>
  <c r="RM156" i="5"/>
  <c r="RF156" i="5"/>
  <c r="RB156" i="5"/>
  <c r="RK156" i="5"/>
  <c r="RQ156" i="5"/>
  <c r="RN156" i="5"/>
  <c r="RO156" i="5"/>
  <c r="RU156" i="5"/>
  <c r="QZ156" i="5"/>
  <c r="RS156" i="5"/>
  <c r="QV156" i="5"/>
  <c r="RH156" i="5"/>
  <c r="QW156" i="5"/>
  <c r="RD156" i="5"/>
  <c r="RP156" i="5"/>
  <c r="QU156" i="5"/>
  <c r="RA156" i="5"/>
  <c r="RL156" i="5"/>
  <c r="RJ156" i="5"/>
  <c r="QB156" i="5"/>
  <c r="QC156" i="5"/>
  <c r="PJ156" i="5"/>
  <c r="QI156" i="5"/>
  <c r="QD156" i="5"/>
  <c r="QH156" i="5"/>
  <c r="QF156" i="5"/>
  <c r="QG156" i="5"/>
  <c r="PR156" i="5"/>
  <c r="QQ156" i="5"/>
  <c r="QN156" i="5"/>
  <c r="QO156" i="5"/>
  <c r="PL156" i="5"/>
  <c r="PM156" i="5"/>
  <c r="PO156" i="5"/>
  <c r="QP156" i="5"/>
  <c r="PN156" i="5"/>
  <c r="QJ156" i="5"/>
  <c r="PP156" i="5"/>
  <c r="PQ156" i="5"/>
  <c r="PW156" i="5"/>
  <c r="PK156" i="5"/>
  <c r="PV156" i="5"/>
  <c r="PZ156" i="5"/>
  <c r="QL156" i="5"/>
  <c r="PT156" i="5"/>
  <c r="PU156" i="5"/>
  <c r="QE156" i="5"/>
  <c r="PS156" i="5"/>
  <c r="PX156" i="5"/>
  <c r="PY156" i="5"/>
  <c r="QM156" i="5"/>
  <c r="QA156" i="5"/>
  <c r="QK156" i="5"/>
  <c r="DC156" i="5"/>
  <c r="HL156" i="5" s="1"/>
  <c r="CZ156" i="5"/>
  <c r="CW156" i="5"/>
  <c r="DX156" i="5"/>
  <c r="HM156" i="5"/>
  <c r="DC94" i="5"/>
  <c r="HL94" i="5" s="1"/>
  <c r="CZ94" i="5"/>
  <c r="CW94" i="5"/>
  <c r="DX94" i="5"/>
  <c r="HM94" i="5"/>
  <c r="EY94" i="5"/>
  <c r="EO94" i="5"/>
  <c r="EQ94" i="5" s="1"/>
  <c r="HZ94" i="5"/>
  <c r="GU94" i="5"/>
  <c r="GV94" i="5" s="1"/>
  <c r="GP94" i="5"/>
  <c r="FX94" i="5"/>
  <c r="FI94" i="5"/>
  <c r="FG94" i="5" s="1"/>
  <c r="FC94" i="5"/>
  <c r="GD94" i="5"/>
  <c r="DU94" i="5"/>
  <c r="ET94" i="5"/>
  <c r="GG94" i="5"/>
  <c r="FR94" i="5"/>
  <c r="GA94" i="5"/>
  <c r="FL94" i="5"/>
  <c r="FO94" i="5"/>
  <c r="PZ94" i="5"/>
  <c r="QC94" i="5"/>
  <c r="PP94" i="5"/>
  <c r="QM94" i="5"/>
  <c r="QD94" i="5"/>
  <c r="QI94" i="5"/>
  <c r="PW94" i="5"/>
  <c r="PL94" i="5"/>
  <c r="QH94" i="5"/>
  <c r="QN94" i="5"/>
  <c r="QE94" i="5"/>
  <c r="QA94" i="5"/>
  <c r="QL94" i="5"/>
  <c r="PO94" i="5"/>
  <c r="QK94" i="5"/>
  <c r="QO94" i="5"/>
  <c r="PJ94" i="5"/>
  <c r="QP94" i="5"/>
  <c r="PU94" i="5"/>
  <c r="PT94" i="5"/>
  <c r="QF94" i="5"/>
  <c r="PN94" i="5"/>
  <c r="PM94" i="5"/>
  <c r="QB94" i="5"/>
  <c r="QG94" i="5"/>
  <c r="PQ94" i="5"/>
  <c r="PR94" i="5"/>
  <c r="PS94" i="5"/>
  <c r="QJ94" i="5"/>
  <c r="CO94" i="5" s="1"/>
  <c r="HH94" i="5" s="1"/>
  <c r="PK94" i="5"/>
  <c r="PV94" i="5"/>
  <c r="PX94" i="5"/>
  <c r="QQ94" i="5"/>
  <c r="PY94" i="5"/>
  <c r="RO94" i="5"/>
  <c r="RT94" i="5"/>
  <c r="QW94" i="5"/>
  <c r="RS94" i="5"/>
  <c r="RA94" i="5"/>
  <c r="RE94" i="5"/>
  <c r="QV94" i="5"/>
  <c r="RI94" i="5"/>
  <c r="RM94" i="5"/>
  <c r="QU94" i="5"/>
  <c r="QZ94" i="5"/>
  <c r="RQ94" i="5"/>
  <c r="RU94" i="5"/>
  <c r="QY94" i="5"/>
  <c r="RD94" i="5"/>
  <c r="QT94" i="5"/>
  <c r="QX94" i="5"/>
  <c r="RC94" i="5"/>
  <c r="RH94" i="5"/>
  <c r="RB94" i="5"/>
  <c r="RF94" i="5"/>
  <c r="RG94" i="5"/>
  <c r="RL94" i="5"/>
  <c r="RJ94" i="5"/>
  <c r="RN94" i="5"/>
  <c r="RK94" i="5"/>
  <c r="RP94" i="5"/>
  <c r="CQ94" i="5" s="1"/>
  <c r="RR94" i="5"/>
  <c r="CZ39" i="5"/>
  <c r="RO155" i="5"/>
  <c r="RU155" i="5"/>
  <c r="QV155" i="5"/>
  <c r="RS155" i="5"/>
  <c r="QZ155" i="5"/>
  <c r="RD155" i="5"/>
  <c r="QW155" i="5"/>
  <c r="RH155" i="5"/>
  <c r="RL155" i="5"/>
  <c r="QU155" i="5"/>
  <c r="RA155" i="5"/>
  <c r="RP155" i="5"/>
  <c r="RT155" i="5"/>
  <c r="QY155" i="5"/>
  <c r="RE155" i="5"/>
  <c r="QT155" i="5"/>
  <c r="RF155" i="5"/>
  <c r="RC155" i="5"/>
  <c r="RI155" i="5"/>
  <c r="RB155" i="5"/>
  <c r="RN155" i="5"/>
  <c r="RG155" i="5"/>
  <c r="RM155" i="5"/>
  <c r="RJ155" i="5"/>
  <c r="QX155" i="5"/>
  <c r="RK155" i="5"/>
  <c r="RQ155" i="5"/>
  <c r="RR155" i="5"/>
  <c r="CQ155" i="5" s="1"/>
  <c r="PJ155" i="5"/>
  <c r="QP155" i="5"/>
  <c r="QM155" i="5"/>
  <c r="QB155" i="5"/>
  <c r="PP155" i="5"/>
  <c r="PN155" i="5"/>
  <c r="PK155" i="5"/>
  <c r="QQ155" i="5"/>
  <c r="QJ155" i="5"/>
  <c r="PX155" i="5"/>
  <c r="PR155" i="5"/>
  <c r="PQ155" i="5"/>
  <c r="PV155" i="5"/>
  <c r="PS155" i="5"/>
  <c r="PY155" i="5"/>
  <c r="PU155" i="5"/>
  <c r="PZ155" i="5"/>
  <c r="PW155" i="5"/>
  <c r="QG155" i="5"/>
  <c r="QC155" i="5"/>
  <c r="PO155" i="5"/>
  <c r="PM155" i="5"/>
  <c r="QD155" i="5"/>
  <c r="QA155" i="5"/>
  <c r="QO155" i="5"/>
  <c r="QK155" i="5"/>
  <c r="QH155" i="5"/>
  <c r="QE155" i="5"/>
  <c r="PL155" i="5"/>
  <c r="QF155" i="5"/>
  <c r="QL155" i="5"/>
  <c r="CO155" i="5" s="1"/>
  <c r="HH155" i="5" s="1"/>
  <c r="QI155" i="5"/>
  <c r="PT155" i="5"/>
  <c r="QN155" i="5"/>
  <c r="DC155" i="5"/>
  <c r="HL155" i="5" s="1"/>
  <c r="CZ155" i="5"/>
  <c r="DX155" i="5"/>
  <c r="HM155" i="5"/>
  <c r="CW155" i="5"/>
  <c r="GP155" i="5"/>
  <c r="GA155" i="5"/>
  <c r="FX155" i="5"/>
  <c r="FI155" i="5"/>
  <c r="FG155" i="5" s="1"/>
  <c r="FC155" i="5"/>
  <c r="EY155" i="5"/>
  <c r="HZ155" i="5"/>
  <c r="EO155" i="5"/>
  <c r="EQ155" i="5" s="1"/>
  <c r="GU155" i="5"/>
  <c r="GV155" i="5" s="1"/>
  <c r="FO155" i="5"/>
  <c r="FR155" i="5"/>
  <c r="DU155" i="5"/>
  <c r="ET155" i="5"/>
  <c r="GG155" i="5"/>
  <c r="GD155" i="5"/>
  <c r="FL155" i="5"/>
  <c r="IH155" i="5"/>
  <c r="II155" i="5" s="1"/>
  <c r="ET131" i="5"/>
  <c r="EY131" i="5"/>
  <c r="GA131" i="5"/>
  <c r="GP131" i="5"/>
  <c r="FR131" i="5"/>
  <c r="GU131" i="5"/>
  <c r="GV131" i="5" s="1"/>
  <c r="FO131" i="5"/>
  <c r="IH131" i="5"/>
  <c r="II131" i="5" s="1"/>
  <c r="IE131" i="5" s="1"/>
  <c r="NX131" i="5" s="1"/>
  <c r="HZ131" i="5"/>
  <c r="FL131" i="5"/>
  <c r="EO131" i="5"/>
  <c r="EQ131" i="5" s="1"/>
  <c r="GG131" i="5"/>
  <c r="QA164" i="5"/>
  <c r="PX164" i="5"/>
  <c r="PY164" i="5"/>
  <c r="QH164" i="5"/>
  <c r="QE164" i="5"/>
  <c r="QB164" i="5"/>
  <c r="QC164" i="5"/>
  <c r="PV164" i="5"/>
  <c r="QI164" i="5"/>
  <c r="QF164" i="5"/>
  <c r="QG164" i="5"/>
  <c r="QL164" i="5"/>
  <c r="QM164" i="5"/>
  <c r="QJ164" i="5"/>
  <c r="QK164" i="5"/>
  <c r="PJ164" i="5"/>
  <c r="PK164" i="5"/>
  <c r="QQ164" i="5"/>
  <c r="QN164" i="5"/>
  <c r="QO164" i="5"/>
  <c r="PZ164" i="5"/>
  <c r="PO164" i="5"/>
  <c r="PL164" i="5"/>
  <c r="PM164" i="5"/>
  <c r="PN164" i="5"/>
  <c r="QP164" i="5"/>
  <c r="PS164" i="5"/>
  <c r="PP164" i="5"/>
  <c r="PQ164" i="5"/>
  <c r="CO164" i="5" s="1"/>
  <c r="HH164" i="5" s="1"/>
  <c r="QD164" i="5"/>
  <c r="PW164" i="5"/>
  <c r="PT164" i="5"/>
  <c r="PU164" i="5"/>
  <c r="PR164" i="5"/>
  <c r="QT164" i="5"/>
  <c r="RF164" i="5"/>
  <c r="RD164" i="5"/>
  <c r="QU164" i="5"/>
  <c r="QZ164" i="5"/>
  <c r="RL164" i="5"/>
  <c r="RI164" i="5"/>
  <c r="QY164" i="5"/>
  <c r="RE164" i="5"/>
  <c r="RQ164" i="5"/>
  <c r="RN164" i="5"/>
  <c r="RC164" i="5"/>
  <c r="RJ164" i="5"/>
  <c r="QW164" i="5"/>
  <c r="CQ164" i="5" s="1"/>
  <c r="QX164" i="5"/>
  <c r="RG164" i="5"/>
  <c r="RP164" i="5"/>
  <c r="RB164" i="5"/>
  <c r="RT164" i="5"/>
  <c r="RK164" i="5"/>
  <c r="RU164" i="5"/>
  <c r="RH164" i="5"/>
  <c r="RO164" i="5"/>
  <c r="QV164" i="5"/>
  <c r="RM164" i="5"/>
  <c r="RS164" i="5"/>
  <c r="RA164" i="5"/>
  <c r="RR164" i="5"/>
  <c r="DC164" i="5"/>
  <c r="HL164" i="5" s="1"/>
  <c r="CZ164" i="5"/>
  <c r="CW164" i="5"/>
  <c r="EY164" i="5"/>
  <c r="FC164" i="5"/>
  <c r="EO164" i="5"/>
  <c r="EQ164" i="5" s="1"/>
  <c r="HZ164" i="5"/>
  <c r="GU164" i="5"/>
  <c r="GV164" i="5" s="1"/>
  <c r="GP164" i="5"/>
  <c r="FX164" i="5"/>
  <c r="FI164" i="5"/>
  <c r="FG164" i="5" s="1"/>
  <c r="FL164" i="5"/>
  <c r="GG164" i="5"/>
  <c r="ET164" i="5"/>
  <c r="GA164" i="5"/>
  <c r="FO164" i="5"/>
  <c r="DU164" i="5"/>
  <c r="GD164" i="5"/>
  <c r="FR164" i="5"/>
  <c r="DX164" i="5"/>
  <c r="HM164" i="5"/>
  <c r="PO90" i="5"/>
  <c r="QK90" i="5"/>
  <c r="PL90" i="5"/>
  <c r="PN90" i="5"/>
  <c r="PQ90" i="5"/>
  <c r="QC90" i="5"/>
  <c r="PV90" i="5"/>
  <c r="PM90" i="5"/>
  <c r="QE90" i="5"/>
  <c r="PU90" i="5"/>
  <c r="QN90" i="5"/>
  <c r="QG90" i="5"/>
  <c r="QO90" i="5"/>
  <c r="QJ90" i="5"/>
  <c r="QB90" i="5"/>
  <c r="PK90" i="5"/>
  <c r="PJ90" i="5"/>
  <c r="PY90" i="5"/>
  <c r="QI90" i="5"/>
  <c r="PS90" i="5"/>
  <c r="PT90" i="5"/>
  <c r="PW90" i="5"/>
  <c r="PZ90" i="5"/>
  <c r="PR90" i="5"/>
  <c r="QL90" i="5"/>
  <c r="CO90" i="5" s="1"/>
  <c r="HH90" i="5" s="1"/>
  <c r="QF90" i="5"/>
  <c r="QP90" i="5"/>
  <c r="QH90" i="5"/>
  <c r="QQ90" i="5"/>
  <c r="QD90" i="5"/>
  <c r="PX90" i="5"/>
  <c r="QA90" i="5"/>
  <c r="PP90" i="5"/>
  <c r="QM90" i="5"/>
  <c r="RC90" i="5"/>
  <c r="RH90" i="5"/>
  <c r="RB90" i="5"/>
  <c r="QX90" i="5"/>
  <c r="RG90" i="5"/>
  <c r="RL90" i="5"/>
  <c r="RJ90" i="5"/>
  <c r="RF90" i="5"/>
  <c r="RK90" i="5"/>
  <c r="RP90" i="5"/>
  <c r="RR90" i="5"/>
  <c r="RO90" i="5"/>
  <c r="RT90" i="5"/>
  <c r="QW90" i="5"/>
  <c r="RS90" i="5"/>
  <c r="RA90" i="5"/>
  <c r="RE90" i="5"/>
  <c r="QV90" i="5"/>
  <c r="RI90" i="5"/>
  <c r="RM90" i="5"/>
  <c r="QU90" i="5"/>
  <c r="QZ90" i="5"/>
  <c r="RQ90" i="5"/>
  <c r="RU90" i="5"/>
  <c r="QY90" i="5"/>
  <c r="RD90" i="5"/>
  <c r="QT90" i="5"/>
  <c r="RN90" i="5"/>
  <c r="DC90" i="5"/>
  <c r="HL90" i="5" s="1"/>
  <c r="CZ90" i="5"/>
  <c r="CW90" i="5"/>
  <c r="DX90" i="5"/>
  <c r="HM90" i="5"/>
  <c r="NT177" i="5"/>
  <c r="NV177" i="5" s="1"/>
  <c r="HZ168" i="5"/>
  <c r="GU168" i="5"/>
  <c r="GV168" i="5" s="1"/>
  <c r="EY168" i="5"/>
  <c r="GP168" i="5"/>
  <c r="FI168" i="5"/>
  <c r="FG168" i="5" s="1"/>
  <c r="FC168" i="5"/>
  <c r="EO168" i="5"/>
  <c r="EQ168" i="5" s="1"/>
  <c r="GA168" i="5"/>
  <c r="FX168" i="5"/>
  <c r="FL168" i="5"/>
  <c r="GG168" i="5"/>
  <c r="GD168" i="5"/>
  <c r="DU168" i="5"/>
  <c r="FR168" i="5"/>
  <c r="FO168" i="5"/>
  <c r="ET168" i="5"/>
  <c r="QT168" i="5"/>
  <c r="QY168" i="5"/>
  <c r="RH168" i="5"/>
  <c r="QW168" i="5"/>
  <c r="QX168" i="5"/>
  <c r="RC168" i="5"/>
  <c r="QV168" i="5"/>
  <c r="RA168" i="5"/>
  <c r="RB168" i="5"/>
  <c r="RG168" i="5"/>
  <c r="RL168" i="5"/>
  <c r="RE168" i="5"/>
  <c r="RF168" i="5"/>
  <c r="RK168" i="5"/>
  <c r="RP168" i="5"/>
  <c r="RI168" i="5"/>
  <c r="RJ168" i="5"/>
  <c r="RO168" i="5"/>
  <c r="QZ168" i="5"/>
  <c r="RM168" i="5"/>
  <c r="RN168" i="5"/>
  <c r="RS168" i="5"/>
  <c r="RQ168" i="5"/>
  <c r="CQ168" i="5" s="1"/>
  <c r="RR168" i="5"/>
  <c r="RD168" i="5"/>
  <c r="RU168" i="5"/>
  <c r="QU168" i="5"/>
  <c r="RT168" i="5"/>
  <c r="PW168" i="5"/>
  <c r="PT168" i="5"/>
  <c r="QG168" i="5"/>
  <c r="PU168" i="5"/>
  <c r="QE168" i="5"/>
  <c r="QK168" i="5"/>
  <c r="CO168" i="5" s="1"/>
  <c r="HH168" i="5" s="1"/>
  <c r="QA168" i="5"/>
  <c r="PX168" i="5"/>
  <c r="QO168" i="5"/>
  <c r="QC168" i="5"/>
  <c r="QM168" i="5"/>
  <c r="QJ168" i="5"/>
  <c r="PZ168" i="5"/>
  <c r="PV168" i="5"/>
  <c r="QB168" i="5"/>
  <c r="PK168" i="5"/>
  <c r="QQ168" i="5"/>
  <c r="QN168" i="5"/>
  <c r="QH168" i="5"/>
  <c r="QD168" i="5"/>
  <c r="PO168" i="5"/>
  <c r="PL168" i="5"/>
  <c r="PQ168" i="5"/>
  <c r="QP168" i="5"/>
  <c r="QL168" i="5"/>
  <c r="PJ168" i="5"/>
  <c r="QI168" i="5"/>
  <c r="PR168" i="5"/>
  <c r="PN168" i="5"/>
  <c r="PS168" i="5"/>
  <c r="PP168" i="5"/>
  <c r="PY168" i="5"/>
  <c r="PM168" i="5"/>
  <c r="QF168" i="5"/>
  <c r="CZ168" i="5"/>
  <c r="CW168" i="5"/>
  <c r="DX168" i="5"/>
  <c r="HM168" i="5"/>
  <c r="ND177" i="5"/>
  <c r="QM177" i="5"/>
  <c r="QP177" i="5"/>
  <c r="PR177" i="5"/>
  <c r="CO177" i="5" s="1"/>
  <c r="HH177" i="5" s="1"/>
  <c r="QD177" i="5"/>
  <c r="PK177" i="5"/>
  <c r="QQ177" i="5"/>
  <c r="PL177" i="5"/>
  <c r="PX177" i="5"/>
  <c r="QJ177" i="5"/>
  <c r="PO177" i="5"/>
  <c r="PJ177" i="5"/>
  <c r="PQ177" i="5"/>
  <c r="QC177" i="5"/>
  <c r="QO177" i="5"/>
  <c r="PS177" i="5"/>
  <c r="PP177" i="5"/>
  <c r="PV177" i="5"/>
  <c r="QH177" i="5"/>
  <c r="PW177" i="5"/>
  <c r="PU177" i="5"/>
  <c r="QB177" i="5"/>
  <c r="QN177" i="5"/>
  <c r="QA177" i="5"/>
  <c r="PZ177" i="5"/>
  <c r="QG177" i="5"/>
  <c r="PN177" i="5"/>
  <c r="QE177" i="5"/>
  <c r="QF177" i="5"/>
  <c r="QL177" i="5"/>
  <c r="PT177" i="5"/>
  <c r="QI177" i="5"/>
  <c r="QK177" i="5"/>
  <c r="PM177" i="5"/>
  <c r="PY177" i="5"/>
  <c r="RI177" i="5"/>
  <c r="RJ177" i="5"/>
  <c r="RK177" i="5"/>
  <c r="RO177" i="5"/>
  <c r="RM177" i="5"/>
  <c r="RN177" i="5"/>
  <c r="RS177" i="5"/>
  <c r="RQ177" i="5"/>
  <c r="RR177" i="5"/>
  <c r="QV177" i="5"/>
  <c r="RU177" i="5"/>
  <c r="QZ177" i="5"/>
  <c r="RD177" i="5"/>
  <c r="QT177" i="5"/>
  <c r="RH177" i="5"/>
  <c r="RL177" i="5"/>
  <c r="QW177" i="5"/>
  <c r="QX177" i="5"/>
  <c r="RP177" i="5"/>
  <c r="RT177" i="5"/>
  <c r="RA177" i="5"/>
  <c r="RB177" i="5"/>
  <c r="QU177" i="5"/>
  <c r="QY177" i="5"/>
  <c r="RE177" i="5"/>
  <c r="RF177" i="5"/>
  <c r="RC177" i="5"/>
  <c r="RG177" i="5"/>
  <c r="DC177" i="5"/>
  <c r="HL177" i="5" s="1"/>
  <c r="CZ177" i="5"/>
  <c r="CW177" i="5"/>
  <c r="HM177" i="5"/>
  <c r="DX177" i="5"/>
  <c r="CZ130" i="5"/>
  <c r="DX146" i="5"/>
  <c r="HM146" i="5"/>
  <c r="QU146" i="5"/>
  <c r="QZ146" i="5"/>
  <c r="RE146" i="5"/>
  <c r="RR146" i="5"/>
  <c r="QY146" i="5"/>
  <c r="RD146" i="5"/>
  <c r="RI146" i="5"/>
  <c r="RF146" i="5"/>
  <c r="RC146" i="5"/>
  <c r="RH146" i="5"/>
  <c r="RM146" i="5"/>
  <c r="QT146" i="5"/>
  <c r="RG146" i="5"/>
  <c r="RL146" i="5"/>
  <c r="RQ146" i="5"/>
  <c r="RJ146" i="5"/>
  <c r="RK146" i="5"/>
  <c r="RP146" i="5"/>
  <c r="RU146" i="5"/>
  <c r="RO146" i="5"/>
  <c r="RT146" i="5"/>
  <c r="QX146" i="5"/>
  <c r="RS146" i="5"/>
  <c r="CQ146" i="5" s="1"/>
  <c r="QW146" i="5"/>
  <c r="RN146" i="5"/>
  <c r="QV146" i="5"/>
  <c r="RA146" i="5"/>
  <c r="RB146" i="5"/>
  <c r="PL146" i="5"/>
  <c r="PM146" i="5"/>
  <c r="PK146" i="5"/>
  <c r="QL146" i="5"/>
  <c r="PJ146" i="5"/>
  <c r="PU146" i="5"/>
  <c r="PP146" i="5"/>
  <c r="PQ146" i="5"/>
  <c r="PS146" i="5"/>
  <c r="PO146" i="5"/>
  <c r="QP146" i="5"/>
  <c r="PT146" i="5"/>
  <c r="QA146" i="5"/>
  <c r="PW146" i="5"/>
  <c r="PX146" i="5"/>
  <c r="PY146" i="5"/>
  <c r="QI146" i="5"/>
  <c r="QE146" i="5"/>
  <c r="QB146" i="5"/>
  <c r="QC146" i="5"/>
  <c r="QQ146" i="5"/>
  <c r="QM146" i="5"/>
  <c r="CO146" i="5" s="1"/>
  <c r="HH146" i="5" s="1"/>
  <c r="QF146" i="5"/>
  <c r="QG146" i="5"/>
  <c r="PN146" i="5"/>
  <c r="PR146" i="5"/>
  <c r="QJ146" i="5"/>
  <c r="QK146" i="5"/>
  <c r="PV146" i="5"/>
  <c r="PZ146" i="5"/>
  <c r="QN146" i="5"/>
  <c r="QO146" i="5"/>
  <c r="QD146" i="5"/>
  <c r="QH146" i="5"/>
  <c r="DC146" i="5"/>
  <c r="HL146" i="5" s="1"/>
  <c r="CZ146" i="5"/>
  <c r="CW149" i="5"/>
  <c r="ET207" i="5"/>
  <c r="IH130" i="5"/>
  <c r="II130" i="5" s="1"/>
  <c r="IH207" i="5"/>
  <c r="II207" i="5" s="1"/>
  <c r="FX207" i="5"/>
  <c r="GP207" i="5"/>
  <c r="FC207" i="5"/>
  <c r="EY207" i="5"/>
  <c r="HZ207" i="5"/>
  <c r="GU207" i="5"/>
  <c r="GV207" i="5" s="1"/>
  <c r="FI207" i="5"/>
  <c r="FG207" i="5" s="1"/>
  <c r="EO207" i="5"/>
  <c r="EQ207" i="5" s="1"/>
  <c r="GA207" i="5"/>
  <c r="FO207" i="5"/>
  <c r="DU207" i="5"/>
  <c r="GG207" i="5"/>
  <c r="FR207" i="5"/>
  <c r="FL207" i="5"/>
  <c r="HM207" i="5"/>
  <c r="DC207" i="5"/>
  <c r="HL207" i="5" s="1"/>
  <c r="CW207" i="5"/>
  <c r="RE207" i="5"/>
  <c r="CQ207" i="5"/>
  <c r="PZ207" i="5"/>
  <c r="PS207" i="5"/>
  <c r="IH203" i="5"/>
  <c r="II203" i="5" s="1"/>
  <c r="GA12" i="5"/>
  <c r="FR12" i="5"/>
  <c r="FO12" i="5"/>
  <c r="FL12" i="5"/>
  <c r="GG12" i="5"/>
  <c r="GD12" i="5"/>
  <c r="ET12" i="5"/>
  <c r="CW107" i="5"/>
  <c r="CZ107" i="5"/>
  <c r="NT233" i="5"/>
  <c r="NV233" i="5" s="1"/>
  <c r="EY203" i="5"/>
  <c r="NS233" i="5"/>
  <c r="NU233" i="5" s="1"/>
  <c r="QB233" i="5"/>
  <c r="QC233" i="5"/>
  <c r="PZ233" i="5"/>
  <c r="PW233" i="5"/>
  <c r="QF233" i="5"/>
  <c r="CO233" i="5" s="1"/>
  <c r="HH233" i="5" s="1"/>
  <c r="QG233" i="5"/>
  <c r="QD233" i="5"/>
  <c r="QA233" i="5"/>
  <c r="QK233" i="5"/>
  <c r="QN233" i="5"/>
  <c r="QO233" i="5"/>
  <c r="QL233" i="5"/>
  <c r="QI233" i="5"/>
  <c r="PL233" i="5"/>
  <c r="PM233" i="5"/>
  <c r="PJ233" i="5"/>
  <c r="QP233" i="5"/>
  <c r="QM233" i="5"/>
  <c r="QE233" i="5"/>
  <c r="PP233" i="5"/>
  <c r="PQ233" i="5"/>
  <c r="PN233" i="5"/>
  <c r="PK233" i="5"/>
  <c r="QQ233" i="5"/>
  <c r="PT233" i="5"/>
  <c r="PU233" i="5"/>
  <c r="PR233" i="5"/>
  <c r="PO233" i="5"/>
  <c r="QJ233" i="5"/>
  <c r="PX233" i="5"/>
  <c r="PY233" i="5"/>
  <c r="PV233" i="5"/>
  <c r="PS233" i="5"/>
  <c r="QH233" i="5"/>
  <c r="RJ233" i="5"/>
  <c r="RO233" i="5"/>
  <c r="RT233" i="5"/>
  <c r="RN233" i="5"/>
  <c r="RS233" i="5"/>
  <c r="RE233" i="5"/>
  <c r="RR233" i="5"/>
  <c r="QV233" i="5"/>
  <c r="RU233" i="5"/>
  <c r="QU233" i="5"/>
  <c r="QZ233" i="5"/>
  <c r="RI233" i="5"/>
  <c r="QT233" i="5"/>
  <c r="QY233" i="5"/>
  <c r="RD233" i="5"/>
  <c r="QW233" i="5"/>
  <c r="QX233" i="5"/>
  <c r="RC233" i="5"/>
  <c r="RH233" i="5"/>
  <c r="RM233" i="5"/>
  <c r="RB233" i="5"/>
  <c r="RG233" i="5"/>
  <c r="RL233" i="5"/>
  <c r="CQ233" i="5" s="1"/>
  <c r="RA233" i="5"/>
  <c r="RF233" i="5"/>
  <c r="RK233" i="5"/>
  <c r="RP233" i="5"/>
  <c r="RQ233" i="5"/>
  <c r="CZ233" i="5"/>
  <c r="CW233" i="5"/>
  <c r="HM233" i="5"/>
  <c r="DX233" i="5"/>
  <c r="GP12" i="5"/>
  <c r="ND232" i="5"/>
  <c r="DX232" i="5"/>
  <c r="HM232" i="5"/>
  <c r="NS232" i="5"/>
  <c r="NU232" i="5" s="1"/>
  <c r="PR232" i="5"/>
  <c r="PO232" i="5"/>
  <c r="PL232" i="5"/>
  <c r="PM232" i="5"/>
  <c r="PV232" i="5"/>
  <c r="PS232" i="5"/>
  <c r="PP232" i="5"/>
  <c r="PQ232" i="5"/>
  <c r="PZ232" i="5"/>
  <c r="PW232" i="5"/>
  <c r="PT232" i="5"/>
  <c r="PU232" i="5"/>
  <c r="QD232" i="5"/>
  <c r="QA232" i="5"/>
  <c r="PX232" i="5"/>
  <c r="PY232" i="5"/>
  <c r="QH232" i="5"/>
  <c r="QE232" i="5"/>
  <c r="QB232" i="5"/>
  <c r="QC232" i="5"/>
  <c r="QL232" i="5"/>
  <c r="QI232" i="5"/>
  <c r="QF232" i="5"/>
  <c r="QG232" i="5"/>
  <c r="PJ232" i="5"/>
  <c r="QP232" i="5"/>
  <c r="QM232" i="5"/>
  <c r="QJ232" i="5"/>
  <c r="QK232" i="5"/>
  <c r="PN232" i="5"/>
  <c r="PK232" i="5"/>
  <c r="QQ232" i="5"/>
  <c r="QN232" i="5"/>
  <c r="QO232" i="5"/>
  <c r="QT232" i="5"/>
  <c r="QY232" i="5"/>
  <c r="RD232" i="5"/>
  <c r="RU232" i="5"/>
  <c r="QX232" i="5"/>
  <c r="CQ232" i="5" s="1"/>
  <c r="RC232" i="5"/>
  <c r="RH232" i="5"/>
  <c r="RI232" i="5"/>
  <c r="RB232" i="5"/>
  <c r="RG232" i="5"/>
  <c r="RL232" i="5"/>
  <c r="QW232" i="5"/>
  <c r="RF232" i="5"/>
  <c r="RK232" i="5"/>
  <c r="RP232" i="5"/>
  <c r="RM232" i="5"/>
  <c r="RJ232" i="5"/>
  <c r="RO232" i="5"/>
  <c r="RT232" i="5"/>
  <c r="RN232" i="5"/>
  <c r="RS232" i="5"/>
  <c r="RA232" i="5"/>
  <c r="RR232" i="5"/>
  <c r="QV232" i="5"/>
  <c r="RQ232" i="5"/>
  <c r="QU232" i="5"/>
  <c r="QZ232" i="5"/>
  <c r="RE232" i="5"/>
  <c r="CZ232" i="5"/>
  <c r="CW232" i="5"/>
  <c r="NT232" i="5"/>
  <c r="NV232" i="5" s="1"/>
  <c r="QW170" i="5"/>
  <c r="QX170" i="5"/>
  <c r="RC170" i="5"/>
  <c r="RP170" i="5"/>
  <c r="RA170" i="5"/>
  <c r="RB170" i="5"/>
  <c r="RG170" i="5"/>
  <c r="RD170" i="5"/>
  <c r="RE170" i="5"/>
  <c r="RF170" i="5"/>
  <c r="RK170" i="5"/>
  <c r="RT170" i="5"/>
  <c r="RI170" i="5"/>
  <c r="RJ170" i="5"/>
  <c r="RO170" i="5"/>
  <c r="RH170" i="5"/>
  <c r="RM170" i="5"/>
  <c r="RN170" i="5"/>
  <c r="RS170" i="5"/>
  <c r="RQ170" i="5"/>
  <c r="RR170" i="5"/>
  <c r="QV170" i="5"/>
  <c r="RU170" i="5"/>
  <c r="QU170" i="5"/>
  <c r="RL170" i="5"/>
  <c r="QT170" i="5"/>
  <c r="QY170" i="5"/>
  <c r="QZ170" i="5"/>
  <c r="QI170" i="5"/>
  <c r="QF170" i="5"/>
  <c r="PV170" i="5"/>
  <c r="PR170" i="5"/>
  <c r="PK170" i="5"/>
  <c r="QN170" i="5"/>
  <c r="QH170" i="5"/>
  <c r="QB170" i="5"/>
  <c r="PN170" i="5"/>
  <c r="QM170" i="5"/>
  <c r="QJ170" i="5"/>
  <c r="QD170" i="5"/>
  <c r="PZ170" i="5"/>
  <c r="QE170" i="5"/>
  <c r="PJ170" i="5"/>
  <c r="QQ170" i="5"/>
  <c r="QL170" i="5"/>
  <c r="PO170" i="5"/>
  <c r="PL170" i="5"/>
  <c r="PM170" i="5"/>
  <c r="PQ170" i="5"/>
  <c r="QP170" i="5"/>
  <c r="PS170" i="5"/>
  <c r="PP170" i="5"/>
  <c r="PU170" i="5"/>
  <c r="PY170" i="5"/>
  <c r="PW170" i="5"/>
  <c r="PT170" i="5"/>
  <c r="QC170" i="5"/>
  <c r="QG170" i="5"/>
  <c r="QA170" i="5"/>
  <c r="PX170" i="5"/>
  <c r="QK170" i="5"/>
  <c r="QO170" i="5"/>
  <c r="CZ170" i="5"/>
  <c r="CW170" i="5"/>
  <c r="FC170" i="5"/>
  <c r="GP170" i="5"/>
  <c r="GU170" i="5"/>
  <c r="GV170" i="5" s="1"/>
  <c r="EO170" i="5"/>
  <c r="EQ170" i="5" s="1"/>
  <c r="FX170" i="5"/>
  <c r="FI170" i="5"/>
  <c r="FG170" i="5" s="1"/>
  <c r="EY170" i="5"/>
  <c r="HZ170" i="5"/>
  <c r="GG170" i="5"/>
  <c r="FR170" i="5"/>
  <c r="ET170" i="5"/>
  <c r="GD170" i="5"/>
  <c r="GA170" i="5"/>
  <c r="DU170" i="5"/>
  <c r="FO170" i="5"/>
  <c r="FL170" i="5"/>
  <c r="HM170" i="5"/>
  <c r="DX170" i="5"/>
  <c r="FC169" i="5"/>
  <c r="CJ185" i="5"/>
  <c r="GP169" i="5"/>
  <c r="GD169" i="5"/>
  <c r="GU169" i="5"/>
  <c r="GV169" i="5" s="1"/>
  <c r="ET169" i="5"/>
  <c r="GA169" i="5"/>
  <c r="FO169" i="5"/>
  <c r="GG169" i="5"/>
  <c r="EY169" i="5"/>
  <c r="FR169" i="5"/>
  <c r="HZ169" i="5"/>
  <c r="FI169" i="5"/>
  <c r="FG169" i="5" s="1"/>
  <c r="FL169" i="5"/>
  <c r="EO169" i="5"/>
  <c r="EQ169" i="5" s="1"/>
  <c r="IH169" i="5"/>
  <c r="II169" i="5" s="1"/>
  <c r="DU169" i="5"/>
  <c r="EO12" i="5"/>
  <c r="EQ12" i="5" s="1"/>
  <c r="FC12" i="5"/>
  <c r="FI12" i="5"/>
  <c r="FG12" i="5" s="1"/>
  <c r="QC169" i="5"/>
  <c r="PZ169" i="5"/>
  <c r="QM169" i="5"/>
  <c r="QI169" i="5"/>
  <c r="QG169" i="5"/>
  <c r="QD169" i="5"/>
  <c r="PP169" i="5"/>
  <c r="QQ169" i="5"/>
  <c r="QH169" i="5"/>
  <c r="PT169" i="5"/>
  <c r="PM169" i="5"/>
  <c r="PJ169" i="5"/>
  <c r="QP169" i="5"/>
  <c r="QN169" i="5"/>
  <c r="QB169" i="5"/>
  <c r="QK169" i="5"/>
  <c r="PX169" i="5"/>
  <c r="PQ169" i="5"/>
  <c r="PN169" i="5"/>
  <c r="PO169" i="5"/>
  <c r="PK169" i="5"/>
  <c r="QJ169" i="5"/>
  <c r="PU169" i="5"/>
  <c r="PR169" i="5"/>
  <c r="PW169" i="5"/>
  <c r="PS169" i="5"/>
  <c r="CO169" i="5" s="1"/>
  <c r="HH169" i="5" s="1"/>
  <c r="PL169" i="5"/>
  <c r="PY169" i="5"/>
  <c r="PV169" i="5"/>
  <c r="QE169" i="5"/>
  <c r="QA169" i="5"/>
  <c r="QO169" i="5"/>
  <c r="QL169" i="5"/>
  <c r="QF169" i="5"/>
  <c r="QW169" i="5"/>
  <c r="QX169" i="5"/>
  <c r="RC169" i="5"/>
  <c r="QZ169" i="5"/>
  <c r="RA169" i="5"/>
  <c r="RB169" i="5"/>
  <c r="RG169" i="5"/>
  <c r="RP169" i="5"/>
  <c r="RE169" i="5"/>
  <c r="RF169" i="5"/>
  <c r="RK169" i="5"/>
  <c r="RD169" i="5"/>
  <c r="RI169" i="5"/>
  <c r="RJ169" i="5"/>
  <c r="RO169" i="5"/>
  <c r="RT169" i="5"/>
  <c r="RM169" i="5"/>
  <c r="RN169" i="5"/>
  <c r="RS169" i="5"/>
  <c r="RQ169" i="5"/>
  <c r="RR169" i="5"/>
  <c r="RH169" i="5"/>
  <c r="RU169" i="5"/>
  <c r="QU169" i="5"/>
  <c r="QV169" i="5"/>
  <c r="QT169" i="5"/>
  <c r="QY169" i="5"/>
  <c r="CQ169" i="5" s="1"/>
  <c r="RL169" i="5"/>
  <c r="DC169" i="5"/>
  <c r="HL169" i="5" s="1"/>
  <c r="CZ169" i="5"/>
  <c r="CW169" i="5"/>
  <c r="DX169" i="5"/>
  <c r="HM169" i="5"/>
  <c r="NS210" i="5"/>
  <c r="NU210" i="5" s="1"/>
  <c r="NT210" i="5"/>
  <c r="NV210" i="5" s="1"/>
  <c r="FR203" i="5"/>
  <c r="GD203" i="5"/>
  <c r="GP203" i="5"/>
  <c r="FC203" i="5"/>
  <c r="EO203" i="5"/>
  <c r="EQ203" i="5" s="1"/>
  <c r="FX203" i="5"/>
  <c r="HZ203" i="5"/>
  <c r="QI185" i="5"/>
  <c r="QK185" i="5"/>
  <c r="PM185" i="5"/>
  <c r="PY185" i="5"/>
  <c r="QM185" i="5"/>
  <c r="QP185" i="5"/>
  <c r="PR185" i="5"/>
  <c r="QD185" i="5"/>
  <c r="PK185" i="5"/>
  <c r="QQ185" i="5"/>
  <c r="PL185" i="5"/>
  <c r="PX185" i="5"/>
  <c r="QJ185" i="5"/>
  <c r="PO185" i="5"/>
  <c r="PJ185" i="5"/>
  <c r="PQ185" i="5"/>
  <c r="QC185" i="5"/>
  <c r="QO185" i="5"/>
  <c r="PS185" i="5"/>
  <c r="PP185" i="5"/>
  <c r="PV185" i="5"/>
  <c r="QH185" i="5"/>
  <c r="PW185" i="5"/>
  <c r="PU185" i="5"/>
  <c r="QB185" i="5"/>
  <c r="QN185" i="5"/>
  <c r="QA185" i="5"/>
  <c r="PZ185" i="5"/>
  <c r="QG185" i="5"/>
  <c r="PN185" i="5"/>
  <c r="QE185" i="5"/>
  <c r="QF185" i="5"/>
  <c r="QL185" i="5"/>
  <c r="PT185" i="5"/>
  <c r="RE185" i="5"/>
  <c r="RF185" i="5"/>
  <c r="RC185" i="5"/>
  <c r="RG185" i="5"/>
  <c r="RI185" i="5"/>
  <c r="RJ185" i="5"/>
  <c r="RK185" i="5"/>
  <c r="RO185" i="5"/>
  <c r="RM185" i="5"/>
  <c r="RN185" i="5"/>
  <c r="RS185" i="5"/>
  <c r="RQ185" i="5"/>
  <c r="RR185" i="5"/>
  <c r="QV185" i="5"/>
  <c r="RU185" i="5"/>
  <c r="QZ185" i="5"/>
  <c r="RD185" i="5"/>
  <c r="QT185" i="5"/>
  <c r="RH185" i="5"/>
  <c r="RL185" i="5"/>
  <c r="QW185" i="5"/>
  <c r="QX185" i="5"/>
  <c r="RP185" i="5"/>
  <c r="RT185" i="5"/>
  <c r="RA185" i="5"/>
  <c r="RB185" i="5"/>
  <c r="QU185" i="5"/>
  <c r="QY185" i="5"/>
  <c r="DC185" i="5"/>
  <c r="HL185" i="5" s="1"/>
  <c r="CZ185" i="5"/>
  <c r="DX185" i="5"/>
  <c r="HM185" i="5"/>
  <c r="ET203" i="5"/>
  <c r="GU185" i="5"/>
  <c r="GV185" i="5" s="1"/>
  <c r="GP185" i="5"/>
  <c r="FX185" i="5"/>
  <c r="FI185" i="5"/>
  <c r="FG185" i="5" s="1"/>
  <c r="EY185" i="5"/>
  <c r="FC185" i="5"/>
  <c r="EO185" i="5"/>
  <c r="EQ185" i="5" s="1"/>
  <c r="HZ185" i="5"/>
  <c r="GA185" i="5"/>
  <c r="FO185" i="5"/>
  <c r="GD185" i="5"/>
  <c r="DU185" i="5"/>
  <c r="FR185" i="5"/>
  <c r="ET185" i="5"/>
  <c r="FL185" i="5"/>
  <c r="GG185" i="5"/>
  <c r="CW185" i="5"/>
  <c r="NT211" i="5"/>
  <c r="NV211" i="5" s="1"/>
  <c r="GU203" i="5"/>
  <c r="GV203" i="5" s="1"/>
  <c r="NS211" i="5"/>
  <c r="NU211" i="5" s="1"/>
  <c r="GG203" i="5"/>
  <c r="QA211" i="5"/>
  <c r="PX211" i="5"/>
  <c r="PY211" i="5"/>
  <c r="PV211" i="5"/>
  <c r="QD211" i="5"/>
  <c r="QE211" i="5"/>
  <c r="QB211" i="5"/>
  <c r="QC211" i="5"/>
  <c r="PZ211" i="5"/>
  <c r="QI211" i="5"/>
  <c r="QM211" i="5"/>
  <c r="QJ211" i="5"/>
  <c r="QK211" i="5"/>
  <c r="QH211" i="5"/>
  <c r="PK211" i="5"/>
  <c r="QQ211" i="5"/>
  <c r="QN211" i="5"/>
  <c r="QO211" i="5"/>
  <c r="QL211" i="5"/>
  <c r="QG211" i="5"/>
  <c r="PO211" i="5"/>
  <c r="PL211" i="5"/>
  <c r="PM211" i="5"/>
  <c r="PJ211" i="5"/>
  <c r="QP211" i="5"/>
  <c r="PS211" i="5"/>
  <c r="PP211" i="5"/>
  <c r="PQ211" i="5"/>
  <c r="PN211" i="5"/>
  <c r="PW211" i="5"/>
  <c r="PT211" i="5"/>
  <c r="PU211" i="5"/>
  <c r="PR211" i="5"/>
  <c r="QF211" i="5"/>
  <c r="RD211" i="5"/>
  <c r="RI211" i="5"/>
  <c r="RJ211" i="5"/>
  <c r="RS211" i="5"/>
  <c r="RH211" i="5"/>
  <c r="RM211" i="5"/>
  <c r="RN211" i="5"/>
  <c r="RG211" i="5"/>
  <c r="RL211" i="5"/>
  <c r="RQ211" i="5"/>
  <c r="RR211" i="5"/>
  <c r="RP211" i="5"/>
  <c r="RU211" i="5"/>
  <c r="QU211" i="5"/>
  <c r="RT211" i="5"/>
  <c r="QT211" i="5"/>
  <c r="RK211" i="5"/>
  <c r="QW211" i="5"/>
  <c r="QX211" i="5"/>
  <c r="QY211" i="5"/>
  <c r="QV211" i="5"/>
  <c r="RA211" i="5"/>
  <c r="RB211" i="5"/>
  <c r="RO211" i="5"/>
  <c r="QZ211" i="5"/>
  <c r="RE211" i="5"/>
  <c r="RF211" i="5"/>
  <c r="RC211" i="5"/>
  <c r="CZ211" i="5"/>
  <c r="CW211" i="5"/>
  <c r="DX211" i="5"/>
  <c r="HM211" i="5"/>
  <c r="GA203" i="5"/>
  <c r="FI203" i="5"/>
  <c r="FG203" i="5" s="1"/>
  <c r="DU203" i="5"/>
  <c r="FO203" i="5"/>
  <c r="PW207" i="5"/>
  <c r="QQ207" i="5"/>
  <c r="PL207" i="5"/>
  <c r="QP207" i="5"/>
  <c r="ND210" i="5"/>
  <c r="QM207" i="5"/>
  <c r="CZ149" i="5"/>
  <c r="QI207" i="5"/>
  <c r="QK207" i="5"/>
  <c r="PX207" i="5"/>
  <c r="QE207" i="5"/>
  <c r="PK207" i="5"/>
  <c r="PP207" i="5"/>
  <c r="QV207" i="5"/>
  <c r="RK207" i="5"/>
  <c r="RP207" i="5"/>
  <c r="QW210" i="5"/>
  <c r="QX210" i="5"/>
  <c r="RK210" i="5"/>
  <c r="QV210" i="5"/>
  <c r="RA210" i="5"/>
  <c r="RB210" i="5"/>
  <c r="QY210" i="5"/>
  <c r="QZ210" i="5"/>
  <c r="RE210" i="5"/>
  <c r="CQ210" i="5" s="1"/>
  <c r="RF210" i="5"/>
  <c r="RO210" i="5"/>
  <c r="RD210" i="5"/>
  <c r="RI210" i="5"/>
  <c r="RJ210" i="5"/>
  <c r="RC210" i="5"/>
  <c r="RH210" i="5"/>
  <c r="RM210" i="5"/>
  <c r="RN210" i="5"/>
  <c r="RS210" i="5"/>
  <c r="RL210" i="5"/>
  <c r="RQ210" i="5"/>
  <c r="RR210" i="5"/>
  <c r="RP210" i="5"/>
  <c r="RU210" i="5"/>
  <c r="RG210" i="5"/>
  <c r="RT210" i="5"/>
  <c r="QT210" i="5"/>
  <c r="QU210" i="5"/>
  <c r="PQ210" i="5"/>
  <c r="PN210" i="5"/>
  <c r="PK210" i="5"/>
  <c r="QQ210" i="5"/>
  <c r="QN210" i="5"/>
  <c r="PU210" i="5"/>
  <c r="PR210" i="5"/>
  <c r="PO210" i="5"/>
  <c r="PL210" i="5"/>
  <c r="PZ210" i="5"/>
  <c r="PV210" i="5"/>
  <c r="PW210" i="5"/>
  <c r="QG210" i="5"/>
  <c r="QD210" i="5"/>
  <c r="QA210" i="5"/>
  <c r="PX210" i="5"/>
  <c r="QK210" i="5"/>
  <c r="QH210" i="5"/>
  <c r="QE210" i="5"/>
  <c r="QB210" i="5"/>
  <c r="QC210" i="5"/>
  <c r="QO210" i="5"/>
  <c r="QL210" i="5"/>
  <c r="QI210" i="5"/>
  <c r="QF210" i="5"/>
  <c r="PP210" i="5"/>
  <c r="PT210" i="5"/>
  <c r="PM210" i="5"/>
  <c r="PJ210" i="5"/>
  <c r="QP210" i="5"/>
  <c r="QM210" i="5"/>
  <c r="QJ210" i="5"/>
  <c r="PY210" i="5"/>
  <c r="CO210" i="5" s="1"/>
  <c r="HH210" i="5" s="1"/>
  <c r="PS210" i="5"/>
  <c r="CZ210" i="5"/>
  <c r="CW210" i="5"/>
  <c r="DX210" i="5"/>
  <c r="HM210" i="5"/>
  <c r="QL207" i="5"/>
  <c r="PV207" i="5"/>
  <c r="PQ207" i="5"/>
  <c r="PT207" i="5"/>
  <c r="PR207" i="5"/>
  <c r="PM207" i="5"/>
  <c r="QA207" i="5"/>
  <c r="PU207" i="5"/>
  <c r="QF207" i="5"/>
  <c r="QD207" i="5"/>
  <c r="PN207" i="5"/>
  <c r="QB207" i="5"/>
  <c r="QC207" i="5"/>
  <c r="RC207" i="5"/>
  <c r="RU207" i="5"/>
  <c r="RH207" i="5"/>
  <c r="RA207" i="5"/>
  <c r="RJ207" i="5"/>
  <c r="RG207" i="5"/>
  <c r="QY207" i="5"/>
  <c r="RL207" i="5"/>
  <c r="QX207" i="5"/>
  <c r="RO207" i="5"/>
  <c r="QU207" i="5"/>
  <c r="RD207" i="5"/>
  <c r="QT207" i="5"/>
  <c r="RS207" i="5"/>
  <c r="RR207" i="5"/>
  <c r="QZ207" i="5"/>
  <c r="PO207" i="5"/>
  <c r="QJ207" i="5"/>
  <c r="QO207" i="5"/>
  <c r="QG207" i="5"/>
  <c r="PY207" i="5"/>
  <c r="QW207" i="5"/>
  <c r="RQ207" i="5"/>
  <c r="RI207" i="5"/>
  <c r="QN207" i="5"/>
  <c r="PJ207" i="5"/>
  <c r="CO207" i="5" s="1"/>
  <c r="HH207" i="5" s="1"/>
  <c r="QH207" i="5"/>
  <c r="RB207" i="5"/>
  <c r="RT207" i="5"/>
  <c r="RN207" i="5"/>
  <c r="RF207" i="5"/>
  <c r="RM207" i="5"/>
  <c r="PQ209" i="5"/>
  <c r="PN209" i="5"/>
  <c r="PK209" i="5"/>
  <c r="QQ209" i="5"/>
  <c r="QN209" i="5"/>
  <c r="PU209" i="5"/>
  <c r="PR209" i="5"/>
  <c r="PO209" i="5"/>
  <c r="PL209" i="5"/>
  <c r="PY209" i="5"/>
  <c r="PV209" i="5"/>
  <c r="PS209" i="5"/>
  <c r="PP209" i="5"/>
  <c r="QC209" i="5"/>
  <c r="PZ209" i="5"/>
  <c r="PW209" i="5"/>
  <c r="PT209" i="5"/>
  <c r="QG209" i="5"/>
  <c r="QD209" i="5"/>
  <c r="QA209" i="5"/>
  <c r="PX209" i="5"/>
  <c r="QK209" i="5"/>
  <c r="QH209" i="5"/>
  <c r="QE209" i="5"/>
  <c r="QB209" i="5"/>
  <c r="QO209" i="5"/>
  <c r="QL209" i="5"/>
  <c r="QI209" i="5"/>
  <c r="QF209" i="5"/>
  <c r="PM209" i="5"/>
  <c r="PJ209" i="5"/>
  <c r="QP209" i="5"/>
  <c r="QM209" i="5"/>
  <c r="QJ209" i="5"/>
  <c r="NS209" i="5"/>
  <c r="NU209" i="5" s="1"/>
  <c r="QZ209" i="5"/>
  <c r="RE209" i="5"/>
  <c r="RF209" i="5"/>
  <c r="RG209" i="5"/>
  <c r="RD209" i="5"/>
  <c r="RI209" i="5"/>
  <c r="RJ209" i="5"/>
  <c r="QU209" i="5"/>
  <c r="RH209" i="5"/>
  <c r="RM209" i="5"/>
  <c r="RN209" i="5"/>
  <c r="RK209" i="5"/>
  <c r="RL209" i="5"/>
  <c r="RQ209" i="5"/>
  <c r="RR209" i="5"/>
  <c r="RP209" i="5"/>
  <c r="RU209" i="5"/>
  <c r="QY209" i="5"/>
  <c r="RT209" i="5"/>
  <c r="QT209" i="5"/>
  <c r="RO209" i="5"/>
  <c r="QW209" i="5"/>
  <c r="QX209" i="5"/>
  <c r="RC209" i="5"/>
  <c r="QV209" i="5"/>
  <c r="RA209" i="5"/>
  <c r="RB209" i="5"/>
  <c r="RS209" i="5"/>
  <c r="CW209" i="5"/>
  <c r="CZ209" i="5"/>
  <c r="NT209" i="5"/>
  <c r="NV209" i="5" s="1"/>
  <c r="HM209" i="5"/>
  <c r="DX209" i="5"/>
  <c r="ND209" i="5"/>
  <c r="QO165" i="5"/>
  <c r="QL165" i="5"/>
  <c r="PL165" i="5"/>
  <c r="QQ165" i="5"/>
  <c r="PM165" i="5"/>
  <c r="PJ165" i="5"/>
  <c r="QP165" i="5"/>
  <c r="QB165" i="5"/>
  <c r="PX165" i="5"/>
  <c r="PQ165" i="5"/>
  <c r="PN165" i="5"/>
  <c r="PK165" i="5"/>
  <c r="QM165" i="5"/>
  <c r="QJ165" i="5"/>
  <c r="PU165" i="5"/>
  <c r="PR165" i="5"/>
  <c r="PO165" i="5"/>
  <c r="PP165" i="5"/>
  <c r="PY165" i="5"/>
  <c r="PV165" i="5"/>
  <c r="PS165" i="5"/>
  <c r="QF165" i="5"/>
  <c r="QC165" i="5"/>
  <c r="PZ165" i="5"/>
  <c r="PW165" i="5"/>
  <c r="QN165" i="5"/>
  <c r="QG165" i="5"/>
  <c r="QD165" i="5"/>
  <c r="QA165" i="5"/>
  <c r="PT165" i="5"/>
  <c r="QK165" i="5"/>
  <c r="QH165" i="5"/>
  <c r="QE165" i="5"/>
  <c r="QI165" i="5"/>
  <c r="QY165" i="5"/>
  <c r="RI165" i="5"/>
  <c r="RU165" i="5"/>
  <c r="RB165" i="5"/>
  <c r="RC165" i="5"/>
  <c r="RN165" i="5"/>
  <c r="QV165" i="5"/>
  <c r="RH165" i="5"/>
  <c r="RG165" i="5"/>
  <c r="RT165" i="5"/>
  <c r="RA165" i="5"/>
  <c r="RM165" i="5"/>
  <c r="RK165" i="5"/>
  <c r="QT165" i="5"/>
  <c r="RF165" i="5"/>
  <c r="RO165" i="5"/>
  <c r="QZ165" i="5"/>
  <c r="RL165" i="5"/>
  <c r="RS165" i="5"/>
  <c r="RE165" i="5"/>
  <c r="RQ165" i="5"/>
  <c r="QX165" i="5"/>
  <c r="RJ165" i="5"/>
  <c r="QW165" i="5"/>
  <c r="QU165" i="5"/>
  <c r="RD165" i="5"/>
  <c r="RP165" i="5"/>
  <c r="RR165" i="5"/>
  <c r="CW165" i="5"/>
  <c r="CZ165" i="5"/>
  <c r="HM165" i="5"/>
  <c r="DX165" i="5"/>
  <c r="NS165" i="5"/>
  <c r="NU165" i="5" s="1"/>
  <c r="ND165" i="5"/>
  <c r="NT165" i="5"/>
  <c r="NV165" i="5" s="1"/>
  <c r="GU12" i="5"/>
  <c r="GV12" i="5" s="1"/>
  <c r="FX12" i="5"/>
  <c r="IH12" i="5"/>
  <c r="II12" i="5" s="1"/>
  <c r="HZ12" i="5"/>
  <c r="ND144" i="5"/>
  <c r="RP205" i="5"/>
  <c r="RU205" i="5"/>
  <c r="QU205" i="5"/>
  <c r="RT205" i="5"/>
  <c r="QT205" i="5"/>
  <c r="RK205" i="5"/>
  <c r="QW205" i="5"/>
  <c r="QX205" i="5"/>
  <c r="QY205" i="5"/>
  <c r="QV205" i="5"/>
  <c r="RA205" i="5"/>
  <c r="RB205" i="5"/>
  <c r="RO205" i="5"/>
  <c r="QZ205" i="5"/>
  <c r="RE205" i="5"/>
  <c r="RF205" i="5"/>
  <c r="RC205" i="5"/>
  <c r="RD205" i="5"/>
  <c r="RI205" i="5"/>
  <c r="RJ205" i="5"/>
  <c r="RS205" i="5"/>
  <c r="RH205" i="5"/>
  <c r="RM205" i="5"/>
  <c r="RN205" i="5"/>
  <c r="RG205" i="5"/>
  <c r="RL205" i="5"/>
  <c r="RQ205" i="5"/>
  <c r="RR205" i="5"/>
  <c r="QM205" i="5"/>
  <c r="QJ205" i="5"/>
  <c r="QK205" i="5"/>
  <c r="QH205" i="5"/>
  <c r="PO205" i="5"/>
  <c r="QP205" i="5"/>
  <c r="PS205" i="5"/>
  <c r="PN205" i="5"/>
  <c r="PK205" i="5"/>
  <c r="QQ205" i="5"/>
  <c r="QN205" i="5"/>
  <c r="QO205" i="5"/>
  <c r="QL205" i="5"/>
  <c r="PP205" i="5"/>
  <c r="PW205" i="5"/>
  <c r="PT205" i="5"/>
  <c r="PU205" i="5"/>
  <c r="PR205" i="5"/>
  <c r="PM205" i="5"/>
  <c r="QA205" i="5"/>
  <c r="PX205" i="5"/>
  <c r="PY205" i="5"/>
  <c r="PV205" i="5"/>
  <c r="QI205" i="5"/>
  <c r="QG205" i="5"/>
  <c r="QD205" i="5"/>
  <c r="QE205" i="5"/>
  <c r="QB205" i="5"/>
  <c r="QC205" i="5"/>
  <c r="PZ205" i="5"/>
  <c r="PL205" i="5"/>
  <c r="PJ205" i="5"/>
  <c r="PQ205" i="5"/>
  <c r="QF205" i="5"/>
  <c r="CO205" i="5" s="1"/>
  <c r="HH205" i="5" s="1"/>
  <c r="CZ205" i="5"/>
  <c r="CW205" i="5"/>
  <c r="EY205" i="5"/>
  <c r="ET205" i="5"/>
  <c r="GG205" i="5"/>
  <c r="FI205" i="5"/>
  <c r="FG205" i="5" s="1"/>
  <c r="FC205" i="5"/>
  <c r="GD205" i="5"/>
  <c r="HZ205" i="5"/>
  <c r="FO205" i="5"/>
  <c r="EO205" i="5"/>
  <c r="EQ205" i="5" s="1"/>
  <c r="GU205" i="5"/>
  <c r="GV205" i="5" s="1"/>
  <c r="FX205" i="5"/>
  <c r="DU205" i="5"/>
  <c r="GP205" i="5"/>
  <c r="FR205" i="5"/>
  <c r="GA205" i="5"/>
  <c r="FL205" i="5"/>
  <c r="DX205" i="5"/>
  <c r="HM205" i="5"/>
  <c r="NT101" i="5"/>
  <c r="NV101" i="5" s="1"/>
  <c r="NT144" i="5"/>
  <c r="NV144" i="5" s="1"/>
  <c r="RI172" i="5"/>
  <c r="RJ172" i="5"/>
  <c r="RG172" i="5"/>
  <c r="RC172" i="5"/>
  <c r="RM172" i="5"/>
  <c r="RN172" i="5"/>
  <c r="RO172" i="5"/>
  <c r="RQ172" i="5"/>
  <c r="RR172" i="5"/>
  <c r="QZ172" i="5"/>
  <c r="RU172" i="5"/>
  <c r="QV172" i="5"/>
  <c r="RH172" i="5"/>
  <c r="QT172" i="5"/>
  <c r="RD172" i="5"/>
  <c r="RP172" i="5"/>
  <c r="QW172" i="5"/>
  <c r="QX172" i="5"/>
  <c r="RL172" i="5"/>
  <c r="RK172" i="5"/>
  <c r="RA172" i="5"/>
  <c r="RB172" i="5"/>
  <c r="RT172" i="5"/>
  <c r="RS172" i="5"/>
  <c r="RE172" i="5"/>
  <c r="RF172" i="5"/>
  <c r="QY172" i="5"/>
  <c r="QU172" i="5"/>
  <c r="DC172" i="5"/>
  <c r="HL172" i="5" s="1"/>
  <c r="CZ172" i="5"/>
  <c r="CW172" i="5"/>
  <c r="DX172" i="5"/>
  <c r="HM172" i="5"/>
  <c r="PY172" i="5"/>
  <c r="PV172" i="5"/>
  <c r="QE172" i="5"/>
  <c r="QA172" i="5"/>
  <c r="QQ172" i="5"/>
  <c r="QC172" i="5"/>
  <c r="PZ172" i="5"/>
  <c r="QM172" i="5"/>
  <c r="QI172" i="5"/>
  <c r="QD172" i="5"/>
  <c r="PR172" i="5"/>
  <c r="QG172" i="5"/>
  <c r="PP172" i="5"/>
  <c r="QK172" i="5"/>
  <c r="QH172" i="5"/>
  <c r="PX172" i="5"/>
  <c r="PL172" i="5"/>
  <c r="PW172" i="5"/>
  <c r="QO172" i="5"/>
  <c r="QL172" i="5"/>
  <c r="QF172" i="5"/>
  <c r="PT172" i="5"/>
  <c r="PO172" i="5"/>
  <c r="PM172" i="5"/>
  <c r="PJ172" i="5"/>
  <c r="QP172" i="5"/>
  <c r="QN172" i="5"/>
  <c r="QB172" i="5"/>
  <c r="PQ172" i="5"/>
  <c r="QJ172" i="5"/>
  <c r="PU172" i="5"/>
  <c r="PN172" i="5"/>
  <c r="PK172" i="5"/>
  <c r="PS172" i="5"/>
  <c r="RL203" i="5"/>
  <c r="RQ203" i="5"/>
  <c r="RR203" i="5"/>
  <c r="RP203" i="5"/>
  <c r="RU203" i="5"/>
  <c r="RC203" i="5"/>
  <c r="RT203" i="5"/>
  <c r="QT203" i="5"/>
  <c r="RS203" i="5"/>
  <c r="QW203" i="5"/>
  <c r="QX203" i="5"/>
  <c r="RG203" i="5"/>
  <c r="QV203" i="5"/>
  <c r="RA203" i="5"/>
  <c r="RB203" i="5"/>
  <c r="QU203" i="5"/>
  <c r="QZ203" i="5"/>
  <c r="RE203" i="5"/>
  <c r="RF203" i="5"/>
  <c r="RK203" i="5"/>
  <c r="RD203" i="5"/>
  <c r="RI203" i="5"/>
  <c r="RJ203" i="5"/>
  <c r="QY203" i="5"/>
  <c r="RH203" i="5"/>
  <c r="RM203" i="5"/>
  <c r="RN203" i="5"/>
  <c r="RO203" i="5"/>
  <c r="PS203" i="5"/>
  <c r="PP203" i="5"/>
  <c r="PQ203" i="5"/>
  <c r="PN203" i="5"/>
  <c r="PW203" i="5"/>
  <c r="PT203" i="5"/>
  <c r="PU203" i="5"/>
  <c r="PR203" i="5"/>
  <c r="QA203" i="5"/>
  <c r="PX203" i="5"/>
  <c r="PY203" i="5"/>
  <c r="PV203" i="5"/>
  <c r="QE203" i="5"/>
  <c r="QB203" i="5"/>
  <c r="QC203" i="5"/>
  <c r="PZ203" i="5"/>
  <c r="QI203" i="5"/>
  <c r="QF203" i="5"/>
  <c r="QG203" i="5"/>
  <c r="QD203" i="5"/>
  <c r="QM203" i="5"/>
  <c r="QJ203" i="5"/>
  <c r="QK203" i="5"/>
  <c r="QH203" i="5"/>
  <c r="PK203" i="5"/>
  <c r="QQ203" i="5"/>
  <c r="QN203" i="5"/>
  <c r="QO203" i="5"/>
  <c r="QL203" i="5"/>
  <c r="PO203" i="5"/>
  <c r="PL203" i="5"/>
  <c r="PM203" i="5"/>
  <c r="PJ203" i="5"/>
  <c r="QP203" i="5"/>
  <c r="DC203" i="5"/>
  <c r="HL203" i="5" s="1"/>
  <c r="CZ203" i="5"/>
  <c r="CW203" i="5"/>
  <c r="DX203" i="5"/>
  <c r="HM203" i="5"/>
  <c r="NS144" i="5"/>
  <c r="NU144" i="5" s="1"/>
  <c r="NS101" i="5"/>
  <c r="NU101" i="5" s="1"/>
  <c r="DU130" i="5"/>
  <c r="FL130" i="5"/>
  <c r="CZ57" i="5"/>
  <c r="GD130" i="5"/>
  <c r="CW57" i="5"/>
  <c r="GA130" i="5"/>
  <c r="FC130" i="5"/>
  <c r="FR130" i="5"/>
  <c r="EY130" i="5"/>
  <c r="PT144" i="5"/>
  <c r="PU144" i="5"/>
  <c r="QE144" i="5"/>
  <c r="QA144" i="5"/>
  <c r="PX144" i="5"/>
  <c r="PY144" i="5"/>
  <c r="QM144" i="5"/>
  <c r="QI144" i="5"/>
  <c r="QB144" i="5"/>
  <c r="QC144" i="5"/>
  <c r="PR144" i="5"/>
  <c r="QQ144" i="5"/>
  <c r="QF144" i="5"/>
  <c r="QG144" i="5"/>
  <c r="PZ144" i="5"/>
  <c r="PV144" i="5"/>
  <c r="QJ144" i="5"/>
  <c r="QK144" i="5"/>
  <c r="QH144" i="5"/>
  <c r="QD144" i="5"/>
  <c r="PJ144" i="5"/>
  <c r="QN144" i="5"/>
  <c r="QO144" i="5"/>
  <c r="QP144" i="5"/>
  <c r="QL144" i="5"/>
  <c r="PL144" i="5"/>
  <c r="PM144" i="5"/>
  <c r="PO144" i="5"/>
  <c r="PK144" i="5"/>
  <c r="PN144" i="5"/>
  <c r="PP144" i="5"/>
  <c r="PQ144" i="5"/>
  <c r="PW144" i="5"/>
  <c r="PS144" i="5"/>
  <c r="RG144" i="5"/>
  <c r="RL144" i="5"/>
  <c r="RQ144" i="5"/>
  <c r="RR144" i="5"/>
  <c r="RK144" i="5"/>
  <c r="RP144" i="5"/>
  <c r="RU144" i="5"/>
  <c r="RO144" i="5"/>
  <c r="RT144" i="5"/>
  <c r="RF144" i="5"/>
  <c r="RS144" i="5"/>
  <c r="QW144" i="5"/>
  <c r="QT144" i="5"/>
  <c r="QV144" i="5"/>
  <c r="RA144" i="5"/>
  <c r="RJ144" i="5"/>
  <c r="QU144" i="5"/>
  <c r="QZ144" i="5"/>
  <c r="RE144" i="5"/>
  <c r="QX144" i="5"/>
  <c r="QY144" i="5"/>
  <c r="RD144" i="5"/>
  <c r="RI144" i="5"/>
  <c r="RN144" i="5"/>
  <c r="RC144" i="5"/>
  <c r="RH144" i="5"/>
  <c r="RM144" i="5"/>
  <c r="RB144" i="5"/>
  <c r="DC144" i="5"/>
  <c r="HL144" i="5" s="1"/>
  <c r="CZ144" i="5"/>
  <c r="CW144" i="5"/>
  <c r="DX144" i="5"/>
  <c r="HM144" i="5"/>
  <c r="ND101" i="5"/>
  <c r="QD101" i="5"/>
  <c r="PK101" i="5"/>
  <c r="QB101" i="5"/>
  <c r="PL101" i="5"/>
  <c r="QF101" i="5"/>
  <c r="PV101" i="5"/>
  <c r="QA101" i="5"/>
  <c r="PJ101" i="5"/>
  <c r="PP101" i="5"/>
  <c r="QG101" i="5"/>
  <c r="QK101" i="5"/>
  <c r="PY101" i="5"/>
  <c r="PW101" i="5"/>
  <c r="QQ101" i="5"/>
  <c r="PZ101" i="5"/>
  <c r="PR101" i="5"/>
  <c r="QM101" i="5"/>
  <c r="PN101" i="5"/>
  <c r="QI101" i="5"/>
  <c r="QJ101" i="5"/>
  <c r="QP101" i="5"/>
  <c r="QH101" i="5"/>
  <c r="PO101" i="5"/>
  <c r="PX101" i="5"/>
  <c r="QC101" i="5"/>
  <c r="PS101" i="5"/>
  <c r="QL101" i="5"/>
  <c r="PU101" i="5"/>
  <c r="PM101" i="5"/>
  <c r="PT101" i="5"/>
  <c r="QN101" i="5"/>
  <c r="PQ101" i="5"/>
  <c r="QO101" i="5"/>
  <c r="QE101" i="5"/>
  <c r="RE101" i="5"/>
  <c r="RF101" i="5"/>
  <c r="RK101" i="5"/>
  <c r="RD101" i="5"/>
  <c r="RI101" i="5"/>
  <c r="RJ101" i="5"/>
  <c r="RO101" i="5"/>
  <c r="RT101" i="5"/>
  <c r="RM101" i="5"/>
  <c r="RN101" i="5"/>
  <c r="RS101" i="5"/>
  <c r="RQ101" i="5"/>
  <c r="RR101" i="5"/>
  <c r="RH101" i="5"/>
  <c r="RU101" i="5"/>
  <c r="QU101" i="5"/>
  <c r="QV101" i="5"/>
  <c r="QT101" i="5"/>
  <c r="QY101" i="5"/>
  <c r="RL101" i="5"/>
  <c r="QW101" i="5"/>
  <c r="QX101" i="5"/>
  <c r="RC101" i="5"/>
  <c r="QZ101" i="5"/>
  <c r="RA101" i="5"/>
  <c r="RB101" i="5"/>
  <c r="RG101" i="5"/>
  <c r="RP101" i="5"/>
  <c r="DC101" i="5"/>
  <c r="HL101" i="5" s="1"/>
  <c r="CZ101" i="5"/>
  <c r="CW101" i="5"/>
  <c r="DX101" i="5"/>
  <c r="HM101" i="5"/>
  <c r="ND131" i="5"/>
  <c r="EO130" i="5"/>
  <c r="EQ130" i="5" s="1"/>
  <c r="FI130" i="5"/>
  <c r="FG130" i="5" s="1"/>
  <c r="FX130" i="5"/>
  <c r="GG130" i="5"/>
  <c r="GP130" i="5"/>
  <c r="GU130" i="5"/>
  <c r="GV130" i="5" s="1"/>
  <c r="HK15" i="5"/>
  <c r="HR15" i="5" s="1"/>
  <c r="HK93" i="5"/>
  <c r="HR93" i="5" s="1"/>
  <c r="HK30" i="5"/>
  <c r="HR30" i="5" s="1"/>
  <c r="HK84" i="5"/>
  <c r="HR84" i="5" s="1"/>
  <c r="HK16" i="5"/>
  <c r="HR16" i="5" s="1"/>
  <c r="HK14" i="5"/>
  <c r="HR14" i="5" s="1"/>
  <c r="HK23" i="5"/>
  <c r="HR23" i="5" s="1"/>
  <c r="HK52" i="5"/>
  <c r="HR52" i="5" s="1"/>
  <c r="HK44" i="5"/>
  <c r="HR44" i="5" s="1"/>
  <c r="HK80" i="5"/>
  <c r="HR80" i="5" s="1"/>
  <c r="HK22" i="5"/>
  <c r="HR22" i="5" s="1"/>
  <c r="HK107" i="5"/>
  <c r="HR107" i="5" s="1"/>
  <c r="HK31" i="5"/>
  <c r="HR31" i="5" s="1"/>
  <c r="IH149" i="5"/>
  <c r="II149" i="5" s="1"/>
  <c r="HZ149" i="5"/>
  <c r="GU149" i="5"/>
  <c r="GV149" i="5" s="1"/>
  <c r="GP149" i="5"/>
  <c r="FX149" i="5"/>
  <c r="FI149" i="5"/>
  <c r="FG149" i="5" s="1"/>
  <c r="EY149" i="5"/>
  <c r="FC149" i="5"/>
  <c r="EO149" i="5"/>
  <c r="EQ149" i="5" s="1"/>
  <c r="GD149" i="5"/>
  <c r="ET149" i="5"/>
  <c r="GA149" i="5"/>
  <c r="DU149" i="5"/>
  <c r="FR149" i="5"/>
  <c r="FO149" i="5"/>
  <c r="FL149" i="5"/>
  <c r="GG149" i="5"/>
  <c r="IE39" i="5"/>
  <c r="NX39" i="5" s="1"/>
  <c r="NX9" i="5"/>
  <c r="NX16" i="5"/>
  <c r="DX107" i="5"/>
  <c r="HM107" i="5"/>
  <c r="DX80" i="5"/>
  <c r="HM80" i="5"/>
  <c r="DX131" i="5"/>
  <c r="HM131" i="5"/>
  <c r="DX75" i="5"/>
  <c r="HM75" i="5"/>
  <c r="DX14" i="5"/>
  <c r="HM14" i="5"/>
  <c r="DX95" i="5"/>
  <c r="HM95" i="5"/>
  <c r="DX31" i="5"/>
  <c r="HM31" i="5"/>
  <c r="DX42" i="5"/>
  <c r="HM42" i="5"/>
  <c r="DX39" i="5"/>
  <c r="HM39" i="5"/>
  <c r="DX60" i="5"/>
  <c r="HM60" i="5"/>
  <c r="DX23" i="5"/>
  <c r="HM23" i="5"/>
  <c r="DX62" i="5"/>
  <c r="HM62" i="5"/>
  <c r="DX25" i="5"/>
  <c r="HM25" i="5"/>
  <c r="DX93" i="5"/>
  <c r="HM93" i="5"/>
  <c r="DX34" i="5"/>
  <c r="HM34" i="5"/>
  <c r="DX6" i="5"/>
  <c r="HM6" i="5"/>
  <c r="DX52" i="5"/>
  <c r="HM52" i="5"/>
  <c r="DX129" i="5"/>
  <c r="HM129" i="5"/>
  <c r="DX22" i="5"/>
  <c r="HM22" i="5"/>
  <c r="DX86" i="5"/>
  <c r="HM86" i="5"/>
  <c r="DX104" i="5"/>
  <c r="HM104" i="5"/>
  <c r="DX57" i="5"/>
  <c r="HM57" i="5"/>
  <c r="DX30" i="5"/>
  <c r="HM30" i="5"/>
  <c r="DX54" i="5"/>
  <c r="HM54" i="5"/>
  <c r="DX9" i="5"/>
  <c r="HM9" i="5"/>
  <c r="DX130" i="5"/>
  <c r="HM130" i="5"/>
  <c r="DX149" i="5"/>
  <c r="HM149" i="5"/>
  <c r="DX45" i="5"/>
  <c r="HM45" i="5"/>
  <c r="DX15" i="5"/>
  <c r="HM15" i="5"/>
  <c r="DX44" i="5"/>
  <c r="HM44" i="5"/>
  <c r="DX16" i="5"/>
  <c r="HM16" i="5"/>
  <c r="DX12" i="5"/>
  <c r="HM12" i="5"/>
  <c r="DX20" i="5"/>
  <c r="HM20" i="5"/>
  <c r="DX84" i="5"/>
  <c r="HM84" i="5"/>
  <c r="RO149" i="5"/>
  <c r="RI149" i="5"/>
  <c r="RJ149" i="5"/>
  <c r="RS149" i="5"/>
  <c r="RM149" i="5"/>
  <c r="RR149" i="5"/>
  <c r="QV149" i="5"/>
  <c r="RQ149" i="5"/>
  <c r="RB149" i="5"/>
  <c r="QU149" i="5"/>
  <c r="QZ149" i="5"/>
  <c r="RU149" i="5"/>
  <c r="RL149" i="5"/>
  <c r="QY149" i="5"/>
  <c r="RD149" i="5"/>
  <c r="QT149" i="5"/>
  <c r="RT149" i="5"/>
  <c r="RC149" i="5"/>
  <c r="QW149" i="5"/>
  <c r="RH149" i="5"/>
  <c r="RN149" i="5"/>
  <c r="RG149" i="5"/>
  <c r="RA149" i="5"/>
  <c r="RP149" i="5"/>
  <c r="RF149" i="5"/>
  <c r="RK149" i="5"/>
  <c r="RE149" i="5"/>
  <c r="QX149" i="5"/>
  <c r="PZ149" i="5"/>
  <c r="PW149" i="5"/>
  <c r="QC149" i="5"/>
  <c r="QG149" i="5"/>
  <c r="QD149" i="5"/>
  <c r="QA149" i="5"/>
  <c r="QK149" i="5"/>
  <c r="QO149" i="5"/>
  <c r="QH149" i="5"/>
  <c r="QE149" i="5"/>
  <c r="PP149" i="5"/>
  <c r="PL149" i="5"/>
  <c r="QL149" i="5"/>
  <c r="QI149" i="5"/>
  <c r="PX149" i="5"/>
  <c r="PT149" i="5"/>
  <c r="PJ149" i="5"/>
  <c r="QP149" i="5"/>
  <c r="QM149" i="5"/>
  <c r="QF149" i="5"/>
  <c r="QB149" i="5"/>
  <c r="PN149" i="5"/>
  <c r="PK149" i="5"/>
  <c r="QQ149" i="5"/>
  <c r="QN149" i="5"/>
  <c r="QJ149" i="5"/>
  <c r="PR149" i="5"/>
  <c r="PO149" i="5"/>
  <c r="PM149" i="5"/>
  <c r="PQ149" i="5"/>
  <c r="PV149" i="5"/>
  <c r="PS149" i="5"/>
  <c r="PU149" i="5"/>
  <c r="PY149" i="5"/>
  <c r="IE23" i="5"/>
  <c r="PX129" i="5"/>
  <c r="PS129" i="5"/>
  <c r="PO129" i="5"/>
  <c r="PM129" i="5"/>
  <c r="QA129" i="5"/>
  <c r="QQ129" i="5"/>
  <c r="QN129" i="5"/>
  <c r="QL129" i="5"/>
  <c r="QB129" i="5"/>
  <c r="PY129" i="5"/>
  <c r="PU129" i="5"/>
  <c r="PW129" i="5"/>
  <c r="PK129" i="5"/>
  <c r="QO129" i="5"/>
  <c r="QC129" i="5"/>
  <c r="QF129" i="5"/>
  <c r="QD129" i="5"/>
  <c r="PZ129" i="5"/>
  <c r="QH129" i="5"/>
  <c r="QG129" i="5"/>
  <c r="QK129" i="5"/>
  <c r="PL129" i="5"/>
  <c r="QJ129" i="5"/>
  <c r="QI129" i="5"/>
  <c r="QE129" i="5"/>
  <c r="PR129" i="5"/>
  <c r="PQ129" i="5"/>
  <c r="PP129" i="5"/>
  <c r="PT129" i="5"/>
  <c r="PN129" i="5"/>
  <c r="PJ129" i="5"/>
  <c r="QP129" i="5"/>
  <c r="QM129" i="5"/>
  <c r="PV129" i="5"/>
  <c r="PX131" i="5"/>
  <c r="PO131" i="5"/>
  <c r="PK131" i="5"/>
  <c r="QQ131" i="5"/>
  <c r="QI131" i="5"/>
  <c r="QH131" i="5"/>
  <c r="QB131" i="5"/>
  <c r="PU131" i="5"/>
  <c r="PQ131" i="5"/>
  <c r="PS131" i="5"/>
  <c r="PY131" i="5"/>
  <c r="QC131" i="5"/>
  <c r="QF131" i="5"/>
  <c r="PZ131" i="5"/>
  <c r="PV131" i="5"/>
  <c r="QD131" i="5"/>
  <c r="QM131" i="5"/>
  <c r="QN131" i="5"/>
  <c r="PL131" i="5"/>
  <c r="QJ131" i="5"/>
  <c r="QE131" i="5"/>
  <c r="QA131" i="5"/>
  <c r="QO131" i="5"/>
  <c r="PM131" i="5"/>
  <c r="QK131" i="5"/>
  <c r="QG131" i="5"/>
  <c r="PT131" i="5"/>
  <c r="PJ131" i="5"/>
  <c r="QP131" i="5"/>
  <c r="QL131" i="5"/>
  <c r="PW131" i="5"/>
  <c r="PR131" i="5"/>
  <c r="PP131" i="5"/>
  <c r="PN131" i="5"/>
  <c r="RE130" i="5"/>
  <c r="QX130" i="5"/>
  <c r="QY130" i="5"/>
  <c r="QU130" i="5"/>
  <c r="RL130" i="5"/>
  <c r="RI130" i="5"/>
  <c r="RB130" i="5"/>
  <c r="RG130" i="5"/>
  <c r="RC130" i="5"/>
  <c r="RT130" i="5"/>
  <c r="RM130" i="5"/>
  <c r="RF130" i="5"/>
  <c r="RO130" i="5"/>
  <c r="RK130" i="5"/>
  <c r="RQ130" i="5"/>
  <c r="RJ130" i="5"/>
  <c r="QZ130" i="5"/>
  <c r="RS130" i="5"/>
  <c r="QW130" i="5"/>
  <c r="RU130" i="5"/>
  <c r="RN130" i="5"/>
  <c r="RH130" i="5"/>
  <c r="QV130" i="5"/>
  <c r="RA130" i="5"/>
  <c r="QT130" i="5"/>
  <c r="RR130" i="5"/>
  <c r="RP130" i="5"/>
  <c r="RD130" i="5"/>
  <c r="ND129" i="5"/>
  <c r="QI9" i="5"/>
  <c r="PR9" i="5"/>
  <c r="PP9" i="5"/>
  <c r="PU9" i="5"/>
  <c r="QM9" i="5"/>
  <c r="QN9" i="5"/>
  <c r="PQ9" i="5"/>
  <c r="PL9" i="5"/>
  <c r="PT9" i="5"/>
  <c r="QL9" i="5"/>
  <c r="QJ9" i="5"/>
  <c r="CO9" i="5" s="1"/>
  <c r="HH9" i="5" s="1"/>
  <c r="QA9" i="5"/>
  <c r="PX9" i="5"/>
  <c r="PK9" i="5"/>
  <c r="PY9" i="5"/>
  <c r="QP9" i="5"/>
  <c r="QQ9" i="5"/>
  <c r="QG9" i="5"/>
  <c r="PZ9" i="5"/>
  <c r="QE9" i="5"/>
  <c r="PN9" i="5"/>
  <c r="PJ9" i="5"/>
  <c r="QK9" i="5"/>
  <c r="QO9" i="5"/>
  <c r="PV9" i="5"/>
  <c r="QC9" i="5"/>
  <c r="QB9" i="5"/>
  <c r="PO9" i="5"/>
  <c r="PW9" i="5"/>
  <c r="PS9" i="5"/>
  <c r="PM9" i="5"/>
  <c r="QD9" i="5"/>
  <c r="QH9" i="5"/>
  <c r="QF9" i="5"/>
  <c r="PN130" i="5"/>
  <c r="QL130" i="5"/>
  <c r="QG130" i="5"/>
  <c r="QI130" i="5"/>
  <c r="PP130" i="5"/>
  <c r="QO130" i="5"/>
  <c r="PR130" i="5"/>
  <c r="QP130" i="5"/>
  <c r="QM130" i="5"/>
  <c r="QN130" i="5"/>
  <c r="QA130" i="5"/>
  <c r="PY130" i="5"/>
  <c r="PV130" i="5"/>
  <c r="PL130" i="5"/>
  <c r="PM130" i="5"/>
  <c r="PK130" i="5"/>
  <c r="QK130" i="5"/>
  <c r="QE130" i="5"/>
  <c r="PZ130" i="5"/>
  <c r="PQ130" i="5"/>
  <c r="PS130" i="5"/>
  <c r="PU130" i="5"/>
  <c r="PO130" i="5"/>
  <c r="PW130" i="5"/>
  <c r="PX130" i="5"/>
  <c r="QJ130" i="5"/>
  <c r="PJ130" i="5"/>
  <c r="QH130" i="5"/>
  <c r="QB130" i="5"/>
  <c r="QC130" i="5"/>
  <c r="QQ130" i="5"/>
  <c r="PT130" i="5"/>
  <c r="QD130" i="5"/>
  <c r="QF130" i="5"/>
  <c r="QT9" i="5"/>
  <c r="RR9" i="5"/>
  <c r="RO9" i="5"/>
  <c r="RL9" i="5"/>
  <c r="RQ9" i="5"/>
  <c r="QX9" i="5"/>
  <c r="QU9" i="5"/>
  <c r="RS9" i="5"/>
  <c r="RP9" i="5"/>
  <c r="CQ9" i="5" s="1"/>
  <c r="RU9" i="5"/>
  <c r="RB9" i="5"/>
  <c r="QY9" i="5"/>
  <c r="QV9" i="5"/>
  <c r="RT9" i="5"/>
  <c r="RA9" i="5"/>
  <c r="RF9" i="5"/>
  <c r="RC9" i="5"/>
  <c r="QZ9" i="5"/>
  <c r="RI9" i="5"/>
  <c r="RE9" i="5"/>
  <c r="RJ9" i="5"/>
  <c r="RG9" i="5"/>
  <c r="RD9" i="5"/>
  <c r="QW9" i="5"/>
  <c r="RN9" i="5"/>
  <c r="RK9" i="5"/>
  <c r="RH9" i="5"/>
  <c r="RM9" i="5"/>
  <c r="PN12" i="5"/>
  <c r="PX12" i="5"/>
  <c r="QL12" i="5"/>
  <c r="QB12" i="5"/>
  <c r="CO12" i="5" s="1"/>
  <c r="HH12" i="5" s="1"/>
  <c r="QA12" i="5"/>
  <c r="QC12" i="5"/>
  <c r="PP12" i="5"/>
  <c r="PY12" i="5"/>
  <c r="PR12" i="5"/>
  <c r="QQ12" i="5"/>
  <c r="PT12" i="5"/>
  <c r="QI12" i="5"/>
  <c r="PQ12" i="5"/>
  <c r="PM12" i="5"/>
  <c r="QH12" i="5"/>
  <c r="PK12" i="5"/>
  <c r="QO12" i="5"/>
  <c r="QD12" i="5"/>
  <c r="PO12" i="5"/>
  <c r="PS12" i="5"/>
  <c r="PJ12" i="5"/>
  <c r="PL12" i="5"/>
  <c r="QN12" i="5"/>
  <c r="PZ12" i="5"/>
  <c r="QM12" i="5"/>
  <c r="QJ12" i="5"/>
  <c r="PV12" i="5"/>
  <c r="PU12" i="5"/>
  <c r="QK12" i="5"/>
  <c r="QG12" i="5"/>
  <c r="QE12" i="5"/>
  <c r="QP12" i="5"/>
  <c r="QF12" i="5"/>
  <c r="PW12" i="5"/>
  <c r="QT12" i="5"/>
  <c r="RR12" i="5"/>
  <c r="RO12" i="5"/>
  <c r="RL12" i="5"/>
  <c r="QW12" i="5"/>
  <c r="QX12" i="5"/>
  <c r="QU12" i="5"/>
  <c r="RS12" i="5"/>
  <c r="RP12" i="5"/>
  <c r="RA12" i="5"/>
  <c r="RB12" i="5"/>
  <c r="QY12" i="5"/>
  <c r="QV12" i="5"/>
  <c r="RT12" i="5"/>
  <c r="RM12" i="5"/>
  <c r="RF12" i="5"/>
  <c r="RC12" i="5"/>
  <c r="QZ12" i="5"/>
  <c r="RE12" i="5"/>
  <c r="RQ12" i="5"/>
  <c r="RJ12" i="5"/>
  <c r="RG12" i="5"/>
  <c r="RD12" i="5"/>
  <c r="RU12" i="5"/>
  <c r="RN12" i="5"/>
  <c r="RK12" i="5"/>
  <c r="RH12" i="5"/>
  <c r="CQ12" i="5" s="1"/>
  <c r="RI12" i="5"/>
  <c r="QW129" i="5"/>
  <c r="RU129" i="5"/>
  <c r="RN129" i="5"/>
  <c r="QV129" i="5"/>
  <c r="RO129" i="5"/>
  <c r="RA129" i="5"/>
  <c r="QT129" i="5"/>
  <c r="RR129" i="5"/>
  <c r="RD129" i="5"/>
  <c r="QZ129" i="5"/>
  <c r="RE129" i="5"/>
  <c r="QX129" i="5"/>
  <c r="QU129" i="5"/>
  <c r="RL129" i="5"/>
  <c r="RH129" i="5"/>
  <c r="RI129" i="5"/>
  <c r="RB129" i="5"/>
  <c r="RC129" i="5"/>
  <c r="RT129" i="5"/>
  <c r="RP129" i="5"/>
  <c r="RM129" i="5"/>
  <c r="RF129" i="5"/>
  <c r="RK129" i="5"/>
  <c r="QY129" i="5"/>
  <c r="RQ129" i="5"/>
  <c r="RJ129" i="5"/>
  <c r="RS129" i="5"/>
  <c r="RG129" i="5"/>
  <c r="QW131" i="5"/>
  <c r="QT131" i="5"/>
  <c r="RR131" i="5"/>
  <c r="RD131" i="5"/>
  <c r="RU131" i="5"/>
  <c r="RA131" i="5"/>
  <c r="QX131" i="5"/>
  <c r="QU131" i="5"/>
  <c r="RL131" i="5"/>
  <c r="QZ131" i="5"/>
  <c r="RE131" i="5"/>
  <c r="RB131" i="5"/>
  <c r="RC131" i="5"/>
  <c r="RT131" i="5"/>
  <c r="RH131" i="5"/>
  <c r="RI131" i="5"/>
  <c r="RF131" i="5"/>
  <c r="RK131" i="5"/>
  <c r="QY131" i="5"/>
  <c r="RP131" i="5"/>
  <c r="RM131" i="5"/>
  <c r="RJ131" i="5"/>
  <c r="RS131" i="5"/>
  <c r="RG131" i="5"/>
  <c r="RQ131" i="5"/>
  <c r="RN131" i="5"/>
  <c r="QV131" i="5"/>
  <c r="RO131" i="5"/>
  <c r="CQ131" i="5" s="1"/>
  <c r="ND5" i="5"/>
  <c r="HI5" i="5" s="1"/>
  <c r="NS13" i="5"/>
  <c r="NU13" i="5" s="1"/>
  <c r="NS5" i="5"/>
  <c r="NU5" i="5" s="1"/>
  <c r="QD60" i="5"/>
  <c r="PN60" i="5"/>
  <c r="QQ60" i="5"/>
  <c r="QB60" i="5"/>
  <c r="PJ60" i="5"/>
  <c r="QI60" i="5"/>
  <c r="QK60" i="5"/>
  <c r="QM60" i="5"/>
  <c r="PV60" i="5"/>
  <c r="PQ60" i="5"/>
  <c r="QL60" i="5"/>
  <c r="PU60" i="5"/>
  <c r="PZ60" i="5"/>
  <c r="QC60" i="5"/>
  <c r="PW60" i="5"/>
  <c r="PK60" i="5"/>
  <c r="QO60" i="5"/>
  <c r="QP60" i="5"/>
  <c r="PT60" i="5"/>
  <c r="PM60" i="5"/>
  <c r="PO60" i="5"/>
  <c r="QA60" i="5"/>
  <c r="PR60" i="5"/>
  <c r="PY60" i="5"/>
  <c r="QF60" i="5"/>
  <c r="QN60" i="5"/>
  <c r="PL60" i="5"/>
  <c r="QH60" i="5"/>
  <c r="PS60" i="5"/>
  <c r="QE60" i="5"/>
  <c r="PX60" i="5"/>
  <c r="QJ60" i="5"/>
  <c r="QG60" i="5"/>
  <c r="PP60" i="5"/>
  <c r="PX39" i="5"/>
  <c r="PN39" i="5"/>
  <c r="QL39" i="5"/>
  <c r="QD39" i="5"/>
  <c r="QQ39" i="5"/>
  <c r="PP39" i="5"/>
  <c r="PM39" i="5"/>
  <c r="PU39" i="5"/>
  <c r="QC39" i="5"/>
  <c r="QE39" i="5"/>
  <c r="PY39" i="5"/>
  <c r="QM39" i="5"/>
  <c r="PS39" i="5"/>
  <c r="PV39" i="5"/>
  <c r="PT39" i="5"/>
  <c r="QH39" i="5"/>
  <c r="PL39" i="5"/>
  <c r="QI39" i="5"/>
  <c r="QK39" i="5"/>
  <c r="QO39" i="5"/>
  <c r="PJ39" i="5"/>
  <c r="PQ39" i="5"/>
  <c r="QF39" i="5"/>
  <c r="QJ39" i="5"/>
  <c r="PR39" i="5"/>
  <c r="PK39" i="5"/>
  <c r="QP39" i="5"/>
  <c r="QB39" i="5"/>
  <c r="PW39" i="5"/>
  <c r="QG39" i="5"/>
  <c r="QN39" i="5"/>
  <c r="QA39" i="5"/>
  <c r="PZ39" i="5"/>
  <c r="PO39" i="5"/>
  <c r="QJ15" i="5"/>
  <c r="PP15" i="5"/>
  <c r="PK15" i="5"/>
  <c r="PR15" i="5"/>
  <c r="QD15" i="5"/>
  <c r="QK15" i="5"/>
  <c r="QH15" i="5"/>
  <c r="QF15" i="5"/>
  <c r="QA15" i="5"/>
  <c r="PJ15" i="5"/>
  <c r="QC15" i="5"/>
  <c r="QM15" i="5"/>
  <c r="QP15" i="5"/>
  <c r="PY15" i="5"/>
  <c r="QQ15" i="5"/>
  <c r="PZ15" i="5"/>
  <c r="CO15" i="5" s="1"/>
  <c r="HH15" i="5" s="1"/>
  <c r="QE15" i="5"/>
  <c r="PW15" i="5"/>
  <c r="PV15" i="5"/>
  <c r="PX15" i="5"/>
  <c r="PO15" i="5"/>
  <c r="QB15" i="5"/>
  <c r="PT15" i="5"/>
  <c r="PS15" i="5"/>
  <c r="PU15" i="5"/>
  <c r="QN15" i="5"/>
  <c r="PL15" i="5"/>
  <c r="PM15" i="5"/>
  <c r="QG15" i="5"/>
  <c r="QI15" i="5"/>
  <c r="PN15" i="5"/>
  <c r="QO15" i="5"/>
  <c r="PQ15" i="5"/>
  <c r="QL15" i="5"/>
  <c r="QG31" i="5"/>
  <c r="QJ31" i="5"/>
  <c r="PS31" i="5"/>
  <c r="PQ31" i="5"/>
  <c r="PW31" i="5"/>
  <c r="QC31" i="5"/>
  <c r="QA31" i="5"/>
  <c r="QQ31" i="5"/>
  <c r="QL31" i="5"/>
  <c r="QP31" i="5"/>
  <c r="PZ31" i="5"/>
  <c r="PN31" i="5"/>
  <c r="QF31" i="5"/>
  <c r="QE31" i="5"/>
  <c r="CO31" i="5" s="1"/>
  <c r="HH31" i="5" s="1"/>
  <c r="PT31" i="5"/>
  <c r="QN31" i="5"/>
  <c r="QI31" i="5"/>
  <c r="PU31" i="5"/>
  <c r="QM31" i="5"/>
  <c r="PY31" i="5"/>
  <c r="QB31" i="5"/>
  <c r="QK31" i="5"/>
  <c r="PR31" i="5"/>
  <c r="QD31" i="5"/>
  <c r="PP31" i="5"/>
  <c r="PX31" i="5"/>
  <c r="QO31" i="5"/>
  <c r="PJ31" i="5"/>
  <c r="QH31" i="5"/>
  <c r="PM31" i="5"/>
  <c r="PK31" i="5"/>
  <c r="PO31" i="5"/>
  <c r="PV31" i="5"/>
  <c r="PL31" i="5"/>
  <c r="PX95" i="5"/>
  <c r="QM95" i="5"/>
  <c r="PM95" i="5"/>
  <c r="PV95" i="5"/>
  <c r="PL95" i="5"/>
  <c r="PN95" i="5"/>
  <c r="PU95" i="5"/>
  <c r="QQ95" i="5"/>
  <c r="QB95" i="5"/>
  <c r="QH95" i="5"/>
  <c r="PP95" i="5"/>
  <c r="QK95" i="5"/>
  <c r="PK95" i="5"/>
  <c r="PZ95" i="5"/>
  <c r="PQ95" i="5"/>
  <c r="QN95" i="5"/>
  <c r="PS95" i="5"/>
  <c r="QE95" i="5"/>
  <c r="QG95" i="5"/>
  <c r="QF95" i="5"/>
  <c r="QD95" i="5"/>
  <c r="QA95" i="5"/>
  <c r="PT95" i="5"/>
  <c r="QP95" i="5"/>
  <c r="PW95" i="5"/>
  <c r="QL95" i="5"/>
  <c r="QC95" i="5"/>
  <c r="PO95" i="5"/>
  <c r="PJ95" i="5"/>
  <c r="QJ95" i="5"/>
  <c r="QI95" i="5"/>
  <c r="PR95" i="5"/>
  <c r="PY95" i="5"/>
  <c r="QO95" i="5"/>
  <c r="QB104" i="5"/>
  <c r="QA104" i="5"/>
  <c r="PU104" i="5"/>
  <c r="PT104" i="5"/>
  <c r="PV104" i="5"/>
  <c r="QE104" i="5"/>
  <c r="QN104" i="5"/>
  <c r="PK104" i="5"/>
  <c r="PL104" i="5"/>
  <c r="PW104" i="5"/>
  <c r="QD104" i="5"/>
  <c r="PQ104" i="5"/>
  <c r="PX104" i="5"/>
  <c r="PM104" i="5"/>
  <c r="QI104" i="5"/>
  <c r="QM104" i="5"/>
  <c r="QQ104" i="5"/>
  <c r="QJ104" i="5"/>
  <c r="PY104" i="5"/>
  <c r="QK104" i="5"/>
  <c r="PJ104" i="5"/>
  <c r="PR104" i="5"/>
  <c r="QO104" i="5"/>
  <c r="PN104" i="5"/>
  <c r="PO104" i="5"/>
  <c r="QL104" i="5"/>
  <c r="QF104" i="5"/>
  <c r="PS104" i="5"/>
  <c r="QH104" i="5"/>
  <c r="CO104" i="5" s="1"/>
  <c r="HH104" i="5" s="1"/>
  <c r="QG104" i="5"/>
  <c r="QP104" i="5"/>
  <c r="PZ104" i="5"/>
  <c r="PP104" i="5"/>
  <c r="QC104" i="5"/>
  <c r="QW23" i="5"/>
  <c r="RU23" i="5"/>
  <c r="RN23" i="5"/>
  <c r="RH23" i="5"/>
  <c r="RL23" i="5"/>
  <c r="RA23" i="5"/>
  <c r="QT23" i="5"/>
  <c r="RR23" i="5"/>
  <c r="RP23" i="5"/>
  <c r="CQ23" i="5" s="1"/>
  <c r="RT23" i="5"/>
  <c r="RE23" i="5"/>
  <c r="QX23" i="5"/>
  <c r="QY23" i="5"/>
  <c r="QU23" i="5"/>
  <c r="QV23" i="5"/>
  <c r="RI23" i="5"/>
  <c r="RB23" i="5"/>
  <c r="RG23" i="5"/>
  <c r="RC23" i="5"/>
  <c r="RD23" i="5"/>
  <c r="RM23" i="5"/>
  <c r="RF23" i="5"/>
  <c r="RO23" i="5"/>
  <c r="RK23" i="5"/>
  <c r="RQ23" i="5"/>
  <c r="RJ23" i="5"/>
  <c r="QZ23" i="5"/>
  <c r="RS23" i="5"/>
  <c r="PM62" i="5"/>
  <c r="PL62" i="5"/>
  <c r="QH62" i="5"/>
  <c r="QL62" i="5"/>
  <c r="PZ62" i="5"/>
  <c r="PY62" i="5"/>
  <c r="QJ62" i="5"/>
  <c r="QM62" i="5"/>
  <c r="PW62" i="5"/>
  <c r="QC62" i="5"/>
  <c r="QP62" i="5"/>
  <c r="PP62" i="5"/>
  <c r="PT62" i="5"/>
  <c r="QI62" i="5"/>
  <c r="PX62" i="5"/>
  <c r="QA62" i="5"/>
  <c r="QB62" i="5"/>
  <c r="PQ62" i="5"/>
  <c r="PU62" i="5"/>
  <c r="QE62" i="5"/>
  <c r="PR62" i="5"/>
  <c r="PS62" i="5"/>
  <c r="QF62" i="5"/>
  <c r="PO62" i="5"/>
  <c r="QQ62" i="5"/>
  <c r="QG62" i="5"/>
  <c r="QN62" i="5"/>
  <c r="QD62" i="5"/>
  <c r="PV62" i="5"/>
  <c r="PN62" i="5"/>
  <c r="QK62" i="5"/>
  <c r="QO62" i="5"/>
  <c r="PJ62" i="5"/>
  <c r="CO62" i="5" s="1"/>
  <c r="HH62" i="5" s="1"/>
  <c r="PK62" i="5"/>
  <c r="PO54" i="5"/>
  <c r="PU54" i="5"/>
  <c r="QG54" i="5"/>
  <c r="PQ54" i="5"/>
  <c r="QQ54" i="5"/>
  <c r="PR54" i="5"/>
  <c r="QM54" i="5"/>
  <c r="QO54" i="5"/>
  <c r="PT54" i="5"/>
  <c r="PZ54" i="5"/>
  <c r="PL54" i="5"/>
  <c r="PN54" i="5"/>
  <c r="PV54" i="5"/>
  <c r="QJ54" i="5"/>
  <c r="PK54" i="5"/>
  <c r="QA54" i="5"/>
  <c r="PM54" i="5"/>
  <c r="QN54" i="5"/>
  <c r="QF54" i="5"/>
  <c r="PS54" i="5"/>
  <c r="QL54" i="5"/>
  <c r="QC54" i="5"/>
  <c r="PP54" i="5"/>
  <c r="PY54" i="5"/>
  <c r="QH54" i="5"/>
  <c r="QB54" i="5"/>
  <c r="QK54" i="5"/>
  <c r="PJ54" i="5"/>
  <c r="QI54" i="5"/>
  <c r="QP54" i="5"/>
  <c r="QD54" i="5"/>
  <c r="PW54" i="5"/>
  <c r="PX54" i="5"/>
  <c r="QE54" i="5"/>
  <c r="QE30" i="5"/>
  <c r="QN30" i="5"/>
  <c r="PN30" i="5"/>
  <c r="QO30" i="5"/>
  <c r="PP30" i="5"/>
  <c r="QM30" i="5"/>
  <c r="QH30" i="5"/>
  <c r="PO30" i="5"/>
  <c r="PQ30" i="5"/>
  <c r="PK30" i="5"/>
  <c r="QJ30" i="5"/>
  <c r="QK30" i="5"/>
  <c r="QP30" i="5"/>
  <c r="PR30" i="5"/>
  <c r="PT30" i="5"/>
  <c r="QA30" i="5"/>
  <c r="QG30" i="5"/>
  <c r="CO30" i="5" s="1"/>
  <c r="HH30" i="5" s="1"/>
  <c r="QB30" i="5"/>
  <c r="QC30" i="5"/>
  <c r="PX30" i="5"/>
  <c r="QQ30" i="5"/>
  <c r="QL30" i="5"/>
  <c r="PV30" i="5"/>
  <c r="PL30" i="5"/>
  <c r="QF30" i="5"/>
  <c r="PZ30" i="5"/>
  <c r="PS30" i="5"/>
  <c r="QD30" i="5"/>
  <c r="PW30" i="5"/>
  <c r="PJ30" i="5"/>
  <c r="PM30" i="5"/>
  <c r="QI30" i="5"/>
  <c r="PY30" i="5"/>
  <c r="PU30" i="5"/>
  <c r="QG44" i="5"/>
  <c r="QF44" i="5"/>
  <c r="PO44" i="5"/>
  <c r="QN44" i="5"/>
  <c r="PX44" i="5"/>
  <c r="PM44" i="5"/>
  <c r="QQ44" i="5"/>
  <c r="PS44" i="5"/>
  <c r="QJ44" i="5"/>
  <c r="QH44" i="5"/>
  <c r="PJ44" i="5"/>
  <c r="QC44" i="5"/>
  <c r="QA44" i="5"/>
  <c r="PQ44" i="5"/>
  <c r="PY44" i="5"/>
  <c r="QD44" i="5"/>
  <c r="QE44" i="5"/>
  <c r="PN44" i="5"/>
  <c r="PP44" i="5"/>
  <c r="PV44" i="5"/>
  <c r="QI44" i="5"/>
  <c r="PR44" i="5"/>
  <c r="QO44" i="5"/>
  <c r="QB44" i="5"/>
  <c r="PU44" i="5"/>
  <c r="PW44" i="5"/>
  <c r="PT44" i="5"/>
  <c r="PL44" i="5"/>
  <c r="QM44" i="5"/>
  <c r="PK44" i="5"/>
  <c r="QK44" i="5"/>
  <c r="QL44" i="5"/>
  <c r="QP44" i="5"/>
  <c r="PZ44" i="5"/>
  <c r="QA80" i="5"/>
  <c r="QQ80" i="5"/>
  <c r="QM80" i="5"/>
  <c r="QH80" i="5"/>
  <c r="QF80" i="5"/>
  <c r="PX80" i="5"/>
  <c r="QO80" i="5"/>
  <c r="QG80" i="5"/>
  <c r="QB80" i="5"/>
  <c r="PO80" i="5"/>
  <c r="QD80" i="5"/>
  <c r="PY80" i="5"/>
  <c r="QN80" i="5"/>
  <c r="PJ80" i="5"/>
  <c r="QK80" i="5"/>
  <c r="CO80" i="5" s="1"/>
  <c r="HH80" i="5" s="1"/>
  <c r="QE80" i="5"/>
  <c r="QJ80" i="5"/>
  <c r="QI80" i="5"/>
  <c r="PT80" i="5"/>
  <c r="PZ80" i="5"/>
  <c r="PU80" i="5"/>
  <c r="PL80" i="5"/>
  <c r="PV80" i="5"/>
  <c r="PK80" i="5"/>
  <c r="QL80" i="5"/>
  <c r="PS80" i="5"/>
  <c r="QP80" i="5"/>
  <c r="PM80" i="5"/>
  <c r="PP80" i="5"/>
  <c r="PN80" i="5"/>
  <c r="PQ80" i="5"/>
  <c r="PW80" i="5"/>
  <c r="PR80" i="5"/>
  <c r="QC80" i="5"/>
  <c r="PN25" i="5"/>
  <c r="QQ25" i="5"/>
  <c r="QG25" i="5"/>
  <c r="QP25" i="5"/>
  <c r="QB25" i="5"/>
  <c r="QN25" i="5"/>
  <c r="PP25" i="5"/>
  <c r="PT25" i="5"/>
  <c r="QL25" i="5"/>
  <c r="PY25" i="5"/>
  <c r="QE25" i="5"/>
  <c r="PL25" i="5"/>
  <c r="PV25" i="5"/>
  <c r="PM25" i="5"/>
  <c r="PQ25" i="5"/>
  <c r="PZ25" i="5"/>
  <c r="QA25" i="5"/>
  <c r="PX25" i="5"/>
  <c r="PK25" i="5"/>
  <c r="PJ25" i="5"/>
  <c r="QK25" i="5"/>
  <c r="QJ25" i="5"/>
  <c r="QO25" i="5"/>
  <c r="QF25" i="5"/>
  <c r="PR25" i="5"/>
  <c r="PU25" i="5"/>
  <c r="QM25" i="5"/>
  <c r="PO25" i="5"/>
  <c r="PS25" i="5"/>
  <c r="QH25" i="5"/>
  <c r="QD25" i="5"/>
  <c r="QI25" i="5"/>
  <c r="PW25" i="5"/>
  <c r="QC25" i="5"/>
  <c r="RQ20" i="5"/>
  <c r="RJ20" i="5"/>
  <c r="RS20" i="5"/>
  <c r="RG20" i="5"/>
  <c r="QW20" i="5"/>
  <c r="RU20" i="5"/>
  <c r="RN20" i="5"/>
  <c r="QV20" i="5"/>
  <c r="RO20" i="5"/>
  <c r="RA20" i="5"/>
  <c r="QT20" i="5"/>
  <c r="RR20" i="5"/>
  <c r="RD20" i="5"/>
  <c r="QZ20" i="5"/>
  <c r="RE20" i="5"/>
  <c r="QX20" i="5"/>
  <c r="QU20" i="5"/>
  <c r="RL20" i="5"/>
  <c r="RH20" i="5"/>
  <c r="RI20" i="5"/>
  <c r="CQ20" i="5" s="1"/>
  <c r="RB20" i="5"/>
  <c r="RC20" i="5"/>
  <c r="RT20" i="5"/>
  <c r="RP20" i="5"/>
  <c r="RM20" i="5"/>
  <c r="RF20" i="5"/>
  <c r="RK20" i="5"/>
  <c r="QY20" i="5"/>
  <c r="RF42" i="5"/>
  <c r="RC42" i="5"/>
  <c r="QZ42" i="5"/>
  <c r="RE42" i="5"/>
  <c r="RA42" i="5"/>
  <c r="RJ42" i="5"/>
  <c r="RG42" i="5"/>
  <c r="RD42" i="5"/>
  <c r="RU42" i="5"/>
  <c r="RN42" i="5"/>
  <c r="RK42" i="5"/>
  <c r="RH42" i="5"/>
  <c r="RI42" i="5"/>
  <c r="QT42" i="5"/>
  <c r="RR42" i="5"/>
  <c r="RO42" i="5"/>
  <c r="RL42" i="5"/>
  <c r="QW42" i="5"/>
  <c r="QX42" i="5"/>
  <c r="QU42" i="5"/>
  <c r="RS42" i="5"/>
  <c r="RP42" i="5"/>
  <c r="RM42" i="5"/>
  <c r="RB42" i="5"/>
  <c r="QY42" i="5"/>
  <c r="QV42" i="5"/>
  <c r="RT42" i="5"/>
  <c r="RQ42" i="5"/>
  <c r="RU15" i="5"/>
  <c r="RF15" i="5"/>
  <c r="CQ15" i="5" s="1"/>
  <c r="RC15" i="5"/>
  <c r="QZ15" i="5"/>
  <c r="RQ15" i="5"/>
  <c r="RJ15" i="5"/>
  <c r="RG15" i="5"/>
  <c r="RD15" i="5"/>
  <c r="RE15" i="5"/>
  <c r="RN15" i="5"/>
  <c r="RK15" i="5"/>
  <c r="RH15" i="5"/>
  <c r="RT15" i="5"/>
  <c r="QT15" i="5"/>
  <c r="RR15" i="5"/>
  <c r="RO15" i="5"/>
  <c r="RL15" i="5"/>
  <c r="RI15" i="5"/>
  <c r="QX15" i="5"/>
  <c r="QU15" i="5"/>
  <c r="RS15" i="5"/>
  <c r="RP15" i="5"/>
  <c r="RM15" i="5"/>
  <c r="RB15" i="5"/>
  <c r="QY15" i="5"/>
  <c r="QV15" i="5"/>
  <c r="RA15" i="5"/>
  <c r="QW15" i="5"/>
  <c r="QW31" i="5"/>
  <c r="RU31" i="5"/>
  <c r="RO31" i="5"/>
  <c r="RH31" i="5"/>
  <c r="QV31" i="5"/>
  <c r="RA31" i="5"/>
  <c r="QU31" i="5"/>
  <c r="RS31" i="5"/>
  <c r="RP31" i="5"/>
  <c r="RD31" i="5"/>
  <c r="RE31" i="5"/>
  <c r="QY31" i="5"/>
  <c r="QX31" i="5"/>
  <c r="QT31" i="5"/>
  <c r="RL31" i="5"/>
  <c r="RI31" i="5"/>
  <c r="RC31" i="5"/>
  <c r="RF31" i="5"/>
  <c r="RB31" i="5"/>
  <c r="RT31" i="5"/>
  <c r="RM31" i="5"/>
  <c r="RG31" i="5"/>
  <c r="RN31" i="5"/>
  <c r="RJ31" i="5"/>
  <c r="RQ31" i="5"/>
  <c r="RK31" i="5"/>
  <c r="CQ31" i="5" s="1"/>
  <c r="QZ31" i="5"/>
  <c r="RR31" i="5"/>
  <c r="RK95" i="5"/>
  <c r="RH95" i="5"/>
  <c r="RM95" i="5"/>
  <c r="RI95" i="5"/>
  <c r="RO95" i="5"/>
  <c r="RL95" i="5"/>
  <c r="RU95" i="5"/>
  <c r="RQ95" i="5"/>
  <c r="QU95" i="5"/>
  <c r="RS95" i="5"/>
  <c r="RP95" i="5"/>
  <c r="QX95" i="5"/>
  <c r="RB95" i="5"/>
  <c r="QY95" i="5"/>
  <c r="QV95" i="5"/>
  <c r="RT95" i="5"/>
  <c r="RF95" i="5"/>
  <c r="RJ95" i="5"/>
  <c r="RC95" i="5"/>
  <c r="QZ95" i="5"/>
  <c r="QW95" i="5"/>
  <c r="RN95" i="5"/>
  <c r="RR95" i="5"/>
  <c r="RG95" i="5"/>
  <c r="RD95" i="5"/>
  <c r="RE95" i="5"/>
  <c r="RA95" i="5"/>
  <c r="QT95" i="5"/>
  <c r="PQ52" i="5"/>
  <c r="QO52" i="5"/>
  <c r="QN52" i="5"/>
  <c r="PJ52" i="5"/>
  <c r="PZ52" i="5"/>
  <c r="QH52" i="5"/>
  <c r="QL52" i="5"/>
  <c r="PU52" i="5"/>
  <c r="PN52" i="5"/>
  <c r="PO52" i="5"/>
  <c r="PP52" i="5"/>
  <c r="QM52" i="5"/>
  <c r="PR52" i="5"/>
  <c r="QJ52" i="5"/>
  <c r="PY52" i="5"/>
  <c r="PS52" i="5"/>
  <c r="PV52" i="5"/>
  <c r="PW52" i="5"/>
  <c r="PL52" i="5"/>
  <c r="PT52" i="5"/>
  <c r="QC52" i="5"/>
  <c r="PX52" i="5"/>
  <c r="QB52" i="5"/>
  <c r="QE52" i="5"/>
  <c r="QA52" i="5"/>
  <c r="QG52" i="5"/>
  <c r="QD52" i="5"/>
  <c r="PM52" i="5"/>
  <c r="QK52" i="5"/>
  <c r="QI52" i="5"/>
  <c r="QQ52" i="5"/>
  <c r="PK52" i="5"/>
  <c r="QF52" i="5"/>
  <c r="QP52" i="5"/>
  <c r="RA104" i="5"/>
  <c r="QT104" i="5"/>
  <c r="RR104" i="5"/>
  <c r="RO104" i="5"/>
  <c r="RL104" i="5"/>
  <c r="RE104" i="5"/>
  <c r="QX104" i="5"/>
  <c r="QU104" i="5"/>
  <c r="RS104" i="5"/>
  <c r="QZ104" i="5"/>
  <c r="RI104" i="5"/>
  <c r="RB104" i="5"/>
  <c r="QY104" i="5"/>
  <c r="RD104" i="5"/>
  <c r="RP104" i="5"/>
  <c r="RM104" i="5"/>
  <c r="RF104" i="5"/>
  <c r="RC104" i="5"/>
  <c r="RT104" i="5"/>
  <c r="RQ104" i="5"/>
  <c r="RJ104" i="5"/>
  <c r="RG104" i="5"/>
  <c r="RH104" i="5"/>
  <c r="QW104" i="5"/>
  <c r="RU104" i="5"/>
  <c r="RN104" i="5"/>
  <c r="CQ104" i="5" s="1"/>
  <c r="RK104" i="5"/>
  <c r="QV104" i="5"/>
  <c r="QD84" i="5"/>
  <c r="QN84" i="5"/>
  <c r="QG84" i="5"/>
  <c r="QI84" i="5"/>
  <c r="QP84" i="5"/>
  <c r="QE84" i="5"/>
  <c r="PL84" i="5"/>
  <c r="PX84" i="5"/>
  <c r="QJ84" i="5"/>
  <c r="QO84" i="5"/>
  <c r="PM84" i="5"/>
  <c r="QC84" i="5"/>
  <c r="QB84" i="5"/>
  <c r="PN84" i="5"/>
  <c r="QL84" i="5"/>
  <c r="PV84" i="5"/>
  <c r="PR84" i="5"/>
  <c r="QF84" i="5"/>
  <c r="PT84" i="5"/>
  <c r="PW84" i="5"/>
  <c r="QH84" i="5"/>
  <c r="CO84" i="5" s="1"/>
  <c r="HH84" i="5" s="1"/>
  <c r="PY84" i="5"/>
  <c r="PO84" i="5"/>
  <c r="PP84" i="5"/>
  <c r="PK84" i="5"/>
  <c r="PQ84" i="5"/>
  <c r="PJ84" i="5"/>
  <c r="QQ84" i="5"/>
  <c r="PS84" i="5"/>
  <c r="PU84" i="5"/>
  <c r="QM84" i="5"/>
  <c r="PZ84" i="5"/>
  <c r="QK84" i="5"/>
  <c r="QA84" i="5"/>
  <c r="PO23" i="5"/>
  <c r="QM23" i="5"/>
  <c r="QG23" i="5"/>
  <c r="QO23" i="5"/>
  <c r="PY23" i="5"/>
  <c r="PU23" i="5"/>
  <c r="QD23" i="5"/>
  <c r="PS23" i="5"/>
  <c r="QQ23" i="5"/>
  <c r="QL23" i="5"/>
  <c r="PN23" i="5"/>
  <c r="QJ23" i="5"/>
  <c r="CO23" i="5" s="1"/>
  <c r="HH23" i="5" s="1"/>
  <c r="QK23" i="5"/>
  <c r="QP23" i="5"/>
  <c r="PW23" i="5"/>
  <c r="PL23" i="5"/>
  <c r="PM23" i="5"/>
  <c r="PX23" i="5"/>
  <c r="QC23" i="5"/>
  <c r="QN23" i="5"/>
  <c r="PV23" i="5"/>
  <c r="QA23" i="5"/>
  <c r="PQ23" i="5"/>
  <c r="PT23" i="5"/>
  <c r="QF23" i="5"/>
  <c r="PJ23" i="5"/>
  <c r="PZ23" i="5"/>
  <c r="PK23" i="5"/>
  <c r="QI23" i="5"/>
  <c r="QB23" i="5"/>
  <c r="QH23" i="5"/>
  <c r="PP23" i="5"/>
  <c r="PR23" i="5"/>
  <c r="QE23" i="5"/>
  <c r="RA62" i="5"/>
  <c r="QT62" i="5"/>
  <c r="RR62" i="5"/>
  <c r="RK62" i="5"/>
  <c r="QY62" i="5"/>
  <c r="RE62" i="5"/>
  <c r="QX62" i="5"/>
  <c r="QZ62" i="5"/>
  <c r="RS62" i="5"/>
  <c r="RG62" i="5"/>
  <c r="RI62" i="5"/>
  <c r="RB62" i="5"/>
  <c r="RH62" i="5"/>
  <c r="QV62" i="5"/>
  <c r="RO62" i="5"/>
  <c r="RM62" i="5"/>
  <c r="RF62" i="5"/>
  <c r="RP62" i="5"/>
  <c r="RD62" i="5"/>
  <c r="RQ62" i="5"/>
  <c r="RJ62" i="5"/>
  <c r="QU62" i="5"/>
  <c r="RL62" i="5"/>
  <c r="QW62" i="5"/>
  <c r="RU62" i="5"/>
  <c r="RN62" i="5"/>
  <c r="RC62" i="5"/>
  <c r="RT62" i="5"/>
  <c r="RF54" i="5"/>
  <c r="RI54" i="5"/>
  <c r="RK54" i="5"/>
  <c r="RG54" i="5"/>
  <c r="RL54" i="5"/>
  <c r="RJ54" i="5"/>
  <c r="RO54" i="5"/>
  <c r="RP54" i="5"/>
  <c r="RQ54" i="5"/>
  <c r="RN54" i="5"/>
  <c r="RT54" i="5"/>
  <c r="RU54" i="5"/>
  <c r="QW54" i="5"/>
  <c r="QT54" i="5"/>
  <c r="RR54" i="5"/>
  <c r="QU54" i="5"/>
  <c r="RC54" i="5"/>
  <c r="RH54" i="5"/>
  <c r="QX54" i="5"/>
  <c r="QY54" i="5"/>
  <c r="QZ54" i="5"/>
  <c r="RM54" i="5"/>
  <c r="RS54" i="5"/>
  <c r="RB54" i="5"/>
  <c r="RD54" i="5"/>
  <c r="RE54" i="5"/>
  <c r="QV54" i="5"/>
  <c r="RA54" i="5"/>
  <c r="RQ30" i="5"/>
  <c r="QY30" i="5"/>
  <c r="QZ30" i="5"/>
  <c r="RF30" i="5"/>
  <c r="QW30" i="5"/>
  <c r="RU30" i="5"/>
  <c r="RC30" i="5"/>
  <c r="RJ30" i="5"/>
  <c r="RN30" i="5"/>
  <c r="RA30" i="5"/>
  <c r="QT30" i="5"/>
  <c r="RG30" i="5"/>
  <c r="RR30" i="5"/>
  <c r="QV30" i="5"/>
  <c r="RE30" i="5"/>
  <c r="QX30" i="5"/>
  <c r="RK30" i="5"/>
  <c r="RD30" i="5"/>
  <c r="RH30" i="5"/>
  <c r="RI30" i="5"/>
  <c r="RB30" i="5"/>
  <c r="RO30" i="5"/>
  <c r="RL30" i="5"/>
  <c r="RP30" i="5"/>
  <c r="RM30" i="5"/>
  <c r="CQ30" i="5" s="1"/>
  <c r="QU30" i="5"/>
  <c r="RS30" i="5"/>
  <c r="RT30" i="5"/>
  <c r="RF44" i="5"/>
  <c r="RD44" i="5"/>
  <c r="RG44" i="5"/>
  <c r="RC44" i="5"/>
  <c r="RU44" i="5"/>
  <c r="RJ44" i="5"/>
  <c r="RH44" i="5"/>
  <c r="RO44" i="5"/>
  <c r="RK44" i="5"/>
  <c r="RN44" i="5"/>
  <c r="RL44" i="5"/>
  <c r="CQ44" i="5" s="1"/>
  <c r="RA44" i="5"/>
  <c r="RS44" i="5"/>
  <c r="QT44" i="5"/>
  <c r="RR44" i="5"/>
  <c r="RP44" i="5"/>
  <c r="RI44" i="5"/>
  <c r="QW44" i="5"/>
  <c r="QX44" i="5"/>
  <c r="QV44" i="5"/>
  <c r="RT44" i="5"/>
  <c r="RQ44" i="5"/>
  <c r="RE44" i="5"/>
  <c r="RB44" i="5"/>
  <c r="QZ44" i="5"/>
  <c r="QY44" i="5"/>
  <c r="QU44" i="5"/>
  <c r="RM44" i="5"/>
  <c r="PS107" i="5"/>
  <c r="PR107" i="5"/>
  <c r="QN107" i="5"/>
  <c r="PU107" i="5"/>
  <c r="PW107" i="5"/>
  <c r="QE107" i="5"/>
  <c r="PZ107" i="5"/>
  <c r="PN107" i="5"/>
  <c r="PQ107" i="5"/>
  <c r="QC107" i="5"/>
  <c r="PO107" i="5"/>
  <c r="QL107" i="5"/>
  <c r="PP107" i="5"/>
  <c r="QH107" i="5"/>
  <c r="PJ107" i="5"/>
  <c r="QP107" i="5"/>
  <c r="PK107" i="5"/>
  <c r="PV107" i="5"/>
  <c r="PX107" i="5"/>
  <c r="QM107" i="5"/>
  <c r="QK107" i="5"/>
  <c r="QG107" i="5"/>
  <c r="QA107" i="5"/>
  <c r="PT107" i="5"/>
  <c r="QI107" i="5"/>
  <c r="QJ107" i="5"/>
  <c r="PL107" i="5"/>
  <c r="QO107" i="5"/>
  <c r="QQ107" i="5"/>
  <c r="QB107" i="5"/>
  <c r="PY107" i="5"/>
  <c r="PM107" i="5"/>
  <c r="QF107" i="5"/>
  <c r="QD107" i="5"/>
  <c r="RO80" i="5"/>
  <c r="RL80" i="5"/>
  <c r="RI80" i="5"/>
  <c r="RB80" i="5"/>
  <c r="QU80" i="5"/>
  <c r="RS80" i="5"/>
  <c r="RP80" i="5"/>
  <c r="RM80" i="5"/>
  <c r="RR80" i="5"/>
  <c r="QY80" i="5"/>
  <c r="QV80" i="5"/>
  <c r="RT80" i="5"/>
  <c r="RQ80" i="5"/>
  <c r="CQ80" i="5" s="1"/>
  <c r="RF80" i="5"/>
  <c r="RC80" i="5"/>
  <c r="QZ80" i="5"/>
  <c r="QW80" i="5"/>
  <c r="RU80" i="5"/>
  <c r="QT80" i="5"/>
  <c r="RG80" i="5"/>
  <c r="RD80" i="5"/>
  <c r="RA80" i="5"/>
  <c r="QX80" i="5"/>
  <c r="RJ80" i="5"/>
  <c r="RK80" i="5"/>
  <c r="RH80" i="5"/>
  <c r="RE80" i="5"/>
  <c r="RN80" i="5"/>
  <c r="QN86" i="5"/>
  <c r="PM86" i="5"/>
  <c r="PR86" i="5"/>
  <c r="QB86" i="5"/>
  <c r="CO86" i="5" s="1"/>
  <c r="HH86" i="5" s="1"/>
  <c r="QO86" i="5"/>
  <c r="PN86" i="5"/>
  <c r="PJ86" i="5"/>
  <c r="QL86" i="5"/>
  <c r="QD86" i="5"/>
  <c r="PT86" i="5"/>
  <c r="PX86" i="5"/>
  <c r="PZ86" i="5"/>
  <c r="QM86" i="5"/>
  <c r="QI86" i="5"/>
  <c r="PS86" i="5"/>
  <c r="QH86" i="5"/>
  <c r="PY86" i="5"/>
  <c r="QP86" i="5"/>
  <c r="PK86" i="5"/>
  <c r="PV86" i="5"/>
  <c r="QQ86" i="5"/>
  <c r="QK86" i="5"/>
  <c r="PP86" i="5"/>
  <c r="QE86" i="5"/>
  <c r="PO86" i="5"/>
  <c r="QC86" i="5"/>
  <c r="QF86" i="5"/>
  <c r="PQ86" i="5"/>
  <c r="QJ86" i="5"/>
  <c r="PW86" i="5"/>
  <c r="QA86" i="5"/>
  <c r="PL86" i="5"/>
  <c r="PU86" i="5"/>
  <c r="QG86" i="5"/>
  <c r="RI60" i="5"/>
  <c r="RB60" i="5"/>
  <c r="RH60" i="5"/>
  <c r="QV60" i="5"/>
  <c r="RO60" i="5"/>
  <c r="RM60" i="5"/>
  <c r="RF60" i="5"/>
  <c r="RP60" i="5"/>
  <c r="RD60" i="5"/>
  <c r="RQ60" i="5"/>
  <c r="RJ60" i="5"/>
  <c r="QU60" i="5"/>
  <c r="RL60" i="5"/>
  <c r="QW60" i="5"/>
  <c r="RU60" i="5"/>
  <c r="RN60" i="5"/>
  <c r="RC60" i="5"/>
  <c r="RT60" i="5"/>
  <c r="RA60" i="5"/>
  <c r="QT60" i="5"/>
  <c r="RR60" i="5"/>
  <c r="RK60" i="5"/>
  <c r="QY60" i="5"/>
  <c r="RE60" i="5"/>
  <c r="QX60" i="5"/>
  <c r="QZ60" i="5"/>
  <c r="RS60" i="5"/>
  <c r="RG60" i="5"/>
  <c r="RE39" i="5"/>
  <c r="QZ39" i="5"/>
  <c r="RG39" i="5"/>
  <c r="RN39" i="5"/>
  <c r="RD39" i="5"/>
  <c r="RI39" i="5"/>
  <c r="RF39" i="5"/>
  <c r="RL39" i="5"/>
  <c r="RS39" i="5"/>
  <c r="RJ39" i="5"/>
  <c r="RM39" i="5"/>
  <c r="RK39" i="5"/>
  <c r="RR39" i="5"/>
  <c r="QT39" i="5"/>
  <c r="RQ39" i="5"/>
  <c r="RP39" i="5"/>
  <c r="QX39" i="5"/>
  <c r="RO39" i="5"/>
  <c r="CQ39" i="5" s="1"/>
  <c r="QW39" i="5"/>
  <c r="RU39" i="5"/>
  <c r="QV39" i="5"/>
  <c r="RC39" i="5"/>
  <c r="QY39" i="5"/>
  <c r="RA39" i="5"/>
  <c r="QU39" i="5"/>
  <c r="RB39" i="5"/>
  <c r="RH39" i="5"/>
  <c r="RT39" i="5"/>
  <c r="QJ75" i="5"/>
  <c r="QD75" i="5"/>
  <c r="PP75" i="5"/>
  <c r="QH75" i="5"/>
  <c r="QN75" i="5"/>
  <c r="QG75" i="5"/>
  <c r="PL75" i="5"/>
  <c r="PJ75" i="5"/>
  <c r="PS75" i="5"/>
  <c r="PX75" i="5"/>
  <c r="PK75" i="5"/>
  <c r="PQ75" i="5"/>
  <c r="PM75" i="5"/>
  <c r="QK75" i="5"/>
  <c r="PR75" i="5"/>
  <c r="QP75" i="5"/>
  <c r="QF75" i="5"/>
  <c r="PN75" i="5"/>
  <c r="QB75" i="5"/>
  <c r="QI75" i="5"/>
  <c r="CO75" i="5" s="1"/>
  <c r="HH75" i="5" s="1"/>
  <c r="PW75" i="5"/>
  <c r="QL75" i="5"/>
  <c r="QM75" i="5"/>
  <c r="QA75" i="5"/>
  <c r="QC75" i="5"/>
  <c r="PO75" i="5"/>
  <c r="QO75" i="5"/>
  <c r="PZ75" i="5"/>
  <c r="QE75" i="5"/>
  <c r="QQ75" i="5"/>
  <c r="PT75" i="5"/>
  <c r="PU75" i="5"/>
  <c r="PY75" i="5"/>
  <c r="PV75" i="5"/>
  <c r="NX14" i="5"/>
  <c r="RC93" i="5"/>
  <c r="QZ93" i="5"/>
  <c r="QW93" i="5"/>
  <c r="RN93" i="5"/>
  <c r="RJ93" i="5"/>
  <c r="RG93" i="5"/>
  <c r="RD93" i="5"/>
  <c r="RE93" i="5"/>
  <c r="RA93" i="5"/>
  <c r="RR93" i="5"/>
  <c r="RK93" i="5"/>
  <c r="RH93" i="5"/>
  <c r="RM93" i="5"/>
  <c r="RI93" i="5"/>
  <c r="CQ93" i="5" s="1"/>
  <c r="RO93" i="5"/>
  <c r="RL93" i="5"/>
  <c r="RU93" i="5"/>
  <c r="RQ93" i="5"/>
  <c r="QU93" i="5"/>
  <c r="RS93" i="5"/>
  <c r="RP93" i="5"/>
  <c r="QX93" i="5"/>
  <c r="QT93" i="5"/>
  <c r="QY93" i="5"/>
  <c r="QV93" i="5"/>
  <c r="RT93" i="5"/>
  <c r="RF93" i="5"/>
  <c r="RB93" i="5"/>
  <c r="NX15" i="5"/>
  <c r="PX6" i="5"/>
  <c r="PQ6" i="5"/>
  <c r="QO6" i="5"/>
  <c r="QP6" i="5"/>
  <c r="PU6" i="5"/>
  <c r="QD6" i="5"/>
  <c r="PM6" i="5"/>
  <c r="QN6" i="5"/>
  <c r="QK6" i="5"/>
  <c r="PW6" i="5"/>
  <c r="PN6" i="5"/>
  <c r="QA6" i="5"/>
  <c r="PS6" i="5"/>
  <c r="PV6" i="5"/>
  <c r="PR6" i="5"/>
  <c r="QM6" i="5"/>
  <c r="QE6" i="5"/>
  <c r="PK6" i="5"/>
  <c r="QF6" i="5"/>
  <c r="QH6" i="5"/>
  <c r="PT6" i="5"/>
  <c r="PY6" i="5"/>
  <c r="QJ6" i="5"/>
  <c r="QI6" i="5"/>
  <c r="PO6" i="5"/>
  <c r="PJ6" i="5"/>
  <c r="PL6" i="5"/>
  <c r="QB6" i="5"/>
  <c r="QQ6" i="5"/>
  <c r="PP6" i="5"/>
  <c r="PZ6" i="5"/>
  <c r="QG6" i="5"/>
  <c r="QC6" i="5"/>
  <c r="QL6" i="5"/>
  <c r="QM34" i="5"/>
  <c r="QE34" i="5"/>
  <c r="PS34" i="5"/>
  <c r="QC34" i="5"/>
  <c r="QA34" i="5"/>
  <c r="QI34" i="5"/>
  <c r="QJ34" i="5"/>
  <c r="QG34" i="5"/>
  <c r="QN34" i="5"/>
  <c r="PL34" i="5"/>
  <c r="PP34" i="5"/>
  <c r="QP34" i="5"/>
  <c r="PR34" i="5"/>
  <c r="PK34" i="5"/>
  <c r="PJ34" i="5"/>
  <c r="QH34" i="5"/>
  <c r="PU34" i="5"/>
  <c r="QQ34" i="5"/>
  <c r="QF34" i="5"/>
  <c r="PY34" i="5"/>
  <c r="PZ34" i="5"/>
  <c r="PX34" i="5"/>
  <c r="QK34" i="5"/>
  <c r="CO34" i="5" s="1"/>
  <c r="HH34" i="5" s="1"/>
  <c r="QL34" i="5"/>
  <c r="PQ34" i="5"/>
  <c r="QO34" i="5"/>
  <c r="PO34" i="5"/>
  <c r="PT34" i="5"/>
  <c r="PW34" i="5"/>
  <c r="QD34" i="5"/>
  <c r="QB34" i="5"/>
  <c r="PM34" i="5"/>
  <c r="PV34" i="5"/>
  <c r="PN34" i="5"/>
  <c r="RQ25" i="5"/>
  <c r="RR25" i="5"/>
  <c r="QT25" i="5"/>
  <c r="RF25" i="5"/>
  <c r="QW25" i="5"/>
  <c r="RU25" i="5"/>
  <c r="QX25" i="5"/>
  <c r="QY25" i="5"/>
  <c r="RK25" i="5"/>
  <c r="CQ25" i="5" s="1"/>
  <c r="RA25" i="5"/>
  <c r="QV25" i="5"/>
  <c r="RC25" i="5"/>
  <c r="RD25" i="5"/>
  <c r="QU25" i="5"/>
  <c r="RE25" i="5"/>
  <c r="RB25" i="5"/>
  <c r="RH25" i="5"/>
  <c r="RJ25" i="5"/>
  <c r="RP25" i="5"/>
  <c r="RI25" i="5"/>
  <c r="RG25" i="5"/>
  <c r="RN25" i="5"/>
  <c r="RO25" i="5"/>
  <c r="QZ25" i="5"/>
  <c r="RM25" i="5"/>
  <c r="RL25" i="5"/>
  <c r="RS25" i="5"/>
  <c r="RT25" i="5"/>
  <c r="QY86" i="5"/>
  <c r="QV86" i="5"/>
  <c r="RT86" i="5"/>
  <c r="RJ86" i="5"/>
  <c r="QX86" i="5"/>
  <c r="RC86" i="5"/>
  <c r="QZ86" i="5"/>
  <c r="RA86" i="5"/>
  <c r="RR86" i="5"/>
  <c r="RF86" i="5"/>
  <c r="RG86" i="5"/>
  <c r="RD86" i="5"/>
  <c r="RI86" i="5"/>
  <c r="QW86" i="5"/>
  <c r="RN86" i="5"/>
  <c r="RK86" i="5"/>
  <c r="RH86" i="5"/>
  <c r="CQ86" i="5" s="1"/>
  <c r="RQ86" i="5"/>
  <c r="RE86" i="5"/>
  <c r="RO86" i="5"/>
  <c r="RL86" i="5"/>
  <c r="QT86" i="5"/>
  <c r="RM86" i="5"/>
  <c r="QU86" i="5"/>
  <c r="RS86" i="5"/>
  <c r="RP86" i="5"/>
  <c r="RB86" i="5"/>
  <c r="RU86" i="5"/>
  <c r="NX30" i="5"/>
  <c r="QT14" i="5"/>
  <c r="RR14" i="5"/>
  <c r="RO14" i="5"/>
  <c r="RL14" i="5"/>
  <c r="RQ14" i="5"/>
  <c r="QX14" i="5"/>
  <c r="QU14" i="5"/>
  <c r="RS14" i="5"/>
  <c r="RP14" i="5"/>
  <c r="RE14" i="5"/>
  <c r="RB14" i="5"/>
  <c r="QY14" i="5"/>
  <c r="QV14" i="5"/>
  <c r="RT14" i="5"/>
  <c r="RI14" i="5"/>
  <c r="RF14" i="5"/>
  <c r="RC14" i="5"/>
  <c r="QZ14" i="5"/>
  <c r="QW14" i="5"/>
  <c r="RU14" i="5"/>
  <c r="RJ14" i="5"/>
  <c r="RG14" i="5"/>
  <c r="RD14" i="5"/>
  <c r="RM14" i="5"/>
  <c r="RN14" i="5"/>
  <c r="RK14" i="5"/>
  <c r="RH14" i="5"/>
  <c r="RA14" i="5"/>
  <c r="QY84" i="5"/>
  <c r="QV84" i="5"/>
  <c r="RT84" i="5"/>
  <c r="RJ84" i="5"/>
  <c r="QX84" i="5"/>
  <c r="RC84" i="5"/>
  <c r="QZ84" i="5"/>
  <c r="RA84" i="5"/>
  <c r="RR84" i="5"/>
  <c r="RF84" i="5"/>
  <c r="RG84" i="5"/>
  <c r="RD84" i="5"/>
  <c r="RI84" i="5"/>
  <c r="QW84" i="5"/>
  <c r="RN84" i="5"/>
  <c r="CQ84" i="5" s="1"/>
  <c r="RK84" i="5"/>
  <c r="RH84" i="5"/>
  <c r="RQ84" i="5"/>
  <c r="RE84" i="5"/>
  <c r="RO84" i="5"/>
  <c r="RL84" i="5"/>
  <c r="QT84" i="5"/>
  <c r="RM84" i="5"/>
  <c r="QU84" i="5"/>
  <c r="RS84" i="5"/>
  <c r="RP84" i="5"/>
  <c r="RB84" i="5"/>
  <c r="RU84" i="5"/>
  <c r="QF93" i="5"/>
  <c r="PZ93" i="5"/>
  <c r="QA93" i="5"/>
  <c r="QI93" i="5"/>
  <c r="QD93" i="5"/>
  <c r="PO93" i="5"/>
  <c r="PL93" i="5"/>
  <c r="QJ93" i="5"/>
  <c r="QE93" i="5"/>
  <c r="QH93" i="5"/>
  <c r="QQ93" i="5"/>
  <c r="PR93" i="5"/>
  <c r="QM93" i="5"/>
  <c r="PP93" i="5"/>
  <c r="QN93" i="5"/>
  <c r="QK93" i="5"/>
  <c r="QO93" i="5"/>
  <c r="PK93" i="5"/>
  <c r="QG93" i="5"/>
  <c r="PX93" i="5"/>
  <c r="PT93" i="5"/>
  <c r="PJ93" i="5"/>
  <c r="QP93" i="5"/>
  <c r="PN93" i="5"/>
  <c r="PY93" i="5"/>
  <c r="PW93" i="5"/>
  <c r="PV93" i="5"/>
  <c r="QB93" i="5"/>
  <c r="PU93" i="5"/>
  <c r="PS93" i="5"/>
  <c r="QC93" i="5"/>
  <c r="CO93" i="5" s="1"/>
  <c r="HH93" i="5" s="1"/>
  <c r="PQ93" i="5"/>
  <c r="PM93" i="5"/>
  <c r="QL93" i="5"/>
  <c r="PY22" i="5"/>
  <c r="PS22" i="5"/>
  <c r="PR22" i="5"/>
  <c r="QB22" i="5"/>
  <c r="PW22" i="5"/>
  <c r="QJ22" i="5"/>
  <c r="QG22" i="5"/>
  <c r="CO22" i="5" s="1"/>
  <c r="HH22" i="5" s="1"/>
  <c r="PJ22" i="5"/>
  <c r="QC22" i="5"/>
  <c r="PX22" i="5"/>
  <c r="PZ22" i="5"/>
  <c r="QL22" i="5"/>
  <c r="QQ22" i="5"/>
  <c r="QD22" i="5"/>
  <c r="QF22" i="5"/>
  <c r="PL22" i="5"/>
  <c r="QA22" i="5"/>
  <c r="PQ22" i="5"/>
  <c r="PP22" i="5"/>
  <c r="PM22" i="5"/>
  <c r="QK22" i="5"/>
  <c r="QI22" i="5"/>
  <c r="QM22" i="5"/>
  <c r="PV22" i="5"/>
  <c r="PO22" i="5"/>
  <c r="QN22" i="5"/>
  <c r="PU22" i="5"/>
  <c r="PN22" i="5"/>
  <c r="PK22" i="5"/>
  <c r="PT22" i="5"/>
  <c r="QP22" i="5"/>
  <c r="QH22" i="5"/>
  <c r="QO22" i="5"/>
  <c r="QE22" i="5"/>
  <c r="NX31" i="5"/>
  <c r="QX6" i="5"/>
  <c r="QU6" i="5"/>
  <c r="RS6" i="5"/>
  <c r="RP6" i="5"/>
  <c r="RE6" i="5"/>
  <c r="RB6" i="5"/>
  <c r="QY6" i="5"/>
  <c r="QV6" i="5"/>
  <c r="RT6" i="5"/>
  <c r="RI6" i="5"/>
  <c r="RF6" i="5"/>
  <c r="RC6" i="5"/>
  <c r="QZ6" i="5"/>
  <c r="QW6" i="5"/>
  <c r="RU6" i="5"/>
  <c r="RJ6" i="5"/>
  <c r="RG6" i="5"/>
  <c r="RD6" i="5"/>
  <c r="RM6" i="5"/>
  <c r="RN6" i="5"/>
  <c r="RK6" i="5"/>
  <c r="RH6" i="5"/>
  <c r="RA6" i="5"/>
  <c r="QT6" i="5"/>
  <c r="RR6" i="5"/>
  <c r="RO6" i="5"/>
  <c r="CQ6" i="5" s="1"/>
  <c r="RL6" i="5"/>
  <c r="RQ6" i="5"/>
  <c r="RI107" i="5"/>
  <c r="RB107" i="5"/>
  <c r="QY107" i="5"/>
  <c r="QZ107" i="5"/>
  <c r="QV107" i="5"/>
  <c r="RM107" i="5"/>
  <c r="RF107" i="5"/>
  <c r="RC107" i="5"/>
  <c r="RP107" i="5"/>
  <c r="RQ107" i="5"/>
  <c r="RJ107" i="5"/>
  <c r="RG107" i="5"/>
  <c r="RD107" i="5"/>
  <c r="QW107" i="5"/>
  <c r="RU107" i="5"/>
  <c r="RN107" i="5"/>
  <c r="RK107" i="5"/>
  <c r="RT107" i="5"/>
  <c r="RA107" i="5"/>
  <c r="QT107" i="5"/>
  <c r="RR107" i="5"/>
  <c r="RO107" i="5"/>
  <c r="RH107" i="5"/>
  <c r="RE107" i="5"/>
  <c r="QX107" i="5"/>
  <c r="QU107" i="5"/>
  <c r="RS107" i="5"/>
  <c r="RL107" i="5"/>
  <c r="RA34" i="5"/>
  <c r="QV34" i="5"/>
  <c r="RC34" i="5"/>
  <c r="RD34" i="5"/>
  <c r="QU34" i="5"/>
  <c r="RE34" i="5"/>
  <c r="RB34" i="5"/>
  <c r="RH34" i="5"/>
  <c r="RJ34" i="5"/>
  <c r="RP34" i="5"/>
  <c r="RI34" i="5"/>
  <c r="RG34" i="5"/>
  <c r="RN34" i="5"/>
  <c r="RO34" i="5"/>
  <c r="QZ34" i="5"/>
  <c r="RM34" i="5"/>
  <c r="RL34" i="5"/>
  <c r="RS34" i="5"/>
  <c r="RT34" i="5"/>
  <c r="RQ34" i="5"/>
  <c r="CQ34" i="5" s="1"/>
  <c r="RR34" i="5"/>
  <c r="QT34" i="5"/>
  <c r="RF34" i="5"/>
  <c r="QW34" i="5"/>
  <c r="RU34" i="5"/>
  <c r="QX34" i="5"/>
  <c r="QY34" i="5"/>
  <c r="RK34" i="5"/>
  <c r="NX22" i="5"/>
  <c r="QD57" i="5"/>
  <c r="QI57" i="5"/>
  <c r="PV57" i="5"/>
  <c r="QN57" i="5"/>
  <c r="QJ57" i="5"/>
  <c r="QH57" i="5"/>
  <c r="QM57" i="5"/>
  <c r="PQ57" i="5"/>
  <c r="QO57" i="5"/>
  <c r="PL57" i="5"/>
  <c r="PU57" i="5"/>
  <c r="PN57" i="5"/>
  <c r="PM57" i="5"/>
  <c r="QF57" i="5"/>
  <c r="PR57" i="5"/>
  <c r="QP57" i="5"/>
  <c r="QE57" i="5"/>
  <c r="QL57" i="5"/>
  <c r="QB57" i="5"/>
  <c r="QG57" i="5"/>
  <c r="PS57" i="5"/>
  <c r="PZ57" i="5"/>
  <c r="PO57" i="5"/>
  <c r="PJ57" i="5"/>
  <c r="QA57" i="5"/>
  <c r="PK57" i="5"/>
  <c r="PT57" i="5"/>
  <c r="PX57" i="5"/>
  <c r="PP57" i="5"/>
  <c r="PW57" i="5"/>
  <c r="QQ57" i="5"/>
  <c r="QK57" i="5"/>
  <c r="QC57" i="5"/>
  <c r="PY57" i="5"/>
  <c r="NX44" i="5"/>
  <c r="PY14" i="5"/>
  <c r="PN14" i="5"/>
  <c r="QL14" i="5"/>
  <c r="QQ14" i="5"/>
  <c r="PL14" i="5"/>
  <c r="QF14" i="5"/>
  <c r="PQ14" i="5"/>
  <c r="QA14" i="5"/>
  <c r="QC14" i="5"/>
  <c r="PR14" i="5"/>
  <c r="QP14" i="5"/>
  <c r="PO14" i="5"/>
  <c r="QB14" i="5"/>
  <c r="QO14" i="5"/>
  <c r="QG14" i="5"/>
  <c r="PV14" i="5"/>
  <c r="PK14" i="5"/>
  <c r="PX14" i="5"/>
  <c r="QN14" i="5"/>
  <c r="PM14" i="5"/>
  <c r="QK14" i="5"/>
  <c r="PZ14" i="5"/>
  <c r="PS14" i="5"/>
  <c r="QJ14" i="5"/>
  <c r="PP14" i="5"/>
  <c r="PU14" i="5"/>
  <c r="PJ14" i="5"/>
  <c r="QH14" i="5"/>
  <c r="QI14" i="5"/>
  <c r="QM14" i="5"/>
  <c r="QE14" i="5"/>
  <c r="QD14" i="5"/>
  <c r="PW14" i="5"/>
  <c r="PT14" i="5"/>
  <c r="RO75" i="5"/>
  <c r="CQ75" i="5" s="1"/>
  <c r="RL75" i="5"/>
  <c r="RI75" i="5"/>
  <c r="QX75" i="5"/>
  <c r="QU75" i="5"/>
  <c r="RS75" i="5"/>
  <c r="RP75" i="5"/>
  <c r="RM75" i="5"/>
  <c r="RN75" i="5"/>
  <c r="QY75" i="5"/>
  <c r="QV75" i="5"/>
  <c r="RT75" i="5"/>
  <c r="RQ75" i="5"/>
  <c r="RB75" i="5"/>
  <c r="RC75" i="5"/>
  <c r="QZ75" i="5"/>
  <c r="QW75" i="5"/>
  <c r="RU75" i="5"/>
  <c r="RR75" i="5"/>
  <c r="RG75" i="5"/>
  <c r="RD75" i="5"/>
  <c r="RA75" i="5"/>
  <c r="QT75" i="5"/>
  <c r="RF75" i="5"/>
  <c r="RK75" i="5"/>
  <c r="RH75" i="5"/>
  <c r="RE75" i="5"/>
  <c r="RJ75" i="5"/>
  <c r="PW45" i="5"/>
  <c r="CO45" i="5" s="1"/>
  <c r="HH45" i="5" s="1"/>
  <c r="QC45" i="5"/>
  <c r="QQ45" i="5"/>
  <c r="PY45" i="5"/>
  <c r="PL45" i="5"/>
  <c r="QP45" i="5"/>
  <c r="QN45" i="5"/>
  <c r="QB45" i="5"/>
  <c r="QE45" i="5"/>
  <c r="PX45" i="5"/>
  <c r="PM45" i="5"/>
  <c r="PN45" i="5"/>
  <c r="PS45" i="5"/>
  <c r="QO45" i="5"/>
  <c r="PR45" i="5"/>
  <c r="QG45" i="5"/>
  <c r="QF45" i="5"/>
  <c r="PV45" i="5"/>
  <c r="QI45" i="5"/>
  <c r="QK45" i="5"/>
  <c r="PT45" i="5"/>
  <c r="QD45" i="5"/>
  <c r="PZ45" i="5"/>
  <c r="QH45" i="5"/>
  <c r="PQ45" i="5"/>
  <c r="PK45" i="5"/>
  <c r="PU45" i="5"/>
  <c r="PP45" i="5"/>
  <c r="QM45" i="5"/>
  <c r="PJ45" i="5"/>
  <c r="QL45" i="5"/>
  <c r="QA45" i="5"/>
  <c r="QJ45" i="5"/>
  <c r="PO45" i="5"/>
  <c r="RQ57" i="5"/>
  <c r="RJ57" i="5"/>
  <c r="RT57" i="5"/>
  <c r="RP57" i="5"/>
  <c r="QW57" i="5"/>
  <c r="RU57" i="5"/>
  <c r="RN57" i="5"/>
  <c r="QY57" i="5"/>
  <c r="RK57" i="5"/>
  <c r="RA57" i="5"/>
  <c r="QT57" i="5"/>
  <c r="RR57" i="5"/>
  <c r="RG57" i="5"/>
  <c r="RS57" i="5"/>
  <c r="RE57" i="5"/>
  <c r="QX57" i="5"/>
  <c r="QV57" i="5"/>
  <c r="RO57" i="5"/>
  <c r="QU57" i="5"/>
  <c r="RI57" i="5"/>
  <c r="RB57" i="5"/>
  <c r="RD57" i="5"/>
  <c r="QZ57" i="5"/>
  <c r="RC57" i="5"/>
  <c r="RM57" i="5"/>
  <c r="RF57" i="5"/>
  <c r="RL57" i="5"/>
  <c r="RH57" i="5"/>
  <c r="PY16" i="5"/>
  <c r="PN16" i="5"/>
  <c r="QL16" i="5"/>
  <c r="PK16" i="5"/>
  <c r="QN16" i="5"/>
  <c r="CO16" i="5" s="1"/>
  <c r="HH16" i="5" s="1"/>
  <c r="PX16" i="5"/>
  <c r="PL16" i="5"/>
  <c r="QC16" i="5"/>
  <c r="PR16" i="5"/>
  <c r="QP16" i="5"/>
  <c r="PT16" i="5"/>
  <c r="PP16" i="5"/>
  <c r="QE16" i="5"/>
  <c r="QG16" i="5"/>
  <c r="PV16" i="5"/>
  <c r="PO16" i="5"/>
  <c r="QF16" i="5"/>
  <c r="QB16" i="5"/>
  <c r="PQ16" i="5"/>
  <c r="PM16" i="5"/>
  <c r="QK16" i="5"/>
  <c r="PZ16" i="5"/>
  <c r="PW16" i="5"/>
  <c r="QQ16" i="5"/>
  <c r="QI16" i="5"/>
  <c r="QO16" i="5"/>
  <c r="QD16" i="5"/>
  <c r="PU16" i="5"/>
  <c r="PJ16" i="5"/>
  <c r="QH16" i="5"/>
  <c r="QM16" i="5"/>
  <c r="QA16" i="5"/>
  <c r="PS16" i="5"/>
  <c r="QJ16" i="5"/>
  <c r="NX45" i="5"/>
  <c r="QB42" i="5"/>
  <c r="QO42" i="5"/>
  <c r="PS42" i="5"/>
  <c r="QK42" i="5"/>
  <c r="PT42" i="5"/>
  <c r="PO42" i="5"/>
  <c r="PZ42" i="5"/>
  <c r="QQ42" i="5"/>
  <c r="QN42" i="5"/>
  <c r="PW42" i="5"/>
  <c r="PM42" i="5"/>
  <c r="QA42" i="5"/>
  <c r="QF42" i="5"/>
  <c r="PY42" i="5"/>
  <c r="PN42" i="5"/>
  <c r="QC42" i="5"/>
  <c r="PK42" i="5"/>
  <c r="PQ42" i="5"/>
  <c r="QI42" i="5"/>
  <c r="PL42" i="5"/>
  <c r="QP42" i="5"/>
  <c r="PR42" i="5"/>
  <c r="PV42" i="5"/>
  <c r="QJ42" i="5"/>
  <c r="QH42" i="5"/>
  <c r="CO42" i="5" s="1"/>
  <c r="HH42" i="5" s="1"/>
  <c r="QG42" i="5"/>
  <c r="QD42" i="5"/>
  <c r="PP42" i="5"/>
  <c r="QE42" i="5"/>
  <c r="PU42" i="5"/>
  <c r="PJ42" i="5"/>
  <c r="PX42" i="5"/>
  <c r="QM42" i="5"/>
  <c r="QL42" i="5"/>
  <c r="RB52" i="5"/>
  <c r="RA52" i="5"/>
  <c r="RH52" i="5"/>
  <c r="QY52" i="5"/>
  <c r="RD52" i="5"/>
  <c r="RF52" i="5"/>
  <c r="RG52" i="5"/>
  <c r="RM52" i="5"/>
  <c r="RI52" i="5"/>
  <c r="RO52" i="5"/>
  <c r="RJ52" i="5"/>
  <c r="RL52" i="5"/>
  <c r="RS52" i="5"/>
  <c r="RT52" i="5"/>
  <c r="RN52" i="5"/>
  <c r="RQ52" i="5"/>
  <c r="QU52" i="5"/>
  <c r="QZ52" i="5"/>
  <c r="QT52" i="5"/>
  <c r="RR52" i="5"/>
  <c r="QW52" i="5"/>
  <c r="RE52" i="5"/>
  <c r="RK52" i="5"/>
  <c r="QX52" i="5"/>
  <c r="QV52" i="5"/>
  <c r="RC52" i="5"/>
  <c r="RP52" i="5"/>
  <c r="CQ52" i="5" s="1"/>
  <c r="RU52" i="5"/>
  <c r="RE22" i="5"/>
  <c r="QX22" i="5"/>
  <c r="QU22" i="5"/>
  <c r="RL22" i="5"/>
  <c r="RP22" i="5"/>
  <c r="RI22" i="5"/>
  <c r="RB22" i="5"/>
  <c r="RC22" i="5"/>
  <c r="RT22" i="5"/>
  <c r="QZ22" i="5"/>
  <c r="RM22" i="5"/>
  <c r="CQ22" i="5" s="1"/>
  <c r="RF22" i="5"/>
  <c r="RK22" i="5"/>
  <c r="QY22" i="5"/>
  <c r="RQ22" i="5"/>
  <c r="RJ22" i="5"/>
  <c r="RS22" i="5"/>
  <c r="RG22" i="5"/>
  <c r="QW22" i="5"/>
  <c r="RU22" i="5"/>
  <c r="RN22" i="5"/>
  <c r="QV22" i="5"/>
  <c r="RO22" i="5"/>
  <c r="RA22" i="5"/>
  <c r="QT22" i="5"/>
  <c r="RR22" i="5"/>
  <c r="RD22" i="5"/>
  <c r="RH22" i="5"/>
  <c r="RB45" i="5"/>
  <c r="QZ45" i="5"/>
  <c r="QU45" i="5"/>
  <c r="RM45" i="5"/>
  <c r="RI45" i="5"/>
  <c r="RF45" i="5"/>
  <c r="RD45" i="5"/>
  <c r="RC45" i="5"/>
  <c r="CQ45" i="5" s="1"/>
  <c r="RU45" i="5"/>
  <c r="RQ45" i="5"/>
  <c r="RJ45" i="5"/>
  <c r="RH45" i="5"/>
  <c r="RK45" i="5"/>
  <c r="QY45" i="5"/>
  <c r="RN45" i="5"/>
  <c r="RL45" i="5"/>
  <c r="RS45" i="5"/>
  <c r="RG45" i="5"/>
  <c r="QT45" i="5"/>
  <c r="RR45" i="5"/>
  <c r="RP45" i="5"/>
  <c r="QW45" i="5"/>
  <c r="RO45" i="5"/>
  <c r="QX45" i="5"/>
  <c r="QV45" i="5"/>
  <c r="RT45" i="5"/>
  <c r="RE45" i="5"/>
  <c r="RA45" i="5"/>
  <c r="RJ16" i="5"/>
  <c r="RG16" i="5"/>
  <c r="RM16" i="5"/>
  <c r="RQ16" i="5"/>
  <c r="RN16" i="5"/>
  <c r="RK16" i="5"/>
  <c r="RU16" i="5"/>
  <c r="RD16" i="5"/>
  <c r="QT16" i="5"/>
  <c r="RR16" i="5"/>
  <c r="RO16" i="5"/>
  <c r="QZ16" i="5"/>
  <c r="RT16" i="5"/>
  <c r="CQ16" i="5" s="1"/>
  <c r="QX16" i="5"/>
  <c r="QU16" i="5"/>
  <c r="RS16" i="5"/>
  <c r="RH16" i="5"/>
  <c r="RI16" i="5"/>
  <c r="RB16" i="5"/>
  <c r="QY16" i="5"/>
  <c r="QW16" i="5"/>
  <c r="RP16" i="5"/>
  <c r="QV16" i="5"/>
  <c r="RF16" i="5"/>
  <c r="RC16" i="5"/>
  <c r="RE16" i="5"/>
  <c r="RA16" i="5"/>
  <c r="RL16" i="5"/>
  <c r="PY20" i="5"/>
  <c r="PR20" i="5"/>
  <c r="PV20" i="5"/>
  <c r="PK20" i="5"/>
  <c r="QD20" i="5"/>
  <c r="QK20" i="5"/>
  <c r="QL20" i="5"/>
  <c r="PS20" i="5"/>
  <c r="QO20" i="5"/>
  <c r="QB20" i="5"/>
  <c r="PT20" i="5"/>
  <c r="PW20" i="5"/>
  <c r="QG20" i="5"/>
  <c r="QM20" i="5"/>
  <c r="PM20" i="5"/>
  <c r="PX20" i="5"/>
  <c r="PO20" i="5"/>
  <c r="QE20" i="5"/>
  <c r="QA20" i="5"/>
  <c r="QC20" i="5"/>
  <c r="QI20" i="5"/>
  <c r="QQ20" i="5"/>
  <c r="QJ20" i="5"/>
  <c r="PJ20" i="5"/>
  <c r="PL20" i="5"/>
  <c r="PZ20" i="5"/>
  <c r="QN20" i="5"/>
  <c r="PQ20" i="5"/>
  <c r="QF20" i="5"/>
  <c r="PN20" i="5"/>
  <c r="PP20" i="5"/>
  <c r="QH20" i="5"/>
  <c r="PU20" i="5"/>
  <c r="QP20" i="5"/>
  <c r="ND7" i="5"/>
  <c r="HI7" i="5" s="1"/>
  <c r="NT7" i="5"/>
  <c r="NV7" i="5" s="1"/>
  <c r="NS7" i="5"/>
  <c r="NU7" i="5" s="1"/>
  <c r="MJ25" i="5"/>
  <c r="MJ34" i="5"/>
  <c r="MJ60" i="5"/>
  <c r="MJ69" i="5"/>
  <c r="MJ78" i="5"/>
  <c r="MJ87" i="5"/>
  <c r="MJ101" i="5"/>
  <c r="MJ112" i="5"/>
  <c r="MJ121" i="5"/>
  <c r="MJ129" i="5"/>
  <c r="MJ138" i="5"/>
  <c r="MJ145" i="5"/>
  <c r="MJ154" i="5"/>
  <c r="MJ163" i="5"/>
  <c r="MJ171" i="5"/>
  <c r="MJ180" i="5"/>
  <c r="MJ189" i="5"/>
  <c r="MJ204" i="5"/>
  <c r="MJ211" i="5"/>
  <c r="MJ5" i="5"/>
  <c r="MJ14" i="5"/>
  <c r="MJ37" i="5"/>
  <c r="MJ46" i="5"/>
  <c r="MJ93" i="5"/>
  <c r="MJ217" i="5"/>
  <c r="MJ230" i="5"/>
  <c r="MJ239" i="5"/>
  <c r="MJ248" i="5"/>
  <c r="MJ7" i="5"/>
  <c r="MJ26" i="5"/>
  <c r="MJ35" i="5"/>
  <c r="MJ61" i="5"/>
  <c r="MJ70" i="5"/>
  <c r="MJ79" i="5"/>
  <c r="MJ88" i="5"/>
  <c r="MJ107" i="5"/>
  <c r="MJ116" i="5"/>
  <c r="MJ125" i="5"/>
  <c r="MJ133" i="5"/>
  <c r="MJ142" i="5"/>
  <c r="MJ149" i="5"/>
  <c r="MJ158" i="5"/>
  <c r="MJ167" i="5"/>
  <c r="MJ175" i="5"/>
  <c r="MJ184" i="5"/>
  <c r="MJ192" i="5"/>
  <c r="MJ207" i="5"/>
  <c r="MJ15" i="5"/>
  <c r="MJ41" i="5"/>
  <c r="MJ50" i="5"/>
  <c r="MJ102" i="5"/>
  <c r="MJ214" i="5"/>
  <c r="MJ219" i="5"/>
  <c r="MJ225" i="5"/>
  <c r="MJ234" i="5"/>
  <c r="MJ243" i="5"/>
  <c r="MJ21" i="5"/>
  <c r="MJ30" i="5"/>
  <c r="MJ56" i="5"/>
  <c r="MJ65" i="5"/>
  <c r="MJ74" i="5"/>
  <c r="MJ83" i="5"/>
  <c r="MJ100" i="5"/>
  <c r="MJ114" i="5"/>
  <c r="MJ123" i="5"/>
  <c r="MJ131" i="5"/>
  <c r="MJ140" i="5"/>
  <c r="MJ147" i="5"/>
  <c r="MJ156" i="5"/>
  <c r="MJ165" i="5"/>
  <c r="MJ173" i="5"/>
  <c r="MJ182" i="5"/>
  <c r="MJ191" i="5"/>
  <c r="MJ206" i="5"/>
  <c r="MJ16" i="5"/>
  <c r="MJ39" i="5"/>
  <c r="MJ48" i="5"/>
  <c r="MJ95" i="5"/>
  <c r="MJ223" i="5"/>
  <c r="MJ232" i="5"/>
  <c r="MJ241" i="5"/>
  <c r="MJ10" i="5"/>
  <c r="MJ28" i="5"/>
  <c r="MJ54" i="5"/>
  <c r="MJ63" i="5"/>
  <c r="MJ72" i="5"/>
  <c r="MJ81" i="5"/>
  <c r="MJ90" i="5"/>
  <c r="MJ106" i="5"/>
  <c r="MJ115" i="5"/>
  <c r="MJ124" i="5"/>
  <c r="MJ132" i="5"/>
  <c r="MJ141" i="5"/>
  <c r="MJ148" i="5"/>
  <c r="MJ157" i="5"/>
  <c r="MJ166" i="5"/>
  <c r="MJ174" i="5"/>
  <c r="MJ183" i="5"/>
  <c r="MJ17" i="5"/>
  <c r="MJ40" i="5"/>
  <c r="MJ49" i="5"/>
  <c r="MJ96" i="5"/>
  <c r="MJ224" i="5"/>
  <c r="MJ233" i="5"/>
  <c r="MJ242" i="5"/>
  <c r="MJ8" i="5"/>
  <c r="MJ29" i="5"/>
  <c r="MJ55" i="5"/>
  <c r="MJ64" i="5"/>
  <c r="MJ73" i="5"/>
  <c r="MJ82" i="5"/>
  <c r="MJ91" i="5"/>
  <c r="MJ110" i="5"/>
  <c r="MJ119" i="5"/>
  <c r="MJ127" i="5"/>
  <c r="MJ136" i="5"/>
  <c r="MJ152" i="5"/>
  <c r="MJ161" i="5"/>
  <c r="MJ170" i="5"/>
  <c r="MJ178" i="5"/>
  <c r="MJ187" i="5"/>
  <c r="MJ202" i="5"/>
  <c r="MJ18" i="5"/>
  <c r="MJ44" i="5"/>
  <c r="MJ94" i="5"/>
  <c r="MJ105" i="5"/>
  <c r="MJ228" i="5"/>
  <c r="MJ237" i="5"/>
  <c r="MJ246" i="5"/>
  <c r="MJ12" i="5"/>
  <c r="MJ24" i="5"/>
  <c r="MJ33" i="5"/>
  <c r="MJ59" i="5"/>
  <c r="MJ68" i="5"/>
  <c r="MJ77" i="5"/>
  <c r="MJ86" i="5"/>
  <c r="MJ108" i="5"/>
  <c r="MJ117" i="5"/>
  <c r="MJ134" i="5"/>
  <c r="MJ150" i="5"/>
  <c r="MJ159" i="5"/>
  <c r="MJ168" i="5"/>
  <c r="MJ176" i="5"/>
  <c r="MJ185" i="5"/>
  <c r="MJ193" i="5"/>
  <c r="MJ208" i="5"/>
  <c r="MJ6" i="5"/>
  <c r="MJ19" i="5"/>
  <c r="MJ42" i="5"/>
  <c r="MJ51" i="5"/>
  <c r="MJ103" i="5"/>
  <c r="MJ220" i="5"/>
  <c r="MJ226" i="5"/>
  <c r="MJ235" i="5"/>
  <c r="MJ244" i="5"/>
  <c r="MJ22" i="5"/>
  <c r="MJ31" i="5"/>
  <c r="MJ57" i="5"/>
  <c r="MJ66" i="5"/>
  <c r="MJ75" i="5"/>
  <c r="MJ84" i="5"/>
  <c r="MJ98" i="5"/>
  <c r="MJ109" i="5"/>
  <c r="MJ118" i="5"/>
  <c r="MJ126" i="5"/>
  <c r="MJ135" i="5"/>
  <c r="MJ143" i="5"/>
  <c r="MJ151" i="5"/>
  <c r="MJ160" i="5"/>
  <c r="MJ169" i="5"/>
  <c r="MJ177" i="5"/>
  <c r="MJ186" i="5"/>
  <c r="MJ209" i="5"/>
  <c r="MJ9" i="5"/>
  <c r="MJ20" i="5"/>
  <c r="MJ43" i="5"/>
  <c r="MJ52" i="5"/>
  <c r="MJ104" i="5"/>
  <c r="MJ215" i="5"/>
  <c r="MJ221" i="5"/>
  <c r="MJ227" i="5"/>
  <c r="MJ236" i="5"/>
  <c r="MJ245" i="5"/>
  <c r="MJ4" i="5"/>
  <c r="MJ23" i="5"/>
  <c r="MJ32" i="5"/>
  <c r="MJ58" i="5"/>
  <c r="MJ67" i="5"/>
  <c r="MJ76" i="5"/>
  <c r="MJ85" i="5"/>
  <c r="MJ99" i="5"/>
  <c r="MJ113" i="5"/>
  <c r="MJ122" i="5"/>
  <c r="MJ130" i="5"/>
  <c r="MJ139" i="5"/>
  <c r="MJ146" i="5"/>
  <c r="MJ155" i="5"/>
  <c r="MJ164" i="5"/>
  <c r="MJ172" i="5"/>
  <c r="MJ181" i="5"/>
  <c r="MJ190" i="5"/>
  <c r="MJ205" i="5"/>
  <c r="MJ212" i="5"/>
  <c r="MJ38" i="5"/>
  <c r="MJ47" i="5"/>
  <c r="MJ97" i="5"/>
  <c r="MJ213" i="5"/>
  <c r="MJ218" i="5"/>
  <c r="MJ222" i="5"/>
  <c r="MJ231" i="5"/>
  <c r="MJ240" i="5"/>
  <c r="MJ13" i="5"/>
  <c r="MJ27" i="5"/>
  <c r="MJ53" i="5"/>
  <c r="MJ62" i="5"/>
  <c r="MJ71" i="5"/>
  <c r="MJ80" i="5"/>
  <c r="MJ89" i="5"/>
  <c r="MJ111" i="5"/>
  <c r="MJ120" i="5"/>
  <c r="MJ128" i="5"/>
  <c r="MJ137" i="5"/>
  <c r="MJ144" i="5"/>
  <c r="MJ153" i="5"/>
  <c r="MJ162" i="5"/>
  <c r="MJ179" i="5"/>
  <c r="MJ188" i="5"/>
  <c r="MJ203" i="5"/>
  <c r="MJ210" i="5"/>
  <c r="MJ11" i="5"/>
  <c r="MJ36" i="5"/>
  <c r="MJ45" i="5"/>
  <c r="MJ92" i="5"/>
  <c r="MJ216" i="5"/>
  <c r="MJ229" i="5"/>
  <c r="MJ238" i="5"/>
  <c r="MJ247" i="5"/>
  <c r="N3" i="5"/>
  <c r="ND193" i="5" l="1"/>
  <c r="HI193" i="5" s="1"/>
  <c r="NS193" i="5"/>
  <c r="NU193" i="5" s="1"/>
  <c r="ND146" i="5"/>
  <c r="HI146" i="5" s="1"/>
  <c r="CQ99" i="5"/>
  <c r="CQ170" i="5"/>
  <c r="CO99" i="5"/>
  <c r="HH99" i="5" s="1"/>
  <c r="CQ193" i="5"/>
  <c r="CO144" i="5"/>
  <c r="HH144" i="5" s="1"/>
  <c r="CO232" i="5"/>
  <c r="HH232" i="5" s="1"/>
  <c r="HI232" i="5" s="1"/>
  <c r="HI91" i="5"/>
  <c r="NT146" i="5"/>
  <c r="NV146" i="5" s="1"/>
  <c r="NS146" i="5"/>
  <c r="NU146" i="5" s="1"/>
  <c r="CQ108" i="5"/>
  <c r="CO108" i="5"/>
  <c r="HH108" i="5" s="1"/>
  <c r="HI108" i="5" s="1"/>
  <c r="CQ129" i="5"/>
  <c r="NS99" i="5"/>
  <c r="NU99" i="5" s="1"/>
  <c r="NT99" i="5"/>
  <c r="NV99" i="5" s="1"/>
  <c r="ND99" i="5"/>
  <c r="NS139" i="5"/>
  <c r="NU139" i="5" s="1"/>
  <c r="CQ139" i="5"/>
  <c r="NT139" i="5"/>
  <c r="NV139" i="5" s="1"/>
  <c r="CO139" i="5"/>
  <c r="HH139" i="5" s="1"/>
  <c r="CO172" i="5"/>
  <c r="HH172" i="5" s="1"/>
  <c r="HI172" i="5" s="1"/>
  <c r="ND139" i="5"/>
  <c r="CO173" i="5"/>
  <c r="HH173" i="5" s="1"/>
  <c r="CO239" i="5"/>
  <c r="HH239" i="5" s="1"/>
  <c r="HI239" i="5" s="1"/>
  <c r="HI90" i="5"/>
  <c r="CO129" i="5"/>
  <c r="HH129" i="5" s="1"/>
  <c r="HI129" i="5" s="1"/>
  <c r="CO124" i="5"/>
  <c r="HH124" i="5" s="1"/>
  <c r="NT173" i="5"/>
  <c r="NV173" i="5" s="1"/>
  <c r="NS121" i="5"/>
  <c r="NU121" i="5" s="1"/>
  <c r="ND143" i="5"/>
  <c r="HI143" i="5" s="1"/>
  <c r="NT213" i="5"/>
  <c r="NV213" i="5" s="1"/>
  <c r="ND213" i="5"/>
  <c r="HI213" i="5" s="1"/>
  <c r="NT88" i="5"/>
  <c r="NV88" i="5" s="1"/>
  <c r="NS173" i="5"/>
  <c r="NU173" i="5" s="1"/>
  <c r="ND173" i="5"/>
  <c r="NS124" i="5"/>
  <c r="NU124" i="5" s="1"/>
  <c r="ND124" i="5"/>
  <c r="CO96" i="5"/>
  <c r="HH96" i="5" s="1"/>
  <c r="HI96" i="5" s="1"/>
  <c r="NT121" i="5"/>
  <c r="NV121" i="5" s="1"/>
  <c r="CQ88" i="5"/>
  <c r="NS143" i="5"/>
  <c r="NU143" i="5" s="1"/>
  <c r="NS88" i="5"/>
  <c r="NU88" i="5" s="1"/>
  <c r="NT124" i="5"/>
  <c r="NV124" i="5" s="1"/>
  <c r="ND121" i="5"/>
  <c r="HI121" i="5" s="1"/>
  <c r="NT143" i="5"/>
  <c r="NV143" i="5" s="1"/>
  <c r="ND88" i="5"/>
  <c r="HI88" i="5" s="1"/>
  <c r="NS213" i="5"/>
  <c r="NU213" i="5" s="1"/>
  <c r="NT172" i="5"/>
  <c r="NV172" i="5" s="1"/>
  <c r="NS172" i="5"/>
  <c r="NU172" i="5" s="1"/>
  <c r="CO149" i="5"/>
  <c r="HH149" i="5" s="1"/>
  <c r="CQ149" i="5"/>
  <c r="CQ107" i="5"/>
  <c r="CQ211" i="5"/>
  <c r="NT133" i="5"/>
  <c r="NV133" i="5" s="1"/>
  <c r="ND133" i="5"/>
  <c r="HI133" i="5" s="1"/>
  <c r="NS133" i="5"/>
  <c r="NU133" i="5" s="1"/>
  <c r="CO101" i="5"/>
  <c r="HH101" i="5" s="1"/>
  <c r="HI101" i="5" s="1"/>
  <c r="CO185" i="5"/>
  <c r="HH185" i="5" s="1"/>
  <c r="CQ185" i="5"/>
  <c r="NS131" i="5"/>
  <c r="NU131" i="5" s="1"/>
  <c r="CO156" i="5"/>
  <c r="HH156" i="5" s="1"/>
  <c r="HI156" i="5" s="1"/>
  <c r="CQ156" i="5"/>
  <c r="NT94" i="5"/>
  <c r="NV94" i="5" s="1"/>
  <c r="NS94" i="5"/>
  <c r="NU94" i="5" s="1"/>
  <c r="ND94" i="5"/>
  <c r="HI94" i="5" s="1"/>
  <c r="NT131" i="5"/>
  <c r="NV131" i="5" s="1"/>
  <c r="NT155" i="5"/>
  <c r="NV155" i="5" s="1"/>
  <c r="NS155" i="5"/>
  <c r="NU155" i="5" s="1"/>
  <c r="ND155" i="5"/>
  <c r="HI155" i="5" s="1"/>
  <c r="NT164" i="5"/>
  <c r="NV164" i="5" s="1"/>
  <c r="NS164" i="5"/>
  <c r="NU164" i="5" s="1"/>
  <c r="ND164" i="5"/>
  <c r="HI164" i="5" s="1"/>
  <c r="CQ90" i="5"/>
  <c r="NT168" i="5"/>
  <c r="NV168" i="5" s="1"/>
  <c r="ND168" i="5"/>
  <c r="HI168" i="5" s="1"/>
  <c r="NS168" i="5"/>
  <c r="NU168" i="5" s="1"/>
  <c r="CQ177" i="5"/>
  <c r="NS207" i="5"/>
  <c r="NU207" i="5" s="1"/>
  <c r="CO60" i="5"/>
  <c r="HH60" i="5" s="1"/>
  <c r="CQ60" i="5"/>
  <c r="NT207" i="5"/>
  <c r="NV207" i="5" s="1"/>
  <c r="NS12" i="5"/>
  <c r="NU12" i="5" s="1"/>
  <c r="NT12" i="5"/>
  <c r="NV12" i="5" s="1"/>
  <c r="CO170" i="5"/>
  <c r="HH170" i="5" s="1"/>
  <c r="ND12" i="5"/>
  <c r="NS170" i="5"/>
  <c r="NU170" i="5" s="1"/>
  <c r="ND170" i="5"/>
  <c r="NT170" i="5"/>
  <c r="NV170" i="5" s="1"/>
  <c r="CQ203" i="5"/>
  <c r="CO203" i="5"/>
  <c r="HH203" i="5" s="1"/>
  <c r="NT169" i="5"/>
  <c r="NV169" i="5" s="1"/>
  <c r="NS169" i="5"/>
  <c r="NU169" i="5" s="1"/>
  <c r="ND169" i="5"/>
  <c r="HI169" i="5" s="1"/>
  <c r="CO130" i="5"/>
  <c r="HH130" i="5" s="1"/>
  <c r="CQ130" i="5"/>
  <c r="NS203" i="5"/>
  <c r="NU203" i="5" s="1"/>
  <c r="NT185" i="5"/>
  <c r="NV185" i="5" s="1"/>
  <c r="NS185" i="5"/>
  <c r="NU185" i="5" s="1"/>
  <c r="ND185" i="5"/>
  <c r="HI210" i="5"/>
  <c r="CO95" i="5"/>
  <c r="HH95" i="5" s="1"/>
  <c r="NT203" i="5"/>
  <c r="NV203" i="5" s="1"/>
  <c r="NS205" i="5"/>
  <c r="NU205" i="5" s="1"/>
  <c r="CO211" i="5"/>
  <c r="HH211" i="5" s="1"/>
  <c r="HI211" i="5" s="1"/>
  <c r="ND203" i="5"/>
  <c r="CO209" i="5"/>
  <c r="HH209" i="5" s="1"/>
  <c r="HI209" i="5" s="1"/>
  <c r="CQ209" i="5"/>
  <c r="CQ165" i="5"/>
  <c r="CO165" i="5"/>
  <c r="HH165" i="5" s="1"/>
  <c r="HI165" i="5" s="1"/>
  <c r="CQ95" i="5"/>
  <c r="NT205" i="5"/>
  <c r="NV205" i="5" s="1"/>
  <c r="HI144" i="5"/>
  <c r="CQ172" i="5"/>
  <c r="ND205" i="5"/>
  <c r="HI205" i="5" s="1"/>
  <c r="CQ101" i="5"/>
  <c r="NT130" i="5"/>
  <c r="NV130" i="5" s="1"/>
  <c r="NS130" i="5"/>
  <c r="NU130" i="5" s="1"/>
  <c r="ND130" i="5"/>
  <c r="CQ144" i="5"/>
  <c r="CQ54" i="5"/>
  <c r="CQ57" i="5"/>
  <c r="CO57" i="5"/>
  <c r="HH57" i="5" s="1"/>
  <c r="IE6" i="5"/>
  <c r="NX6" i="5" s="1"/>
  <c r="IE25" i="5"/>
  <c r="NX25" i="5" s="1"/>
  <c r="IE34" i="5"/>
  <c r="NX34" i="5" s="1"/>
  <c r="IE93" i="5"/>
  <c r="NX93" i="5" s="1"/>
  <c r="IE20" i="5"/>
  <c r="NX20" i="5" s="1"/>
  <c r="CO44" i="5"/>
  <c r="HH44" i="5" s="1"/>
  <c r="CO107" i="5"/>
  <c r="HH107" i="5" s="1"/>
  <c r="CO6" i="5"/>
  <c r="HH6" i="5" s="1"/>
  <c r="CO14" i="5"/>
  <c r="HH14" i="5" s="1"/>
  <c r="CO54" i="5"/>
  <c r="HH54" i="5" s="1"/>
  <c r="CO52" i="5"/>
  <c r="HH52" i="5" s="1"/>
  <c r="CO131" i="5"/>
  <c r="HH131" i="5" s="1"/>
  <c r="HI131" i="5" s="1"/>
  <c r="CO20" i="5"/>
  <c r="HH20" i="5" s="1"/>
  <c r="CO25" i="5"/>
  <c r="HH25" i="5" s="1"/>
  <c r="CO39" i="5"/>
  <c r="HH39" i="5" s="1"/>
  <c r="NS149" i="5"/>
  <c r="NU149" i="5" s="1"/>
  <c r="NT149" i="5"/>
  <c r="NV149" i="5" s="1"/>
  <c r="ND149" i="5"/>
  <c r="ND9" i="5"/>
  <c r="HI9" i="5" s="1"/>
  <c r="NT9" i="5"/>
  <c r="NV9" i="5" s="1"/>
  <c r="NT129" i="5"/>
  <c r="NV129" i="5" s="1"/>
  <c r="NS9" i="5"/>
  <c r="NU9" i="5" s="1"/>
  <c r="NS129" i="5"/>
  <c r="NU129" i="5" s="1"/>
  <c r="ND4" i="5"/>
  <c r="HI4" i="5" s="1"/>
  <c r="NX23" i="5"/>
  <c r="NS84" i="5"/>
  <c r="NU84" i="5" s="1"/>
  <c r="NT25" i="5"/>
  <c r="NV25" i="5" s="1"/>
  <c r="NT31" i="5"/>
  <c r="NV31" i="5" s="1"/>
  <c r="NT15" i="5"/>
  <c r="NV15" i="5" s="1"/>
  <c r="NT57" i="5"/>
  <c r="NV57" i="5" s="1"/>
  <c r="NT75" i="5"/>
  <c r="NV75" i="5" s="1"/>
  <c r="NT20" i="5"/>
  <c r="NV20" i="5" s="1"/>
  <c r="NS20" i="5"/>
  <c r="NU20" i="5" s="1"/>
  <c r="NS39" i="5"/>
  <c r="NU39" i="5" s="1"/>
  <c r="NS42" i="5"/>
  <c r="NU42" i="5" s="1"/>
  <c r="NS54" i="5"/>
  <c r="NU54" i="5" s="1"/>
  <c r="NT14" i="5"/>
  <c r="NV14" i="5" s="1"/>
  <c r="NS86" i="5"/>
  <c r="NU86" i="5" s="1"/>
  <c r="NT52" i="5"/>
  <c r="NV52" i="5" s="1"/>
  <c r="ND104" i="5"/>
  <c r="HI104" i="5" s="1"/>
  <c r="NT16" i="5"/>
  <c r="NV16" i="5" s="1"/>
  <c r="ND52" i="5"/>
  <c r="ND15" i="5"/>
  <c r="HI15" i="5" s="1"/>
  <c r="NT39" i="5"/>
  <c r="NV39" i="5" s="1"/>
  <c r="ND14" i="5"/>
  <c r="NS75" i="5"/>
  <c r="NU75" i="5" s="1"/>
  <c r="ND25" i="5"/>
  <c r="ND34" i="5"/>
  <c r="HI34" i="5" s="1"/>
  <c r="NT44" i="5"/>
  <c r="NV44" i="5" s="1"/>
  <c r="NS44" i="5"/>
  <c r="NU44" i="5" s="1"/>
  <c r="NS62" i="5"/>
  <c r="NU62" i="5" s="1"/>
  <c r="NT22" i="5"/>
  <c r="NV22" i="5" s="1"/>
  <c r="NS6" i="5"/>
  <c r="NU6" i="5" s="1"/>
  <c r="ND6" i="5"/>
  <c r="NT60" i="5"/>
  <c r="NV60" i="5" s="1"/>
  <c r="NS60" i="5"/>
  <c r="NU60" i="5" s="1"/>
  <c r="ND80" i="5"/>
  <c r="HI80" i="5" s="1"/>
  <c r="NS93" i="5"/>
  <c r="NU93" i="5" s="1"/>
  <c r="ND54" i="5"/>
  <c r="NT34" i="5"/>
  <c r="NV34" i="5" s="1"/>
  <c r="NT45" i="5"/>
  <c r="NV45" i="5" s="1"/>
  <c r="ND23" i="5"/>
  <c r="HI23" i="5" s="1"/>
  <c r="ND84" i="5"/>
  <c r="HI84" i="5" s="1"/>
  <c r="ND20" i="5"/>
  <c r="NT62" i="5"/>
  <c r="NV62" i="5" s="1"/>
  <c r="ND31" i="5"/>
  <c r="HI31" i="5" s="1"/>
  <c r="NS57" i="5"/>
  <c r="NU57" i="5" s="1"/>
  <c r="NS107" i="5"/>
  <c r="NU107" i="5" s="1"/>
  <c r="NT30" i="5"/>
  <c r="NV30" i="5" s="1"/>
  <c r="ND30" i="5"/>
  <c r="HI30" i="5" s="1"/>
  <c r="NS52" i="5"/>
  <c r="NU52" i="5" s="1"/>
  <c r="NS15" i="5"/>
  <c r="NU15" i="5" s="1"/>
  <c r="ND93" i="5"/>
  <c r="HI93" i="5" s="1"/>
  <c r="ND95" i="5"/>
  <c r="NS25" i="5"/>
  <c r="NU25" i="5" s="1"/>
  <c r="NT23" i="5"/>
  <c r="NV23" i="5" s="1"/>
  <c r="NS23" i="5"/>
  <c r="NU23" i="5" s="1"/>
  <c r="ND57" i="5"/>
  <c r="ND86" i="5"/>
  <c r="HI86" i="5" s="1"/>
  <c r="ND107" i="5"/>
  <c r="NT6" i="5"/>
  <c r="NV6" i="5" s="1"/>
  <c r="NS80" i="5"/>
  <c r="NU80" i="5" s="1"/>
  <c r="NT54" i="5"/>
  <c r="NV54" i="5" s="1"/>
  <c r="NT42" i="5"/>
  <c r="NV42" i="5" s="1"/>
  <c r="ND75" i="5"/>
  <c r="HI75" i="5" s="1"/>
  <c r="NT84" i="5"/>
  <c r="NV84" i="5" s="1"/>
  <c r="ND44" i="5"/>
  <c r="ND62" i="5"/>
  <c r="HI62" i="5" s="1"/>
  <c r="ND16" i="5"/>
  <c r="HI16" i="5" s="1"/>
  <c r="ND39" i="5"/>
  <c r="NT80" i="5"/>
  <c r="NV80" i="5" s="1"/>
  <c r="ND42" i="5"/>
  <c r="HI42" i="5" s="1"/>
  <c r="NT104" i="5"/>
  <c r="NV104" i="5" s="1"/>
  <c r="NS104" i="5"/>
  <c r="NU104" i="5" s="1"/>
  <c r="NS34" i="5"/>
  <c r="NU34" i="5" s="1"/>
  <c r="NS45" i="5"/>
  <c r="NU45" i="5" s="1"/>
  <c r="ND45" i="5"/>
  <c r="HI45" i="5" s="1"/>
  <c r="NS22" i="5"/>
  <c r="NU22" i="5" s="1"/>
  <c r="ND22" i="5"/>
  <c r="HI22" i="5" s="1"/>
  <c r="NS31" i="5"/>
  <c r="NU31" i="5" s="1"/>
  <c r="NS16" i="5"/>
  <c r="NU16" i="5" s="1"/>
  <c r="NT86" i="5"/>
  <c r="NV86" i="5" s="1"/>
  <c r="NT107" i="5"/>
  <c r="NV107" i="5" s="1"/>
  <c r="NS30" i="5"/>
  <c r="NU30" i="5" s="1"/>
  <c r="NS14" i="5"/>
  <c r="NU14" i="5" s="1"/>
  <c r="ND60" i="5"/>
  <c r="HI60" i="5" s="1"/>
  <c r="NT93" i="5"/>
  <c r="NV93" i="5" s="1"/>
  <c r="NT95" i="5"/>
  <c r="NV95" i="5" s="1"/>
  <c r="NS95" i="5"/>
  <c r="NU95" i="5" s="1"/>
  <c r="HI99" i="5" l="1"/>
  <c r="HI139" i="5"/>
  <c r="HI173" i="5"/>
  <c r="HI124" i="5"/>
  <c r="HI149" i="5"/>
  <c r="HI95" i="5"/>
  <c r="HI185" i="5"/>
  <c r="HI130" i="5"/>
  <c r="HI170" i="5"/>
  <c r="HI203" i="5"/>
  <c r="HI57" i="5"/>
  <c r="HI107" i="5"/>
  <c r="HI25" i="5"/>
  <c r="HI44" i="5"/>
  <c r="HI20" i="5"/>
  <c r="HI52" i="5"/>
  <c r="HI54" i="5"/>
  <c r="HI14" i="5"/>
  <c r="HI6" i="5"/>
  <c r="P3" i="5"/>
  <c r="BR3" i="5"/>
  <c r="CI3" i="5"/>
  <c r="CM3" i="5"/>
  <c r="DY3" i="5"/>
  <c r="DZ3" i="5" s="1"/>
  <c r="DW3" i="5" s="1"/>
  <c r="EA3" i="5"/>
  <c r="EP3" i="5"/>
  <c r="BT3" i="5"/>
  <c r="BU3" i="5" l="1"/>
  <c r="EZ3" i="5" s="1"/>
  <c r="RX3" i="5"/>
  <c r="RY3" i="5" s="1"/>
  <c r="GD3" i="5"/>
  <c r="FI3" i="5"/>
  <c r="FL3" i="5"/>
  <c r="IE3" i="5"/>
  <c r="NX3" i="5" s="1"/>
  <c r="GU3" i="5"/>
  <c r="GV3" i="5" s="1"/>
  <c r="FC3" i="5"/>
  <c r="GP3" i="5"/>
  <c r="HZ3" i="5"/>
  <c r="FX3" i="5"/>
  <c r="IH3" i="5"/>
  <c r="II3" i="5" s="1"/>
  <c r="EY3" i="5"/>
  <c r="GG3" i="5"/>
  <c r="FR3" i="5"/>
  <c r="GA3" i="5"/>
  <c r="FO3" i="5"/>
  <c r="NR3" i="5"/>
  <c r="B30" i="30"/>
  <c r="B29" i="30"/>
  <c r="B27" i="30"/>
  <c r="B26" i="30"/>
  <c r="D29" i="30"/>
  <c r="D26" i="30"/>
  <c r="D27" i="30"/>
  <c r="D30" i="30"/>
  <c r="ET3" i="5"/>
  <c r="DU3" i="5"/>
  <c r="EO3" i="5"/>
  <c r="CK3" i="5"/>
  <c r="QR3" i="5"/>
  <c r="OD3" i="5"/>
  <c r="OC3" i="5"/>
  <c r="PF3" i="5"/>
  <c r="PH3" i="5"/>
  <c r="PD3" i="5"/>
  <c r="PE3" i="5"/>
  <c r="OA3" i="5"/>
  <c r="PC3" i="5"/>
  <c r="OX3" i="5"/>
  <c r="OW3" i="5"/>
  <c r="OY3" i="5"/>
  <c r="OE3" i="5"/>
  <c r="OV3" i="5"/>
  <c r="OS3" i="5"/>
  <c r="PB3" i="5"/>
  <c r="OT3" i="5"/>
  <c r="OB3" i="5"/>
  <c r="PA3" i="5"/>
  <c r="OU3" i="5"/>
  <c r="PG3" i="5"/>
  <c r="OZ3" i="5"/>
  <c r="OH3" i="5"/>
  <c r="CJ3" i="5" s="1"/>
  <c r="OI3" i="5"/>
  <c r="ON3" i="5"/>
  <c r="OO3" i="5"/>
  <c r="OK3" i="5"/>
  <c r="OL3" i="5"/>
  <c r="OM3" i="5"/>
  <c r="OR3" i="5"/>
  <c r="OP3" i="5"/>
  <c r="OQ3" i="5"/>
  <c r="OG3" i="5"/>
  <c r="OF3" i="5"/>
  <c r="OJ3" i="5"/>
  <c r="NP3" i="5"/>
  <c r="EB3" i="5"/>
  <c r="EC3" i="5"/>
  <c r="FG3" i="5" l="1"/>
  <c r="C29" i="30"/>
  <c r="C26" i="30"/>
  <c r="E29" i="30"/>
  <c r="E26" i="30"/>
  <c r="QU3" i="5"/>
  <c r="QT3" i="5"/>
  <c r="QW3" i="5"/>
  <c r="QV3" i="5"/>
  <c r="QY3" i="5"/>
  <c r="QX3" i="5"/>
  <c r="RA3" i="5"/>
  <c r="QZ3" i="5"/>
  <c r="RC3" i="5"/>
  <c r="RB3" i="5"/>
  <c r="RE3" i="5"/>
  <c r="RD3" i="5"/>
  <c r="RG3" i="5"/>
  <c r="RF3" i="5"/>
  <c r="RI3" i="5"/>
  <c r="RH3" i="5"/>
  <c r="RK3" i="5"/>
  <c r="RJ3" i="5"/>
  <c r="RM3" i="5"/>
  <c r="RL3" i="5"/>
  <c r="RO3" i="5"/>
  <c r="RN3" i="5"/>
  <c r="RQ3" i="5"/>
  <c r="RP3" i="5"/>
  <c r="RS3" i="5"/>
  <c r="RR3" i="5"/>
  <c r="RU3" i="5"/>
  <c r="RT3" i="5"/>
  <c r="PI3" i="5"/>
  <c r="CN3" i="5"/>
  <c r="NI3" i="5"/>
  <c r="DX3" i="5" s="1"/>
  <c r="EQ3" i="5"/>
  <c r="ED3" i="5"/>
  <c r="HL3" i="5" l="1"/>
  <c r="HM3" i="5"/>
  <c r="CQ3" i="5"/>
  <c r="CW3" i="5"/>
  <c r="PN3" i="5"/>
  <c r="QG3" i="5"/>
  <c r="QF3" i="5"/>
  <c r="QI3" i="5"/>
  <c r="QH3" i="5"/>
  <c r="QK3" i="5"/>
  <c r="QJ3" i="5"/>
  <c r="QM3" i="5"/>
  <c r="QL3" i="5"/>
  <c r="QO3" i="5"/>
  <c r="QN3" i="5"/>
  <c r="QQ3" i="5"/>
  <c r="QP3" i="5"/>
  <c r="QD3" i="5"/>
  <c r="QE3" i="5"/>
  <c r="QB3" i="5"/>
  <c r="QC3" i="5"/>
  <c r="PZ3" i="5"/>
  <c r="QA3" i="5"/>
  <c r="PX3" i="5"/>
  <c r="PY3" i="5"/>
  <c r="PV3" i="5"/>
  <c r="PW3" i="5"/>
  <c r="PT3" i="5"/>
  <c r="PU3" i="5"/>
  <c r="PR3" i="5"/>
  <c r="PS3" i="5"/>
  <c r="PP3" i="5"/>
  <c r="PQ3" i="5"/>
  <c r="PO3" i="5"/>
  <c r="PL3" i="5"/>
  <c r="PM3" i="5"/>
  <c r="PJ3" i="5"/>
  <c r="PK3" i="5"/>
  <c r="NT3" i="5"/>
  <c r="NV3" i="5" s="1"/>
  <c r="B23" i="30" s="1"/>
  <c r="C23" i="30" s="1"/>
  <c r="NS3" i="5"/>
  <c r="NU3" i="5" s="1"/>
  <c r="B20" i="30" s="1"/>
  <c r="C20" i="30" s="1"/>
  <c r="D23" i="30" l="1"/>
  <c r="E23" i="30" s="1"/>
  <c r="D20" i="30"/>
  <c r="E20" i="30" s="1"/>
  <c r="CO3" i="5"/>
  <c r="HH3" i="5" s="1"/>
  <c r="NH3" i="5"/>
  <c r="NK3" i="5" l="1"/>
  <c r="NJ3" i="5"/>
  <c r="B126" i="30" l="1"/>
  <c r="M81" i="30"/>
  <c r="G81" i="30"/>
  <c r="C81" i="30"/>
  <c r="F81" i="30"/>
  <c r="B81" i="30"/>
  <c r="I81" i="30"/>
  <c r="D81" i="30"/>
  <c r="L81" i="30"/>
  <c r="K81" i="30"/>
  <c r="H81" i="30"/>
  <c r="J81" i="30"/>
  <c r="B83" i="30"/>
  <c r="E81" i="30"/>
  <c r="B61" i="30"/>
  <c r="B115" i="30"/>
  <c r="B58" i="30"/>
  <c r="B117" i="30"/>
  <c r="D83" i="30"/>
  <c r="L121" i="30"/>
  <c r="H121" i="30"/>
  <c r="D121" i="30"/>
  <c r="M119" i="30"/>
  <c r="I119" i="30"/>
  <c r="E119" i="30"/>
  <c r="K83" i="30"/>
  <c r="G83" i="30"/>
  <c r="C83" i="30"/>
  <c r="J121" i="30"/>
  <c r="G119" i="30"/>
  <c r="C119" i="30"/>
  <c r="E83" i="30"/>
  <c r="M121" i="30"/>
  <c r="J119" i="30"/>
  <c r="B119" i="30"/>
  <c r="K121" i="30"/>
  <c r="G121" i="30"/>
  <c r="C121" i="30"/>
  <c r="L119" i="30"/>
  <c r="H119" i="30"/>
  <c r="D119" i="30"/>
  <c r="J83" i="30"/>
  <c r="F83" i="30"/>
  <c r="F121" i="30"/>
  <c r="K119" i="30"/>
  <c r="M83" i="30"/>
  <c r="I83" i="30"/>
  <c r="B79" i="30"/>
  <c r="I121" i="30"/>
  <c r="F119" i="30"/>
  <c r="L83" i="30"/>
  <c r="B121" i="30"/>
  <c r="E121" i="30"/>
  <c r="H83" i="30"/>
  <c r="K79" i="30"/>
  <c r="G79" i="30"/>
  <c r="C79" i="30"/>
  <c r="J79" i="30"/>
  <c r="F79" i="30"/>
  <c r="H79" i="30"/>
  <c r="D79" i="30"/>
  <c r="M79" i="30"/>
  <c r="I79" i="30"/>
  <c r="E79" i="30"/>
  <c r="L79" i="30"/>
  <c r="J77" i="30"/>
  <c r="F77" i="30"/>
  <c r="I77" i="30"/>
  <c r="E77" i="30"/>
  <c r="G77" i="30"/>
  <c r="M77" i="30"/>
  <c r="H77" i="30"/>
  <c r="L77" i="30"/>
  <c r="K77" i="30"/>
  <c r="D77" i="30"/>
  <c r="C77" i="30"/>
  <c r="B77" i="30"/>
  <c r="B75" i="30"/>
  <c r="J75" i="30"/>
  <c r="F75" i="30"/>
  <c r="K73" i="30"/>
  <c r="G73" i="30"/>
  <c r="C73" i="30"/>
  <c r="C75" i="30"/>
  <c r="M75" i="30"/>
  <c r="I75" i="30"/>
  <c r="E75" i="30"/>
  <c r="B73" i="30"/>
  <c r="J73" i="30"/>
  <c r="F73" i="30"/>
  <c r="H73" i="30"/>
  <c r="L75" i="30"/>
  <c r="H75" i="30"/>
  <c r="D75" i="30"/>
  <c r="M73" i="30"/>
  <c r="I73" i="30"/>
  <c r="E73" i="30"/>
  <c r="L73" i="30"/>
  <c r="D73" i="30"/>
  <c r="K75" i="30"/>
  <c r="G75" i="30"/>
  <c r="B67" i="30"/>
  <c r="J71" i="30"/>
  <c r="F71" i="30"/>
  <c r="B71" i="30"/>
  <c r="M71" i="30"/>
  <c r="I71" i="30"/>
  <c r="E71" i="30"/>
  <c r="L71" i="30"/>
  <c r="H71" i="30"/>
  <c r="D71" i="30"/>
  <c r="K71" i="30"/>
  <c r="G71" i="30"/>
  <c r="C71" i="30"/>
  <c r="M112" i="30"/>
  <c r="I112" i="30"/>
  <c r="E112" i="30"/>
  <c r="D112" i="30"/>
  <c r="F112" i="30"/>
  <c r="L112" i="30"/>
  <c r="H112" i="30"/>
  <c r="J112" i="30"/>
  <c r="K112" i="30"/>
  <c r="G112" i="30"/>
  <c r="C112" i="30"/>
  <c r="B112" i="30"/>
  <c r="M113" i="30"/>
  <c r="M114" i="30" s="1"/>
  <c r="I113" i="30"/>
  <c r="G113" i="30"/>
  <c r="J113" i="30"/>
  <c r="J114" i="30" s="1"/>
  <c r="D113" i="30"/>
  <c r="L113" i="30"/>
  <c r="L114" i="30" s="1"/>
  <c r="H113" i="30"/>
  <c r="F113" i="30"/>
  <c r="K113" i="30"/>
  <c r="C113" i="30"/>
  <c r="E113" i="30"/>
  <c r="B113" i="30"/>
  <c r="M110" i="30"/>
  <c r="M111" i="30" s="1"/>
  <c r="I110" i="30"/>
  <c r="I111" i="30" s="1"/>
  <c r="E110" i="30"/>
  <c r="J110" i="30"/>
  <c r="J111" i="30" s="1"/>
  <c r="L110" i="30"/>
  <c r="L111" i="30" s="1"/>
  <c r="H110" i="30"/>
  <c r="D110" i="30"/>
  <c r="B110" i="30"/>
  <c r="K110" i="30"/>
  <c r="K111" i="30" s="1"/>
  <c r="G110" i="30"/>
  <c r="G111" i="30" s="1"/>
  <c r="C110" i="30"/>
  <c r="F110" i="30"/>
  <c r="B65" i="30"/>
  <c r="L109" i="30"/>
  <c r="H109" i="30"/>
  <c r="D109" i="30"/>
  <c r="L53" i="30"/>
  <c r="L49" i="30" s="1"/>
  <c r="H53" i="30"/>
  <c r="D53" i="30"/>
  <c r="M53" i="30"/>
  <c r="M49" i="30" s="1"/>
  <c r="C109" i="30"/>
  <c r="K109" i="30"/>
  <c r="G109" i="30"/>
  <c r="B109" i="30"/>
  <c r="K53" i="30"/>
  <c r="K49" i="30" s="1"/>
  <c r="G53" i="30"/>
  <c r="C53" i="30"/>
  <c r="F53" i="30"/>
  <c r="B53" i="30"/>
  <c r="I109" i="30"/>
  <c r="E109" i="30"/>
  <c r="I53" i="30"/>
  <c r="B60" i="30"/>
  <c r="B62" i="30" s="1"/>
  <c r="J109" i="30"/>
  <c r="F109" i="30"/>
  <c r="B104" i="30"/>
  <c r="J53" i="30"/>
  <c r="J49" i="30" s="1"/>
  <c r="M109" i="30"/>
  <c r="E53" i="30"/>
  <c r="M69" i="30"/>
  <c r="I69" i="30"/>
  <c r="E69" i="30"/>
  <c r="J107" i="30"/>
  <c r="F107" i="30"/>
  <c r="M106" i="30"/>
  <c r="I106" i="30"/>
  <c r="E106" i="30"/>
  <c r="B106" i="30"/>
  <c r="C126" i="30"/>
  <c r="K104" i="30"/>
  <c r="G104" i="30"/>
  <c r="C104" i="30"/>
  <c r="K107" i="30"/>
  <c r="J106" i="30"/>
  <c r="D104" i="30"/>
  <c r="L69" i="30"/>
  <c r="H69" i="30"/>
  <c r="D69" i="30"/>
  <c r="M107" i="30"/>
  <c r="I107" i="30"/>
  <c r="E107" i="30"/>
  <c r="L106" i="30"/>
  <c r="H106" i="30"/>
  <c r="D106" i="30"/>
  <c r="J104" i="30"/>
  <c r="F104" i="30"/>
  <c r="B69" i="30"/>
  <c r="C107" i="30"/>
  <c r="B107" i="30"/>
  <c r="H104" i="30"/>
  <c r="K69" i="30"/>
  <c r="G69" i="30"/>
  <c r="C69" i="30"/>
  <c r="L107" i="30"/>
  <c r="H107" i="30"/>
  <c r="D107" i="30"/>
  <c r="K106" i="30"/>
  <c r="G106" i="30"/>
  <c r="C106" i="30"/>
  <c r="M104" i="30"/>
  <c r="I104" i="30"/>
  <c r="E104" i="30"/>
  <c r="J69" i="30"/>
  <c r="F69" i="30"/>
  <c r="G107" i="30"/>
  <c r="F106" i="30"/>
  <c r="L104" i="30"/>
  <c r="J58" i="30"/>
  <c r="F58" i="30"/>
  <c r="K56" i="30"/>
  <c r="G56" i="30"/>
  <c r="C56" i="30"/>
  <c r="M58" i="30"/>
  <c r="I58" i="30"/>
  <c r="E58" i="30"/>
  <c r="B56" i="30"/>
  <c r="J56" i="30"/>
  <c r="F56" i="30"/>
  <c r="L58" i="30"/>
  <c r="H58" i="30"/>
  <c r="D58" i="30"/>
  <c r="M56" i="30"/>
  <c r="I56" i="30"/>
  <c r="E56" i="30"/>
  <c r="K58" i="30"/>
  <c r="G58" i="30"/>
  <c r="C58" i="30"/>
  <c r="L56" i="30"/>
  <c r="H56" i="30"/>
  <c r="D56" i="30"/>
  <c r="B55" i="30"/>
  <c r="M55" i="30"/>
  <c r="I55" i="30"/>
  <c r="E55" i="30"/>
  <c r="B90" i="30"/>
  <c r="L55" i="30"/>
  <c r="H55" i="30"/>
  <c r="D55" i="30"/>
  <c r="J55" i="30"/>
  <c r="G55" i="30"/>
  <c r="F55" i="30"/>
  <c r="K55" i="30"/>
  <c r="C55" i="30"/>
  <c r="L61" i="30"/>
  <c r="K61" i="30"/>
  <c r="F61" i="30"/>
  <c r="B89" i="30"/>
  <c r="H61" i="30"/>
  <c r="G61" i="30"/>
  <c r="D61" i="30"/>
  <c r="C61" i="30"/>
  <c r="M61" i="30"/>
  <c r="I61" i="30"/>
  <c r="J61" i="30"/>
  <c r="E61" i="30"/>
  <c r="K117" i="30"/>
  <c r="G117" i="30"/>
  <c r="C117" i="30"/>
  <c r="M115" i="30"/>
  <c r="I115" i="30"/>
  <c r="E115" i="30"/>
  <c r="B123" i="30"/>
  <c r="K67" i="30"/>
  <c r="G67" i="30"/>
  <c r="C67" i="30"/>
  <c r="C115" i="30"/>
  <c r="H117" i="30"/>
  <c r="F115" i="30"/>
  <c r="D67" i="30"/>
  <c r="J117" i="30"/>
  <c r="F117" i="30"/>
  <c r="L115" i="30"/>
  <c r="H115" i="30"/>
  <c r="D115" i="30"/>
  <c r="M67" i="30"/>
  <c r="J67" i="30"/>
  <c r="F67" i="30"/>
  <c r="G115" i="30"/>
  <c r="E67" i="30"/>
  <c r="D117" i="30"/>
  <c r="M117" i="30"/>
  <c r="I117" i="30"/>
  <c r="E117" i="30"/>
  <c r="B125" i="30"/>
  <c r="K115" i="30"/>
  <c r="I67" i="30"/>
  <c r="L117" i="30"/>
  <c r="J115" i="30"/>
  <c r="L67" i="30"/>
  <c r="H67" i="30"/>
  <c r="H139" i="30"/>
  <c r="C136" i="30"/>
  <c r="J136" i="30"/>
  <c r="J138" i="30" s="1"/>
  <c r="E136" i="30"/>
  <c r="E138" i="30" s="1"/>
  <c r="I139" i="30"/>
  <c r="C134" i="30"/>
  <c r="E134" i="30"/>
  <c r="L134" i="30"/>
  <c r="B139" i="30"/>
  <c r="I125" i="30"/>
  <c r="E126" i="30"/>
  <c r="D125" i="30"/>
  <c r="F126" i="30"/>
  <c r="K126" i="30"/>
  <c r="F125" i="30"/>
  <c r="E65" i="30"/>
  <c r="J132" i="30"/>
  <c r="K63" i="30"/>
  <c r="L65" i="30"/>
  <c r="I63" i="30"/>
  <c r="E60" i="30"/>
  <c r="H132" i="30"/>
  <c r="G60" i="30"/>
  <c r="L63" i="30"/>
  <c r="H60" i="30"/>
  <c r="C63" i="30"/>
  <c r="G123" i="30"/>
  <c r="D123" i="30"/>
  <c r="B134" i="30"/>
  <c r="J134" i="30"/>
  <c r="D139" i="30"/>
  <c r="M134" i="30"/>
  <c r="J139" i="30"/>
  <c r="H134" i="30"/>
  <c r="L136" i="30"/>
  <c r="L138" i="30" s="1"/>
  <c r="D134" i="30"/>
  <c r="D136" i="30"/>
  <c r="D138" i="30" s="1"/>
  <c r="E125" i="30"/>
  <c r="D126" i="30"/>
  <c r="L126" i="30"/>
  <c r="K125" i="30"/>
  <c r="G126" i="30"/>
  <c r="J126" i="30"/>
  <c r="B63" i="30"/>
  <c r="J60" i="30"/>
  <c r="J54" i="30" s="1"/>
  <c r="F132" i="30"/>
  <c r="K60" i="30"/>
  <c r="K54" i="30" s="1"/>
  <c r="H65" i="30"/>
  <c r="E63" i="30"/>
  <c r="M132" i="30"/>
  <c r="D132" i="30"/>
  <c r="C132" i="30"/>
  <c r="H63" i="30"/>
  <c r="D60" i="30"/>
  <c r="K132" i="30"/>
  <c r="M123" i="30"/>
  <c r="C123" i="30"/>
  <c r="K123" i="30"/>
  <c r="E139" i="30"/>
  <c r="K136" i="30"/>
  <c r="K138" i="30" s="1"/>
  <c r="F134" i="30"/>
  <c r="G139" i="30"/>
  <c r="I134" i="30"/>
  <c r="F139" i="30"/>
  <c r="H136" i="30"/>
  <c r="H138" i="30" s="1"/>
  <c r="K139" i="30"/>
  <c r="C139" i="30"/>
  <c r="G134" i="30"/>
  <c r="M126" i="30"/>
  <c r="L125" i="30"/>
  <c r="H126" i="30"/>
  <c r="G125" i="30"/>
  <c r="M65" i="30"/>
  <c r="J63" i="30"/>
  <c r="F60" i="30"/>
  <c r="B132" i="30"/>
  <c r="C60" i="30"/>
  <c r="D65" i="30"/>
  <c r="M60" i="30"/>
  <c r="M54" i="30" s="1"/>
  <c r="I132" i="30"/>
  <c r="K65" i="30"/>
  <c r="D63" i="30"/>
  <c r="L132" i="30"/>
  <c r="I123" i="30"/>
  <c r="L123" i="30"/>
  <c r="J123" i="30"/>
  <c r="C65" i="30"/>
  <c r="L139" i="30"/>
  <c r="G136" i="30"/>
  <c r="G138" i="30" s="1"/>
  <c r="B136" i="30"/>
  <c r="I136" i="30"/>
  <c r="I138" i="30" s="1"/>
  <c r="K134" i="30"/>
  <c r="F136" i="30"/>
  <c r="F138" i="30" s="1"/>
  <c r="M136" i="30"/>
  <c r="M138" i="30" s="1"/>
  <c r="M139" i="30"/>
  <c r="M125" i="30"/>
  <c r="I126" i="30"/>
  <c r="H125" i="30"/>
  <c r="C125" i="30"/>
  <c r="J125" i="30"/>
  <c r="I65" i="30"/>
  <c r="F63" i="30"/>
  <c r="B96" i="30"/>
  <c r="J65" i="30"/>
  <c r="G132" i="30"/>
  <c r="M63" i="30"/>
  <c r="I60" i="30"/>
  <c r="E132" i="30"/>
  <c r="G63" i="30"/>
  <c r="G65" i="30"/>
  <c r="L60" i="30"/>
  <c r="L54" i="30" s="1"/>
  <c r="F65" i="30"/>
  <c r="E123" i="30"/>
  <c r="H123" i="30"/>
  <c r="F123" i="30"/>
  <c r="M102" i="30"/>
  <c r="I102" i="30"/>
  <c r="E102" i="30"/>
  <c r="L102" i="30"/>
  <c r="H102" i="30"/>
  <c r="D102" i="30"/>
  <c r="K102" i="30"/>
  <c r="G102" i="30"/>
  <c r="C102" i="30"/>
  <c r="J102" i="30"/>
  <c r="F102" i="30"/>
  <c r="B102" i="30"/>
  <c r="I130" i="30"/>
  <c r="E130" i="30"/>
  <c r="M130" i="30"/>
  <c r="B129" i="30"/>
  <c r="I129" i="30"/>
  <c r="E129" i="30"/>
  <c r="B128" i="30"/>
  <c r="J130" i="30"/>
  <c r="F129" i="30"/>
  <c r="L130" i="30"/>
  <c r="H130" i="30"/>
  <c r="D130" i="30"/>
  <c r="L129" i="30"/>
  <c r="H129" i="30"/>
  <c r="D129" i="30"/>
  <c r="F130" i="30"/>
  <c r="J129" i="30"/>
  <c r="K130" i="30"/>
  <c r="G130" i="30"/>
  <c r="B130" i="30"/>
  <c r="K129" i="30"/>
  <c r="G129" i="30"/>
  <c r="C129" i="30"/>
  <c r="B98" i="30"/>
  <c r="C130" i="30"/>
  <c r="M129" i="30"/>
  <c r="L128" i="30"/>
  <c r="H128" i="30"/>
  <c r="D128" i="30"/>
  <c r="K128" i="30"/>
  <c r="G128" i="30"/>
  <c r="C128" i="30"/>
  <c r="F128" i="30"/>
  <c r="J128" i="30"/>
  <c r="I128" i="30"/>
  <c r="E128" i="30"/>
  <c r="M128" i="30"/>
  <c r="J94" i="30"/>
  <c r="F94" i="30"/>
  <c r="B94" i="30"/>
  <c r="E96" i="30"/>
  <c r="I96" i="30"/>
  <c r="M96" i="30"/>
  <c r="F98" i="30"/>
  <c r="J98" i="30"/>
  <c r="E100" i="30"/>
  <c r="I100" i="30"/>
  <c r="M94" i="30"/>
  <c r="I94" i="30"/>
  <c r="E94" i="30"/>
  <c r="F96" i="30"/>
  <c r="J96" i="30"/>
  <c r="C98" i="30"/>
  <c r="G98" i="30"/>
  <c r="K98" i="30"/>
  <c r="F100" i="30"/>
  <c r="J100" i="30"/>
  <c r="L94" i="30"/>
  <c r="H94" i="30"/>
  <c r="D94" i="30"/>
  <c r="C96" i="30"/>
  <c r="G96" i="30"/>
  <c r="K96" i="30"/>
  <c r="D98" i="30"/>
  <c r="H98" i="30"/>
  <c r="L98" i="30"/>
  <c r="G100" i="30"/>
  <c r="K100" i="30"/>
  <c r="K94" i="30"/>
  <c r="G94" i="30"/>
  <c r="C94" i="30"/>
  <c r="D96" i="30"/>
  <c r="H96" i="30"/>
  <c r="L96" i="30"/>
  <c r="E98" i="30"/>
  <c r="I98" i="30"/>
  <c r="M98" i="30"/>
  <c r="H100" i="30"/>
  <c r="L100" i="30"/>
  <c r="C90" i="30"/>
  <c r="G90" i="30"/>
  <c r="K90" i="30"/>
  <c r="C89" i="30"/>
  <c r="G89" i="30"/>
  <c r="K89" i="30"/>
  <c r="F90" i="30"/>
  <c r="J89" i="30"/>
  <c r="D90" i="30"/>
  <c r="H90" i="30"/>
  <c r="L90" i="30"/>
  <c r="D89" i="30"/>
  <c r="H89" i="30"/>
  <c r="L89" i="30"/>
  <c r="J90" i="30"/>
  <c r="F89" i="30"/>
  <c r="E90" i="30"/>
  <c r="I90" i="30"/>
  <c r="M90" i="30"/>
  <c r="E89" i="30"/>
  <c r="I89" i="30"/>
  <c r="M89" i="30"/>
  <c r="C120" i="30" l="1"/>
  <c r="E54" i="30"/>
  <c r="I114" i="30"/>
  <c r="E114" i="30"/>
  <c r="H114" i="30"/>
  <c r="D54" i="30"/>
  <c r="I54" i="30"/>
  <c r="F54" i="30"/>
  <c r="I131" i="30"/>
  <c r="D111" i="30"/>
  <c r="G114" i="30"/>
  <c r="E111" i="30"/>
  <c r="F114" i="30"/>
  <c r="F111" i="30"/>
  <c r="G54" i="30"/>
  <c r="H54" i="30"/>
  <c r="H111" i="30"/>
  <c r="B108" i="30"/>
  <c r="B105" i="30"/>
  <c r="B116" i="30"/>
  <c r="B54" i="30"/>
  <c r="B64" i="30"/>
  <c r="B66" i="30"/>
  <c r="N81" i="30"/>
  <c r="H105" i="30"/>
  <c r="H120" i="30"/>
  <c r="M105" i="30"/>
  <c r="M120" i="30"/>
  <c r="D108" i="30"/>
  <c r="D122" i="30"/>
  <c r="D118" i="30"/>
  <c r="C122" i="30"/>
  <c r="C118" i="30"/>
  <c r="I108" i="30"/>
  <c r="I122" i="30"/>
  <c r="I118" i="30"/>
  <c r="K108" i="30"/>
  <c r="K122" i="30"/>
  <c r="K118" i="30"/>
  <c r="N83" i="30"/>
  <c r="G105" i="30"/>
  <c r="G120" i="30"/>
  <c r="H108" i="30"/>
  <c r="H118" i="30"/>
  <c r="H122" i="30"/>
  <c r="M108" i="30"/>
  <c r="M118" i="30"/>
  <c r="M122" i="30"/>
  <c r="F108" i="30"/>
  <c r="F118" i="30"/>
  <c r="F122" i="30"/>
  <c r="L105" i="30"/>
  <c r="L120" i="30"/>
  <c r="F105" i="30"/>
  <c r="F120" i="30"/>
  <c r="K105" i="30"/>
  <c r="K120" i="30"/>
  <c r="E105" i="30"/>
  <c r="E120" i="30"/>
  <c r="L108" i="30"/>
  <c r="L122" i="30"/>
  <c r="L118" i="30"/>
  <c r="J108" i="30"/>
  <c r="J118" i="30"/>
  <c r="J122" i="30"/>
  <c r="B120" i="30"/>
  <c r="N119" i="30"/>
  <c r="J105" i="30"/>
  <c r="J120" i="30"/>
  <c r="D105" i="30"/>
  <c r="D120" i="30"/>
  <c r="I105" i="30"/>
  <c r="I120" i="30"/>
  <c r="G108" i="30"/>
  <c r="G122" i="30"/>
  <c r="G118" i="30"/>
  <c r="E108" i="30"/>
  <c r="E122" i="30"/>
  <c r="E118" i="30"/>
  <c r="B122" i="30"/>
  <c r="N121" i="30"/>
  <c r="B118" i="30"/>
  <c r="N79" i="30"/>
  <c r="N77" i="30"/>
  <c r="N73" i="30"/>
  <c r="N75" i="30"/>
  <c r="C138" i="30"/>
  <c r="N71" i="30"/>
  <c r="N113" i="30"/>
  <c r="C111" i="30"/>
  <c r="B111" i="30"/>
  <c r="N110" i="30"/>
  <c r="N112" i="30"/>
  <c r="C105" i="30"/>
  <c r="C108" i="30"/>
  <c r="N53" i="30"/>
  <c r="N109" i="30"/>
  <c r="C64" i="30"/>
  <c r="C54" i="30"/>
  <c r="N104" i="30"/>
  <c r="N106" i="30"/>
  <c r="N107" i="30"/>
  <c r="K114" i="30"/>
  <c r="D114" i="30"/>
  <c r="C114" i="30"/>
  <c r="N56" i="30"/>
  <c r="N58" i="30"/>
  <c r="F59" i="30"/>
  <c r="F57" i="30"/>
  <c r="H57" i="30"/>
  <c r="H59" i="30"/>
  <c r="I59" i="30"/>
  <c r="I57" i="30"/>
  <c r="G59" i="30"/>
  <c r="G57" i="30"/>
  <c r="L57" i="30"/>
  <c r="L59" i="30"/>
  <c r="M59" i="30"/>
  <c r="M57" i="30"/>
  <c r="C59" i="30"/>
  <c r="C57" i="30"/>
  <c r="J59" i="30"/>
  <c r="J57" i="30"/>
  <c r="K59" i="30"/>
  <c r="K57" i="30"/>
  <c r="D57" i="30"/>
  <c r="D59" i="30"/>
  <c r="E59" i="30"/>
  <c r="E57" i="30"/>
  <c r="B59" i="30"/>
  <c r="B57" i="30"/>
  <c r="N55" i="30"/>
  <c r="C124" i="30"/>
  <c r="C116" i="30"/>
  <c r="H124" i="30"/>
  <c r="H116" i="30"/>
  <c r="M124" i="30"/>
  <c r="M116" i="30"/>
  <c r="I127" i="30"/>
  <c r="N65" i="30"/>
  <c r="C62" i="30"/>
  <c r="C66" i="30"/>
  <c r="M127" i="30"/>
  <c r="K62" i="30"/>
  <c r="K66" i="30"/>
  <c r="K64" i="30"/>
  <c r="J127" i="30"/>
  <c r="D127" i="30"/>
  <c r="E127" i="30"/>
  <c r="N69" i="30"/>
  <c r="B114" i="30"/>
  <c r="B124" i="30"/>
  <c r="L124" i="30"/>
  <c r="L116" i="30"/>
  <c r="L62" i="30"/>
  <c r="L66" i="30"/>
  <c r="L64" i="30"/>
  <c r="I62" i="30"/>
  <c r="I64" i="30"/>
  <c r="I66" i="30"/>
  <c r="B138" i="30"/>
  <c r="N136" i="30"/>
  <c r="D62" i="30"/>
  <c r="D66" i="30"/>
  <c r="D64" i="30"/>
  <c r="G127" i="30"/>
  <c r="H62" i="30"/>
  <c r="H66" i="30"/>
  <c r="H64" i="30"/>
  <c r="E62" i="30"/>
  <c r="E64" i="30"/>
  <c r="E66" i="30"/>
  <c r="K127" i="30"/>
  <c r="N123" i="30"/>
  <c r="G124" i="30"/>
  <c r="G116" i="30"/>
  <c r="F124" i="30"/>
  <c r="F116" i="30"/>
  <c r="K124" i="30"/>
  <c r="K116" i="30"/>
  <c r="E124" i="30"/>
  <c r="E116" i="30"/>
  <c r="C127" i="30"/>
  <c r="B127" i="30"/>
  <c r="N126" i="30"/>
  <c r="N61" i="30"/>
  <c r="M62" i="30"/>
  <c r="M64" i="30"/>
  <c r="M66" i="30"/>
  <c r="F62" i="30"/>
  <c r="F66" i="30"/>
  <c r="F64" i="30"/>
  <c r="H127" i="30"/>
  <c r="J62" i="30"/>
  <c r="J66" i="30"/>
  <c r="J64" i="30"/>
  <c r="N60" i="30"/>
  <c r="F127" i="30"/>
  <c r="B140" i="30"/>
  <c r="N139" i="30"/>
  <c r="N125" i="30"/>
  <c r="N117" i="30"/>
  <c r="J124" i="30"/>
  <c r="J116" i="30"/>
  <c r="D124" i="30"/>
  <c r="D116" i="30"/>
  <c r="I124" i="30"/>
  <c r="I116" i="30"/>
  <c r="N63" i="30"/>
  <c r="L127" i="30"/>
  <c r="G62" i="30"/>
  <c r="G66" i="30"/>
  <c r="G64" i="30"/>
  <c r="N115" i="30"/>
  <c r="N67" i="30"/>
  <c r="B91" i="30"/>
  <c r="B68" i="30" s="1"/>
  <c r="M131" i="30"/>
  <c r="L131" i="30"/>
  <c r="K131" i="30"/>
  <c r="J131" i="30"/>
  <c r="H131" i="30"/>
  <c r="G131" i="30"/>
  <c r="F131" i="30"/>
  <c r="E131" i="30"/>
  <c r="C131" i="30"/>
  <c r="D131" i="30"/>
  <c r="N132" i="30"/>
  <c r="K91" i="30"/>
  <c r="K84" i="30" s="1"/>
  <c r="N134" i="30"/>
  <c r="N130" i="30"/>
  <c r="N129" i="30"/>
  <c r="B131" i="30"/>
  <c r="F91" i="30"/>
  <c r="C91" i="30"/>
  <c r="C84" i="30" s="1"/>
  <c r="N94" i="30"/>
  <c r="N128" i="30"/>
  <c r="N102" i="30"/>
  <c r="N96" i="30"/>
  <c r="N98" i="30"/>
  <c r="J91" i="30"/>
  <c r="N90" i="30"/>
  <c r="N89" i="30"/>
  <c r="L91" i="30"/>
  <c r="H91" i="30"/>
  <c r="G91" i="30"/>
  <c r="M91" i="30"/>
  <c r="I91" i="30"/>
  <c r="E91" i="30"/>
  <c r="D91" i="30"/>
  <c r="D84" i="30" s="1"/>
  <c r="N54" i="30" l="1"/>
  <c r="N135" i="30"/>
  <c r="N57" i="30"/>
  <c r="N59" i="30"/>
  <c r="K82" i="30"/>
  <c r="C82" i="30"/>
  <c r="E82" i="30"/>
  <c r="E84" i="30"/>
  <c r="H84" i="30"/>
  <c r="H82" i="30"/>
  <c r="J84" i="30"/>
  <c r="J82" i="30"/>
  <c r="B80" i="30"/>
  <c r="B84" i="30"/>
  <c r="B82" i="30"/>
  <c r="D82" i="30"/>
  <c r="G82" i="30"/>
  <c r="G84" i="30"/>
  <c r="N120" i="30"/>
  <c r="F84" i="30"/>
  <c r="F82" i="30"/>
  <c r="I82" i="30"/>
  <c r="I84" i="30"/>
  <c r="L82" i="30"/>
  <c r="L84" i="30"/>
  <c r="M82" i="30"/>
  <c r="M84" i="30"/>
  <c r="N122" i="30"/>
  <c r="N118" i="30"/>
  <c r="F78" i="30"/>
  <c r="F80" i="30"/>
  <c r="M78" i="30"/>
  <c r="M80" i="30"/>
  <c r="C76" i="30"/>
  <c r="C80" i="30"/>
  <c r="D76" i="30"/>
  <c r="D80" i="30"/>
  <c r="G78" i="30"/>
  <c r="G80" i="30"/>
  <c r="E78" i="30"/>
  <c r="E80" i="30"/>
  <c r="H78" i="30"/>
  <c r="H80" i="30"/>
  <c r="J78" i="30"/>
  <c r="J80" i="30"/>
  <c r="K76" i="30"/>
  <c r="K80" i="30"/>
  <c r="I78" i="30"/>
  <c r="I80" i="30"/>
  <c r="L78" i="30"/>
  <c r="L80" i="30"/>
  <c r="B78" i="30"/>
  <c r="B74" i="30"/>
  <c r="B76" i="30"/>
  <c r="K78" i="30"/>
  <c r="D78" i="30"/>
  <c r="C78" i="30"/>
  <c r="D72" i="30"/>
  <c r="D74" i="30"/>
  <c r="E72" i="30"/>
  <c r="E74" i="30"/>
  <c r="E76" i="30"/>
  <c r="I72" i="30"/>
  <c r="I76" i="30"/>
  <c r="I74" i="30"/>
  <c r="M72" i="30"/>
  <c r="M74" i="30"/>
  <c r="M76" i="30"/>
  <c r="G72" i="30"/>
  <c r="G76" i="30"/>
  <c r="G74" i="30"/>
  <c r="H72" i="30"/>
  <c r="H74" i="30"/>
  <c r="H76" i="30"/>
  <c r="L72" i="30"/>
  <c r="L76" i="30"/>
  <c r="L74" i="30"/>
  <c r="J72" i="30"/>
  <c r="J76" i="30"/>
  <c r="J74" i="30"/>
  <c r="C72" i="30"/>
  <c r="C74" i="30"/>
  <c r="F72" i="30"/>
  <c r="F76" i="30"/>
  <c r="F74" i="30"/>
  <c r="K72" i="30"/>
  <c r="K74" i="30"/>
  <c r="B72" i="30"/>
  <c r="N111" i="30"/>
  <c r="N105" i="30"/>
  <c r="N108" i="30"/>
  <c r="B70" i="30"/>
  <c r="B93" i="30"/>
  <c r="N138" i="30"/>
  <c r="N140" i="30"/>
  <c r="N62" i="30"/>
  <c r="N66" i="30"/>
  <c r="N64" i="30"/>
  <c r="N114" i="30"/>
  <c r="N127" i="30"/>
  <c r="N124" i="30"/>
  <c r="N116" i="30"/>
  <c r="F103" i="30"/>
  <c r="F70" i="30"/>
  <c r="F68" i="30"/>
  <c r="G68" i="30"/>
  <c r="G70" i="30"/>
  <c r="E70" i="30"/>
  <c r="E68" i="30"/>
  <c r="J92" i="30"/>
  <c r="J70" i="30"/>
  <c r="J68" i="30"/>
  <c r="K101" i="30"/>
  <c r="K68" i="30"/>
  <c r="K70" i="30"/>
  <c r="M70" i="30"/>
  <c r="M68" i="30"/>
  <c r="C92" i="30"/>
  <c r="C68" i="30"/>
  <c r="C70" i="30"/>
  <c r="D68" i="30"/>
  <c r="D70" i="30"/>
  <c r="H68" i="30"/>
  <c r="H70" i="30"/>
  <c r="I70" i="30"/>
  <c r="I68" i="30"/>
  <c r="L68" i="30"/>
  <c r="L70" i="30"/>
  <c r="B95" i="30"/>
  <c r="B103" i="30"/>
  <c r="B99" i="30"/>
  <c r="N137" i="30"/>
  <c r="K93" i="30"/>
  <c r="B97" i="30"/>
  <c r="N131" i="30"/>
  <c r="C93" i="30"/>
  <c r="B92" i="30"/>
  <c r="F93" i="30"/>
  <c r="F95" i="30"/>
  <c r="F92" i="30"/>
  <c r="F101" i="30"/>
  <c r="F99" i="30"/>
  <c r="K92" i="30"/>
  <c r="K95" i="30"/>
  <c r="F97" i="30"/>
  <c r="K99" i="30"/>
  <c r="J93" i="30"/>
  <c r="K103" i="30"/>
  <c r="K97" i="30"/>
  <c r="L99" i="30"/>
  <c r="L101" i="30"/>
  <c r="L95" i="30"/>
  <c r="L103" i="30"/>
  <c r="L97" i="30"/>
  <c r="J99" i="30"/>
  <c r="J95" i="30"/>
  <c r="J101" i="30"/>
  <c r="J103" i="30"/>
  <c r="J97" i="30"/>
  <c r="I103" i="30"/>
  <c r="I97" i="30"/>
  <c r="I101" i="30"/>
  <c r="I99" i="30"/>
  <c r="I95" i="30"/>
  <c r="M103" i="30"/>
  <c r="M97" i="30"/>
  <c r="M99" i="30"/>
  <c r="M95" i="30"/>
  <c r="C103" i="30"/>
  <c r="C99" i="30"/>
  <c r="C95" i="30"/>
  <c r="C97" i="30"/>
  <c r="D99" i="30"/>
  <c r="D103" i="30"/>
  <c r="D95" i="30"/>
  <c r="D97" i="30"/>
  <c r="G101" i="30"/>
  <c r="G97" i="30"/>
  <c r="G99" i="30"/>
  <c r="G95" i="30"/>
  <c r="G103" i="30"/>
  <c r="N133" i="30"/>
  <c r="E103" i="30"/>
  <c r="E97" i="30"/>
  <c r="E101" i="30"/>
  <c r="E99" i="30"/>
  <c r="E95" i="30"/>
  <c r="H95" i="30"/>
  <c r="H103" i="30"/>
  <c r="H97" i="30"/>
  <c r="H101" i="30"/>
  <c r="H99" i="30"/>
  <c r="L93" i="30"/>
  <c r="L92" i="30"/>
  <c r="I92" i="30"/>
  <c r="I93" i="30"/>
  <c r="H92" i="30"/>
  <c r="H93" i="30"/>
  <c r="E93" i="30"/>
  <c r="E92" i="30"/>
  <c r="D93" i="30"/>
  <c r="D92" i="30"/>
  <c r="M93" i="30"/>
  <c r="M92" i="30"/>
  <c r="G93" i="30"/>
  <c r="G92" i="30"/>
  <c r="N91" i="30"/>
  <c r="N80" i="30" l="1"/>
  <c r="N84" i="30"/>
  <c r="N82" i="30"/>
  <c r="N74" i="30"/>
  <c r="N78" i="30"/>
  <c r="N72" i="30"/>
  <c r="N76" i="30"/>
  <c r="N70" i="30"/>
  <c r="N68" i="30"/>
  <c r="N99" i="30"/>
  <c r="N103" i="30"/>
  <c r="N97" i="30"/>
  <c r="N95" i="30"/>
  <c r="N92" i="30"/>
  <c r="N93" i="30"/>
  <c r="MH3" i="5" l="1"/>
  <c r="MK3" i="5"/>
  <c r="ML3" i="5"/>
  <c r="MN3" i="5"/>
  <c r="MP3" i="5" s="1"/>
  <c r="MO3" i="5"/>
  <c r="E43" i="30" s="1"/>
  <c r="MQ3" i="5"/>
  <c r="NE3" i="5" s="1"/>
  <c r="HK3" i="5" s="1"/>
  <c r="HR3" i="5" s="1"/>
  <c r="MU3" i="5"/>
  <c r="MW3" i="5"/>
  <c r="MX3" i="5"/>
  <c r="NL3" i="5"/>
  <c r="NM3" i="5"/>
  <c r="NN3" i="5"/>
  <c r="NO3" i="5"/>
  <c r="J48" i="30" l="1"/>
  <c r="F48" i="30"/>
  <c r="F49" i="30" s="1"/>
  <c r="M48" i="30"/>
  <c r="I48" i="30"/>
  <c r="I49" i="30" s="1"/>
  <c r="E48" i="30"/>
  <c r="E49" i="30" s="1"/>
  <c r="C48" i="30"/>
  <c r="C49" i="30" s="1"/>
  <c r="L48" i="30"/>
  <c r="H48" i="30"/>
  <c r="H49" i="30" s="1"/>
  <c r="D48" i="30"/>
  <c r="D49" i="30" s="1"/>
  <c r="B48" i="30"/>
  <c r="K48" i="30"/>
  <c r="G48" i="30"/>
  <c r="G49" i="30" s="1"/>
  <c r="B40" i="30"/>
  <c r="L50" i="30"/>
  <c r="H50" i="30"/>
  <c r="D50" i="30"/>
  <c r="M51" i="30"/>
  <c r="M52" i="30" s="1"/>
  <c r="I51" i="30"/>
  <c r="E51" i="30"/>
  <c r="K50" i="30"/>
  <c r="G50" i="30"/>
  <c r="C50" i="30"/>
  <c r="L51" i="30"/>
  <c r="L52" i="30" s="1"/>
  <c r="H51" i="30"/>
  <c r="D51" i="30"/>
  <c r="J50" i="30"/>
  <c r="F50" i="30"/>
  <c r="B50" i="30"/>
  <c r="K51" i="30"/>
  <c r="K52" i="30" s="1"/>
  <c r="G51" i="30"/>
  <c r="C51" i="30"/>
  <c r="M50" i="30"/>
  <c r="I50" i="30"/>
  <c r="E50" i="30"/>
  <c r="B51" i="30"/>
  <c r="J51" i="30"/>
  <c r="J52" i="30" s="1"/>
  <c r="F51" i="30"/>
  <c r="C43" i="30"/>
  <c r="J43" i="30"/>
  <c r="F43" i="30"/>
  <c r="B43" i="30"/>
  <c r="M43" i="30"/>
  <c r="I43" i="30"/>
  <c r="C40" i="30"/>
  <c r="L43" i="30"/>
  <c r="K43" i="30"/>
  <c r="G43" i="30"/>
  <c r="D43" i="30"/>
  <c r="B41" i="30"/>
  <c r="H43" i="30"/>
  <c r="MR3" i="5"/>
  <c r="MS3" i="5"/>
  <c r="I52" i="30" l="1"/>
  <c r="G52" i="30"/>
  <c r="H52" i="30"/>
  <c r="F52" i="30"/>
  <c r="E52" i="30"/>
  <c r="N48" i="30"/>
  <c r="N49" i="30" s="1"/>
  <c r="B49" i="30"/>
  <c r="B52" i="30"/>
  <c r="D52" i="30"/>
  <c r="C52" i="30"/>
  <c r="N50" i="30"/>
  <c r="N51" i="30"/>
  <c r="B42" i="30"/>
  <c r="C44" i="30"/>
  <c r="B44" i="30"/>
  <c r="MY3" i="5"/>
  <c r="ND3" i="5" l="1"/>
  <c r="HI3" i="5" s="1"/>
  <c r="HJ3" i="5"/>
  <c r="N52" i="30"/>
  <c r="N8" i="30"/>
  <c r="N11" i="30" s="1"/>
  <c r="B37" i="30"/>
  <c r="F38" i="30"/>
  <c r="D38" i="30"/>
  <c r="I38" i="30"/>
  <c r="L37" i="30"/>
  <c r="L39" i="30" s="1"/>
  <c r="G37" i="30"/>
  <c r="G39" i="30" s="1"/>
  <c r="H38" i="30"/>
  <c r="M37" i="30"/>
  <c r="M39" i="30" s="1"/>
  <c r="K38" i="30"/>
  <c r="J37" i="30"/>
  <c r="J39" i="30" s="1"/>
  <c r="E37" i="30"/>
  <c r="C38" i="30"/>
  <c r="K37" i="30"/>
  <c r="K39" i="30" s="1"/>
  <c r="M38" i="30"/>
  <c r="H37" i="30"/>
  <c r="H39" i="30" s="1"/>
  <c r="C37" i="30"/>
  <c r="E38" i="30"/>
  <c r="J38" i="30"/>
  <c r="D37" i="30"/>
  <c r="F37" i="30"/>
  <c r="B38" i="30"/>
  <c r="G38" i="30"/>
  <c r="L38" i="30"/>
  <c r="I37" i="30"/>
  <c r="I39" i="30" s="1"/>
  <c r="D14" i="30" l="1"/>
  <c r="B14" i="30"/>
  <c r="D15" i="30"/>
  <c r="B15" i="30"/>
  <c r="B39" i="30"/>
  <c r="N43" i="30"/>
  <c r="B46" i="30"/>
  <c r="B45" i="30"/>
  <c r="C14" i="30" l="1"/>
  <c r="E14" i="30"/>
  <c r="B47" i="30"/>
  <c r="D39" i="30"/>
  <c r="G146" i="30"/>
  <c r="M85" i="30"/>
  <c r="F87" i="30"/>
  <c r="B146" i="30"/>
  <c r="C144" i="30"/>
  <c r="K87" i="30"/>
  <c r="F144" i="30"/>
  <c r="D144" i="30"/>
  <c r="L85" i="30"/>
  <c r="D146" i="30"/>
  <c r="L87" i="30"/>
  <c r="F85" i="30"/>
  <c r="L144" i="30"/>
  <c r="H87" i="30"/>
  <c r="B85" i="30"/>
  <c r="I144" i="30"/>
  <c r="F146" i="30"/>
  <c r="M87" i="30"/>
  <c r="G85" i="30"/>
  <c r="I146" i="30"/>
  <c r="G87" i="30"/>
  <c r="H85" i="30"/>
  <c r="K144" i="30"/>
  <c r="C146" i="30"/>
  <c r="D85" i="30"/>
  <c r="G144" i="30"/>
  <c r="L146" i="30"/>
  <c r="I85" i="30"/>
  <c r="B87" i="30"/>
  <c r="E144" i="30"/>
  <c r="J144" i="30"/>
  <c r="I87" i="30"/>
  <c r="C85" i="30"/>
  <c r="E146" i="30"/>
  <c r="C87" i="30"/>
  <c r="B144" i="30"/>
  <c r="M146" i="30"/>
  <c r="K85" i="30"/>
  <c r="J146" i="30"/>
  <c r="H144" i="30"/>
  <c r="D87" i="30"/>
  <c r="H146" i="30"/>
  <c r="E85" i="30"/>
  <c r="J85" i="30"/>
  <c r="K146" i="30"/>
  <c r="M144" i="30"/>
  <c r="E87" i="30"/>
  <c r="J87" i="30"/>
  <c r="I40" i="30"/>
  <c r="D40" i="30"/>
  <c r="L41" i="30"/>
  <c r="L46" i="30" s="1"/>
  <c r="E40" i="30"/>
  <c r="K40" i="30"/>
  <c r="H41" i="30"/>
  <c r="H46" i="30" s="1"/>
  <c r="J41" i="30"/>
  <c r="J46" i="30" s="1"/>
  <c r="K41" i="30"/>
  <c r="K46" i="30" s="1"/>
  <c r="L40" i="30"/>
  <c r="I41" i="30"/>
  <c r="I46" i="30" s="1"/>
  <c r="J40" i="30"/>
  <c r="G40" i="30"/>
  <c r="M40" i="30"/>
  <c r="F41" i="30"/>
  <c r="H40" i="30"/>
  <c r="F40" i="30"/>
  <c r="G41" i="30"/>
  <c r="G46" i="30" s="1"/>
  <c r="F44" i="30" l="1"/>
  <c r="E44" i="30"/>
  <c r="D45" i="30"/>
  <c r="D44" i="30"/>
  <c r="M45" i="30"/>
  <c r="M44" i="30"/>
  <c r="L45" i="30"/>
  <c r="L47" i="30" s="1"/>
  <c r="L44" i="30"/>
  <c r="K45" i="30"/>
  <c r="K47" i="30" s="1"/>
  <c r="K44" i="30"/>
  <c r="I45" i="30"/>
  <c r="I47" i="30" s="1"/>
  <c r="I44" i="30"/>
  <c r="G45" i="30"/>
  <c r="G47" i="30" s="1"/>
  <c r="G44" i="30"/>
  <c r="H45" i="30"/>
  <c r="H47" i="30" s="1"/>
  <c r="H44" i="30"/>
  <c r="J45" i="30"/>
  <c r="J47" i="30" s="1"/>
  <c r="J44" i="30"/>
  <c r="E39" i="30"/>
  <c r="E45" i="30"/>
  <c r="N38" i="30"/>
  <c r="F46" i="30"/>
  <c r="F39" i="30"/>
  <c r="B145" i="30"/>
  <c r="B147" i="30"/>
  <c r="B88" i="30"/>
  <c r="B86" i="30"/>
  <c r="N85" i="30"/>
  <c r="N146" i="30"/>
  <c r="N87" i="30"/>
  <c r="N144" i="30"/>
  <c r="L147" i="30"/>
  <c r="L145" i="30"/>
  <c r="K147" i="30"/>
  <c r="K145" i="30"/>
  <c r="D147" i="30"/>
  <c r="D145" i="30"/>
  <c r="H147" i="30"/>
  <c r="H145" i="30"/>
  <c r="G145" i="30"/>
  <c r="G147" i="30"/>
  <c r="C147" i="30"/>
  <c r="C145" i="30"/>
  <c r="J145" i="30"/>
  <c r="J147" i="30"/>
  <c r="E145" i="30"/>
  <c r="E147" i="30"/>
  <c r="I145" i="30"/>
  <c r="I147" i="30"/>
  <c r="F145" i="30"/>
  <c r="F147" i="30"/>
  <c r="M147" i="30"/>
  <c r="M145" i="30"/>
  <c r="L42" i="30"/>
  <c r="L88" i="30"/>
  <c r="L86" i="30"/>
  <c r="K42" i="30"/>
  <c r="K88" i="30"/>
  <c r="K86" i="30"/>
  <c r="D86" i="30"/>
  <c r="D88" i="30"/>
  <c r="H42" i="30"/>
  <c r="H86" i="30"/>
  <c r="H88" i="30"/>
  <c r="G42" i="30"/>
  <c r="G88" i="30"/>
  <c r="G86" i="30"/>
  <c r="C88" i="30"/>
  <c r="C86" i="30"/>
  <c r="N40" i="30"/>
  <c r="J42" i="30"/>
  <c r="J86" i="30"/>
  <c r="J88" i="30"/>
  <c r="E88" i="30"/>
  <c r="E86" i="30"/>
  <c r="I42" i="30"/>
  <c r="I86" i="30"/>
  <c r="I88" i="30"/>
  <c r="F42" i="30"/>
  <c r="F88" i="30"/>
  <c r="F86" i="30"/>
  <c r="M88" i="30"/>
  <c r="M86" i="30"/>
  <c r="N44" i="30" l="1"/>
  <c r="F45" i="30"/>
  <c r="F47" i="30" s="1"/>
  <c r="C39" i="30"/>
  <c r="N37" i="30"/>
  <c r="N39" i="30" s="1"/>
  <c r="C45" i="30"/>
  <c r="N145" i="30"/>
  <c r="N147" i="30"/>
  <c r="N86" i="30"/>
  <c r="N88" i="30"/>
  <c r="N45" i="30" l="1"/>
  <c r="MJ3" i="5"/>
  <c r="M148" i="30" l="1"/>
  <c r="M149" i="30" s="1"/>
  <c r="M150" i="30"/>
  <c r="M151" i="30" s="1"/>
  <c r="M152" i="30"/>
  <c r="M153" i="30" s="1"/>
  <c r="L148" i="30"/>
  <c r="L149" i="30" s="1"/>
  <c r="L150" i="30"/>
  <c r="L151" i="30" s="1"/>
  <c r="L152" i="30"/>
  <c r="L153" i="30" s="1"/>
  <c r="K152" i="30"/>
  <c r="K153" i="30" s="1"/>
  <c r="K148" i="30"/>
  <c r="K149" i="30" s="1"/>
  <c r="K150" i="30"/>
  <c r="K151" i="30" s="1"/>
  <c r="J150" i="30"/>
  <c r="J151" i="30" s="1"/>
  <c r="J148" i="30"/>
  <c r="J149" i="30" s="1"/>
  <c r="J152" i="30"/>
  <c r="J153" i="30" s="1"/>
  <c r="I150" i="30"/>
  <c r="I151" i="30" s="1"/>
  <c r="I152" i="30"/>
  <c r="I153" i="30" s="1"/>
  <c r="I148" i="30"/>
  <c r="I149" i="30" s="1"/>
  <c r="H152" i="30"/>
  <c r="H153" i="30" s="1"/>
  <c r="H150" i="30"/>
  <c r="H151" i="30" s="1"/>
  <c r="H148" i="30"/>
  <c r="H149" i="30" s="1"/>
  <c r="G150" i="30"/>
  <c r="G151" i="30" s="1"/>
  <c r="G148" i="30"/>
  <c r="G149" i="30" s="1"/>
  <c r="G152" i="30"/>
  <c r="G153" i="30" s="1"/>
  <c r="F152" i="30"/>
  <c r="F153" i="30" s="1"/>
  <c r="F148" i="30"/>
  <c r="F149" i="30" s="1"/>
  <c r="F150" i="30"/>
  <c r="F151" i="30" s="1"/>
  <c r="E41" i="30" l="1"/>
  <c r="D41" i="30"/>
  <c r="M41" i="30"/>
  <c r="M46" i="30" s="1"/>
  <c r="M47" i="30" s="1"/>
  <c r="C41" i="30"/>
  <c r="M42" i="30" l="1"/>
  <c r="C42" i="30"/>
  <c r="C46" i="30"/>
  <c r="C47" i="30" s="1"/>
  <c r="D42" i="30"/>
  <c r="D46" i="30"/>
  <c r="D47" i="30" s="1"/>
  <c r="E42" i="30"/>
  <c r="E46" i="30"/>
  <c r="E47" i="30" s="1"/>
  <c r="N41" i="30"/>
  <c r="N42" i="30" s="1"/>
  <c r="N46" i="30" l="1"/>
  <c r="N47" i="30" s="1"/>
  <c r="C100" i="30"/>
  <c r="C101" i="30" s="1"/>
  <c r="B100" i="30"/>
  <c r="B101" i="30" s="1"/>
  <c r="D100" i="30"/>
  <c r="D101" i="30" s="1"/>
  <c r="M100" i="30" l="1"/>
  <c r="N100" i="30" l="1"/>
  <c r="N101" i="30" s="1"/>
  <c r="M101" i="30"/>
  <c r="M11" i="30"/>
  <c r="I11" i="30"/>
  <c r="E11" i="30"/>
  <c r="B11" i="30"/>
  <c r="J11" i="30"/>
  <c r="F11" i="30"/>
  <c r="K11" i="30"/>
  <c r="G11" i="30"/>
  <c r="C11" i="30"/>
  <c r="L11" i="30"/>
  <c r="H11" i="30"/>
  <c r="D11" i="30"/>
  <c r="B152" i="30" l="1"/>
  <c r="B153" i="30" s="1"/>
  <c r="B150" i="30"/>
  <c r="B151" i="30" s="1"/>
  <c r="B148" i="30"/>
  <c r="B149" i="30" s="1"/>
  <c r="D150" i="30"/>
  <c r="D151" i="30" s="1"/>
  <c r="D148" i="30"/>
  <c r="D149" i="30" s="1"/>
  <c r="D152" i="30"/>
  <c r="D153" i="30" s="1"/>
  <c r="E150" i="30"/>
  <c r="E151" i="30" s="1"/>
  <c r="E152" i="30"/>
  <c r="E153" i="30" s="1"/>
  <c r="E148" i="30"/>
  <c r="E149" i="30" s="1"/>
  <c r="C150" i="30"/>
  <c r="C148" i="30"/>
  <c r="C152" i="30"/>
  <c r="N152" i="30" l="1"/>
  <c r="N153" i="30" s="1"/>
  <c r="C153" i="30"/>
  <c r="N148" i="30"/>
  <c r="N149" i="30" s="1"/>
  <c r="C149" i="30"/>
  <c r="N150" i="30"/>
  <c r="N151" i="30" s="1"/>
  <c r="C151" i="30"/>
  <c r="N195" i="5"/>
</calcChain>
</file>

<file path=xl/sharedStrings.xml><?xml version="1.0" encoding="utf-8"?>
<sst xmlns="http://schemas.openxmlformats.org/spreadsheetml/2006/main" count="24401" uniqueCount="2061">
  <si>
    <t>NOMBRE 1</t>
  </si>
  <si>
    <t>NOMBRE 2</t>
  </si>
  <si>
    <t>TIPO DE DOCUMENTO</t>
  </si>
  <si>
    <t>No DE IDENTIFICACION</t>
  </si>
  <si>
    <t>FECHA DE NACIMIENTO</t>
  </si>
  <si>
    <t>EDAD ACTUAL</t>
  </si>
  <si>
    <t>ASEGURADORA</t>
  </si>
  <si>
    <t>ZONA DE RESIDENCIA</t>
  </si>
  <si>
    <t>TELEFONO FIJO O CELULAR</t>
  </si>
  <si>
    <t>ESTUDIOS</t>
  </si>
  <si>
    <t>APOYO FAMILIAR</t>
  </si>
  <si>
    <t>SEMANAS DE GESTACION AL INGRESO</t>
  </si>
  <si>
    <t>TRIMESTRE DE  INGRESO AL CPN</t>
  </si>
  <si>
    <t>SEMANAS DE GESTACION ACTUALIZADAS</t>
  </si>
  <si>
    <t>SEMANAS DE GESTACION A LA CONSULTA ODONTOLOGICA</t>
  </si>
  <si>
    <t>LUGAR DE ATENCION DEL PARTO</t>
  </si>
  <si>
    <t>PROFESIONAL O PERSONA QUE ATIENDE EL PARTO</t>
  </si>
  <si>
    <t>IMC</t>
  </si>
  <si>
    <t>AÑO</t>
  </si>
  <si>
    <t>ESTADO CIVIL</t>
  </si>
  <si>
    <t>OCUPACION</t>
  </si>
  <si>
    <t>APELLIDO 2</t>
  </si>
  <si>
    <t>CITA PROXIMO CONTROL</t>
  </si>
  <si>
    <t>SALE DEL PROGRAMA POR</t>
  </si>
  <si>
    <t>RESULTADO ULTIMA CITOLOGIA (SEGÚN NORMA Y VIGENTE)</t>
  </si>
  <si>
    <t>TIPO DE ETNIA</t>
  </si>
  <si>
    <t>HA SIDO VICTIMA DE VIOLENCIA FISICA O PSICOLOGICA</t>
  </si>
  <si>
    <t xml:space="preserve">FECHA DE SALIDA </t>
  </si>
  <si>
    <t>REGIMEN</t>
  </si>
  <si>
    <t>GRUPO DE POBLACION ESPECIAL</t>
  </si>
  <si>
    <t>GRUPO INDIGENA ESPECIFICO</t>
  </si>
  <si>
    <t>PUNTO O CENTRO DE ATENCION</t>
  </si>
  <si>
    <t>ADHERENCIA AL CPN</t>
  </si>
  <si>
    <t>FECHA CONSULTA DE 1RA VEZ POR ODONTOLOGIA</t>
  </si>
  <si>
    <t>PERIODO INTERGENESICO (MESES)</t>
  </si>
  <si>
    <t>NUMERO NACIDOS VIVOS</t>
  </si>
  <si>
    <t>FUM FORMULA CONFIABLE</t>
  </si>
  <si>
    <t>APLICACIÓN DE VIT K</t>
  </si>
  <si>
    <t>GRUPO SANGUINEO RN</t>
  </si>
  <si>
    <t>TOTAL CONTROLES</t>
  </si>
  <si>
    <t>PESO AL NACER POR EDAD GESTACIONAL</t>
  </si>
  <si>
    <t>TALLA EN Mts       (Coma para decimal)</t>
  </si>
  <si>
    <t>EFECTIVIDAD DEMANDA</t>
  </si>
  <si>
    <t>FECHA INDUCCION A LA DEMANDA CPN</t>
  </si>
  <si>
    <t>GESTANTES ACTUALES</t>
  </si>
  <si>
    <t>RESGUARDO O CORREGIMIENTO</t>
  </si>
  <si>
    <t xml:space="preserve">NOVEDAD AL MOMENTO CAPTACION </t>
  </si>
  <si>
    <t xml:space="preserve">CONTROLES PROGRAMADOS </t>
  </si>
  <si>
    <t>VEREDA/BARRIO</t>
  </si>
  <si>
    <t>RIESGO PSICOSOCIAL</t>
  </si>
  <si>
    <t>FECHA ECO 1</t>
  </si>
  <si>
    <t>SEMANAS GESTACION ECO 1</t>
  </si>
  <si>
    <t>FUM X ECO 1</t>
  </si>
  <si>
    <t>FECHA ECO 2</t>
  </si>
  <si>
    <t>SEMANAS GESTACION ECO 2</t>
  </si>
  <si>
    <t>FECHA C2</t>
  </si>
  <si>
    <t>FECHA C3</t>
  </si>
  <si>
    <t>FECHA C4</t>
  </si>
  <si>
    <t>FECHA C5</t>
  </si>
  <si>
    <t>FECHA C6</t>
  </si>
  <si>
    <t>FECHA C7</t>
  </si>
  <si>
    <t>FECHA C8</t>
  </si>
  <si>
    <t>FECHA C9</t>
  </si>
  <si>
    <t>FECHA C10</t>
  </si>
  <si>
    <t>FECHA C11</t>
  </si>
  <si>
    <t>% CUMPLIM INDIVIDUAL</t>
  </si>
  <si>
    <t>FECHA  REMISION PSICOLOGIA</t>
  </si>
  <si>
    <t>FECHA ASISTENCIA A CONSULTA PSICOLOGIA</t>
  </si>
  <si>
    <t>FECHA  REMISION NUTRICION</t>
  </si>
  <si>
    <t>FECHA ASISTENCIA A CONSULTA NUTRICION</t>
  </si>
  <si>
    <t>FECHA  REMISION GINECOLOGO</t>
  </si>
  <si>
    <t>FECHA RESULTADO HB</t>
  </si>
  <si>
    <t>EDAD GESTACIONAL HB</t>
  </si>
  <si>
    <t xml:space="preserve">RESULTADO UROCULTIVO </t>
  </si>
  <si>
    <t>FECHA RESULTADO UROCULTIVO</t>
  </si>
  <si>
    <t>EDAD GESTACIONAL UROCULTIVO</t>
  </si>
  <si>
    <t>RESULTADO HEP B ANTIGENO SUPERFICIE</t>
  </si>
  <si>
    <t>FECHA RESULTADO H ASB</t>
  </si>
  <si>
    <t>RESULTADO Toxoplasma IgG</t>
  </si>
  <si>
    <t>FECHA RESULTADO TOXO</t>
  </si>
  <si>
    <t>RESULTADO CONFIRM. TOXO. IgM</t>
  </si>
  <si>
    <t>EDAD GESTACIONAL SALIDA PROGRAMA</t>
  </si>
  <si>
    <t>SEXO RN</t>
  </si>
  <si>
    <t>RESULTADO TSH</t>
  </si>
  <si>
    <t xml:space="preserve"> FECHA RESULTADO TSH</t>
  </si>
  <si>
    <t>SEXO RN 2</t>
  </si>
  <si>
    <t>PESO AL NACER POR EDAD GESTACIONAL RN 2</t>
  </si>
  <si>
    <t>TOMA  TSH 2</t>
  </si>
  <si>
    <t>RESULTADO TSH 2</t>
  </si>
  <si>
    <t xml:space="preserve"> FECHA RESULTADO TSH 2</t>
  </si>
  <si>
    <t>APLICACIÓN DE VIT K 2</t>
  </si>
  <si>
    <t>GRUPO SANGUINEO RN 2</t>
  </si>
  <si>
    <t xml:space="preserve">CONTROL RN FECHA ASISTIO </t>
  </si>
  <si>
    <t>CONTROL DE PUERPERIO FECHA</t>
  </si>
  <si>
    <t>APELLIDO</t>
  </si>
  <si>
    <t>RESULTADO HEMOGLOBINA SEMANA 28</t>
  </si>
  <si>
    <t>FECHA APLICACIÓN VACUNA BCG</t>
  </si>
  <si>
    <t>FECHA APLICACIÓN VACUNA BCG 2</t>
  </si>
  <si>
    <t>PTOG. carga 75 gr - RESULTADO</t>
  </si>
  <si>
    <t>EDAD GESTACIONAL HB - SEM 28</t>
  </si>
  <si>
    <t>FECHA RESULTADO HB SEM 28</t>
  </si>
  <si>
    <t>PTOG. carga 75 gr PRE - VALOR</t>
  </si>
  <si>
    <t>PTOG. carga 75 gr 1 HORA - VALOR</t>
  </si>
  <si>
    <t>PTOG. carga 75 gr 2 HORA - VALOR</t>
  </si>
  <si>
    <t>FECHA TOMA EXAMEN PTOG</t>
  </si>
  <si>
    <t>FECHA RESULTADO PR-  II TRIM</t>
  </si>
  <si>
    <t>FECHA RESULTADO PR-  III TRIM</t>
  </si>
  <si>
    <t>FECHA RESULTADO PR INTRAPARTO</t>
  </si>
  <si>
    <t>FECHA VACUNA ANTI INFLUENZA</t>
  </si>
  <si>
    <t>FECHA VACUNA DPT ACELULAR</t>
  </si>
  <si>
    <t>ALARMA TOXOPLASMOSIS</t>
  </si>
  <si>
    <t>NUMERO VECES TOMA TOXOPLASMA IgM - Control</t>
  </si>
  <si>
    <t>ANTECEDENTE GRAVIDA</t>
  </si>
  <si>
    <t>No CONSULTAS GINECOLOGO</t>
  </si>
  <si>
    <t>FECHA ULTIMA ASISTENCIA A CONSULTA GINECO</t>
  </si>
  <si>
    <t>CONDUCTA HEMOGLOBINA</t>
  </si>
  <si>
    <t>FECHA APLICACIÓN VACUNA HEPATITIS B</t>
  </si>
  <si>
    <t>FECHA APLICACIÓN VACUNA HEPATITIS B 2</t>
  </si>
  <si>
    <t>FECHA INSCRIPCION A PLANIFICACION FAMILIAR</t>
  </si>
  <si>
    <t>T.A. SISTOLICA - ANTES DE SEMANA 12</t>
  </si>
  <si>
    <t>T.A. DIASTOLICA - ANTES DE SEMANA 12</t>
  </si>
  <si>
    <t>ALARMA CASOS SIFILIS GESTACIONAL</t>
  </si>
  <si>
    <t>EDAD GESTACIONAL P.T.O.G</t>
  </si>
  <si>
    <t>TA. SISTOLICA SEM 30 A 34</t>
  </si>
  <si>
    <t>METODO DE ANTICONCEPCION INICIADO</t>
  </si>
  <si>
    <t>COMPLICACIONES POSTPARTO</t>
  </si>
  <si>
    <t>TA. DIASTOLICA SEM 30 A 34</t>
  </si>
  <si>
    <t>MUNICIPIO DE RESIDENCIA</t>
  </si>
  <si>
    <t>ANTE. 3 ABORTOS SEGUIDOS O INFERTILIDAD</t>
  </si>
  <si>
    <t>ALARMA 1 T.A.  ANTES 12 SEMANAS</t>
  </si>
  <si>
    <t>ANSIEDAD (Tensión emocional, Humor depresivo y sx angustia).</t>
  </si>
  <si>
    <t>EMBARAZO ACEPTADO Y/O  DESEADO</t>
  </si>
  <si>
    <t>FECHA GLICEMIA</t>
  </si>
  <si>
    <t>TIENE ENFERMEDADES AUTOINMUNES</t>
  </si>
  <si>
    <t>TIENE DIABETES MELLITUS</t>
  </si>
  <si>
    <t>TIENE ENFERMEDAD CARDIACA</t>
  </si>
  <si>
    <t>TIENE HTA CRONICA</t>
  </si>
  <si>
    <t>TIENE POLIHIDRAMNIOS</t>
  </si>
  <si>
    <t>EN EMB ACTUAL HEMORRAGIA VAGINAL &lt; 20 SEM</t>
  </si>
  <si>
    <t xml:space="preserve"> EN EMB ACTUAL HEMORRAGIA VAGINAL &gt; 20 SEM</t>
  </si>
  <si>
    <t>CONDUCTA HEMOGLOBINA10</t>
  </si>
  <si>
    <t>EDAD GESTACIONAL18</t>
  </si>
  <si>
    <t>EDAD GESTACIONAL21</t>
  </si>
  <si>
    <t>T.A. SISTOLICA (Entre semana 20 y 26)</t>
  </si>
  <si>
    <t>T.A. DIATOLICA (Entre semana 20 y 26)</t>
  </si>
  <si>
    <t>EN EMB ACTUAL ENFERMEDADES INFECCIOSAS AGUDAS(BACTERIANAS)2</t>
  </si>
  <si>
    <t>TIENE ENF RENAL CRONICA</t>
  </si>
  <si>
    <t>TRIMESTRE DE GESTACION A LA TOMA EXAMEN</t>
  </si>
  <si>
    <t>TRIMESTRE DE GESTACION A LA TOMA EXAMEN52</t>
  </si>
  <si>
    <t>EDAD GESTACIONAL GLICEMIA</t>
  </si>
  <si>
    <t xml:space="preserve">FECHA CONSULTA PRIMERA VEZ PROGRAMA CPN </t>
  </si>
  <si>
    <t xml:space="preserve">ALARMA 2 T.A.  ENTRE SEMANA 20 Y 26 </t>
  </si>
  <si>
    <t>NOMBRE DE LA INSTITUCION DONDE SE ATENDIO EL PARTO O LUGAR ESPECIFICO DEL PARTO SI APLICA</t>
  </si>
  <si>
    <t>ALARMA 1 CONTROL RN</t>
  </si>
  <si>
    <t>ALARMA CONTROL PUERPERIO</t>
  </si>
  <si>
    <t>PESO RN 2 EN GRAMOS2</t>
  </si>
  <si>
    <t>PESO RN  EN GRAMOS</t>
  </si>
  <si>
    <t>Se registra el primer apellido de la gestante como aparece en el documento de identidad</t>
  </si>
  <si>
    <t>Se registra el segundo apellido de la gestante como aparece en el documento de identidad</t>
  </si>
  <si>
    <t>Se registra el primer nombre de la gestante como aparece en el documento de identidad</t>
  </si>
  <si>
    <t>Se registra el segundo nombre de la gestante como aparece en el documento de identidad</t>
  </si>
  <si>
    <r>
      <t xml:space="preserve">Lista desplegable: </t>
    </r>
    <r>
      <rPr>
        <sz val="11"/>
        <color theme="1"/>
        <rFont val="Calibri"/>
        <family val="2"/>
        <scheme val="minor"/>
      </rPr>
      <t xml:space="preserve">Elegir de las opciones según corresponda al documento que presente la gestante para el ingreso: Cédula de ciudadanía, Tarjeta de identidad, Registro Civil, Cedula de extranjería, Menor sin identificación, adulto sin identificación, otro, sin Dato </t>
    </r>
  </si>
  <si>
    <t>Registrar el número del documento que presenta la gestante</t>
  </si>
  <si>
    <r>
      <t xml:space="preserve">Lista desplegable: </t>
    </r>
    <r>
      <rPr>
        <sz val="11"/>
        <color theme="1"/>
        <rFont val="Calibri"/>
        <family val="2"/>
        <scheme val="minor"/>
      </rPr>
      <t xml:space="preserve">Elegir de la lista desplegable según corresponda por los datos  suministrados por la gestante: </t>
    </r>
    <r>
      <rPr>
        <b/>
        <sz val="11"/>
        <color theme="1"/>
        <rFont val="Calibri"/>
        <family val="2"/>
        <scheme val="minor"/>
      </rPr>
      <t>Soltera, Casada, Viuda, Unión Libre y Sin Dato</t>
    </r>
  </si>
  <si>
    <r>
      <t xml:space="preserve">Formula,  </t>
    </r>
    <r>
      <rPr>
        <sz val="11"/>
        <color theme="1"/>
        <rFont val="Calibri"/>
        <family val="2"/>
        <scheme val="minor"/>
      </rPr>
      <t>automáticamente sale el dato de la edad actual luego de registrar correctamente la fecha de nacimiento</t>
    </r>
    <r>
      <rPr>
        <b/>
        <sz val="11"/>
        <color theme="1"/>
        <rFont val="Calibri"/>
        <family val="2"/>
        <scheme val="minor"/>
      </rPr>
      <t xml:space="preserve"> </t>
    </r>
  </si>
  <si>
    <t>FECHA INDUCCION A LA DEMANDA CPN: registrar fecha de inducción a la demanda de la gestante, Importante sea en el siguiente orden: DIA/MES/AÑO usando el  /  para  sepáralas ejemplo: 01/09/2014</t>
  </si>
  <si>
    <r>
      <t xml:space="preserve">Registrar fecha de nacimiento de la gestante, </t>
    </r>
    <r>
      <rPr>
        <b/>
        <sz val="11"/>
        <color theme="1"/>
        <rFont val="Calibri"/>
        <family val="2"/>
        <scheme val="minor"/>
      </rPr>
      <t xml:space="preserve">Importante </t>
    </r>
    <r>
      <rPr>
        <sz val="11"/>
        <color theme="1"/>
        <rFont val="Calibri"/>
        <family val="2"/>
        <scheme val="minor"/>
      </rPr>
      <t xml:space="preserve">sea en el siguiente orden: </t>
    </r>
    <r>
      <rPr>
        <b/>
        <sz val="11"/>
        <color theme="1"/>
        <rFont val="Calibri"/>
        <family val="2"/>
        <scheme val="minor"/>
      </rPr>
      <t xml:space="preserve">DIA/MES/AÑO </t>
    </r>
    <r>
      <rPr>
        <sz val="11"/>
        <color theme="1"/>
        <rFont val="Calibri"/>
        <family val="2"/>
        <scheme val="minor"/>
      </rPr>
      <t>usando el</t>
    </r>
    <r>
      <rPr>
        <b/>
        <sz val="11"/>
        <color theme="1"/>
        <rFont val="Calibri"/>
        <family val="2"/>
        <scheme val="minor"/>
      </rPr>
      <t xml:space="preserve"> </t>
    </r>
    <r>
      <rPr>
        <sz val="11"/>
        <color theme="1"/>
        <rFont val="Calibri"/>
        <family val="2"/>
        <scheme val="minor"/>
      </rPr>
      <t xml:space="preserve"> /  para  sepáralas ejemplo:</t>
    </r>
    <r>
      <rPr>
        <b/>
        <sz val="11"/>
        <color theme="1"/>
        <rFont val="Calibri"/>
        <family val="2"/>
        <scheme val="minor"/>
      </rPr>
      <t xml:space="preserve"> 01/04/1979</t>
    </r>
  </si>
  <si>
    <r>
      <rPr>
        <sz val="11"/>
        <color rgb="FFFF0000"/>
        <rFont val="Calibri"/>
        <family val="2"/>
        <scheme val="minor"/>
      </rPr>
      <t>Lista desplegable</t>
    </r>
    <r>
      <rPr>
        <sz val="11"/>
        <color theme="1"/>
        <rFont val="Calibri"/>
        <family val="2"/>
        <scheme val="minor"/>
      </rPr>
      <t xml:space="preserve"> Elegir de las opciones según corresponda: Subsidiado, Contributivo, Régimen Especial, Particular, No Afiliado, Sin dato</t>
    </r>
  </si>
  <si>
    <r>
      <rPr>
        <sz val="11"/>
        <color rgb="FFFF0000"/>
        <rFont val="Calibri"/>
        <family val="2"/>
        <scheme val="minor"/>
      </rPr>
      <t xml:space="preserve"> Lista desplegable </t>
    </r>
    <r>
      <rPr>
        <sz val="11"/>
        <color theme="1"/>
        <rFont val="Calibri"/>
        <family val="2"/>
        <scheme val="minor"/>
      </rPr>
      <t xml:space="preserve">Elegir de las opciones según corresponda la Aseguradora a la que pertence la gestante </t>
    </r>
  </si>
  <si>
    <r>
      <rPr>
        <sz val="11"/>
        <color rgb="FFFF0000"/>
        <rFont val="Calibri"/>
        <family val="2"/>
        <scheme val="minor"/>
      </rPr>
      <t xml:space="preserve"> Lista desplegable </t>
    </r>
    <r>
      <rPr>
        <sz val="11"/>
        <color theme="1"/>
        <rFont val="Calibri"/>
        <family val="2"/>
        <scheme val="minor"/>
      </rPr>
      <t xml:space="preserve">Elegir de las opciones según corresponda al municipio en que resida la gestante </t>
    </r>
  </si>
  <si>
    <r>
      <rPr>
        <sz val="11"/>
        <color rgb="FFFF0000"/>
        <rFont val="Calibri"/>
        <family val="2"/>
        <scheme val="minor"/>
      </rPr>
      <t>Lista desplegable</t>
    </r>
    <r>
      <rPr>
        <sz val="11"/>
        <color theme="1"/>
        <rFont val="Calibri"/>
        <family val="2"/>
        <scheme val="minor"/>
      </rPr>
      <t xml:space="preserve"> Elegir de las opciones según corresponda: opciones: URBANO, RUAL,  SIN DATO </t>
    </r>
  </si>
  <si>
    <r>
      <t xml:space="preserve">Registrar el nombre de la vereda o Barrio de residencia de la gestante. Se debe </t>
    </r>
    <r>
      <rPr>
        <sz val="11"/>
        <color rgb="FFFF0000"/>
        <rFont val="Calibri"/>
        <family val="2"/>
        <scheme val="minor"/>
      </rPr>
      <t>elaborar lista desplegable</t>
    </r>
    <r>
      <rPr>
        <sz val="11"/>
        <color theme="1"/>
        <rFont val="Calibri"/>
        <family val="2"/>
        <scheme val="minor"/>
      </rPr>
      <t xml:space="preserve"> en cada municipio</t>
    </r>
  </si>
  <si>
    <t>Registrar dirección especifica de residencia de la gestante o datos de como ubicarla</t>
  </si>
  <si>
    <t>Registrar el nombre del  resguardo o corregimiento de residencia de la gestante</t>
  </si>
  <si>
    <t>Registrar el número de teléfono de contacto, ubicación de la gestante o pariente más cercano</t>
  </si>
  <si>
    <t>DIRECCION -(ESPECIFICAR UBICACIÓN EN VEREDA)</t>
  </si>
  <si>
    <t>DIRECCION - (ESPECIFICAR UBICACIÓN EN VEREDA)</t>
  </si>
  <si>
    <r>
      <rPr>
        <sz val="11"/>
        <color rgb="FFFF0000"/>
        <rFont val="Calibri"/>
        <family val="2"/>
        <scheme val="minor"/>
      </rPr>
      <t>Lista desplegable</t>
    </r>
    <r>
      <rPr>
        <sz val="11"/>
        <color theme="1"/>
        <rFont val="Calibri"/>
        <family val="2"/>
        <scheme val="minor"/>
      </rPr>
      <t xml:space="preserve"> Elegir de las opciones según corresponda: INDEGENA – ROM GITANO – RAIZAL – PALENQUERO – AFRODESCENDIENTE – MESTIZA - OTRO</t>
    </r>
  </si>
  <si>
    <r>
      <rPr>
        <sz val="11"/>
        <color rgb="FFFF0000"/>
        <rFont val="Calibri"/>
        <family val="2"/>
        <scheme val="minor"/>
      </rPr>
      <t>Lista desplegable</t>
    </r>
    <r>
      <rPr>
        <sz val="11"/>
        <color theme="1"/>
        <rFont val="Calibri"/>
        <family val="2"/>
        <scheme val="minor"/>
      </rPr>
      <t xml:space="preserve"> Elegir de las opciones según corresponda: Nasa/Paez. Misak/ Guambianos, Yanaconas, Coconucos, Totoroez, Epedara/ Siapidara, Inga, Polindaras, Embera, Quilacingas, Jambaleños, Guanacas, Pubenences, Otros.</t>
    </r>
  </si>
  <si>
    <r>
      <rPr>
        <sz val="11"/>
        <color rgb="FFFF0000"/>
        <rFont val="Calibri"/>
        <family val="2"/>
        <scheme val="minor"/>
      </rPr>
      <t>Lista desplegable</t>
    </r>
    <r>
      <rPr>
        <sz val="11"/>
        <color theme="1"/>
        <rFont val="Calibri"/>
        <family val="2"/>
        <scheme val="minor"/>
      </rPr>
      <t xml:space="preserve"> Elegir de las opciones según corresponda: Analfabeta, Primaria incompleta  primaria completa, Secundaria incompleta, Secundaria completa,  Técnico, Universitario, Sabe leer y Escribir, esta última opción es para personas que no han recibido estudio formal pero saben leer y escribir.</t>
    </r>
  </si>
  <si>
    <r>
      <rPr>
        <sz val="11"/>
        <color rgb="FFFF0000"/>
        <rFont val="Calibri"/>
        <family val="2"/>
        <scheme val="minor"/>
      </rPr>
      <t xml:space="preserve">Lista desplegable </t>
    </r>
    <r>
      <rPr>
        <sz val="11"/>
        <color theme="1"/>
        <rFont val="Calibri"/>
        <family val="2"/>
        <scheme val="minor"/>
      </rPr>
      <t>Opciones: SI, si la gestante  Acepta o desea este embarazo;   NO  si la gestante no desea o no acepta este embarazo o  SIN DATO  si no se tiene información, Cabe aclarar que si la paciente no desea este embarazo debe hacer interconsulta con psicología y si no se tiene 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</si>
  <si>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que recibe apoyo de su familia;  NO  cuando la paciente manifiesta no recibir apoyo familiar o  SIN DATO  cuando no se dispone del dato, Igual que el anterior si la respuesta es NO tiene apoyo familiar se deberá intervenir con psicología y en lo posible con trabajadora social. De no disponer del dato   se debe preguntar por el en la siguiente consulta</t>
    </r>
  </si>
  <si>
    <r>
      <rPr>
        <sz val="11"/>
        <color rgb="FFFF0000"/>
        <rFont val="Calibri"/>
        <family val="2"/>
        <scheme val="minor"/>
      </rPr>
      <t>Lista desplegable</t>
    </r>
    <r>
      <rPr>
        <sz val="11"/>
        <color theme="1"/>
        <rFont val="Calibri"/>
        <family val="2"/>
        <scheme val="minor"/>
      </rPr>
      <t xml:space="preserve"> Opciones  SI  cuando la mujer sea la responsable  del sostenimiento económico y social de la familia; NO  cuando la mujer no sea la responsable principal del sostenimiento económico de la familia y  SIN DATO cuando no se disponga del dato preguntarlo en la siguiente consulta</t>
    </r>
  </si>
  <si>
    <r>
      <rPr>
        <sz val="11"/>
        <color rgb="FFFF0000"/>
        <rFont val="Calibri"/>
        <family val="2"/>
        <scheme val="minor"/>
      </rPr>
      <t>Lista desplegable</t>
    </r>
    <r>
      <rPr>
        <sz val="11"/>
        <color theme="1"/>
        <rFont val="Calibri"/>
        <family val="2"/>
        <scheme val="minor"/>
      </rPr>
      <t xml:space="preserve"> Opciones: SI cuando la gestante manifieste tension emocional, depresion o angustia ;  NO  cuando la paciente  no manifiesta ninguno de los items anterioes  o  SIN DATO  cuando no se dispone del dato. De no disponer del dato  se debe interrogar por el en la siguiente consulta de acuerdo a los lineamientos establecidos en la GAI de CPN del MPS</t>
    </r>
  </si>
  <si>
    <r>
      <rPr>
        <sz val="11"/>
        <color rgb="FFFF0000"/>
        <rFont val="Calibri"/>
        <family val="2"/>
        <scheme val="minor"/>
      </rPr>
      <t>Lista desplegable</t>
    </r>
    <r>
      <rPr>
        <sz val="11"/>
        <color theme="1"/>
        <rFont val="Calibri"/>
        <family val="2"/>
        <scheme val="minor"/>
      </rPr>
      <t xml:space="preserve"> opciones SI cuando la gestante manifiesta que ha sido victima de violencia física o psicológica;  NO cuando no ha sido víctima de Violencia física o psicológica o SIN DATO, consultar en la guía del ministerio como preguntar adecuadamente a la gestante acerca de este evento</t>
    </r>
  </si>
  <si>
    <r>
      <rPr>
        <sz val="11"/>
        <color rgb="FFFF0000"/>
        <rFont val="Calibri"/>
        <family val="2"/>
        <scheme val="minor"/>
      </rPr>
      <t>Formula,</t>
    </r>
    <r>
      <rPr>
        <sz val="11"/>
        <color theme="1"/>
        <rFont val="Calibri"/>
        <family val="2"/>
        <scheme val="minor"/>
      </rPr>
      <t xml:space="preserve">  evalúa la efectividad entre la fecha de inducción de la demanda y la fecha en que la gestante es inscrita y las opciones que saldrán automáticamente según corresponda son: SI, cuando la gestante fue inducida y acude al CPN;  NO  cuando la gestante se induce pero no acude al CPN es decir toda gestante a la que se le realice inducción debe estar registrada en la base de datos, DEMANDA ESPONTANEA, cuando la paciente acude espontáneamente y no existió demanda por parte de la IPS </t>
    </r>
  </si>
  <si>
    <r>
      <rPr>
        <sz val="11"/>
        <color rgb="FFFF0000"/>
        <rFont val="Calibri"/>
        <family val="2"/>
        <scheme val="minor"/>
      </rPr>
      <t>Formula automatica</t>
    </r>
    <r>
      <rPr>
        <sz val="11"/>
        <color theme="1"/>
        <rFont val="Calibri"/>
        <family val="2"/>
        <scheme val="minor"/>
      </rPr>
      <t xml:space="preserve">: Evalua Riesgo Psicosocial de acuerdo a los datos registrados en las columnas anteriores, con las Opciones : SIN RIESGO: cuando la gestante por valoracion no presenta riesgo psicosocial, CON RIESGO :cuando la paciente Tiene Riesgo psicosocial y debe ser valorada por psicologia y SIN DATO: Cuando no se han diligenciado completamente las casillas anteriores  </t>
    </r>
  </si>
  <si>
    <t>En estas columnas, se registra  segun corresponda y hacen relación a  los antecedentes o diagnósticos  patológicos y obstétricos de la gestante y las opciones de acuerdo a lo registrado en la historia clínica de la gestante con las opciones  SI o NO  de acuerdo a los eventos de cada columna ante respuesta SI  se consideran gestantes de Alto Riesgo Obstétrico y deben tener remisión a Ginecologia. La opcion Sin DATO  se registrara cuando no se dispone del dato                                                                                                                                                                                                                        Para la Casilla ANTECEDENTE FAMILIAR DE PREECLAMPSIA: Registrar SI o No Según Corresponda. SI aplica para gestantes con Madre o hermana con antecedente de preeclampsia</t>
  </si>
  <si>
    <t xml:space="preserve">Elegir el numero de según corresponda al número de partos que la gestante haya tenido. Esta columna esta semaorizada y aparecera en rojo luego del cuarto parto, es decir multiparas </t>
  </si>
  <si>
    <t xml:space="preserve">Elegir según corresponda al número de Abortos que la gestante haya tenido como antecedente. Esta columna esta semaorizada y aparecera en rojo luego del tercer aborto </t>
  </si>
  <si>
    <t xml:space="preserve">Elegir según corresponda al número de cesareas que la gestante haya tenido como antecedente. Esta columna esta semaorizada y aparecera en rojo luego de la tercera cesarea </t>
  </si>
  <si>
    <t xml:space="preserve">TIENE EMB. MUTIPLE ACTUAL </t>
  </si>
  <si>
    <t>Registrar SI  o NO según corresponda. La opción SI estará semaforizada en rojo pues se considera antecedente de Riesgo Obstétrico  y la gestante debe ser valorada por ginecólogo</t>
  </si>
  <si>
    <r>
      <t xml:space="preserve">Registrar SI  o NO según corresponda. La opción SI estará semaforizada en rojo pues se considera antecedente de Riesgo Obstétrico  y la gestante debe ser valorada por ginecólogo </t>
    </r>
    <r>
      <rPr>
        <b/>
        <sz val="11"/>
        <color theme="1"/>
        <rFont val="Calibri"/>
        <family val="2"/>
        <scheme val="minor"/>
      </rPr>
      <t xml:space="preserve">y especialista </t>
    </r>
  </si>
  <si>
    <r>
      <t xml:space="preserve">Elegir el número de </t>
    </r>
    <r>
      <rPr>
        <b/>
        <sz val="11"/>
        <color theme="1"/>
        <rFont val="Calibri"/>
        <family val="2"/>
        <scheme val="minor"/>
      </rPr>
      <t>embarazos anteriores</t>
    </r>
    <r>
      <rPr>
        <sz val="11"/>
        <color theme="1"/>
        <rFont val="Calibri"/>
        <family val="2"/>
        <scheme val="minor"/>
      </rPr>
      <t xml:space="preserve"> a este.Es el Antecedente, no se incluye este embarazo actual;  Es decir que si este es el primer embarazo se elige la opción del número 0, si es el segundo embarazo, se elige la opción  del número 1.  Esta columna semaforiza en rojo luego del cuarto embarazo, es decir las de riesgo por  multígravidez</t>
    </r>
  </si>
  <si>
    <t>Registrar SI  o NO según corresponda al embarazo actual. La opción SI estará semaforizada en rojo pues se considera antecedente de Riesgo Obstétrico  y la gestante debe ser valorada por ginecólogo</t>
  </si>
  <si>
    <r>
      <t xml:space="preserve">Registrar SI  o NO según corresponda como patologia de base. La opción SI estará semaforizada en rojo pues se considera antecedente de Riesgo Obstétrico  y la gestante debe ser valorada por ginecólogo y </t>
    </r>
    <r>
      <rPr>
        <b/>
        <sz val="11"/>
        <color theme="1"/>
        <rFont val="Calibri"/>
        <family val="2"/>
        <scheme val="minor"/>
      </rPr>
      <t>nutricionista</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</si>
  <si>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cardiologo</t>
    </r>
  </si>
  <si>
    <r>
      <t>Registrar SI  o NO según corresponda como patologia de base. La opción SI estará semaforizada en rojo pues se considera antecedente de Riesgo Obstétrico  y la gestante debe ser valorada por ginecólogo</t>
    </r>
    <r>
      <rPr>
        <b/>
        <sz val="11"/>
        <color theme="1"/>
        <rFont val="Calibri"/>
        <family val="2"/>
        <scheme val="minor"/>
      </rPr>
      <t xml:space="preserve"> y nefrologo</t>
    </r>
  </si>
  <si>
    <t>Registrar fecha ultimo parto o aborto  D/ M / A</t>
  </si>
  <si>
    <r>
      <rPr>
        <sz val="11"/>
        <color rgb="FFFF0000"/>
        <rFont val="Calibri"/>
        <family val="2"/>
        <scheme val="minor"/>
      </rPr>
      <t xml:space="preserve">Formula automatica </t>
    </r>
    <r>
      <rPr>
        <sz val="11"/>
        <color theme="1"/>
        <rFont val="Calibri"/>
        <family val="2"/>
        <scheme val="minor"/>
      </rPr>
      <t>con el resultado del periodo intergenesico</t>
    </r>
  </si>
  <si>
    <t>Registrar fecha ultima mestruación  D/ M / A</t>
  </si>
  <si>
    <t xml:space="preserve">Formula automatica de las semanas de gestacion actualizadas  </t>
  </si>
  <si>
    <t>Registrar fecha PRIMERA ECOGRAFIA D/ M / A</t>
  </si>
  <si>
    <t xml:space="preserve">Registrar Semanas de gestaciónsegun  PRIMERA ECOGRAFIA </t>
  </si>
  <si>
    <t>Registrar fecha SEGUNDA ECOGRAFIA D/ M / A</t>
  </si>
  <si>
    <t xml:space="preserve">Registrar Semanas de gestación segun  SEGUNDA ECOGRAFIA </t>
  </si>
  <si>
    <t xml:space="preserve">registre Talla en Metros con coma para decimal </t>
  </si>
  <si>
    <t xml:space="preserve">Formula automatica según corresponda al IMC con las Opciones : Bajo Peso, Normal, Sobrepeso y Obesidad, Si aparece otro opcion revisar casillas DK y DL </t>
  </si>
  <si>
    <t>Formula automatica según corresponda a las TA Sistolica y Diastolica anotadas. Opciones: Pre HTA Seguimiento, Aparentemente Normal , Definir estadio HTA</t>
  </si>
  <si>
    <t>Formula automatica según corresponda a las TA Sistolica y Diastolica anotadas. Opciones: ALTO RIESGO PREECLAMPSIA,DEFINIR ESTADIO HTA"PRE HTA SEGUIMIENTO,RIESGO HIPERTENSION INDUCIDA POR EL EMBARAZO""PRE HTA SEGUIMIENTO, RIESGO HIPERTENSION INDUCIDA POR EL EMBARAZO";VIGILAR CIFRAS PRESION ARTERIAL";"PRE HTA SEGUIMIENTO""APARENTEMENTE NORMAL;"APARENTEMENTE NORMAL;"APARENTEMENTE NORMAL";</t>
  </si>
  <si>
    <t>Reguistre en numeros la TA Sistolica entre las 30 y 34 semanas de gestacion</t>
  </si>
  <si>
    <t>Reguistre en numeros la TA Diastolica entre las 30 y 34 semanas de gestacion</t>
  </si>
  <si>
    <t>Formula automatica del numero de controles prenatales realizados</t>
  </si>
  <si>
    <t xml:space="preserve">Formula automatica de la adherencia según controles prenatales realizados con las Opciones SI y NO </t>
  </si>
  <si>
    <t>Formula automatica según numero de controles proyectados a realizar según semanas de gestacion al ingreso</t>
  </si>
  <si>
    <t>Registrar fechas de remision y controles a Psicologia, Nutrición y Ginecologia</t>
  </si>
  <si>
    <t>Fecha en D M A del Resultado de la HB</t>
  </si>
  <si>
    <t>Formula automatica de la edad gestacional al momento del resultado de la HB</t>
  </si>
  <si>
    <t>Formula Automatica según reporte de HB:  MANEJO MD POR ANEMIA FERROPENICA, NORMAL- SUMINISTRAR SULFATO FERROSO, NO DAR SULFATO FERROSO</t>
  </si>
  <si>
    <t>Formula Automatica según trimestre de gestacion de la toma de HB</t>
  </si>
  <si>
    <t>Reporte el resultado de la hemoglobina de la semana 28</t>
  </si>
  <si>
    <t>Fecha en D M A del Resultado del GS</t>
  </si>
  <si>
    <t>Formula automatica: de la edad gestacional al momento de la toma del GS</t>
  </si>
  <si>
    <t>Registre resultado de la glicemia pre</t>
  </si>
  <si>
    <t>Registre resultado de la PTOG con 75 gr pre</t>
  </si>
  <si>
    <t>Registre resultado de la PTOG con 75 gr a la hora</t>
  </si>
  <si>
    <t>Registre resultado de la PTOG con 75 gr a la segunda hora</t>
  </si>
  <si>
    <t>Formula automatica: NO APLICA REPETIR EXAMEN &gt; SEMANA 24, ORDENAR PTOG, DIABETES, REMITIR, NORMAL</t>
  </si>
  <si>
    <t>Formula automatica: de la edad gestacional al momento de la toma de la PTOG</t>
  </si>
  <si>
    <t>Fecha en D M A del Resultado de la Prueba Rapida</t>
  </si>
  <si>
    <t>Fecha en D M A del Resultado de la Prueba Rapida intraparto</t>
  </si>
  <si>
    <t>Formula automatica: de la edad gestacional al momento de la toma del Urocultivo</t>
  </si>
  <si>
    <t>Lista desplegable del resultado del urocultivo según corresponda : Positivo, Negativo, Sin Dato</t>
  </si>
  <si>
    <t>Fecha en D M A del Resultado del Urocultivo</t>
  </si>
  <si>
    <t>Fecha en D M A del Resultado del la Prueba de  ELISA</t>
  </si>
  <si>
    <t>Formula automatica para indicar toma de laboratorios</t>
  </si>
  <si>
    <t>Formula automatica: de la edad gestacional al momento del HASB</t>
  </si>
  <si>
    <t>Formula automatica: de la edad gestacional al momento del  Toxo</t>
  </si>
  <si>
    <t xml:space="preserve">Formula automatica </t>
  </si>
  <si>
    <t xml:space="preserve">Fecha en D M A </t>
  </si>
  <si>
    <t>Fecha en D M A de la consulta con odontologo primera vez</t>
  </si>
  <si>
    <t>Lista desplegable , elegir la opcion por la cual sale la paciente del programa</t>
  </si>
  <si>
    <t>Formula automatica de  la edad gestacional al salir del programa</t>
  </si>
  <si>
    <t xml:space="preserve">Registre en numeros el peso en gramos </t>
  </si>
  <si>
    <t>Registre fecha en formato D/ M / A</t>
  </si>
  <si>
    <t xml:space="preserve">Registrar si existe un segundo nacido vivo </t>
  </si>
  <si>
    <t>Formula interna de alarma para control de RN</t>
  </si>
  <si>
    <t>Formula interna de alarma para control la puerpera</t>
  </si>
  <si>
    <t>RESULTADO TOXOPLASMOSIS ULTIMO IgM - SI APLICA SEGÚN GPC</t>
  </si>
  <si>
    <t>FECHA ULTIMA REMISION URG</t>
  </si>
  <si>
    <t>METODO DE ANTICONCEPCION INICIADO POSTPARTO</t>
  </si>
  <si>
    <t>TOTAL SEGUIMIENTOS POR MEDICINA TRADICIONAL</t>
  </si>
  <si>
    <t>TOTAL SEGUIMIENTOS POR PARTERA</t>
  </si>
  <si>
    <t>OPORTUNIDAD EN DIAS, INGRESO AL CONTROL PRENATAL DESDE EL MOMENDO DE LA IDENTIFICACIÓN</t>
  </si>
  <si>
    <t xml:space="preserve">TALLA EN Mts     </t>
  </si>
  <si>
    <t>FECHA ULTIMO CPN</t>
  </si>
  <si>
    <t>EDAD GESTACIONAL ÚLTIMO CPN</t>
  </si>
  <si>
    <t xml:space="preserve">SUMINISTRO DE ACIDO FOLICO </t>
  </si>
  <si>
    <t xml:space="preserve">SUMINISTRO CALCIO </t>
  </si>
  <si>
    <t>FECHA TOMA TSH</t>
  </si>
  <si>
    <t>FECHA TOMA TSH 2</t>
  </si>
  <si>
    <t>NECESIDAD O DESARMONIA DESDE LO PROPIO 1</t>
  </si>
  <si>
    <t>TIPO DE SABEDOR</t>
  </si>
  <si>
    <t xml:space="preserve">SUMINISTRO DE SULFATO FERROSO </t>
  </si>
  <si>
    <t>FECHA PRIMER ACOMPAÑAMIENTO SABEDOR ANCESTRAL</t>
  </si>
  <si>
    <t>TIPO DE SABEDOR3</t>
  </si>
  <si>
    <t>FECHA  ACOMPAÑAMIENTO SABEDOR ANCESTRAL2</t>
  </si>
  <si>
    <t>TIPO DE SABEDOR2</t>
  </si>
  <si>
    <t>FECHA ACOMPAÑAMIENTO SABEDOR ANCESTRAL3</t>
  </si>
  <si>
    <t>FECHA ACOMPAÑAMIENTO SABEDOR ANCESTRAL4</t>
  </si>
  <si>
    <t>TIPO DE SABEDOR4</t>
  </si>
  <si>
    <t>FECHA ACOMPAÑAMIENTO SABEDOR ANCESTRAL5</t>
  </si>
  <si>
    <t>TIPO DE SABEDOR5</t>
  </si>
  <si>
    <t>TIPO DE SABEDOR6</t>
  </si>
  <si>
    <t>ACTIVIDAD O RITUALIDAD REALIZADA 6</t>
  </si>
  <si>
    <t>TIPO DE SABEDOR7</t>
  </si>
  <si>
    <t>FECHA DE IDENTIFICACION DE LA GESTANTE</t>
  </si>
  <si>
    <t xml:space="preserve"> RESPONSABLE DE LA ZONA</t>
  </si>
  <si>
    <t>RANGO DE EDAD INICIO7</t>
  </si>
  <si>
    <t>PARTOS23</t>
  </si>
  <si>
    <t>CESAREAS34</t>
  </si>
  <si>
    <t>EMB ECTOP CX UTER5</t>
  </si>
  <si>
    <t>PUNT. RIESGO MODERADO COMPL HIPERTENSIVAS2</t>
  </si>
  <si>
    <t>ENFERMEDADES PROPIAS O CULTURALES</t>
  </si>
  <si>
    <t>CUENTA RIESGO PSICOSOCIAL</t>
  </si>
  <si>
    <t>DIAS GESTACION ECO 12</t>
  </si>
  <si>
    <t>ALARMA FACTORES DE RIESGO COMPLICACIONES HIPERTENSIVAS3</t>
  </si>
  <si>
    <t>SUMINISTRO DE ASA SEGÚN GPC</t>
  </si>
  <si>
    <t>FECHA C12</t>
  </si>
  <si>
    <t>ALERTA SEGUIMIENTO</t>
  </si>
  <si>
    <t>FECHA ACOMPAÑAMIENTO SABEDOR ANCESTRAL PUERPERIO Y RECIEN NACIDO</t>
  </si>
  <si>
    <t>NECESIDAD O DESARMONIA DESDE LO PROPIO 12</t>
  </si>
  <si>
    <t>ACTIVIDAD O RITUALIDAD REALIZADA1</t>
  </si>
  <si>
    <t>ACTIVIDAD O RITUALIDAD REALIZADA13</t>
  </si>
  <si>
    <t>NECESIDAD O DESARMONIA DESDE LO PROPIO 13</t>
  </si>
  <si>
    <t>ACTIVIDAD O RITUALIDAD REALIZADA14</t>
  </si>
  <si>
    <t>NECESIDAD O DESARMONIA DESDE LO PROPIO 14</t>
  </si>
  <si>
    <t>ACTIVIDAD O RITUALIDAD REALIZADA15</t>
  </si>
  <si>
    <t>NECESIDAD O DESARMONIA DESDE LO PROPIO 15</t>
  </si>
  <si>
    <t>ACTIVIDAD O RITUALIDAD REALIZADA16</t>
  </si>
  <si>
    <t>NECESIDAD O DESARMONIA DESDE LO PROPIO 16</t>
  </si>
  <si>
    <t>NECESIDAD O DESARMONIA DESDE LO PROPIO 17</t>
  </si>
  <si>
    <t>ACTIVIDAD O RITUALIDAD REALIZADA18</t>
  </si>
  <si>
    <t>TAMIZAJE  PARA VIH II TRIM</t>
  </si>
  <si>
    <t>FECHA RESULTADO ELISA O PR II TRIM</t>
  </si>
  <si>
    <t>SEGUNDA PRUEBA ELISA O PR PARA DEFINIR DIAGNOSTICO VIH SEGÚN PROTOCOLO INS</t>
  </si>
  <si>
    <t>FECHA RESULTADO SEGUNDA PRUEBA ELISA O PR PARA DEFINIR DIAGNOSTICO VIH SEGÚN PROTOCOLO INS</t>
  </si>
  <si>
    <t>RESULTADO CARGA VIRAL SEGÚN PROTOCOLO INS</t>
  </si>
  <si>
    <t>FECHA RESULTADO CARGA VIRAL SEGÚN PROTOCOLO INS</t>
  </si>
  <si>
    <t xml:space="preserve">GESTANTES CON RESULTADO DE EXAMENES DE INGRESO </t>
  </si>
  <si>
    <t>GESTANTES CON RESULTADOS DE EXAMENES II TRIMESTRE</t>
  </si>
  <si>
    <t>GESTANTES CON RESULTADOS DE EXAMENES III TRIMESTRE2</t>
  </si>
  <si>
    <t>FECHA INSCRIPCION A PLANIFICACION FAMILIAR2</t>
  </si>
  <si>
    <t>FECHA ASISTENCIA PRIMERA VEZ CON GINECOLOGÍA</t>
  </si>
  <si>
    <t>OPORTUNIDAD CONSULTA GINECOLOGÍA (DIAS)</t>
  </si>
  <si>
    <t>ACOMPAÑAMIENTO POR PERSONA DE CONFIANZA DURANTE TRABAJO DE PARTO Y PARTO</t>
  </si>
  <si>
    <t>MANEJO ACTIVO DEL TERCER PERIODO DEL PARTO (USO OXITOCINA,MASAJE UTERINO Y TRACCIÓN SOSTENIDA DE CORDÓN)2</t>
  </si>
  <si>
    <t>DILIGENCIAMIENTO DE PARTOGRAMA (NO APLICA EN EXPULSIVO)</t>
  </si>
  <si>
    <t>MONITORIA CADA 15 MINUTOS DE SIGNOS VITALES DURANTES LAS PRIMERAS DOS HORAS POSTPARTO (SOPORTE EN HC)</t>
  </si>
  <si>
    <t>FECHA ASESORIA EN LACTANCIA MATERNA DURANTE CPN</t>
  </si>
  <si>
    <t>FECHA ASESORIA EN ANTICONCEPCION DURANTE CPN</t>
  </si>
  <si>
    <t>PUEBLO INDIGENA ESPECIFICO</t>
  </si>
  <si>
    <t>FECHA TERMINACIÓN ÚLTIMO EMBARAZO</t>
  </si>
  <si>
    <t>HA SIDO VICTIMA DE VIOLENCIA BASADA EN GENERO</t>
  </si>
  <si>
    <t xml:space="preserve"> EN EMB ACTUAL HEMORRAGIA VAGINAL &gt; 20 SEM22</t>
  </si>
  <si>
    <t>ALARMA DPT ACELULAR</t>
  </si>
  <si>
    <t>EN EMB ACTUAL ENFERMEDADES INFECCIOSAS AGUDAS(BACTERIANAS)</t>
  </si>
  <si>
    <t>TAMIZAJE  PARA VIH III TRIM</t>
  </si>
  <si>
    <t>ALARMA POR SEGUIMIENTO CIFRAS PRESIÓN ARTERIAL ÚLTIMO REGISTRO.</t>
  </si>
  <si>
    <t>MOTIVOS PARA LA CLASIFICACION DEL RIESGO BIOPSICOSOCIAL</t>
  </si>
  <si>
    <t>FECHA ACOMPAÑAMIENTO SABEDOR ANCESTRAL PUERPERIO Y RECIEN NACIDO2</t>
  </si>
  <si>
    <t xml:space="preserve">GLICEMIA PRE </t>
  </si>
  <si>
    <t>DIAS PARA EL PARTO2</t>
  </si>
  <si>
    <t>ALERTA PARA PARTO3</t>
  </si>
  <si>
    <t>FPP2</t>
  </si>
  <si>
    <t>GESTANTES ACTUALES22</t>
  </si>
  <si>
    <t>ALERTA SEGUIMIENTO2</t>
  </si>
  <si>
    <t>FECHA ÚLTIMO SEGUIMIENTO</t>
  </si>
  <si>
    <t>NÚMERO DE SEGUIMIENTOS CPN</t>
  </si>
  <si>
    <t>RIESGO BIOPSICOSOCIAL</t>
  </si>
  <si>
    <t>PUNTAJE ANEMIA RBPS</t>
  </si>
  <si>
    <t>PUNTAJE EMBARAZO PROLONGADO RBPS2</t>
  </si>
  <si>
    <t>FECHA RESULTADO TAMIZAJE INTRAPARTO</t>
  </si>
  <si>
    <t xml:space="preserve">OTROS FACTORES DE RIESGO </t>
  </si>
  <si>
    <t>FECHA SEGUIMIENTO INICIAL POR PERSONAL DE SALUD EN TERRENO</t>
  </si>
  <si>
    <t>HALLAZGO5 GESTACIÓN</t>
  </si>
  <si>
    <t>NÚMERO DE SEGUIMIENTOS EN PUERPERIO</t>
  </si>
  <si>
    <t>HALLAZGOS ACOMPAÑAMIENTO PERSONAL DE SALUD PUERPERA</t>
  </si>
  <si>
    <t>FECHA ULTIMO SEGUIMIENTO POR PERSONAL DE SALUD EN TERRENO 112</t>
  </si>
  <si>
    <t>HALLAZGOS ACOMPAÑAMIENTO PERSONAL DE SALUD RECIEN NACIDO</t>
  </si>
  <si>
    <t>EDAD GESTACIONAL PRIMER ACOMPAÑAMIENTO SABEDOR ANCESTRAL</t>
  </si>
  <si>
    <t>CONTACTO PIEL A PIEL DURANTE 30 MINUTOS</t>
  </si>
  <si>
    <t>INICIO DE LACTANCIA MATERNA DURANTE EL CONTACTO PIEL A PIEL</t>
  </si>
  <si>
    <t>ASESORIA EN PLANIFICACIÓN FAMILIAR POST EVENTO OBSTETRICO EN AMBITO HOSPITALARIO</t>
  </si>
  <si>
    <t xml:space="preserve">PUERPERA SALE CON PLANIFICACIÓN FAMILIAR POST EVENTO OBSTETRICO </t>
  </si>
  <si>
    <t>LA CLASIFICACIÓN DEL RIESGO ES ADECUADA</t>
  </si>
  <si>
    <t>ENE</t>
  </si>
  <si>
    <t>FEB</t>
  </si>
  <si>
    <t>MAR</t>
  </si>
  <si>
    <t>ABR</t>
  </si>
  <si>
    <t>MAY</t>
  </si>
  <si>
    <t>JUN</t>
  </si>
  <si>
    <t>JUL</t>
  </si>
  <si>
    <t>AGO</t>
  </si>
  <si>
    <t>SEP</t>
  </si>
  <si>
    <t>OCT</t>
  </si>
  <si>
    <t>NOV</t>
  </si>
  <si>
    <t>DIC</t>
  </si>
  <si>
    <t>INDICADORES</t>
  </si>
  <si>
    <t>Total mujeres adolescentes menores de 19 años</t>
  </si>
  <si>
    <t>% GESTANTES ADOLESCENTES &lt; 19 AÑOS</t>
  </si>
  <si>
    <t>Mujeres menores de 14 años que ingresan al CPN</t>
  </si>
  <si>
    <t xml:space="preserve">% MUJERES gestantes &lt; 14 años </t>
  </si>
  <si>
    <t>TOTAL PARTOS</t>
  </si>
  <si>
    <t>% DE PARTOS VAGINALES</t>
  </si>
  <si>
    <t>% DE PARTOS POR CESAREA</t>
  </si>
  <si>
    <t>NÚMERO IVE</t>
  </si>
  <si>
    <t>% IVE</t>
  </si>
  <si>
    <t>ATENCION INSTITUCIONAL DEL PARTO</t>
  </si>
  <si>
    <t>% ATECIÓN INSTITUCIONAL DE PARTO</t>
  </si>
  <si>
    <t>PARTOS EN DOMICILIO</t>
  </si>
  <si>
    <t>% ATENCIÓN DE PARTO EN DOMICILIO</t>
  </si>
  <si>
    <t>ADHERENCIA CPN:MUJERES CON 4 O MAS CPN AL TERMINAR PARTO/CESAREA</t>
  </si>
  <si>
    <t xml:space="preserve">% ADHERENCIA AL CPN </t>
  </si>
  <si>
    <t>Número nacidos vivos</t>
  </si>
  <si>
    <t>Número de nacidos vivos a Término.</t>
  </si>
  <si>
    <t>Número de nacidos vivos a Término con bajo peso al nacer.</t>
  </si>
  <si>
    <t>% BAJO PESO AL NACER RN A TERMINO</t>
  </si>
  <si>
    <t>RAZÓN MUERTES PERINATALES X 1000 NV</t>
  </si>
  <si>
    <t>Numero casos de morbilidad materna extrema</t>
  </si>
  <si>
    <t>RAZÓN MORBILIDAD MATERNA EXTREMA X 1000 NV</t>
  </si>
  <si>
    <t>MUJERES ACTIVAS INASISTENTES</t>
  </si>
  <si>
    <t>FIJAR MENSUALMENTE</t>
  </si>
  <si>
    <t>TABLERO DE INDICADORES BÁSICOS PARA SEGUIMIENTO PROGRAMA DE GESTANTES</t>
  </si>
  <si>
    <t>NÚMERO DE GESTANTES CON ATENCION INICIAL POR SABEDOR I TRIM GESTACIÓN</t>
  </si>
  <si>
    <t>NÚMERO DE GESTANTES CON ATENCION INICIAL POR SABEDOR II TRIM GESTACIÓN</t>
  </si>
  <si>
    <t>INDICADORES SEGUIMIENTO SABEDORES</t>
  </si>
  <si>
    <t>ACTIVA EN CPN</t>
  </si>
  <si>
    <t>ACTIVA SIN CPN</t>
  </si>
  <si>
    <t>SALE SIN INGRESO A CPN</t>
  </si>
  <si>
    <t>% MUJERES INASITENTES AL CPN</t>
  </si>
  <si>
    <t>MESES</t>
  </si>
  <si>
    <t>MES PARTO</t>
  </si>
  <si>
    <t>AÑO PARTO</t>
  </si>
  <si>
    <t>NÚMERO DE GESTANTES  CON SEGUIMIENTO POR PARTERA, SEGÚN MES DEL AÑO DE INGRESO AL PROGRAMA</t>
  </si>
  <si>
    <t>NÚMERO DE GESTANTES CON SEGUIMIENTO POR MEDICO TRADICIONAL, SEGÚN MES DEL AÑO DE INGRESO AL PROGRAMA</t>
  </si>
  <si>
    <t>TRIMESTRE DE GESTACIÓN AL PRIMER SEGUIMIENTO POR SABEDOR</t>
  </si>
  <si>
    <t>NÚMERO DE GESTANTES CON ATENCION INICIAL POR SABEDOR III TRIM GESTACIÓN</t>
  </si>
  <si>
    <t>% GESTANTES CON SEGUIMIENTO POR PARTERA</t>
  </si>
  <si>
    <t>% GESTANTES CON SEGUIMIENTO POR MEDICO TRADICIONAL</t>
  </si>
  <si>
    <t>% GESTANTES ATENDIDAS EN I TRIM POR SABEDOR.</t>
  </si>
  <si>
    <t>% GESTANTES ATENDIDAS EN II TRIM POR SABEDOR.</t>
  </si>
  <si>
    <t>% GESTANTES ATENDIDAS EN III TRIM POR SABEDOR.</t>
  </si>
  <si>
    <t>TOTAL</t>
  </si>
  <si>
    <t>RAZÓN MORTALIDAD MATERNA X 100000 NV</t>
  </si>
  <si>
    <t>ASESORIA EN LACTANCIA MATERNA EXCLUSIVA EN AMBITO HOSPITALARIO</t>
  </si>
  <si>
    <t>NIVEL DE COMPLEJIDAD DE LA ATENCION DE LA INSTITUCION DONDE SE ATENDIO EL PARTO</t>
  </si>
  <si>
    <t>EDAD GESTACIONAL AL MOMENTO DE LA IDENTIFICACIÓN</t>
  </si>
  <si>
    <t>MES2 INGRESO CPN</t>
  </si>
  <si>
    <t>AÑO3 INGRESO CPN</t>
  </si>
  <si>
    <t>TRIM DEL AÑOS4 INGRESO CPN</t>
  </si>
  <si>
    <t>AÑOS AL INICIO5 CPN</t>
  </si>
  <si>
    <t>PUNTAJE ERBPS6 EDAD</t>
  </si>
  <si>
    <t>PUNTAJE TOTAL ERBPS2</t>
  </si>
  <si>
    <t xml:space="preserve">DIAS2 </t>
  </si>
  <si>
    <t>EDAD GESTACIÓN DPT ACELULAR</t>
  </si>
  <si>
    <t>TAMIZAJE  PARA VIH INTRAPARTO SEGÚN GPC.</t>
  </si>
  <si>
    <t>TAMIZAJE  PARA SIFILIS  SEGÚN GPC SIFILIS II TRIMESTRE</t>
  </si>
  <si>
    <t>TAMIZAJE  PARA SIFILIS  SEGÚN GPC SIFILIS III TRIMESTRE</t>
  </si>
  <si>
    <t>TAMIZAJE  PARA SIFILIS  SEGÚN GPC SIFILIS INTRAPARTO</t>
  </si>
  <si>
    <t>Se registran aspectos de seguimiento a tener en cuenta, como por ejemplo, acciones pendientes a verificar en los proximos controles u otros aspectos relevantes a juicio de quien diligencia la información.</t>
  </si>
  <si>
    <t>Se registra el nombre de la persona encargada de hacer el seguimiento de la gestante en las diferentes zonas del municipio.</t>
  </si>
  <si>
    <t>A este formato, deben ingresar todas las mujeres identificadas con gestación, incluyendo las mujeres que apliquen para IVE.</t>
  </si>
  <si>
    <r>
      <t>Registrar el nombre del punto de atención, cada Municipio debe</t>
    </r>
    <r>
      <rPr>
        <sz val="11"/>
        <color rgb="FFFF0000"/>
        <rFont val="Calibri"/>
        <family val="2"/>
        <scheme val="minor"/>
      </rPr>
      <t xml:space="preserve"> generar una lista desplegable </t>
    </r>
    <r>
      <rPr>
        <sz val="11"/>
        <color theme="1"/>
        <rFont val="Calibri"/>
        <family val="2"/>
        <scheme val="minor"/>
      </rPr>
      <t>para esta columna según los puntos de atención de los que dispongan.</t>
    </r>
  </si>
  <si>
    <t>ANTECEDENTE. HIPERTENSION INDUCIDA POR EL EMBARAZO O PREECLAMPSIA/ECLAMPSIA</t>
  </si>
  <si>
    <t>ANTECEDENTE. Trabajo de Parto PROLONGADO/PARTO DIFICIL</t>
  </si>
  <si>
    <t>ANTECEDENTE. FLIAR PREECLAMPSIA</t>
  </si>
  <si>
    <t>ANTECEDENTE PARTOS</t>
  </si>
  <si>
    <t>ANTECEDENTE ABORTOS</t>
  </si>
  <si>
    <t>ANTECEDENTE OBITO FETAL Y/O MUERTE PERINATAL NEONATAL TEMPRANA</t>
  </si>
  <si>
    <t>ANTECEDENTE EMBARAZO MOLAR</t>
  </si>
  <si>
    <t>ANTECEDENTE MUERTE NEONATAL TARDIA</t>
  </si>
  <si>
    <t>Registrar SI  o NO según corresponda. La opción SI estará semaforizada en rojo. El obito fetal corresponde a la muerte del feto in utero y la muerte perinatal temprana es la muerte del feto o recién nacido hasta los 7 dias de nacido.</t>
  </si>
  <si>
    <t xml:space="preserve">Elegir  SI o NO según corresponda a si la gestante tiene un embarazo molar  como antecedente </t>
  </si>
  <si>
    <t>Elegir  SI o NO según corresponda a si la gestante tiene un antecedente de embarzo con muerte neonatal tardía; corresponde a la muerte del niño o niña desde los 8 a 29 días de nacido.</t>
  </si>
  <si>
    <t>Elegir  de las opciones  SI, NO, Sin Dato según corresponda . Si en la columna anterior se anoto 3 o mas abortos  definir si estos fueron seguidos y esponteneos o existe historia de infertilidad en la  mujer, para anotar SI.</t>
  </si>
  <si>
    <t>ANTECEDENTE CESAREAS</t>
  </si>
  <si>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REPORTES DE ECOGRAFÍAS O EVOLUCIÓN EN HC SEGÚN CRITERIO DEL MEDICO.</t>
    </r>
  </si>
  <si>
    <r>
      <t xml:space="preserve">Registrar SI  o NO según corresponda. La opción SI estará semaforizada en rojo pues se considera antecedente de Riesgo Obstétrico  y la gestante debe ser valorada por ginecólogo. </t>
    </r>
    <r>
      <rPr>
        <u/>
        <sz val="11"/>
        <color theme="1"/>
        <rFont val="Calibri"/>
        <family val="2"/>
        <scheme val="minor"/>
      </rPr>
      <t>REVISAR EN ECOGRAFIAS O SI NO LAS TIENE SEGÚN CRITERIO DEL MEDICO.</t>
    </r>
  </si>
  <si>
    <r>
      <t xml:space="preserve">Registrar SI  o NO según corresponda al embarazo actual. La opción SI estará semaforizada en rojo pues se considera antecedente de Riesgo Obstétrico  y la gestante debe ser valorada por ginecólogo. </t>
    </r>
    <r>
      <rPr>
        <u/>
        <sz val="11"/>
        <color theme="1"/>
        <rFont val="Calibri"/>
        <family val="2"/>
        <scheme val="minor"/>
      </rPr>
      <t>REVISAR EN REPORTE DE ECOGRAFIAS.</t>
    </r>
  </si>
  <si>
    <r>
      <t xml:space="preserve">Reguistre en numeros la TA Sistolica antes de las 12 semanas de gestacion. </t>
    </r>
    <r>
      <rPr>
        <u/>
        <sz val="11"/>
        <color theme="1"/>
        <rFont val="Calibri"/>
        <family val="2"/>
        <scheme val="minor"/>
      </rPr>
      <t>SI NO SE TIENE DATO SE DEBE DEJAR ESTA CASILLA EN BLANCO</t>
    </r>
  </si>
  <si>
    <r>
      <t xml:space="preserve">Reguistre en numeros la TA diastolica antes de las 12 semanas de gestacion. </t>
    </r>
    <r>
      <rPr>
        <u/>
        <sz val="11"/>
        <color theme="1"/>
        <rFont val="Calibri"/>
        <family val="2"/>
        <scheme val="minor"/>
      </rPr>
      <t>SI NO SE TIENE DATO SE DEBE DEJAR ESTA CASILLA EN BLANCO</t>
    </r>
  </si>
  <si>
    <r>
      <t xml:space="preserve">Reguistre en numeros la TA Sistolica entre las 20 y 26 semanas de gestacion. </t>
    </r>
    <r>
      <rPr>
        <u/>
        <sz val="11"/>
        <color theme="1"/>
        <rFont val="Calibri"/>
        <family val="2"/>
        <scheme val="minor"/>
      </rPr>
      <t>SI NO SE TIENE DATO SE DEBE DEJAR ESTA CASILLA EN BLANCO</t>
    </r>
  </si>
  <si>
    <r>
      <t xml:space="preserve">Reguistre en numeros la TA Diastolica entre las 20 y 26 semanas de gestacion. </t>
    </r>
    <r>
      <rPr>
        <u/>
        <sz val="11"/>
        <color theme="1"/>
        <rFont val="Calibri"/>
        <family val="2"/>
        <scheme val="minor"/>
      </rPr>
      <t>SI NO SE TIENE DATO SE DEBE DEJAR ESTA CASILLA EN BLANCO</t>
    </r>
  </si>
  <si>
    <t>solo se debe colocar dato de Fecha de la asesoría realizada.</t>
  </si>
  <si>
    <t>La información aquí registrada, debe aparecer soportada en la historia Clínica, de lo contrario el dato no es valido.</t>
  </si>
  <si>
    <r>
      <t xml:space="preserve">Registrar fecha de inicio de CPN de la gestante, Importante sea en el siguiente orden: DIA/MES/AÑO usando el  /  para  sepáralas ejemplo: 18/09/2014.  </t>
    </r>
    <r>
      <rPr>
        <u/>
        <sz val="11"/>
        <color theme="1"/>
        <rFont val="Calibri"/>
        <family val="2"/>
        <scheme val="minor"/>
      </rPr>
      <t xml:space="preserve"> EN CASO DE GESTANTES CON INICIO CPN EN OTRA INSTITUCIÓN: se debe registrar el dato de ingreso real de la mujer en la otra institución.</t>
    </r>
  </si>
  <si>
    <r>
      <t xml:space="preserve">Registrar fechas de los controles realizados según corresponde en secuencia D M A. </t>
    </r>
    <r>
      <rPr>
        <u/>
        <sz val="11"/>
        <color theme="1"/>
        <rFont val="Calibri"/>
        <family val="2"/>
        <scheme val="minor"/>
      </rPr>
      <t>EN CASO DE GESTANTE QUE REALIZO CONTROLES EN OTRA INSTITUCIÓN, SE DEBE COLOCAR LA INFORMACIÓN DE LAS FECHAS DE CONTROLES PREVIAMENTE REALIZADOS.</t>
    </r>
  </si>
  <si>
    <t xml:space="preserve">Formula automática que define una fecha aproximada del proximo control. </t>
  </si>
  <si>
    <t>FORMULA AUTOMATICA: CON LAS OPCIONES CAMBIO DE RESIDENCIA, SEGUIMIENTO REPORTE EPS, SALIO PROGRAMA, SALE SIN INGRESO CPN; SIN CPN, ACTIVA INGRESO A CPN, ACTIVA SIN INGRESO A CPN.</t>
  </si>
  <si>
    <t>Formula, muestra de cada mujer la fecha de su último control.</t>
  </si>
  <si>
    <t>Formula que calcula la edad gestaciónal de la última vez que vino al CPN</t>
  </si>
  <si>
    <t>Formula automatica del % de cumplimiento de controles prenatales</t>
  </si>
  <si>
    <t>Se debe registrar dato de la fecha en que acude por primera vez la mujer a cita con ginecologo; esta información debe aparecer en la evolución de la HC de seguimiento realizda por el Medico general.</t>
  </si>
  <si>
    <r>
      <t xml:space="preserve">Registro de fecha de la útima asistencia a ginecología, si aplica; este dato se debe </t>
    </r>
    <r>
      <rPr>
        <u/>
        <sz val="11"/>
        <color theme="1"/>
        <rFont val="Calibri"/>
        <family val="2"/>
        <scheme val="minor"/>
      </rPr>
      <t>actualizar periodicamente según corresponda.</t>
    </r>
  </si>
  <si>
    <r>
      <t xml:space="preserve">Registro de numero de consultas con ginecologo. </t>
    </r>
    <r>
      <rPr>
        <u/>
        <sz val="11"/>
        <color theme="1"/>
        <rFont val="Calibri"/>
        <family val="2"/>
        <scheme val="minor"/>
      </rPr>
      <t>Este dato se debe actualizar periodicamente según corresponda.</t>
    </r>
  </si>
  <si>
    <t>Fecha en D M A del Resultado del la Glicemia.</t>
  </si>
  <si>
    <t>Diligencie la lista desplegable, aparecen las opciones para Prueba Rápida o para Elisa, según sea la técnica utilizada e informada en el resultado del examen, que debe estar soportado en HC o en resultado de laboratorio.</t>
  </si>
  <si>
    <t>Fecha en D M A del Resultado del la Prueba de  ELISA o Pueba Rápida.</t>
  </si>
  <si>
    <t>FECHA RESULTADO ELISA O PR III TRIM</t>
  </si>
  <si>
    <r>
      <t xml:space="preserve">Diligencie la lista desplegable, según corresponda al resultado resportado de la Carga Viral. </t>
    </r>
    <r>
      <rPr>
        <u/>
        <sz val="11"/>
        <color theme="1"/>
        <rFont val="Calibri"/>
        <family val="2"/>
        <scheme val="minor"/>
      </rPr>
      <t>Se coloca SIN DATO: En el caso de que algunas de las columnas FU,FX,FZ y GC sean Reactivas y no se tenga información de este exámen. Se coloca NO APLICA: En caso de en caso de que los resultados de las columnas FU, FX, FZ Y GC; sean No Reactivos.</t>
    </r>
  </si>
  <si>
    <t>Diligencie la lista desplegable, aparecen las opciones para Prueba Rápida o para Elisa, según sea la técnica utilizada e informada en el resultado del examen, que debe estar soportado en HC o en resultado de laboratorio. Se coloca SIN DATO: En el caso de que algunas de las columnas FU,FX,FZ y GC sean Reactivas y no se tenga información de este exámen. Se coloca NO APLICA: En caso de en caso de que los resultados de las columnas FU, FX, FZ Y GC; sean No Reactivos.</t>
  </si>
  <si>
    <r>
      <t xml:space="preserve">Fecha en D M A del Resultado del la Prueba de  ELISA o Pueba Rápida. </t>
    </r>
    <r>
      <rPr>
        <u/>
        <sz val="11"/>
        <color theme="1"/>
        <rFont val="Calibri"/>
        <family val="2"/>
        <scheme val="minor"/>
      </rPr>
      <t>En caso de que la columna GE sea No aplica o Sin Dato, esta casilla debe permanecer vacia.</t>
    </r>
  </si>
  <si>
    <t>Fecha en D M A del Resultado de la Carga Viral. En caso de que la columna GG sea No aplica o Sin Dato, esta casilla debe permanecer vacia.</t>
  </si>
  <si>
    <r>
      <t xml:space="preserve">Fecha en D M A del Resultado del la Prueba del Antigeno de superficie para HB. En caso de que la columna GI sea </t>
    </r>
    <r>
      <rPr>
        <u/>
        <sz val="11"/>
        <color theme="1"/>
        <rFont val="Calibri"/>
        <family val="2"/>
        <scheme val="minor"/>
      </rPr>
      <t>Sin Dato, esta casilla debe permanecer vacia.</t>
    </r>
  </si>
  <si>
    <t>Lista desplegable, según corresponda. SIN DATO: se debe colocar en caso de que la mujer este incluida en la base de datos y no se tenga información del resultado de este exámen.</t>
  </si>
  <si>
    <t>Alarma y Evaluacion según reportes de Ig G e IgM, indica si se "excluye la infección" , si hay "Toxoplasmosis" o si se debe continuar con "Control Igm".</t>
  </si>
  <si>
    <t>Fecha en D M A del Resultado del la Prueba las pruebas de Toxoplasma. En caso de que las columnas GL y GM sea Sin Dato, esta casilla debe permanecer vacia.</t>
  </si>
  <si>
    <r>
      <t>Lista desplegable según corresponda,</t>
    </r>
    <r>
      <rPr>
        <u/>
        <sz val="11"/>
        <color theme="1"/>
        <rFont val="Calibri"/>
        <family val="2"/>
        <scheme val="minor"/>
      </rPr>
      <t xml:space="preserve"> EL RESULTADO DEBE CORRESPONDER A LOS CONTROLES REALIZADOS DESPUES DE HABER RESPORTADO EL IgM INICIAL . Se coloca SIN DATO: En caso de que la columna GN indique "Control IgM". Se coloca NO APLICA: En caso de que la columna GN indique "Se excluye infección" o "Toxoplasmosis".</t>
    </r>
  </si>
  <si>
    <t>Lista desplegable según correponda. Se debe colocar el número de Controles realizados de IgM, soportados en HC de cero (0) a Nueve (9). Se coloca NO APLICA: En caso de que la columna GR indique " NO APLICA".</t>
  </si>
  <si>
    <t>Lista desplegable según corresponda. Se coloca SIN DATO: en caso de no tener ninguna información al respecto o que no este vigente el resultado de la Citología.</t>
  </si>
  <si>
    <t>Formula que consolida las enfermedades identificadas en las columnas KI,KM,KQ,KU,KY,LC Y LG, que corresponde a necesidad o desarmonia desde lo propio.</t>
  </si>
  <si>
    <t>Formula automatica que reune riegos no evaluados en la escala de riesgo biopsicosocial de Julian Herrera.</t>
  </si>
  <si>
    <t>Formula que define si hay o no Riesgo Biopsicosocial, según el puntaje que maneja dicha escala de Julian Herrera.</t>
  </si>
  <si>
    <t>Formula que reune, las condiciones de riesgo que tiene algún puntaje dentro de la escala de riesgo biopsicosocial de Julian Herrera.</t>
  </si>
  <si>
    <t>Formula que identifica las gestantes con riesgo de complicación Hiertensivas, según los parametros de la GPC de embarazo, parto y postparto de Ministerio.</t>
  </si>
  <si>
    <t>Formula que consolida el último dato de cada mujer del seguimiento se las cifras de presión arterial reportados en las columnas CR, CU o CZ.</t>
  </si>
  <si>
    <r>
      <t xml:space="preserve">Lista desplegable según Corresponda. </t>
    </r>
    <r>
      <rPr>
        <u/>
        <sz val="11"/>
        <color theme="1"/>
        <rFont val="Calibri"/>
        <family val="2"/>
        <scheme val="minor"/>
      </rPr>
      <t>ESTA VARIABLE DEBE SER TRABAJADA POR EL PROFESIONAL QUE LIDERA EL PROGRAMA DE SALUD MATERNA DE LA INSTITUCIÓN.</t>
    </r>
  </si>
  <si>
    <t>Lista desplegable según corresponda.</t>
  </si>
  <si>
    <t xml:space="preserve">FECHA VACUNA 1  Td </t>
  </si>
  <si>
    <t>Fecha en D M A.  Incluye la fecha de la vacuna que sea vigente, según lineamientos del programa de vacunación, aunque la vacuna no haya sido colocada en esta gestación.</t>
  </si>
  <si>
    <t>Formula automatica de la Fecha Probable de parto.</t>
  </si>
  <si>
    <t>Formula que cuenta los días que faltan para el nacimiento del bebe, si la cifra aparece con número NEGATIVO, significa los días que van de más despues de la fecha probable de parto.</t>
  </si>
  <si>
    <t>Formula que genera alerta del tiempo en semanas para el parto, según dato de la Fecha Probable de Parto.</t>
  </si>
  <si>
    <t>Fecha en D M A - Se debe actualizar, debe aparecer la última fecha.</t>
  </si>
  <si>
    <r>
      <t xml:space="preserve">Lista desplegable, elegir la opcion la condicion asociada a la salida de la madre. </t>
    </r>
    <r>
      <rPr>
        <u/>
        <sz val="11"/>
        <color theme="1"/>
        <rFont val="Calibri"/>
        <family val="2"/>
        <scheme val="minor"/>
      </rPr>
      <t>LOS EVENTOS DE MORBILIDAD MATERNA EXTREMA Y MORTALIDAD MATERNA, deben coincidir con lo reportado en SIVIGILA.</t>
    </r>
  </si>
  <si>
    <r>
      <t xml:space="preserve">Fecha en D M A de la salida del programa. </t>
    </r>
    <r>
      <rPr>
        <u/>
        <sz val="11"/>
        <color theme="1"/>
        <rFont val="Calibri"/>
        <family val="2"/>
        <scheme val="minor"/>
      </rPr>
      <t>ESTA VARIABLE DEBE DILIGENCIARSE SIEMPRE QUE LA COLUMNA HZ ESTE DILIGENCIADA.</t>
    </r>
  </si>
  <si>
    <t>FECHA DE SALIDA  DEL PROGRAMA</t>
  </si>
  <si>
    <r>
      <t xml:space="preserve">Lista desplegable, elegir la opcion la condicion asociada a la salida del Recien nacido. Se debe colocar "NO APLICA" ; cuando en la Columna HZ, se coloca Aborto o IVE.  </t>
    </r>
    <r>
      <rPr>
        <u/>
        <sz val="11"/>
        <color theme="1"/>
        <rFont val="Calibri"/>
        <family val="2"/>
        <scheme val="minor"/>
      </rPr>
      <t>LOS EVENTOS DE MUERTE PERINATAL Y NEONATAL TEMPRANA, MUERTE NEONATAL TARDÍA, deben coincidir con lo reportado en SIVIGILA.</t>
    </r>
  </si>
  <si>
    <t>LUGAR DE ATENCION DEL PARTO, ABORTO, IVE.</t>
  </si>
  <si>
    <r>
      <t xml:space="preserve">Lista desplegable, según corresponda. </t>
    </r>
    <r>
      <rPr>
        <u/>
        <sz val="11"/>
        <color theme="1"/>
        <rFont val="Calibri"/>
        <family val="2"/>
        <scheme val="minor"/>
      </rPr>
      <t>Se debe colocar NO APLICA: Cuando en la columna HZ, se coloca; Cambio de Residencia o Cambio de IPS.</t>
    </r>
  </si>
  <si>
    <t xml:space="preserve">NOMBRE DE LA INSTITUCION DONDE SE ATENDIO EL PARTO,ABORTO, IVE. </t>
  </si>
  <si>
    <r>
      <t xml:space="preserve">Lista desplegable, según corresponda.  Esta columna se debe diligenciar si en la columna ID se coloca: INSTITUCIONAL. </t>
    </r>
    <r>
      <rPr>
        <u/>
        <sz val="11"/>
        <color theme="1"/>
        <rFont val="Calibri"/>
        <family val="2"/>
        <scheme val="minor"/>
      </rPr>
      <t>Se coloca NO APLICA: Si en la columna ID aparece DOMICILIO, OTRO, NO APLICA.</t>
    </r>
  </si>
  <si>
    <r>
      <t xml:space="preserve">Lista desplegable, según corresponda. </t>
    </r>
    <r>
      <rPr>
        <u/>
        <sz val="11"/>
        <color theme="1"/>
        <rFont val="Calibri"/>
        <family val="2"/>
        <scheme val="minor"/>
      </rPr>
      <t>Se debe colocar NO APLICA, si en la columna ID aparece NO APLICA.</t>
    </r>
  </si>
  <si>
    <r>
      <t xml:space="preserve">Lista desplegable, según corresponda. Colocar SI: </t>
    </r>
    <r>
      <rPr>
        <u/>
        <sz val="11"/>
        <color theme="1"/>
        <rFont val="Calibri"/>
        <family val="2"/>
        <scheme val="minor"/>
      </rPr>
      <t>cuando existe soporte en HC claro del acompañamiento en ambos momentos TRABAJO DE PARTO Y PARTO.</t>
    </r>
    <r>
      <rPr>
        <sz val="11"/>
        <color theme="1"/>
        <rFont val="Calibri"/>
        <family val="2"/>
        <scheme val="minor"/>
      </rPr>
      <t xml:space="preserve"> Colocar NO: Cuando no existe soporte en HC del acompañamiento o este solo se realiza unicamente en el TRABAJO DE PARTO o en EL PARTO.  Se coloca NO APLICA: Cuando en la columna ID el parto es en DOMICILIO, en OTRO lugar o NO APLICA. Se coloca SD: Cuando el la columna ID aparece institucional y en la Columna IG aparece el nivel de complejidad MEDINA Y ALTA. </t>
    </r>
  </si>
  <si>
    <t xml:space="preserve">Lista desplegable según corresponda. Colocar SI: Cuando aparece soporte de partograma completamente diligenciado, con datos completos, línea de dilatación, curva de alerta, esta graficado el descenso de la presentación y se evidencia el cambio de curva de alerta al cambiar condiciones de la gestante. Colocar NO: Cuando no existe el partograma o esta parcialmente diligenciado.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</si>
  <si>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esta documentado en la nota de atención de parto, uso de oxitocina según GPC, masaje uterino y que se realiza la tracción sostenida de cordón.  Colocar NO: Cuando alguna de estas tres acciones NO aparece documentada en la HC o la Oxitocina no se aplica según lo definido en la GPC o ninguna de estas acciones aparece documentada.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</si>
  <si>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el tiempo de duración de dicho contacto es de 30 o más minutos. Colocar NO: Cuando solo se documenta el contacto piel a piel y no aparece el tiempo o cuando no se registra dicho contacto.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</si>
  <si>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En la HC debe estar documentado que se realiza contacto piel a piel y durante el contacto se inicia la lactancia materna efectiva, debe estar claramente registrada la hora de inicio de la Lactancia Materna. Colocar NO: Cuando no hay contacto piel a piel, no hay claridad del inicio de la lactancia materna efectiva o dicho inicio no ocurre durante el contacto piel a piel. Se coloca NO APLICA: Cuando en la columna ID el parto es en DOMICILIO, en OTRO lugar o NO APLICA. Se coloca SD: Cuando el la columna ID aparece institucional y en la Columna IG aparece el nivel de complejidad MEDINA Y ALTA. </t>
  </si>
  <si>
    <t xml:space="preserve">Lista desplegable según corresponda. Colocar SI: Cuando aparecen documentados los OCHO controles postparto, durante las dos primeras horas del parto, contados a partir de la Hora del alumbramiento de la Placenta; cada control debe incluir registro de Signos vitales, valoración estado de conciencia, valoración hemorragía vaginal, valoración tono uterino como mínimo. Colocar NO: Cuando se documentan menos de OCHO controles en el intervalo definido de las dos horas postparto contadas a partir del alumbramiento de la placenta, o cuando alguno de los controles no soportan las actividades minimas descritas en el SI. Se coloca NO APLICA: Cuando en la columna ID el parto es en DOMICILIO, en OTRO lugar o NO APLICA. Se coloca SD: Cuando el la columna ID aparece institucional y en la Columna IG aparece el nivel de complejidad MEDINA Y ALTA. </t>
  </si>
  <si>
    <t>Lista desplegable según corresponda. Se coloca NO APLICA: Cuando en la columna HZ, sale del programa por: Aborto, IVE, Cambio de residencia o Cambio de IPS.</t>
  </si>
  <si>
    <t>Formula automatica de la clasificación por peso al nacer del neonato</t>
  </si>
  <si>
    <t>FECHA TOMA  TSH</t>
  </si>
  <si>
    <t>Lista desplegable según corresponda.   Se coloca NO APLICA: Cuando en la columna HZ, sale del programa por: Aborto, IVE, Cambio de residencia o Cambio de IPS.</t>
  </si>
  <si>
    <r>
      <t xml:space="preserve">Registre fecha en formato D/ M / A. </t>
    </r>
    <r>
      <rPr>
        <u/>
        <sz val="11"/>
        <color theme="1"/>
        <rFont val="Calibri"/>
        <family val="2"/>
        <scheme val="minor"/>
      </rPr>
      <t>DEBE ESTAR DOCUMENTADO EN LA HC DE LA ATENCIÓN DEL PARTO Y RN</t>
    </r>
  </si>
  <si>
    <r>
      <t xml:space="preserve">Registre fecha en formato D/ M / A. </t>
    </r>
    <r>
      <rPr>
        <u/>
        <sz val="11"/>
        <color theme="1"/>
        <rFont val="Calibri"/>
        <family val="2"/>
        <scheme val="minor"/>
      </rPr>
      <t>DEBE ESTAR DOCUMENTADO EN LA HC DE LA ATENCIÓN DEL PARTO, RN Y/O PUERPERIO.</t>
    </r>
  </si>
  <si>
    <t>Lista desplegable según corresponda.   Se registra SI: Cuando aparece registro en la HC de que se hace la asesoría durante la hospitalización en postparto. coloca NO APLICA: Cuando en la columna HZ, sale del programa por: Aborto, IVE, Cambio de residencia o Cambio de IPS. Coloca SD: cuando es atención de parto institucional y no se tiene información al respecto.</t>
  </si>
  <si>
    <t>Lista desplegable según corresponda. Se coloca SI: Cuando hay registro en la HC de puerperio, del metodo de PF con el cual sale planificando la mujer.</t>
  </si>
  <si>
    <t>Lista desplegable según corresponda al método escogido por la mujer.</t>
  </si>
  <si>
    <t>Registre fecha en formato D/ M / A, del primer seguimiento durante el embarazo.</t>
  </si>
  <si>
    <t>Registre información relevante detectada en el seguimiento y que no este incluida en los Hallazgos anteriores.</t>
  </si>
  <si>
    <t>Registre fecha en formato D/ M / A, del último seguimiento durante el embarazo. ESTA INFORMACIÓN SE DEBE IR ACTUALIZANDO CADA MES SEGÚN CORREPONDA.</t>
  </si>
  <si>
    <t>FECHA SEGUIMIENTO POR PERSONAL DE SALUD EN TERRENO  EN PUERPERIO</t>
  </si>
  <si>
    <t>FECHA ULTIMO SEGUIMIENTO POR PERSONAL DE SALUD EN TERRENO  EN PUERPERIO</t>
  </si>
  <si>
    <t>Registre fecha en formato D/ M / A, del primer seguimiento durante el Puerperio.</t>
  </si>
  <si>
    <t>Registre información  relevante detectada en el seguimiento a la Puerpera.</t>
  </si>
  <si>
    <t>Registre información  relevante detectada en el seguimiento al Neonato.</t>
  </si>
  <si>
    <t>Registre fecha en formato D/ M / A, del último seguimiento durante el Puerperio. ESTA INFORMACIÓN SE DEBE IR ACTUALIZANDO CADA MES SEGÚN CORREPONDA.</t>
  </si>
  <si>
    <t>Registre el Número se veces que se le ha realizado seguimiento a la mujer durante el Puerperio. ESTA INFORMACIÓN SE DEBE IR ACTUALIZANDO CADA MES SEGÚN CORREPONDA.</t>
  </si>
  <si>
    <t>Lista desplegable según corresponda al tipo de sabedor que realiza el acompañamiento inicial durante la gestación.</t>
  </si>
  <si>
    <t>Registre las actividades o ritualidades realizadas por el sabedor, durante la gestación</t>
  </si>
  <si>
    <t>Registre la Desarmonia o desarmonias identificadas por el Sabedor en el seguimiento inicial durante la gestación.</t>
  </si>
  <si>
    <t>Registre fecha en formato D/ M / A, del primer Acompañamiento durante la gestación.</t>
  </si>
  <si>
    <t>Registre fecha en formato D/ M / A, del segundo Acompañamiento durante la gestación.</t>
  </si>
  <si>
    <t>Lista desplegable según corresponda al tipo de sabedor que realiza el acompañamiento durante la gestación.</t>
  </si>
  <si>
    <t>Registre la Desarmonia o desarmonias identificadas por el Sabedor en el acompañamiento durante la gestación.</t>
  </si>
  <si>
    <t>Registre fecha en formato D/ M / A, del tercer Acompañamiento durante la gestación.</t>
  </si>
  <si>
    <t>Registre fecha en formato D/ M / A, del cuarto Acompañamiento durante la gestación.</t>
  </si>
  <si>
    <t>Registre fecha en formato D/ M / A, del quinto Acompañamiento durante la gestación.</t>
  </si>
  <si>
    <t>Registre fecha en formato D/ M / A, del  Acompañamiento durante el Puerperio</t>
  </si>
  <si>
    <t>Lista desplegable según corresponda al tipo de sabedor que realiza el acompañamiento durante el puerperio.</t>
  </si>
  <si>
    <t>Registre la Desarmonia o desarmonias identificadas por el Sabedor en el acompañamiento durante el puerperio.</t>
  </si>
  <si>
    <t>Registre las actividades o ritualidades realizadas por el sabedor, durante el puerperio.</t>
  </si>
  <si>
    <t>FECHA INICIO SUMINISTRO CALCIO</t>
  </si>
  <si>
    <t xml:space="preserve">FECHA INICIO SUMINISTRO ACIDO FOLICO </t>
  </si>
  <si>
    <t xml:space="preserve">FECHA INICIO SUMINISTRO SULFATO FERROSO </t>
  </si>
  <si>
    <t>FECHA SEGUIMIENTOS TELÉFONICOS</t>
  </si>
  <si>
    <t>NÚMERO SEGUIMIENTOS TELÉFONCOS</t>
  </si>
  <si>
    <t>OBSERVACIÓN SEGUIMIENTO TELÉFONCO</t>
  </si>
  <si>
    <t>HALLAZGO GESTACIÓN SEGUIMIENTO POR VISITA DOMICILIARIA</t>
  </si>
  <si>
    <t>TIPO DE APOYO REALIZADO POR LA EPS</t>
  </si>
  <si>
    <t>TIPO DE APOYO REALIZADO POR LA IPS PRIMARIA</t>
  </si>
  <si>
    <t>La información registrada aquí es confidencial, este documento se asimila como una Historía Clinica, debe estar bajo un manejo reservado y confidencial, para manejo exclusivo del personal de salud.</t>
  </si>
  <si>
    <t>OBSERVACIONES PARA SEGUIMIENTO</t>
  </si>
  <si>
    <t>Fecha en D M A de la primera formulación de Calcio.</t>
  </si>
  <si>
    <t>Fecha en D M A de la primera formulación de Acido Folico.</t>
  </si>
  <si>
    <t>Fecha en D M A de la primera formulación de Sulfato Ferroso.</t>
  </si>
  <si>
    <t>Registre el Número se veces que se le ha realizado seguimientos teléfonicos a la mujer durante la gestación. ESTA INFORMACIÓN SE DEBE IR ACTUALIZANDO CADA MES SEGÚN CORRESPONDA.</t>
  </si>
  <si>
    <t>Registre el Número se veces que se le ha realizado seguimiento a la mujer durante la gestación. ESTA INFORMACIÓN SE DEBE IR ACTUALIZANDO CADA MES SEGÚN CORRESPONDA.</t>
  </si>
  <si>
    <t>FECHA C13</t>
  </si>
  <si>
    <t># fila</t>
  </si>
  <si>
    <t xml:space="preserve">NOVEDAD AL MOMENTO DE LA IDENTIFICACIÓN Y/O CAPTACIÓN </t>
  </si>
  <si>
    <t>Total general de mujeres gestantes que ingresan al progama</t>
  </si>
  <si>
    <t>FECHA ACOMPAÑAMIENTO SABEDOR ANCESTRAL PUERPERIO Y RECIEN NACIDO22</t>
  </si>
  <si>
    <t>TIPO DE SABEDOR73</t>
  </si>
  <si>
    <t>NECESIDAD O DESARMONIA DESDE LO PROPIO 174</t>
  </si>
  <si>
    <t>ACTIVIDAD O RITUALIDAD REALIZADA185</t>
  </si>
  <si>
    <t>FECHA ACOMPAÑAMIENTO SABEDOR ANCESTRAL PUERPERIO Y RECIEN NACIDO222</t>
  </si>
  <si>
    <t>TIPO DE SABEDOR733</t>
  </si>
  <si>
    <t>NECESIDAD O DESARMONIA DESDE LO PROPIO 1744</t>
  </si>
  <si>
    <t>ACTIVIDAD O RITUALIDAD REALIZADA1855</t>
  </si>
  <si>
    <t>FECHA ACOMPAÑAMIENTO SABEDOR ANCESTRAL PUERPERIO Y RECIEN NACIDO2222</t>
  </si>
  <si>
    <t>TIPO DE SABEDOR7333</t>
  </si>
  <si>
    <t>NECESIDAD O DESARMONIA DESDE LO PROPIO 17444</t>
  </si>
  <si>
    <t>ACTIVIDAD O RITUALIDAD REALIZADA18555</t>
  </si>
  <si>
    <t>DIAGNOSTICO POSITIVO COVID19 - INFECCIÓN POR SARS CoV2</t>
  </si>
  <si>
    <t>Curso de Maternidad y Paternidad</t>
  </si>
  <si>
    <t>Alerta Plan de Parto</t>
  </si>
  <si>
    <t>TAMIZAJE  PARA SIFILIS  SEGÚN GPC SIFILIS I TRIMESTRE</t>
  </si>
  <si>
    <t>TAMIZAJE  PARA VIH I TRIM</t>
  </si>
  <si>
    <t>RESGUARDO / CORREGIMIENTO / COMUNA / LOCALIDAD</t>
  </si>
  <si>
    <t>ATENCIÓN PRECONCEPCIONAL</t>
  </si>
  <si>
    <t>ALARMA TAMIZAJE SIFILIS I TRIMESTRE</t>
  </si>
  <si>
    <t>ALARMA TAMIZAJE SIFILIS II TRIMESTRE2</t>
  </si>
  <si>
    <t>ALARMA TAMIZAJE SIFILIS III TRIMESTRE22</t>
  </si>
  <si>
    <t>ALARMA CONSOLIDADA CASOS SIFILIS GESTACIONAL</t>
  </si>
  <si>
    <t>ALARMA TAMIZAJE VIH - I TRIM</t>
  </si>
  <si>
    <t>ALARMA TAMIZAJE VIH - II TRIM</t>
  </si>
  <si>
    <t>ALARMA TAMIZAJE VIH - III TRIM</t>
  </si>
  <si>
    <t>TAMIZAJE PARA CHAGAS (ELISA para detección de anticuerpos IgG anti T. cruzi de antígenos totales)</t>
  </si>
  <si>
    <t>FECHA RESULTADO TAMIZAJE CHAGAS</t>
  </si>
  <si>
    <t>TAMIZAJE INICIAL DE GOTA GRUESA PARA MALARIA (En zonas endémicas)</t>
  </si>
  <si>
    <t>FECHA RESULTADO TAMIZAJE INICIAL GOTA GRUESA PARA MALARIA</t>
  </si>
  <si>
    <t>RESULTADO ULTIMO TAMIZAJE GOTA GRUESA (Para Zonas endémicas)</t>
  </si>
  <si>
    <t>NUMERO TAMIZAJES TOMADOS DE GOTA GRUESA PARA MALARIA (Debe ser mensual para zonas endémicas)</t>
  </si>
  <si>
    <t>INICIO TRABAJO DE PARTO</t>
  </si>
  <si>
    <t>PUNTAJE PRESENTACIÓN RBPS4</t>
  </si>
  <si>
    <t>PUNTAJE TAMIZAJE CHAGAS RBPS5</t>
  </si>
  <si>
    <t>PUNTAJE TAMIZAJE MALARIA RBPS6</t>
  </si>
  <si>
    <t>Puntaje ROBSON</t>
  </si>
  <si>
    <t>FECHA PLAN DE PARTO  (Soporte en HC)</t>
  </si>
  <si>
    <t>FECHA RESULTADO PR- I TRIM</t>
  </si>
  <si>
    <t>FECHA RESULTADO ELISA O PR I TRIM</t>
  </si>
  <si>
    <t>NUMERO TAMIZAJES TOMADOS DE GOTA GRUESA PARA MALARIA (Debe ser mensual para zons endémicas)</t>
  </si>
  <si>
    <r>
      <t xml:space="preserve">Registrar: CEFÁLICO, PODÁLICO, TRANSVERSA,OBLICUA, según corresponda al embarazo actual; se debe ACTUALIZAR según hallazgos en los controles. Las opciónes que estaran semaforizadas en rojo  se consideran de Riesgo Obstétrico  y la gestante debe ser valorada por ginecólogo. </t>
    </r>
    <r>
      <rPr>
        <u/>
        <sz val="11"/>
        <color theme="1"/>
        <rFont val="Calibri"/>
        <family val="2"/>
        <scheme val="minor"/>
      </rPr>
      <t>ESTA VARIABLE DEBE SER TOMADA EN CUENTA Y SEGUIDA A PARTIR DEL ÚLTIMO TRIMESTRE DE GESTACIÓN Y PUEDE SER TOMADA DE LA ECOGRAFÍA O DEL EXÁMEN FISICO EN HC.</t>
    </r>
  </si>
  <si>
    <t>solo se debe colocar dato de Fecha que soporta la HC en la cual se realiza el plan de parto concertado.</t>
  </si>
  <si>
    <t>Formula automatica: Donde aparece además de la edad gestacional al momento ADECUADO para realizar el plan de partos, las siguientes alertas: PLAN REALIZADO ANTES III TRIM (se realiza el plan antes del tiempo esperado, que es en III Trimestre), PLANEAR PLAN DE PARTO (Iniciar proceso de información, para definir la construcción del plan de parto), CONCERTAR PLAN DE PARTO INMEDIATO (Debe estar definido el plan de parto concertado), EN ESPERA (Se encuentra en I o II Trimestre de gestación, en espera para iniciar proceso en III Trimestre), NO APLICA SALE PROGRAMA ANTES III TRIM, SALE PROGRAMA ANTES SEMANA 35 (Sale del programa durante el proceso de construcción del plan, sin finalizarlo), SALE SIN PLAN DE PARTO (sale en la etapa que debería haber tenido el plan de parto ya concertado).</t>
  </si>
  <si>
    <r>
      <t>Lista desplegable segun resultado del Tamizaje soportado en HC y/o resultado de laboratorio de la Prueba rapida de sifilis  tomada en el I  Trimestre de la gestación : P.R Negativa (Prueba Rápida), P.R Positiva Caso Sífilis (Prueba Rápida) y P.R Positiva Cicatriz. -</t>
    </r>
    <r>
      <rPr>
        <b/>
        <u/>
        <sz val="11"/>
        <rFont val="Calibri"/>
        <family val="2"/>
        <scheme val="minor"/>
      </rPr>
      <t>NO SE DEBE REGISTAR INFORMACIÓN EN ESTA CASILLA CASO DE INGRESO TARDÍO MAYOR A 12 SEMANAS, O DE HABER TOMADO EL EXAMEN DESPUES DE LA SEMANA 12.</t>
    </r>
  </si>
  <si>
    <t>Fecha en D M A del Resultado de la Prueba Rápida</t>
  </si>
  <si>
    <r>
      <t xml:space="preserve">Formula automatica: Donde aparece además de la edad gestacional al momento de la toma de la Prueba Rapida, las siguientes alertas: </t>
    </r>
    <r>
      <rPr>
        <b/>
        <u/>
        <sz val="11"/>
        <rFont val="Calibri"/>
        <family val="2"/>
        <scheme val="minor"/>
      </rPr>
      <t>REGISTRAR EN II TRIMESTRE,REGISTRAR EN III TRIMESTRE (Colocar datos en las columnas que corresponden y quitarlo de esta casilla),EN RANGO PARA TOMAR EXAMEN (Esta dentro del I TRIM de gestación),TOMA INMEDIATA DE TAMIZAJE (Faltan dos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</si>
  <si>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INGRESO TARDÍO MAYOR A 28 SEMANAS, O DE HABER TOMADO EL EXAMEN ANTES DE LA SEMANA 12 O DESPUÉS DE LA SEMANA 28</t>
    </r>
  </si>
  <si>
    <r>
      <t xml:space="preserve">Formula automatica: Donde aparece además de la edad gestacional al momento de la toma de la Prueba Rapida, las siguientes alertas: </t>
    </r>
    <r>
      <rPr>
        <b/>
        <u/>
        <sz val="11"/>
        <rFont val="Calibri"/>
        <family val="2"/>
        <scheme val="minor"/>
      </rPr>
      <t>EN ESPERA-ESTÁ I TRIM (Le falta tiempo para la toma del tamizaje), NO APLICA-SALIO DEL PROGRAMA I TRIM (No se toma tamizaje sale antes del II Trim), REGISTRAR EN I TRIMESTRE,REGISTRAR EN III TRIMESTRE (Colocar datos en las columnas que corresponden y quitarlo de esta casilla),EN RANGO PARA TOMAR EXAMEN (Esta dentro del II TRIM de gestación),TOMA INMEDIATA DE TAMIZAJE (Faltan tres semanas para cambio de Trimestre),PIERDE TOMA DE TAMIZAJE (Paso al otro Trim de gestación sin reporte de tamizaje),NO APLICA-INGRESO TARDIO (No se deben registrar datos de Tamizaje)</t>
    </r>
    <r>
      <rPr>
        <sz val="11"/>
        <color theme="1"/>
        <rFont val="Calibri"/>
        <family val="2"/>
        <scheme val="minor"/>
      </rPr>
      <t>. Para apoyar el seguimiento de la gestante y el registro adecuado de información.</t>
    </r>
  </si>
  <si>
    <r>
      <t xml:space="preserve">Lista desplegable segun resultado del Tamizaje soportado en HC y/o resultado de laboratorio de la Prueba rapida de sifilis  tomada en el II  Trimestre de la gestación : P.R Negativa (Prueba Rápida), P.R Positiva Caso Sífilis (Prueba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P.R Positiva Cicatriz(Prueba Rápida </t>
    </r>
    <r>
      <rPr>
        <u/>
        <sz val="11"/>
        <color rgb="FFFF0000"/>
        <rFont val="Calibri"/>
        <family val="2"/>
        <scheme val="minor"/>
      </rPr>
      <t>No aplica</t>
    </r>
    <r>
      <rPr>
        <sz val="11"/>
        <rFont val="Calibri"/>
        <family val="2"/>
        <scheme val="minor"/>
      </rPr>
      <t xml:space="preserve"> si Tamizaje anterior fue </t>
    </r>
    <r>
      <rPr>
        <sz val="11"/>
        <color rgb="FFFF0000"/>
        <rFont val="Calibri"/>
        <family val="2"/>
        <scheme val="minor"/>
      </rPr>
      <t>POSITIVO</t>
    </r>
    <r>
      <rPr>
        <sz val="11"/>
        <rFont val="Calibri"/>
        <family val="2"/>
        <scheme val="minor"/>
      </rPr>
      <t xml:space="preserve">), </t>
    </r>
    <r>
      <rPr>
        <b/>
        <u/>
        <sz val="11"/>
        <rFont val="Calibri"/>
        <family val="2"/>
        <scheme val="minor"/>
      </rPr>
      <t>Diluciones estables</t>
    </r>
    <r>
      <rPr>
        <sz val="11"/>
        <rFont val="Calibri"/>
        <family val="2"/>
        <scheme val="minor"/>
      </rPr>
      <t xml:space="preserve"> (VDRL o RPR seguimiento si tamizaje anterior con PR fue </t>
    </r>
    <r>
      <rPr>
        <b/>
        <u/>
        <sz val="11"/>
        <color rgb="FFFF0000"/>
        <rFont val="Calibri"/>
        <family val="2"/>
        <scheme val="minor"/>
      </rPr>
      <t>POSITIVO y permanece la misma Dilución del Trim anterior</t>
    </r>
    <r>
      <rPr>
        <sz val="11"/>
        <rFont val="Calibri"/>
        <family val="2"/>
        <scheme val="minor"/>
      </rPr>
      <t xml:space="preserve">), </t>
    </r>
    <r>
      <rPr>
        <b/>
        <u/>
        <sz val="11"/>
        <rFont val="Calibri"/>
        <family val="2"/>
        <scheme val="minor"/>
      </rPr>
      <t>Diluciones disminuyen</t>
    </r>
    <r>
      <rPr>
        <sz val="11"/>
        <rFont val="Calibri"/>
        <family val="2"/>
        <scheme val="minor"/>
      </rPr>
      <t xml:space="preserve"> (VDRL o RPR, </t>
    </r>
    <r>
      <rPr>
        <b/>
        <u/>
        <sz val="11"/>
        <color rgb="FFFF0000"/>
        <rFont val="Calibri"/>
        <family val="2"/>
        <scheme val="minor"/>
      </rPr>
      <t>las diluciones con menores comparadas con las del Trim Anterio</t>
    </r>
    <r>
      <rPr>
        <sz val="11"/>
        <rFont val="Calibri"/>
        <family val="2"/>
        <scheme val="minor"/>
      </rPr>
      <t xml:space="preserve">r), </t>
    </r>
    <r>
      <rPr>
        <b/>
        <u/>
        <sz val="11"/>
        <rFont val="Calibri"/>
        <family val="2"/>
        <scheme val="minor"/>
      </rPr>
      <t>Diluciones aumentan</t>
    </r>
    <r>
      <rPr>
        <sz val="11"/>
        <rFont val="Calibri"/>
        <family val="2"/>
        <scheme val="minor"/>
      </rPr>
      <t xml:space="preserve">  (VDRL o RPR, </t>
    </r>
    <r>
      <rPr>
        <b/>
        <u/>
        <sz val="11"/>
        <color rgb="FFFF0000"/>
        <rFont val="Calibri"/>
        <family val="2"/>
        <scheme val="minor"/>
      </rPr>
      <t>las diluciones se elevan comparadas con los resulatdos del trimestre anterior</t>
    </r>
    <r>
      <rPr>
        <sz val="11"/>
        <rFont val="Calibri"/>
        <family val="2"/>
        <scheme val="minor"/>
      </rPr>
      <t>) -</t>
    </r>
    <r>
      <rPr>
        <b/>
        <u/>
        <sz val="11"/>
        <rFont val="Calibri"/>
        <family val="2"/>
        <scheme val="minor"/>
      </rPr>
      <t>NO SE DEBE REGISTAR INFORMACIÓN EN ESTA CASILLA CASO DE HABER TOMADO EL EXAMEN ANTES DE LA SEMANA 28.</t>
    </r>
  </si>
  <si>
    <r>
      <t xml:space="preserve">Formula automatica: Donde aparece además de la edad gestacional al momento de la toma de la Prueba Rapida, las siguientes alertas: </t>
    </r>
    <r>
      <rPr>
        <b/>
        <u/>
        <sz val="11"/>
        <rFont val="Calibri"/>
        <family val="2"/>
        <scheme val="minor"/>
      </rPr>
      <t>EN ESPERA-ESTÁ I TRIM O II TRIM (Le falta tiempo para la toma del tamizaje), NO APLICA-SALIO DEL PROGRAMA I O II TRIM (No se toma tamizaje sale antes del II Trim), REGISTRAR EN I TRIMESTRE,REGISTRAR EN II TRIMESTRE (Colocar datos en las columnas que corresponden y quitarlo de esta casilla),EN RANGO PARA TOMAR EXAMEN (Esta dentro del II TRIM de gestación),TOMA INMEDIATA DE TAMIZAJE (Faltan tres semanas para cambio de Trimestre),PIERDE TOMA DE TAMIZAJE (Llega al parto sin reporte de tamizaje),NO APLICA-SIN CPN (No se deben registrar datos de Tamizaje)</t>
    </r>
    <r>
      <rPr>
        <sz val="11"/>
        <color theme="1"/>
        <rFont val="Calibri"/>
        <family val="2"/>
        <scheme val="minor"/>
      </rPr>
      <t>. Para apoyar el seguimiento de la gestante y el registro adecuado de información.</t>
    </r>
  </si>
  <si>
    <r>
      <t xml:space="preserve">Formula Automatica que reporta los casos de </t>
    </r>
    <r>
      <rPr>
        <u/>
        <sz val="11"/>
        <color rgb="FFFF0000"/>
        <rFont val="Calibri"/>
        <family val="2"/>
        <scheme val="minor"/>
      </rPr>
      <t>sifilis gestacional</t>
    </r>
    <r>
      <rPr>
        <sz val="11"/>
        <color theme="1"/>
        <rFont val="Calibri"/>
        <family val="2"/>
        <scheme val="minor"/>
      </rPr>
      <t xml:space="preserve"> que se presenten independiente del trimestre de gestación en que se diagnostique</t>
    </r>
  </si>
  <si>
    <t>Aparece la siguiente lista desplegable: NO APLICA (Sin factor de riesgo);NEGATIVO (Resultado del examen);POSITIVO (Resultado del examen);INDETERMINADO(Resultado del examen);SOLICICTADO Y NO TOMADO</t>
  </si>
  <si>
    <t>Fecha en D M A del Resultado del la Prueba ELISA para detección de anticuerpos IgG anti T. cruzi de antígenos totales para Chagas</t>
  </si>
  <si>
    <t>NO APLICA (Sin factor de riesgo, no zona endémica);NEGATIVO; POSITIVO;SOLICITADO NO TOMADO</t>
  </si>
  <si>
    <t>Fecha en D M A del Resultado del la Prueba Gota Gruesa para Malaría aplicada en zonas endémicas o en gestantes con factores de riesgo</t>
  </si>
  <si>
    <t>Lista desplegable según correponda. Se debe colocar el número de pruebas para gota gruesa realizadas (1 mensual), soportados en HC de cero (0) a Nueve (9). Se coloca NO APLICA: En caso de que la columna HF Y HH indique " NO APLICA".</t>
  </si>
  <si>
    <t>Listado desplegable, opciones de diagnóstico semaforizado para SARS CoV2. Elegir entre las opciones, no dejar en blanco  SIN INFECCIÓN POR SARS-CoV2; NO SE EVALUA RIESGO INFECCIÓN COVID19; FACTOR DE RIESGO PARA COVID19; COVID19 PRIMER TRIMESTRE;  COVID19 SEGUNDO TRIMESTRE;  COVID19 TERCER TRIMESTRE;  COVID19 PUERPERIO</t>
  </si>
  <si>
    <t>Elegir la opción que corresponda frente al inicio del trabajo de parto: INICIO ESPONTÁNEO (Opción básica para baja complejidad); LE HACEN INDUCCIÓN (Para nivel complementario); LE HACEN CESÁREA SIN INICIO TRABAJO DE PARTO (Puede corresponder a casos de cesáreas programadas);SIN DATO</t>
  </si>
  <si>
    <t>FECHA DE CONCERTACIÓN PLAN DE PARTO (Soporte HC)</t>
  </si>
  <si>
    <t>PROCESO COMPLETO DE ATENCIÓN: Debe incluir con soporte en HC de: Consulta inicial con formulación de laboratorios, Consulta de control con manejo según protocolo - al menos 3 meses antes de la FUM. PROCESO PARCIAL DE ATENCIÓN: No completa todas las actividades que se definene parael proceso completo SIN ATENCIÓN: Cuando el proceso de atención ha sido incompleto o no se ha realizado.  SIN DATO: No se tiene información clara del proceso</t>
  </si>
  <si>
    <r>
      <t xml:space="preserve">Aparece </t>
    </r>
    <r>
      <rPr>
        <sz val="11"/>
        <color rgb="FFFF0000"/>
        <rFont val="Calibri"/>
        <family val="2"/>
        <scheme val="minor"/>
      </rPr>
      <t>lista desplegable</t>
    </r>
    <r>
      <rPr>
        <sz val="11"/>
        <color theme="1"/>
        <rFont val="Calibri"/>
        <family val="2"/>
        <scheme val="minor"/>
      </rPr>
      <t xml:space="preserve"> del 0 al 7 - Elija el número de sesiones realizadas a la gestante y su familia, según corresponda - Casilla debe ser actualizada cada nueva sesión.</t>
    </r>
  </si>
  <si>
    <t>Formula Automatica con las opciones : MES DE CONTROL, SEMANA DE CONTROL, DIA DE CONTROL, INASISTENTE, SEGUIMIENTO FUERA MUNICIPIO, BUSCAR PARA INGRESO A CPN; DILIGENCIAR FECHA SALIDA PROGRAMA</t>
  </si>
  <si>
    <t>Formula Automatica con las opciones : MES DE CONTROL, SEMANA DE CONTROL, DIA DE CONTROL, INASISTENTE, SEGUIMIENTO FUERA MUNICIPIO, BUSCAR PARA INGRESO A CPN;DILIGENCIAR FECHA SALIDA PROGRAMA</t>
  </si>
  <si>
    <r>
      <t>Formula que muestra las siguiente alertas: .- "EN ESPERA PARA VACUNAR"; Mujeres con edad gestacional menor a 20 semanas, aun no aplican para la Vacuna. "COLOCAR VACUNA"; Mujeres entre semana 20 a 26, se les aplica vacuna S</t>
    </r>
    <r>
      <rPr>
        <u/>
        <sz val="11"/>
        <color theme="1"/>
        <rFont val="Calibri"/>
        <family val="2"/>
        <scheme val="minor"/>
      </rPr>
      <t>EGÚN LINEAMIENTOS DE VACUNACIÓN PARA DPT ACELULAR</t>
    </r>
    <r>
      <rPr>
        <sz val="11"/>
        <color theme="1"/>
        <rFont val="Calibri"/>
        <family val="2"/>
        <scheme val="minor"/>
      </rPr>
      <t>". .- "INASISTENTE"; Mujer con mas de 26 semanas de gestación sin vacuna DPT acelular. .- "VACUNA APLICADA CON OPORTUNIDAD"; Mujer vacunada en el intervalo de 20 a 26 semanas según lineamientos de vacunación. .- "VACUNA APLICADA FUERA DE RANGO"; Mujer vacunada despue de la semana 26. .- "SALE SIN VACUNA"; Mujer que ya salio del programa por parto o cesárea, sin vacuna DPT acelular.</t>
    </r>
  </si>
  <si>
    <t>NÚMERO DE GESTANTES QUE SALEN CON PLANIFICACIÓN POST EVENTO OBSTÉTRICO ATENDIDAS EN BAJA COMPELJIDAD</t>
  </si>
  <si>
    <t>PRESENTACION DEL FETO - ACTUALIZAR DESPUÉS DE LA SEMANA 32</t>
  </si>
  <si>
    <t>ALERTA DE PLAN DE PARTO</t>
  </si>
  <si>
    <t>Número muertes perinales/neonatales tempranas y tardías</t>
  </si>
  <si>
    <t># Gestantes con 37 o más semanas de gestación al momento del parto</t>
  </si>
  <si>
    <t># Gestantes con 37 o más semanas de gestación al momento del parto y con 7 sesiones del curso de maternidad y paternidad</t>
  </si>
  <si>
    <t># Gestantes con 37 o más semanas de gestación al momento del parto y con plan de parto establecido</t>
  </si>
  <si>
    <t>CURSO DE MATERNIDAD Y PATERNIDAD</t>
  </si>
  <si>
    <t>Relación Morbilidad Materna Extrema(MME) / Muerte Materna temprana (MM)</t>
  </si>
  <si>
    <t xml:space="preserve">Índice de mortalidad materna de los casos de MME </t>
  </si>
  <si>
    <t>Número de casos de Muerte Materna Temprana</t>
  </si>
  <si>
    <t>(Morbilidad Materna Extrema(MME) + Muerte Materna temprana (MM))</t>
  </si>
  <si>
    <t xml:space="preserve">CONTACTO PIEL A PIEL DURANTE MÍNIMO 30 MINUTOS </t>
  </si>
  <si>
    <t>INICIO DE LACTANCIA MATERNA DURANTE EL CONTACTO PIEL A PIEL O EN LA PRIMERA HORA DE VIDA</t>
  </si>
  <si>
    <t>Proporción de gestantes con valoración de la salud bucal</t>
  </si>
  <si>
    <t xml:space="preserve">Número de mujeres atendidas en la baja complejidad que durante el alumbramiento reciben 10 unidades de oxitocina </t>
  </si>
  <si>
    <t xml:space="preserve">Número de mujeres atendidas en nivel complementario que durante el alumbramiento reciben 10 unidades de oxitocina </t>
  </si>
  <si>
    <t>Porcentaje de partos con manejo activo del tercer período de parto en nivel complementario</t>
  </si>
  <si>
    <t xml:space="preserve"># DE TAMIZAJES SIFILIS TOMADOS </t>
  </si>
  <si>
    <t xml:space="preserve"># DE TAMIZAJES VIH TOMADOS </t>
  </si>
  <si>
    <t>FECHA RESULTADO TAMIZAJE VIH I TRIMESTRE</t>
  </si>
  <si>
    <t>FECHA RESULTADO TAMIZAJE VIH II TRIM</t>
  </si>
  <si>
    <t>FECHA RESULTADO TAMIZAJE VIH III TRIM</t>
  </si>
  <si>
    <t>Lista despleglable según corresponda:  .- "ADECUADO SEGÚN GPC" : Revisar condiciones GPC, dar 300 mg al día y en caso de dx de anemia o hemoglobina menor de 11,5 mg/dl dar 2 tabletas al día. en semanas de gestació, dosis y/o restricciones.  .- "SUMINSTRO IRREGULAR": NO Aparece sopore de la formulación de este micronutriente en todos los controles y no hay contraindicación. .- "NO SE FORMULA" : No hay soporte de la formulación de este micronutriente en ningún control y no hay contraindicación.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Por tener resultado de hemoglobina mayor a 14 mg/dl.</t>
  </si>
  <si>
    <t>MONITORIA CADA 15 MINUTOS DE SIGNOS VITALES DURANTES LAS PRIMERAS DOS HORAS POSTPARTO (SOPORTE EN HC - 8 VALORACIONES EN LAS PRIMERAS 2 HORAS)</t>
  </si>
  <si>
    <t xml:space="preserve"> EVENTO DE INTERES EN SALUD PÚBLICA DE LA MADRE</t>
  </si>
  <si>
    <t xml:space="preserve"> EVENTO DE INTERES EN SALUD PÚBLICA DEL RECIÉN NACIDO2</t>
  </si>
  <si>
    <t>Registre el nombre la Institucion donde se atendio el parto, aborto o IVE. En el caso de los partos en DOMICILIO o extrainstitucionales se debe colocar "NO APLICA"</t>
  </si>
  <si>
    <t>Lista despleglable según corresponda:  .- "ADECUADO SEGÚN GPC" : Revisar condiciones GPC, iniciar formulación a partir de semana 12 (1200 mg - 2 tabletas al día) en semanas de gestació, dosis y/o restricciones.  .- "SUMINSTRO IRREGULAR": NO Aparece sopore de la formulación de este micronutriente en todos los controles a partir de la semana 12. .- "NO SE FORMULA" : No hay soporte de la formulación de este micronutriente en ningún control realizado a partir de la semana 14. .- "SUMINISTRO DE OTRO COMPLEMENTO NUTRICIONAL" Cuando aparece al soporte en la HC de que la mujer esta consumiento otro tipo de complemento en vez del micronutriente. .- SIN DATO: En la HC no se soporta de una forma adecuada la formulación de micronutrientes, no hay dato de dosis, se utilizan siglas o no hay soporte alguno de que se formulo. NO APLICA: Por tener edad gestacional menor a 12 semanas</t>
  </si>
  <si>
    <t>Lista desplegable según corresponda. Se coloca "SD": si en la columna HO aparece alguna alerta de "Riesgo de complicaciones Hipertensivas" y NO APLICA: Si  la columna HO aparece "Sin atecedentes de riesgo".</t>
  </si>
  <si>
    <t>REQUIRIO MANEJO ODONTOLOGICO DURANTE LA GESTACIÓN</t>
  </si>
  <si>
    <t>Lista desplegable según corresponda. SI: Cuando a la valoración odontológica requiere manejo. NO: Cuando a la valoración odontológica no require manejo. SD: cuando no ha recibido valoración odontologica o no hay información sobre manejo o no odontológico en la HC</t>
  </si>
  <si>
    <t>Porcentaje de partos con manejo activo del tercer período de parto en nivel primario</t>
  </si>
  <si>
    <t>ATENCION INSTITUCIONAL DEL PARTO NIVEL PRIMARIO</t>
  </si>
  <si>
    <t>% ATENCIÓN PARTO EN NIVEL PRIMARIO</t>
  </si>
  <si>
    <t>% DE GESTANTES CON PLANIFICACIÓN POST EVENTO OBSTERICO NIVEL PRIMARIO</t>
  </si>
  <si>
    <t>% DE GESTANTES CON PLANIFICACIÓN POST EVENTO OBSTERICO NIVEL COMPLEMENTARIO</t>
  </si>
  <si>
    <t>NÚMERO DE GESTANTES QUE SALEN CON PLANIFICACIÓN POST EVENTO OBSTÉTRICO ATENDIDAS EN NIVEL COMPLEMENTARIO</t>
  </si>
  <si>
    <t xml:space="preserve">% MUJERES GESTANTES CON ATENCIÓN PRECONCEPCIONAL </t>
  </si>
  <si>
    <t>Mujeres gestantes que han realizado proceso completo de atención preconcepcional</t>
  </si>
  <si>
    <t>Proporción de gestantes de alto riesgo con al menos una atención prenatal realizada por especialista</t>
  </si>
  <si>
    <t>Número de mujeres gestantes de alto riesgo según mes de ingreso que han tenido al menos una consulta con ginecologo</t>
  </si>
  <si>
    <t># DE TAMIZAJES VIH Y SIFILIS A TOMAR SEGÚN TRIM INICIO CPN Y SALIDA DEL PROGRAMA</t>
  </si>
  <si>
    <t>COMPLICACIONES POSTPARTO - HASTA 42 DÍAS</t>
  </si>
  <si>
    <t>Proporción de gestantes que terminan gestación con tamizaje para sífilis completo según Trimestre de ingreso y salida de la atención prental</t>
  </si>
  <si>
    <t>Número de mujeres que terminan gestación por cualquier causa</t>
  </si>
  <si>
    <t>Número de mujeres que terminan gestación por cualquier causa y tienen Tamizaje completo de Sífilis según edad gestacional de ingreso y salida de la ruta</t>
  </si>
  <si>
    <t>Alarma de apoyo Tamizaje Sífilis</t>
  </si>
  <si>
    <t>Alarma de apoyo Tamizaje VIH</t>
  </si>
  <si>
    <t>Número de mujeres que terminan gestación por cualquier causa y tienen Tamizaje completo de VIH según edad gestacional de ingreso y salida de la ruta</t>
  </si>
  <si>
    <t xml:space="preserve">Proporción de gestantes con tamizaje para VIH </t>
  </si>
  <si>
    <t xml:space="preserve">Número de mujeres gestantes de alto riesgo según mes de ingreso </t>
  </si>
  <si>
    <t>Número de gestantes que acceden a consulta por profesional de odontología durante la etapa prenatal que han tenido parto a término</t>
  </si>
  <si>
    <t>FECHA VACUNA TD</t>
  </si>
  <si>
    <t>Número de partos en los que se diligencia el partograma en el nivel primario</t>
  </si>
  <si>
    <t>Número de gestantes con atención de parto, que aplican para diligenciamiento de partograma en el nivel primario</t>
  </si>
  <si>
    <t>Porcentaje de partos en los que se diligencia el partograma del total de partos atendidos  nivel primario</t>
  </si>
  <si>
    <t>Número de partos en los que se diligencia el partograma en el nivel complementario</t>
  </si>
  <si>
    <t>Número de gestantes con atención de parto, que aplican para diligenciamiento de partograma en el nivel complementario</t>
  </si>
  <si>
    <t>Porcentaje de partos en los que se diligencia el partograma del total de partos atendidos en el nivel complementario</t>
  </si>
  <si>
    <t># DE MUJERES CON SUMINISTRO ADECUADO DE MICRONUTRIENTES</t>
  </si>
  <si>
    <t>AIC</t>
  </si>
  <si>
    <t>ACTIVA EN CPN ALTO RIESGO</t>
  </si>
  <si>
    <t>ACTIVA EN CPN ALTO RIESGO CON CONSULTA GINECOLOGIA</t>
  </si>
  <si>
    <t>NÚMERO DE GESTANTES ATENDIDAS EN MEDIANA Y ALTA COMPLEJIDAD QUE SALEN DEL PROGRAMA POR CUALQUIER CAUSA</t>
  </si>
  <si>
    <t>Número de mujeres gestantes con atención de parto o cesárea en nivel complementario</t>
  </si>
  <si>
    <t>Proporcion de gestantes con asesoria en anticoncepción durante el CPN</t>
  </si>
  <si>
    <t>Cobertura de gestantes con consulta de nutrición gestaciones a término</t>
  </si>
  <si>
    <t>Número de gestantes que acceden a consulta por profesional de nutrición y dietética durante la etapa prenatal con gestaciones a término</t>
  </si>
  <si>
    <t>Proporción de mujeres con suministro adecuado de micronutrientes que salen del programa por parto o cesárea</t>
  </si>
  <si>
    <t>Número de mujeres con suministro adecuado de micronutrientes según la GPC que salen del programa por parto o cesárea</t>
  </si>
  <si>
    <t>ACTIVA CON SUMINISTRO ADECUADO DE MICRONUTRIENTES</t>
  </si>
  <si>
    <t>EPS</t>
  </si>
  <si>
    <t xml:space="preserve">Proporción de mujeres que reciben consulta de control del puerperio </t>
  </si>
  <si>
    <t xml:space="preserve">Número de mujeres que reciben atención del puerperio entre el tercer y quinto día posparto </t>
  </si>
  <si>
    <t xml:space="preserve">Proporción de recién nacidos con atención para el seguimiento entre 3 y 5 días </t>
  </si>
  <si>
    <t>Número de recién nacidos que reciben atención para el seguimiento entre el tercer y quinto día después de su nacimiento</t>
  </si>
  <si>
    <t>Proporcion de mujeres gestantes que terminan su gestación con parto o cesáres vacunadas con DPT Acelular</t>
  </si>
  <si>
    <t>Número de mujeres gestantes que terminan su gestación con parto o cesáres vacunadas con DPT Acelular</t>
  </si>
  <si>
    <t>Alarma apoyo DPT Acelular vacunadas</t>
  </si>
  <si>
    <t>Número de mujeres gestantes que terminan su gestación con parto o cesáres vacunadas con Anti Influenza</t>
  </si>
  <si>
    <t>Proporcion de mujeres gestantes que terminan su gestación con parto o cesáres vacunadas con Anti Influenza</t>
  </si>
  <si>
    <t>Número de mujeres gestantes que terminan su gestación con parto o cesáres vacunadas con Anti COVID19 2 DOSIS</t>
  </si>
  <si>
    <t>Proporcion de mujeres gestantes que terminan su gestación con parto o cesáres vacunadas con Anti COVID19 2 DOSIS</t>
  </si>
  <si>
    <t>Número de mujeres gestantes que terminan su gestación con parto o cesáres vacunadas con TD</t>
  </si>
  <si>
    <t>Proporcion de mujeres gestantes que terminan su gestación con parto o cesáres vacunadas con TD</t>
  </si>
  <si>
    <t>Porcentaje de partos con monitoría de signos vitales (cada 15 minutos) durante el puerperio inmediato en nivel primario</t>
  </si>
  <si>
    <t>Porcentaje de partos con monitoría de signos vitales (cada 15 minutos) durante el puerperio inmediato en nivel complementario</t>
  </si>
  <si>
    <t>Número demujeres en posparto con monitoría de signos vitales (cada 15 minutos) durante el puerperio inmediato en nivel primario</t>
  </si>
  <si>
    <t>Número demujeres en posparto con monitoría de signos vitales (cada 15 minutos) durante el puerperio inmediato en nivel complementario</t>
  </si>
  <si>
    <t>ACTIVA CON TAMIZAJE DE SÍFILIS COMPLETO A LA EDAD GESTACIONAL</t>
  </si>
  <si>
    <t>TOTAL BASE</t>
  </si>
  <si>
    <t>ACTIVA EN CPN ENTRE SEMANA 37 Y 42</t>
  </si>
  <si>
    <t>ACTIVA ENTRE SEMANA 37 Y 42  CON PLAN DE PARTO ESTABLECIDO</t>
  </si>
  <si>
    <t>ACTIVA CON TAMIZAJE DE VIH COMPLETO A LA EDAD GESTACIONAL</t>
  </si>
  <si>
    <t>Proporcion de gestantes con Plan de parto establecido a las 37 o más semanas al momento del parto</t>
  </si>
  <si>
    <t>% Cobertura de gestantes con asistencia a curso de preparación de la maternidad y la paternidad (7 sesiones) que tiene 37 o más semanas al momento del parto</t>
  </si>
  <si>
    <t>NÚMERO DE PARTOS VAGINALES</t>
  </si>
  <si>
    <t>NÚMERO DE PARTOS POR CESÁREAS</t>
  </si>
  <si>
    <t>Número de gestantes que reciben asesoría en anticoncepción durante la gestación reportadas por Historía Clínica</t>
  </si>
  <si>
    <t>Número de gestantes que reciben consejeria en lactancia materna durante la gestación reportadas por Historia Clínica y que salen del programa por parto o cesárea</t>
  </si>
  <si>
    <t>Proporción de gestantes con consejería de lactancia materna durante la gestación que han salido del programa por parto o cesárea</t>
  </si>
  <si>
    <t>Número de mujeres que tienen soporte en Historia Clínica de haber iniciado lactancia materna en la primera hora de nacido nivel primario</t>
  </si>
  <si>
    <t>Número de mujeres que tienen soporte en Historia Clinica de haber iniciado lactancia materna en la primera hora de nacido nivel complementario</t>
  </si>
  <si>
    <t>Porcentaje de mujeres que tienen reporte por Historia Clinica de haber iniciado lactancia materna al recién nacido en la primera hora después del nacimiento nivel complementario</t>
  </si>
  <si>
    <t>Porcentaje de mujeres que tienen reporte por Historia Clínica de haber iniciado lactancia materna al recién nacido en la primera hora después del nacimiento nivel primario</t>
  </si>
  <si>
    <t>ACTIVA ENTRE SEMANA 37 Y 42  CON VACUNACIÓN PARA DPT ACELULAR</t>
  </si>
  <si>
    <t>NO USAR FILA 2</t>
  </si>
  <si>
    <t>FECHA RESULTADO I TRIM</t>
  </si>
  <si>
    <t> Total de mujeres gestantes captadas a semana 12</t>
  </si>
  <si>
    <t>CAPTACIÓN A SEMANA 12</t>
  </si>
  <si>
    <t>% CAPTACIÓN GENERAL ANTES  SEMANA 10</t>
  </si>
  <si>
    <t xml:space="preserve"> Total de mujeres gestantes captadas antes de las 10 ss  x </t>
  </si>
  <si>
    <t>USO DE SUSTANCIAS PSICOACTIVAS</t>
  </si>
  <si>
    <t>NIVEL SOCIO ECONOMICO BAJO</t>
  </si>
  <si>
    <t>ANTECEDENTE. PESO BEBE MAYOR A 4000</t>
  </si>
  <si>
    <t>ANTECEDENTE. PESO BEBE MENOR A  2500</t>
  </si>
  <si>
    <t>ANTECEDENTE EMBARAZO ECTOPICO, RECANALIZACION DE TROMPAS O CX UTERINA (MIOMECTOMIA)</t>
  </si>
  <si>
    <t xml:space="preserve">EMB ACTUAL REPRODUCCIÓN ASISTIDA </t>
  </si>
  <si>
    <t>FUM x AMENORREA</t>
  </si>
  <si>
    <t>EN EMB. ACTUAL  RESTRICCIÓN DEL CRECIMIENTO INTRAUTERINO</t>
  </si>
  <si>
    <t>ACUERDO POSIBLE LUGAR DE NACIMIENTO (SEGÚN PLAN DE PARTO)</t>
  </si>
  <si>
    <t>ACTUAL</t>
  </si>
  <si>
    <t>Acumulado</t>
  </si>
  <si>
    <t>v23.03</t>
  </si>
  <si>
    <t>VACUNACION COVID19</t>
  </si>
  <si>
    <t>Tipo de ECO 1</t>
  </si>
  <si>
    <t>Tipo de ECO 2</t>
  </si>
  <si>
    <t>POBLACIÓN INMIGRANTE</t>
  </si>
  <si>
    <t>% CAPTACIÓN POBLACIÓN INMIGRANTE</t>
  </si>
  <si>
    <t>Mujeres gestantes inmigrantes que ingresan al progama</t>
  </si>
  <si>
    <t> Total de mujeres gestantes inmigrantes captadas  antes de las 10 semanas</t>
  </si>
  <si>
    <t>Mujeres gestantes que ingresan al progama (No incluye Población Inmigrante)</t>
  </si>
  <si>
    <t>ANTECEDENTE PARTO PRETERMINO</t>
  </si>
  <si>
    <t>ANTECEDENTE. PLACENTA PREVIA, ABRUPTIO DE PLACENTA, RETENCION PLACENTARIA, O HEMORRAGIA POSTPARTO</t>
  </si>
  <si>
    <t>EN EMB ACTUAL ANOMALIA CONGÉNITA</t>
  </si>
  <si>
    <t>TIENE EPILEPSIA</t>
  </si>
  <si>
    <t>RESULTADO DE HEMOCLASIFICACIÓN RH Y RIESGO DE ISOINMUNIZACIÓN</t>
  </si>
  <si>
    <t>FECHA RESULTADO DE HEMOCLASIFICACIÓN RH Y RIESGO DE ISOINMUNIZACIÓN</t>
  </si>
  <si>
    <t>EDAD GESTACIONAL HEMOCLASIFICACIÓN RH</t>
  </si>
  <si>
    <t>OBITO MUERTE PERINAT Y NEONATAL TARDIA</t>
  </si>
  <si>
    <t>PUNTAJE VIH DX ACTUAL O ANTIGUO RBPS3</t>
  </si>
  <si>
    <t>TIENE VIH PRE GESTACIONAL</t>
  </si>
  <si>
    <t>RESULTADO HEMOGLOBINA INGRESO, ANTES DEL III TRIMESTRE</t>
  </si>
  <si>
    <t>SEMANAS DE GESTACION ULTIMO CPN</t>
  </si>
  <si>
    <t>IMC ÚLTIMO CPN</t>
  </si>
  <si>
    <t>CLASIFICACION SEGÚN CURVA ATALAH - ÚLTIMO CPN</t>
  </si>
  <si>
    <t>PESO EN Kg INGRESO O PRE GESTACIONAL</t>
  </si>
  <si>
    <t>FORMULA APOYO SEM GEST INICIO</t>
  </si>
  <si>
    <t>Menor</t>
  </si>
  <si>
    <t>CLASIFICACION NUTRICIONAL INGRESO</t>
  </si>
  <si>
    <t>MOMENTO EN QUE SE REALIZA EL PESO AL INGRESO A CPN</t>
  </si>
  <si>
    <t>ALARMA ALTURA UTERINA</t>
  </si>
  <si>
    <t>ALARMA 3 T.A SEMANA 30 A 34</t>
  </si>
  <si>
    <t>FECHA DEL ÚLTIMO CONTROL</t>
  </si>
  <si>
    <r>
      <t xml:space="preserve">ALTURA UTERINA  (En cm) </t>
    </r>
    <r>
      <rPr>
        <sz val="10"/>
        <color rgb="FFFF0000"/>
        <rFont val="Calibri"/>
        <family val="2"/>
        <scheme val="minor"/>
      </rPr>
      <t>ACTUALIZAR CADA MES</t>
    </r>
  </si>
  <si>
    <t>ALARMA T. A. MENSUAL</t>
  </si>
  <si>
    <t>FORMULA APOYO SEM GEST ÚLTIMO CPN</t>
  </si>
  <si>
    <t>FECHA INICIO DE SUMINISTRO DE ASA</t>
  </si>
  <si>
    <t>ALERTA SUMINISTRO DE ASA</t>
  </si>
  <si>
    <t>Lista despleglable según corresponda:  .- "ADECUADO SEGÚN GPC" : Revisar condiciones GPC, si hay antecedente de hijo anterior con defecto de tubo neural, consumo de anticonvulsivante y obesidad materna morbida IMC mayor o igual a 35 se debe incrementar la dosis a 4 mcgr al día - para las demás 1 mcgr al día. en semanas de gestació, dosis y/o restricciones.  .- "SUMINSTRO IRREGULAR": NO Aparece sopore de la formulación de este micronutriente en todos los controles especialmente antes de la semana 14. .- "NO SE FORMULA" : No hay soporte de la formulación de este micronutriente en ningún control realizado antes de de la semana 14. .- "SUMINISTRO DE OTRO COMPLEMENTO NUTRICIONAL" Cuando aparece el soporte en la HC de que la mujer esta consumiento otro tipo de complemento en vez del micronutriente. SIN DATO: En la HC no se soporta de una forma adecuada la formulación de micronutrientes, no hay dato de dosis, se utilizan siglas o no hay soporte alguno de que se formulo. NO APLICA: Ingreso después de la semana 12</t>
  </si>
  <si>
    <r>
      <t xml:space="preserve">PESO EN Kg  </t>
    </r>
    <r>
      <rPr>
        <sz val="11"/>
        <color rgb="FFFF0000"/>
        <rFont val="Calibri"/>
        <family val="2"/>
        <scheme val="minor"/>
      </rPr>
      <t>(ACTUALIZAR CADA MES)</t>
    </r>
  </si>
  <si>
    <r>
      <t>TA SISTOLICA (</t>
    </r>
    <r>
      <rPr>
        <sz val="11"/>
        <color rgb="FFFF0000"/>
        <rFont val="Calibri"/>
        <family val="2"/>
        <scheme val="minor"/>
      </rPr>
      <t>ACTUALIZAR CADA MES)</t>
    </r>
  </si>
  <si>
    <r>
      <t>TA DIASTOLICA (</t>
    </r>
    <r>
      <rPr>
        <sz val="11"/>
        <color rgb="FFFF0000"/>
        <rFont val="Calibri"/>
        <family val="2"/>
        <scheme val="minor"/>
      </rPr>
      <t>ACTUALIZAR CADA MES)</t>
    </r>
  </si>
  <si>
    <r>
      <rPr>
        <sz val="11"/>
        <color rgb="FFFF0000"/>
        <rFont val="Calibri"/>
        <family val="2"/>
        <scheme val="minor"/>
      </rPr>
      <t>Lista desplegable</t>
    </r>
    <r>
      <rPr>
        <sz val="11"/>
        <color theme="1"/>
        <rFont val="Calibri"/>
        <family val="2"/>
        <scheme val="minor"/>
      </rPr>
      <t xml:space="preserve"> Elegir de acuerdo a las condiciones visibles o manifestadas por la gestante: Desplazada, </t>
    </r>
    <r>
      <rPr>
        <sz val="11"/>
        <color rgb="FFFF0000"/>
        <rFont val="Calibri"/>
        <family val="2"/>
        <scheme val="minor"/>
      </rPr>
      <t>Habitante de Calle</t>
    </r>
    <r>
      <rPr>
        <sz val="11"/>
        <color theme="1"/>
        <rFont val="Calibri"/>
        <family val="2"/>
        <scheme val="minor"/>
      </rPr>
      <t>,Migratoria,Ninguna, Discapacitad Fisica, Disapacidad conductual, discapacidad auditiva, discapacidad visual, discapacidades multiples, discapacidad sistemica.</t>
    </r>
  </si>
  <si>
    <t xml:space="preserve">Registre el peso en Kilogramos pregestacional o de la consulta de ingreso a la atención prenatal. </t>
  </si>
  <si>
    <t>Formula que regista automáticamente la fecha del último control, a partir del dato registrado en las columnas de fecha de controles.</t>
  </si>
  <si>
    <t>PESO EN Kg  (ACTUALIZAR CADA MES)</t>
  </si>
  <si>
    <t xml:space="preserve">Formula Automatica del Indice de Masa Corporal según datos registrados de Peso que debe actualizarse cada mes y talla </t>
  </si>
  <si>
    <t>Formula Automática de las semanas de gestación según el dato de fecha del último control</t>
  </si>
  <si>
    <t>Registre en numeros la TA Sistolica cada mes</t>
  </si>
  <si>
    <t>Registre en numeros la TA Diastolica cada mes</t>
  </si>
  <si>
    <t>Lista desplegable: Sin Acuerdo; Domiciliario; IPS dentro Mpio; IPS Remisión fuera Mpio; Sin Dato</t>
  </si>
  <si>
    <t>Mayor</t>
  </si>
  <si>
    <t>Edad Gestacional, suministro de ASA</t>
  </si>
  <si>
    <t>FUM ELEGIDA</t>
  </si>
  <si>
    <t>EN EMB. ACTUAL RCIU" por "EN EMB. ACTUAL RESTRICCIÓN DEL CRECIMIENTO INTRAUTERINO</t>
  </si>
  <si>
    <t>FECHA APLICACIÓN DE RHESUMAN</t>
  </si>
  <si>
    <t>Registrar la ocupación de la gestante según indique en el interrogatorio de historia clínica de ingreso ; clasificandolas en la siguiente lista desplegable: Hogar Con apoyo; Hogar sin apoyo; Actualmente desempleada; Empleada formalmente sin riesgo; Empleada formalmente por jornada laboral extensa; Empleada formalmente con riesgo de accidente laboral; Empleada formalmente con riesgo a tóxicos; Empleo informal</t>
  </si>
  <si>
    <t>Lista desplegable Elegir de la lista desplegable según corresponda,  CPN OTRA IPS;VIENE DE OTRO MUNICIPIO;VIENE DE OTRO DPTO;SE TRASLADO DE EPS;TRAMITE DE PORTABILIDAD;SIN DOCUMENTO IDENTIDAD;SIN AFILIACIÓN A EPS;SIN NOVEDAD;POBLACIÓN INMIGRANTE. Esta ultima opción prima sobre las otras, de presentarse múltiples novedades, se debe registrar POBLACIÓN INMIGRANTE en esa casilla y las demás novedasdes en la Columna A, Novedades al momento de la captación</t>
  </si>
  <si>
    <t>Las sustancias psicoactivas incluyen: Alcohol, chicha, chirrincho, cigarrillo, mariguana, cocaina, heroína y demás sustancias afines. Diligenciar esta variable, según la siguiente Lista Desplegable:  Consumo Actual; Hasta Antes de la Gestación; No Consume;SD</t>
  </si>
  <si>
    <r>
      <t xml:space="preserve">Elegir  SI o NO según corresponda a si la gestante tiene un embarazo ectopico como antecedente, </t>
    </r>
    <r>
      <rPr>
        <sz val="11"/>
        <color rgb="FFFF0000"/>
        <rFont val="Calibri"/>
        <family val="2"/>
        <scheme val="minor"/>
      </rPr>
      <t>recanalización de trompas</t>
    </r>
    <r>
      <rPr>
        <sz val="11"/>
        <color theme="1"/>
        <rFont val="Calibri"/>
        <family val="2"/>
        <scheme val="minor"/>
      </rPr>
      <t xml:space="preserve"> o se le ha realizado una cirugía para manejo de miomas.</t>
    </r>
  </si>
  <si>
    <t>Registrar SI  o NO según corresponda. La opción SI estará semaforizada en rojo pues se considera antecedente de Riesgo Obstétrico  y la gestante debe ser valorada por ginecólogo y especialista y grupo interdisciplinario.</t>
  </si>
  <si>
    <t>Registrar: NO; SI, CONTROLADA; SI, SIN MANEJO; SI, NO CONTROLADA;SD según corresponda. La opción SI, SIN MANEJO; SI, NO CONTROLADA estará semaforizada en rojo pues se considera antecedente de Riesgo Obstétrico  y la gestante debe ser manejada por ginecólogo y especialista y grupo interdisciplinario.</t>
  </si>
  <si>
    <r>
      <rPr>
        <sz val="11"/>
        <color rgb="FFFF0000"/>
        <rFont val="Calibri"/>
        <family val="2"/>
        <scheme val="minor"/>
      </rPr>
      <t>Lista desplegable:</t>
    </r>
    <r>
      <rPr>
        <sz val="11"/>
        <color theme="1"/>
        <rFont val="Calibri"/>
        <family val="2"/>
        <scheme val="minor"/>
      </rPr>
      <t xml:space="preserve"> elegir Si No Sin Dato o</t>
    </r>
    <r>
      <rPr>
        <u/>
        <sz val="11"/>
        <color theme="1"/>
        <rFont val="Calibri"/>
        <family val="2"/>
        <scheme val="minor"/>
      </rPr>
      <t xml:space="preserve"> CORREGIDA, </t>
    </r>
    <r>
      <rPr>
        <u/>
        <sz val="11"/>
        <color rgb="FFFF0000"/>
        <rFont val="Calibri"/>
        <family val="2"/>
        <scheme val="minor"/>
      </rPr>
      <t>esta última se debe colocar cuando el dato de la FUM por amenorrea no es confiable o la Ecografía se toma antes de la semana 21 y hay una diferentecia mayor a 1 semana entre la FUM x amenorrea y la FUM por eco</t>
    </r>
    <r>
      <rPr>
        <u/>
        <sz val="11"/>
        <color theme="1"/>
        <rFont val="Calibri"/>
        <family val="2"/>
        <scheme val="minor"/>
      </rPr>
      <t>. En los casos de tener una ECO mayor a 20 semanas y diferencias mayores a 1 semana entre la FUM x amenorrea y la FUM por ECO; queda a criterio médico definir con cual de los datos se continuara realizando el seguimiento; para toma de decisiones.</t>
    </r>
  </si>
  <si>
    <r>
      <t xml:space="preserve">Formula automática, calcula la FUM por ecografía y se activa, cuando se digitan los datos de las columnas Bw (Fecha eco 1) y Bx (Semanas gestación eco 1), respectivamente.EN CASO DE QUE LA FUM NO SEA CONFIABLE, DEBE COLOCARSE EN LA COLUMNA BP (FUM FORMULA CONFIABLE) </t>
    </r>
    <r>
      <rPr>
        <sz val="11"/>
        <color rgb="FFFF0000"/>
        <rFont val="Calibri"/>
        <family val="2"/>
        <scheme val="minor"/>
      </rPr>
      <t xml:space="preserve">CORREGIDA. - </t>
    </r>
    <r>
      <rPr>
        <sz val="10"/>
        <color rgb="FFFF0000"/>
        <rFont val="Calibri"/>
        <family val="2"/>
        <scheme val="minor"/>
      </rPr>
      <t>ESTA ACCIÓN RECALCULARA EN FORMA AUTOMÁTICA TODOS LOS DATOS DE EDAD GESTACIONAL DE LA BASE. DE ACUERDO A LA FUM X ECO.</t>
    </r>
  </si>
  <si>
    <t>Formula automatica de las semanas de gestacion al ingreso; calculada a partir de la columna BO (FUM x Amenorrea) si en la Columna BP(FUM formula confiable) aparce "SI", o recalculada a partir de la Columna BS (si la ECO es tomada antes de la semana 21 y la diferencia entres la FUM x eco y FUM x amenorrea es mayor a 1 semana) y en la Columna  BP(FUM formula confiable) aparce "CORREGIDA"</t>
  </si>
  <si>
    <r>
      <t>Formula automatica del trimestres de gestacion al ingreso. el Trim I calcula el dato de ingreso hasta semana 10 - Cuando aparezca:</t>
    </r>
    <r>
      <rPr>
        <u/>
        <sz val="11"/>
        <color theme="1"/>
        <rFont val="Calibri"/>
        <family val="2"/>
        <scheme val="minor"/>
      </rPr>
      <t xml:space="preserve"> ERROR FUM O INGRESO Revisar coherencia entre los datos respectivos y hacer la corrección pertinente. Si aparece: DEFINIR FPP POR ECO; Completar la información una vez se tenga el dato de la Ecografía.</t>
    </r>
  </si>
  <si>
    <t>Lista deslegable: Temprana (&lt;10,6 Sem); Tamizaje Genético (11,0 a 13,6 Sem); Detalle anatómico (18,0 a 23,6 Sem); Otro tipo de ECO Obst (corresponde a la ECO obstetrica básica) - En caso de tener una eco Temprana y posteriormente la de tamizaje genético, se debe priorizar el dato de la eco genética.</t>
  </si>
  <si>
    <t>Lista desplegable: Detalle anatómico (18,0 a 23,6 Sem);  Otro tipo de ECO Obst (corresponde a la ECO obstetrica básica)</t>
  </si>
  <si>
    <r>
      <t xml:space="preserve">Lista desplegable: </t>
    </r>
    <r>
      <rPr>
        <b/>
        <sz val="11"/>
        <color rgb="FFFF0000"/>
        <rFont val="Calibri"/>
        <family val="2"/>
        <scheme val="minor"/>
      </rPr>
      <t>Esta variable no debe quedar vacia</t>
    </r>
    <r>
      <rPr>
        <sz val="11"/>
        <color theme="1"/>
        <rFont val="Calibri"/>
        <family val="2"/>
        <scheme val="minor"/>
      </rPr>
      <t xml:space="preserve"> PREGESTACIÓN: Debe aparecer registro en la HC, y aplica especialmente para las gestantes que ingresen tardiamente a partir de la seman 16 - según la norma debe indagarse el peso pregestacional para calcular la ganancia de peso; GESTACIÓN: Si ingresa en primer trimetre o por alguna razón; no se tiene dato pregestacional y se debe evaluar con el dato de la consulta de inicio.</t>
    </r>
  </si>
  <si>
    <t>Formula Automatica del Indice de Masa Corporal según datos registrados de Peso y talla de las 2 colunmas anteriores</t>
  </si>
  <si>
    <t>Registre el peso en Kilogramos cada mes, es necesario actualizar el dato, porque las alarmas funcionan automáticamente con los datos de  fecha de último control y el dato de edad gestacional, al actualizar el dato de fecha de control y no actualizar el dato de peso de la fecha respectiva, las alarmas marcarian un dato errado y en rojo, o irreal de la gestante.</t>
  </si>
  <si>
    <r>
      <t>Formula automatica según corresponda al IMC  del dato de último control, con las Opciones : Bajo Peso, Normal, Sobrepeso y Obesidad</t>
    </r>
    <r>
      <rPr>
        <u/>
        <sz val="11"/>
        <color theme="1"/>
        <rFont val="Calibri"/>
        <family val="2"/>
        <scheme val="minor"/>
      </rPr>
      <t>. RECUERDE ESTE DATO ES VERIDICO, SI SE REGISTRA CADA MES EL DATO DE PESO</t>
    </r>
  </si>
  <si>
    <t>Registre el dato de altura uterina en centimetros, cada mes, es necesario actualizar el dato, porque las alarmas funcionan automáticamente con los datos de  fecha de último control y el dato de edad gestacional correspondiente a dicha fecha, de no actualizar este dato, las alarmas marcarian un dato errado y en rojo, o irreal de la gestante.</t>
  </si>
  <si>
    <t>Formula automática que genera las siguientes alarmas: BAJO PARA EDAD GESTACIONAL(Dato AU se encuentra por debajo del percentil 10);ADECUADO PARA EDAD(Dato AU se encuentra entre percentil 10 y 90);ALTO PARA EDAD GESTACIONAL (Dato AU se encuentra por encima del percentil 90) NO APLICA-MENOR 13 SEM (aparece cuando sem gestación es menor a 13);NO APLICA- GEMELAR (Aparece cuando se ha colocado que es un embarazo multiple en la columna CC - Tiene embarazo multiple)</t>
  </si>
  <si>
    <t>Reporte el resultado de la hemoglobina de ingreso antes del III trimestre - Si ingresa en el III Trim, se debe colocar el dato en la columna ER (RESULTADO HEMOGLOBINA SEMANA 28)</t>
  </si>
  <si>
    <t>Formula automatica de la edad gestacional al momento del resultado de la HB y muestra las siguientes alarmas: ERROR FUM O INGRESO;CORREGIR FECHA RESULTADO;EN ESPERA PARA TOMA EXAMEN;PROGRAMAR TOMA HEMOGLOBINA A SEM 28;TOMA HEMOGLOBINA A SEM 28 EN 1 SEMANA;EN SEMANA 28 TOMA INMEDIATA DE EXAMEN;NO APLICA-SALE ANTES SEM 28;SALE SIN TAMIZAJE HEMOGLOBINA SEM 28;TOMA DE HEMOGLOBINA TARDÍA.</t>
  </si>
  <si>
    <t xml:space="preserve">EDAD GESTACIONAL HEMOCLASIFICACIÓN RH </t>
  </si>
  <si>
    <t>OBSERVACION RESULTADO DE HEMOCLASIFICACIÓN RH Y RIESGO DE ISOINMUNIZACIÓN/ SEMANA APLICACIÓN RHESUMAN</t>
  </si>
  <si>
    <t>Fecha en D M A del Resultado de la columna EV</t>
  </si>
  <si>
    <t>Elija de la lista desplegable según corresponda al análisis del resultado de RH: RH POSITIVO;RH NEGATIVO SIN COOMBS; RH NEGATIVO CON COOMBS NEGATIVO;RH NEGATIVO CON COOMBS POSITIVO</t>
  </si>
  <si>
    <t>Fecha en D M A del Resultado de la columna EV, cuando el resultado del examen sea: RH NEGATIVO CON COOMBS NEGATIVO, que implica colocar la vacuna Rhesuman.</t>
  </si>
  <si>
    <t>Formula automatica según resultado Rh: SIN RIESGO DE ISOINMUNIZACIÓN - COOMBS C/MES Y RESUMAN SEM 28 - TOMAR COOMBS CUANTITATIVO Y REMISIÓN - FALTAN DE 4 A 2 SEMANAS PARA APLICAR RHESUMAN A SEM 28;FALTAN 1 SEMANAS PARA APLICAR RHESUMAN A SEM 28;SEMANA 28 APLICAR DE INMEDIATO RHESUMAN;DEBE APLICAR RHESUMAN, ES NO OPORTUNO &gt; 28 SEMANAS;TOMAR COOMBS INMEDIATO PARA DEFINIR MANEJO.</t>
  </si>
  <si>
    <t>Formula automatica: de la edad gestacional al momento de la toma de la glicemia y además aparecen las siguietes alarmas: PIERDE TOMA TAMIZAJE- INGRESO TARDIO;NO APLICA &gt; 23 SEM -TOMAR PTOG;DIABETES PREGESTACIONAL- REMITIR.</t>
  </si>
  <si>
    <t>% CAPTACIÓN A  SEMANA 10 (sin inmigrantes Población Migrante)</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</si>
  <si>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12 SEMANAS, O DE HABER TOMADO EL EXAMEN DESPUES DE LA SEMANA 12.</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</si>
  <si>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INGRESO TARDÍO MAYOR A 28 SEMANAS, O DE HABER TOMADO EL EXAMEN ANTES DE LA SEMANA 12 O DESPUÉS DE LA SEMANA 28</t>
  </si>
  <si>
    <t>Diligencie la lista desplegable, aparecen las opciones para Prueba Rápida o para Elisa, según sea la técnica utilizada e informada en el resultado del examen, que debe estar soportado en HC o en resultado de laboratorio. NO SE DEBE REGISTAR INFORMACIÓN EN ESTA CASILLA CASO DE HABER TOMADO EL EXAMEN ANTES DE LA SEMANA 28.</t>
  </si>
  <si>
    <t>Fecha en D M A de la primera formulación de ASA</t>
  </si>
  <si>
    <t>Lista desplegable según corresponda: No Aplica para suministro de ASA; Inicia ASA ANTES de Sem 12;Inicio oportuno de ASA;Inicio no oportuno mayor a 16 semanas;Pendiente Inicio de ASA a la semana 12;Iniciar de inmediato ASA;Pierde Oportunidad, Inicio tardío de ASA.</t>
  </si>
  <si>
    <t>Lista desplegable según corresponda: No Vacunada;1 Dosis;2 Dosis;Refuerzo 1;Refuerzo 2;Sin Dato;Firma Disentimiento;NO Firma Disentimiento</t>
  </si>
  <si>
    <t>DIFERENCIA FUM X ANEMORREA Y FUM X ECO</t>
  </si>
  <si>
    <t>Diferencia mayor a 6 dias</t>
  </si>
  <si>
    <t>% CAPTACIÓN GENERAL A SEMANA 12</t>
  </si>
  <si>
    <t>SE SUGIERE REALIZACION DE ECOCARDIOGRAMA FETAL PRIORITARIO</t>
  </si>
  <si>
    <t>IPSI-CRIC MORALES</t>
  </si>
  <si>
    <t>SIN DATO</t>
  </si>
  <si>
    <t xml:space="preserve"> CALAMBAS </t>
  </si>
  <si>
    <t>CHOCUE</t>
  </si>
  <si>
    <t>YENNY</t>
  </si>
  <si>
    <t>NONE</t>
  </si>
  <si>
    <t>CEDULA DE CIUDADANIA</t>
  </si>
  <si>
    <t>UNION LIBRE</t>
  </si>
  <si>
    <t>AMA DE CASA</t>
  </si>
  <si>
    <t>SI</t>
  </si>
  <si>
    <t>SIN NOVEDAD</t>
  </si>
  <si>
    <t>SUBSIDIADO</t>
  </si>
  <si>
    <t>MORALES</t>
  </si>
  <si>
    <t>RURAL</t>
  </si>
  <si>
    <t>HONDURAS</t>
  </si>
  <si>
    <t>INDIGENA</t>
  </si>
  <si>
    <t>NASA/PAEZ</t>
  </si>
  <si>
    <t>PRIMARIA INCOMPLETA</t>
  </si>
  <si>
    <t>NINGUNO</t>
  </si>
  <si>
    <t>NO</t>
  </si>
  <si>
    <t>SD</t>
  </si>
  <si>
    <t>O+</t>
  </si>
  <si>
    <t>P. R NEGATIVA</t>
  </si>
  <si>
    <t>P.R NO REACTIVA</t>
  </si>
  <si>
    <t>NEGATIVO</t>
  </si>
  <si>
    <t>ADECUADO SEGÚN GPC</t>
  </si>
  <si>
    <t>SE REALIZO VISITA DOMICILIARIA POR PARTE DEL DINAMIZADOR DE SALUD  MANUEL DIZU EL DIA 08/12/2021 Y SE DIRECCIONO AL CONTROL PERINATAL.</t>
  </si>
  <si>
    <t>zc08 DORA LILIA MUELAS VIVAS</t>
  </si>
  <si>
    <t>TOMBE</t>
  </si>
  <si>
    <t>TUNUBALA</t>
  </si>
  <si>
    <t>ERMILA</t>
  </si>
  <si>
    <t>BODEGA</t>
  </si>
  <si>
    <t>PRIMARIA COMPLETA</t>
  </si>
  <si>
    <t>CEFÁLICA</t>
  </si>
  <si>
    <t>NO APLICA</t>
  </si>
  <si>
    <t>POSITIVO</t>
  </si>
  <si>
    <t xml:space="preserve">03/02/2023 REGURGITACION TRICUSPIDEA, COARTACION AORTICA A DESCARTAR. REPORTE DE ECOGRAFIA. </t>
  </si>
  <si>
    <t>YESIKA PEREZ MISAK</t>
  </si>
  <si>
    <t>TROCHEZ</t>
  </si>
  <si>
    <t>CAMPO</t>
  </si>
  <si>
    <t>JOCABED</t>
  </si>
  <si>
    <t>ESTUDIANTE</t>
  </si>
  <si>
    <t>SAN ANTONIO</t>
  </si>
  <si>
    <t>SECUNDARIA COMPLETA</t>
  </si>
  <si>
    <t>29+/07/2022</t>
  </si>
  <si>
    <t>ISABEL SANCHEZ</t>
  </si>
  <si>
    <t xml:space="preserve"> SANCHEZ</t>
  </si>
  <si>
    <t>BERSAYDA</t>
  </si>
  <si>
    <t>CHIRRIADERO</t>
  </si>
  <si>
    <t xml:space="preserve">NO TIENE </t>
  </si>
  <si>
    <t>ZC07 DEIVER JEISON SIERRA LEAL</t>
  </si>
  <si>
    <t xml:space="preserve">YANDI </t>
  </si>
  <si>
    <t>SECUNDARIA INCOMPLETA</t>
  </si>
  <si>
    <t>PARTO</t>
  </si>
  <si>
    <t>AFILIADA AL MUNICIPIO DE SILVIA VEREDA PITAYO----9/08/2022 REPORTE POSITIVO DE TEST DE EMBARAZO EN TOTOGUAMPA.</t>
  </si>
  <si>
    <t>YESIKA PEREZ</t>
  </si>
  <si>
    <t>COLLO</t>
  </si>
  <si>
    <t>CUETIA</t>
  </si>
  <si>
    <t>VANESSA</t>
  </si>
  <si>
    <t>SOLTERA</t>
  </si>
  <si>
    <t>CARPINTERO</t>
  </si>
  <si>
    <t>NEGATIVA PARA NEOPLASIA</t>
  </si>
  <si>
    <t>pte q manifiesta q la esposa es rh O- Y los resultados de laboratorio reportan o+ del dia 19/11/2022</t>
  </si>
  <si>
    <t xml:space="preserve">MOSQUERA </t>
  </si>
  <si>
    <t>MOSQUERA</t>
  </si>
  <si>
    <t>KENVERLY</t>
  </si>
  <si>
    <t xml:space="preserve">LOS ANDES </t>
  </si>
  <si>
    <t>LOS ANDES</t>
  </si>
  <si>
    <t>YAKELINE ZAMBRANO</t>
  </si>
  <si>
    <t>ZAMBRANO</t>
  </si>
  <si>
    <t>COMETA</t>
  </si>
  <si>
    <t>JEISURY</t>
  </si>
  <si>
    <t>CAVICHE</t>
  </si>
  <si>
    <t>YEINI</t>
  </si>
  <si>
    <t>PAOLA</t>
  </si>
  <si>
    <t>CHIMBORAZO</t>
  </si>
  <si>
    <t xml:space="preserve">YESIKA PEREZ CAMPESINA </t>
  </si>
  <si>
    <t xml:space="preserve"> CHATE</t>
  </si>
  <si>
    <t>GEMBUEL</t>
  </si>
  <si>
    <t>MARIBEL</t>
  </si>
  <si>
    <t>EL DANUBIO</t>
  </si>
  <si>
    <t>A+</t>
  </si>
  <si>
    <t>YESENIA CUCUÑAME</t>
  </si>
  <si>
    <t>ZUÑIGA</t>
  </si>
  <si>
    <t>DAZA</t>
  </si>
  <si>
    <t>DERLY</t>
  </si>
  <si>
    <t>NORFANI</t>
  </si>
  <si>
    <t>CASADA</t>
  </si>
  <si>
    <t>CHORRERA BLANCA</t>
  </si>
  <si>
    <t>58.5</t>
  </si>
  <si>
    <t>SUMINISTRO IRREGULAR</t>
  </si>
  <si>
    <t>ALBEIRO PLAZAS</t>
  </si>
  <si>
    <t xml:space="preserve">CAMPO </t>
  </si>
  <si>
    <t>MARIA</t>
  </si>
  <si>
    <t>ROSSANA</t>
  </si>
  <si>
    <t>VERANERAS</t>
  </si>
  <si>
    <t>PLACER</t>
  </si>
  <si>
    <t>YEISON SIERRA LEAL</t>
  </si>
  <si>
    <t>RIVERA</t>
  </si>
  <si>
    <t>CHATE</t>
  </si>
  <si>
    <t xml:space="preserve">YENNY </t>
  </si>
  <si>
    <t xml:space="preserve">LORENA VELASCO </t>
  </si>
  <si>
    <t xml:space="preserve">OROZCO </t>
  </si>
  <si>
    <t xml:space="preserve">VIVAS </t>
  </si>
  <si>
    <t xml:space="preserve">MARIA </t>
  </si>
  <si>
    <t>DARLY</t>
  </si>
  <si>
    <t xml:space="preserve">AGUA NEGRA </t>
  </si>
  <si>
    <t>REVISAR HOSTORIA CLINICA DE LA EXTRA</t>
  </si>
  <si>
    <t>CAMAYO</t>
  </si>
  <si>
    <t xml:space="preserve">LEIDY </t>
  </si>
  <si>
    <t>AGUA NEGRA</t>
  </si>
  <si>
    <t xml:space="preserve">SACAR DEL PROGRAMA POR LEGRADO , CUANDO BAJE DE POPYAN </t>
  </si>
  <si>
    <t xml:space="preserve">MARTHA </t>
  </si>
  <si>
    <t>YOELI</t>
  </si>
  <si>
    <t>ABORTO INDUCIDO</t>
  </si>
  <si>
    <t>DESCARTAR EMBARAZO CONTROL ECOGRAFICO POR AUSENCIA DE EMBRION 30/9/2022, ESTAR PTE DE AUTORIZACION INF, A LA PTE .</t>
  </si>
  <si>
    <t>ARBOLEDA</t>
  </si>
  <si>
    <t>VIVAS</t>
  </si>
  <si>
    <t>MARBEL</t>
  </si>
  <si>
    <t>SUAREZ</t>
  </si>
  <si>
    <t>BUENA VISTA</t>
  </si>
  <si>
    <t>3187293609-3172260959</t>
  </si>
  <si>
    <t>VALENCIA</t>
  </si>
  <si>
    <t xml:space="preserve">COCUÑAME </t>
  </si>
  <si>
    <t>ARGENI</t>
  </si>
  <si>
    <t>LOMITAS</t>
  </si>
  <si>
    <t>3114339892-3206301601</t>
  </si>
  <si>
    <t>TRANSVERSA</t>
  </si>
  <si>
    <t>DIANA ZAMBRANO</t>
  </si>
  <si>
    <t>DIAGO</t>
  </si>
  <si>
    <t>BELCI</t>
  </si>
  <si>
    <t>YULIETH</t>
  </si>
  <si>
    <t xml:space="preserve">FLORIDA </t>
  </si>
  <si>
    <t>FLORIDA</t>
  </si>
  <si>
    <t xml:space="preserve">RIVERA </t>
  </si>
  <si>
    <t>SANCHEZ</t>
  </si>
  <si>
    <t>KAREN</t>
  </si>
  <si>
    <t xml:space="preserve">VIVIANA </t>
  </si>
  <si>
    <t>WILSON CAMPO</t>
  </si>
  <si>
    <t>LULIGO</t>
  </si>
  <si>
    <t xml:space="preserve">ANA </t>
  </si>
  <si>
    <t>YERLINA</t>
  </si>
  <si>
    <t>TIERRADENTRO</t>
  </si>
  <si>
    <t>Otro tipo de ECO Obst.</t>
  </si>
  <si>
    <t>Detalle anatómico (18,0 a 23,6 Sem)</t>
  </si>
  <si>
    <t xml:space="preserve">DESCONOCE FUM , PTE LABORATORIOS </t>
  </si>
  <si>
    <t xml:space="preserve"> PILLIMUE </t>
  </si>
  <si>
    <t>PECHENE</t>
  </si>
  <si>
    <t xml:space="preserve">OLIVIA </t>
  </si>
  <si>
    <t>FALTAN LABORARORIOS, POR TOMAR</t>
  </si>
  <si>
    <t>ZC01 LUCI NENE YANDE</t>
  </si>
  <si>
    <t>NENE</t>
  </si>
  <si>
    <t>NILDE</t>
  </si>
  <si>
    <t>LICEIDA</t>
  </si>
  <si>
    <t>LIBERIA</t>
  </si>
  <si>
    <t>ELLA VIVE EN POPAYAN</t>
  </si>
  <si>
    <t>ORTIZ</t>
  </si>
  <si>
    <t>YESICA</t>
  </si>
  <si>
    <t xml:space="preserve">BELLO HORIZONTE </t>
  </si>
  <si>
    <t>POPAYAN</t>
  </si>
  <si>
    <t>20 DE ENERO SE REALIZA FROTIS VAGINAL Y UROANALISIS .RESLTADO NORMAL.</t>
  </si>
  <si>
    <t xml:space="preserve">ALBEIRO PLAZAS </t>
  </si>
  <si>
    <t>URRUTIA</t>
  </si>
  <si>
    <t>YADIRA</t>
  </si>
  <si>
    <t>URBANO</t>
  </si>
  <si>
    <t>NUEVA ESPERANZA</t>
  </si>
  <si>
    <t xml:space="preserve">NUEVA FLORESTA </t>
  </si>
  <si>
    <t>3215640353-3145670606</t>
  </si>
  <si>
    <t>SANTIAGO CUCUÑAME</t>
  </si>
  <si>
    <t xml:space="preserve">CUCUÑAME </t>
  </si>
  <si>
    <t xml:space="preserve">DORADO </t>
  </si>
  <si>
    <t xml:space="preserve">DALIDA   </t>
  </si>
  <si>
    <t>NO  TIENE</t>
  </si>
  <si>
    <t>GLUCOSA ALTERADA, PENDIENTE VALORACION POR GINECOLOGIA</t>
  </si>
  <si>
    <t>ALBEIRO  PLAZAS</t>
  </si>
  <si>
    <t xml:space="preserve">ZAMBRANO </t>
  </si>
  <si>
    <t>CELIA</t>
  </si>
  <si>
    <t xml:space="preserve">LA FLORESTA </t>
  </si>
  <si>
    <t>PACIENTE INASISTE EN EL MES DE NOVIEMBRE Y DICIEMBRE, EL DIA DE HOY 03/02/2023, REFIERE QUE PUDO ASISTIR A LOS CONTROLES PRENATALES POR QUE SE ENCONTRABA EN EL PAISPMABA SOTARA.</t>
  </si>
  <si>
    <t>CLARA INES GUEJIA</t>
  </si>
  <si>
    <t>GUEJIA</t>
  </si>
  <si>
    <t>MENDEZ</t>
  </si>
  <si>
    <t>DANNA</t>
  </si>
  <si>
    <t>CAROLINA</t>
  </si>
  <si>
    <t>MUSSE UKWE</t>
  </si>
  <si>
    <t>B+</t>
  </si>
  <si>
    <t>PENDIENTE DE AUTORIZACIONES CON DEISY</t>
  </si>
  <si>
    <t xml:space="preserve">VANESA RIVERA </t>
  </si>
  <si>
    <t xml:space="preserve">EPE </t>
  </si>
  <si>
    <t>ARANDA</t>
  </si>
  <si>
    <t>OLIBEYI</t>
  </si>
  <si>
    <t>3136289864-3127719619</t>
  </si>
  <si>
    <t xml:space="preserve">OSNAS </t>
  </si>
  <si>
    <t>LEYDA</t>
  </si>
  <si>
    <t>CERO A SIEMPRE</t>
  </si>
  <si>
    <t>GESTANTE CON 2 CONTROLES PREVIOS EN LA ESE CENTRO 1 MORALES 20/08/2022---8,5 SEMANAS---21/09/2022…13,1 SEMANAS---ECOGRAFIA 28/10/2022: QUIZTE DE PLEXO COROIDEO</t>
  </si>
  <si>
    <t xml:space="preserve">QUINA </t>
  </si>
  <si>
    <t xml:space="preserve">JEIDE </t>
  </si>
  <si>
    <t>JOHANA</t>
  </si>
  <si>
    <t>LA FLORESTA</t>
  </si>
  <si>
    <t>ECOGRAFIA 28/10/2022 VENTRICULOMEGALIA LEVE SIMETRICA/ QUIZTE DE PLEXO  COROIDEO</t>
  </si>
  <si>
    <t>DEYSI</t>
  </si>
  <si>
    <t>YAMILETH</t>
  </si>
  <si>
    <t>BODEGA PARTE BAJA CERCA DEL COLEGIO</t>
  </si>
  <si>
    <t>FAMILIAS ACCIÓN</t>
  </si>
  <si>
    <t>24/01/2023 SE REALIZA HEMOGRMA Y FRESCO VAGINAL.</t>
  </si>
  <si>
    <t>YESICA PEREZ</t>
  </si>
  <si>
    <t xml:space="preserve">ORDOÑEZ </t>
  </si>
  <si>
    <t xml:space="preserve">VALENTINA  </t>
  </si>
  <si>
    <t xml:space="preserve">SAN ROQUE </t>
  </si>
  <si>
    <t xml:space="preserve">YAQUELIN  </t>
  </si>
  <si>
    <t>EL DIVISO</t>
  </si>
  <si>
    <t>DORA LILIA MUELAS</t>
  </si>
  <si>
    <t xml:space="preserve"> ALMENDRA </t>
  </si>
  <si>
    <t xml:space="preserve">LUZ </t>
  </si>
  <si>
    <t xml:space="preserve"> ANGELA </t>
  </si>
  <si>
    <t xml:space="preserve">PUERTO LIMON </t>
  </si>
  <si>
    <t xml:space="preserve">MORALES </t>
  </si>
  <si>
    <t xml:space="preserve">DEYANIRA </t>
  </si>
  <si>
    <t xml:space="preserve">CAÑAVERAL </t>
  </si>
  <si>
    <t xml:space="preserve">NO </t>
  </si>
  <si>
    <t>SANTE CON DIABETES GESTACIONAL SE ENVIA TRATAMIENTO Y CONTROL EN 15 DIAS FECHA ULTIMO CONTROL 15 DE FEBRERO DE 2023</t>
  </si>
  <si>
    <t xml:space="preserve">YESICA PEREZ CAMPESINA </t>
  </si>
  <si>
    <t xml:space="preserve">BERNAL </t>
  </si>
  <si>
    <t xml:space="preserve">VIDAL </t>
  </si>
  <si>
    <t xml:space="preserve">BERONICA </t>
  </si>
  <si>
    <t xml:space="preserve"> LILIANA</t>
  </si>
  <si>
    <t xml:space="preserve">ROSAL </t>
  </si>
  <si>
    <t xml:space="preserve">PACIENTE CON AFILIACION EN LA ESE POPAYAN </t>
  </si>
  <si>
    <t xml:space="preserve">DIDA  </t>
  </si>
  <si>
    <t>CHOZAS</t>
  </si>
  <si>
    <t>PTE LABORATORIOS GESTANTE INGRESA TARDIO DE 31 SEMANAS,PTE FPP LA DESCONOCE CON DOMICILIO ANTERIOR EN GARZON HUILA</t>
  </si>
  <si>
    <t xml:space="preserve"> INSECA </t>
  </si>
  <si>
    <t xml:space="preserve"> ANDELA</t>
  </si>
  <si>
    <t xml:space="preserve">ALBA  </t>
  </si>
  <si>
    <t xml:space="preserve"> MERY</t>
  </si>
  <si>
    <t>NO RESPONDE</t>
  </si>
  <si>
    <t>UNION ATILLO</t>
  </si>
  <si>
    <t>YILMER</t>
  </si>
  <si>
    <t xml:space="preserve">CRUZ </t>
  </si>
  <si>
    <t>DILMA</t>
  </si>
  <si>
    <t>VALLLENUEVO</t>
  </si>
  <si>
    <t>PODÁLICA</t>
  </si>
  <si>
    <t xml:space="preserve">PACIENTE CON AFILIACION DE LA ESE EL  TAMBO </t>
  </si>
  <si>
    <t>ALEXANDRA KWESX KIWE</t>
  </si>
  <si>
    <t xml:space="preserve"> CHANDILLO </t>
  </si>
  <si>
    <t>YANDI</t>
  </si>
  <si>
    <t xml:space="preserve">ERIKA </t>
  </si>
  <si>
    <t>JINETH</t>
  </si>
  <si>
    <t>TARJETA DE IDENTIDAD</t>
  </si>
  <si>
    <t>KWESX KIWE</t>
  </si>
  <si>
    <t>02/11/202</t>
  </si>
  <si>
    <t>PTE RESULTADO CITOLOGIA</t>
  </si>
  <si>
    <t xml:space="preserve"> IBARRA</t>
  </si>
  <si>
    <t xml:space="preserve">YUDY </t>
  </si>
  <si>
    <t xml:space="preserve"> ANDREA </t>
  </si>
  <si>
    <t xml:space="preserve">AGUA BLANCA </t>
  </si>
  <si>
    <t>ECO DE 03/02/2023 RESULTADO CON CORAZON IZQUIERDO HIPOPLASICO A DESARTAR SE ENVIA ORDEN MEDICA CON RESULTADO DE ECO  A LA EPS GESTION DE CITA EN LA IPS I MINGA.</t>
  </si>
  <si>
    <t xml:space="preserve"> QUINTANA </t>
  </si>
  <si>
    <t xml:space="preserve"> CAICEDO</t>
  </si>
  <si>
    <t xml:space="preserve">ALEXANDRA </t>
  </si>
  <si>
    <t xml:space="preserve">MESON </t>
  </si>
  <si>
    <t>TECNICO</t>
  </si>
  <si>
    <t>POSITIVA SIFILIS 12/11/2022 VIVE EN SUAREZ . PACIENTE CON TRATAMIENTO COMPLETO PARA SIFILIS.</t>
  </si>
  <si>
    <t xml:space="preserve"> CAMAYO </t>
  </si>
  <si>
    <t xml:space="preserve"> TROCHEZ</t>
  </si>
  <si>
    <t>RAQUEL</t>
  </si>
  <si>
    <t>RUBI</t>
  </si>
  <si>
    <t>P. R POSITIVA CASO SIFILIS</t>
  </si>
  <si>
    <t>VIVE EN CALI</t>
  </si>
  <si>
    <t xml:space="preserve"> PECHENE </t>
  </si>
  <si>
    <t>LOPEZ</t>
  </si>
  <si>
    <t xml:space="preserve">MARIA  </t>
  </si>
  <si>
    <t xml:space="preserve"> LIBIA </t>
  </si>
  <si>
    <t xml:space="preserve">CALI </t>
  </si>
  <si>
    <t>25 SE REALIZA EXAMEN DE GLICEMIA Y UROANALISS.</t>
  </si>
  <si>
    <t xml:space="preserve">JACKELINE </t>
  </si>
  <si>
    <t xml:space="preserve"> MENESES </t>
  </si>
  <si>
    <t xml:space="preserve"> ZUÑIGA</t>
  </si>
  <si>
    <t xml:space="preserve">SARAID  </t>
  </si>
  <si>
    <t xml:space="preserve">CHIMBORAZO </t>
  </si>
  <si>
    <t xml:space="preserve"> RIVERA </t>
  </si>
  <si>
    <t xml:space="preserve"> ZAMBRANO</t>
  </si>
  <si>
    <t>DEYI</t>
  </si>
  <si>
    <t xml:space="preserve">DAYANA </t>
  </si>
  <si>
    <t xml:space="preserve">SIN DATO </t>
  </si>
  <si>
    <t xml:space="preserve">SI </t>
  </si>
  <si>
    <t xml:space="preserve">PACIENTE INASISTENT EN EL MES DE DICIEMBRE Y ENERO EL DIA DE HOY 03/02/2023, REFIERE QUE DURANTE ESTE TIEMPO ESTUVO EN EL HUILA. </t>
  </si>
  <si>
    <t>ZULY YATACUE</t>
  </si>
  <si>
    <t xml:space="preserve"> CAMAYO</t>
  </si>
  <si>
    <t xml:space="preserve"> TUNUBALA</t>
  </si>
  <si>
    <t xml:space="preserve">YIBEL </t>
  </si>
  <si>
    <t xml:space="preserve">BELEN </t>
  </si>
  <si>
    <t>DURFAY</t>
  </si>
  <si>
    <t>PUEBLILLO</t>
  </si>
  <si>
    <t xml:space="preserve">  PECHENE</t>
  </si>
  <si>
    <t xml:space="preserve"> CAVICHE</t>
  </si>
  <si>
    <t xml:space="preserve">SULEIDA  </t>
  </si>
  <si>
    <t>LUCY NENE</t>
  </si>
  <si>
    <t>YANDE</t>
  </si>
  <si>
    <t>IRENE</t>
  </si>
  <si>
    <t xml:space="preserve">FALTA LOS EXAMNENES DE LABO, SE LLAMO A LA PTE PARA Q VENGA A REALIZARSELOS </t>
  </si>
  <si>
    <t>CRUZ</t>
  </si>
  <si>
    <t>ESTEFANI</t>
  </si>
  <si>
    <t>B/ MODELO</t>
  </si>
  <si>
    <t xml:space="preserve">RIESGO DE INCOMPATIBILIDAD, HIDRONEFROSIS </t>
  </si>
  <si>
    <t xml:space="preserve"> MAÑUNGA</t>
  </si>
  <si>
    <t xml:space="preserve">MAGALY </t>
  </si>
  <si>
    <t>O-</t>
  </si>
  <si>
    <t>21/01/2023 SE RALIZA TOMA DE FRESCO CON RESULTADO NORMAL.</t>
  </si>
  <si>
    <t xml:space="preserve">MOLANO </t>
  </si>
  <si>
    <t>EPE</t>
  </si>
  <si>
    <t>VANESA</t>
  </si>
  <si>
    <t xml:space="preserve">PLAYON </t>
  </si>
  <si>
    <t>JERSON ZAMBRANO</t>
  </si>
  <si>
    <t xml:space="preserve">  CORPUS </t>
  </si>
  <si>
    <t xml:space="preserve"> GUETIO</t>
  </si>
  <si>
    <t xml:space="preserve">ELVIA </t>
  </si>
  <si>
    <t>LOS QUINGOS</t>
  </si>
  <si>
    <t>NO SE HA REALIZADO LA TOMA DE LABORATORIOS, SE LLAMO A PTE PARA Q SE LOS TOME 09/12/2022</t>
  </si>
  <si>
    <t>VELASCO</t>
  </si>
  <si>
    <t xml:space="preserve">HURTADO </t>
  </si>
  <si>
    <t>MARLENY</t>
  </si>
  <si>
    <t xml:space="preserve">LA LORENA </t>
  </si>
  <si>
    <t>RIESGO DE INCOMPATIBILIDAD</t>
  </si>
  <si>
    <t>CUCUÑAME</t>
  </si>
  <si>
    <t xml:space="preserve">YECI </t>
  </si>
  <si>
    <t xml:space="preserve">KARINA </t>
  </si>
  <si>
    <t>A-</t>
  </si>
  <si>
    <t xml:space="preserve">PTE FALTAN LABORATORIOS </t>
  </si>
  <si>
    <t xml:space="preserve"> PILCUE</t>
  </si>
  <si>
    <t>MABECHATE</t>
  </si>
  <si>
    <t xml:space="preserve">MABER </t>
  </si>
  <si>
    <t xml:space="preserve">MAYENSI  </t>
  </si>
  <si>
    <t>HURTADO</t>
  </si>
  <si>
    <t xml:space="preserve"> QUITUMBO</t>
  </si>
  <si>
    <t xml:space="preserve">LAURA  </t>
  </si>
  <si>
    <t xml:space="preserve">FERNANDA </t>
  </si>
  <si>
    <t xml:space="preserve">DANUBIO </t>
  </si>
  <si>
    <t>3113656757- 3218700815</t>
  </si>
  <si>
    <t>ABORTO ESPONTANEO</t>
  </si>
  <si>
    <t>INSTITUCIONAL</t>
  </si>
  <si>
    <t xml:space="preserve">BASTO </t>
  </si>
  <si>
    <t xml:space="preserve"> TUMBO</t>
  </si>
  <si>
    <t xml:space="preserve">ERLY </t>
  </si>
  <si>
    <t xml:space="preserve">ONEIDY </t>
  </si>
  <si>
    <t>SANTA ROSA</t>
  </si>
  <si>
    <t>DIANA</t>
  </si>
  <si>
    <t>PATRICIA</t>
  </si>
  <si>
    <t>AGUA CLARA</t>
  </si>
  <si>
    <t>SAN ROQUE</t>
  </si>
  <si>
    <t xml:space="preserve">CUENE </t>
  </si>
  <si>
    <t xml:space="preserve"> RIVERA</t>
  </si>
  <si>
    <t>DORA</t>
  </si>
  <si>
    <t xml:space="preserve"> ALICIA </t>
  </si>
  <si>
    <t>SAMARIA</t>
  </si>
  <si>
    <t xml:space="preserve"> SOTO</t>
  </si>
  <si>
    <t xml:space="preserve">MARY </t>
  </si>
  <si>
    <t>LISANDRA</t>
  </si>
  <si>
    <t xml:space="preserve">LIBERIA </t>
  </si>
  <si>
    <t>DANA</t>
  </si>
  <si>
    <t xml:space="preserve">CAROLINA </t>
  </si>
  <si>
    <t xml:space="preserve"> PECHENE</t>
  </si>
  <si>
    <t>NEFRECTOMIA RENAL DERECHA HACE 2 AÑOS</t>
  </si>
  <si>
    <t xml:space="preserve">TAQUINAS </t>
  </si>
  <si>
    <t>SOSCUE</t>
  </si>
  <si>
    <t xml:space="preserve">SAMBONI </t>
  </si>
  <si>
    <t>ANACELMA</t>
  </si>
  <si>
    <t>ASTAIZA</t>
  </si>
  <si>
    <t>MIYANY</t>
  </si>
  <si>
    <t>LUCIA</t>
  </si>
  <si>
    <t>NO RECUERDA</t>
  </si>
  <si>
    <t>LUZ</t>
  </si>
  <si>
    <t xml:space="preserve"> FARY</t>
  </si>
  <si>
    <t xml:space="preserve"> CAMPO </t>
  </si>
  <si>
    <t xml:space="preserve"> MARCELA</t>
  </si>
  <si>
    <t>LIBEERIA</t>
  </si>
  <si>
    <t>TAMIZAJE POSITIVO PARA PREECLAMSIA YTCIU</t>
  </si>
  <si>
    <t xml:space="preserve"> MORALES </t>
  </si>
  <si>
    <t xml:space="preserve"> VELASCO</t>
  </si>
  <si>
    <t>NANCY</t>
  </si>
  <si>
    <t xml:space="preserve">LILIANA </t>
  </si>
  <si>
    <t xml:space="preserve">CAMPO ALEGRE </t>
  </si>
  <si>
    <t xml:space="preserve">CAMAYO </t>
  </si>
  <si>
    <t xml:space="preserve">LADY </t>
  </si>
  <si>
    <t xml:space="preserve"> ALEXANDRA </t>
  </si>
  <si>
    <t xml:space="preserve">QUINGOS </t>
  </si>
  <si>
    <t>GLORIA</t>
  </si>
  <si>
    <t xml:space="preserve">MEDELLIN </t>
  </si>
  <si>
    <t>LUPUS ERITEMATOSO</t>
  </si>
  <si>
    <t>ASTUDILLO</t>
  </si>
  <si>
    <t>CRUCERO PAN DE AZUCAR</t>
  </si>
  <si>
    <t xml:space="preserve">TOMBE </t>
  </si>
  <si>
    <t xml:space="preserve"> CHOCUE</t>
  </si>
  <si>
    <t xml:space="preserve">DEYCI </t>
  </si>
  <si>
    <t xml:space="preserve">JOANA </t>
  </si>
  <si>
    <t xml:space="preserve">BODEGA </t>
  </si>
  <si>
    <t xml:space="preserve"> EPE </t>
  </si>
  <si>
    <t xml:space="preserve">MILENA </t>
  </si>
  <si>
    <t>ALEYDA</t>
  </si>
  <si>
    <t xml:space="preserve"> YANDY </t>
  </si>
  <si>
    <t xml:space="preserve">COMETA </t>
  </si>
  <si>
    <t xml:space="preserve">BIBIANA </t>
  </si>
  <si>
    <t xml:space="preserve"> DIANEY</t>
  </si>
  <si>
    <t>GUETIO</t>
  </si>
  <si>
    <t>ISABEL</t>
  </si>
  <si>
    <t>SEMILLAS DE VIDA</t>
  </si>
  <si>
    <t xml:space="preserve">NURY </t>
  </si>
  <si>
    <t xml:space="preserve">AIDE </t>
  </si>
  <si>
    <t>LA BOGEGA</t>
  </si>
  <si>
    <t xml:space="preserve">SANCHEZ </t>
  </si>
  <si>
    <t xml:space="preserve"> FLOR</t>
  </si>
  <si>
    <t>DARLIN</t>
  </si>
  <si>
    <t xml:space="preserve">YULIETH </t>
  </si>
  <si>
    <t>SAN JOSE</t>
  </si>
  <si>
    <t>INGRESO TARDIO POR DOMICILIO EN VEREDA SAN ADOLFO, LA PLATA HUILA</t>
  </si>
  <si>
    <t xml:space="preserve">  FAJARDO</t>
  </si>
  <si>
    <t xml:space="preserve"> MOSQUERA</t>
  </si>
  <si>
    <t>ESMERALDA</t>
  </si>
  <si>
    <t>TENDENCIA A LA TAQUICARDIA</t>
  </si>
  <si>
    <t xml:space="preserve">YUNDA </t>
  </si>
  <si>
    <t xml:space="preserve">YONEIDA  </t>
  </si>
  <si>
    <t>3218076499 - 3147750282</t>
  </si>
  <si>
    <t xml:space="preserve"> BECOCHE</t>
  </si>
  <si>
    <t>ALBANI</t>
  </si>
  <si>
    <t>AGRICULTURA</t>
  </si>
  <si>
    <t>USUARIA CON PUNTO DE ATENCION SE POPAYAN. SE REMITE POR HEMORRAGIA.</t>
  </si>
  <si>
    <t>YINA</t>
  </si>
  <si>
    <t>YANNET</t>
  </si>
  <si>
    <t xml:space="preserve">UNION LIBRE </t>
  </si>
  <si>
    <t>QUINTANA</t>
  </si>
  <si>
    <t>TENEBUEL</t>
  </si>
  <si>
    <t>LILIANA</t>
  </si>
  <si>
    <t xml:space="preserve">SAN ANTONIO </t>
  </si>
  <si>
    <t>ABORO HACE 4 MESES POR POR TRAUMA PELVICO</t>
  </si>
  <si>
    <t>NOHEMI</t>
  </si>
  <si>
    <t>ANDREA</t>
  </si>
  <si>
    <t xml:space="preserve">PILCUE </t>
  </si>
  <si>
    <t xml:space="preserve">ROMELIA </t>
  </si>
  <si>
    <t>LINA</t>
  </si>
  <si>
    <t>MARCELA</t>
  </si>
  <si>
    <t>BECOCHE</t>
  </si>
  <si>
    <t>LEIDY</t>
  </si>
  <si>
    <t>AGUA SUCIA</t>
  </si>
  <si>
    <t>AMPARO</t>
  </si>
  <si>
    <t>FERNANDEZ</t>
  </si>
  <si>
    <t>KATHERINE</t>
  </si>
  <si>
    <t>LA PRIMAVERA</t>
  </si>
  <si>
    <t>YERIS</t>
  </si>
  <si>
    <t>DAYANA</t>
  </si>
  <si>
    <t>DALIDA</t>
  </si>
  <si>
    <t>NAYIVE</t>
  </si>
  <si>
    <t xml:space="preserve">GALILEA </t>
  </si>
  <si>
    <t>MOLANO</t>
  </si>
  <si>
    <t>YESLI</t>
  </si>
  <si>
    <t>ALEXAIDA</t>
  </si>
  <si>
    <t>1059594773</t>
  </si>
  <si>
    <t>SAN ISIDRO</t>
  </si>
  <si>
    <t>HERLINDA</t>
  </si>
  <si>
    <t>ELVIA</t>
  </si>
  <si>
    <t>FLOR</t>
  </si>
  <si>
    <t>MILEYDI</t>
  </si>
  <si>
    <t>DALLYVE</t>
  </si>
  <si>
    <t>MODELO</t>
  </si>
  <si>
    <t>QUILCUE</t>
  </si>
  <si>
    <t>CUCHA</t>
  </si>
  <si>
    <t>LEUCOCITOS MICROSCO 0-2 XC JIRIARTE</t>
  </si>
  <si>
    <t>CORPUS</t>
  </si>
  <si>
    <t>UMENZA</t>
  </si>
  <si>
    <t>YUREIDY</t>
  </si>
  <si>
    <t>HEMATIES 0-2 XC JIRIARTE</t>
  </si>
  <si>
    <t>GONZALEZ</t>
  </si>
  <si>
    <t>INGRID</t>
  </si>
  <si>
    <t>HUILA</t>
  </si>
  <si>
    <t>YAISENI</t>
  </si>
  <si>
    <t>1002846584</t>
  </si>
  <si>
    <t>UNION RISARALDA</t>
  </si>
  <si>
    <t>MUELAS</t>
  </si>
  <si>
    <t>ERICA</t>
  </si>
  <si>
    <t>YERALDIN</t>
  </si>
  <si>
    <t>1059603200</t>
  </si>
  <si>
    <t>MENZA</t>
  </si>
  <si>
    <t>MUMUCUE</t>
  </si>
  <si>
    <t>YELSY</t>
  </si>
  <si>
    <t>KHATERINE</t>
  </si>
  <si>
    <t>OMAIRA</t>
  </si>
  <si>
    <t>EL MESON</t>
  </si>
  <si>
    <t>CHANDILLO</t>
  </si>
  <si>
    <t>MILENA</t>
  </si>
  <si>
    <t>VALLE NUEVO</t>
  </si>
  <si>
    <t>1007201778</t>
  </si>
  <si>
    <t>GUEGIA</t>
  </si>
  <si>
    <t>UTANY</t>
  </si>
  <si>
    <t>MEDELLIN</t>
  </si>
  <si>
    <t xml:space="preserve">QUISTE </t>
  </si>
  <si>
    <t>MAYERLI</t>
  </si>
  <si>
    <t>BELEN</t>
  </si>
  <si>
    <t>VASQUEZ</t>
  </si>
  <si>
    <t>LOZADA</t>
  </si>
  <si>
    <t>EUGENIA</t>
  </si>
  <si>
    <t>BELALCAZAR</t>
  </si>
  <si>
    <t>BIYANE</t>
  </si>
  <si>
    <t>1002846706</t>
  </si>
  <si>
    <t>ESTER</t>
  </si>
  <si>
    <t>JIMENEZ</t>
  </si>
  <si>
    <t>PILCUE</t>
  </si>
  <si>
    <t>EMILSE</t>
  </si>
  <si>
    <t>YOJANA</t>
  </si>
  <si>
    <t>25546612</t>
  </si>
  <si>
    <t>NERY</t>
  </si>
  <si>
    <t>LA  FLORIDA</t>
  </si>
  <si>
    <t>NOSCUE</t>
  </si>
  <si>
    <t>DANIELA</t>
  </si>
  <si>
    <t>1059063332</t>
  </si>
  <si>
    <t>CAÑAVERAL</t>
  </si>
  <si>
    <t>GOMEZ</t>
  </si>
  <si>
    <t>PILLIMUE</t>
  </si>
  <si>
    <t>ALICIA</t>
  </si>
  <si>
    <t>1059594951</t>
  </si>
  <si>
    <t>INES</t>
  </si>
  <si>
    <t>CALAMBAS</t>
  </si>
  <si>
    <t>ALEJANDRA</t>
  </si>
  <si>
    <t>ASESORA</t>
  </si>
  <si>
    <t>GRIJALBA</t>
  </si>
  <si>
    <t>VLADEZ</t>
  </si>
  <si>
    <t>LEYDI</t>
  </si>
  <si>
    <t>EL MORAL</t>
  </si>
  <si>
    <t>FRANCIA</t>
  </si>
  <si>
    <t>YINETH</t>
  </si>
  <si>
    <t>PIENDAMO</t>
  </si>
  <si>
    <t>LA VENTA</t>
  </si>
  <si>
    <t>YURANI</t>
  </si>
  <si>
    <t>QUIERE CONTINUAR CON CONTROLES EN IPS CRIC</t>
  </si>
  <si>
    <t>PAJA</t>
  </si>
  <si>
    <t>NOHEMY</t>
  </si>
  <si>
    <t>CORREGIDA</t>
  </si>
  <si>
    <t>CRIC MORALES</t>
  </si>
  <si>
    <t>ACOSTA</t>
  </si>
  <si>
    <t>JENNY</t>
  </si>
  <si>
    <t>FATIMA</t>
  </si>
  <si>
    <t>URBANIZACION</t>
  </si>
  <si>
    <t>BALTAZAR</t>
  </si>
  <si>
    <t>ORCUE</t>
  </si>
  <si>
    <t>CARMENZA</t>
  </si>
  <si>
    <t>ESTRELLA</t>
  </si>
  <si>
    <t>PORVENIR</t>
  </si>
  <si>
    <t>USA</t>
  </si>
  <si>
    <t>JULIA</t>
  </si>
  <si>
    <t xml:space="preserve">QUISTES DEL PLEXO COROIDEO </t>
  </si>
  <si>
    <t>CAICEDO</t>
  </si>
  <si>
    <t>FAJARDO</t>
  </si>
  <si>
    <t>MEGA VEJIGA                            ONDA A REVERSA DE DUCTUS VENOSO        HEMATOMA RETROCORIAL DESCRITO, ALTO RIESGO DE ANEUPLIOIDIA</t>
  </si>
  <si>
    <t>MARTHA</t>
  </si>
  <si>
    <t>ENEIDA</t>
  </si>
  <si>
    <t>ROSA</t>
  </si>
  <si>
    <t>DELIA</t>
  </si>
  <si>
    <t xml:space="preserve">AMA DE CASA </t>
  </si>
  <si>
    <t xml:space="preserve">CHANDI </t>
  </si>
  <si>
    <t>MAYELY</t>
  </si>
  <si>
    <t>EL TAMBO</t>
  </si>
  <si>
    <t>MUÑOZ</t>
  </si>
  <si>
    <t>YIDI</t>
  </si>
  <si>
    <t>SIRLEY</t>
  </si>
  <si>
    <t xml:space="preserve">CIELO </t>
  </si>
  <si>
    <t>MAGOG</t>
  </si>
  <si>
    <t>RODRIGUEZ</t>
  </si>
  <si>
    <t>SOLARTE</t>
  </si>
  <si>
    <t xml:space="preserve">YEICI </t>
  </si>
  <si>
    <t>DURI</t>
  </si>
  <si>
    <t>EDISNEIDA</t>
  </si>
  <si>
    <t>VELARDE</t>
  </si>
  <si>
    <t>YATACUE</t>
  </si>
  <si>
    <t xml:space="preserve">MAYERLI </t>
  </si>
  <si>
    <t>TATIANA</t>
  </si>
  <si>
    <t>ROSLIA</t>
  </si>
  <si>
    <t>YERLY</t>
  </si>
  <si>
    <t>NILFA</t>
  </si>
  <si>
    <t>HONDA A AUSENTE DE DUCTUS VENOSO</t>
  </si>
  <si>
    <t>MADLEY</t>
  </si>
  <si>
    <t xml:space="preserve">ULCUE </t>
  </si>
  <si>
    <t>DIZU</t>
  </si>
  <si>
    <t>CASCO URBANO</t>
  </si>
  <si>
    <t>CASSO</t>
  </si>
  <si>
    <t>CASTRO</t>
  </si>
  <si>
    <t xml:space="preserve">YINA </t>
  </si>
  <si>
    <t xml:space="preserve">MARCELA </t>
  </si>
  <si>
    <t>LAS GUACAS</t>
  </si>
  <si>
    <t>YUDI</t>
  </si>
  <si>
    <t>LISBETH</t>
  </si>
  <si>
    <t>ANALFABETA</t>
  </si>
  <si>
    <t>USSA</t>
  </si>
  <si>
    <t>NELLY</t>
  </si>
  <si>
    <t>CECILIA</t>
  </si>
  <si>
    <t>EL PORVENIR</t>
  </si>
  <si>
    <t>PAJOY</t>
  </si>
  <si>
    <t>LESBY</t>
  </si>
  <si>
    <t xml:space="preserve">QUINTANA </t>
  </si>
  <si>
    <t>MILDRED</t>
  </si>
  <si>
    <t>CHANGUENO</t>
  </si>
  <si>
    <t>COTAZO</t>
  </si>
  <si>
    <t>YAHINI</t>
  </si>
  <si>
    <t>CANTERO</t>
  </si>
  <si>
    <t>YALNDA</t>
  </si>
  <si>
    <t>NESLY</t>
  </si>
  <si>
    <t>CAIMITO</t>
  </si>
  <si>
    <t>CORDOBA</t>
  </si>
  <si>
    <t>ELIANET</t>
  </si>
  <si>
    <t>MARI</t>
  </si>
  <si>
    <t>LAS VEGAS</t>
  </si>
  <si>
    <t>ODILIA</t>
  </si>
  <si>
    <t>VIDAL</t>
  </si>
  <si>
    <t>LISBANY</t>
  </si>
  <si>
    <t xml:space="preserve">FABIOLA </t>
  </si>
  <si>
    <t>LAME</t>
  </si>
  <si>
    <t>IPIA</t>
  </si>
  <si>
    <t xml:space="preserve">KAREN </t>
  </si>
  <si>
    <t xml:space="preserve">MENOR </t>
  </si>
  <si>
    <t>BUENOS AIRES</t>
  </si>
  <si>
    <t>LEIDI</t>
  </si>
  <si>
    <t>LORENA</t>
  </si>
  <si>
    <t>OTERO</t>
  </si>
  <si>
    <t>UBRENI</t>
  </si>
  <si>
    <t>28/06/203</t>
  </si>
  <si>
    <t>PAULA</t>
  </si>
  <si>
    <t xml:space="preserve">AGUA SUCIA </t>
  </si>
  <si>
    <t>ROSERO</t>
  </si>
  <si>
    <t>MERY</t>
  </si>
  <si>
    <t>MARYURY</t>
  </si>
  <si>
    <t>LA BONANZA</t>
  </si>
  <si>
    <t>MONTILLA</t>
  </si>
  <si>
    <t>YOSELIN</t>
  </si>
  <si>
    <t>NATALY</t>
  </si>
  <si>
    <t>NUEVO HORIZONTE</t>
  </si>
  <si>
    <t>Temprana (&lt;10,6 Sem)</t>
  </si>
  <si>
    <t>ANII</t>
  </si>
  <si>
    <t>DAYELI</t>
  </si>
  <si>
    <t>NIDIA</t>
  </si>
  <si>
    <t>VIANEY</t>
  </si>
  <si>
    <t>1002847557</t>
  </si>
  <si>
    <t>EVILA</t>
  </si>
  <si>
    <t>RINA</t>
  </si>
  <si>
    <t>1002846445</t>
  </si>
  <si>
    <t>DARY</t>
  </si>
  <si>
    <t>1059598429</t>
  </si>
  <si>
    <t>17/05/20232</t>
  </si>
  <si>
    <t>DARI</t>
  </si>
  <si>
    <t>25552127</t>
  </si>
  <si>
    <t>NELCI</t>
  </si>
  <si>
    <t>1059596429</t>
  </si>
  <si>
    <t>ANA</t>
  </si>
  <si>
    <t>LEIBY</t>
  </si>
  <si>
    <t>1059602313</t>
  </si>
  <si>
    <t>LAS BRISAS</t>
  </si>
  <si>
    <t>COLLAZOS</t>
  </si>
  <si>
    <t>HELENA</t>
  </si>
  <si>
    <t>25547215</t>
  </si>
  <si>
    <t>ANYI</t>
  </si>
  <si>
    <t>1002846245</t>
  </si>
  <si>
    <t>FLORESTA</t>
  </si>
  <si>
    <t>CAREN</t>
  </si>
  <si>
    <t>INICIA A ANTES DE LA SEMANA 14</t>
  </si>
  <si>
    <t>SOLO PRIMERAS 12SEM</t>
  </si>
  <si>
    <t>TENEGUEL</t>
  </si>
  <si>
    <t>LUCEIDA</t>
  </si>
  <si>
    <t>Hogar Con apoyo</t>
  </si>
  <si>
    <t>RH POSITIVO</t>
  </si>
  <si>
    <t>Suministro Profilaxis Hb&lt;14 (1Tab)</t>
  </si>
  <si>
    <t>YULEIDY</t>
  </si>
  <si>
    <t>ACALO</t>
  </si>
  <si>
    <t>ALOS</t>
  </si>
  <si>
    <t>YENIFER</t>
  </si>
  <si>
    <t>Actualmente desempleada</t>
  </si>
  <si>
    <t>GESTACIÓN</t>
  </si>
  <si>
    <t>INICIA A PARTIR DE LA SEMANA 14</t>
  </si>
  <si>
    <t>CASO</t>
  </si>
  <si>
    <t>HANYILA</t>
  </si>
  <si>
    <t>LISNE</t>
  </si>
  <si>
    <t>UNION</t>
  </si>
  <si>
    <t>SUMINISTRO OTRO COMPLEMENTO</t>
  </si>
  <si>
    <t>ARCE</t>
  </si>
  <si>
    <t>Tamizaje Genético (11,0 a 13,6 Sem)</t>
  </si>
  <si>
    <t xml:space="preserve">PAJOY </t>
  </si>
  <si>
    <t>CRUCES</t>
  </si>
  <si>
    <t>YULI</t>
  </si>
  <si>
    <t>Suministro otro complemento Nutricional</t>
  </si>
  <si>
    <t xml:space="preserve">LUISA </t>
  </si>
  <si>
    <t>MARIXA</t>
  </si>
  <si>
    <t>SUMINISTRO OTRO COMPLEMENTO NUTRICIONAL</t>
  </si>
  <si>
    <t>P.R REACTIVA</t>
  </si>
  <si>
    <t>NELY</t>
  </si>
  <si>
    <t>MARLENI</t>
  </si>
  <si>
    <t xml:space="preserve">CHIRRIADERO </t>
  </si>
  <si>
    <t>se fue para putumayo</t>
  </si>
  <si>
    <t>RUBY</t>
  </si>
  <si>
    <t>1059840033</t>
  </si>
  <si>
    <t>GUETOTO</t>
  </si>
  <si>
    <t>LENY</t>
  </si>
  <si>
    <t>NATALIA</t>
  </si>
  <si>
    <t>BARRIO BOLIVAR</t>
  </si>
  <si>
    <t>PREGESTACIONAL  Y PRIMERAS 12SEM</t>
  </si>
  <si>
    <t>FRANCELINA</t>
  </si>
  <si>
    <t>No Consume</t>
  </si>
  <si>
    <t>GLADEVIS</t>
  </si>
  <si>
    <t>1002847310</t>
  </si>
  <si>
    <t>OYOLA</t>
  </si>
  <si>
    <t>GELDI</t>
  </si>
  <si>
    <t>YORELI</t>
  </si>
  <si>
    <t>PIEDRA GRANDE</t>
  </si>
  <si>
    <t>ELISA</t>
  </si>
  <si>
    <t>3215923619 / 3206075528</t>
  </si>
  <si>
    <t>ALCIA CAMAYO</t>
  </si>
  <si>
    <t>YANCELI</t>
  </si>
  <si>
    <t>3226315785 / 3154119506</t>
  </si>
  <si>
    <t xml:space="preserve">JOSE PLAZAS </t>
  </si>
  <si>
    <t>GARZON</t>
  </si>
  <si>
    <t>MARIVEL</t>
  </si>
  <si>
    <t>DEBE TENER ASA, HABLAR CON MEDICO</t>
  </si>
  <si>
    <t>3217772746 / 3205131071</t>
  </si>
  <si>
    <t>TIENE POLIHIDRAMNIO LEVE</t>
  </si>
  <si>
    <t>3152859900 / 3117971147</t>
  </si>
  <si>
    <t>LIRBANI</t>
  </si>
  <si>
    <t>3126885774 / 323479425</t>
  </si>
  <si>
    <t>3116795628 / 3137774436</t>
  </si>
  <si>
    <t>3163202348 / 3116330261</t>
  </si>
  <si>
    <t>EL MACO</t>
  </si>
  <si>
    <t>3137131871 / 3226216656</t>
  </si>
  <si>
    <t>ALICIA CAMAYO</t>
  </si>
  <si>
    <t>No Aplica</t>
  </si>
  <si>
    <t>31.1</t>
  </si>
  <si>
    <t>1002847113</t>
  </si>
  <si>
    <t>NELDA</t>
  </si>
  <si>
    <t>1059605775</t>
  </si>
  <si>
    <t>SUÑIGA</t>
  </si>
  <si>
    <t>1059594553</t>
  </si>
  <si>
    <t>YICELA</t>
  </si>
  <si>
    <t>QUITUMBO</t>
  </si>
  <si>
    <t>SANDRA</t>
  </si>
  <si>
    <t>1003150179</t>
  </si>
  <si>
    <t>YALANDA</t>
  </si>
  <si>
    <t>BERNARDITA</t>
  </si>
  <si>
    <t>VIVIANA</t>
  </si>
  <si>
    <t>1059597005</t>
  </si>
  <si>
    <t>YAMILE</t>
  </si>
  <si>
    <t>LOMA DE OSO</t>
  </si>
  <si>
    <t>1002846250</t>
  </si>
  <si>
    <t>CAPOTE</t>
  </si>
  <si>
    <t>HELIZABETH</t>
  </si>
  <si>
    <t>SAN RAFAEL</t>
  </si>
  <si>
    <t>1059595940</t>
  </si>
  <si>
    <t>YUNDA</t>
  </si>
  <si>
    <t>HODURAS</t>
  </si>
  <si>
    <t>22.2</t>
  </si>
  <si>
    <t>MARYOLI</t>
  </si>
  <si>
    <t>USNAS</t>
  </si>
  <si>
    <t>GUACHETA</t>
  </si>
  <si>
    <t>YARUMAL</t>
  </si>
  <si>
    <t>BELANCAZAR</t>
  </si>
  <si>
    <t>ZULENY</t>
  </si>
  <si>
    <t>VIENE DE OTRO MUNICIPIO</t>
  </si>
  <si>
    <t>SANTA ANA</t>
  </si>
  <si>
    <t>POMORROSO</t>
  </si>
  <si>
    <t>MISAK/GUAMBIANOS</t>
  </si>
  <si>
    <t>MALI</t>
  </si>
  <si>
    <t>BRISILA</t>
  </si>
  <si>
    <t>Hogar sin apoyo</t>
  </si>
  <si>
    <t>MEDILLIN</t>
  </si>
  <si>
    <t>YENY GUETIO</t>
  </si>
  <si>
    <t>BLANCA</t>
  </si>
  <si>
    <t>IRIS</t>
  </si>
  <si>
    <t>BRICEIDA</t>
  </si>
  <si>
    <t>JULIANA ZAMBRANO</t>
  </si>
  <si>
    <t>FRANCY</t>
  </si>
  <si>
    <t>ELIANA</t>
  </si>
  <si>
    <t>EL JORDAN</t>
  </si>
  <si>
    <t>LUYI</t>
  </si>
  <si>
    <t>MARYELLY</t>
  </si>
  <si>
    <t xml:space="preserve">TORRIJOS </t>
  </si>
  <si>
    <t>ROJAS</t>
  </si>
  <si>
    <t>JUANITA</t>
  </si>
  <si>
    <t>LA CONCORDIA</t>
  </si>
  <si>
    <t>PACIENTE CON DOMICILIO EN EL MUNICIPIO DE SUAREZ, SE LE EXPLICA LA OPCION DE PORTABILIDAD, SIN EMBARGO REFIERE QUE DESEA CONTINUAR LOS CONTROLES EN LA INSTITUCION, ALTO RIESGO OBSTETRICO POR ANTECEDENTE DE PREENCLAMSIA, ABORTO ESPONTANEO.</t>
  </si>
  <si>
    <t>Si entre SEM 12 y 16</t>
  </si>
  <si>
    <t>SIN ATENCIÓN</t>
  </si>
  <si>
    <t>RH NEGATIVO SIN COOMBS</t>
  </si>
  <si>
    <t>OSNAS</t>
  </si>
  <si>
    <t>YURLANI</t>
  </si>
  <si>
    <t>1067467422</t>
  </si>
  <si>
    <t>LIPONCE</t>
  </si>
  <si>
    <t>LISBEY</t>
  </si>
  <si>
    <t>EMELIAS</t>
  </si>
  <si>
    <t>MAIRA</t>
  </si>
  <si>
    <t>VALORADA, PERO SIN DATO</t>
  </si>
  <si>
    <t xml:space="preserve">MAMIAM </t>
  </si>
  <si>
    <t>PAZ</t>
  </si>
  <si>
    <t>MORBILIDAD MATERNA EXTREMA</t>
  </si>
  <si>
    <t>DOMICILIO</t>
  </si>
  <si>
    <t>PARTERA</t>
  </si>
  <si>
    <t>INICIO ESPONTÁNEO</t>
  </si>
  <si>
    <t>FEMENINO</t>
  </si>
  <si>
    <t xml:space="preserve">CENTRO DE SALUD MORALES E.S.E </t>
  </si>
  <si>
    <t>BAJA</t>
  </si>
  <si>
    <t>PERSONAL DE SALUD PROFESIONAL O ESPECIALISTA</t>
  </si>
  <si>
    <t>MASCULINO</t>
  </si>
  <si>
    <t>OTRO</t>
  </si>
  <si>
    <t>ALTA</t>
  </si>
  <si>
    <t xml:space="preserve">HOSPITAL SUSANA LOPEZ DE VALENCIA </t>
  </si>
  <si>
    <t>MEDIANA</t>
  </si>
  <si>
    <t>CESAREA</t>
  </si>
  <si>
    <t xml:space="preserve">CLINICA LA ESTANCIA </t>
  </si>
  <si>
    <t xml:space="preserve">HOSPITAL UNIVERSITARIO SAN JOSE </t>
  </si>
  <si>
    <t xml:space="preserve">CLINICA NUESTRA SEÑORA DE LOS REMEDIOS </t>
  </si>
  <si>
    <t xml:space="preserve">CENTRO UNO TOTORO E.S.E </t>
  </si>
  <si>
    <t>GEIDY</t>
  </si>
  <si>
    <t>49.3</t>
  </si>
  <si>
    <t>LUCINDA</t>
  </si>
  <si>
    <t>ZAMRANO</t>
  </si>
  <si>
    <t>AIDA</t>
  </si>
  <si>
    <t>DOLY</t>
  </si>
  <si>
    <t>POLANCO</t>
  </si>
  <si>
    <t>MOZQUERA</t>
  </si>
  <si>
    <t>EDILMA</t>
  </si>
  <si>
    <t>BERMUDEZ</t>
  </si>
  <si>
    <t>PETECHE</t>
  </si>
  <si>
    <t>CUENE</t>
  </si>
  <si>
    <t>IDABA</t>
  </si>
  <si>
    <t>MIGUEL</t>
  </si>
  <si>
    <t>BEATRIZ</t>
  </si>
  <si>
    <t>1061689361</t>
  </si>
  <si>
    <t>NASLY</t>
  </si>
  <si>
    <t>AUDILIA</t>
  </si>
  <si>
    <t>VALORADA PERO SIN FECHA</t>
  </si>
  <si>
    <t>1023390806</t>
  </si>
  <si>
    <t>ERAZO</t>
  </si>
  <si>
    <t>SARA</t>
  </si>
  <si>
    <t>VALENTINA</t>
  </si>
  <si>
    <t>25546851</t>
  </si>
  <si>
    <t>DORITA</t>
  </si>
  <si>
    <t>1059597833</t>
  </si>
  <si>
    <t>YULIANA</t>
  </si>
  <si>
    <t>ALTO RIESGO</t>
  </si>
  <si>
    <t>CON RIESGO</t>
  </si>
  <si>
    <t>BAJO RIESGO</t>
  </si>
  <si>
    <t>PRE HTA,RIESGO ALTO PREECLAMPSIA</t>
  </si>
  <si>
    <t>INSISTENTES</t>
  </si>
  <si>
    <t>HEMOCLASIFICACIÓN RH</t>
  </si>
  <si>
    <t>P.T.O.G</t>
  </si>
  <si>
    <t>SÍFILIS SEGÚN GPC SÍFILIS I TRIMESTRE</t>
  </si>
  <si>
    <t>SÍFILIS SEGÚN GPC SÍFILIS II TRIMESTRE</t>
  </si>
  <si>
    <t>SÍFILIS SEGÚN GPC SÍFILIS III TRIMESTRE</t>
  </si>
  <si>
    <t>TAMIZAJE PARA VIH I TRIM</t>
  </si>
  <si>
    <t>TAMIZAJE PARA VIH II TRIM</t>
  </si>
  <si>
    <t>TAMIZAJE PARA VIH III TRIM</t>
  </si>
  <si>
    <t>HEP B ANTÍGENO SUPERFICIE</t>
  </si>
  <si>
    <t>TOXOPLASMA IGG, TOXO. IGM</t>
  </si>
  <si>
    <t>Suministro calcio</t>
  </si>
  <si>
    <t xml:space="preserve">Suministro de sulfato ferroso </t>
  </si>
  <si>
    <t>Bajo peso</t>
  </si>
  <si>
    <t>Sobrepeso</t>
  </si>
  <si>
    <t>Obesidad</t>
  </si>
  <si>
    <t>Pre hta, riesgo alto preeclampsia</t>
  </si>
  <si>
    <t>REGISTRE DATO PRESIÓN ARTERIAL MENSUAL</t>
  </si>
  <si>
    <t>Gestantes sin vacuna td</t>
  </si>
  <si>
    <t>Gestantes sin vacunas dpt acelular</t>
  </si>
  <si>
    <t>Gestantes sin vacunas influenza</t>
  </si>
  <si>
    <t>Ecografia</t>
  </si>
  <si>
    <t>Ginecología</t>
  </si>
  <si>
    <t>Odontología</t>
  </si>
  <si>
    <t>Psicología</t>
  </si>
  <si>
    <t>Nutrición</t>
  </si>
  <si>
    <t>Curso de maternidad y paternidad</t>
  </si>
  <si>
    <t xml:space="preserve">Gestantes que ya terminaron la gestación por fum sin dato de fecha y lugar de parto </t>
  </si>
  <si>
    <t>No evidencia método anticonceptivo post parto, Valoración del recién nacido, Valoración del puerperio</t>
  </si>
  <si>
    <t>Observaciones Seguimiento</t>
  </si>
  <si>
    <t>Responsable zona</t>
  </si>
  <si>
    <t>Punto Atencion</t>
  </si>
  <si>
    <t>Atencion_Preconcepcional</t>
  </si>
  <si>
    <t>Primer nombre</t>
  </si>
  <si>
    <t>Segundo nombre</t>
  </si>
  <si>
    <t>Primer apellido</t>
  </si>
  <si>
    <t>Segundo apellido</t>
  </si>
  <si>
    <t>Tipo de documento</t>
  </si>
  <si>
    <t>Documento de identificación</t>
  </si>
  <si>
    <t>Estado Civil</t>
  </si>
  <si>
    <t>Ocupacion</t>
  </si>
  <si>
    <t>Fecha de nacimiento</t>
  </si>
  <si>
    <t>Edad actual</t>
  </si>
  <si>
    <t>Fecha Identificacion Gestante</t>
  </si>
  <si>
    <t>Efectividad Demanda</t>
  </si>
  <si>
    <t>Novedad Momento Captacion</t>
  </si>
  <si>
    <t>Fecha Consulta PrimeraVez CPN</t>
  </si>
  <si>
    <t>Regimen</t>
  </si>
  <si>
    <t>Aseguradora</t>
  </si>
  <si>
    <t>Municipio Residencia</t>
  </si>
  <si>
    <t>Zona Residencia</t>
  </si>
  <si>
    <t>Vereda y/o Barrio</t>
  </si>
  <si>
    <t>Direcion</t>
  </si>
  <si>
    <t>Resguardo</t>
  </si>
  <si>
    <t>Telefono</t>
  </si>
  <si>
    <t>Tipo Etnia</t>
  </si>
  <si>
    <t>Pueblo Indigena</t>
  </si>
  <si>
    <t>Estudios</t>
  </si>
  <si>
    <t>Uso Sustancias Psicoactivas</t>
  </si>
  <si>
    <t>Embarazo Aceptado Deseado</t>
  </si>
  <si>
    <t>Apoyo Familiar</t>
  </si>
  <si>
    <t>Nivel Socioeconomico Bajo</t>
  </si>
  <si>
    <t>Ansiedad</t>
  </si>
  <si>
    <t>Grupo Poblacional Especial</t>
  </si>
  <si>
    <t>Victima Violencia Genero</t>
  </si>
  <si>
    <t>Riesgo Psicosocial</t>
  </si>
  <si>
    <t>Antecedente Hipertension Inducida por Embarazo</t>
  </si>
  <si>
    <t>Antecedente Placenta Previa</t>
  </si>
  <si>
    <t>Antecedente Peso Bebe Menor A 2500</t>
  </si>
  <si>
    <t>Antecedente Peso Bebe Mayor A 4000</t>
  </si>
  <si>
    <t>Antecedente Parto Pretermino</t>
  </si>
  <si>
    <t>Antecedente Trabajo Parto Prolongado</t>
  </si>
  <si>
    <t>Antecedente Fliar Preeclamsia</t>
  </si>
  <si>
    <t>Antecedente Gravida</t>
  </si>
  <si>
    <t>Antecedente Partos</t>
  </si>
  <si>
    <t>Antecedente Abortos</t>
  </si>
  <si>
    <t>Antecedente Tres Abortos Seguidos</t>
  </si>
  <si>
    <t>Antecedente Cesareas</t>
  </si>
  <si>
    <t>Antecedente Obito Fetal Muerte Perinatal</t>
  </si>
  <si>
    <t>Antecedente Embarazo Ectopico Recanalizacion</t>
  </si>
  <si>
    <t>Antecedente Embarazo Molar</t>
  </si>
  <si>
    <t>Antecedente_ Muerte_Neonatal_Tardia</t>
  </si>
  <si>
    <t>Tiene_VIH_Pregestacional</t>
  </si>
  <si>
    <t>Tiene_Epilepsia</t>
  </si>
  <si>
    <t>Tiene_Enfermedades_Autoinmunes</t>
  </si>
  <si>
    <t>Tiene_Diabetes_Mellitus</t>
  </si>
  <si>
    <t>Tiene_Enfermedad_Cardiaca</t>
  </si>
  <si>
    <t>Tiene_HTA_Cronica</t>
  </si>
  <si>
    <t>Tiene_Enfermedad_Renal_Cronica</t>
  </si>
  <si>
    <t>Embarazo_Actual_Enfermedades_Infecciosas</t>
  </si>
  <si>
    <t>Embarazo_Actual_Reproduccion_Asistida</t>
  </si>
  <si>
    <t>Embarazo_Actual_Anomalia_Congenita</t>
  </si>
  <si>
    <t>Embarazo_Actual_Hemorragia_Vaginal_</t>
  </si>
  <si>
    <t>Embarazo_Actual_Hemorragia_Vaginal</t>
  </si>
  <si>
    <t>Fecha_Terminacion_ultimo_Embarazo</t>
  </si>
  <si>
    <t>Fum Por Amenorrea</t>
  </si>
  <si>
    <t>Fum_Formula_Confiable</t>
  </si>
  <si>
    <t>Periodo Intergenesico</t>
  </si>
  <si>
    <t>Fum Por Eco</t>
  </si>
  <si>
    <t>Semanas Gestacion al Ingreso</t>
  </si>
  <si>
    <t>Trimestre Ingreso</t>
  </si>
  <si>
    <t>Semanas Gestacion Actualizadas</t>
  </si>
  <si>
    <t>Tipo Eco Uno</t>
  </si>
  <si>
    <t>Fecha Eco Uno</t>
  </si>
  <si>
    <t>Semanas Gestacion Eco Uno</t>
  </si>
  <si>
    <t>Tipo Eco Dos</t>
  </si>
  <si>
    <t>Fecha Eco Dos</t>
  </si>
  <si>
    <t>Semanas Gestacion Eco Dos</t>
  </si>
  <si>
    <t>Embarazo_Actual_Restriccion_Crecimiento</t>
  </si>
  <si>
    <t>Embarazo_Multiple_Actual</t>
  </si>
  <si>
    <t>Presentacion_Feto</t>
  </si>
  <si>
    <t>Polihidramnios</t>
  </si>
  <si>
    <t>Momento Peso al ingreso CPN</t>
  </si>
  <si>
    <t>Talla_Metros</t>
  </si>
  <si>
    <t>Peso_Kilogramos_Ingreso_Pregestacional</t>
  </si>
  <si>
    <t>Clasificación_Nutricional_Ingreso</t>
  </si>
  <si>
    <t>Fecha_Ultimo_Control</t>
  </si>
  <si>
    <t>Peso_Kilogramos</t>
  </si>
  <si>
    <t>IMC_Ultimo_CPN</t>
  </si>
  <si>
    <t>Semanas_Gestacion_Ultimo_CPN</t>
  </si>
  <si>
    <t>Clasificacion_Curva_Atalah_Ultimo_CPN</t>
  </si>
  <si>
    <t>Altura_Uterina</t>
  </si>
  <si>
    <t>Alarma_ Altura_Uterina</t>
  </si>
  <si>
    <t>TA_Sistolica_Antes_Semana_Doce</t>
  </si>
  <si>
    <t>TA_Diastolica_Antes_Semana_Doce</t>
  </si>
  <si>
    <t>Alarma_Uno_TA_Antes_Doce_Semanas</t>
  </si>
  <si>
    <t>TA_Sistolica_Semana_Veinte_VeintiSeis</t>
  </si>
  <si>
    <t>TA_Diastolica_Semana_20 y 26</t>
  </si>
  <si>
    <t>Alarma_Dos_TA_Entre_Semana_20_A_Veintiseis</t>
  </si>
  <si>
    <t>TA_Sistolica_Sem_Treinta_A_TreintayCuatro</t>
  </si>
  <si>
    <t>TA_Diastolica_Sem_Treinta_A_TreintayCuatro</t>
  </si>
  <si>
    <t>Alarma_Tres_TA_Semana_Treinta_A_TreintayCuatro</t>
  </si>
  <si>
    <t>TA_Sistolica</t>
  </si>
  <si>
    <t>TA_Diastolica</t>
  </si>
  <si>
    <t>Alarma_TA_Mensual</t>
  </si>
  <si>
    <t>Fecha_Lactancia_Materna_Durante_CPN</t>
  </si>
  <si>
    <t>Fecha_Asesoria_Anticoncepcion_Durante_CPN</t>
  </si>
  <si>
    <t>Fecha_C2</t>
  </si>
  <si>
    <t>Fecha_C3</t>
  </si>
  <si>
    <t>Fecha_C4</t>
  </si>
  <si>
    <t>Fecha_C5</t>
  </si>
  <si>
    <t>Fecha_C6</t>
  </si>
  <si>
    <t>Fecha_C7</t>
  </si>
  <si>
    <t>Fecha_C8</t>
  </si>
  <si>
    <t>Fecha_C9</t>
  </si>
  <si>
    <t>Fecha_C10</t>
  </si>
  <si>
    <t>Fecha_C11</t>
  </si>
  <si>
    <t>Fecha_C12</t>
  </si>
  <si>
    <t>Fecha_C13</t>
  </si>
  <si>
    <t>Curso_Maternidad_Paternidad</t>
  </si>
  <si>
    <t>Fecha_Concentracion_Plan_Parto</t>
  </si>
  <si>
    <t>Acuerdo_Posible_Lugar_Nacimiento</t>
  </si>
  <si>
    <t>Alerta_Plan_Parto</t>
  </si>
  <si>
    <t>Gestante_Actuales</t>
  </si>
  <si>
    <t>Cita_Proximo_Control</t>
  </si>
  <si>
    <t>Alerta_Seguiimiento</t>
  </si>
  <si>
    <t>Fecha_Ultimo_CPN</t>
  </si>
  <si>
    <t>Edad_Gestacional_Ultimo_CPN</t>
  </si>
  <si>
    <t>Total_Controles</t>
  </si>
  <si>
    <t>Adherencia_al_CPN</t>
  </si>
  <si>
    <t>Controles_Programados</t>
  </si>
  <si>
    <t>Porcentaje_Cumplimiento_Individual</t>
  </si>
  <si>
    <t>Fecha_Remision_Psicologia</t>
  </si>
  <si>
    <t>Fecha_Asistencia_Consulta_Psicologia</t>
  </si>
  <si>
    <t>Fecha_Remision_Nutricion</t>
  </si>
  <si>
    <t>Fecha_Asistencia_Consulta_Nutricion</t>
  </si>
  <si>
    <t>Fecha_Remision_Ginecologo</t>
  </si>
  <si>
    <t>Fecha_Asistencia_Primera_Vez_Ginecologia</t>
  </si>
  <si>
    <t>Fecha_Ultima_Asistencia_Consulta_Gineco</t>
  </si>
  <si>
    <t>Numero_Consultas_Ginecologo</t>
  </si>
  <si>
    <t>Resultado_Hemogl Antes_Tercer_Trimestre</t>
  </si>
  <si>
    <t>Fecha_Resultado_HB</t>
  </si>
  <si>
    <t>Edad_Gestacional_HB</t>
  </si>
  <si>
    <t>Conducta_Hemoglobina</t>
  </si>
  <si>
    <t>Trimestre_Gestacion_Toma_Examen</t>
  </si>
  <si>
    <t>Resultado_Hemoglobina_Semana_Veintiocho</t>
  </si>
  <si>
    <t>Fecha_Resultado_HB_Semana_Veintiocho</t>
  </si>
  <si>
    <t>Edad_Gestacional_HB_Semana_Veintiocho</t>
  </si>
  <si>
    <t>Conducta_Hemoglobina_Diez</t>
  </si>
  <si>
    <t>Resultado_Hemoclasificacion_RH_Riesgo_</t>
  </si>
  <si>
    <t>FECHA RESULTADO DE HEMOCL</t>
  </si>
  <si>
    <t>Fecha_Aplicación_Rhesuman</t>
  </si>
  <si>
    <t>Edad_Gestacional_Hemoclasificacion_RH</t>
  </si>
  <si>
    <t>Observacion_Resultado_De_Hemoclasificacion_RH_</t>
  </si>
  <si>
    <t>Glicemia_Pre</t>
  </si>
  <si>
    <t>Fecha_Glicemia</t>
  </si>
  <si>
    <t>Edad_Gestacional_Glicemia</t>
  </si>
  <si>
    <t>PTOG_Carga_SeteintayCinco_Pre_Valor</t>
  </si>
  <si>
    <t>PTOG_Carga_SeteintayCinco_Uno_Hora_Valor</t>
  </si>
  <si>
    <t>PTOG_Carga_SeteintayCinco_Dos_Hora_Valor</t>
  </si>
  <si>
    <t>PTOG_Carga_SeteintayCinco_Resultado</t>
  </si>
  <si>
    <t>Fecha_Toma_Examen_PTOG</t>
  </si>
  <si>
    <t>Edad_Gestacional_PTOG</t>
  </si>
  <si>
    <t>Tamizaje_Para_Sifilis_Segun_GPC_Sifilis_</t>
  </si>
  <si>
    <t>Fecha_Resultado_Primer_Trimestre</t>
  </si>
  <si>
    <t>Alarma_Tamizaje_Sifilis_Primer_Trimestre</t>
  </si>
  <si>
    <t>Tamizaje_Sifilis_Segun_GPC_Sifilis_Segundo_Trimestre</t>
  </si>
  <si>
    <t>Fecha_Resultado_PR_Segundo_Trimestre</t>
  </si>
  <si>
    <t>Alarma_Tamizaje_Sifilis_Segundo_Trimestre_</t>
  </si>
  <si>
    <t>Tamizaje_Sifilis_Segun_GPC_Sifilis_Tercer_</t>
  </si>
  <si>
    <t>Fecha_Resultado_PR_Tercer_Trimestre</t>
  </si>
  <si>
    <t>Alarma_Tamizaje_Sifilis_Tercer_Trimest</t>
  </si>
  <si>
    <t>Tamizaje_Sifilis_Segun_GPC_Sifilis_</t>
  </si>
  <si>
    <t>Fecha_Resultado_PR_Intraparto</t>
  </si>
  <si>
    <t>Alarma_Consolidada_Casos_Sifilis_</t>
  </si>
  <si>
    <t>Resultado_Urocultivo</t>
  </si>
  <si>
    <t>Fecha_Resultado_Urocultivo</t>
  </si>
  <si>
    <t>Edad_Gestacional_Uroculltivo</t>
  </si>
  <si>
    <t>Tamizaje_VIH_Primer_Trimestre</t>
  </si>
  <si>
    <t>Fecha_Resultado_Tamizaje_VIH_Primer_Trimestre</t>
  </si>
  <si>
    <t>Alarma_Tamizaje_VIH_Primer_Trimestre</t>
  </si>
  <si>
    <t>Tamizaje_VIH_Segundo_Trimestre</t>
  </si>
  <si>
    <t>Fecha_Resultado_Tamizaje_VIH_Segundo_</t>
  </si>
  <si>
    <t>Alarma_Tamizaje_VIH_Segundo_Trimestre</t>
  </si>
  <si>
    <t>Tamizaje_VIH_Tercer_Trimestre</t>
  </si>
  <si>
    <t>Fecha_Resultado_Tamizaje_VIH_Tercer_</t>
  </si>
  <si>
    <t>Alarma_Tamizaje_VIH_Tercer_Trimestre</t>
  </si>
  <si>
    <t>Tamizaje_VIH_Intraparto_Segun_GPC</t>
  </si>
  <si>
    <t>Fecha_Resultado_Tamizaje_Intraparto</t>
  </si>
  <si>
    <t>Segunda_Prueba_PR_Definir_Diagnostico_VIH_Segun_</t>
  </si>
  <si>
    <t>Fecha_Resultado_Segunda_Prueba_Elisa_PR_Definir_</t>
  </si>
  <si>
    <t>Resultado_Carga_Viral_Segun_Protocolo_INS</t>
  </si>
  <si>
    <t>Fecha_Resultado_Carga_Viral_Segun_Protocolo_INS</t>
  </si>
  <si>
    <t>Resultado_HEP_B_Antigeno_Sperficie</t>
  </si>
  <si>
    <t>Fecha_Resultado_HASB</t>
  </si>
  <si>
    <t>Edad_Gestacional_Dieciocho</t>
  </si>
  <si>
    <t>Resultado_Toxoplasma_IgG</t>
  </si>
  <si>
    <t>Resultado_Confir_Toxoplasma_IgM</t>
  </si>
  <si>
    <t>Alarma_Toxoplasmosis</t>
  </si>
  <si>
    <t>Fecha_Resultado_Toxo</t>
  </si>
  <si>
    <t>Edad_Gestacional_Veinituno</t>
  </si>
  <si>
    <t>Trimestre_Gestacion_Toma_Examen_CincuentayDos</t>
  </si>
  <si>
    <t>Resultado_Toxoplasmosis_Ultimo_IgM_Si_</t>
  </si>
  <si>
    <t>Numero_Veces_Toma_Toxoplasma_IgM_Control</t>
  </si>
  <si>
    <t>Resultado_Ultima_Citologia</t>
  </si>
  <si>
    <t>Tamizaje_Para_Chagas</t>
  </si>
  <si>
    <t>Fecha_Resultado_Tamizaje_Chagas</t>
  </si>
  <si>
    <t>Tamizaje_Inicial_Gota_Gruesa_Malaria</t>
  </si>
  <si>
    <t>Fecha_Resultado_Tamizaje_Inicial_Gota_Gruesa</t>
  </si>
  <si>
    <t>Resultado_Ultimo_Tamizaje_Gota_Gruesa</t>
  </si>
  <si>
    <t>Numero_Tamizajes_Tomados_Gota_Gruesa_Malaria</t>
  </si>
  <si>
    <t>Diagnostico_Positivo_Covid_Infeccion_SARS</t>
  </si>
  <si>
    <t>Enfermedades_Propias_Culturales</t>
  </si>
  <si>
    <t>Otros_Factores_Riesgo</t>
  </si>
  <si>
    <t>Riesgo_Biopsicosocial</t>
  </si>
  <si>
    <t>Motivos_Clasificacion_Riesgo_Biopsicosocial</t>
  </si>
  <si>
    <t>Alarma_Factores_Riesgo_Complicaciones_</t>
  </si>
  <si>
    <t>Alarma_Seguimiento_Cifras_Presion_Arterial_</t>
  </si>
  <si>
    <t>Alerta_Seguimiento_Dos</t>
  </si>
  <si>
    <t>Gestantes_Actuales_VeintiDos</t>
  </si>
  <si>
    <t>Clasificacion_Riesgo_Adecuada</t>
  </si>
  <si>
    <t>Suministro_ASA_Segun_GPC</t>
  </si>
  <si>
    <t>Fecha_Inicio_Suministro_ASA</t>
  </si>
  <si>
    <t>Alerta_Suministro_ASA</t>
  </si>
  <si>
    <t>Fecha_Inicio_Suministro_Calcio</t>
  </si>
  <si>
    <t>Suministro_Calcio</t>
  </si>
  <si>
    <t>Fecha_Inicio_Suministro_Acido_Folico</t>
  </si>
  <si>
    <t>Suministro_Acido_Folico</t>
  </si>
  <si>
    <t>Fecha_Inicio_Suministro_Sulfato_Ferroso</t>
  </si>
  <si>
    <t>Suministro_Sulfato_Ferroso</t>
  </si>
  <si>
    <t>Fecha_Consulta_Primera_Vez_Odontologia</t>
  </si>
  <si>
    <t>Semanas de gestacion al cnslta odontol</t>
  </si>
  <si>
    <t>Manejo_Odontologico_Durante_Gestacion</t>
  </si>
  <si>
    <t>Vacunacion_Covid</t>
  </si>
  <si>
    <t>Fecha_Vacuna_Anti_Influenza</t>
  </si>
  <si>
    <t>Fecha_Vacuna_DPT_Acelular</t>
  </si>
  <si>
    <t>Alarma_DPT_Acelular</t>
  </si>
  <si>
    <t>Fecha_Vacuna_TD</t>
  </si>
  <si>
    <t>Días_Parto_Dos</t>
  </si>
  <si>
    <t>Alerta_Parto_Tres</t>
  </si>
  <si>
    <t>Fecha_Ultima_Remision_URG</t>
  </si>
  <si>
    <t>Sale_Programa_Por</t>
  </si>
  <si>
    <t>Eventos_Interes_Salud_Publica_Madre</t>
  </si>
  <si>
    <t>Eventos_Interes_Salud_Publica_RecienNacido</t>
  </si>
  <si>
    <t>Fecha_Salida_Programa</t>
  </si>
  <si>
    <t>Lugar_Atencion_Parto</t>
  </si>
  <si>
    <t>Edad_Gestacional_Salida_Programa</t>
  </si>
  <si>
    <t>Nombre_Institucion_Atendio_Parto</t>
  </si>
  <si>
    <t>Nivel_Complejidad_Atencion_Institucion_Atencion</t>
  </si>
  <si>
    <t>Profesional_Atencion_Parto</t>
  </si>
  <si>
    <t>Inicio_Trabajo_Parto</t>
  </si>
  <si>
    <t>Acompañamiento_Persona_Confianza_Durante</t>
  </si>
  <si>
    <t>Diligenciamiento_Partograma</t>
  </si>
  <si>
    <t>Manejo_Activo_Tercer_Periodo_Parto</t>
  </si>
  <si>
    <t>Contacto_Piel_A_Piel</t>
  </si>
  <si>
    <t>Inicio_Lactancia_Materna_Durante_Contacto</t>
  </si>
  <si>
    <t>Monitoria_Cada_Quince_Minutos_Signos_Vitales</t>
  </si>
  <si>
    <t>Complicaciones_Postparto</t>
  </si>
  <si>
    <t>Numero_Nacidos_Vivos</t>
  </si>
  <si>
    <t>Sexo_RN</t>
  </si>
  <si>
    <t>Peso_RN_Gramos</t>
  </si>
  <si>
    <t>Peso_Nacer</t>
  </si>
  <si>
    <t>Fecha_Toma_TSH</t>
  </si>
  <si>
    <t>Resultado_TSH</t>
  </si>
  <si>
    <t>Fecha_Resultado_TSH</t>
  </si>
  <si>
    <t>Aplicacion_VIT_K</t>
  </si>
  <si>
    <t>Grupo_Sanguineo_RN</t>
  </si>
  <si>
    <t>Fecha_Aplicacion_Vacuna_HepatitisB</t>
  </si>
  <si>
    <t>Fecha_Aplicacion_Vacuna_BCG</t>
  </si>
  <si>
    <t>Sexo_RN_Dos</t>
  </si>
  <si>
    <t>Peso_RN_Dos</t>
  </si>
  <si>
    <t>Peso_Nacer_Edad_Gestacional_RN_Dos</t>
  </si>
  <si>
    <t>Fecha_Toma_TSH_Dos</t>
  </si>
  <si>
    <t>Resultado_TSH_Dos</t>
  </si>
  <si>
    <t>Fecha_Resultado_TSH_Dos1</t>
  </si>
  <si>
    <t>Aplicacion_VIT_K_Dos</t>
  </si>
  <si>
    <t>Grupo_Sanguineo_RN_Dos</t>
  </si>
  <si>
    <t>Fecha_Resultado_TSH_Dos</t>
  </si>
  <si>
    <t>Fecha_Aplicacion_Vacuna_BCG_Dos</t>
  </si>
  <si>
    <t>Control_RN_Fecha_Asistio</t>
  </si>
  <si>
    <t>Alarma_Uno_Control_RN</t>
  </si>
  <si>
    <t>Control_Puerperio_Fecha</t>
  </si>
  <si>
    <t>Alarma_Control_Puerperio</t>
  </si>
  <si>
    <t>Asesoria_Lactancia_Materna_Exlusiva_</t>
  </si>
  <si>
    <t>Asesoria_Planificacion_Familiar_PostEvento_</t>
  </si>
  <si>
    <t>Puerpera_Planificacion_Familiar_PostEvento_</t>
  </si>
  <si>
    <t>Fecha_Inscripcion_Planificacion_Familiar_Dos</t>
  </si>
  <si>
    <t>Metodo_Anticonceptivo_Inciado_Postparto</t>
  </si>
  <si>
    <t>Tipo_Apoyo_Realizado_Por_EPS</t>
  </si>
  <si>
    <t>Tipo_Apoyo_Realizado_Por_IPS_Primaria</t>
  </si>
  <si>
    <t>Fecha_Seguimiento_Inicial_Por_Personal_Salud_Terreno</t>
  </si>
  <si>
    <t>Fecha_Ultimo_Seguimiento</t>
  </si>
  <si>
    <t>Numero_Seguimientos_CPN</t>
  </si>
  <si>
    <t>Hallazgo_Gestacion_Seguimiento_Visita_Domiciliaria</t>
  </si>
  <si>
    <t>Fecha_Seguimientos_Telefonicos</t>
  </si>
  <si>
    <t>Numero_Seguimientos_Telefonicos</t>
  </si>
  <si>
    <t>Observacion_Seguimientos_Telefonicos</t>
  </si>
  <si>
    <t>Fecha_Seguimiento_Personal_Salud_Terreno_Puerperio</t>
  </si>
  <si>
    <t>Hallazgos_Acompañamiento_Personal_Salud__Puerpera</t>
  </si>
  <si>
    <t>Hallazgos_Acompañamiento_Personal_Salud__</t>
  </si>
  <si>
    <t>Fecha_Ultimo_Seguimiento_Personal_Salud_Terreno</t>
  </si>
  <si>
    <t>Numero_Seguimiento_Puerperio</t>
  </si>
  <si>
    <t>Fecha_Primer_Acompañamiento_SabedorAncestral</t>
  </si>
  <si>
    <t>Tipo_Sabedor</t>
  </si>
  <si>
    <t>Necesidad_Desarmonia_Desde_Lo_Propio_Uno</t>
  </si>
  <si>
    <t>Actividad_Ritualidad_Realizada_Uno</t>
  </si>
  <si>
    <t>Fecha_Acompañamiento_Sabedor_Ancestral_Dos</t>
  </si>
  <si>
    <t>Tipo_Sabedor_Dos</t>
  </si>
  <si>
    <t>Necesidad_Desarmonia_Desde_Lo_Propio_Dos</t>
  </si>
  <si>
    <t>Actividad_Ritualidad_Realizada_Dos</t>
  </si>
  <si>
    <t>Fecha_Acompañamiento_Sabedor_Ancestral_Tres</t>
  </si>
  <si>
    <t>Tipo_Sabedor_Tres</t>
  </si>
  <si>
    <t>Necesidad_Desarmonia_Desde_Lo_Propio_Tres</t>
  </si>
  <si>
    <t>Actividad_Ritualidad_Realizada_Cuatro</t>
  </si>
  <si>
    <t>Fecha_Acompañamiento_Sabedor_Ancestral_Cuatro</t>
  </si>
  <si>
    <t>Tipo_Sabedor_Cuatro</t>
  </si>
  <si>
    <t>Necesidad_Desarmonia_Desde_Lo_Propio_Cuatro</t>
  </si>
  <si>
    <t>Actividad_Ritualidad_Realizada_Cinco</t>
  </si>
  <si>
    <t>Fecha_Acompañamiento_Sabedor_Ancestral_Cinco</t>
  </si>
  <si>
    <t>Tipo_Sabedor_Cinco</t>
  </si>
  <si>
    <t>Necesidad_Desarmonia_Desde_Lo_Propio_Cinco</t>
  </si>
  <si>
    <t>Actividad_Ritualidad_Realizada_Seis</t>
  </si>
  <si>
    <t>Fecha_Acompañamiento_Sabedor_Ancest</t>
  </si>
  <si>
    <t>Tipo_Sabedor_Seis</t>
  </si>
  <si>
    <t>Necesidad_Desarmonia_Desde_Lo_Propio_Seis</t>
  </si>
  <si>
    <t>Actividad_Ritualidad_Realizada_Siete</t>
  </si>
  <si>
    <t>Fecha_Acompañamiento_Sabedor_Puerperio</t>
  </si>
  <si>
    <t>Tipo_Sabedor_Siete</t>
  </si>
  <si>
    <t>Necesidad_Desarmonia_Desde_Lo_Propio_Siete</t>
  </si>
  <si>
    <t>Actividad_Ritualidad_Realizada_Ocho</t>
  </si>
  <si>
    <t>Fecha_Acompañamiento_Sabedor_Puerperio22</t>
  </si>
  <si>
    <t>Tipo_Sabedor_Ocho</t>
  </si>
  <si>
    <t>Necesidad_Desarmonia_Desde_Lo_Propio_Ocho</t>
  </si>
  <si>
    <t>Actividad_Ritualidad_Realizada_Nueve</t>
  </si>
  <si>
    <t>Fecha_Acompañamiento_Sabedor_Ancestral1</t>
  </si>
  <si>
    <t>Tipo_Sabedor_Nueve</t>
  </si>
  <si>
    <t>Necesidad_Desarmonia_Desde_Lo_Propio_Nueve</t>
  </si>
  <si>
    <t>Actividad_Ritualidad_Realizada_Diez</t>
  </si>
  <si>
    <t>Fecha_Acompañamiento_Sabedor_Ancestral</t>
  </si>
  <si>
    <t>Tipo_Sabedor_Diez</t>
  </si>
  <si>
    <t>Necesidad_Desarmonia_Desde_Lo_Propio_Diez</t>
  </si>
  <si>
    <t>Actividad_Ritualidad_Realizada_Once</t>
  </si>
  <si>
    <t>narvaez</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</si>
</sst>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yyyy\-mm\-dd;@"/>
    <numFmt numFmtId="166" formatCode="dd/mm/yyyy"/>
    <numFmt numFmtId="167" formatCode="0.0%"/>
    <numFmt numFmtId="168" formatCode="dd/mm/yyyy;@"/>
  </numFmts>
  <fonts count="59" x14ac:knownFonts="1">
    <font>
      <sz val="11"/>
      <color theme="1"/>
      <name val="Calibri"/>
      <family val="2"/>
      <scheme val="minor"/>
    </font>
    <font>
      <b/>
      <sz val="11"/>
      <color theme="1"/>
      <name val="Calibri"/>
      <family val="2"/>
      <scheme val="minor"/>
    </font>
    <font>
      <sz val="11"/>
      <color indexed="8"/>
      <name val="Calibri"/>
      <family val="2"/>
    </font>
    <font>
      <sz val="10"/>
      <name val="Arial"/>
      <family val="2"/>
    </font>
    <font>
      <b/>
      <sz val="11"/>
      <color theme="0"/>
      <name val="Calibri"/>
      <family val="2"/>
      <scheme val="minor"/>
    </font>
    <font>
      <sz val="10"/>
      <color theme="1"/>
      <name val="Calibri"/>
      <family val="2"/>
      <scheme val="minor"/>
    </font>
    <font>
      <sz val="11"/>
      <color theme="1"/>
      <name val="Calibri"/>
      <family val="2"/>
      <scheme val="minor"/>
    </font>
    <font>
      <sz val="11"/>
      <color theme="0"/>
      <name val="Calibri"/>
      <family val="2"/>
      <scheme val="minor"/>
    </font>
    <font>
      <b/>
      <sz val="10"/>
      <color theme="1"/>
      <name val="Calibri"/>
      <family val="2"/>
      <scheme val="minor"/>
    </font>
    <font>
      <b/>
      <sz val="11"/>
      <color theme="5" tint="-0.499984740745262"/>
      <name val="Calibri"/>
      <family val="2"/>
      <scheme val="minor"/>
    </font>
    <font>
      <sz val="9"/>
      <color theme="1"/>
      <name val="Calibri"/>
      <family val="2"/>
      <scheme val="minor"/>
    </font>
    <font>
      <sz val="9"/>
      <color theme="1"/>
      <name val="Arial"/>
      <family val="2"/>
    </font>
    <font>
      <sz val="10"/>
      <color theme="1"/>
      <name val="Arial"/>
      <family val="2"/>
    </font>
    <font>
      <sz val="11"/>
      <color theme="1"/>
      <name val="Arial"/>
      <family val="2"/>
    </font>
    <font>
      <sz val="8"/>
      <color theme="1"/>
      <name val="Arial"/>
      <family val="2"/>
    </font>
    <font>
      <b/>
      <sz val="11"/>
      <color theme="1"/>
      <name val="Arial"/>
      <family val="2"/>
    </font>
    <font>
      <sz val="10"/>
      <color rgb="FF000000"/>
      <name val="Calibri"/>
      <family val="2"/>
      <scheme val="minor"/>
    </font>
    <font>
      <sz val="11"/>
      <color rgb="FFFF0000"/>
      <name val="Calibri"/>
      <family val="2"/>
      <scheme val="minor"/>
    </font>
    <font>
      <b/>
      <sz val="11"/>
      <color rgb="FFFF0000"/>
      <name val="Calibri"/>
      <family val="2"/>
      <scheme val="minor"/>
    </font>
    <font>
      <b/>
      <sz val="9"/>
      <color theme="1"/>
      <name val="Arial"/>
      <family val="2"/>
    </font>
    <font>
      <sz val="10"/>
      <color theme="1"/>
      <name val="Calibri"/>
      <family val="2"/>
      <scheme val="minor"/>
    </font>
    <font>
      <sz val="10"/>
      <color indexed="8"/>
      <name val="Arial"/>
      <family val="2"/>
    </font>
    <font>
      <b/>
      <i/>
      <sz val="11"/>
      <color theme="0"/>
      <name val="Calibri"/>
      <family val="2"/>
      <scheme val="minor"/>
    </font>
    <font>
      <b/>
      <u/>
      <sz val="10"/>
      <color theme="1"/>
      <name val="Calibri"/>
      <family val="2"/>
      <scheme val="minor"/>
    </font>
    <font>
      <b/>
      <sz val="12"/>
      <color theme="1"/>
      <name val="Calibri"/>
      <family val="2"/>
      <scheme val="minor"/>
    </font>
    <font>
      <b/>
      <sz val="10"/>
      <color theme="1"/>
      <name val="Times New Roman"/>
      <family val="1"/>
    </font>
    <font>
      <sz val="18"/>
      <color theme="1"/>
      <name val="Calibri"/>
      <family val="2"/>
      <scheme val="minor"/>
    </font>
    <font>
      <b/>
      <sz val="14"/>
      <color theme="1"/>
      <name val="Calibri"/>
      <family val="2"/>
      <scheme val="minor"/>
    </font>
    <font>
      <sz val="14"/>
      <color theme="1"/>
      <name val="Calibri"/>
      <family val="2"/>
      <scheme val="minor"/>
    </font>
    <font>
      <u/>
      <sz val="11"/>
      <color theme="1"/>
      <name val="Calibri"/>
      <family val="2"/>
      <scheme val="minor"/>
    </font>
    <font>
      <u/>
      <sz val="11"/>
      <color rgb="FFFF0000"/>
      <name val="Calibri"/>
      <family val="2"/>
      <scheme val="minor"/>
    </font>
    <font>
      <b/>
      <sz val="10"/>
      <color theme="0"/>
      <name val="Calibri"/>
      <family val="2"/>
      <scheme val="minor"/>
    </font>
    <font>
      <b/>
      <sz val="10"/>
      <color theme="0"/>
      <name val="Times New Roman"/>
      <family val="1"/>
    </font>
    <font>
      <sz val="8"/>
      <name val="Calibri"/>
      <family val="2"/>
      <scheme val="minor"/>
    </font>
    <font>
      <sz val="10"/>
      <color indexed="8"/>
      <name val="Arial"/>
      <family val="2"/>
    </font>
    <font>
      <b/>
      <i/>
      <sz val="11"/>
      <color rgb="FFFF0000"/>
      <name val="Calibri"/>
      <family val="2"/>
      <scheme val="minor"/>
    </font>
    <font>
      <sz val="11"/>
      <name val="Calibri"/>
      <family val="2"/>
      <scheme val="minor"/>
    </font>
    <font>
      <b/>
      <u/>
      <sz val="11"/>
      <name val="Calibri"/>
      <family val="2"/>
      <scheme val="minor"/>
    </font>
    <font>
      <b/>
      <u/>
      <sz val="11"/>
      <color rgb="FFFF0000"/>
      <name val="Calibri"/>
      <family val="2"/>
      <scheme val="minor"/>
    </font>
    <font>
      <sz val="10"/>
      <color theme="1"/>
      <name val="Calibri"/>
      <family val="2"/>
      <scheme val="minor"/>
    </font>
    <font>
      <b/>
      <sz val="11"/>
      <name val="Calibri"/>
      <family val="2"/>
      <scheme val="minor"/>
    </font>
    <font>
      <b/>
      <sz val="10"/>
      <name val="Times New Roman"/>
      <family val="1"/>
    </font>
    <font>
      <b/>
      <sz val="16"/>
      <color theme="1"/>
      <name val="Calibri"/>
      <family val="2"/>
      <scheme val="minor"/>
    </font>
    <font>
      <sz val="11"/>
      <name val="Arial"/>
      <family val="2"/>
    </font>
    <font>
      <sz val="10"/>
      <color theme="1"/>
      <name val="Calibri"/>
      <family val="2"/>
      <scheme val="minor"/>
    </font>
    <font>
      <sz val="10"/>
      <color rgb="FFFF0000"/>
      <name val="Calibri"/>
      <family val="2"/>
      <scheme val="minor"/>
    </font>
    <font>
      <sz val="10"/>
      <color theme="0"/>
      <name val="Calibri"/>
      <family val="2"/>
      <scheme val="minor"/>
    </font>
    <font>
      <b/>
      <i/>
      <sz val="11"/>
      <name val="Calibri"/>
      <family val="2"/>
      <scheme val="minor"/>
    </font>
    <font>
      <sz val="10"/>
      <color theme="1"/>
      <name val="Calibri"/>
      <family val="2"/>
      <scheme val="minor"/>
    </font>
    <font>
      <sz val="12"/>
      <color theme="1"/>
      <name val="Calibri"/>
      <family val="2"/>
      <scheme val="minor"/>
    </font>
    <font>
      <sz val="8"/>
      <color theme="1"/>
      <name val="Century Gothic"/>
      <family val="2"/>
    </font>
    <font>
      <sz val="11"/>
      <color theme="1"/>
      <name val="Calibri"/>
      <family val="2"/>
    </font>
    <font>
      <sz val="10"/>
      <color rgb="FFFF0000"/>
      <name val="Arial"/>
      <family val="2"/>
    </font>
    <font>
      <sz val="10"/>
      <color theme="1"/>
      <name val="Calibri"/>
      <family val="2"/>
      <scheme val="minor"/>
    </font>
    <font>
      <b/>
      <sz val="11"/>
      <color rgb="FF333333"/>
      <name val="Arial"/>
      <family val="2"/>
    </font>
    <font>
      <sz val="10"/>
      <color indexed="8"/>
      <name val="Calibri"/>
      <family val="2"/>
      <scheme val="minor"/>
    </font>
    <font>
      <sz val="11"/>
      <color indexed="8"/>
      <name val="Calibri"/>
      <family val="2"/>
      <scheme val="minor"/>
    </font>
    <font>
      <b/>
      <sz val="9"/>
      <color rgb="FF000000"/>
      <name val="Century Gothic"/>
      <family val="2"/>
    </font>
    <font>
      <sz val="11"/>
      <color rgb="FFCE9178"/>
      <name val="Consolas"/>
      <family val="3"/>
    </font>
  </fonts>
  <fills count="37">
    <fill>
      <patternFill patternType="none"/>
    </fill>
    <fill>
      <patternFill patternType="gray125"/>
    </fill>
    <fill>
      <patternFill patternType="solid">
        <fgColor rgb="FFFFFF00"/>
        <bgColor indexed="64"/>
      </patternFill>
    </fill>
    <fill>
      <patternFill patternType="solid">
        <fgColor theme="5" tint="0.39997558519241921"/>
        <bgColor indexed="65"/>
      </patternFill>
    </fill>
    <fill>
      <patternFill patternType="solid">
        <fgColor theme="5" tint="0.39994506668294322"/>
        <bgColor indexed="64"/>
      </patternFill>
    </fill>
    <fill>
      <patternFill patternType="solid">
        <fgColor theme="8" tint="0.59996337778862885"/>
        <bgColor indexed="64"/>
      </patternFill>
    </fill>
    <fill>
      <patternFill patternType="solid">
        <fgColor theme="8"/>
      </patternFill>
    </fill>
    <fill>
      <patternFill patternType="solid">
        <fgColor theme="9" tint="-0.249977111117893"/>
        <bgColor indexed="64"/>
      </patternFill>
    </fill>
    <fill>
      <patternFill patternType="solid">
        <fgColor theme="9" tint="0.39997558519241921"/>
        <bgColor indexed="64"/>
      </patternFill>
    </fill>
    <fill>
      <patternFill patternType="solid">
        <fgColor rgb="FFF0EE8A"/>
        <bgColor indexed="64"/>
      </patternFill>
    </fill>
    <fill>
      <patternFill patternType="solid">
        <fgColor theme="2" tint="-9.9978637043366805E-2"/>
        <bgColor indexed="64"/>
      </patternFill>
    </fill>
    <fill>
      <patternFill patternType="solid">
        <fgColor theme="8" tint="-0.249977111117893"/>
        <bgColor indexed="64"/>
      </patternFill>
    </fill>
    <fill>
      <patternFill patternType="solid">
        <fgColor theme="6" tint="0.79998168889431442"/>
        <bgColor indexed="64"/>
      </patternFill>
    </fill>
    <fill>
      <patternFill patternType="solid">
        <fgColor theme="6" tint="-0.249977111117893"/>
        <bgColor indexed="64"/>
      </patternFill>
    </fill>
    <fill>
      <patternFill patternType="solid">
        <fgColor theme="6" tint="0.39997558519241921"/>
        <bgColor indexed="64"/>
      </patternFill>
    </fill>
    <fill>
      <patternFill patternType="solid">
        <fgColor theme="6" tint="-0.499984740745262"/>
        <bgColor indexed="64"/>
      </patternFill>
    </fill>
    <fill>
      <patternFill patternType="solid">
        <fgColor theme="0"/>
        <bgColor indexed="64"/>
      </patternFill>
    </fill>
    <fill>
      <patternFill patternType="solid">
        <fgColor theme="9"/>
        <bgColor indexed="64"/>
      </patternFill>
    </fill>
    <fill>
      <patternFill patternType="solid">
        <fgColor rgb="FFFFFFCC"/>
        <bgColor indexed="64"/>
      </patternFill>
    </fill>
    <fill>
      <patternFill patternType="solid">
        <fgColor theme="4" tint="0.79998168889431442"/>
        <bgColor indexed="64"/>
      </patternFill>
    </fill>
    <fill>
      <patternFill patternType="solid">
        <fgColor theme="8" tint="0.59999389629810485"/>
        <bgColor indexed="64"/>
      </patternFill>
    </fill>
    <fill>
      <patternFill patternType="solid">
        <fgColor theme="2" tint="-0.249977111117893"/>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5" tint="-0.499984740745262"/>
        <bgColor indexed="64"/>
      </patternFill>
    </fill>
    <fill>
      <patternFill patternType="solid">
        <fgColor theme="4" tint="0.39997558519241921"/>
        <bgColor indexed="64"/>
      </patternFill>
    </fill>
    <fill>
      <patternFill patternType="solid">
        <fgColor rgb="FFFFC000"/>
        <bgColor indexed="64"/>
      </patternFill>
    </fill>
    <fill>
      <patternFill patternType="solid">
        <fgColor theme="4"/>
        <bgColor indexed="64"/>
      </patternFill>
    </fill>
    <fill>
      <patternFill patternType="solid">
        <fgColor theme="9" tint="0.79998168889431442"/>
        <bgColor theme="9" tint="0.79998168889431442"/>
      </patternFill>
    </fill>
    <fill>
      <patternFill patternType="solid">
        <fgColor theme="9" tint="-0.249977111117893"/>
        <bgColor theme="9" tint="0.79998168889431442"/>
      </patternFill>
    </fill>
    <fill>
      <patternFill patternType="solid">
        <fgColor rgb="FF2BE7E7"/>
        <bgColor indexed="64"/>
      </patternFill>
    </fill>
    <fill>
      <patternFill patternType="solid">
        <fgColor theme="4" tint="-0.249977111117893"/>
        <bgColor indexed="64"/>
      </patternFill>
    </fill>
    <fill>
      <patternFill patternType="solid">
        <fgColor rgb="FF31869B"/>
        <bgColor indexed="64"/>
      </patternFill>
    </fill>
    <fill>
      <patternFill patternType="solid">
        <fgColor theme="8"/>
        <bgColor indexed="64"/>
      </patternFill>
    </fill>
    <fill>
      <patternFill patternType="solid">
        <fgColor theme="7" tint="0.59999389629810485"/>
        <bgColor indexed="64"/>
      </patternFill>
    </fill>
    <fill>
      <patternFill patternType="solid">
        <fgColor theme="8" tint="0.79998168889431442"/>
        <bgColor indexed="64"/>
      </patternFill>
    </fill>
    <fill>
      <patternFill patternType="solid">
        <fgColor theme="5"/>
        <bgColor indexed="64"/>
      </patternFill>
    </fill>
  </fills>
  <borders count="5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double">
        <color rgb="FF3F3F3F"/>
      </left>
      <right style="double">
        <color rgb="FF3F3F3F"/>
      </right>
      <top style="double">
        <color rgb="FF3F3F3F"/>
      </top>
      <bottom style="double">
        <color rgb="FF3F3F3F"/>
      </bottom>
      <diagonal/>
    </border>
    <border>
      <left style="thin">
        <color theme="3"/>
      </left>
      <right style="thin">
        <color theme="3"/>
      </right>
      <top style="thin">
        <color theme="3"/>
      </top>
      <bottom style="double">
        <color theme="3"/>
      </bottom>
      <diagonal/>
    </border>
    <border>
      <left style="thin">
        <color theme="5" tint="-0.499984740745262"/>
      </left>
      <right style="thin">
        <color theme="5" tint="-0.499984740745262"/>
      </right>
      <top style="thin">
        <color theme="5" tint="-0.499984740745262"/>
      </top>
      <bottom style="double">
        <color theme="5" tint="-0.499984740745262"/>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medium">
        <color indexed="64"/>
      </top>
      <bottom/>
      <diagonal/>
    </border>
    <border>
      <left style="medium">
        <color indexed="64"/>
      </left>
      <right/>
      <top style="medium">
        <color indexed="64"/>
      </top>
      <bottom/>
      <diagonal/>
    </border>
    <border>
      <left style="medium">
        <color indexed="64"/>
      </left>
      <right/>
      <top style="medium">
        <color indexed="64"/>
      </top>
      <bottom style="medium">
        <color indexed="64"/>
      </bottom>
      <diagonal/>
    </border>
    <border>
      <left/>
      <right style="thin">
        <color indexed="64"/>
      </right>
      <top style="medium">
        <color indexed="64"/>
      </top>
      <bottom/>
      <diagonal/>
    </border>
    <border>
      <left style="thin">
        <color indexed="64"/>
      </left>
      <right style="medium">
        <color indexed="64"/>
      </right>
      <top style="medium">
        <color indexed="64"/>
      </top>
      <bottom/>
      <diagonal/>
    </border>
    <border>
      <left/>
      <right/>
      <top/>
      <bottom style="thin">
        <color indexed="64"/>
      </bottom>
      <diagonal/>
    </border>
    <border>
      <left style="thin">
        <color indexed="64"/>
      </left>
      <right style="thin">
        <color indexed="64"/>
      </right>
      <top style="thin">
        <color indexed="64"/>
      </top>
      <bottom style="medium">
        <color theme="9"/>
      </bottom>
      <diagonal/>
    </border>
    <border>
      <left style="medium">
        <color indexed="64"/>
      </left>
      <right/>
      <top/>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top style="medium">
        <color indexed="64"/>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style="medium">
        <color indexed="64"/>
      </right>
      <top/>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diagonal/>
    </border>
    <border>
      <left style="thin">
        <color indexed="64"/>
      </left>
      <right style="thin">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bottom style="thin">
        <color indexed="64"/>
      </bottom>
      <diagonal/>
    </border>
    <border>
      <left style="thin">
        <color indexed="64"/>
      </left>
      <right/>
      <top style="thin">
        <color indexed="64"/>
      </top>
      <bottom/>
      <diagonal/>
    </border>
    <border>
      <left style="medium">
        <color indexed="64"/>
      </left>
      <right style="thin">
        <color indexed="64"/>
      </right>
      <top style="medium">
        <color indexed="64"/>
      </top>
      <bottom/>
      <diagonal/>
    </border>
    <border>
      <left style="thin">
        <color indexed="64"/>
      </left>
      <right style="thin">
        <color indexed="64"/>
      </right>
      <top/>
      <bottom style="medium">
        <color indexed="64"/>
      </bottom>
      <diagonal/>
    </border>
    <border>
      <left/>
      <right/>
      <top style="thin">
        <color indexed="64"/>
      </top>
      <bottom/>
      <diagonal/>
    </border>
    <border>
      <left style="medium">
        <color indexed="64"/>
      </left>
      <right/>
      <top style="thin">
        <color indexed="64"/>
      </top>
      <bottom/>
      <diagonal/>
    </border>
    <border>
      <left style="medium">
        <color indexed="64"/>
      </left>
      <right/>
      <top/>
      <bottom style="medium">
        <color indexed="64"/>
      </bottom>
      <diagonal/>
    </border>
    <border>
      <left style="thin">
        <color indexed="64"/>
      </left>
      <right/>
      <top/>
      <bottom style="thin">
        <color indexed="64"/>
      </bottom>
      <diagonal/>
    </border>
    <border>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thin">
        <color indexed="64"/>
      </left>
      <right/>
      <top style="medium">
        <color indexed="64"/>
      </top>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bottom style="thin">
        <color indexed="64"/>
      </bottom>
      <diagonal/>
    </border>
  </borders>
  <cellStyleXfs count="21">
    <xf numFmtId="0" fontId="0" fillId="0" borderId="0"/>
    <xf numFmtId="0" fontId="2" fillId="0" borderId="0"/>
    <xf numFmtId="0" fontId="3" fillId="0" borderId="0"/>
    <xf numFmtId="0" fontId="2" fillId="0" borderId="0"/>
    <xf numFmtId="0" fontId="2" fillId="0" borderId="0"/>
    <xf numFmtId="9" fontId="3" fillId="0" borderId="0" applyFont="0" applyFill="0" applyBorder="0" applyAlignment="0" applyProtection="0"/>
    <xf numFmtId="9" fontId="6" fillId="0" borderId="0" applyFont="0" applyFill="0" applyBorder="0" applyAlignment="0" applyProtection="0"/>
    <xf numFmtId="0" fontId="4" fillId="4" borderId="4" applyAlignment="0">
      <alignment horizontal="center" vertical="center" wrapText="1"/>
    </xf>
    <xf numFmtId="0" fontId="1" fillId="5" borderId="5"/>
    <xf numFmtId="0" fontId="9" fillId="3" borderId="6">
      <alignment vertical="center" wrapText="1"/>
    </xf>
    <xf numFmtId="0" fontId="7" fillId="6" borderId="0" applyNumberFormat="0" applyBorder="0" applyAlignment="0" applyProtection="0"/>
    <xf numFmtId="0" fontId="21" fillId="0" borderId="0" applyNumberFormat="0" applyFill="0" applyBorder="0" applyAlignment="0" applyProtection="0"/>
    <xf numFmtId="0" fontId="34" fillId="0" borderId="0"/>
    <xf numFmtId="0" fontId="34" fillId="0" borderId="0"/>
    <xf numFmtId="0" fontId="49" fillId="0" borderId="0"/>
    <xf numFmtId="0" fontId="6" fillId="0" borderId="0"/>
    <xf numFmtId="0" fontId="50" fillId="0" borderId="0"/>
    <xf numFmtId="0" fontId="6" fillId="0" borderId="0"/>
    <xf numFmtId="0" fontId="51" fillId="0" borderId="0"/>
    <xf numFmtId="0" fontId="6" fillId="0" borderId="0"/>
    <xf numFmtId="0" fontId="21" fillId="0" borderId="0"/>
  </cellStyleXfs>
  <cellXfs count="425">
    <xf numFmtId="0" fontId="0" fillId="0" borderId="0" xfId="0"/>
    <xf numFmtId="0" fontId="5" fillId="0" borderId="0" xfId="1" applyFont="1" applyAlignment="1">
      <alignment horizontal="center" vertical="center" wrapText="1"/>
    </xf>
    <xf numFmtId="164" fontId="5" fillId="0" borderId="0" xfId="1" applyNumberFormat="1" applyFont="1" applyAlignment="1">
      <alignment horizontal="center" vertical="center" wrapText="1"/>
    </xf>
    <xf numFmtId="1" fontId="5" fillId="0" borderId="0" xfId="1" applyNumberFormat="1" applyFont="1" applyAlignment="1">
      <alignment horizontal="center" vertical="center" wrapText="1"/>
    </xf>
    <xf numFmtId="14" fontId="5" fillId="0" borderId="0" xfId="1" applyNumberFormat="1" applyFont="1" applyAlignment="1">
      <alignment horizontal="center" vertical="center" wrapText="1"/>
    </xf>
    <xf numFmtId="2" fontId="5" fillId="0" borderId="0" xfId="1" applyNumberFormat="1" applyFont="1" applyAlignment="1">
      <alignment horizontal="center" vertical="center" wrapText="1"/>
    </xf>
    <xf numFmtId="0" fontId="8" fillId="0" borderId="0" xfId="1" applyFont="1" applyAlignment="1">
      <alignment horizontal="center" vertical="center" wrapText="1"/>
    </xf>
    <xf numFmtId="0" fontId="6" fillId="8" borderId="1" xfId="10" applyFont="1" applyFill="1" applyBorder="1" applyAlignment="1">
      <alignment horizontal="center" vertical="center" wrapText="1"/>
    </xf>
    <xf numFmtId="0" fontId="0" fillId="8" borderId="1" xfId="10" applyFont="1" applyFill="1" applyBorder="1" applyAlignment="1">
      <alignment horizontal="center" vertical="center" wrapText="1"/>
    </xf>
    <xf numFmtId="0" fontId="0" fillId="7" borderId="1" xfId="10" applyFont="1" applyFill="1" applyBorder="1" applyAlignment="1">
      <alignment horizontal="center" vertical="center" wrapText="1"/>
    </xf>
    <xf numFmtId="14" fontId="6" fillId="8" borderId="1" xfId="10" applyNumberFormat="1" applyFont="1" applyFill="1" applyBorder="1" applyAlignment="1">
      <alignment horizontal="center" vertical="center" wrapText="1"/>
    </xf>
    <xf numFmtId="0" fontId="0" fillId="0" borderId="1" xfId="0" applyBorder="1" applyAlignment="1">
      <alignment vertical="top" wrapText="1"/>
    </xf>
    <xf numFmtId="0" fontId="17" fillId="0" borderId="1" xfId="0" applyFont="1" applyBorder="1" applyAlignment="1">
      <alignment horizontal="justify" vertical="top"/>
    </xf>
    <xf numFmtId="0" fontId="0" fillId="0" borderId="1" xfId="0" applyBorder="1" applyAlignment="1">
      <alignment horizontal="justify" vertical="top"/>
    </xf>
    <xf numFmtId="0" fontId="18" fillId="0" borderId="1" xfId="0" applyFont="1" applyBorder="1" applyAlignment="1">
      <alignment vertical="top" wrapText="1"/>
    </xf>
    <xf numFmtId="14" fontId="8" fillId="0" borderId="0" xfId="1" applyNumberFormat="1" applyFont="1" applyAlignment="1">
      <alignment horizontal="center" vertical="center" wrapText="1"/>
    </xf>
    <xf numFmtId="165" fontId="5" fillId="0" borderId="0" xfId="1" applyNumberFormat="1" applyFont="1" applyAlignment="1">
      <alignment horizontal="center" vertical="center" wrapText="1"/>
    </xf>
    <xf numFmtId="0" fontId="1" fillId="8" borderId="1" xfId="10" applyFont="1" applyFill="1" applyBorder="1" applyAlignment="1">
      <alignment horizontal="center" vertical="center" wrapText="1"/>
    </xf>
    <xf numFmtId="14" fontId="0" fillId="8" borderId="1" xfId="10" applyNumberFormat="1" applyFont="1" applyFill="1" applyBorder="1" applyAlignment="1">
      <alignment horizontal="center" vertical="center" wrapText="1"/>
    </xf>
    <xf numFmtId="0" fontId="22" fillId="11" borderId="1" xfId="10" applyFont="1" applyFill="1" applyBorder="1" applyAlignment="1">
      <alignment horizontal="center" vertical="center" wrapText="1"/>
    </xf>
    <xf numFmtId="0" fontId="6" fillId="2" borderId="1" xfId="10" applyFont="1" applyFill="1" applyBorder="1" applyAlignment="1">
      <alignment horizontal="center" vertical="center" wrapText="1"/>
    </xf>
    <xf numFmtId="0" fontId="5" fillId="0" borderId="1" xfId="1" applyFont="1" applyBorder="1" applyAlignment="1">
      <alignment horizontal="center" vertical="center" wrapText="1"/>
    </xf>
    <xf numFmtId="14" fontId="5" fillId="0" borderId="1" xfId="1" applyNumberFormat="1" applyFont="1" applyBorder="1" applyAlignment="1">
      <alignment horizontal="center" vertical="center" wrapText="1"/>
    </xf>
    <xf numFmtId="0" fontId="16"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wrapText="1"/>
    </xf>
    <xf numFmtId="164" fontId="5" fillId="0" borderId="1" xfId="1" applyNumberFormat="1" applyFont="1" applyBorder="1" applyAlignment="1">
      <alignment horizontal="center" vertical="center" wrapText="1"/>
    </xf>
    <xf numFmtId="0" fontId="5" fillId="0" borderId="1" xfId="0" applyFont="1" applyBorder="1" applyAlignment="1" applyProtection="1">
      <alignment horizontal="center" vertical="center" wrapText="1"/>
      <protection locked="0"/>
    </xf>
    <xf numFmtId="0" fontId="5" fillId="0" borderId="1" xfId="0" applyFont="1" applyBorder="1" applyAlignment="1">
      <alignment horizontal="center" vertical="center"/>
    </xf>
    <xf numFmtId="1" fontId="5" fillId="0" borderId="1" xfId="1" applyNumberFormat="1" applyFont="1" applyBorder="1" applyAlignment="1">
      <alignment horizontal="center" vertical="center" wrapText="1"/>
    </xf>
    <xf numFmtId="2" fontId="5" fillId="0" borderId="1" xfId="1" applyNumberFormat="1" applyFont="1" applyBorder="1" applyAlignment="1">
      <alignment horizontal="center" vertical="center" wrapText="1"/>
    </xf>
    <xf numFmtId="0" fontId="11" fillId="0" borderId="1" xfId="1" applyFont="1" applyBorder="1" applyAlignment="1">
      <alignment horizontal="center" vertical="center" wrapText="1"/>
    </xf>
    <xf numFmtId="14" fontId="12" fillId="0" borderId="1" xfId="0" applyNumberFormat="1" applyFont="1" applyBorder="1" applyAlignment="1">
      <alignment horizontal="center" vertical="center" wrapText="1"/>
    </xf>
    <xf numFmtId="14" fontId="5" fillId="0" borderId="1" xfId="0" applyNumberFormat="1" applyFont="1" applyBorder="1" applyAlignment="1">
      <alignment horizontal="center" vertical="center" wrapText="1"/>
    </xf>
    <xf numFmtId="14" fontId="13" fillId="0" borderId="1" xfId="1" applyNumberFormat="1" applyFont="1" applyBorder="1" applyAlignment="1">
      <alignment horizontal="center" vertical="center" wrapText="1"/>
    </xf>
    <xf numFmtId="0" fontId="14" fillId="0" borderId="1" xfId="1" applyFont="1" applyBorder="1" applyAlignment="1">
      <alignment horizontal="center" vertical="center" wrapText="1"/>
    </xf>
    <xf numFmtId="0" fontId="13" fillId="0" borderId="1" xfId="1" applyFont="1" applyBorder="1" applyAlignment="1">
      <alignment horizontal="center" vertical="center" wrapText="1"/>
    </xf>
    <xf numFmtId="0" fontId="15" fillId="0" borderId="1" xfId="1" applyFont="1" applyBorder="1" applyAlignment="1">
      <alignment horizontal="center" vertical="center" wrapText="1"/>
    </xf>
    <xf numFmtId="14" fontId="19" fillId="0" borderId="1" xfId="1" applyNumberFormat="1" applyFont="1" applyBorder="1" applyAlignment="1">
      <alignment horizontal="center" vertical="center" wrapText="1"/>
    </xf>
    <xf numFmtId="0" fontId="20" fillId="0" borderId="1" xfId="1" applyFont="1" applyBorder="1" applyAlignment="1">
      <alignment horizontal="center" vertical="center" wrapText="1"/>
    </xf>
    <xf numFmtId="14" fontId="20" fillId="0" borderId="1" xfId="1" applyNumberFormat="1" applyFont="1" applyBorder="1" applyAlignment="1">
      <alignment horizontal="center" vertical="center" wrapText="1"/>
    </xf>
    <xf numFmtId="2" fontId="22" fillId="11" borderId="1" xfId="10" applyNumberFormat="1" applyFont="1" applyFill="1" applyBorder="1" applyAlignment="1">
      <alignment horizontal="center" vertical="center" wrapText="1"/>
    </xf>
    <xf numFmtId="0" fontId="25" fillId="13" borderId="12" xfId="0" applyFont="1" applyFill="1" applyBorder="1" applyAlignment="1">
      <alignment vertical="center" wrapText="1"/>
    </xf>
    <xf numFmtId="0" fontId="25" fillId="16" borderId="13" xfId="0" applyFont="1" applyFill="1" applyBorder="1" applyAlignment="1">
      <alignment vertical="center" wrapText="1"/>
    </xf>
    <xf numFmtId="0" fontId="0" fillId="0" borderId="1" xfId="0" applyBorder="1"/>
    <xf numFmtId="0" fontId="25" fillId="16" borderId="0" xfId="0" applyFont="1" applyFill="1" applyAlignment="1">
      <alignment vertical="center" wrapText="1"/>
    </xf>
    <xf numFmtId="0" fontId="26" fillId="0" borderId="0" xfId="0" applyFont="1"/>
    <xf numFmtId="9" fontId="0" fillId="0" borderId="1" xfId="6" applyFont="1" applyBorder="1"/>
    <xf numFmtId="0" fontId="25" fillId="0" borderId="0" xfId="0" applyFont="1" applyAlignment="1">
      <alignment vertical="center" wrapText="1"/>
    </xf>
    <xf numFmtId="9" fontId="0" fillId="0" borderId="0" xfId="6" applyFont="1" applyFill="1" applyBorder="1"/>
    <xf numFmtId="0" fontId="25" fillId="2" borderId="1" xfId="0" applyFont="1" applyFill="1" applyBorder="1" applyAlignment="1">
      <alignment horizontal="center" vertical="center" wrapText="1"/>
    </xf>
    <xf numFmtId="0" fontId="25" fillId="8" borderId="1" xfId="0" applyFont="1" applyFill="1" applyBorder="1" applyAlignment="1">
      <alignment vertical="center" wrapText="1"/>
    </xf>
    <xf numFmtId="0" fontId="25" fillId="13" borderId="1" xfId="0" applyFont="1" applyFill="1" applyBorder="1" applyAlignment="1">
      <alignment vertical="center" wrapText="1"/>
    </xf>
    <xf numFmtId="0" fontId="27" fillId="0" borderId="1" xfId="0" applyFont="1" applyBorder="1"/>
    <xf numFmtId="0" fontId="25" fillId="0" borderId="1" xfId="0" applyFont="1" applyBorder="1" applyAlignment="1">
      <alignment vertical="center" wrapText="1"/>
    </xf>
    <xf numFmtId="0" fontId="0" fillId="0" borderId="1" xfId="0" applyBorder="1" applyAlignment="1">
      <alignment horizontal="center" vertical="center"/>
    </xf>
    <xf numFmtId="14" fontId="1" fillId="8" borderId="1" xfId="10" applyNumberFormat="1" applyFont="1" applyFill="1" applyBorder="1" applyAlignment="1">
      <alignment horizontal="center" vertical="center" wrapText="1"/>
    </xf>
    <xf numFmtId="0" fontId="1" fillId="9" borderId="1" xfId="10" applyFont="1" applyFill="1" applyBorder="1" applyAlignment="1">
      <alignment horizontal="center" vertical="center" wrapText="1"/>
    </xf>
    <xf numFmtId="14" fontId="4" fillId="15" borderId="1" xfId="10" applyNumberFormat="1" applyFont="1" applyFill="1" applyBorder="1" applyAlignment="1">
      <alignment horizontal="center" vertical="center" wrapText="1"/>
    </xf>
    <xf numFmtId="0" fontId="1" fillId="2" borderId="1" xfId="10" applyFont="1" applyFill="1" applyBorder="1" applyAlignment="1">
      <alignment horizontal="center" vertical="center" wrapText="1"/>
    </xf>
    <xf numFmtId="165" fontId="1" fillId="8" borderId="1" xfId="10" applyNumberFormat="1" applyFont="1" applyFill="1" applyBorder="1" applyAlignment="1">
      <alignment horizontal="center" vertical="center" wrapText="1"/>
    </xf>
    <xf numFmtId="0" fontId="1" fillId="18" borderId="1" xfId="10" applyFont="1" applyFill="1" applyBorder="1" applyAlignment="1">
      <alignment horizontal="center" vertical="center" wrapText="1"/>
    </xf>
    <xf numFmtId="0" fontId="4" fillId="15" borderId="1" xfId="10" applyFont="1" applyFill="1" applyBorder="1" applyAlignment="1">
      <alignment horizontal="center" vertical="center" wrapText="1"/>
    </xf>
    <xf numFmtId="0" fontId="1" fillId="13" borderId="1" xfId="10" applyFont="1" applyFill="1" applyBorder="1" applyAlignment="1">
      <alignment horizontal="center" vertical="center" wrapText="1"/>
    </xf>
    <xf numFmtId="14" fontId="1" fillId="19" borderId="2" xfId="10" applyNumberFormat="1" applyFont="1" applyFill="1" applyBorder="1" applyAlignment="1">
      <alignment horizontal="center" vertical="center" wrapText="1"/>
    </xf>
    <xf numFmtId="14" fontId="1" fillId="20" borderId="2" xfId="10" applyNumberFormat="1" applyFont="1" applyFill="1" applyBorder="1" applyAlignment="1">
      <alignment horizontal="center" vertical="center" wrapText="1"/>
    </xf>
    <xf numFmtId="14" fontId="1" fillId="19" borderId="17" xfId="10" applyNumberFormat="1" applyFont="1" applyFill="1" applyBorder="1" applyAlignment="1">
      <alignment horizontal="center" vertical="center" wrapText="1"/>
    </xf>
    <xf numFmtId="1" fontId="20" fillId="0" borderId="1" xfId="1" applyNumberFormat="1" applyFont="1" applyBorder="1" applyAlignment="1">
      <alignment horizontal="center" vertical="center" wrapText="1"/>
    </xf>
    <xf numFmtId="0" fontId="1" fillId="26" borderId="1" xfId="10" applyFont="1" applyFill="1" applyBorder="1" applyAlignment="1">
      <alignment horizontal="center" vertical="center" wrapText="1"/>
    </xf>
    <xf numFmtId="0" fontId="0" fillId="0" borderId="3" xfId="0" applyBorder="1"/>
    <xf numFmtId="9" fontId="0" fillId="0" borderId="0" xfId="6" applyFont="1" applyBorder="1"/>
    <xf numFmtId="0" fontId="5" fillId="28" borderId="1" xfId="0" applyFont="1" applyFill="1" applyBorder="1" applyAlignment="1">
      <alignment horizontal="center" vertical="center" wrapText="1"/>
    </xf>
    <xf numFmtId="0" fontId="25" fillId="13" borderId="18" xfId="0" applyFont="1" applyFill="1" applyBorder="1" applyAlignment="1">
      <alignment vertical="center" wrapText="1"/>
    </xf>
    <xf numFmtId="0" fontId="31" fillId="29" borderId="10" xfId="0" applyFont="1" applyFill="1" applyBorder="1" applyAlignment="1">
      <alignment horizontal="center" vertical="center" wrapText="1"/>
    </xf>
    <xf numFmtId="0" fontId="32" fillId="17" borderId="10" xfId="0" applyFont="1" applyFill="1" applyBorder="1" applyAlignment="1">
      <alignment vertical="center" wrapText="1"/>
    </xf>
    <xf numFmtId="0" fontId="25" fillId="13" borderId="10" xfId="0" applyFont="1" applyFill="1" applyBorder="1" applyAlignment="1">
      <alignment vertical="center" wrapText="1"/>
    </xf>
    <xf numFmtId="0" fontId="24" fillId="0" borderId="10" xfId="0" applyFont="1" applyBorder="1"/>
    <xf numFmtId="0" fontId="1" fillId="0" borderId="10" xfId="0" applyFont="1" applyBorder="1"/>
    <xf numFmtId="0" fontId="1" fillId="0" borderId="20" xfId="0" applyFont="1" applyBorder="1"/>
    <xf numFmtId="0" fontId="1" fillId="0" borderId="21" xfId="0" applyFont="1" applyBorder="1"/>
    <xf numFmtId="0" fontId="1" fillId="0" borderId="22" xfId="0" applyFont="1" applyBorder="1"/>
    <xf numFmtId="0" fontId="1" fillId="0" borderId="23" xfId="0" applyFont="1" applyBorder="1"/>
    <xf numFmtId="0" fontId="0" fillId="0" borderId="19" xfId="0" applyBorder="1"/>
    <xf numFmtId="0" fontId="0" fillId="0" borderId="2" xfId="0" applyBorder="1"/>
    <xf numFmtId="9" fontId="0" fillId="0" borderId="20" xfId="6" applyFont="1" applyBorder="1"/>
    <xf numFmtId="9" fontId="0" fillId="0" borderId="21" xfId="6" applyFont="1" applyBorder="1"/>
    <xf numFmtId="9" fontId="0" fillId="0" borderId="22" xfId="6" applyFont="1" applyBorder="1"/>
    <xf numFmtId="0" fontId="25" fillId="0" borderId="26" xfId="0" applyFont="1" applyBorder="1" applyAlignment="1">
      <alignment vertical="center" wrapText="1"/>
    </xf>
    <xf numFmtId="0" fontId="0" fillId="0" borderId="27" xfId="0" applyBorder="1" applyAlignment="1">
      <alignment horizontal="center" vertical="center"/>
    </xf>
    <xf numFmtId="0" fontId="25" fillId="0" borderId="28" xfId="0" applyFont="1" applyBorder="1" applyAlignment="1">
      <alignment vertical="center" wrapText="1"/>
    </xf>
    <xf numFmtId="0" fontId="0" fillId="0" borderId="29" xfId="0" applyBorder="1" applyAlignment="1">
      <alignment horizontal="center" vertical="center"/>
    </xf>
    <xf numFmtId="0" fontId="0" fillId="0" borderId="27" xfId="0" applyBorder="1"/>
    <xf numFmtId="0" fontId="0" fillId="0" borderId="29" xfId="0" applyBorder="1"/>
    <xf numFmtId="0" fontId="0" fillId="0" borderId="30" xfId="0" applyBorder="1"/>
    <xf numFmtId="0" fontId="25" fillId="0" borderId="31" xfId="0" applyFont="1" applyBorder="1" applyAlignment="1">
      <alignment vertical="center" wrapText="1"/>
    </xf>
    <xf numFmtId="0" fontId="0" fillId="0" borderId="32" xfId="0" applyBorder="1"/>
    <xf numFmtId="0" fontId="25" fillId="22" borderId="31" xfId="0" applyFont="1" applyFill="1" applyBorder="1" applyAlignment="1">
      <alignment vertical="center" wrapText="1"/>
    </xf>
    <xf numFmtId="9" fontId="0" fillId="0" borderId="32" xfId="6" applyFont="1" applyBorder="1"/>
    <xf numFmtId="0" fontId="25" fillId="23" borderId="31" xfId="0" applyFont="1" applyFill="1" applyBorder="1" applyAlignment="1">
      <alignment vertical="center" wrapText="1"/>
    </xf>
    <xf numFmtId="0" fontId="25" fillId="16" borderId="31" xfId="0" applyFont="1" applyFill="1" applyBorder="1" applyAlignment="1">
      <alignment vertical="center" wrapText="1"/>
    </xf>
    <xf numFmtId="0" fontId="25" fillId="9" borderId="31" xfId="0" applyFont="1" applyFill="1" applyBorder="1" applyAlignment="1">
      <alignment vertical="center" wrapText="1"/>
    </xf>
    <xf numFmtId="0" fontId="25" fillId="9" borderId="33" xfId="0" applyFont="1" applyFill="1" applyBorder="1" applyAlignment="1">
      <alignment vertical="center" wrapText="1"/>
    </xf>
    <xf numFmtId="0" fontId="0" fillId="0" borderId="34" xfId="0" applyBorder="1"/>
    <xf numFmtId="0" fontId="0" fillId="2" borderId="14" xfId="0" applyFill="1" applyBorder="1"/>
    <xf numFmtId="0" fontId="0" fillId="2" borderId="11" xfId="0" applyFill="1" applyBorder="1"/>
    <xf numFmtId="0" fontId="25" fillId="0" borderId="35" xfId="0" applyFont="1" applyBorder="1" applyAlignment="1">
      <alignment vertical="center" wrapText="1"/>
    </xf>
    <xf numFmtId="0" fontId="25" fillId="16" borderId="33" xfId="0" applyFont="1" applyFill="1" applyBorder="1" applyAlignment="1">
      <alignment vertical="center" wrapText="1"/>
    </xf>
    <xf numFmtId="0" fontId="0" fillId="0" borderId="36" xfId="0" applyBorder="1"/>
    <xf numFmtId="1" fontId="0" fillId="0" borderId="3" xfId="6" applyNumberFormat="1" applyFont="1" applyBorder="1"/>
    <xf numFmtId="0" fontId="32" fillId="27" borderId="20" xfId="0" applyFont="1" applyFill="1" applyBorder="1" applyAlignment="1">
      <alignment vertical="center" wrapText="1"/>
    </xf>
    <xf numFmtId="0" fontId="0" fillId="0" borderId="1" xfId="0" applyBorder="1" applyAlignment="1">
      <alignment wrapText="1"/>
    </xf>
    <xf numFmtId="0" fontId="0" fillId="0" borderId="1" xfId="0" applyBorder="1" applyAlignment="1">
      <alignment horizontal="center"/>
    </xf>
    <xf numFmtId="14" fontId="0" fillId="0" borderId="1" xfId="1" applyNumberFormat="1" applyFont="1" applyBorder="1" applyAlignment="1">
      <alignment horizontal="center" vertical="center" wrapText="1"/>
    </xf>
    <xf numFmtId="0" fontId="0" fillId="0" borderId="7" xfId="0" applyBorder="1" applyAlignment="1">
      <alignment horizontal="center" vertical="top" wrapText="1"/>
    </xf>
    <xf numFmtId="0" fontId="0" fillId="0" borderId="1" xfId="0" applyBorder="1" applyAlignment="1">
      <alignment horizontal="left" vertical="top" wrapText="1"/>
    </xf>
    <xf numFmtId="0" fontId="18" fillId="8" borderId="1" xfId="10" applyFont="1" applyFill="1" applyBorder="1" applyAlignment="1">
      <alignment horizontal="center" vertical="center" wrapText="1"/>
    </xf>
    <xf numFmtId="0" fontId="17" fillId="8" borderId="1" xfId="10" applyFont="1" applyFill="1" applyBorder="1" applyAlignment="1">
      <alignment horizontal="center" vertical="center" wrapText="1"/>
    </xf>
    <xf numFmtId="14" fontId="1" fillId="7" borderId="1" xfId="10" applyNumberFormat="1" applyFont="1" applyFill="1" applyBorder="1" applyAlignment="1">
      <alignment horizontal="center" vertical="center" wrapText="1"/>
    </xf>
    <xf numFmtId="14" fontId="4" fillId="32" borderId="1" xfId="10" applyNumberFormat="1" applyFont="1" applyFill="1" applyBorder="1" applyAlignment="1">
      <alignment horizontal="center" vertical="center" wrapText="1"/>
    </xf>
    <xf numFmtId="0" fontId="35" fillId="11" borderId="1" xfId="10" applyFont="1" applyFill="1" applyBorder="1" applyAlignment="1">
      <alignment horizontal="center" vertical="center" wrapText="1"/>
    </xf>
    <xf numFmtId="0" fontId="18" fillId="2" borderId="1" xfId="10" applyFont="1" applyFill="1" applyBorder="1" applyAlignment="1">
      <alignment horizontal="center" vertical="center" wrapText="1"/>
    </xf>
    <xf numFmtId="0" fontId="1" fillId="7" borderId="1" xfId="10" applyFont="1" applyFill="1" applyBorder="1" applyAlignment="1">
      <alignment horizontal="center" vertical="center" wrapText="1"/>
    </xf>
    <xf numFmtId="0" fontId="0" fillId="0" borderId="3" xfId="0" applyBorder="1" applyAlignment="1">
      <alignment vertical="top" wrapText="1"/>
    </xf>
    <xf numFmtId="0" fontId="0" fillId="0" borderId="8" xfId="0" applyBorder="1" applyAlignment="1">
      <alignment vertical="top" wrapText="1"/>
    </xf>
    <xf numFmtId="0" fontId="36" fillId="0" borderId="1" xfId="0" applyFont="1" applyBorder="1" applyAlignment="1">
      <alignment vertical="top" wrapText="1"/>
    </xf>
    <xf numFmtId="0" fontId="0" fillId="0" borderId="1" xfId="0" applyBorder="1" applyAlignment="1">
      <alignment horizontal="center" vertical="center" wrapText="1"/>
    </xf>
    <xf numFmtId="0" fontId="25" fillId="23" borderId="38" xfId="0" applyFont="1" applyFill="1" applyBorder="1" applyAlignment="1">
      <alignment vertical="center" wrapText="1"/>
    </xf>
    <xf numFmtId="0" fontId="25" fillId="0" borderId="39" xfId="0" applyFont="1" applyBorder="1" applyAlignment="1">
      <alignment vertical="center" wrapText="1"/>
    </xf>
    <xf numFmtId="0" fontId="25" fillId="0" borderId="10" xfId="0" applyFont="1" applyBorder="1" applyAlignment="1">
      <alignment vertical="center" wrapText="1"/>
    </xf>
    <xf numFmtId="9" fontId="0" fillId="0" borderId="40" xfId="6" applyFont="1" applyBorder="1"/>
    <xf numFmtId="9" fontId="0" fillId="0" borderId="11" xfId="6" applyFont="1" applyBorder="1"/>
    <xf numFmtId="9" fontId="0" fillId="0" borderId="15" xfId="6" applyFont="1" applyBorder="1"/>
    <xf numFmtId="0" fontId="25" fillId="0" borderId="13" xfId="0" applyFont="1" applyBorder="1" applyAlignment="1">
      <alignment vertical="center" wrapText="1"/>
    </xf>
    <xf numFmtId="0" fontId="0" fillId="0" borderId="21" xfId="0" applyBorder="1"/>
    <xf numFmtId="0" fontId="0" fillId="0" borderId="11" xfId="0" applyBorder="1"/>
    <xf numFmtId="0" fontId="0" fillId="0" borderId="15" xfId="0" applyBorder="1"/>
    <xf numFmtId="0" fontId="0" fillId="0" borderId="41" xfId="0" applyBorder="1"/>
    <xf numFmtId="0" fontId="25" fillId="33" borderId="12" xfId="0" applyFont="1" applyFill="1" applyBorder="1" applyAlignment="1">
      <alignment vertical="center" wrapText="1"/>
    </xf>
    <xf numFmtId="0" fontId="25" fillId="9" borderId="43" xfId="0" applyFont="1" applyFill="1" applyBorder="1" applyAlignment="1">
      <alignment vertical="center" wrapText="1"/>
    </xf>
    <xf numFmtId="0" fontId="25" fillId="9" borderId="44" xfId="0" applyFont="1" applyFill="1" applyBorder="1" applyAlignment="1">
      <alignment vertical="center" wrapText="1"/>
    </xf>
    <xf numFmtId="9" fontId="0" fillId="0" borderId="10" xfId="6" applyFont="1" applyBorder="1"/>
    <xf numFmtId="164" fontId="0" fillId="0" borderId="10" xfId="0" applyNumberFormat="1" applyBorder="1"/>
    <xf numFmtId="0" fontId="0" fillId="0" borderId="10" xfId="0" applyBorder="1"/>
    <xf numFmtId="0" fontId="0" fillId="0" borderId="46" xfId="0" applyBorder="1"/>
    <xf numFmtId="0" fontId="25" fillId="33" borderId="10" xfId="0" applyFont="1" applyFill="1" applyBorder="1" applyAlignment="1">
      <alignment vertical="center" wrapText="1"/>
    </xf>
    <xf numFmtId="0" fontId="0" fillId="0" borderId="20" xfId="0" applyBorder="1"/>
    <xf numFmtId="0" fontId="0" fillId="0" borderId="22" xfId="0" applyBorder="1"/>
    <xf numFmtId="0" fontId="25" fillId="33" borderId="13" xfId="0" applyFont="1" applyFill="1" applyBorder="1" applyAlignment="1">
      <alignment vertical="center" wrapText="1"/>
    </xf>
    <xf numFmtId="9" fontId="0" fillId="0" borderId="37" xfId="6" applyFont="1" applyBorder="1"/>
    <xf numFmtId="0" fontId="0" fillId="0" borderId="14" xfId="0" applyBorder="1"/>
    <xf numFmtId="0" fontId="25" fillId="0" borderId="47" xfId="0" applyFont="1" applyBorder="1" applyAlignment="1">
      <alignment vertical="center" wrapText="1"/>
    </xf>
    <xf numFmtId="0" fontId="25" fillId="34" borderId="12" xfId="0" applyFont="1" applyFill="1" applyBorder="1" applyAlignment="1">
      <alignment vertical="center" wrapText="1"/>
    </xf>
    <xf numFmtId="0" fontId="25" fillId="34" borderId="13" xfId="0" applyFont="1" applyFill="1" applyBorder="1" applyAlignment="1">
      <alignment vertical="center" wrapText="1"/>
    </xf>
    <xf numFmtId="0" fontId="25" fillId="33" borderId="47" xfId="0" applyFont="1" applyFill="1" applyBorder="1" applyAlignment="1">
      <alignment vertical="center" wrapText="1"/>
    </xf>
    <xf numFmtId="0" fontId="25" fillId="33" borderId="18" xfId="0" applyFont="1" applyFill="1" applyBorder="1" applyAlignment="1">
      <alignment vertical="center" wrapText="1"/>
    </xf>
    <xf numFmtId="0" fontId="41" fillId="33" borderId="13" xfId="0" applyFont="1" applyFill="1" applyBorder="1" applyAlignment="1">
      <alignment vertical="center" wrapText="1"/>
    </xf>
    <xf numFmtId="0" fontId="25" fillId="8" borderId="8" xfId="0" applyFont="1" applyFill="1" applyBorder="1" applyAlignment="1">
      <alignment vertical="center" wrapText="1"/>
    </xf>
    <xf numFmtId="9" fontId="0" fillId="0" borderId="2" xfId="6" applyFont="1" applyFill="1" applyBorder="1"/>
    <xf numFmtId="0" fontId="40" fillId="26" borderId="10" xfId="0" applyFont="1" applyFill="1" applyBorder="1" applyAlignment="1">
      <alignment horizontal="center" vertical="center"/>
    </xf>
    <xf numFmtId="0" fontId="24" fillId="33" borderId="8" xfId="0" applyFont="1" applyFill="1" applyBorder="1" applyAlignment="1">
      <alignment horizontal="center" vertical="center" wrapText="1"/>
    </xf>
    <xf numFmtId="14" fontId="43" fillId="0" borderId="1" xfId="1" applyNumberFormat="1" applyFont="1" applyBorder="1" applyAlignment="1">
      <alignment horizontal="center" vertical="center" wrapText="1"/>
    </xf>
    <xf numFmtId="0" fontId="18" fillId="13" borderId="1" xfId="10" applyFont="1" applyFill="1" applyBorder="1" applyAlignment="1">
      <alignment horizontal="center" vertical="center" wrapText="1"/>
    </xf>
    <xf numFmtId="0" fontId="25" fillId="35" borderId="28" xfId="0" applyFont="1" applyFill="1" applyBorder="1" applyAlignment="1">
      <alignment vertical="center" wrapText="1"/>
    </xf>
    <xf numFmtId="0" fontId="25" fillId="35" borderId="1" xfId="0" applyFont="1" applyFill="1" applyBorder="1" applyAlignment="1">
      <alignment vertical="center" wrapText="1"/>
    </xf>
    <xf numFmtId="0" fontId="1" fillId="0" borderId="0" xfId="0" applyFont="1"/>
    <xf numFmtId="0" fontId="41" fillId="8" borderId="8" xfId="0" applyFont="1" applyFill="1" applyBorder="1" applyAlignment="1">
      <alignment vertical="center" wrapText="1"/>
    </xf>
    <xf numFmtId="0" fontId="1" fillId="0" borderId="1" xfId="0" applyFont="1" applyBorder="1"/>
    <xf numFmtId="0" fontId="0" fillId="2" borderId="49" xfId="0" applyFill="1" applyBorder="1"/>
    <xf numFmtId="0" fontId="1" fillId="0" borderId="8" xfId="0" applyFont="1" applyBorder="1"/>
    <xf numFmtId="0" fontId="0" fillId="0" borderId="8" xfId="0" applyBorder="1"/>
    <xf numFmtId="0" fontId="0" fillId="0" borderId="24" xfId="0" applyBorder="1" applyAlignment="1">
      <alignment horizontal="center"/>
    </xf>
    <xf numFmtId="0" fontId="0" fillId="2" borderId="50" xfId="0" applyFill="1" applyBorder="1"/>
    <xf numFmtId="0" fontId="0" fillId="2" borderId="25" xfId="0" applyFill="1" applyBorder="1"/>
    <xf numFmtId="9" fontId="0" fillId="0" borderId="8" xfId="6" applyFont="1" applyBorder="1"/>
    <xf numFmtId="0" fontId="1" fillId="2" borderId="51" xfId="0" applyFont="1" applyFill="1" applyBorder="1"/>
    <xf numFmtId="0" fontId="0" fillId="0" borderId="25" xfId="0" applyBorder="1" applyAlignment="1">
      <alignment horizontal="center"/>
    </xf>
    <xf numFmtId="0" fontId="0" fillId="0" borderId="1" xfId="0" applyBorder="1" applyAlignment="1">
      <alignment vertical="center" wrapText="1"/>
    </xf>
    <xf numFmtId="0" fontId="22" fillId="2" borderId="1" xfId="10" applyFont="1" applyFill="1" applyBorder="1" applyAlignment="1">
      <alignment horizontal="center" vertical="center" wrapText="1"/>
    </xf>
    <xf numFmtId="0" fontId="8" fillId="2" borderId="1" xfId="1" applyFont="1" applyFill="1" applyBorder="1" applyAlignment="1">
      <alignment horizontal="center" vertical="center" wrapText="1"/>
    </xf>
    <xf numFmtId="0" fontId="22" fillId="2" borderId="1" xfId="1" applyFont="1" applyFill="1" applyBorder="1" applyAlignment="1">
      <alignment horizontal="center" vertical="center" wrapText="1"/>
    </xf>
    <xf numFmtId="0" fontId="0" fillId="0" borderId="7" xfId="0" applyBorder="1" applyAlignment="1">
      <alignment vertical="top" wrapText="1"/>
    </xf>
    <xf numFmtId="14" fontId="1" fillId="2" borderId="1" xfId="10" applyNumberFormat="1" applyFont="1" applyFill="1" applyBorder="1" applyAlignment="1">
      <alignment horizontal="center" vertical="center" wrapText="1"/>
    </xf>
    <xf numFmtId="0" fontId="31" fillId="32" borderId="1" xfId="1" applyFont="1" applyFill="1" applyBorder="1" applyAlignment="1">
      <alignment horizontal="center" vertical="center" wrapText="1"/>
    </xf>
    <xf numFmtId="0" fontId="0" fillId="2" borderId="1" xfId="0" applyFill="1" applyBorder="1" applyAlignment="1">
      <alignment vertical="top" wrapText="1"/>
    </xf>
    <xf numFmtId="0" fontId="47" fillId="2" borderId="1" xfId="10" applyFont="1" applyFill="1" applyBorder="1" applyAlignment="1">
      <alignment horizontal="center" vertical="center" wrapText="1"/>
    </xf>
    <xf numFmtId="0" fontId="0" fillId="2" borderId="1" xfId="0" applyFill="1" applyBorder="1" applyAlignment="1">
      <alignment horizontal="left" vertical="top" wrapText="1"/>
    </xf>
    <xf numFmtId="14" fontId="20" fillId="0" borderId="19" xfId="1" applyNumberFormat="1" applyFont="1" applyBorder="1" applyAlignment="1">
      <alignment horizontal="center" vertical="center" wrapText="1"/>
    </xf>
    <xf numFmtId="0" fontId="20" fillId="0" borderId="19" xfId="1" applyFont="1" applyBorder="1" applyAlignment="1">
      <alignment horizontal="center" vertical="center" wrapText="1"/>
    </xf>
    <xf numFmtId="0" fontId="0" fillId="12" borderId="21" xfId="10" applyFont="1" applyFill="1" applyBorder="1" applyAlignment="1">
      <alignment horizontal="center" vertical="center" wrapText="1"/>
    </xf>
    <xf numFmtId="0" fontId="7" fillId="24" borderId="21" xfId="10" applyFill="1" applyBorder="1" applyAlignment="1">
      <alignment horizontal="center" vertical="center" wrapText="1"/>
    </xf>
    <xf numFmtId="0" fontId="0" fillId="10" borderId="21" xfId="10" applyFont="1" applyFill="1" applyBorder="1" applyAlignment="1">
      <alignment horizontal="center" vertical="center" wrapText="1"/>
    </xf>
    <xf numFmtId="0" fontId="0" fillId="21" borderId="21" xfId="10" applyFont="1" applyFill="1" applyBorder="1" applyAlignment="1">
      <alignment horizontal="center" vertical="center" wrapText="1"/>
    </xf>
    <xf numFmtId="0" fontId="1" fillId="21" borderId="20" xfId="10" applyFont="1" applyFill="1" applyBorder="1" applyAlignment="1">
      <alignment horizontal="center" vertical="center" wrapText="1"/>
    </xf>
    <xf numFmtId="0" fontId="1" fillId="21" borderId="21" xfId="10" applyFont="1" applyFill="1" applyBorder="1" applyAlignment="1">
      <alignment horizontal="center" vertical="center" wrapText="1"/>
    </xf>
    <xf numFmtId="0" fontId="4" fillId="24" borderId="21" xfId="10" applyFont="1" applyFill="1" applyBorder="1" applyAlignment="1">
      <alignment horizontal="center" vertical="center" wrapText="1"/>
    </xf>
    <xf numFmtId="0" fontId="1" fillId="21" borderId="22" xfId="10" applyFont="1" applyFill="1" applyBorder="1" applyAlignment="1">
      <alignment horizontal="center" vertical="center" wrapText="1"/>
    </xf>
    <xf numFmtId="0" fontId="1" fillId="12" borderId="20" xfId="10" applyFont="1" applyFill="1" applyBorder="1" applyAlignment="1">
      <alignment horizontal="center" vertical="center" wrapText="1"/>
    </xf>
    <xf numFmtId="0" fontId="1" fillId="12" borderId="21" xfId="10" applyFont="1" applyFill="1" applyBorder="1" applyAlignment="1">
      <alignment horizontal="center" vertical="center" wrapText="1"/>
    </xf>
    <xf numFmtId="0" fontId="1" fillId="12" borderId="22" xfId="10" applyFont="1" applyFill="1" applyBorder="1" applyAlignment="1">
      <alignment horizontal="center" vertical="center" wrapText="1"/>
    </xf>
    <xf numFmtId="0" fontId="0" fillId="0" borderId="19" xfId="0" applyBorder="1" applyAlignment="1">
      <alignment horizontal="left" vertical="top" wrapText="1"/>
    </xf>
    <xf numFmtId="14" fontId="1" fillId="20" borderId="39" xfId="10" applyNumberFormat="1" applyFont="1" applyFill="1" applyBorder="1" applyAlignment="1">
      <alignment horizontal="center" vertical="center" wrapText="1"/>
    </xf>
    <xf numFmtId="0" fontId="1" fillId="10" borderId="20" xfId="10" applyFont="1" applyFill="1" applyBorder="1" applyAlignment="1">
      <alignment horizontal="center" vertical="center" wrapText="1"/>
    </xf>
    <xf numFmtId="0" fontId="1" fillId="10" borderId="21" xfId="10" applyFont="1" applyFill="1" applyBorder="1" applyAlignment="1">
      <alignment horizontal="center" vertical="center" wrapText="1"/>
    </xf>
    <xf numFmtId="0" fontId="1" fillId="10" borderId="22" xfId="10" applyFont="1" applyFill="1" applyBorder="1" applyAlignment="1">
      <alignment horizontal="center" vertical="center" wrapText="1"/>
    </xf>
    <xf numFmtId="0" fontId="46" fillId="0" borderId="1" xfId="0" applyFont="1" applyBorder="1" applyAlignment="1" applyProtection="1">
      <alignment horizontal="center" vertical="center" wrapText="1"/>
      <protection locked="0"/>
    </xf>
    <xf numFmtId="0" fontId="5" fillId="30" borderId="1" xfId="1" applyFont="1" applyFill="1" applyBorder="1" applyAlignment="1">
      <alignment horizontal="center" vertical="center" wrapText="1"/>
    </xf>
    <xf numFmtId="0" fontId="0" fillId="0" borderId="1" xfId="0" applyBorder="1" applyAlignment="1">
      <alignment vertical="center"/>
    </xf>
    <xf numFmtId="0" fontId="39" fillId="0" borderId="1" xfId="1" applyFont="1" applyBorder="1" applyAlignment="1">
      <alignment horizontal="center" vertical="center" wrapText="1"/>
    </xf>
    <xf numFmtId="0" fontId="44" fillId="0" borderId="1" xfId="1" applyFont="1" applyBorder="1" applyAlignment="1">
      <alignment horizontal="center" vertical="center" wrapText="1"/>
    </xf>
    <xf numFmtId="0" fontId="0" fillId="0" borderId="19" xfId="0" applyBorder="1" applyAlignment="1">
      <alignment horizontal="center" vertical="center" wrapText="1"/>
    </xf>
    <xf numFmtId="0" fontId="0" fillId="0" borderId="19" xfId="0" applyBorder="1" applyAlignment="1">
      <alignment wrapText="1"/>
    </xf>
    <xf numFmtId="0" fontId="0" fillId="0" borderId="19" xfId="0" applyBorder="1" applyAlignment="1">
      <alignment horizontal="center"/>
    </xf>
    <xf numFmtId="0" fontId="0" fillId="0" borderId="19" xfId="0" applyBorder="1" applyAlignment="1">
      <alignment vertical="center" wrapText="1"/>
    </xf>
    <xf numFmtId="14" fontId="5" fillId="0" borderId="19" xfId="1" applyNumberFormat="1" applyFont="1" applyBorder="1" applyAlignment="1">
      <alignment horizontal="center" vertical="center" wrapText="1"/>
    </xf>
    <xf numFmtId="164" fontId="5" fillId="0" borderId="19" xfId="1" applyNumberFormat="1" applyFont="1" applyBorder="1" applyAlignment="1">
      <alignment horizontal="left" vertical="center" wrapText="1"/>
    </xf>
    <xf numFmtId="164" fontId="5" fillId="0" borderId="19" xfId="1" applyNumberFormat="1" applyFont="1" applyBorder="1" applyAlignment="1">
      <alignment horizontal="center" vertical="center" wrapText="1"/>
    </xf>
    <xf numFmtId="0" fontId="5" fillId="0" borderId="19" xfId="0" applyFont="1" applyBorder="1" applyAlignment="1" applyProtection="1">
      <alignment horizontal="center" vertical="center" wrapText="1"/>
      <protection locked="0"/>
    </xf>
    <xf numFmtId="0" fontId="5" fillId="0" borderId="19" xfId="1" applyFont="1" applyBorder="1" applyAlignment="1">
      <alignment horizontal="center" vertical="center" wrapText="1"/>
    </xf>
    <xf numFmtId="0" fontId="5" fillId="0" borderId="19" xfId="0" applyFont="1" applyBorder="1" applyAlignment="1">
      <alignment horizontal="center" vertical="center" wrapText="1"/>
    </xf>
    <xf numFmtId="0" fontId="5" fillId="0" borderId="19" xfId="0" applyFont="1" applyBorder="1" applyAlignment="1">
      <alignment horizontal="center" vertical="center"/>
    </xf>
    <xf numFmtId="0" fontId="16" fillId="0" borderId="19" xfId="0" applyFont="1" applyBorder="1" applyAlignment="1" applyProtection="1">
      <alignment horizontal="center" vertical="center" wrapText="1"/>
      <protection locked="0"/>
    </xf>
    <xf numFmtId="2" fontId="5" fillId="0" borderId="19" xfId="0" applyNumberFormat="1" applyFont="1" applyBorder="1" applyAlignment="1">
      <alignment horizontal="center" vertical="center" wrapText="1"/>
    </xf>
    <xf numFmtId="0" fontId="46" fillId="0" borderId="19" xfId="0" applyFont="1" applyBorder="1" applyAlignment="1" applyProtection="1">
      <alignment horizontal="center" vertical="center" wrapText="1"/>
      <protection locked="0"/>
    </xf>
    <xf numFmtId="1" fontId="5" fillId="0" borderId="19" xfId="1" applyNumberFormat="1" applyFont="1" applyBorder="1" applyAlignment="1">
      <alignment horizontal="center" vertical="center" wrapText="1"/>
    </xf>
    <xf numFmtId="14" fontId="23" fillId="0" borderId="19" xfId="1" applyNumberFormat="1" applyFont="1" applyBorder="1" applyAlignment="1">
      <alignment horizontal="center" vertical="center" wrapText="1"/>
    </xf>
    <xf numFmtId="2" fontId="5" fillId="0" borderId="19" xfId="1" applyNumberFormat="1" applyFont="1" applyBorder="1" applyAlignment="1">
      <alignment horizontal="center" vertical="center" wrapText="1"/>
    </xf>
    <xf numFmtId="0" fontId="10" fillId="0" borderId="19" xfId="1" applyFont="1" applyBorder="1" applyAlignment="1">
      <alignment horizontal="center" vertical="center" wrapText="1"/>
    </xf>
    <xf numFmtId="0" fontId="11" fillId="0" borderId="19" xfId="1" applyFont="1" applyBorder="1" applyAlignment="1">
      <alignment horizontal="center" vertical="center" wrapText="1"/>
    </xf>
    <xf numFmtId="9" fontId="5" fillId="0" borderId="19" xfId="6" applyFont="1" applyFill="1" applyBorder="1" applyAlignment="1">
      <alignment horizontal="center" vertical="center" wrapText="1"/>
    </xf>
    <xf numFmtId="0" fontId="5" fillId="30" borderId="19" xfId="1" applyFont="1" applyFill="1" applyBorder="1" applyAlignment="1">
      <alignment horizontal="center" vertical="center" wrapText="1"/>
    </xf>
    <xf numFmtId="0" fontId="0" fillId="0" borderId="19" xfId="0" applyBorder="1" applyAlignment="1">
      <alignment vertical="center"/>
    </xf>
    <xf numFmtId="0" fontId="39" fillId="0" borderId="19" xfId="1" applyFont="1" applyBorder="1" applyAlignment="1">
      <alignment horizontal="center" vertical="center" wrapText="1"/>
    </xf>
    <xf numFmtId="0" fontId="44" fillId="0" borderId="19" xfId="1" applyFont="1" applyBorder="1" applyAlignment="1">
      <alignment horizontal="center" vertical="center" wrapText="1"/>
    </xf>
    <xf numFmtId="0" fontId="0" fillId="7" borderId="20" xfId="10" applyFont="1" applyFill="1" applyBorder="1" applyAlignment="1">
      <alignment horizontal="center" vertical="center" wrapText="1"/>
    </xf>
    <xf numFmtId="0" fontId="0" fillId="8" borderId="21" xfId="10" applyFont="1" applyFill="1" applyBorder="1" applyAlignment="1">
      <alignment horizontal="center" vertical="center" wrapText="1"/>
    </xf>
    <xf numFmtId="0" fontId="6" fillId="8" borderId="21" xfId="10" applyFont="1" applyFill="1" applyBorder="1" applyAlignment="1">
      <alignment horizontal="center" vertical="center" wrapText="1"/>
    </xf>
    <xf numFmtId="0" fontId="22" fillId="11" borderId="21" xfId="10" applyFont="1" applyFill="1" applyBorder="1" applyAlignment="1">
      <alignment horizontal="center" vertical="center" wrapText="1"/>
    </xf>
    <xf numFmtId="14" fontId="0" fillId="8" borderId="21" xfId="10" applyNumberFormat="1" applyFont="1" applyFill="1" applyBorder="1" applyAlignment="1">
      <alignment horizontal="center" vertical="center" wrapText="1"/>
    </xf>
    <xf numFmtId="0" fontId="1" fillId="8" borderId="21" xfId="10" applyFont="1" applyFill="1" applyBorder="1" applyAlignment="1">
      <alignment horizontal="center" vertical="center" wrapText="1"/>
    </xf>
    <xf numFmtId="0" fontId="0" fillId="9" borderId="21" xfId="10" applyFont="1" applyFill="1" applyBorder="1" applyAlignment="1">
      <alignment horizontal="center" vertical="center" wrapText="1"/>
    </xf>
    <xf numFmtId="0" fontId="5" fillId="9" borderId="21" xfId="10" applyFont="1" applyFill="1" applyBorder="1" applyAlignment="1">
      <alignment horizontal="center" vertical="center" wrapText="1"/>
    </xf>
    <xf numFmtId="0" fontId="6" fillId="9" borderId="21" xfId="10" applyFont="1" applyFill="1" applyBorder="1" applyAlignment="1">
      <alignment horizontal="center" vertical="center" wrapText="1"/>
    </xf>
    <xf numFmtId="0" fontId="6" fillId="17" borderId="21" xfId="10" applyFont="1" applyFill="1" applyBorder="1" applyAlignment="1">
      <alignment horizontal="center" vertical="center" wrapText="1"/>
    </xf>
    <xf numFmtId="0" fontId="0" fillId="17" borderId="21" xfId="10" applyFont="1" applyFill="1" applyBorder="1" applyAlignment="1">
      <alignment horizontal="center" vertical="center" wrapText="1"/>
    </xf>
    <xf numFmtId="0" fontId="36" fillId="21" borderId="21" xfId="10" applyFont="1" applyFill="1" applyBorder="1" applyAlignment="1">
      <alignment horizontal="center" vertical="center" wrapText="1"/>
    </xf>
    <xf numFmtId="0" fontId="5" fillId="21" borderId="21" xfId="1" applyFont="1" applyFill="1" applyBorder="1" applyAlignment="1">
      <alignment horizontal="center" vertical="center" wrapText="1"/>
    </xf>
    <xf numFmtId="14" fontId="0" fillId="21" borderId="21" xfId="10" applyNumberFormat="1" applyFont="1" applyFill="1" applyBorder="1" applyAlignment="1">
      <alignment horizontal="center" vertical="center" wrapText="1"/>
    </xf>
    <xf numFmtId="14" fontId="0" fillId="7" borderId="21" xfId="10" applyNumberFormat="1" applyFont="1" applyFill="1" applyBorder="1" applyAlignment="1">
      <alignment horizontal="center" vertical="center" wrapText="1"/>
    </xf>
    <xf numFmtId="0" fontId="22" fillId="25" borderId="21" xfId="10" applyFont="1" applyFill="1" applyBorder="1" applyAlignment="1">
      <alignment horizontal="center" vertical="center" wrapText="1"/>
    </xf>
    <xf numFmtId="14" fontId="6" fillId="8" borderId="21" xfId="10" applyNumberFormat="1" applyFont="1" applyFill="1" applyBorder="1" applyAlignment="1">
      <alignment horizontal="center" vertical="center" wrapText="1"/>
    </xf>
    <xf numFmtId="14" fontId="7" fillId="15" borderId="21" xfId="10" applyNumberFormat="1" applyFill="1" applyBorder="1" applyAlignment="1">
      <alignment horizontal="center" vertical="center" wrapText="1"/>
    </xf>
    <xf numFmtId="0" fontId="17" fillId="2" borderId="21" xfId="10" applyFont="1" applyFill="1" applyBorder="1" applyAlignment="1">
      <alignment horizontal="center" vertical="center" wrapText="1"/>
    </xf>
    <xf numFmtId="0" fontId="0" fillId="2" borderId="21" xfId="10" applyFont="1" applyFill="1" applyBorder="1" applyAlignment="1">
      <alignment horizontal="center" vertical="center" wrapText="1"/>
    </xf>
    <xf numFmtId="0" fontId="6" fillId="2" borderId="21" xfId="10" applyFont="1" applyFill="1" applyBorder="1" applyAlignment="1">
      <alignment horizontal="center" vertical="center" wrapText="1"/>
    </xf>
    <xf numFmtId="14" fontId="5" fillId="2" borderId="21" xfId="1" applyNumberFormat="1" applyFont="1" applyFill="1" applyBorder="1" applyAlignment="1">
      <alignment horizontal="center" vertical="center" wrapText="1"/>
    </xf>
    <xf numFmtId="165" fontId="0" fillId="8" borderId="21" xfId="10" applyNumberFormat="1" applyFont="1" applyFill="1" applyBorder="1" applyAlignment="1">
      <alignment horizontal="center" vertical="center" wrapText="1"/>
    </xf>
    <xf numFmtId="0" fontId="6" fillId="18" borderId="21" xfId="10" applyFont="1" applyFill="1" applyBorder="1" applyAlignment="1">
      <alignment horizontal="center" vertical="center" wrapText="1"/>
    </xf>
    <xf numFmtId="0" fontId="0" fillId="18" borderId="21" xfId="10" applyFont="1" applyFill="1" applyBorder="1" applyAlignment="1">
      <alignment horizontal="center" vertical="center" wrapText="1"/>
    </xf>
    <xf numFmtId="0" fontId="22" fillId="11" borderId="21" xfId="10" applyFont="1" applyFill="1" applyBorder="1" applyAlignment="1" applyProtection="1">
      <alignment horizontal="center" vertical="center" wrapText="1"/>
    </xf>
    <xf numFmtId="0" fontId="7" fillId="15" borderId="21" xfId="10" applyFill="1" applyBorder="1" applyAlignment="1">
      <alignment horizontal="center" vertical="center" wrapText="1"/>
    </xf>
    <xf numFmtId="0" fontId="0" fillId="7" borderId="21" xfId="10" applyFont="1" applyFill="1" applyBorder="1" applyAlignment="1">
      <alignment horizontal="center" vertical="center" wrapText="1"/>
    </xf>
    <xf numFmtId="2" fontId="22" fillId="11" borderId="21" xfId="10" applyNumberFormat="1" applyFont="1" applyFill="1" applyBorder="1" applyAlignment="1">
      <alignment horizontal="center" vertical="center" wrapText="1"/>
    </xf>
    <xf numFmtId="0" fontId="0" fillId="13" borderId="21" xfId="10" applyFont="1" applyFill="1" applyBorder="1" applyAlignment="1">
      <alignment horizontal="center" vertical="center" wrapText="1"/>
    </xf>
    <xf numFmtId="0" fontId="6" fillId="13" borderId="21" xfId="10" applyFont="1" applyFill="1" applyBorder="1" applyAlignment="1">
      <alignment horizontal="center" vertical="center" wrapText="1"/>
    </xf>
    <xf numFmtId="0" fontId="6" fillId="14" borderId="21" xfId="10" applyFont="1" applyFill="1" applyBorder="1" applyAlignment="1">
      <alignment horizontal="center" vertical="center" wrapText="1"/>
    </xf>
    <xf numFmtId="0" fontId="0" fillId="14" borderId="21" xfId="10" applyFont="1" applyFill="1" applyBorder="1" applyAlignment="1">
      <alignment horizontal="center" vertical="center" wrapText="1"/>
    </xf>
    <xf numFmtId="14" fontId="6" fillId="14" borderId="21" xfId="10" applyNumberFormat="1" applyFont="1" applyFill="1" applyBorder="1" applyAlignment="1">
      <alignment horizontal="center" vertical="center" wrapText="1"/>
    </xf>
    <xf numFmtId="0" fontId="0" fillId="26" borderId="21" xfId="10" applyFont="1" applyFill="1" applyBorder="1" applyAlignment="1">
      <alignment horizontal="center" vertical="center" wrapText="1"/>
    </xf>
    <xf numFmtId="14" fontId="1" fillId="19" borderId="21" xfId="10" applyNumberFormat="1" applyFont="1" applyFill="1" applyBorder="1" applyAlignment="1">
      <alignment horizontal="center" vertical="center" wrapText="1"/>
    </xf>
    <xf numFmtId="1" fontId="1" fillId="19" borderId="21" xfId="10" applyNumberFormat="1" applyFont="1" applyFill="1" applyBorder="1" applyAlignment="1">
      <alignment horizontal="center" vertical="center" wrapText="1"/>
    </xf>
    <xf numFmtId="14" fontId="1" fillId="20" borderId="21" xfId="10" applyNumberFormat="1" applyFont="1" applyFill="1" applyBorder="1" applyAlignment="1">
      <alignment horizontal="center" vertical="center" wrapText="1"/>
    </xf>
    <xf numFmtId="0" fontId="0" fillId="0" borderId="21" xfId="0" applyBorder="1" applyAlignment="1">
      <alignment horizontal="center" vertical="center" wrapText="1"/>
    </xf>
    <xf numFmtId="0" fontId="0" fillId="2" borderId="21" xfId="0" applyFill="1" applyBorder="1" applyAlignment="1">
      <alignment horizontal="center" vertical="center" wrapText="1"/>
    </xf>
    <xf numFmtId="0" fontId="0" fillId="30" borderId="21" xfId="10" applyFont="1" applyFill="1" applyBorder="1" applyAlignment="1">
      <alignment horizontal="center" vertical="center" wrapText="1"/>
    </xf>
    <xf numFmtId="0" fontId="0" fillId="31" borderId="21" xfId="0" applyFill="1" applyBorder="1" applyAlignment="1">
      <alignment horizontal="center" vertical="center" wrapText="1"/>
    </xf>
    <xf numFmtId="0" fontId="0" fillId="25" borderId="21" xfId="0" applyFill="1" applyBorder="1" applyAlignment="1">
      <alignment horizontal="center" vertical="center" wrapText="1"/>
    </xf>
    <xf numFmtId="0" fontId="36" fillId="25" borderId="21" xfId="0" applyFont="1" applyFill="1" applyBorder="1" applyAlignment="1">
      <alignment horizontal="center" vertical="center" wrapText="1"/>
    </xf>
    <xf numFmtId="0" fontId="0" fillId="21" borderId="21" xfId="0" applyFill="1" applyBorder="1" applyAlignment="1">
      <alignment horizontal="center" vertical="center" wrapText="1"/>
    </xf>
    <xf numFmtId="0" fontId="36" fillId="21" borderId="21" xfId="0" applyFont="1" applyFill="1" applyBorder="1" applyAlignment="1">
      <alignment horizontal="center" vertical="center" wrapText="1"/>
    </xf>
    <xf numFmtId="0" fontId="5" fillId="0" borderId="21" xfId="1" applyFont="1" applyBorder="1" applyAlignment="1">
      <alignment horizontal="center" vertical="center" wrapText="1"/>
    </xf>
    <xf numFmtId="0" fontId="22" fillId="11" borderId="21" xfId="1" applyFont="1" applyFill="1" applyBorder="1" applyAlignment="1">
      <alignment horizontal="center" vertical="center" wrapText="1"/>
    </xf>
    <xf numFmtId="0" fontId="7" fillId="11" borderId="21" xfId="10" applyNumberFormat="1" applyFill="1" applyBorder="1" applyAlignment="1">
      <alignment horizontal="center" vertical="center" wrapText="1"/>
    </xf>
    <xf numFmtId="0" fontId="46" fillId="11" borderId="21" xfId="1" applyFont="1" applyFill="1" applyBorder="1" applyAlignment="1">
      <alignment horizontal="center" vertical="center" wrapText="1"/>
    </xf>
    <xf numFmtId="0" fontId="5" fillId="0" borderId="23" xfId="1" applyFont="1" applyBorder="1" applyAlignment="1">
      <alignment horizontal="center" vertical="center" wrapText="1"/>
    </xf>
    <xf numFmtId="14" fontId="5" fillId="0" borderId="45" xfId="1" applyNumberFormat="1" applyFont="1" applyBorder="1" applyAlignment="1">
      <alignment horizontal="center" vertical="center" wrapText="1"/>
    </xf>
    <xf numFmtId="14" fontId="5" fillId="0" borderId="8" xfId="1" applyNumberFormat="1" applyFont="1" applyBorder="1" applyAlignment="1">
      <alignment horizontal="center" vertical="center" wrapText="1"/>
    </xf>
    <xf numFmtId="0" fontId="6" fillId="8" borderId="11" xfId="10" applyFont="1" applyFill="1" applyBorder="1" applyAlignment="1">
      <alignment horizontal="center" vertical="center" wrapText="1"/>
    </xf>
    <xf numFmtId="14" fontId="0" fillId="0" borderId="1" xfId="0" applyNumberFormat="1" applyBorder="1"/>
    <xf numFmtId="14" fontId="48" fillId="0" borderId="1" xfId="1" applyNumberFormat="1" applyFont="1" applyBorder="1" applyAlignment="1">
      <alignment horizontal="center" vertical="center" wrapText="1"/>
    </xf>
    <xf numFmtId="0" fontId="52" fillId="0" borderId="0" xfId="20" applyFont="1" applyAlignment="1">
      <alignment horizontal="center" vertical="center"/>
    </xf>
    <xf numFmtId="0" fontId="21" fillId="0" borderId="0" xfId="20" applyAlignment="1">
      <alignment horizontal="center" vertical="center"/>
    </xf>
    <xf numFmtId="0" fontId="53" fillId="0" borderId="1" xfId="1" applyFont="1" applyBorder="1" applyAlignment="1">
      <alignment horizontal="center" vertical="center" wrapText="1"/>
    </xf>
    <xf numFmtId="0" fontId="21" fillId="0" borderId="0" xfId="20" applyAlignment="1">
      <alignment horizontal="center"/>
    </xf>
    <xf numFmtId="0" fontId="5" fillId="0" borderId="2" xfId="1" applyFont="1" applyBorder="1" applyAlignment="1">
      <alignment horizontal="center" vertical="center" wrapText="1"/>
    </xf>
    <xf numFmtId="166" fontId="53" fillId="0" borderId="2" xfId="1" applyNumberFormat="1" applyFont="1" applyBorder="1" applyAlignment="1">
      <alignment horizontal="center" vertical="center" wrapText="1"/>
    </xf>
    <xf numFmtId="0" fontId="53" fillId="0" borderId="2" xfId="1" applyFont="1" applyBorder="1" applyAlignment="1">
      <alignment horizontal="center" vertical="center" wrapText="1"/>
    </xf>
    <xf numFmtId="14" fontId="53" fillId="0" borderId="2" xfId="1" applyNumberFormat="1" applyFont="1" applyBorder="1" applyAlignment="1">
      <alignment horizontal="center" vertical="center" wrapText="1"/>
    </xf>
    <xf numFmtId="14" fontId="53" fillId="0" borderId="1" xfId="1" applyNumberFormat="1" applyFont="1" applyBorder="1" applyAlignment="1">
      <alignment horizontal="center" vertical="center" wrapText="1"/>
    </xf>
    <xf numFmtId="0" fontId="21" fillId="2" borderId="0" xfId="20" applyFill="1" applyAlignment="1">
      <alignment horizontal="center"/>
    </xf>
    <xf numFmtId="0" fontId="12" fillId="0" borderId="0" xfId="20" applyFont="1" applyAlignment="1">
      <alignment horizontal="center" vertical="center"/>
    </xf>
    <xf numFmtId="0" fontId="0" fillId="36" borderId="1" xfId="0" applyFill="1" applyBorder="1"/>
    <xf numFmtId="0" fontId="0" fillId="21" borderId="1" xfId="0" applyFill="1" applyBorder="1" applyAlignment="1">
      <alignment wrapText="1"/>
    </xf>
    <xf numFmtId="0" fontId="0" fillId="21" borderId="1" xfId="0" applyFill="1" applyBorder="1"/>
    <xf numFmtId="0" fontId="0" fillId="21" borderId="1" xfId="0" applyFill="1" applyBorder="1" applyAlignment="1">
      <alignment horizontal="center" vertical="center" wrapText="1"/>
    </xf>
    <xf numFmtId="0" fontId="0" fillId="21" borderId="1" xfId="0" applyFill="1" applyBorder="1" applyAlignment="1">
      <alignment horizontal="center"/>
    </xf>
    <xf numFmtId="0" fontId="0" fillId="21" borderId="1" xfId="0" applyFill="1" applyBorder="1" applyAlignment="1">
      <alignment vertical="center" wrapText="1"/>
    </xf>
    <xf numFmtId="14" fontId="5" fillId="21" borderId="1" xfId="1" applyNumberFormat="1" applyFont="1" applyFill="1" applyBorder="1" applyAlignment="1">
      <alignment horizontal="center" vertical="center" wrapText="1"/>
    </xf>
    <xf numFmtId="164" fontId="5" fillId="21" borderId="19" xfId="1" applyNumberFormat="1" applyFont="1" applyFill="1" applyBorder="1" applyAlignment="1">
      <alignment horizontal="left" vertical="center" wrapText="1"/>
    </xf>
    <xf numFmtId="164" fontId="5" fillId="21" borderId="19" xfId="1" applyNumberFormat="1" applyFont="1" applyFill="1" applyBorder="1" applyAlignment="1">
      <alignment horizontal="center" vertical="center" wrapText="1"/>
    </xf>
    <xf numFmtId="0" fontId="5" fillId="21" borderId="1" xfId="0" applyFont="1" applyFill="1" applyBorder="1" applyAlignment="1" applyProtection="1">
      <alignment horizontal="center" vertical="center" wrapText="1"/>
      <protection locked="0"/>
    </xf>
    <xf numFmtId="0" fontId="5" fillId="21" borderId="1" xfId="1" applyFont="1" applyFill="1" applyBorder="1" applyAlignment="1">
      <alignment horizontal="center" vertical="center" wrapText="1"/>
    </xf>
    <xf numFmtId="0" fontId="5" fillId="21" borderId="1" xfId="0" applyFont="1" applyFill="1" applyBorder="1" applyAlignment="1">
      <alignment horizontal="center" vertical="center" wrapText="1"/>
    </xf>
    <xf numFmtId="0" fontId="5" fillId="21" borderId="1" xfId="0" applyFont="1" applyFill="1" applyBorder="1" applyAlignment="1">
      <alignment horizontal="center" vertical="center"/>
    </xf>
    <xf numFmtId="0" fontId="20" fillId="21" borderId="1" xfId="1" applyFont="1" applyFill="1" applyBorder="1" applyAlignment="1">
      <alignment horizontal="center" vertical="center" wrapText="1"/>
    </xf>
    <xf numFmtId="0" fontId="16" fillId="21" borderId="1" xfId="0" applyFont="1" applyFill="1" applyBorder="1" applyAlignment="1" applyProtection="1">
      <alignment horizontal="center" vertical="center" wrapText="1"/>
      <protection locked="0"/>
    </xf>
    <xf numFmtId="2" fontId="5" fillId="21" borderId="19" xfId="0" applyNumberFormat="1" applyFont="1" applyFill="1" applyBorder="1" applyAlignment="1">
      <alignment horizontal="center" vertical="center" wrapText="1"/>
    </xf>
    <xf numFmtId="1" fontId="5" fillId="21" borderId="19" xfId="1" applyNumberFormat="1" applyFont="1" applyFill="1" applyBorder="1" applyAlignment="1">
      <alignment horizontal="center" vertical="center" wrapText="1"/>
    </xf>
    <xf numFmtId="14" fontId="23" fillId="21" borderId="19" xfId="1" applyNumberFormat="1" applyFont="1" applyFill="1" applyBorder="1" applyAlignment="1">
      <alignment horizontal="center" vertical="center" wrapText="1"/>
    </xf>
    <xf numFmtId="2" fontId="5" fillId="21" borderId="19" xfId="1" applyNumberFormat="1" applyFont="1" applyFill="1" applyBorder="1" applyAlignment="1">
      <alignment horizontal="center" vertical="center" wrapText="1"/>
    </xf>
    <xf numFmtId="0" fontId="5" fillId="21" borderId="19" xfId="1" applyFont="1" applyFill="1" applyBorder="1" applyAlignment="1">
      <alignment horizontal="center" vertical="center" wrapText="1"/>
    </xf>
    <xf numFmtId="164" fontId="5" fillId="21" borderId="1" xfId="1" applyNumberFormat="1" applyFont="1" applyFill="1" applyBorder="1" applyAlignment="1">
      <alignment horizontal="center" vertical="center" wrapText="1"/>
    </xf>
    <xf numFmtId="1" fontId="5" fillId="21" borderId="1" xfId="1" applyNumberFormat="1" applyFont="1" applyFill="1" applyBorder="1" applyAlignment="1">
      <alignment horizontal="center" vertical="center" wrapText="1"/>
    </xf>
    <xf numFmtId="0" fontId="10" fillId="21" borderId="19" xfId="1" applyFont="1" applyFill="1" applyBorder="1" applyAlignment="1">
      <alignment horizontal="center" vertical="center" wrapText="1"/>
    </xf>
    <xf numFmtId="14" fontId="5" fillId="21" borderId="19" xfId="1" applyNumberFormat="1" applyFont="1" applyFill="1" applyBorder="1" applyAlignment="1">
      <alignment horizontal="center" vertical="center" wrapText="1"/>
    </xf>
    <xf numFmtId="0" fontId="5" fillId="21" borderId="19" xfId="0" applyFont="1" applyFill="1" applyBorder="1" applyAlignment="1">
      <alignment horizontal="center" vertical="center" wrapText="1"/>
    </xf>
    <xf numFmtId="0" fontId="11" fillId="21" borderId="19" xfId="1" applyFont="1" applyFill="1" applyBorder="1" applyAlignment="1">
      <alignment horizontal="center" vertical="center" wrapText="1"/>
    </xf>
    <xf numFmtId="9" fontId="5" fillId="21" borderId="19" xfId="6" applyFont="1" applyFill="1" applyBorder="1" applyAlignment="1">
      <alignment horizontal="center" vertical="center" wrapText="1"/>
    </xf>
    <xf numFmtId="2" fontId="5" fillId="21" borderId="1" xfId="1" applyNumberFormat="1" applyFont="1" applyFill="1" applyBorder="1" applyAlignment="1">
      <alignment horizontal="center" vertical="center" wrapText="1"/>
    </xf>
    <xf numFmtId="14" fontId="12" fillId="21" borderId="1" xfId="0" applyNumberFormat="1" applyFont="1" applyFill="1" applyBorder="1" applyAlignment="1">
      <alignment horizontal="center" vertical="center" wrapText="1"/>
    </xf>
    <xf numFmtId="14" fontId="5" fillId="21" borderId="1" xfId="0" applyNumberFormat="1" applyFont="1" applyFill="1" applyBorder="1" applyAlignment="1">
      <alignment horizontal="center" vertical="center" wrapText="1"/>
    </xf>
    <xf numFmtId="0" fontId="11" fillId="21" borderId="1" xfId="1" applyFont="1" applyFill="1" applyBorder="1" applyAlignment="1">
      <alignment horizontal="center" vertical="center" wrapText="1"/>
    </xf>
    <xf numFmtId="14" fontId="0" fillId="21" borderId="1" xfId="1" applyNumberFormat="1" applyFont="1" applyFill="1" applyBorder="1" applyAlignment="1">
      <alignment horizontal="center" vertical="center" wrapText="1"/>
    </xf>
    <xf numFmtId="0" fontId="14" fillId="21" borderId="1" xfId="1" applyFont="1" applyFill="1" applyBorder="1" applyAlignment="1">
      <alignment horizontal="center" vertical="center" wrapText="1"/>
    </xf>
    <xf numFmtId="0" fontId="13" fillId="21" borderId="1" xfId="1" applyFont="1" applyFill="1" applyBorder="1" applyAlignment="1">
      <alignment horizontal="center" vertical="center" wrapText="1"/>
    </xf>
    <xf numFmtId="0" fontId="15" fillId="21" borderId="1" xfId="1" applyFont="1" applyFill="1" applyBorder="1" applyAlignment="1">
      <alignment horizontal="center" vertical="center" wrapText="1"/>
    </xf>
    <xf numFmtId="14" fontId="13" fillId="21" borderId="1" xfId="1" applyNumberFormat="1" applyFont="1" applyFill="1" applyBorder="1" applyAlignment="1">
      <alignment horizontal="center" vertical="center" wrapText="1"/>
    </xf>
    <xf numFmtId="14" fontId="19" fillId="21" borderId="1" xfId="1" applyNumberFormat="1" applyFont="1" applyFill="1" applyBorder="1" applyAlignment="1">
      <alignment horizontal="center" vertical="center" wrapText="1"/>
    </xf>
    <xf numFmtId="14" fontId="20" fillId="21" borderId="1" xfId="1" applyNumberFormat="1" applyFont="1" applyFill="1" applyBorder="1" applyAlignment="1">
      <alignment horizontal="center" vertical="center" wrapText="1"/>
    </xf>
    <xf numFmtId="1" fontId="20" fillId="21" borderId="1" xfId="1" applyNumberFormat="1" applyFont="1" applyFill="1" applyBorder="1" applyAlignment="1">
      <alignment horizontal="center" vertical="center" wrapText="1"/>
    </xf>
    <xf numFmtId="0" fontId="5" fillId="21" borderId="0" xfId="1" applyFont="1" applyFill="1" applyAlignment="1">
      <alignment horizontal="center" vertical="center" wrapText="1"/>
    </xf>
    <xf numFmtId="166" fontId="53" fillId="0" borderId="1" xfId="1" applyNumberFormat="1" applyFont="1" applyBorder="1" applyAlignment="1">
      <alignment horizontal="center" vertical="center" wrapText="1"/>
    </xf>
    <xf numFmtId="14" fontId="54" fillId="0" borderId="0" xfId="0" applyNumberFormat="1" applyFont="1"/>
    <xf numFmtId="0" fontId="21" fillId="0" borderId="0" xfId="0" applyFont="1" applyAlignment="1">
      <alignment horizontal="center" vertical="center"/>
    </xf>
    <xf numFmtId="0" fontId="55" fillId="0" borderId="0" xfId="0" applyFont="1" applyAlignment="1">
      <alignment horizontal="center" vertical="center"/>
    </xf>
    <xf numFmtId="0" fontId="56" fillId="0" borderId="0" xfId="0" applyFont="1" applyAlignment="1">
      <alignment horizontal="center" vertical="top" wrapText="1"/>
    </xf>
    <xf numFmtId="168" fontId="5" fillId="0" borderId="0" xfId="1" applyNumberFormat="1" applyFont="1" applyAlignment="1">
      <alignment horizontal="center" vertical="center" wrapText="1"/>
    </xf>
    <xf numFmtId="0" fontId="0" fillId="28" borderId="1" xfId="0" applyFill="1" applyBorder="1"/>
    <xf numFmtId="0" fontId="0" fillId="28" borderId="1" xfId="0" applyFill="1" applyBorder="1" applyAlignment="1">
      <alignment wrapText="1"/>
    </xf>
    <xf numFmtId="0" fontId="0" fillId="28" borderId="1" xfId="0" applyFill="1" applyBorder="1" applyAlignment="1">
      <alignment horizontal="center"/>
    </xf>
    <xf numFmtId="168" fontId="0" fillId="8" borderId="21" xfId="10" applyNumberFormat="1" applyFont="1" applyFill="1" applyBorder="1" applyAlignment="1">
      <alignment horizontal="center" vertical="center" wrapText="1"/>
    </xf>
    <xf numFmtId="168" fontId="5" fillId="0" borderId="1" xfId="1" applyNumberFormat="1" applyFont="1" applyBorder="1" applyAlignment="1">
      <alignment horizontal="center" vertical="center" wrapText="1"/>
    </xf>
    <xf numFmtId="168" fontId="5" fillId="21" borderId="1" xfId="1" applyNumberFormat="1" applyFont="1" applyFill="1" applyBorder="1" applyAlignment="1">
      <alignment horizontal="center" vertical="center" wrapText="1"/>
    </xf>
    <xf numFmtId="168" fontId="0" fillId="13" borderId="21" xfId="10" applyNumberFormat="1" applyFont="1" applyFill="1" applyBorder="1" applyAlignment="1">
      <alignment horizontal="center" vertical="center" wrapText="1"/>
    </xf>
    <xf numFmtId="168" fontId="53" fillId="0" borderId="1" xfId="1" applyNumberFormat="1" applyFont="1" applyBorder="1" applyAlignment="1">
      <alignment horizontal="center" vertical="center" wrapText="1"/>
    </xf>
    <xf numFmtId="0" fontId="52" fillId="28" borderId="1" xfId="20" applyFont="1" applyFill="1" applyBorder="1" applyAlignment="1">
      <alignment horizontal="center" vertical="center"/>
    </xf>
    <xf numFmtId="0" fontId="52" fillId="0" borderId="1" xfId="20" applyFont="1" applyBorder="1" applyAlignment="1">
      <alignment horizontal="center" vertical="center"/>
    </xf>
    <xf numFmtId="0" fontId="12" fillId="28" borderId="1" xfId="20" applyFont="1" applyFill="1" applyBorder="1" applyAlignment="1">
      <alignment horizontal="center" vertical="center"/>
    </xf>
    <xf numFmtId="0" fontId="21" fillId="0" borderId="1" xfId="20" applyBorder="1" applyAlignment="1">
      <alignment horizontal="center" vertical="center"/>
    </xf>
    <xf numFmtId="0" fontId="21" fillId="0" borderId="1" xfId="20" applyBorder="1" applyAlignment="1">
      <alignment horizontal="center"/>
    </xf>
    <xf numFmtId="0" fontId="21" fillId="28" borderId="1" xfId="20" applyFill="1" applyBorder="1" applyAlignment="1">
      <alignment horizontal="center"/>
    </xf>
    <xf numFmtId="0" fontId="21" fillId="28" borderId="1" xfId="20" applyFill="1" applyBorder="1" applyAlignment="1">
      <alignment horizontal="center" vertical="center"/>
    </xf>
    <xf numFmtId="0" fontId="21" fillId="2" borderId="1" xfId="20" applyFill="1" applyBorder="1" applyAlignment="1">
      <alignment horizontal="center"/>
    </xf>
    <xf numFmtId="0" fontId="55" fillId="0" borderId="1" xfId="0" applyFont="1" applyBorder="1" applyAlignment="1">
      <alignment horizontal="center" vertical="center"/>
    </xf>
    <xf numFmtId="0" fontId="56" fillId="28" borderId="1" xfId="0" applyFont="1" applyFill="1" applyBorder="1" applyAlignment="1">
      <alignment horizontal="center" vertical="top" wrapText="1"/>
    </xf>
    <xf numFmtId="0" fontId="56" fillId="0" borderId="1" xfId="0" applyFont="1" applyBorder="1" applyAlignment="1">
      <alignment horizontal="center" vertical="top" wrapText="1"/>
    </xf>
    <xf numFmtId="0" fontId="57" fillId="0" borderId="1" xfId="0" applyFont="1" applyBorder="1"/>
    <xf numFmtId="0" fontId="12" fillId="0" borderId="1" xfId="20" applyFont="1" applyBorder="1" applyAlignment="1">
      <alignment horizontal="center" vertical="center"/>
    </xf>
    <xf numFmtId="0" fontId="55" fillId="28" borderId="1" xfId="0" applyFont="1" applyFill="1" applyBorder="1" applyAlignment="1">
      <alignment horizontal="center" vertical="center"/>
    </xf>
    <xf numFmtId="0" fontId="1" fillId="8" borderId="1" xfId="10" applyFont="1" applyFill="1" applyBorder="1" applyAlignment="1">
      <alignment horizontal="left" vertical="center" wrapText="1"/>
    </xf>
    <xf numFmtId="0" fontId="22" fillId="11" borderId="1" xfId="10" applyFont="1" applyFill="1" applyBorder="1" applyAlignment="1">
      <alignment horizontal="left" vertical="center" wrapText="1"/>
    </xf>
    <xf numFmtId="0" fontId="0" fillId="28" borderId="1" xfId="0" applyFill="1" applyBorder="1" applyAlignment="1">
      <alignment horizontal="left"/>
    </xf>
    <xf numFmtId="0" fontId="0" fillId="28" borderId="1" xfId="0" applyFill="1" applyBorder="1" applyAlignment="1">
      <alignment horizontal="left" wrapText="1"/>
    </xf>
    <xf numFmtId="14" fontId="5" fillId="28" borderId="1" xfId="1" applyNumberFormat="1" applyFont="1" applyFill="1" applyBorder="1" applyAlignment="1">
      <alignment horizontal="left" vertical="center" wrapText="1"/>
    </xf>
    <xf numFmtId="0" fontId="0" fillId="0" borderId="1" xfId="0" applyBorder="1" applyAlignment="1">
      <alignment horizontal="left"/>
    </xf>
    <xf numFmtId="0" fontId="0" fillId="0" borderId="1" xfId="0" applyBorder="1" applyAlignment="1">
      <alignment horizontal="left" wrapText="1"/>
    </xf>
    <xf numFmtId="14" fontId="5" fillId="21" borderId="1" xfId="1" applyNumberFormat="1" applyFont="1" applyFill="1" applyBorder="1" applyAlignment="1">
      <alignment horizontal="left" vertical="center" wrapText="1"/>
    </xf>
    <xf numFmtId="14" fontId="5" fillId="0" borderId="1" xfId="1" applyNumberFormat="1" applyFont="1" applyBorder="1" applyAlignment="1">
      <alignment horizontal="left" vertical="center" wrapText="1"/>
    </xf>
    <xf numFmtId="0" fontId="52" fillId="28" borderId="1" xfId="20" applyFont="1" applyFill="1" applyBorder="1" applyAlignment="1">
      <alignment horizontal="left" vertical="center"/>
    </xf>
    <xf numFmtId="0" fontId="52" fillId="0" borderId="1" xfId="20" applyFont="1" applyBorder="1" applyAlignment="1">
      <alignment horizontal="left" vertical="center"/>
    </xf>
    <xf numFmtId="0" fontId="12" fillId="28" borderId="1" xfId="20" applyFont="1" applyFill="1" applyBorder="1" applyAlignment="1">
      <alignment horizontal="left" vertical="center"/>
    </xf>
    <xf numFmtId="0" fontId="21" fillId="0" borderId="1" xfId="20" applyBorder="1" applyAlignment="1">
      <alignment horizontal="left" vertical="center"/>
    </xf>
    <xf numFmtId="0" fontId="21" fillId="0" borderId="1" xfId="20" applyBorder="1" applyAlignment="1">
      <alignment horizontal="left"/>
    </xf>
    <xf numFmtId="0" fontId="21" fillId="28" borderId="1" xfId="20" applyFill="1" applyBorder="1" applyAlignment="1">
      <alignment horizontal="left"/>
    </xf>
    <xf numFmtId="0" fontId="21" fillId="28" borderId="1" xfId="20" applyFill="1" applyBorder="1" applyAlignment="1">
      <alignment horizontal="left" vertical="center"/>
    </xf>
    <xf numFmtId="0" fontId="21" fillId="2" borderId="1" xfId="20" applyFill="1" applyBorder="1" applyAlignment="1">
      <alignment horizontal="left"/>
    </xf>
    <xf numFmtId="0" fontId="55" fillId="0" borderId="1" xfId="0" applyFont="1" applyBorder="1" applyAlignment="1">
      <alignment horizontal="left" vertical="center"/>
    </xf>
    <xf numFmtId="0" fontId="56" fillId="28" borderId="1" xfId="0" applyFont="1" applyFill="1" applyBorder="1" applyAlignment="1">
      <alignment horizontal="left" vertical="top" wrapText="1"/>
    </xf>
    <xf numFmtId="0" fontId="56" fillId="0" borderId="1" xfId="0" applyFont="1" applyBorder="1" applyAlignment="1">
      <alignment horizontal="left" vertical="top" wrapText="1"/>
    </xf>
    <xf numFmtId="0" fontId="57" fillId="0" borderId="1" xfId="0" applyFont="1" applyBorder="1" applyAlignment="1">
      <alignment horizontal="left"/>
    </xf>
    <xf numFmtId="0" fontId="5" fillId="28" borderId="1" xfId="0" applyFont="1" applyFill="1" applyBorder="1" applyAlignment="1">
      <alignment horizontal="left" vertical="center" wrapText="1"/>
    </xf>
    <xf numFmtId="0" fontId="1" fillId="2" borderId="1" xfId="10" applyFont="1" applyFill="1" applyBorder="1" applyAlignment="1">
      <alignment horizontal="left" vertical="center" wrapText="1"/>
    </xf>
    <xf numFmtId="0" fontId="12" fillId="0" borderId="1" xfId="20" applyFont="1" applyBorder="1" applyAlignment="1">
      <alignment horizontal="left" vertical="center"/>
    </xf>
    <xf numFmtId="0" fontId="55" fillId="28" borderId="1" xfId="0" applyFont="1" applyFill="1" applyBorder="1" applyAlignment="1">
      <alignment horizontal="left" vertical="center"/>
    </xf>
    <xf numFmtId="0" fontId="58" fillId="0" borderId="0" xfId="0" applyFont="1" applyAlignment="1">
      <alignment vertical="center"/>
    </xf>
    <xf numFmtId="9" fontId="0" fillId="0" borderId="45" xfId="6" applyFont="1" applyBorder="1" applyAlignment="1">
      <alignment horizontal="center"/>
    </xf>
    <xf numFmtId="9" fontId="0" fillId="0" borderId="16" xfId="6" applyFont="1" applyBorder="1" applyAlignment="1">
      <alignment horizontal="center"/>
    </xf>
    <xf numFmtId="0" fontId="1" fillId="0" borderId="24" xfId="0" applyFont="1" applyBorder="1" applyAlignment="1">
      <alignment horizontal="center" vertical="center"/>
    </xf>
    <xf numFmtId="0" fontId="1" fillId="0" borderId="25" xfId="0" applyFont="1" applyBorder="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39" xfId="0" applyBorder="1" applyAlignment="1">
      <alignment horizontal="center"/>
    </xf>
    <xf numFmtId="0" fontId="0" fillId="0" borderId="42" xfId="0" applyBorder="1" applyAlignment="1">
      <alignment horizontal="center"/>
    </xf>
    <xf numFmtId="9" fontId="42" fillId="0" borderId="47" xfId="6" applyFont="1" applyBorder="1" applyAlignment="1">
      <alignment horizontal="center" vertical="center"/>
    </xf>
    <xf numFmtId="9" fontId="42" fillId="0" borderId="48" xfId="6" applyFont="1" applyBorder="1" applyAlignment="1">
      <alignment horizontal="center" vertical="center"/>
    </xf>
    <xf numFmtId="167" fontId="42" fillId="0" borderId="47" xfId="6" applyNumberFormat="1" applyFont="1" applyBorder="1" applyAlignment="1">
      <alignment horizontal="center" vertical="center"/>
    </xf>
    <xf numFmtId="167" fontId="42" fillId="0" borderId="48" xfId="6" applyNumberFormat="1" applyFont="1" applyBorder="1" applyAlignment="1">
      <alignment horizontal="center" vertical="center"/>
    </xf>
    <xf numFmtId="9" fontId="27" fillId="0" borderId="13" xfId="6" applyFont="1" applyFill="1" applyBorder="1" applyAlignment="1">
      <alignment horizontal="center"/>
    </xf>
    <xf numFmtId="9" fontId="27" fillId="0" borderId="37" xfId="6" applyFont="1" applyFill="1" applyBorder="1" applyAlignment="1">
      <alignment horizontal="center"/>
    </xf>
    <xf numFmtId="9" fontId="27" fillId="0" borderId="13" xfId="6" applyFont="1" applyBorder="1" applyAlignment="1">
      <alignment horizontal="center"/>
    </xf>
    <xf numFmtId="9" fontId="27" fillId="0" borderId="37" xfId="6" applyFont="1" applyBorder="1" applyAlignment="1">
      <alignment horizontal="center"/>
    </xf>
    <xf numFmtId="167" fontId="27" fillId="0" borderId="47" xfId="6" applyNumberFormat="1" applyFont="1" applyBorder="1" applyAlignment="1">
      <alignment horizontal="center" vertical="center"/>
    </xf>
    <xf numFmtId="167" fontId="27" fillId="0" borderId="48" xfId="6" applyNumberFormat="1" applyFont="1" applyBorder="1" applyAlignment="1">
      <alignment horizontal="center" vertical="center"/>
    </xf>
    <xf numFmtId="0" fontId="0" fillId="0" borderId="8" xfId="0" applyBorder="1" applyAlignment="1">
      <alignment horizontal="center" vertical="top" wrapText="1"/>
    </xf>
    <xf numFmtId="0" fontId="0" fillId="0" borderId="9" xfId="0" applyBorder="1" applyAlignment="1">
      <alignment horizontal="center" vertical="top" wrapText="1"/>
    </xf>
    <xf numFmtId="0" fontId="0" fillId="0" borderId="7" xfId="0" applyBorder="1" applyAlignment="1">
      <alignment horizontal="center" vertical="top" wrapText="1"/>
    </xf>
    <xf numFmtId="0" fontId="28" fillId="0" borderId="16" xfId="0" applyFont="1" applyBorder="1" applyAlignment="1">
      <alignment horizontal="left" vertical="center" wrapText="1"/>
    </xf>
    <xf numFmtId="0" fontId="28" fillId="0" borderId="16" xfId="0" applyFont="1" applyBorder="1" applyAlignment="1">
      <alignment horizontal="left" wrapText="1"/>
    </xf>
    <xf numFmtId="0" fontId="0" fillId="0" borderId="1" xfId="0" applyBorder="1" applyAlignment="1">
      <alignment horizontal="left" vertical="top" wrapText="1"/>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7" xfId="0" applyBorder="1" applyAlignment="1">
      <alignment horizontal="left" vertical="top" wrapText="1"/>
    </xf>
    <xf numFmtId="0" fontId="57" fillId="0" borderId="1" xfId="0" applyFont="1" applyBorder="1" applyAlignment="1">
      <alignment horizontal="left"/>
    </xf>
    <xf numFmtId="0" fontId="1" fillId="0" borderId="1" xfId="0" applyFont="1" applyBorder="1" applyAlignment="1">
      <alignment horizontal="left"/>
    </xf>
    <xf numFmtId="0" fontId="57" fillId="0" borderId="1" xfId="0" applyFont="1" applyBorder="1" applyAlignment="1">
      <alignment horizontal="left" vertical="center"/>
    </xf>
    <xf numFmtId="0" fontId="57" fillId="0" borderId="1" xfId="0" applyFont="1" applyBorder="1" applyAlignment="1">
      <alignment horizontal="center"/>
    </xf>
    <xf numFmtId="0" fontId="57" fillId="0" borderId="1" xfId="0" applyFont="1" applyBorder="1" applyAlignment="1">
      <alignment horizontal="center" vertical="center"/>
    </xf>
  </cellXfs>
  <cellStyles count="21">
    <cellStyle name="Énfasis5" xfId="10" builtinId="45"/>
    <cellStyle name="Estilo 1" xfId="7" xr:uid="{00000000-0005-0000-0000-000001000000}"/>
    <cellStyle name="Estilo 2" xfId="8" xr:uid="{00000000-0005-0000-0000-000002000000}"/>
    <cellStyle name="Estilo 3" xfId="9" xr:uid="{00000000-0005-0000-0000-000003000000}"/>
    <cellStyle name="Normal" xfId="0" builtinId="0"/>
    <cellStyle name="Normal 13" xfId="19" xr:uid="{851C513A-4370-46AF-918E-458DC4E19C8A}"/>
    <cellStyle name="Normal 2" xfId="1" xr:uid="{00000000-0005-0000-0000-000005000000}"/>
    <cellStyle name="Normal 2 2" xfId="2" xr:uid="{00000000-0005-0000-0000-000006000000}"/>
    <cellStyle name="Normal 2 2 4" xfId="17" xr:uid="{22BE11E2-DB39-499E-8B23-53C2371D46DD}"/>
    <cellStyle name="Normal 2 3" xfId="11" xr:uid="{00000000-0005-0000-0000-000007000000}"/>
    <cellStyle name="Normal 2 4" xfId="18" xr:uid="{C24C5347-7B12-4F11-A3A8-B915F25894D5}"/>
    <cellStyle name="Normal 3" xfId="12" xr:uid="{00000000-0005-0000-0000-000008000000}"/>
    <cellStyle name="Normal 3 2" xfId="14" xr:uid="{48B97A6C-F145-456C-882E-44193BB1FDBC}"/>
    <cellStyle name="Normal 4" xfId="16" xr:uid="{05C56E59-BE50-46F1-ABA4-84F79EB76716}"/>
    <cellStyle name="Normal 5" xfId="4" xr:uid="{00000000-0005-0000-0000-000009000000}"/>
    <cellStyle name="Normal 5 2" xfId="15" xr:uid="{16509204-A1F4-4BCD-A84B-ADB272B403E9}"/>
    <cellStyle name="Normal 8" xfId="3" xr:uid="{00000000-0005-0000-0000-00000A000000}"/>
    <cellStyle name="Porcentaje" xfId="6" builtinId="5"/>
    <cellStyle name="Porcentaje 2" xfId="13" xr:uid="{00000000-0005-0000-0000-00000C000000}"/>
    <cellStyle name="Porcentaje 2 2" xfId="20" xr:uid="{70F536BA-18F2-458A-AF75-390D4658C158}"/>
    <cellStyle name="Porcentual 2" xfId="5" xr:uid="{00000000-0005-0000-0000-00000D000000}"/>
  </cellStyles>
  <dxfs count="5669">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ill>
        <gradientFill degree="90">
          <stop position="0">
            <color theme="0"/>
          </stop>
          <stop position="1">
            <color rgb="FF0099CC"/>
          </stop>
        </gradient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ont>
        <b/>
        <i val="0"/>
        <color theme="0"/>
      </font>
      <fill>
        <patternFill>
          <bgColor rgb="FFFF0000"/>
        </patternFill>
      </fill>
    </dxf>
    <dxf>
      <font>
        <b/>
        <i val="0"/>
        <color theme="0"/>
      </font>
      <fill>
        <patternFill>
          <bgColor theme="9" tint="-0.24994659260841701"/>
        </patternFill>
      </fill>
    </dxf>
    <dxf>
      <fill>
        <patternFill>
          <bgColor theme="8" tint="0.39994506668294322"/>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theme="0"/>
      </font>
      <fill>
        <patternFill>
          <bgColor rgb="FFC00000"/>
        </patternFill>
      </fill>
    </dxf>
    <dxf>
      <fill>
        <patternFill>
          <bgColor rgb="FFFFFF00"/>
        </patternFill>
      </fill>
    </dxf>
    <dxf>
      <fill>
        <patternFill>
          <bgColor rgb="FF92D050"/>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solid">
          <fgColor indexed="64"/>
          <bgColor rgb="FF2BE7E7"/>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i val="0"/>
        <strike val="0"/>
        <condense val="0"/>
        <extend val="0"/>
        <outline val="0"/>
        <shadow val="0"/>
        <u val="none"/>
        <vertAlign val="baseline"/>
        <sz val="10"/>
        <color theme="1"/>
        <name val="Arial"/>
        <scheme val="none"/>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9" formatCode="dd/mm/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1" hidden="0"/>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9" formatCode="dd/mm/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9" formatCode="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0" formatCode="General"/>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 formatCode="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protection locked="0" hidden="0"/>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2" formatCode="0.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4" formatCode="0.0"/>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numFmt numFmtId="166" formatCode="dd/mm/yyyy"/>
      <fill>
        <patternFill patternType="none">
          <fgColor indexed="64"/>
          <bgColor auto="1"/>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general"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textRotation="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0"/>
        <color theme="1"/>
        <name val="Calibri"/>
        <scheme val="minor"/>
      </font>
      <fill>
        <patternFill patternType="none">
          <fgColor indexed="64"/>
          <bgColor auto="1"/>
        </patternFill>
      </fill>
      <alignment horizontal="center" vertical="center" textRotation="0" wrapText="1" indent="0" justifyLastLine="0" shrinkToFit="0" readingOrder="0"/>
    </dxf>
    <dxf>
      <border>
        <bottom style="medium">
          <color indexed="64"/>
        </bottom>
      </border>
    </dxf>
    <dxf>
      <font>
        <strike val="0"/>
        <outline val="0"/>
        <shadow val="0"/>
        <u val="none"/>
        <vertAlign val="baseline"/>
        <color theme="1"/>
      </font>
      <fill>
        <patternFill patternType="none">
          <fgColor indexed="64"/>
          <bgColor theme="9" tint="0.39997558519241921"/>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border>
    </dxf>
    <dxf>
      <font>
        <color rgb="FF9C0006"/>
      </font>
      <fill>
        <patternFill>
          <bgColor rgb="FFFFC7CE"/>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ill>
        <patternFill>
          <bgColor rgb="FF92D050"/>
        </patternFill>
      </fill>
    </dxf>
    <dxf>
      <fill>
        <patternFill>
          <bgColor rgb="FF92D050"/>
        </patternFill>
      </fill>
    </dxf>
    <dxf>
      <fill>
        <patternFill>
          <bgColor rgb="FF92D050"/>
        </patternFill>
      </fill>
    </dxf>
    <dxf>
      <font>
        <color rgb="FF9C0006"/>
      </font>
      <fill>
        <patternFill>
          <bgColor rgb="FFFFC7CE"/>
        </patternFill>
      </fill>
    </dxf>
    <dxf>
      <font>
        <color theme="0"/>
      </font>
      <fill>
        <patternFill>
          <bgColor rgb="FFC00000"/>
        </patternFill>
      </fill>
    </dxf>
    <dxf>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theme="0" tint="-0.14996795556505021"/>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theme="0" tint="-0.14996795556505021"/>
        </patternFill>
      </fill>
    </dxf>
    <dxf>
      <fill>
        <patternFill>
          <bgColor theme="0" tint="-0.14996795556505021"/>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font>
      <fill>
        <patternFill>
          <bgColor rgb="FF92D050"/>
        </patternFill>
      </fill>
    </dxf>
    <dxf>
      <font>
        <b/>
        <i val="0"/>
      </font>
      <fill>
        <patternFill>
          <bgColor rgb="FFFF0000"/>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ont>
        <b/>
        <i val="0"/>
        <color theme="0"/>
      </font>
      <fill>
        <patternFill>
          <bgColor rgb="FFC00000"/>
        </patternFill>
      </fill>
    </dxf>
    <dxf>
      <fill>
        <patternFill>
          <bgColor theme="0" tint="-0.14996795556505021"/>
        </patternFill>
      </fill>
    </dxf>
    <dxf>
      <fill>
        <patternFill>
          <bgColor theme="0" tint="-0.14996795556505021"/>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dxf>
    <dxf>
      <font>
        <b/>
        <i val="0"/>
        <color theme="0"/>
      </font>
      <fill>
        <patternFill>
          <bgColor theme="9" tint="-0.24994659260841701"/>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ont>
        <b/>
        <i val="0"/>
        <color theme="0"/>
      </font>
      <fill>
        <patternFill>
          <bgColor rgb="FFC00000"/>
        </patternFill>
      </fill>
    </dxf>
    <dxf>
      <fill>
        <patternFill>
          <bgColor rgb="FFFFC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92D050"/>
        </patternFill>
      </fill>
    </dxf>
    <dxf>
      <fill>
        <patternFill>
          <bgColor rgb="FFFF0000"/>
        </patternFill>
      </fill>
    </dxf>
    <dxf>
      <fill>
        <patternFill>
          <bgColor rgb="FFFFFF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ont>
        <b/>
        <i val="0"/>
      </font>
      <fill>
        <patternFill>
          <bgColor rgb="FF92D050"/>
        </patternFill>
      </fill>
    </dxf>
    <dxf>
      <font>
        <b/>
        <i val="0"/>
      </font>
      <fill>
        <patternFill>
          <bgColor rgb="FFFF0000"/>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patternFill>
          <bgColor rgb="FFC00000"/>
        </patternFill>
      </fill>
    </dxf>
    <dxf>
      <fill>
        <patternFill>
          <bgColor theme="5"/>
        </patternFill>
      </fill>
    </dxf>
    <dxf>
      <fill>
        <patternFill>
          <bgColor rgb="FF92D050"/>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b/>
        <i val="0"/>
      </font>
      <fill>
        <patternFill>
          <bgColor theme="7" tint="0.39994506668294322"/>
        </patternFill>
      </fill>
    </dxf>
    <dxf>
      <fill>
        <patternFill>
          <bgColor theme="0" tint="-0.14996795556505021"/>
        </patternFill>
      </fill>
    </dxf>
    <dxf>
      <fill>
        <patternFill>
          <bgColor theme="7" tint="0.39994506668294322"/>
        </patternFill>
      </fill>
    </dxf>
    <dxf>
      <fill>
        <patternFill>
          <bgColor theme="6" tint="0.59996337778862885"/>
        </patternFill>
      </fill>
    </dxf>
    <dxf>
      <font>
        <b/>
        <i val="0"/>
      </font>
      <fill>
        <patternFill>
          <bgColor rgb="FFFFC000"/>
        </patternFill>
      </fill>
    </dxf>
    <dxf>
      <font>
        <b/>
        <i val="0"/>
        <color theme="0"/>
      </font>
      <fill>
        <patternFill>
          <bgColor rgb="FFC00000"/>
        </patternFill>
      </fill>
    </dxf>
    <dxf>
      <fill>
        <patternFill>
          <bgColor rgb="FFFFFF00"/>
        </patternFill>
      </fill>
    </dxf>
    <dxf>
      <fill>
        <patternFill>
          <bgColor rgb="FF92D050"/>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0000"/>
        </patternFill>
      </fill>
    </dxf>
    <dxf>
      <font>
        <b/>
        <i val="0"/>
        <color theme="0"/>
      </font>
      <fill>
        <patternFill>
          <bgColor rgb="FFC00000"/>
        </patternFill>
      </fill>
    </dxf>
    <dxf>
      <font>
        <color theme="0"/>
      </font>
      <fill>
        <patternFill>
          <bgColor theme="7" tint="-0.24994659260841701"/>
        </patternFill>
      </fill>
    </dxf>
    <dxf>
      <fill>
        <patternFill>
          <bgColor theme="7" tint="0.39994506668294322"/>
        </patternFill>
      </fill>
    </dxf>
    <dxf>
      <fill>
        <patternFill>
          <bgColor rgb="FFFFFF00"/>
        </patternFill>
      </fill>
    </dxf>
    <dxf>
      <font>
        <color theme="0"/>
      </font>
      <fill>
        <patternFill>
          <bgColor rgb="FFC00000"/>
        </patternFill>
      </fill>
    </dxf>
    <dxf>
      <fill>
        <patternFill>
          <bgColor rgb="FF92D050"/>
        </patternFill>
      </fill>
    </dxf>
    <dxf>
      <fill>
        <patternFill>
          <bgColor rgb="FFFF0000"/>
        </patternFill>
      </fill>
    </dxf>
    <dxf>
      <fill>
        <patternFill>
          <bgColor rgb="FF92D050"/>
        </patternFill>
      </fill>
    </dxf>
    <dxf>
      <font>
        <b/>
        <i val="0"/>
        <color theme="0"/>
      </font>
      <fill>
        <patternFill>
          <bgColor rgb="FFC00000"/>
        </patternFill>
      </fill>
    </dxf>
    <dxf>
      <font>
        <color auto="1"/>
      </font>
      <fill>
        <patternFill>
          <bgColor theme="6" tint="0.39994506668294322"/>
        </patternFill>
      </fill>
    </dxf>
    <dxf>
      <fill>
        <patternFill>
          <bgColor rgb="FFFF0000"/>
        </patternFill>
      </fill>
    </dxf>
    <dxf>
      <fill>
        <patternFill>
          <bgColor rgb="FFFFFF00"/>
        </patternFill>
      </fill>
    </dxf>
    <dxf>
      <fill>
        <patternFill>
          <bgColor theme="7"/>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ill>
        <patternFill>
          <bgColor rgb="FFFFC000"/>
        </patternFill>
      </fill>
    </dxf>
    <dxf>
      <font>
        <b/>
        <i val="0"/>
        <color theme="0"/>
      </font>
      <fill>
        <patternFill>
          <bgColor rgb="FFC00000"/>
        </patternFill>
      </fill>
    </dxf>
    <dxf>
      <fill>
        <patternFill>
          <bgColor rgb="FFFF0000"/>
        </patternFill>
      </fill>
    </dxf>
    <dxf>
      <font>
        <b/>
        <i val="0"/>
        <color theme="0"/>
      </font>
      <fill>
        <patternFill>
          <bgColor rgb="FFC00000"/>
        </patternFill>
      </fill>
    </dxf>
    <dxf>
      <fill>
        <patternFill>
          <bgColor rgb="FF92D050"/>
        </patternFill>
      </fill>
    </dxf>
    <dxf>
      <font>
        <b/>
        <i val="0"/>
        <color theme="0"/>
      </font>
      <fill>
        <patternFill>
          <bgColor theme="1"/>
        </patternFill>
      </fill>
    </dxf>
    <dxf>
      <font>
        <b/>
        <i val="0"/>
        <color theme="0"/>
      </font>
      <fill>
        <patternFill>
          <bgColor rgb="FFFF0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C00000"/>
        </patternFill>
      </fill>
    </dxf>
    <dxf>
      <fill>
        <patternFill>
          <bgColor rgb="FFFFFF00"/>
        </patternFill>
      </fill>
    </dxf>
    <dxf>
      <fill>
        <patternFill>
          <bgColor rgb="FFFFC000"/>
        </patternFill>
      </fill>
    </dxf>
    <dxf>
      <fill>
        <patternFill>
          <bgColor rgb="FF92D050"/>
        </patternFill>
      </fill>
    </dxf>
    <dxf>
      <fill>
        <patternFill>
          <bgColor rgb="FFC00000"/>
        </patternFill>
      </fill>
    </dxf>
    <dxf>
      <fill>
        <patternFill>
          <bgColor rgb="FFFFC000"/>
        </patternFill>
      </fill>
    </dxf>
    <dxf>
      <fill>
        <patternFill>
          <bgColor rgb="FFFFFF00"/>
        </patternFill>
      </fill>
    </dxf>
    <dxf>
      <fill>
        <patternFill>
          <bgColor rgb="FFFFC000"/>
        </patternFill>
      </fill>
    </dxf>
    <dxf>
      <fill>
        <patternFill>
          <bgColor rgb="FFFFFF00"/>
        </patternFill>
      </fill>
    </dxf>
    <dxf>
      <fill>
        <patternFill>
          <bgColor rgb="FFFF0000"/>
        </patternFill>
      </fill>
    </dxf>
    <dxf>
      <fill>
        <patternFill>
          <bgColor rgb="FF92D050"/>
        </patternFill>
      </fill>
    </dxf>
    <dxf>
      <font>
        <b/>
        <i val="0"/>
        <color theme="1"/>
      </font>
      <fill>
        <patternFill>
          <bgColor rgb="FF00B050"/>
        </patternFill>
      </fill>
    </dxf>
    <dxf>
      <font>
        <b/>
        <i val="0"/>
        <color theme="0"/>
      </font>
      <fill>
        <patternFill>
          <bgColor rgb="FFC00000"/>
        </patternFill>
      </fill>
    </dxf>
    <dxf>
      <font>
        <b/>
        <i val="0"/>
        <color theme="0"/>
      </font>
      <fill>
        <patternFill>
          <bgColor theme="3" tint="-0.499984740745262"/>
        </patternFill>
      </fill>
    </dxf>
    <dxf>
      <fill>
        <patternFill>
          <bgColor theme="2" tint="-0.49998474074526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92D050"/>
        </patternFill>
      </fill>
    </dxf>
    <dxf>
      <fill>
        <patternFill>
          <bgColor rgb="FFC00000"/>
        </patternFill>
      </fill>
    </dxf>
    <dxf>
      <fill>
        <patternFill>
          <bgColor rgb="FFFFFF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ont>
        <b/>
        <i val="0"/>
        <color theme="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9" tint="0.39994506668294322"/>
        </patternFill>
      </fill>
    </dxf>
    <dxf>
      <fill>
        <patternFill>
          <bgColor rgb="FF92D050"/>
        </patternFill>
      </fill>
    </dxf>
    <dxf>
      <fill>
        <patternFill>
          <bgColor rgb="FFFF0000"/>
        </patternFill>
      </fill>
    </dxf>
    <dxf>
      <fill>
        <patternFill>
          <bgColor rgb="FFFFFF00"/>
        </patternFill>
      </fill>
    </dxf>
    <dxf>
      <font>
        <b/>
        <i val="0"/>
        <color theme="0"/>
      </font>
      <fill>
        <patternFill>
          <bgColor rgb="FFA50021"/>
        </patternFill>
      </fill>
    </dxf>
    <dxf>
      <font>
        <b/>
        <i val="0"/>
        <color theme="0"/>
      </font>
      <fill>
        <patternFill>
          <bgColor rgb="FFFF0000"/>
        </patternFill>
      </fill>
    </dxf>
    <dxf>
      <fill>
        <patternFill>
          <bgColor rgb="FF92D050"/>
        </patternFill>
      </fill>
    </dxf>
    <dxf>
      <font>
        <b/>
        <i val="0"/>
        <color theme="1"/>
      </font>
      <fill>
        <patternFill>
          <bgColor rgb="FFFFFF00"/>
        </patternFill>
      </fill>
    </dxf>
    <dxf>
      <font>
        <b/>
        <i val="0"/>
        <color rgb="FFFF0000"/>
      </font>
      <fill>
        <patternFill>
          <bgColor rgb="FF92D050"/>
        </patternFill>
      </fill>
    </dxf>
    <dxf>
      <font>
        <b/>
        <i val="0"/>
        <color rgb="FFFF0000"/>
      </font>
      <fill>
        <patternFill>
          <bgColor theme="7" tint="0.39994506668294322"/>
        </patternFill>
      </fill>
    </dxf>
    <dxf>
      <fill>
        <patternFill>
          <bgColor theme="6" tint="0.39994506668294322"/>
        </patternFill>
      </fill>
    </dxf>
    <dxf>
      <fill>
        <patternFill>
          <bgColor rgb="FF92D050"/>
        </patternFill>
      </fill>
    </dxf>
    <dxf>
      <fill>
        <patternFill>
          <bgColor rgb="FFFFC000"/>
        </patternFill>
      </fill>
    </dxf>
    <dxf>
      <fill>
        <patternFill>
          <bgColor rgb="FFFFFF00"/>
        </patternFill>
      </fill>
    </dxf>
    <dxf>
      <fill>
        <patternFill>
          <bgColor theme="5" tint="0.59996337778862885"/>
        </patternFill>
      </fill>
    </dxf>
    <dxf>
      <fill>
        <patternFill>
          <bgColor rgb="FFC00000"/>
        </patternFill>
      </fill>
    </dxf>
    <dxf>
      <font>
        <b/>
        <i val="0"/>
        <color theme="0"/>
      </font>
      <fill>
        <patternFill>
          <bgColor rgb="FFC00000"/>
        </patternFill>
      </fill>
    </dxf>
    <dxf>
      <font>
        <b val="0"/>
        <i val="0"/>
        <color rgb="FFC00000"/>
      </font>
      <fill>
        <patternFill patternType="solid">
          <fgColor auto="1"/>
          <bgColor rgb="FFFFCCC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C00000"/>
      </font>
      <fill>
        <patternFill>
          <bgColor rgb="FFFFCCCC"/>
        </patternFill>
      </fill>
    </dxf>
    <dxf>
      <font>
        <b/>
        <i val="0"/>
        <color theme="0"/>
      </font>
      <fill>
        <patternFill>
          <bgColor rgb="FFC00000"/>
        </patternFill>
      </fill>
    </dxf>
    <dxf>
      <font>
        <color rgb="FF006100"/>
      </font>
      <fill>
        <patternFill>
          <bgColor rgb="FFC6EFCE"/>
        </patternFill>
      </fill>
    </dxf>
    <dxf>
      <font>
        <b/>
        <i val="0"/>
        <color auto="1"/>
      </font>
      <fill>
        <patternFill patternType="solid">
          <fgColor auto="1"/>
          <bgColor rgb="FFFB4D3B"/>
        </patternFill>
      </fill>
    </dxf>
    <dxf>
      <font>
        <color rgb="FF9C0006"/>
      </font>
      <fill>
        <patternFill>
          <bgColor rgb="FFFFC7CE"/>
        </patternFill>
      </fill>
    </dxf>
    <dxf>
      <font>
        <color rgb="FF006100"/>
      </font>
      <fill>
        <patternFill>
          <bgColor rgb="FFC6EFCE"/>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rgb="FF92D050"/>
        </patternFill>
      </fill>
    </dxf>
    <dxf>
      <fill>
        <patternFill>
          <bgColor theme="7"/>
        </patternFill>
      </fill>
    </dxf>
    <dxf>
      <font>
        <b/>
        <i val="0"/>
        <color theme="0"/>
      </font>
      <fill>
        <patternFill>
          <bgColor rgb="FFFF0066"/>
        </patternFill>
      </fill>
    </dxf>
    <dxf>
      <fill>
        <patternFill>
          <bgColor theme="6" tint="0.79998168889431442"/>
        </patternFill>
      </fill>
    </dxf>
    <dxf>
      <fill>
        <patternFill>
          <bgColor rgb="FF92D050"/>
        </patternFill>
      </fill>
    </dxf>
    <dxf>
      <fill>
        <patternFill>
          <bgColor rgb="FF92D050"/>
        </patternFill>
      </fill>
    </dxf>
    <dxf>
      <font>
        <b/>
        <i val="0"/>
        <color theme="0"/>
      </font>
      <fill>
        <patternFill>
          <bgColor rgb="FFA50021"/>
        </patternFill>
      </fill>
    </dxf>
    <dxf>
      <fill>
        <patternFill>
          <bgColor rgb="FFFFFF00"/>
        </patternFill>
      </fill>
    </dxf>
    <dxf>
      <font>
        <b val="0"/>
        <i/>
      </font>
      <fill>
        <patternFill>
          <bgColor theme="6" tint="0.39994506668294322"/>
        </patternFill>
      </fill>
    </dxf>
    <dxf>
      <fill>
        <patternFill>
          <bgColor theme="7"/>
        </patternFill>
      </fill>
    </dxf>
    <dxf>
      <font>
        <b/>
        <i val="0"/>
        <color theme="0"/>
      </font>
      <fill>
        <patternFill>
          <bgColor rgb="FFFF0066"/>
        </patternFill>
      </fill>
    </dxf>
    <dxf>
      <fill>
        <patternFill>
          <bgColor theme="6" tint="0.79998168889431442"/>
        </patternFill>
      </fill>
    </dxf>
    <dxf>
      <font>
        <b/>
        <i val="0"/>
        <color theme="0"/>
      </font>
      <fill>
        <patternFill>
          <bgColor rgb="FFC0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66CC"/>
        </patternFill>
      </fill>
    </dxf>
    <dxf>
      <font>
        <b/>
        <i val="0"/>
        <color theme="0"/>
      </font>
      <fill>
        <patternFill patternType="solid">
          <fgColor auto="1"/>
          <bgColor rgb="FFCC0000"/>
        </patternFill>
      </fill>
    </dxf>
    <dxf>
      <font>
        <b/>
        <i val="0"/>
        <color theme="0"/>
      </font>
      <fill>
        <patternFill>
          <bgColor rgb="FF7030A0"/>
        </patternFill>
      </fill>
    </dxf>
    <dxf>
      <font>
        <b/>
        <i val="0"/>
        <color theme="0"/>
      </font>
      <fill>
        <patternFill>
          <bgColor rgb="FF7030A0"/>
        </patternFill>
      </fill>
    </dxf>
    <dxf>
      <fill>
        <patternFill>
          <bgColor rgb="FF92D050"/>
        </patternFill>
      </fill>
    </dxf>
    <dxf>
      <fill>
        <patternFill>
          <bgColor rgb="FFFFFF00"/>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FFFF00"/>
        </patternFill>
      </fill>
    </dxf>
    <dxf>
      <fill>
        <patternFill>
          <bgColor rgb="FFFFC000"/>
        </patternFill>
      </fill>
    </dxf>
    <dxf>
      <font>
        <b/>
        <i val="0"/>
        <color theme="0"/>
      </font>
      <fill>
        <patternFill>
          <bgColor rgb="FFC00000"/>
        </patternFill>
      </fill>
    </dxf>
    <dxf>
      <fill>
        <patternFill>
          <bgColor theme="5" tint="0.39994506668294322"/>
        </patternFill>
      </fill>
    </dxf>
    <dxf>
      <fill>
        <patternFill>
          <bgColor rgb="FF92D050"/>
        </patternFill>
      </fill>
    </dxf>
    <dxf>
      <font>
        <b/>
        <i val="0"/>
        <color theme="0"/>
      </font>
      <fill>
        <patternFill>
          <bgColor rgb="FFFF0066"/>
        </patternFill>
      </fill>
    </dxf>
    <dxf>
      <fill>
        <patternFill>
          <bgColor theme="9" tint="0.59996337778862885"/>
        </patternFill>
      </fill>
    </dxf>
    <dxf>
      <fill>
        <patternFill>
          <bgColor rgb="FF92D050"/>
        </patternFill>
      </fill>
    </dxf>
    <dxf>
      <fill>
        <patternFill>
          <bgColor rgb="FFC00000"/>
        </patternFill>
      </fill>
    </dxf>
    <dxf>
      <fill>
        <patternFill>
          <bgColor rgb="FFFFFF00"/>
        </patternFill>
      </fill>
    </dxf>
    <dxf>
      <fill>
        <patternFill>
          <bgColor rgb="FFC00000"/>
        </patternFill>
      </fill>
    </dxf>
    <dxf>
      <fill>
        <patternFill>
          <bgColor rgb="FFFFC000"/>
        </patternFill>
      </fill>
    </dxf>
    <dxf>
      <fill>
        <patternFill>
          <bgColor rgb="FFFFFF00"/>
        </patternFill>
      </fill>
    </dxf>
    <dxf>
      <fill>
        <patternFill>
          <bgColor rgb="FFFFFF99"/>
        </patternFill>
      </fill>
    </dxf>
    <dxf>
      <fill>
        <patternFill>
          <bgColor rgb="FFFFFF66"/>
        </patternFill>
      </fill>
    </dxf>
    <dxf>
      <fill>
        <patternFill>
          <bgColor rgb="FFFFFF00"/>
        </patternFill>
      </fill>
    </dxf>
    <dxf>
      <fill>
        <patternFill>
          <bgColor theme="5" tint="0.59996337778862885"/>
        </patternFill>
      </fill>
    </dxf>
    <dxf>
      <fill>
        <patternFill>
          <bgColor rgb="FFC00000"/>
        </patternFill>
      </fill>
    </dxf>
    <dxf>
      <fill>
        <patternFill>
          <bgColor rgb="FF92D050"/>
        </patternFill>
      </fill>
    </dxf>
    <dxf>
      <fill>
        <patternFill>
          <bgColor rgb="FF92D05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ill>
        <patternFill>
          <bgColor rgb="FFFFC000"/>
        </patternFill>
      </fill>
    </dxf>
    <dxf>
      <font>
        <b/>
        <i val="0"/>
        <color theme="0"/>
      </font>
      <fill>
        <patternFill>
          <bgColor rgb="FFFF0000"/>
        </patternFill>
      </fill>
      <border>
        <left style="thin">
          <color rgb="FFC00000"/>
        </left>
        <right style="thin">
          <color rgb="FFC00000"/>
        </right>
        <top style="thin">
          <color rgb="FFC00000"/>
        </top>
        <bottom style="thin">
          <color rgb="FFC00000"/>
        </bottom>
      </border>
    </dxf>
    <dxf>
      <font>
        <b/>
        <i val="0"/>
        <color theme="0"/>
      </font>
      <fill>
        <patternFill>
          <bgColor rgb="FFC00000"/>
        </patternFill>
      </fill>
    </dxf>
    <dxf>
      <fill>
        <patternFill>
          <bgColor theme="0" tint="-0.14996795556505021"/>
        </patternFill>
      </fill>
    </dxf>
    <dxf>
      <fill>
        <patternFill>
          <bgColor theme="0" tint="-0.14996795556505021"/>
        </patternFill>
      </fill>
    </dxf>
    <dxf>
      <fill>
        <patternFill>
          <bgColor rgb="FF92D050"/>
        </patternFill>
      </fill>
    </dxf>
    <dxf>
      <fill>
        <patternFill>
          <bgColor rgb="FFFFC000"/>
        </patternFill>
      </fill>
    </dxf>
    <dxf>
      <fill>
        <patternFill>
          <bgColor rgb="FFC00000"/>
        </patternFill>
      </fill>
    </dxf>
    <dxf>
      <fill>
        <patternFill>
          <bgColor rgb="FFC00000"/>
        </patternFill>
      </fill>
    </dxf>
    <dxf>
      <fill>
        <patternFill>
          <bgColor theme="5" tint="0.39994506668294322"/>
        </patternFill>
      </fill>
    </dxf>
    <dxf>
      <fill>
        <patternFill>
          <bgColor rgb="FF92D050"/>
        </patternFill>
      </fill>
    </dxf>
    <dxf>
      <fill>
        <patternFill>
          <bgColor rgb="FFFFC000"/>
        </patternFill>
      </fill>
    </dxf>
    <dxf>
      <fill>
        <patternFill>
          <bgColor rgb="FFC00000"/>
        </patternFill>
      </fill>
    </dxf>
    <dxf>
      <font>
        <b/>
        <i val="0"/>
        <color theme="0"/>
      </font>
      <fill>
        <patternFill>
          <bgColor rgb="FFFF0000"/>
        </patternFill>
      </fill>
    </dxf>
    <dxf>
      <fill>
        <patternFill>
          <bgColor rgb="FFC00000"/>
        </patternFill>
      </fill>
    </dxf>
    <dxf>
      <fill>
        <patternFill>
          <bgColor theme="5"/>
        </patternFill>
      </fill>
    </dxf>
    <dxf>
      <fill>
        <patternFill>
          <bgColor rgb="FF92D050"/>
        </patternFill>
      </fill>
    </dxf>
    <dxf>
      <font>
        <b/>
        <i val="0"/>
      </font>
      <fill>
        <patternFill>
          <bgColor rgb="FF92D050"/>
        </patternFill>
      </fill>
    </dxf>
    <dxf>
      <font>
        <b/>
        <i val="0"/>
      </font>
      <fill>
        <patternFill>
          <bgColor rgb="FFFF0000"/>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color rgb="FF006100"/>
      </font>
      <fill>
        <patternFill>
          <bgColor rgb="FFC6EF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ill>
        <patternFill>
          <bgColor theme="7"/>
        </patternFill>
      </fill>
    </dxf>
    <dxf>
      <fill>
        <patternFill>
          <bgColor rgb="FFFFC000"/>
        </patternFill>
      </fill>
    </dxf>
    <dxf>
      <fill>
        <patternFill>
          <bgColor rgb="FFC00000"/>
        </patternFill>
      </fill>
    </dxf>
    <dxf>
      <font>
        <color rgb="FF006100"/>
      </font>
      <fill>
        <patternFill>
          <bgColor rgb="FFC6EFCE"/>
        </patternFill>
      </fill>
    </dxf>
    <dxf>
      <fill>
        <patternFill>
          <bgColor rgb="FFFFAD53"/>
        </patternFill>
      </fill>
    </dxf>
    <dxf>
      <fill>
        <patternFill>
          <bgColor rgb="FFFF0000"/>
        </patternFill>
      </fill>
    </dxf>
    <dxf>
      <fill>
        <patternFill>
          <bgColor rgb="FF92D05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5700"/>
      </font>
      <fill>
        <patternFill>
          <bgColor rgb="FFFFEB9C"/>
        </patternFill>
      </fill>
    </dxf>
    <dxf>
      <fill>
        <patternFill>
          <bgColor rgb="FF92D050"/>
        </patternFill>
      </fill>
    </dxf>
    <dxf>
      <fill>
        <patternFill>
          <bgColor rgb="FFFF0000"/>
        </patternFill>
      </fill>
    </dxf>
    <dxf>
      <fill>
        <patternFill>
          <bgColor rgb="FFFFFF00"/>
        </patternFill>
      </fill>
    </dxf>
    <dxf>
      <fill>
        <patternFill>
          <bgColor theme="9" tint="-0.24994659260841701"/>
        </patternFill>
      </fill>
    </dxf>
    <dxf>
      <fill>
        <patternFill>
          <bgColor theme="6" tint="0.39994506668294322"/>
        </patternFill>
      </fill>
    </dxf>
    <dxf>
      <font>
        <b/>
        <i val="0"/>
        <color theme="0"/>
      </font>
      <fill>
        <patternFill>
          <bgColor rgb="FFC00000"/>
        </patternFill>
      </fill>
    </dxf>
    <dxf>
      <fill>
        <patternFill>
          <bgColor rgb="FF92D050"/>
        </patternFill>
      </fill>
    </dxf>
    <dxf>
      <fill>
        <patternFill>
          <bgColor rgb="FFFF0000"/>
        </patternFill>
      </fill>
    </dxf>
    <dxf>
      <fill>
        <patternFill>
          <bgColor rgb="FFFFFF00"/>
        </patternFill>
      </fill>
    </dxf>
    <dxf>
      <font>
        <color rgb="FF006100"/>
      </font>
      <fill>
        <patternFill>
          <bgColor rgb="FFC6EFCE"/>
        </patternFill>
      </fill>
    </dxf>
    <dxf>
      <font>
        <color theme="0"/>
      </font>
      <fill>
        <patternFill>
          <bgColor rgb="FFC00000"/>
        </patternFill>
      </fill>
    </dxf>
    <dxf>
      <font>
        <color theme="0"/>
      </font>
      <fill>
        <patternFill>
          <bgColor rgb="FFC00000"/>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ill>
        <patternFill>
          <bgColor rgb="FFC00000"/>
        </patternFill>
      </fill>
    </dxf>
    <dxf>
      <font>
        <color rgb="FF9C0006"/>
      </font>
      <fill>
        <patternFill>
          <bgColor rgb="FFFFC7CE"/>
        </patternFill>
      </fill>
    </dxf>
    <dxf>
      <fill>
        <patternFill>
          <bgColor rgb="FFFF0000"/>
        </patternFill>
      </fill>
    </dxf>
    <dxf>
      <fill>
        <patternFill>
          <bgColor rgb="FFFFC000"/>
        </patternFill>
      </fill>
    </dxf>
    <dxf>
      <fill>
        <patternFill>
          <bgColor rgb="FF00B050"/>
        </patternFill>
      </fill>
    </dxf>
    <dxf>
      <font>
        <color rgb="FFC00000"/>
      </font>
      <fill>
        <patternFill>
          <bgColor theme="5" tint="0.39994506668294322"/>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theme="0"/>
      </font>
      <fill>
        <patternFill>
          <bgColor theme="9" tint="-0.24994659260841701"/>
        </patternFill>
      </fill>
    </dxf>
    <dxf>
      <fill>
        <patternFill>
          <bgColor theme="5" tint="0.39994506668294322"/>
        </patternFill>
      </fill>
    </dxf>
    <dxf>
      <fill>
        <patternFill>
          <bgColor rgb="FFFFC000"/>
        </patternFill>
      </fill>
    </dxf>
    <dxf>
      <fill>
        <patternFill>
          <bgColor rgb="FFFF0000"/>
        </patternFill>
      </fill>
    </dxf>
    <dxf>
      <fill>
        <patternFill>
          <bgColor rgb="FF92D050"/>
        </patternFill>
      </fill>
    </dxf>
    <dxf>
      <font>
        <b/>
        <i val="0"/>
        <color theme="0"/>
      </font>
      <fill>
        <patternFill>
          <bgColor rgb="FFC00000"/>
        </patternFill>
      </fill>
    </dxf>
    <dxf>
      <fill>
        <patternFill>
          <bgColor rgb="FF92D050"/>
        </patternFill>
      </fill>
    </dxf>
    <dxf>
      <font>
        <b/>
        <i val="0"/>
        <color theme="0"/>
      </font>
      <fill>
        <patternFill>
          <bgColor rgb="FFC00000"/>
        </patternFill>
      </fill>
    </dxf>
    <dxf>
      <fill>
        <patternFill>
          <bgColor rgb="FFFFC000"/>
        </patternFill>
      </fill>
    </dxf>
    <dxf>
      <fill>
        <patternFill>
          <bgColor rgb="FF92D050"/>
        </patternFill>
      </fill>
    </dxf>
    <dxf>
      <fill>
        <patternFill>
          <bgColor rgb="FFFF0000"/>
        </patternFill>
      </fill>
    </dxf>
    <dxf>
      <fill>
        <patternFill>
          <bgColor theme="3" tint="0.59996337778862885"/>
        </patternFill>
      </fill>
    </dxf>
    <dxf>
      <fill>
        <patternFill>
          <bgColor theme="9" tint="0.39994506668294322"/>
        </patternFill>
      </fill>
    </dxf>
    <dxf>
      <fill>
        <patternFill>
          <bgColor rgb="FF92D050"/>
        </patternFill>
      </fill>
    </dxf>
    <dxf>
      <fill>
        <patternFill>
          <bgColor rgb="FFFF0000"/>
        </patternFill>
      </fill>
    </dxf>
    <dxf>
      <fill>
        <patternFill>
          <bgColor theme="3" tint="0.59996337778862885"/>
        </patternFill>
      </fill>
    </dxf>
    <dxf>
      <font>
        <b/>
        <i val="0"/>
        <color theme="0"/>
      </font>
      <fill>
        <patternFill>
          <bgColor rgb="FFC00000"/>
        </patternFill>
      </fill>
    </dxf>
    <dxf>
      <fill>
        <patternFill>
          <bgColor rgb="FF92D050"/>
        </patternFill>
      </fill>
    </dxf>
    <dxf>
      <fill>
        <patternFill>
          <bgColor rgb="FFFFFF00"/>
        </patternFill>
      </fill>
    </dxf>
    <dxf>
      <fill>
        <patternFill>
          <bgColor rgb="FFFF0000"/>
        </patternFill>
      </fill>
    </dxf>
    <dxf>
      <fill>
        <patternFill>
          <bgColor rgb="FFFF0000"/>
        </patternFill>
      </fill>
    </dxf>
    <dxf>
      <fill>
        <patternFill>
          <bgColor rgb="FF92D050"/>
        </patternFill>
      </fill>
    </dxf>
    <dxf>
      <fill>
        <patternFill>
          <bgColor theme="3" tint="0.59996337778862885"/>
        </patternFill>
      </fill>
    </dxf>
    <dxf>
      <fill>
        <patternFill>
          <bgColor rgb="FF92D050"/>
        </patternFill>
      </fill>
    </dxf>
    <dxf>
      <fill>
        <patternFill>
          <bgColor theme="5" tint="0.39994506668294322"/>
        </patternFill>
      </fill>
    </dxf>
    <dxf>
      <fill>
        <patternFill>
          <bgColor theme="7" tint="0.59996337778862885"/>
        </patternFill>
      </fill>
    </dxf>
    <dxf>
      <fill>
        <patternFill>
          <bgColor theme="7" tint="0.59996337778862885"/>
        </patternFill>
      </fill>
    </dxf>
    <dxf>
      <fill>
        <patternFill>
          <bgColor theme="8" tint="-0.24994659260841701"/>
        </patternFill>
      </fill>
    </dxf>
    <dxf>
      <fill>
        <patternFill>
          <bgColor theme="2" tint="-0.24994659260841701"/>
        </patternFill>
      </fill>
    </dxf>
    <dxf>
      <fill>
        <patternFill>
          <bgColor theme="3" tint="0.59996337778862885"/>
        </patternFill>
      </fill>
    </dxf>
    <dxf>
      <fill>
        <patternFill>
          <bgColor theme="6" tint="0.79998168889431442"/>
        </patternFill>
      </fill>
    </dxf>
    <dxf>
      <fill>
        <patternFill>
          <bgColor theme="6" tint="-0.499984740745262"/>
        </patternFill>
      </fill>
    </dxf>
    <dxf>
      <fill>
        <patternFill>
          <bgColor theme="9" tint="-0.24994659260841701"/>
        </patternFill>
      </fill>
    </dxf>
    <dxf>
      <fill>
        <patternFill>
          <bgColor theme="3" tint="0.59996337778862885"/>
        </patternFill>
      </fill>
    </dxf>
    <dxf>
      <fill>
        <patternFill>
          <bgColor rgb="FF92D050"/>
        </patternFill>
      </fill>
    </dxf>
    <dxf>
      <fill>
        <patternFill>
          <bgColor theme="5" tint="0.59996337778862885"/>
        </patternFill>
      </fill>
    </dxf>
    <dxf>
      <fill>
        <patternFill>
          <bgColor theme="9" tint="0.59996337778862885"/>
        </patternFill>
      </fill>
    </dxf>
    <dxf>
      <fill>
        <patternFill>
          <bgColor theme="3" tint="0.59996337778862885"/>
        </patternFill>
      </fill>
    </dxf>
    <dxf>
      <fill>
        <patternFill>
          <bgColor rgb="FF92D050"/>
        </patternFill>
      </fill>
    </dxf>
    <dxf>
      <fill>
        <patternFill>
          <bgColor theme="9" tint="0.39994506668294322"/>
        </patternFill>
      </fill>
    </dxf>
    <dxf>
      <fill>
        <patternFill>
          <bgColor rgb="FFFFFF00"/>
        </patternFill>
      </fill>
    </dxf>
    <dxf>
      <font>
        <b/>
        <i val="0"/>
        <color theme="0"/>
      </font>
      <fill>
        <patternFill>
          <bgColor rgb="FFC00000"/>
        </patternFill>
      </fill>
    </dxf>
    <dxf>
      <fill>
        <patternFill>
          <bgColor rgb="FFFF0000"/>
        </patternFill>
      </fill>
    </dxf>
    <dxf>
      <font>
        <b/>
        <i val="0"/>
        <color theme="0"/>
      </font>
      <fill>
        <patternFill>
          <bgColor rgb="FFC00000"/>
        </patternFill>
      </fill>
    </dxf>
    <dxf>
      <font>
        <b/>
        <i val="0"/>
        <color theme="0"/>
      </font>
      <fill>
        <patternFill>
          <bgColor rgb="FFC00000"/>
        </patternFill>
      </fill>
    </dxf>
    <dxf>
      <fill>
        <patternFill>
          <bgColor rgb="FF92D050"/>
        </patternFill>
      </fill>
    </dxf>
    <dxf>
      <font>
        <b/>
        <i val="0"/>
        <color theme="0"/>
      </font>
      <fill>
        <patternFill>
          <bgColor rgb="FFC00000"/>
        </patternFill>
      </fill>
    </dxf>
    <dxf>
      <font>
        <b/>
        <i val="0"/>
        <color theme="0"/>
      </font>
      <fill>
        <patternFill>
          <bgColor rgb="FFC00000"/>
        </patternFill>
      </fill>
    </dxf>
    <dxf>
      <fill>
        <patternFill>
          <bgColor rgb="FFFFFF00"/>
        </patternFill>
      </fill>
    </dxf>
    <dxf>
      <font>
        <color theme="0"/>
      </font>
      <fill>
        <patternFill>
          <bgColor rgb="FFFF0000"/>
        </patternFill>
      </fill>
    </dxf>
    <dxf>
      <fill>
        <patternFill>
          <bgColor theme="6" tint="0.39994506668294322"/>
        </patternFill>
      </fill>
    </dxf>
    <dxf>
      <fill>
        <patternFill>
          <bgColor rgb="FFFFC000"/>
        </patternFill>
      </fill>
    </dxf>
    <dxf>
      <fill>
        <patternFill>
          <bgColor theme="7" tint="0.39994506668294322"/>
        </patternFill>
      </fill>
    </dxf>
    <dxf>
      <fill>
        <patternFill>
          <bgColor rgb="FFFFFF00"/>
        </patternFill>
      </fill>
    </dxf>
    <dxf>
      <fill>
        <patternFill>
          <bgColor rgb="FFFF0000"/>
        </patternFill>
      </fill>
    </dxf>
    <dxf>
      <fill>
        <patternFill>
          <bgColor theme="8" tint="0.39994506668294322"/>
        </patternFill>
      </fill>
    </dxf>
    <dxf>
      <fill>
        <patternFill>
          <bgColor rgb="FF92D050"/>
        </patternFill>
      </fill>
    </dxf>
    <dxf>
      <fill>
        <patternFill>
          <bgColor rgb="FFFFFF00"/>
        </patternFill>
      </fill>
    </dxf>
    <dxf>
      <fill>
        <patternFill>
          <bgColor theme="7" tint="0.39994506668294322"/>
        </patternFill>
      </fill>
    </dxf>
    <dxf>
      <font>
        <b/>
        <i val="0"/>
        <color theme="0"/>
      </font>
      <fill>
        <patternFill>
          <bgColor rgb="FFC00000"/>
        </patternFill>
      </fill>
    </dxf>
    <dxf>
      <fill>
        <patternFill>
          <bgColor rgb="FFFF0000"/>
        </patternFill>
      </fill>
    </dxf>
    <dxf>
      <fill>
        <patternFill>
          <bgColor rgb="FF92D050"/>
        </patternFill>
      </fill>
    </dxf>
    <dxf>
      <fill>
        <patternFill>
          <bgColor rgb="FFFFFF00"/>
        </patternFill>
      </fill>
    </dxf>
    <dxf>
      <fill>
        <patternFill>
          <bgColor rgb="FF92D050"/>
        </patternFill>
      </fill>
    </dxf>
    <dxf>
      <fill>
        <patternFill>
          <bgColor rgb="FFFF0000"/>
        </patternFill>
      </fill>
    </dxf>
    <dxf>
      <fill>
        <patternFill>
          <bgColor rgb="FF92D050"/>
        </patternFill>
      </fill>
    </dxf>
    <dxf>
      <fill>
        <patternFill>
          <bgColor rgb="FFFF0000"/>
        </patternFill>
      </fill>
    </dxf>
    <dxf>
      <fill>
        <patternFill>
          <bgColor rgb="FF92D050"/>
        </patternFill>
      </fill>
    </dxf>
    <dxf>
      <fill>
        <patternFill>
          <bgColor rgb="FFFF0000"/>
        </patternFill>
      </fill>
    </dxf>
    <dxf>
      <font>
        <b/>
        <i val="0"/>
        <color theme="0"/>
      </font>
      <fill>
        <patternFill>
          <bgColor rgb="FFFF0000"/>
        </patternFill>
      </fill>
    </dxf>
    <dxf>
      <font>
        <b/>
        <i val="0"/>
        <color theme="0"/>
      </font>
      <fill>
        <patternFill>
          <bgColor rgb="FFC00000"/>
        </patternFill>
      </fill>
    </dxf>
    <dxf>
      <font>
        <b/>
        <i val="0"/>
        <color theme="0"/>
      </font>
      <fill>
        <patternFill>
          <bgColor theme="3" tint="-0.24994659260841701"/>
        </patternFill>
      </fill>
    </dxf>
    <dxf>
      <fill>
        <patternFill>
          <bgColor rgb="FFFFFF00"/>
        </patternFill>
      </fill>
    </dxf>
    <dxf>
      <fill>
        <patternFill>
          <bgColor theme="9" tint="-0.24994659260841701"/>
        </patternFill>
      </fill>
    </dxf>
    <dxf>
      <fill>
        <patternFill>
          <bgColor rgb="FF92D050"/>
        </patternFill>
      </fill>
    </dxf>
    <dxf>
      <font>
        <b/>
        <i val="0"/>
        <color theme="0"/>
      </font>
      <fill>
        <patternFill>
          <bgColor rgb="FF7030A0"/>
        </patternFill>
      </fill>
    </dxf>
    <dxf>
      <font>
        <color theme="0"/>
      </font>
      <fill>
        <patternFill>
          <bgColor theme="7" tint="0.39994506668294322"/>
        </patternFill>
      </fill>
    </dxf>
    <dxf>
      <font>
        <b/>
        <i val="0"/>
        <color theme="0"/>
      </font>
      <fill>
        <patternFill>
          <bgColor theme="5" tint="-0.24994659260841701"/>
        </patternFill>
      </fill>
    </dxf>
    <dxf>
      <fill>
        <patternFill>
          <bgColor rgb="FFFFFF00"/>
        </patternFill>
      </fill>
    </dxf>
    <dxf>
      <fill>
        <patternFill>
          <bgColor rgb="FF92D050"/>
        </patternFill>
      </fill>
    </dxf>
    <dxf>
      <font>
        <b/>
        <i val="0"/>
        <color theme="0"/>
      </font>
      <fill>
        <patternFill>
          <bgColor rgb="FFFF0000"/>
        </patternFill>
      </fill>
    </dxf>
    <dxf>
      <fill>
        <patternFill>
          <bgColor rgb="FFFF0000"/>
        </patternFill>
      </fill>
    </dxf>
    <dxf>
      <fill>
        <patternFill>
          <bgColor rgb="FF92D050"/>
        </patternFill>
      </fill>
    </dxf>
    <dxf>
      <fill>
        <patternFill>
          <bgColor rgb="FFFFFF00"/>
        </patternFill>
      </fill>
    </dxf>
    <dxf>
      <font>
        <color theme="0"/>
      </font>
      <fill>
        <patternFill>
          <bgColor rgb="FFC00000"/>
        </patternFill>
      </fill>
    </dxf>
    <dxf>
      <fill>
        <patternFill>
          <bgColor rgb="FFFFFF00"/>
        </patternFill>
      </fill>
    </dxf>
    <dxf>
      <fill>
        <patternFill>
          <bgColor rgb="FF92D050"/>
        </patternFill>
      </fill>
    </dxf>
    <dxf>
      <font>
        <color theme="0"/>
      </font>
      <fill>
        <patternFill>
          <bgColor rgb="FFC00000"/>
        </patternFill>
      </fill>
    </dxf>
    <dxf>
      <fill>
        <patternFill>
          <bgColor rgb="FF92D050"/>
        </patternFill>
      </fill>
    </dxf>
    <dxf>
      <fill>
        <patternFill>
          <bgColor rgb="FFFFFF00"/>
        </patternFill>
      </fill>
    </dxf>
    <dxf>
      <fill>
        <patternFill>
          <bgColor theme="8" tint="0.39994506668294322"/>
        </patternFill>
      </fill>
    </dxf>
    <dxf>
      <font>
        <b/>
        <i val="0"/>
      </font>
      <fill>
        <patternFill>
          <bgColor rgb="FFFFC000"/>
        </patternFill>
      </fill>
    </dxf>
    <dxf>
      <font>
        <b/>
        <i val="0"/>
        <color theme="0"/>
      </font>
      <fill>
        <patternFill>
          <bgColor theme="7" tint="0.39994506668294322"/>
        </patternFill>
      </fill>
    </dxf>
    <dxf>
      <fill>
        <patternFill>
          <bgColor theme="6" tint="0.59996337778862885"/>
        </patternFill>
      </fill>
    </dxf>
    <dxf>
      <font>
        <color theme="0"/>
      </font>
      <fill>
        <patternFill>
          <bgColor rgb="FFC00000"/>
        </patternFill>
      </fill>
    </dxf>
    <dxf>
      <fill>
        <patternFill>
          <bgColor rgb="FF92D050"/>
        </patternFill>
      </fill>
    </dxf>
    <dxf>
      <fill>
        <patternFill>
          <bgColor theme="8" tint="0.59996337778862885"/>
        </patternFill>
      </fill>
    </dxf>
    <dxf>
      <font>
        <b/>
        <i val="0"/>
        <color theme="0"/>
      </font>
      <fill>
        <patternFill>
          <bgColor theme="7" tint="0.39994506668294322"/>
        </patternFill>
      </fill>
    </dxf>
    <dxf>
      <fill>
        <patternFill>
          <bgColor theme="6" tint="0.59996337778862885"/>
        </patternFill>
      </fill>
    </dxf>
    <dxf>
      <fill>
        <patternFill>
          <bgColor rgb="FFFFC000"/>
        </patternFill>
      </fill>
    </dxf>
    <dxf>
      <font>
        <color theme="0"/>
      </font>
      <fill>
        <patternFill>
          <bgColor theme="5" tint="-0.24994659260841701"/>
        </patternFill>
      </fill>
    </dxf>
    <dxf>
      <fill>
        <patternFill>
          <bgColor rgb="FFFF0000"/>
        </patternFill>
      </fill>
    </dxf>
    <dxf>
      <font>
        <color theme="0"/>
      </font>
      <fill>
        <patternFill>
          <bgColor rgb="FFC00000"/>
        </patternFill>
      </fill>
    </dxf>
    <dxf>
      <fill>
        <patternFill>
          <bgColor rgb="FF92D050"/>
        </patternFill>
      </fill>
    </dxf>
    <dxf>
      <fill>
        <patternFill>
          <bgColor rgb="FFFFFF00"/>
        </patternFill>
      </fill>
    </dxf>
    <dxf>
      <fill>
        <patternFill>
          <bgColor rgb="FF92D050"/>
        </patternFill>
      </fill>
    </dxf>
    <dxf>
      <font>
        <color rgb="FF9C6500"/>
      </font>
      <fill>
        <patternFill>
          <bgColor rgb="FFFFEB9C"/>
        </patternFill>
      </fill>
    </dxf>
    <dxf>
      <font>
        <color rgb="FF9C0006"/>
      </font>
      <fill>
        <patternFill>
          <bgColor rgb="FFFFC7CE"/>
        </patternFill>
      </fill>
    </dxf>
    <dxf>
      <font>
        <color theme="0"/>
      </font>
      <fill>
        <patternFill>
          <bgColor theme="5" tint="-0.24994659260841701"/>
        </patternFill>
      </fill>
    </dxf>
    <dxf>
      <fill>
        <patternFill>
          <bgColor rgb="FFFFFF00"/>
        </patternFill>
      </fill>
    </dxf>
    <dxf>
      <font>
        <b/>
        <i val="0"/>
        <color rgb="FFFFFF00"/>
      </font>
      <border>
        <left style="thin">
          <color rgb="FFC00000"/>
        </left>
        <right style="thin">
          <color rgb="FFC00000"/>
        </right>
        <top style="thin">
          <color rgb="FFC00000"/>
        </top>
        <bottom style="thin">
          <color rgb="FFC00000"/>
        </bottom>
        <vertical/>
        <horizontal/>
      </border>
    </dxf>
    <dxf>
      <font>
        <color rgb="FF9C6500"/>
      </font>
      <fill>
        <patternFill>
          <bgColor rgb="FFFFEB9C"/>
        </patternFill>
      </fill>
    </dxf>
    <dxf>
      <fill>
        <patternFill>
          <bgColor rgb="FF92D050"/>
        </patternFill>
      </fill>
    </dxf>
    <dxf>
      <fill>
        <patternFill>
          <bgColor rgb="FFFF0000"/>
        </patternFill>
      </fill>
    </dxf>
    <dxf>
      <font>
        <color theme="0"/>
      </font>
      <fill>
        <patternFill>
          <bgColor rgb="FFFF0000"/>
        </patternFill>
      </fill>
    </dxf>
    <dxf>
      <font>
        <color theme="0"/>
      </font>
      <fill>
        <patternFill>
          <bgColor rgb="FFFF0000"/>
        </patternFill>
      </fill>
    </dxf>
    <dxf>
      <font>
        <color rgb="FF9C6500"/>
      </font>
      <fill>
        <patternFill>
          <bgColor rgb="FFFFEB9C"/>
        </patternFill>
      </fill>
    </dxf>
    <dxf>
      <font>
        <color rgb="FF9C0006"/>
      </font>
      <fill>
        <patternFill>
          <bgColor rgb="FFFFC7CE"/>
        </patternFill>
      </fill>
    </dxf>
    <dxf>
      <fill>
        <patternFill>
          <bgColor rgb="FFFF6600"/>
        </patternFill>
      </fill>
    </dxf>
    <dxf>
      <font>
        <color rgb="FF9C6500"/>
      </font>
      <fill>
        <patternFill>
          <bgColor rgb="FFFFEB9C"/>
        </patternFill>
      </fill>
    </dxf>
    <dxf>
      <fill>
        <patternFill>
          <bgColor theme="9" tint="0.39994506668294322"/>
        </patternFill>
      </fill>
    </dxf>
    <dxf>
      <font>
        <color rgb="FF9C0006"/>
      </font>
      <fill>
        <patternFill>
          <bgColor rgb="FFFFC7CE"/>
        </patternFill>
      </fill>
    </dxf>
    <dxf>
      <fill>
        <patternFill>
          <bgColor rgb="FFFFFF00"/>
        </patternFill>
      </fill>
    </dxf>
    <dxf>
      <fill>
        <patternFill>
          <bgColor rgb="FFFFC000"/>
        </patternFill>
      </fill>
    </dxf>
    <dxf>
      <font>
        <color theme="0"/>
      </font>
      <fill>
        <patternFill>
          <bgColor theme="5" tint="-0.24994659260841701"/>
        </patternFill>
      </fill>
    </dxf>
    <dxf>
      <fill>
        <patternFill>
          <bgColor rgb="FF92D050"/>
        </patternFill>
      </fill>
    </dxf>
    <dxf>
      <fill>
        <patternFill>
          <bgColor theme="8" tint="0.39994506668294322"/>
        </patternFill>
      </fill>
    </dxf>
    <dxf>
      <fill>
        <patternFill>
          <bgColor rgb="FFFFFF00"/>
        </patternFill>
      </fill>
    </dxf>
    <dxf>
      <font>
        <b/>
        <i val="0"/>
        <color theme="0"/>
      </font>
      <fill>
        <patternFill>
          <bgColor rgb="FFFF0000"/>
        </patternFill>
      </fill>
    </dxf>
    <dxf>
      <fill>
        <patternFill>
          <bgColor rgb="FF92D050"/>
        </patternFill>
      </fill>
    </dxf>
    <dxf>
      <font>
        <b/>
        <i val="0"/>
      </font>
      <fill>
        <patternFill>
          <bgColor rgb="FF92D050"/>
        </patternFill>
      </fill>
    </dxf>
    <dxf>
      <font>
        <b/>
        <i val="0"/>
        <color theme="0"/>
      </font>
      <fill>
        <patternFill>
          <bgColor rgb="FFFF0000"/>
        </patternFill>
      </fill>
    </dxf>
    <dxf>
      <font>
        <b/>
        <i val="0"/>
        <color theme="1"/>
      </font>
      <fill>
        <patternFill>
          <bgColor rgb="FFFFC000"/>
        </patternFill>
      </fill>
    </dxf>
    <dxf>
      <font>
        <color rgb="FF9C0006"/>
      </font>
      <fill>
        <patternFill>
          <bgColor rgb="FFFFC7CE"/>
        </patternFill>
      </fill>
    </dxf>
    <dxf>
      <font>
        <b/>
        <i val="0"/>
        <color theme="0"/>
      </font>
      <fill>
        <patternFill>
          <bgColor rgb="FFFF0000"/>
        </patternFill>
      </fill>
    </dxf>
    <dxf>
      <font>
        <b/>
        <i val="0"/>
        <color theme="1"/>
      </font>
      <fill>
        <patternFill>
          <bgColor rgb="FF92D050"/>
        </patternFill>
      </fill>
    </dxf>
    <dxf>
      <font>
        <color rgb="FF9C0006"/>
      </font>
      <fill>
        <patternFill>
          <bgColor rgb="FFFFC7CE"/>
        </patternFill>
      </fill>
    </dxf>
    <dxf>
      <fill>
        <gradientFill degree="270">
          <stop position="0">
            <color theme="0"/>
          </stop>
          <stop position="1">
            <color theme="8" tint="0.80001220740379042"/>
          </stop>
        </gradientFill>
      </fill>
    </dxf>
    <dxf>
      <fill>
        <gradientFill degree="270">
          <stop position="0">
            <color theme="0"/>
          </stop>
          <stop position="1">
            <color theme="8" tint="0.59999389629810485"/>
          </stop>
        </gradientFill>
      </fill>
    </dxf>
    <dxf>
      <fill>
        <gradientFill degree="270">
          <stop position="0">
            <color theme="0"/>
          </stop>
          <stop position="1">
            <color theme="9" tint="0.59999389629810485"/>
          </stop>
        </gradientFill>
      </fill>
    </dxf>
    <dxf>
      <fill>
        <gradientFill degree="270">
          <stop position="0">
            <color theme="0"/>
          </stop>
          <stop position="1">
            <color theme="8" tint="0.80001220740379042"/>
          </stop>
        </gradientFill>
      </fill>
    </dxf>
    <dxf>
      <fill>
        <gradientFill degree="90">
          <stop position="0">
            <color theme="0"/>
          </stop>
          <stop position="0.5">
            <color rgb="FF2BE7E7"/>
          </stop>
          <stop position="1">
            <color theme="0"/>
          </stop>
        </gradientFill>
      </fill>
    </dxf>
    <dxf>
      <fill>
        <gradientFill degree="270">
          <stop position="0">
            <color theme="0"/>
          </stop>
          <stop position="1">
            <color theme="9" tint="0.40000610370189521"/>
          </stop>
        </gradientFill>
      </fill>
    </dxf>
    <dxf>
      <fill>
        <gradientFill degree="90">
          <stop position="0">
            <color theme="9" tint="0.80001220740379042"/>
          </stop>
          <stop position="1">
            <color theme="9" tint="0.40000610370189521"/>
          </stop>
        </gradientFill>
      </fill>
    </dxf>
    <dxf>
      <fill>
        <gradientFill degree="270">
          <stop position="0">
            <color theme="0"/>
          </stop>
          <stop position="1">
            <color rgb="FF9FFDFF"/>
          </stop>
        </gradientFill>
      </fill>
    </dxf>
    <dxf>
      <fill>
        <patternFill>
          <bgColor theme="8" tint="0.79998168889431442"/>
        </patternFill>
      </fill>
    </dxf>
    <dxf>
      <fill>
        <patternFill>
          <bgColor theme="4" tint="0.59996337778862885"/>
        </patternFill>
      </fill>
    </dxf>
    <dxf>
      <fill>
        <patternFill>
          <bgColor theme="9" tint="0.39994506668294322"/>
        </patternFill>
      </fill>
    </dxf>
    <dxf>
      <fill>
        <patternFill>
          <bgColor theme="9" tint="0.79998168889431442"/>
        </patternFill>
      </fill>
    </dxf>
    <dxf>
      <fill>
        <gradientFill degree="90">
          <stop position="0">
            <color theme="9" tint="0.40000610370189521"/>
          </stop>
          <stop position="1">
            <color theme="9" tint="0.80001220740379042"/>
          </stop>
        </gradientFill>
      </fill>
    </dxf>
    <dxf>
      <fill>
        <patternFill>
          <bgColor theme="8" tint="0.79998168889431442"/>
        </patternFill>
      </fill>
    </dxf>
    <dxf>
      <fill>
        <patternFill>
          <bgColor theme="8" tint="0.39994506668294322"/>
        </patternFill>
      </fill>
    </dxf>
    <dxf>
      <fill>
        <patternFill>
          <bgColor theme="8" tint="0.79998168889431442"/>
        </patternFill>
      </fill>
    </dxf>
    <dxf>
      <fill>
        <gradientFill degree="90">
          <stop position="0">
            <color theme="0"/>
          </stop>
          <stop position="1">
            <color theme="4"/>
          </stop>
        </gradientFill>
      </fill>
    </dxf>
  </dxfs>
  <tableStyles count="7" defaultTableStyle="TableStyleMedium2" defaultPivotStyle="PivotStyleLight16">
    <tableStyle name="Estilo de tabla 1" pivot="0" count="4" xr9:uid="{00000000-0011-0000-FFFF-FFFF00000000}">
      <tableStyleElement type="headerRow" dxfId="5668"/>
      <tableStyleElement type="firstRowStripe" dxfId="5667"/>
      <tableStyleElement type="secondRowStripe" dxfId="5666"/>
      <tableStyleElement type="firstColumnStripe" dxfId="5665"/>
    </tableStyle>
    <tableStyle name="Estilo de tabla 2" pivot="0" count="3" xr9:uid="{00000000-0011-0000-FFFF-FFFF01000000}">
      <tableStyleElement type="headerRow" dxfId="5664"/>
      <tableStyleElement type="firstRowStripe" dxfId="5663"/>
      <tableStyleElement type="secondRowStripe" dxfId="5662"/>
    </tableStyle>
    <tableStyle name="Estilo de tabla 3" pivot="0" count="2" xr9:uid="{00000000-0011-0000-FFFF-FFFF02000000}">
      <tableStyleElement type="headerRow" dxfId="5661"/>
      <tableStyleElement type="firstRowStripe" dxfId="5660"/>
    </tableStyle>
    <tableStyle name="Estilo de tabla 4" pivot="0" count="0" xr9:uid="{00000000-0011-0000-FFFF-FFFF03000000}"/>
    <tableStyle name="Estilo de tabla 5" pivot="0" count="2" xr9:uid="{00000000-0011-0000-FFFF-FFFF04000000}">
      <tableStyleElement type="wholeTable" dxfId="5659"/>
      <tableStyleElement type="headerRow" dxfId="5658"/>
    </tableStyle>
    <tableStyle name="Estilo de tabla 6" pivot="0" count="3" xr9:uid="{00000000-0011-0000-FFFF-FFFF05000000}">
      <tableStyleElement type="headerRow" dxfId="5657"/>
      <tableStyleElement type="firstRowStripe" dxfId="5656"/>
      <tableStyleElement type="secondRowStripe" dxfId="5655"/>
    </tableStyle>
    <tableStyle name="Estilo de tabla 7" pivot="0" count="3" xr9:uid="{00000000-0011-0000-FFFF-FFFF06000000}">
      <tableStyleElement type="headerRow" dxfId="5654"/>
      <tableStyleElement type="firstRowStripe" dxfId="5653"/>
      <tableStyleElement type="secondRowStripe" dxfId="5652"/>
    </tableStyle>
  </tableStyles>
  <colors>
    <mruColors>
      <color rgb="FFCC0000"/>
      <color rgb="FFFF66CC"/>
      <color rgb="FFFFFF00"/>
      <color rgb="FFFFFF66"/>
      <color rgb="FFFFFF99"/>
      <color rgb="FFFF0066"/>
      <color rgb="FF31869B"/>
      <color rgb="FFFFAD53"/>
      <color rgb="FF2BE7E7"/>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calcChain" Target="calcChain.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WINDOWS10/Downloads/BASE%20CPN%202022%20formato3%20-%20prueb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VO"/>
      <sheetName val="INDICADORES"/>
      <sheetName val="CPN 2022"/>
    </sheetNames>
    <sheetDataSet>
      <sheetData sheetId="0"/>
      <sheetData sheetId="1"/>
      <sheetData sheetId="2"/>
    </sheetDataSet>
  </externalBook>
</externalLink>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A2:NX248" totalsRowShown="0" headerRowDxfId="421" dataDxfId="419" headerRowBorderDxfId="420" headerRowCellStyle="Énfasis5" dataCellStyle="Normal 2">
  <autoFilter ref="A2:NX248" xr:uid="{00000000-000C-0000-FFFF-FFFF00000000}"/>
  <tableColumns count="388">
    <tableColumn id="101" xr3:uid="{00000000-0010-0000-0000-000065000000}" name="OBSERVACIONES PARA SEGUIMIENTO" dataDxfId="418"/>
    <tableColumn id="1" xr3:uid="{00000000-0010-0000-0000-000001000000}" name=" RESPONSABLE DE LA ZONA" dataDxfId="417"/>
    <tableColumn id="77" xr3:uid="{00000000-0010-0000-0000-00004D000000}" name="PUNTO O CENTRO DE ATENCION" dataDxfId="416"/>
    <tableColumn id="2" xr3:uid="{00000000-0010-0000-0000-000002000000}" name="ATENCIÓN PRECONCEPCIONAL" dataDxfId="415"/>
    <tableColumn id="3" xr3:uid="{00000000-0010-0000-0000-000003000000}" name="APELLIDO" dataDxfId="414"/>
    <tableColumn id="4" xr3:uid="{00000000-0010-0000-0000-000004000000}" name="APELLIDO 2" dataDxfId="413"/>
    <tableColumn id="5" xr3:uid="{00000000-0010-0000-0000-000005000000}" name="NOMBRE 1" dataDxfId="412"/>
    <tableColumn id="6" xr3:uid="{00000000-0010-0000-0000-000006000000}" name="NOMBRE 2" dataDxfId="411"/>
    <tableColumn id="7" xr3:uid="{00000000-0010-0000-0000-000007000000}" name="TIPO DE DOCUMENTO" dataDxfId="410"/>
    <tableColumn id="8" xr3:uid="{00000000-0010-0000-0000-000008000000}" name="No DE IDENTIFICACION" dataDxfId="409"/>
    <tableColumn id="9" xr3:uid="{00000000-0010-0000-0000-000009000000}" name="ESTADO CIVIL" dataDxfId="408"/>
    <tableColumn id="10" xr3:uid="{00000000-0010-0000-0000-00000A000000}" name="OCUPACION" dataDxfId="407"/>
    <tableColumn id="11" xr3:uid="{00000000-0010-0000-0000-00000B000000}" name="FECHA DE NACIMIENTO" dataDxfId="406" dataCellStyle="Normal 2"/>
    <tableColumn id="12" xr3:uid="{00000000-0010-0000-0000-00000C000000}" name="EDAD ACTUAL" dataDxfId="405" dataCellStyle="Normal 2">
      <calculatedColumnFormula>IF(M3&gt;0,SUM(TODAY()-M3)/365,"")</calculatedColumnFormula>
    </tableColumn>
    <tableColumn id="13" xr3:uid="{00000000-0010-0000-0000-00000D000000}" name="FECHA DE IDENTIFICACION DE LA GESTANTE" dataDxfId="404" dataCellStyle="Normal 2"/>
    <tableColumn id="14" xr3:uid="{00000000-0010-0000-0000-00000E000000}" name="EFECTIVIDAD DEMANDA" dataDxfId="403" dataCellStyle="Normal 2">
      <calculatedColumnFormula>IF(AND(O3="",R3&gt;0),"ACUDE ESPONTANEAMENTE",IF(AND(AND(O3&gt;0,R3=""),OR(IN3&gt;0,IK3&lt;&gt;"")),"NA",IF(AND(O3&gt;0,IN3="",R3=""),"NO",IF(AND(O3&gt;0,R3&gt;0),"SI",""))))</calculatedColumnFormula>
    </tableColumn>
    <tableColumn id="15" xr3:uid="{00000000-0010-0000-0000-00000F000000}" name="NOVEDAD AL MOMENTO DE LA IDENTIFICACIÓN Y/O CAPTACIÓN " dataDxfId="402" dataCellStyle="Normal 2"/>
    <tableColumn id="16" xr3:uid="{00000000-0010-0000-0000-000010000000}" name="FECHA CONSULTA PRIMERA VEZ PROGRAMA CPN " dataDxfId="401" dataCellStyle="Normal 2"/>
    <tableColumn id="24" xr3:uid="{00000000-0010-0000-0000-000018000000}" name="REGIMEN" dataDxfId="400" dataCellStyle="Normal 2"/>
    <tableColumn id="25" xr3:uid="{00000000-0010-0000-0000-000019000000}" name="ASEGURADORA" dataDxfId="399" dataCellStyle="Normal 2"/>
    <tableColumn id="26" xr3:uid="{00000000-0010-0000-0000-00001A000000}" name="MUNICIPIO DE RESIDENCIA" dataDxfId="398" dataCellStyle="Normal 2"/>
    <tableColumn id="27" xr3:uid="{00000000-0010-0000-0000-00001B000000}" name="ZONA DE RESIDENCIA" dataDxfId="397" dataCellStyle="Normal 2"/>
    <tableColumn id="28" xr3:uid="{00000000-0010-0000-0000-00001C000000}" name="VEREDA/BARRIO" dataDxfId="396" dataCellStyle="Normal 2"/>
    <tableColumn id="29" xr3:uid="{00000000-0010-0000-0000-00001D000000}" name="DIRECCION - (ESPECIFICAR UBICACIÓN EN VEREDA)" dataDxfId="395" dataCellStyle="Normal 2"/>
    <tableColumn id="30" xr3:uid="{00000000-0010-0000-0000-00001E000000}" name="RESGUARDO / CORREGIMIENTO / COMUNA / LOCALIDAD" dataDxfId="394" dataCellStyle="Normal 2"/>
    <tableColumn id="31" xr3:uid="{00000000-0010-0000-0000-00001F000000}" name="TELEFONO FIJO O CELULAR" dataDxfId="393" dataCellStyle="Normal 2"/>
    <tableColumn id="32" xr3:uid="{00000000-0010-0000-0000-000020000000}" name="TIPO DE ETNIA" dataDxfId="392" dataCellStyle="Normal 2"/>
    <tableColumn id="33" xr3:uid="{00000000-0010-0000-0000-000021000000}" name="PUEBLO INDIGENA ESPECIFICO" dataDxfId="391" dataCellStyle="Normal 2"/>
    <tableColumn id="34" xr3:uid="{00000000-0010-0000-0000-000022000000}" name="ESTUDIOS" dataDxfId="390" dataCellStyle="Normal 2"/>
    <tableColumn id="68" xr3:uid="{00000000-0010-0000-0000-000044000000}" name="USO DE SUSTANCIAS PSICOACTIVAS" dataDxfId="389" dataCellStyle="Normal 2"/>
    <tableColumn id="35" xr3:uid="{00000000-0010-0000-0000-000023000000}" name="EMBARAZO ACEPTADO Y/O  DESEADO" dataDxfId="388" dataCellStyle="Normal 2"/>
    <tableColumn id="36" xr3:uid="{00000000-0010-0000-0000-000024000000}" name="APOYO FAMILIAR" dataDxfId="387" dataCellStyle="Normal 2"/>
    <tableColumn id="37" xr3:uid="{00000000-0010-0000-0000-000025000000}" name="NIVEL SOCIO ECONOMICO BAJO" dataDxfId="386" dataCellStyle="Normal 2"/>
    <tableColumn id="38" xr3:uid="{00000000-0010-0000-0000-000026000000}" name="ANSIEDAD (Tensión emocional, Humor depresivo y sx angustia)." dataDxfId="385" dataCellStyle="Normal 2"/>
    <tableColumn id="39" xr3:uid="{00000000-0010-0000-0000-000027000000}" name="GRUPO DE POBLACION ESPECIAL" dataDxfId="384" dataCellStyle="Normal 2"/>
    <tableColumn id="40" xr3:uid="{00000000-0010-0000-0000-000028000000}" name="HA SIDO VICTIMA DE VIOLENCIA BASADA EN GENERO" dataDxfId="383" dataCellStyle="Normal 2"/>
    <tableColumn id="41" xr3:uid="{00000000-0010-0000-0000-000029000000}" name="RIESGO PSICOSOCIAL" dataDxfId="382">
      <calculatedColumnFormula>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calculatedColumnFormula>
    </tableColumn>
    <tableColumn id="43" xr3:uid="{00000000-0010-0000-0000-00002B000000}" name="ANTECEDENTE. HIPERTENSION INDUCIDA POR EL EMBARAZO O PREECLAMPSIA/ECLAMPSIA" dataDxfId="381" dataCellStyle="Normal 2"/>
    <tableColumn id="44" xr3:uid="{00000000-0010-0000-0000-00002C000000}" name="ANTECEDENTE. PLACENTA PREVIA, ABRUPTIO DE PLACENTA, RETENCION PLACENTARIA, O HEMORRAGIA POSTPARTO" dataDxfId="380" dataCellStyle="Normal 2"/>
    <tableColumn id="45" xr3:uid="{00000000-0010-0000-0000-00002D000000}" name="ANTECEDENTE. PESO BEBE MENOR A  2500" dataDxfId="379" dataCellStyle="Normal 2"/>
    <tableColumn id="399" xr3:uid="{00000000-0010-0000-0000-00008F010000}" name="ANTECEDENTE. PESO BEBE MAYOR A 4000" dataDxfId="378"/>
    <tableColumn id="47" xr3:uid="{00000000-0010-0000-0000-00002F000000}" name="ANTECEDENTE PARTO PRETERMINO" dataDxfId="377" dataCellStyle="Normal 2"/>
    <tableColumn id="48" xr3:uid="{00000000-0010-0000-0000-000030000000}" name="ANTECEDENTE. Trabajo de Parto PROLONGADO/PARTO DIFICIL" dataDxfId="376" dataCellStyle="Normal 2"/>
    <tableColumn id="49" xr3:uid="{00000000-0010-0000-0000-000031000000}" name="ANTECEDENTE. FLIAR PREECLAMPSIA" dataDxfId="375" dataCellStyle="Normal 2"/>
    <tableColumn id="51" xr3:uid="{00000000-0010-0000-0000-000033000000}" name="ANTECEDENTE GRAVIDA" dataDxfId="374" dataCellStyle="Normal 2"/>
    <tableColumn id="52" xr3:uid="{00000000-0010-0000-0000-000034000000}" name="ANTECEDENTE PARTOS" dataDxfId="373" dataCellStyle="Normal 2"/>
    <tableColumn id="53" xr3:uid="{00000000-0010-0000-0000-000035000000}" name="ANTECEDENTE ABORTOS" dataDxfId="372" dataCellStyle="Normal 2"/>
    <tableColumn id="54" xr3:uid="{00000000-0010-0000-0000-000036000000}" name="ANTE. 3 ABORTOS SEGUIDOS O INFERTILIDAD" dataDxfId="371" dataCellStyle="Normal 2"/>
    <tableColumn id="55" xr3:uid="{00000000-0010-0000-0000-000037000000}" name="ANTECEDENTE CESAREAS" dataDxfId="370" dataCellStyle="Normal 2"/>
    <tableColumn id="56" xr3:uid="{00000000-0010-0000-0000-000038000000}" name="ANTECEDENTE OBITO FETAL Y/O MUERTE PERINATAL NEONATAL TEMPRANA" dataDxfId="369" dataCellStyle="Normal 2"/>
    <tableColumn id="57" xr3:uid="{00000000-0010-0000-0000-000039000000}" name="ANTECEDENTE EMBARAZO ECTOPICO, RECANALIZACION DE TROMPAS O CX UTERINA (MIOMECTOMIA)" dataDxfId="368" dataCellStyle="Normal 2"/>
    <tableColumn id="58" xr3:uid="{00000000-0010-0000-0000-00003A000000}" name="ANTECEDENTE EMBARAZO MOLAR" dataDxfId="367" dataCellStyle="Normal 2"/>
    <tableColumn id="59" xr3:uid="{00000000-0010-0000-0000-00003B000000}" name="ANTECEDENTE MUERTE NEONATAL TARDIA" dataDxfId="366" dataCellStyle="Normal 2"/>
    <tableColumn id="222" xr3:uid="{00000000-0010-0000-0000-0000DE000000}" name="TIENE VIH PRE GESTACIONAL" dataDxfId="365"/>
    <tableColumn id="217" xr3:uid="{00000000-0010-0000-0000-0000D9000000}" name="TIENE EPILEPSIA" dataDxfId="364"/>
    <tableColumn id="64" xr3:uid="{00000000-0010-0000-0000-000040000000}" name="TIENE ENFERMEDADES AUTOINMUNES" dataDxfId="363" dataCellStyle="Normal 2"/>
    <tableColumn id="65" xr3:uid="{00000000-0010-0000-0000-000041000000}" name="TIENE DIABETES MELLITUS" dataDxfId="362" dataCellStyle="Normal 2"/>
    <tableColumn id="66" xr3:uid="{00000000-0010-0000-0000-000042000000}" name="TIENE ENFERMEDAD CARDIACA" dataDxfId="361" dataCellStyle="Normal 2"/>
    <tableColumn id="315" xr3:uid="{00000000-0010-0000-0000-00003B010000}" name="TIENE HTA CRONICA" dataDxfId="360" dataCellStyle="Normal 2"/>
    <tableColumn id="305" xr3:uid="{00000000-0010-0000-0000-000031010000}" name="TIENE ENF RENAL CRONICA" dataDxfId="359" dataCellStyle="Normal 2"/>
    <tableColumn id="74" xr3:uid="{00000000-0010-0000-0000-00004A000000}" name="EN EMB ACTUAL ENFERMEDADES INFECCIOSAS AGUDAS(BACTERIANAS)" dataDxfId="358" dataCellStyle="Normal 2"/>
    <tableColumn id="400" xr3:uid="{00000000-0010-0000-0000-000090010000}" name="EMB ACTUAL REPRODUCCIÓN ASISTIDA " dataDxfId="357"/>
    <tableColumn id="76" xr3:uid="{00000000-0010-0000-0000-00004C000000}" name="EN EMB ACTUAL ANOMALIA CONGÉNITA" dataDxfId="356" dataCellStyle="Normal 2"/>
    <tableColumn id="79" xr3:uid="{00000000-0010-0000-0000-00004F000000}" name=" EN EMB ACTUAL HEMORRAGIA VAGINAL &gt; 20 SEM22" dataDxfId="355" dataCellStyle="Normal 2"/>
    <tableColumn id="81" xr3:uid="{00000000-0010-0000-0000-000051000000}" name="EN EMB ACTUAL HEMORRAGIA VAGINAL &lt; 20 SEM" dataDxfId="354" dataCellStyle="Normal 2"/>
    <tableColumn id="87" xr3:uid="{00000000-0010-0000-0000-000057000000}" name="FECHA TERMINACIÓN ÚLTIMO EMBARAZO" dataDxfId="353" dataCellStyle="Normal 2"/>
    <tableColumn id="89" xr3:uid="{00000000-0010-0000-0000-000059000000}" name="FUM x AMENORREA" dataDxfId="352" dataCellStyle="Normal 2"/>
    <tableColumn id="90" xr3:uid="{00000000-0010-0000-0000-00005A000000}" name="FUM FORMULA CONFIABLE" dataDxfId="351" dataCellStyle="Normal 2"/>
    <tableColumn id="20" xr3:uid="{00000000-0010-0000-0000-000014000000}" name="PERIODO INTERGENESICO (MESES)" dataDxfId="350" dataCellStyle="Normal 2">
      <calculatedColumnFormula>IF(OR(BN3="SD",RW3=""),"",IF(BN3="",0,SUM(RW3-BN3)/30))</calculatedColumnFormula>
    </tableColumn>
    <tableColumn id="19" xr3:uid="{00000000-0010-0000-0000-000013000000}" name="FUM X ECO 1" dataDxfId="349" dataCellStyle="Normal 2">
      <calculatedColumnFormula>IF(BX3&gt;0,SUM(BW3-NH3),"")</calculatedColumnFormula>
    </tableColumn>
    <tableColumn id="94" xr3:uid="{00000000-0010-0000-0000-00005E000000}" name="SEMANAS DE GESTACION AL INGRESO" dataDxfId="348" dataCellStyle="Normal 2">
      <calculatedColumnFormula>IF(AND(BP3="Corregida",BO3&gt;0,R3&gt;0,ISBLANK(BX3)),"SIN SEMANAS X ECO",IF(AND(BP3="Corregida",BO3&gt;0,R3&gt;0),SUM(R3-BR3)/7,IF(AND(OR(BP3="SI",BP3="NO"),BO3&gt;0,R3&gt;0),SUM(R3-BO3)/7,"")))</calculatedColumnFormula>
    </tableColumn>
    <tableColumn id="95" xr3:uid="{00000000-0010-0000-0000-00005F000000}" name="TRIMESTRE DE  INGRESO AL CPN" dataDxfId="347" dataCellStyle="Normal 2">
      <calculatedColumnFormula>IF(AND(BS3="",IG3=""),"",IF(AND(BS3="",IG3="DEFINIR FPP POR ECO"),"SIN DATO",IF(BS3&lt;0,"ERROR FUM O INGRESO O ECO",IF(BP3="NO","DEFINIR CON ECO",IF(BS3&lt;10,"I TRIM",IF(BS3&lt;27,"II TRIM",IF(AND(BS3&gt;26,BS3&lt;45),"III TRIM","ERROR FUM O INGRESO O ECO")))))))</calculatedColumnFormula>
    </tableColumn>
    <tableColumn id="96" xr3:uid="{00000000-0010-0000-0000-000060000000}" name="SEMANAS DE GESTACION ACTUALIZADAS" dataDxfId="346" dataCellStyle="Normal 2">
      <calculatedColumnFormula>IF(AND(BO3="",BR3=""),"",IF(SUM((TODAY()-RW3)/7)&gt;43.1,"",IF(AND(RW3&gt;0,OR(BP3="si",BP3="Corregida",BP3="NO")),SUM((TODAY()-RW3)/7),"")))</calculatedColumnFormula>
    </tableColumn>
    <tableColumn id="212" xr3:uid="{00000000-0010-0000-0000-0000D4000000}" name="Tipo de ECO 1" dataDxfId="345" dataCellStyle="Normal 2"/>
    <tableColumn id="99" xr3:uid="{00000000-0010-0000-0000-000063000000}" name="FECHA ECO 1" dataDxfId="344" dataCellStyle="Normal 2"/>
    <tableColumn id="100" xr3:uid="{00000000-0010-0000-0000-000064000000}" name="SEMANAS GESTACION ECO 1" dataDxfId="343" dataCellStyle="Normal 2"/>
    <tableColumn id="216" xr3:uid="{00000000-0010-0000-0000-0000D8000000}" name="Tipo de ECO 2" dataDxfId="342" dataCellStyle="Normal 2"/>
    <tableColumn id="104" xr3:uid="{00000000-0010-0000-0000-000068000000}" name="FECHA ECO 2" dataDxfId="341" dataCellStyle="Normal 2"/>
    <tableColumn id="105" xr3:uid="{00000000-0010-0000-0000-000069000000}" name="SEMANAS GESTACION ECO 2" dataDxfId="340" dataCellStyle="Normal 2"/>
    <tableColumn id="279" xr3:uid="{00000000-0010-0000-0000-000017010000}" name="EN EMB. ACTUAL  RESTRICCIÓN DEL CRECIMIENTO INTRAUTERINO" dataDxfId="339" dataCellStyle="Normal 2"/>
    <tableColumn id="280" xr3:uid="{00000000-0010-0000-0000-000018010000}" name="TIENE EMB. MUTIPLE ACTUAL " dataDxfId="338" dataCellStyle="Normal 2"/>
    <tableColumn id="287" xr3:uid="{00000000-0010-0000-0000-00001F010000}" name="PRESENTACION DEL FETO - ACTUALIZAR DESPUÉS DE LA SEMANA 32" dataDxfId="337" dataCellStyle="Normal 2"/>
    <tableColumn id="293" xr3:uid="{00000000-0010-0000-0000-000025010000}" name="TIENE POLIHIDRAMNIOS" dataDxfId="336" dataCellStyle="Normal 2"/>
    <tableColumn id="110" xr3:uid="{00000000-0010-0000-0000-00006E000000}" name="MOMENTO EN QUE SE REALIZA EL PESO AL INGRESO A CPN" dataDxfId="335" dataCellStyle="Normal 2"/>
    <tableColumn id="111" xr3:uid="{00000000-0010-0000-0000-00006F000000}" name="TALLA EN Mts     " dataDxfId="334" dataCellStyle="Normal 2"/>
    <tableColumn id="112" xr3:uid="{00000000-0010-0000-0000-000070000000}" name="PESO EN Kg INGRESO O PRE GESTACIONAL" dataDxfId="333" dataCellStyle="Normal 2"/>
    <tableColumn id="113" xr3:uid="{00000000-0010-0000-0000-000071000000}" name="IMC" dataDxfId="332" dataCellStyle="Normal 2">
      <calculatedColumnFormula>IF(AND(OR(O3&gt;0,R3&gt;0),CG3=""),"SD",IF(AND(OR(O3="",R3=""),CG3=""),"",IF(AND(OR(O3&gt;0,R3&gt;0),CG3&gt;0,CH3&gt;0),SUM(CH3)/(CG3*CG3),"X")))</calculatedColumnFormula>
    </tableColumn>
    <tableColumn id="114" xr3:uid="{00000000-0010-0000-0000-000072000000}" name="CLASIFICACION NUTRICIONAL INGRESO" dataDxfId="331" dataCellStyle="Normal 2">
      <calculatedColumnFormula>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calculatedColumnFormula>
    </tableColumn>
    <tableColumn id="120" xr3:uid="{00000000-0010-0000-0000-000078000000}" name="FECHA DEL ÚLTIMO CONTROL" dataDxfId="330" dataCellStyle="Normal 2">
      <calculatedColumnFormula>DY3</calculatedColumnFormula>
    </tableColumn>
    <tableColumn id="121" xr3:uid="{00000000-0010-0000-0000-000079000000}" name="PESO EN Kg  (ACTUALIZAR CADA MES)" dataDxfId="329" dataCellStyle="Normal 2"/>
    <tableColumn id="123" xr3:uid="{00000000-0010-0000-0000-00007B000000}" name="IMC ÚLTIMO CPN" dataDxfId="328" dataCellStyle="Normal 2">
      <calculatedColumnFormula>IF(AND(OR(O3&gt;0,R3&gt;0),CG3=""),"SD",IF(AND(OR(O3="",R3=""),CG3=""),"",IF(AND(OR(O3&gt;0,R3&gt;0),CG3&gt;0),SUM(CL3)/(CG3*CG3),"X")))</calculatedColumnFormula>
    </tableColumn>
    <tableColumn id="124" xr3:uid="{00000000-0010-0000-0000-00007C000000}" name="SEMANAS DE GESTACION ULTIMO CPN" dataDxfId="327" dataCellStyle="Normal 2">
      <calculatedColumnFormula>DZ3</calculatedColumnFormula>
    </tableColumn>
    <tableColumn id="125" xr3:uid="{00000000-0010-0000-0000-00007D000000}" name="CLASIFICACION SEGÚN CURVA ATALAH - ÚLTIMO CPN" dataDxfId="326" dataCellStyle="Normal 2">
      <calculatedColumnFormula>IF(PI3="","",IF(PI3&gt;0,HLOOKUP(PI3,$PJ$2:QQ3,NY3),""))</calculatedColumnFormula>
    </tableColumn>
    <tableColumn id="117" xr3:uid="{00000000-0010-0000-0000-000075000000}" name="ALTURA UTERINA  (En cm) ACTUALIZAR CADA MES" dataDxfId="325" dataCellStyle="Normal 2"/>
    <tableColumn id="115" xr3:uid="{00000000-0010-0000-0000-000073000000}" name="ALARMA ALTURA UTERINA" dataDxfId="324" dataCellStyle="Normal 2">
      <calculatedColumnFormula>IF(QR3="Menor","NO APLICA-MENOR 13 SEM",IF(AND(CC3="SI",CN3&gt;23),"NO APLICA- GEMELAR",IF(QR3="","",IF(QR3&gt;0,HLOOKUP(QR3,$QS$2:RU3,NY3),""))))</calculatedColumnFormula>
    </tableColumn>
    <tableColumn id="50" xr3:uid="{00000000-0010-0000-0000-000032000000}" name="T.A. SISTOLICA - ANTES DE SEMANA 12" dataDxfId="323" dataCellStyle="Normal 2"/>
    <tableColumn id="127" xr3:uid="{00000000-0010-0000-0000-00007F000000}" name="T.A. DIASTOLICA - ANTES DE SEMANA 12" dataDxfId="322" dataCellStyle="Normal 2"/>
    <tableColumn id="128" xr3:uid="{00000000-0010-0000-0000-000080000000}" name="ALARMA 1 T.A.  ANTES 12 SEMANAS" dataDxfId="321" dataCellStyle="Normal 2">
      <calculatedColumnFormula>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calculatedColumnFormula>
    </tableColumn>
    <tableColumn id="129" xr3:uid="{00000000-0010-0000-0000-000081000000}" name="T.A. SISTOLICA (Entre semana 20 y 26)" dataDxfId="320" dataCellStyle="Normal 2"/>
    <tableColumn id="130" xr3:uid="{00000000-0010-0000-0000-000082000000}" name="T.A. DIATOLICA (Entre semana 20 y 26)" dataDxfId="319" dataCellStyle="Normal 2"/>
    <tableColumn id="131" xr3:uid="{00000000-0010-0000-0000-000083000000}" name="ALARMA 2 T.A.  ENTRE SEMANA 20 Y 26 " dataDxfId="318" dataCellStyle="Normal 2">
      <calculatedColumnFormula>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calculatedColumnFormula>
    </tableColumn>
    <tableColumn id="132" xr3:uid="{00000000-0010-0000-0000-000084000000}" name="TA. SISTOLICA SEM 30 A 34" dataDxfId="317"/>
    <tableColumn id="133" xr3:uid="{00000000-0010-0000-0000-000085000000}" name="TA. DIASTOLICA SEM 30 A 34" dataDxfId="316" dataCellStyle="Normal 2"/>
    <tableColumn id="118" xr3:uid="{00000000-0010-0000-0000-000076000000}" name="ALARMA 3 T.A SEMANA 30 A 34" dataDxfId="315" dataCellStyle="Normal 2">
      <calculatedColumnFormula>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calculatedColumnFormula>
    </tableColumn>
    <tableColumn id="134" xr3:uid="{00000000-0010-0000-0000-000086000000}" name="TA SISTOLICA (ACTUALIZAR CADA MES)" dataDxfId="314" dataCellStyle="Normal 2"/>
    <tableColumn id="135" xr3:uid="{00000000-0010-0000-0000-000087000000}" name="TA DIASTOLICA (ACTUALIZAR CADA MES)" dataDxfId="313" dataCellStyle="Normal 2"/>
    <tableColumn id="136" xr3:uid="{00000000-0010-0000-0000-000088000000}" name="ALARMA T. A. MENSUAL" dataDxfId="312" dataCellStyle="Normal 2">
      <calculatedColumnFormula>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calculatedColumnFormula>
    </tableColumn>
    <tableColumn id="137" xr3:uid="{00000000-0010-0000-0000-000089000000}" name="FECHA ASESORIA EN LACTANCIA MATERNA DURANTE CPN" dataDxfId="311" dataCellStyle="Normal 2"/>
    <tableColumn id="138" xr3:uid="{00000000-0010-0000-0000-00008A000000}" name="FECHA ASESORIA EN ANTICONCEPCION DURANTE CPN" dataDxfId="310" dataCellStyle="Normal 2"/>
    <tableColumn id="139" xr3:uid="{00000000-0010-0000-0000-00008B000000}" name="FECHA C2" dataDxfId="309" dataCellStyle="Normal 2"/>
    <tableColumn id="144" xr3:uid="{00000000-0010-0000-0000-000090000000}" name="FECHA C3" dataDxfId="308" dataCellStyle="Normal 2"/>
    <tableColumn id="145" xr3:uid="{00000000-0010-0000-0000-000091000000}" name="FECHA C4" dataDxfId="307" dataCellStyle="Normal 2"/>
    <tableColumn id="146" xr3:uid="{00000000-0010-0000-0000-000092000000}" name="FECHA C5" dataDxfId="306" dataCellStyle="Normal 2"/>
    <tableColumn id="147" xr3:uid="{00000000-0010-0000-0000-000093000000}" name="FECHA C6" dataDxfId="305" dataCellStyle="Normal 2"/>
    <tableColumn id="148" xr3:uid="{00000000-0010-0000-0000-000094000000}" name="FECHA C7" dataDxfId="304" dataCellStyle="Normal 2"/>
    <tableColumn id="149" xr3:uid="{00000000-0010-0000-0000-000095000000}" name="FECHA C8" dataDxfId="303" dataCellStyle="Normal 2"/>
    <tableColumn id="150" xr3:uid="{00000000-0010-0000-0000-000096000000}" name="FECHA C9" dataDxfId="302" dataCellStyle="Normal 2"/>
    <tableColumn id="151" xr3:uid="{00000000-0010-0000-0000-000097000000}" name="FECHA C10" dataDxfId="301" dataCellStyle="Normal 2"/>
    <tableColumn id="152" xr3:uid="{00000000-0010-0000-0000-000098000000}" name="FECHA C11" dataDxfId="300" dataCellStyle="Normal 2"/>
    <tableColumn id="153" xr3:uid="{00000000-0010-0000-0000-000099000000}" name="FECHA C12" dataDxfId="299" dataCellStyle="Normal 2"/>
    <tableColumn id="83" xr3:uid="{00000000-0010-0000-0000-000053000000}" name="FECHA C13" dataDxfId="298" dataCellStyle="Normal 2"/>
    <tableColumn id="341" xr3:uid="{00000000-0010-0000-0000-000055010000}" name="CURSO DE MATERNIDAD Y PATERNIDAD" dataDxfId="297" dataCellStyle="Normal 2"/>
    <tableColumn id="342" xr3:uid="{00000000-0010-0000-0000-000056010000}" name="FECHA DE CONCERTACIÓN PLAN DE PARTO (Soporte HC)" dataDxfId="296" dataCellStyle="Normal 2"/>
    <tableColumn id="401" xr3:uid="{00000000-0010-0000-0000-000091010000}" name="ACUERDO POSIBLE LUGAR DE NACIMIENTO (SEGÚN PLAN DE PARTO)" dataDxfId="295" dataCellStyle="Normal 2"/>
    <tableColumn id="343" xr3:uid="{00000000-0010-0000-0000-000057010000}" name="ALERTA DE PLAN DE PARTO" dataDxfId="294" dataCellStyle="Normal 2">
      <calculatedColumnFormula>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calculatedColumnFormula>
    </tableColumn>
    <tableColumn id="42" xr3:uid="{00000000-0010-0000-0000-00002A000000}" name="GESTANTES ACTUALES" dataDxfId="293" dataCellStyle="Normal 2">
      <calculatedColumnFormula>IF(AND(R3&lt;&gt;"",IK3="CAMBIO DE RESIDENCIA",IK3="CAMBIO DE IPS",IK3="CAMBIO DE EPS"),"SEGUIMIENTO REPORTE EPS",IF(IK3="IVE","IVE",IF(AND(R3&lt;&gt;"",OR(IK3&lt;&gt;"",IN3&lt;&gt;"")),"SALIO PROGRAMA",IF(AND(AND(R3="",O3&gt;0),OR(IK3&lt;&gt;"",IN3&lt;&gt;"")),"SALE SIN INGRESO CPN",IF(AND(R3="",O3&gt;0,IK3="",IN3=""),"ACTIVA SIN INGRESO CPN",IF(AND(R3&lt;&gt;"",OR(IK3="",IN3="")),"ACTIVA INGRESO A CPN",""))))))</calculatedColumnFormula>
    </tableColumn>
    <tableColumn id="85" xr3:uid="{00000000-0010-0000-0000-000055000000}" name="CITA PROXIMO CONTROL" dataDxfId="292" dataCellStyle="Normal 2">
      <calculatedColumnFormula>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calculatedColumnFormula>
    </tableColumn>
    <tableColumn id="61" xr3:uid="{00000000-0010-0000-0000-00003D000000}" name="ALERTA SEGUIMIENTO" dataDxfId="291" dataCellStyle="Normal 2">
      <calculatedColumnFormula>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calculatedColumnFormula>
    </tableColumn>
    <tableColumn id="62" xr3:uid="{00000000-0010-0000-0000-00003E000000}" name="FECHA ULTIMO CPN" dataDxfId="290" dataCellStyle="Normal 2">
      <calculatedColumnFormula>IF(R3="","",IF(R3&gt;0,MAX(Tabla1[[#This Row],[FECHA C2]:[FECHA C13]],Tabla1[[#This Row],[FECHA CONSULTA PRIMERA VEZ PROGRAMA CPN ]])))</calculatedColumnFormula>
    </tableColumn>
    <tableColumn id="154" xr3:uid="{00000000-0010-0000-0000-00009A000000}" name="EDAD GESTACIONAL ÚLTIMO CPN" dataDxfId="289" dataCellStyle="Normal 2">
      <calculatedColumnFormula>IF(AND(DY3="",RW3="",R3=""),"",IF(AND(R3="",RW3&gt;0,DY3=""),"",IF(AND(R3&gt;0,DY3&lt;RW3),"REVISAR FUM O FECHA CPN",IF(AND(R3&gt;0,DY3&gt;0,RW3=""),"SD",IF(AND(R3&gt;0,DY3&gt;0,RW3&gt;0),INT(SUM(DY3-RW3)/7))))))</calculatedColumnFormula>
    </tableColumn>
    <tableColumn id="122" xr3:uid="{00000000-0010-0000-0000-00007A000000}" name="TOTAL CONTROLES" dataDxfId="288" dataCellStyle="Normal 2">
      <calculatedColumnFormula>IF(R3&gt;0,SUM(COUNTA(DF3:DQ3)+COUNTA(Tabla1[[#This Row],[FECHA CONSULTA PRIMERA VEZ PROGRAMA CPN ]])),"")</calculatedColumnFormula>
    </tableColumn>
    <tableColumn id="155" xr3:uid="{00000000-0010-0000-0000-00009B000000}" name="ADHERENCIA AL CPN" dataDxfId="287" dataCellStyle="Normal 2">
      <calculatedColumnFormula>IF(AND(EA3&gt;=0,EA3&lt;4),"NO",IF(AND(EA3&gt;=4,EA3&lt;12),"SI",""))</calculatedColumnFormula>
    </tableColumn>
    <tableColumn id="156" xr3:uid="{00000000-0010-0000-0000-00009C000000}" name="CONTROLES PROGRAMADOS " dataDxfId="286" dataCellStyle="Normal 2">
      <calculatedColumnFormula>IF(BS3="","",IF(BS3&gt;0,INT(SUM(((40-BS3)/4)+2)),"X"))</calculatedColumnFormula>
    </tableColumn>
    <tableColumn id="157" xr3:uid="{00000000-0010-0000-0000-00009D000000}" name="% CUMPLIM INDIVIDUAL" dataDxfId="285" dataCellStyle="Normal 2">
      <calculatedColumnFormula>IF(EC3="","",IF(EA3&gt;0,SUM(EA3/EC3),"X"))</calculatedColumnFormula>
    </tableColumn>
    <tableColumn id="158" xr3:uid="{00000000-0010-0000-0000-00009E000000}" name="FECHA  REMISION PSICOLOGIA" dataDxfId="284" dataCellStyle="Normal 2"/>
    <tableColumn id="159" xr3:uid="{00000000-0010-0000-0000-00009F000000}" name="FECHA ASISTENCIA A CONSULTA PSICOLOGIA" dataDxfId="283" dataCellStyle="Normal 2"/>
    <tableColumn id="160" xr3:uid="{00000000-0010-0000-0000-0000A0000000}" name="FECHA  REMISION NUTRICION" dataDxfId="282" dataCellStyle="Normal 2"/>
    <tableColumn id="161" xr3:uid="{00000000-0010-0000-0000-0000A1000000}" name="FECHA ASISTENCIA A CONSULTA NUTRICION" dataDxfId="281" dataCellStyle="Normal 2"/>
    <tableColumn id="162" xr3:uid="{00000000-0010-0000-0000-0000A2000000}" name="FECHA  REMISION GINECOLOGO" dataDxfId="280" dataCellStyle="Normal 2"/>
    <tableColumn id="163" xr3:uid="{00000000-0010-0000-0000-0000A3000000}" name="FECHA ASISTENCIA PRIMERA VEZ CON GINECOLOGÍA" dataDxfId="279" dataCellStyle="Normal 2"/>
    <tableColumn id="250" xr3:uid="{00000000-0010-0000-0000-0000FA000000}" name="FECHA ULTIMA ASISTENCIA A CONSULTA GINECO" dataDxfId="278" dataCellStyle="Normal 2"/>
    <tableColumn id="164" xr3:uid="{00000000-0010-0000-0000-0000A4000000}" name="No CONSULTAS GINECOLOGO" dataDxfId="277" dataCellStyle="Normal 2"/>
    <tableColumn id="165" xr3:uid="{00000000-0010-0000-0000-0000A5000000}" name="RESULTADO HEMOGLOBINA INGRESO, ANTES DEL III TRIMESTRE" dataDxfId="276" dataCellStyle="Normal 2"/>
    <tableColumn id="167" xr3:uid="{00000000-0010-0000-0000-0000A7000000}" name="FECHA RESULTADO HB" dataDxfId="275" dataCellStyle="Normal 2"/>
    <tableColumn id="168" xr3:uid="{00000000-0010-0000-0000-0000A8000000}" name="EDAD GESTACIONAL HB" dataDxfId="274" dataCellStyle="Normal 2">
      <calculatedColumnFormula>IF(AND(BT3="ERROR FUM O INGRESO",EN3&gt;0),"ERROR FUM O INGRESO",IF(AND(EN3="",R3="",O3=""),"",IF(OR(AND(EN3&lt;&gt;"",EN3&lt;RW3),AND(EN3&lt;&gt;"",SUM((EN3-RW3)/7)&gt;40)),"CORREGIR FECHA RESULTADO",IF(AND(EN3="",OR(O3&gt;0,R3&gt;0)),"TOMAR EXAMEN",IF(EN3&gt;0,SUM(EN3-RW3)/7,"")))))</calculatedColumnFormula>
    </tableColumn>
    <tableColumn id="169" xr3:uid="{00000000-0010-0000-0000-0000A9000000}" name="CONDUCTA HEMOGLOBINA" dataDxfId="273" dataCellStyle="Normal 2">
      <calculatedColumnFormula>IF(AND(OR(O3&gt;0,R3&gt;0),EM3=""),"",IF(AND(OR(O3&gt;0,R3&gt;0),EM3&gt;0,EM3&lt;11),"MANEJO MD POR ANEMIA FERROPENICA",IF(AND(OR(O3&gt;0,R3&gt;0),EM3&lt;=14),"NORMAL- SUMINISTRAR SULFATO FERROSO",IF(AND(OR(O3&gt;0,R3&gt;0),EM3&lt;20),"NO DAR SULFATO FERROSO",""))))</calculatedColumnFormula>
    </tableColumn>
    <tableColumn id="170" xr3:uid="{00000000-0010-0000-0000-0000AA000000}" name="TRIMESTRE DE GESTACION A LA TOMA EXAMEN" dataDxfId="272" dataCellStyle="Normal 2">
      <calculatedColumnFormula>IF(AND(EO3="",BT3=""),"",IF(AND(EO3&lt;&gt;"",BT3="SIN DATO"),"SIN DATO",IF(AND(EO3="",BT3&lt;&gt;""),"",IF(AND(EO3&lt;0,BT3&gt;0),"ERROR FUM O INGRESO",IF(EO3&lt;=13,"I TRIM",IF(EO3&lt;28,"II TRIM",IF(AND(EO3&gt;27,EO3&lt;45),"III TRIM","POR DEFINIR")))))))</calculatedColumnFormula>
    </tableColumn>
    <tableColumn id="214" xr3:uid="{00000000-0010-0000-0000-0000D6000000}" name="RESULTADO HEMOGLOBINA SEMANA 28" dataDxfId="271" dataCellStyle="Normal 2"/>
    <tableColumn id="171" xr3:uid="{00000000-0010-0000-0000-0000AB000000}" name="FECHA RESULTADO HB SEM 28" dataDxfId="270" dataCellStyle="Normal 2"/>
    <tableColumn id="172" xr3:uid="{00000000-0010-0000-0000-0000AC000000}" name="EDAD GESTACIONAL HB - SEM 28" dataDxfId="269" dataCellStyle="Normal 2">
      <calculatedColumnFormula>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calculatedColumnFormula>
    </tableColumn>
    <tableColumn id="173" xr3:uid="{00000000-0010-0000-0000-0000AD000000}" name="CONDUCTA HEMOGLOBINA10" dataDxfId="268" dataCellStyle="Normal 2">
      <calculatedColumnFormula>IF(AND(OR(O3&gt;0,R3&gt;0),ER3=""),"",IF(AND(OR(O3&gt;0,R3&gt;0),ER3&gt;0,ER3&lt;10.5),"MANEJO MD POR ANEMIA FERROPENICA",IF(AND(OR(O3&gt;0,R3&gt;0),ER3&lt;14),"NORMAL- SUMINISTRAR SULFATO FERROSO",IF(AND(OR(O3&gt;0,R3&gt;0),ER3&lt;20),"NO DAR SULFATO FERROSO",""))))</calculatedColumnFormula>
    </tableColumn>
    <tableColumn id="174" xr3:uid="{00000000-0010-0000-0000-0000AE000000}" name="RESULTADO DE HEMOCLASIFICACIÓN RH Y RIESGO DE ISOINMUNIZACIÓN" dataDxfId="267" dataCellStyle="Normal 2"/>
    <tableColumn id="221" xr3:uid="{00000000-0010-0000-0000-0000DD000000}" name="FECHA RESULTADO DE HEMOCLASIFICACIÓN RH Y RIESGO DE ISOINMUNIZACIÓN" dataDxfId="266"/>
    <tableColumn id="175" xr3:uid="{00000000-0010-0000-0000-0000AF000000}" name="FECHA APLICACIÓN DE RHESUMAN" dataDxfId="265" dataCellStyle="Normal 2"/>
    <tableColumn id="176" xr3:uid="{00000000-0010-0000-0000-0000B0000000}" name="EDAD GESTACIONAL HEMOCLASIFICACIÓN RH " dataDxfId="264" dataCellStyle="Normal 2">
      <calculatedColumnFormula>IF(AND(BT3="ERROR FUM O INGRESO",EW3&gt;0),"ERROR FUM O INGRESO",IF(AND(EW3="",R3="",O3=""),"",IF(OR(AND(EW3&lt;&gt;"",EW3&lt;RW3),AND(EW3&lt;&gt;"",SUM((EW3-RW3)/7)&gt;40)),"CORREGIR FECHA RESULTADO",IF(AND(EW3="",OR(O3&gt;0,R3&gt;0)),"TOMAR EXAMEN",IF(EW3&gt;0,SUM(EW3-RW3)/7,"")))))</calculatedColumnFormula>
    </tableColumn>
    <tableColumn id="177" xr3:uid="{00000000-0010-0000-0000-0000B1000000}" name="OBSERVACION RESULTADO DE HEMOCLASIFICACIÓN RH Y RIESGO DE ISOINMUNIZACIÓN/ SEMANA APLICACIÓN RHESUMAN" dataDxfId="263" dataCellStyle="Normal 2">
      <calculatedColumnFormula>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calculatedColumnFormula>
    </tableColumn>
    <tableColumn id="178" xr3:uid="{00000000-0010-0000-0000-0000B2000000}" name="GLICEMIA PRE " dataDxfId="262" dataCellStyle="Normal 2"/>
    <tableColumn id="179" xr3:uid="{00000000-0010-0000-0000-0000B3000000}" name="FECHA GLICEMIA" dataDxfId="261" dataCellStyle="Normal 2"/>
    <tableColumn id="180" xr3:uid="{00000000-0010-0000-0000-0000B4000000}" name="EDAD GESTACIONAL GLICEMIA" dataDxfId="260" dataCellStyle="Normal 2">
      <calculatedColumnFormula>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calculatedColumnFormula>
    </tableColumn>
    <tableColumn id="340" xr3:uid="{00000000-0010-0000-0000-000054010000}" name="PTOG. carga 75 gr PRE - VALOR" dataDxfId="259" dataCellStyle="Normal 2"/>
    <tableColumn id="185" xr3:uid="{00000000-0010-0000-0000-0000B9000000}" name="PTOG. carga 75 gr 1 HORA - VALOR" dataDxfId="258" dataCellStyle="Normal 2"/>
    <tableColumn id="186" xr3:uid="{00000000-0010-0000-0000-0000BA000000}" name="PTOG. carga 75 gr 2 HORA - VALOR" dataDxfId="257" dataCellStyle="Normal 2"/>
    <tableColumn id="187" xr3:uid="{00000000-0010-0000-0000-0000BB000000}" name="PTOG. carga 75 gr - RESULTADO" dataDxfId="256" dataCellStyle="Normal 2">
      <calculatedColumnFormula>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calculatedColumnFormula>
    </tableColumn>
    <tableColumn id="188" xr3:uid="{00000000-0010-0000-0000-0000BC000000}" name="FECHA TOMA EXAMEN PTOG" dataDxfId="255" dataCellStyle="Normal 2"/>
    <tableColumn id="189" xr3:uid="{00000000-0010-0000-0000-0000BD000000}" name="EDAD GESTACIONAL P.T.O.G" dataDxfId="254" dataCellStyle="Normal 2">
      <calculatedColumnFormula>IF(AND(BT3="ERROR FUM O INGRESO",FH3&gt;0),"ERROR FUM O INGRESO",IF(AND(FH3="",R3="",O3=""),"",IF(OR(AND(FH3&lt;&gt;"",FH3&lt;RW3),AND(FH3&lt;&gt;"",SUM((FH3-RW3)/7)&gt;40)),"CORREGIR FECHA RESULTADO",IF(AND(FH3="",OR(O3&gt;0,R3&gt;0)),"TOMAR EXAMEN",IF(FH3&gt;0,SUM(FH3-RW3)/7,"")))))</calculatedColumnFormula>
    </tableColumn>
    <tableColumn id="190" xr3:uid="{00000000-0010-0000-0000-0000BE000000}" name="TAMIZAJE  PARA SIFILIS  SEGÚN GPC SIFILIS I TRIMESTRE" dataDxfId="253" dataCellStyle="Normal 2"/>
    <tableColumn id="200" xr3:uid="{00000000-0010-0000-0000-0000C8000000}" name="FECHA RESULTADO I TRIM" dataDxfId="252" dataCellStyle="Normal 2"/>
    <tableColumn id="201" xr3:uid="{00000000-0010-0000-0000-0000C9000000}" name="ALARMA TAMIZAJE SIFILIS I TRIMESTRE" dataDxfId="251" dataCellStyle="Normal 2">
      <calculatedColumnFormula>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calculatedColumnFormula>
    </tableColumn>
    <tableColumn id="202" xr3:uid="{00000000-0010-0000-0000-0000CA000000}" name="TAMIZAJE  PARA SIFILIS  SEGÚN GPC SIFILIS II TRIMESTRE" dataDxfId="250" dataCellStyle="Normal 2"/>
    <tableColumn id="203" xr3:uid="{00000000-0010-0000-0000-0000CB000000}" name="FECHA RESULTADO PR-  II TRIM" dataDxfId="249" dataCellStyle="Normal 2"/>
    <tableColumn id="204" xr3:uid="{00000000-0010-0000-0000-0000CC000000}" name="ALARMA TAMIZAJE SIFILIS II TRIMESTRE2" dataDxfId="248" dataCellStyle="Normal 2">
      <calculatedColumnFormula>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calculatedColumnFormula>
    </tableColumn>
    <tableColumn id="205" xr3:uid="{00000000-0010-0000-0000-0000CD000000}" name="TAMIZAJE  PARA SIFILIS  SEGÚN GPC SIFILIS III TRIMESTRE" dataDxfId="247" dataCellStyle="Normal 2"/>
    <tableColumn id="206" xr3:uid="{00000000-0010-0000-0000-0000CE000000}" name="FECHA RESULTADO PR-  III TRIM" dataDxfId="246" dataCellStyle="Normal 2"/>
    <tableColumn id="207" xr3:uid="{00000000-0010-0000-0000-0000CF000000}" name="ALARMA TAMIZAJE SIFILIS III TRIMESTRE22" dataDxfId="245" dataCellStyle="Normal 2">
      <calculatedColumnFormula>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calculatedColumnFormula>
    </tableColumn>
    <tableColumn id="208" xr3:uid="{00000000-0010-0000-0000-0000D0000000}" name="TAMIZAJE  PARA SIFILIS  SEGÚN GPC SIFILIS INTRAPARTO" dataDxfId="244" dataCellStyle="Normal 2"/>
    <tableColumn id="209" xr3:uid="{00000000-0010-0000-0000-0000D1000000}" name="FECHA RESULTADO PR INTRAPARTO" dataDxfId="243" dataCellStyle="Normal 2"/>
    <tableColumn id="210" xr3:uid="{00000000-0010-0000-0000-0000D2000000}" name="ALARMA CONSOLIDADA CASOS SIFILIS GESTACIONAL" dataDxfId="242" dataCellStyle="Normal 2">
      <calculatedColumnFormula>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calculatedColumnFormula>
    </tableColumn>
    <tableColumn id="218" xr3:uid="{00000000-0010-0000-0000-0000DA000000}" name="RESULTADO UROCULTIVO " dataDxfId="241" dataCellStyle="Normal 2"/>
    <tableColumn id="219" xr3:uid="{00000000-0010-0000-0000-0000DB000000}" name="FECHA RESULTADO UROCULTIVO" dataDxfId="240" dataCellStyle="Normal 2"/>
    <tableColumn id="220" xr3:uid="{00000000-0010-0000-0000-0000DC000000}" name="EDAD GESTACIONAL UROCULTIVO" dataDxfId="239" dataCellStyle="Normal 2">
      <calculatedColumnFormula>IF(AND(BT3="ERROR FUM O INGRESO",FW3&gt;0),"ERROR FUM O INGRESO",IF(AND(FW3="",R3="",O3=""),"",IF(OR(AND(FW3&lt;&gt;"",FW3&lt;RW3),AND(FW3&lt;&gt;"",SUM((FW3-RW3)/7)&gt;40)),"CORREGIR FECHA RESULTADO",IF(AND(FW3="",OR(O3&gt;0,R3&gt;0)),"TOMAR EXAMEN",IF(FW3&gt;0,SUM(FW3-RW3)/7,"")))))</calculatedColumnFormula>
    </tableColumn>
    <tableColumn id="223" xr3:uid="{00000000-0010-0000-0000-0000DF000000}" name="TAMIZAJE  PARA VIH I TRIM" dataDxfId="238" dataCellStyle="Normal 2"/>
    <tableColumn id="224" xr3:uid="{00000000-0010-0000-0000-0000E0000000}" name="FECHA RESULTADO TAMIZAJE VIH I TRIMESTRE" dataDxfId="237" dataCellStyle="Normal 2"/>
    <tableColumn id="225" xr3:uid="{00000000-0010-0000-0000-0000E1000000}" name="ALARMA TAMIZAJE VIH - I TRIM" dataDxfId="236" dataCellStyle="Normal 2">
      <calculatedColumnFormula>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calculatedColumnFormula>
    </tableColumn>
    <tableColumn id="226" xr3:uid="{00000000-0010-0000-0000-0000E2000000}" name="TAMIZAJE  PARA VIH II TRIM" dataDxfId="235" dataCellStyle="Normal 2"/>
    <tableColumn id="103" xr3:uid="{00000000-0010-0000-0000-000067000000}" name="FECHA RESULTADO TAMIZAJE VIH II TRIM" dataDxfId="234" dataCellStyle="Normal 2"/>
    <tableColumn id="345" xr3:uid="{00000000-0010-0000-0000-000059010000}" name="ALARMA TAMIZAJE VIH - II TRIM" dataDxfId="233" dataCellStyle="Normal 2">
      <calculatedColumnFormula>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calculatedColumnFormula>
    </tableColumn>
    <tableColumn id="106" xr3:uid="{00000000-0010-0000-0000-00006A000000}" name="TAMIZAJE  PARA VIH III TRIM" dataDxfId="232" dataCellStyle="Normal 2"/>
    <tableColumn id="228" xr3:uid="{00000000-0010-0000-0000-0000E4000000}" name="FECHA RESULTADO TAMIZAJE VIH III TRIM" dataDxfId="231" dataCellStyle="Normal 2"/>
    <tableColumn id="229" xr3:uid="{00000000-0010-0000-0000-0000E5000000}" name="ALARMA TAMIZAJE VIH - III TRIM" dataDxfId="230" dataCellStyle="Normal 2">
      <calculatedColumnFormula>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calculatedColumnFormula>
    </tableColumn>
    <tableColumn id="230" xr3:uid="{00000000-0010-0000-0000-0000E6000000}" name="TAMIZAJE  PARA VIH INTRAPARTO SEGÚN GPC." dataDxfId="229" dataCellStyle="Normal 2"/>
    <tableColumn id="91" xr3:uid="{00000000-0010-0000-0000-00005B000000}" name="FECHA RESULTADO TAMIZAJE INTRAPARTO" dataDxfId="228" dataCellStyle="Normal 2"/>
    <tableColumn id="84" xr3:uid="{00000000-0010-0000-0000-000054000000}" name="SEGUNDA PRUEBA ELISA O PR PARA DEFINIR DIAGNOSTICO VIH SEGÚN PROTOCOLO INS" dataDxfId="227" dataCellStyle="Normal 2"/>
    <tableColumn id="140" xr3:uid="{00000000-0010-0000-0000-00008C000000}" name="FECHA RESULTADO SEGUNDA PRUEBA ELISA O PR PARA DEFINIR DIAGNOSTICO VIH SEGÚN PROTOCOLO INS" dataDxfId="226" dataCellStyle="Normal 2"/>
    <tableColumn id="141" xr3:uid="{00000000-0010-0000-0000-00008D000000}" name="RESULTADO CARGA VIRAL SEGÚN PROTOCOLO INS" dataDxfId="225" dataCellStyle="Normal 2"/>
    <tableColumn id="142" xr3:uid="{00000000-0010-0000-0000-00008E000000}" name="FECHA RESULTADO CARGA VIRAL SEGÚN PROTOCOLO INS" dataDxfId="224" dataCellStyle="Normal 2"/>
    <tableColumn id="143" xr3:uid="{00000000-0010-0000-0000-00008F000000}" name="RESULTADO HEP B ANTIGENO SUPERFICIE" dataDxfId="223" dataCellStyle="Normal 2"/>
    <tableColumn id="232" xr3:uid="{00000000-0010-0000-0000-0000E8000000}" name="FECHA RESULTADO H ASB" dataDxfId="222" dataCellStyle="Normal 2"/>
    <tableColumn id="233" xr3:uid="{00000000-0010-0000-0000-0000E9000000}" name="EDAD GESTACIONAL18" dataDxfId="221" dataCellStyle="Normal 2">
      <calculatedColumnFormula>IF(AND(BT3="ERROR FUM O INGRESO",GO3&gt;0),"ERROR FUM O INGRESO",IF(AND(GO3="",R3="",O3=""),"",IF(OR(AND(GO3&lt;&gt;"",GO3&lt;RW3),AND(GO3&lt;&gt;"",SUM((GO3-RW3)/7)&gt;40)),"CORREGIR FECHA RESULTADO",IF(AND(GO3="",OR(O3&gt;0,R3&gt;0)),"TOMAR EXAMEN",IF(GO3&gt;0,SUM(GO3-RW3)/7,"")))))</calculatedColumnFormula>
    </tableColumn>
    <tableColumn id="234" xr3:uid="{00000000-0010-0000-0000-0000EA000000}" name="RESULTADO Toxoplasma IgG" dataDxfId="220" dataCellStyle="Normal 2"/>
    <tableColumn id="236" xr3:uid="{00000000-0010-0000-0000-0000EC000000}" name="RESULTADO CONFIRM. TOXO. IgM" dataDxfId="219" dataCellStyle="Normal 2"/>
    <tableColumn id="237" xr3:uid="{00000000-0010-0000-0000-0000ED000000}" name="ALARMA TOXOPLASMOSIS" dataDxfId="218" dataCellStyle="Normal 2">
      <calculatedColumnFormula>IF(GQ3="NEGATIVO","CONTROL Igm",IF(AND(GQ3="POSITIVO",GR3="NEGATIVO"),"SE EXCLUYE INFECCION",IF(AND(GQ3="POSITIVO",GR3="POSITIVO"),"TOXOPLASMOSIS, REMITIR PARA MANEJO","")))</calculatedColumnFormula>
    </tableColumn>
    <tableColumn id="238" xr3:uid="{00000000-0010-0000-0000-0000EE000000}" name="FECHA RESULTADO TOXO" dataDxfId="217" dataCellStyle="Normal 2"/>
    <tableColumn id="239" xr3:uid="{00000000-0010-0000-0000-0000EF000000}" name="EDAD GESTACIONAL21" dataDxfId="216" dataCellStyle="Normal 2">
      <calculatedColumnFormula>IF(AND(BT3="ERROR FUM O INGRESO",GT3&gt;0),"ERROR FUM O INGRESO",IF(AND(GT3="",R3="",O3=""),"",IF(OR(AND(GT3&lt;&gt;"",GT3&lt;BO3),AND(GT3&lt;&gt;"",SUM((GT3-BO3)/7)&gt;40)),"CORREGIR FECHA RESULTADO",IF(AND(GT3="",OR(O3&gt;0,R3&gt;0)),"TOMAR EXAMEN",IF(GT3&gt;0,SUM(GT3-BO3)/7,"")))))</calculatedColumnFormula>
    </tableColumn>
    <tableColumn id="242" xr3:uid="{00000000-0010-0000-0000-0000F2000000}" name="TRIMESTRE DE GESTACION A LA TOMA EXAMEN52" dataDxfId="215" dataCellStyle="Normal 2">
      <calculatedColumnFormula>IF(AND(GU3="",BT3=""),"",IF(AND(GU3&lt;&gt;"",BT3="SIN DATO"),"SIN DATO",IF(AND(GU3="",BT3&lt;&gt;""),"",IF(AND(GU3&lt;0,BT3&gt;0),"ERROR FUM O INGRESO",IF(GU3&lt;=13,"I TRIM",IF(GU3&lt;28,"II TRIM",IF(AND(GU3&gt;27,GU3&lt;45),"III TRIM","POR DEFINIR")))))))</calculatedColumnFormula>
    </tableColumn>
    <tableColumn id="338" xr3:uid="{00000000-0010-0000-0000-000052010000}" name="RESULTADO TOXOPLASMOSIS ULTIMO IgM - SI APLICA SEGÚN GPC" dataDxfId="214" dataCellStyle="Normal 2"/>
    <tableColumn id="243" xr3:uid="{00000000-0010-0000-0000-0000F3000000}" name="NUMERO VECES TOMA TOXOPLASMA IgM - Control" dataDxfId="213" dataCellStyle="Normal 2"/>
    <tableColumn id="244" xr3:uid="{00000000-0010-0000-0000-0000F4000000}" name="RESULTADO ULTIMA CITOLOGIA (SEGÚN NORMA Y VIGENTE)" dataDxfId="212" dataCellStyle="Normal 2"/>
    <tableColumn id="363" xr3:uid="{00000000-0010-0000-0000-00006B010000}" name="TAMIZAJE PARA CHAGAS (ELISA para detección de anticuerpos IgG anti T. cruzi de antígenos totales)" dataDxfId="211" dataCellStyle="Normal 2"/>
    <tableColumn id="368" xr3:uid="{00000000-0010-0000-0000-000070010000}" name="FECHA RESULTADO TAMIZAJE CHAGAS" dataDxfId="210" dataCellStyle="Normal 2"/>
    <tableColumn id="356" xr3:uid="{00000000-0010-0000-0000-000064010000}" name="TAMIZAJE INICIAL DE GOTA GRUESA PARA MALARIA (En zonas endémicas)" dataDxfId="209" dataCellStyle="Normal 2"/>
    <tableColumn id="352" xr3:uid="{00000000-0010-0000-0000-000060010000}" name="FECHA RESULTADO TAMIZAJE INICIAL GOTA GRUESA PARA MALARIA" dataDxfId="208" dataCellStyle="Normal 2"/>
    <tableColumn id="351" xr3:uid="{00000000-0010-0000-0000-00005F010000}" name="RESULTADO ULTIMO TAMIZAJE GOTA GRUESA (Para Zonas endémicas)" dataDxfId="207" dataCellStyle="Normal 2"/>
    <tableColumn id="346" xr3:uid="{00000000-0010-0000-0000-00005A010000}" name="NUMERO TAMIZAJES TOMADOS DE GOTA GRUESA PARA MALARIA (Debe ser mensual para zonas endémicas)" dataDxfId="206" dataCellStyle="Normal 2"/>
    <tableColumn id="249" xr3:uid="{00000000-0010-0000-0000-0000F9000000}" name="DIAGNOSTICO POSITIVO COVID19 - INFECCIÓN POR SARS CoV2" dataDxfId="205" dataCellStyle="Normal 2"/>
    <tableColumn id="252" xr3:uid="{00000000-0010-0000-0000-0000FC000000}" name="ENFERMEDADES PROPIAS O CULTURALES" dataDxfId="204" dataCellStyle="Normal 2">
      <calculatedColumnFormula>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calculatedColumnFormula>
    </tableColumn>
    <tableColumn id="253" xr3:uid="{00000000-0010-0000-0000-0000FD000000}" name="OTROS FACTORES DE RIESGO " dataDxfId="203" dataCellStyle="Normal 2">
      <calculatedColumnFormula>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calculatedColumnFormula>
    </tableColumn>
    <tableColumn id="67" xr3:uid="{00000000-0010-0000-0000-000043000000}" name="RIESGO BIOPSICOSOCIAL" dataDxfId="202" dataCellStyle="Normal 2">
      <calculatedColumnFormula>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calculatedColumnFormula>
    </tableColumn>
    <tableColumn id="46" xr3:uid="{00000000-0010-0000-0000-00002E000000}" name="MOTIVOS PARA LA CLASIFICACION DEL RIESGO BIOPSICOSOCIAL" dataDxfId="201" dataCellStyle="Normal 2">
      <calculatedColumnFormula>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calculatedColumnFormula>
    </tableColumn>
    <tableColumn id="255" xr3:uid="{00000000-0010-0000-0000-0000FF000000}" name="ALARMA FACTORES DE RIESGO COMPLICACIONES HIPERTENSIVAS3" dataDxfId="200" dataCellStyle="Normal 2">
      <calculatedColumnFormula>IF(AND(O3="",R3=""),"",IF(AND(OR(O3&gt;0,R3&gt;0),OR(AL3="SI",BG3="SI",BD3="SI",BE3="SI",BH3="SI")),"RIESGO ALTO DE COMPLICACIONES HIPERTENSIVAS VER MANEJO GUIA SUMINISTRO ASA Y CALCIO",IF(AND(OR(O3&gt;0,R3&gt;0),NE3&gt;1),"RIESGO MODERADO (2 O MAS CRITERIOS) VER MANEJO GUIA SUMINISTRO ASA Y CALCIO","SIN ANTECEDENTES DE RIESGO")))</calculatedColumnFormula>
    </tableColumn>
    <tableColumn id="21" xr3:uid="{00000000-0010-0000-0000-000015000000}" name="ALARMA POR SEGUIMIENTO CIFRAS PRESIÓN ARTERIAL ÚLTIMO REGISTRO." dataDxfId="199" dataCellStyle="Normal 2">
      <calculatedColumnFormula>DC3</calculatedColumnFormula>
    </tableColumn>
    <tableColumn id="196" xr3:uid="{00000000-0010-0000-0000-0000C4000000}" name="ALERTA SEGUIMIENTO2" dataDxfId="198" dataCellStyle="Normal 2">
      <calculatedColumnFormula>IF(NI3="SD","",IF(AND(NI3&lt;=33,NI3&gt;=8),"MES DE CONTROL",IF(AND(NI3&gt;=1,NI3&lt;8),"SEMANA DE CONTROL",IF(NI3=0,"DIA DE CONTROL",IF(NI3&lt;0,"INASISTENTE",IF(NI3="Y","SEGUIMIENTO FUERA MUNICIPIO",IF(NI3="Z","BUSCAR PARA INGRESO A CPN",IF(NI3="W","DEFINIR FECHA CITA",IF(NI3="X","NO REALIZO CPN",IF(NI3="S","DILIGENCIAR FECHA SALIDA PROGRAMA","REVISAR FORMULA"))))))))))</calculatedColumnFormula>
    </tableColumn>
    <tableColumn id="73" xr3:uid="{00000000-0010-0000-0000-000049000000}" name="GESTANTES ACTUALES22" dataDxfId="197" dataCellStyle="Normal 2">
      <calculatedColumnFormula>IF(AND(R3&lt;&gt;"",IK3="CAMBIO DE RESIDENCIA"),"SEGUIMIENTO REPORTE EPS",IF(AND(R3&lt;&gt;"",OR(IK3&lt;&gt;"",IN3&lt;&gt;"")),"SALIO PROGRAMA",IF(AND(AND(R3="",O3&gt;0),OR(IK3&lt;&gt;"",IN3&lt;&gt;"")),"SALE SIN INGRESO CPN",IF(AND(R3="",O3&gt;0,IK3="",IN3=""),"ACTIVA SIN INGRESO CPN",IF(AND(R3&lt;&gt;"",OR(IK3="",IN3="")),"ACTIVA INGRESO A CPN","")))))</calculatedColumnFormula>
    </tableColumn>
    <tableColumn id="75" xr3:uid="{00000000-0010-0000-0000-00004B000000}" name="LA CLASIFICACIÓN DEL RIESGO ES ADECUADA" dataDxfId="196" dataCellStyle="Normal 2"/>
    <tableColumn id="102" xr3:uid="{00000000-0010-0000-0000-000066000000}" name="SUMINISTRO DE ASA SEGÚN GPC" dataDxfId="195" dataCellStyle="Normal 2"/>
    <tableColumn id="119" xr3:uid="{00000000-0010-0000-0000-000077000000}" name="FECHA INICIO DE SUMINISTRO DE ASA" dataDxfId="194" dataCellStyle="Normal 2"/>
    <tableColumn id="126" xr3:uid="{00000000-0010-0000-0000-00007E000000}" name="ALERTA SUMINISTRO DE ASA" dataDxfId="193" dataCellStyle="Normal 2">
      <calculatedColumnFormula>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calculatedColumnFormula>
    </tableColumn>
    <tableColumn id="23" xr3:uid="{00000000-0010-0000-0000-000017000000}" name="FECHA INICIO SUMINISTRO CALCIO" dataDxfId="192" dataCellStyle="Normal 2"/>
    <tableColumn id="181" xr3:uid="{00000000-0010-0000-0000-0000B5000000}" name="SUMINISTRO CALCIO " dataDxfId="191" dataCellStyle="Normal 2"/>
    <tableColumn id="60" xr3:uid="{00000000-0010-0000-0000-00003C000000}" name="FECHA INICIO SUMINISTRO ACIDO FOLICO " dataDxfId="190" dataCellStyle="Normal 2"/>
    <tableColumn id="241" xr3:uid="{00000000-0010-0000-0000-0000F1000000}" name="SUMINISTRO DE ACIDO FOLICO " dataDxfId="189" dataCellStyle="Normal 2"/>
    <tableColumn id="256" xr3:uid="{00000000-0010-0000-0000-000000010000}" name="FECHA INICIO SUMINISTRO SULFATO FERROSO " dataDxfId="188" dataCellStyle="Normal 2"/>
    <tableColumn id="254" xr3:uid="{00000000-0010-0000-0000-0000FE000000}" name="SUMINISTRO DE SULFATO FERROSO " dataDxfId="187" dataCellStyle="Normal 2"/>
    <tableColumn id="63" xr3:uid="{00000000-0010-0000-0000-00003F000000}" name="FECHA CONSULTA DE 1RA VEZ POR ODONTOLOGIA" dataDxfId="186" dataCellStyle="Normal 2"/>
    <tableColumn id="258" xr3:uid="{00000000-0010-0000-0000-000002010000}" name="SEMANAS DE GESTACION A LA CONSULTA ODONTOLOGICA" dataDxfId="185" dataCellStyle="Normal 2">
      <calculatedColumnFormula>IF(AND(BT3="ERROR FUM O INGRESO",HY3&gt;0),"ERROR FUM O INGRESO",IF(AND(HY3="",R3=""),"",IF(OR(AND(HY3&lt;&gt;"",HY3&lt;RW3),AND(HY3&lt;&gt;"",SUM((HY3-RW3)/7)&gt;40)),"CORREGIR FECHA CONSULTA",IF(AND(HY3="",R3&gt;0),"PENDIENTE CONSULTA",IF(HY3&gt;0,SUM(HY3-RW3)/7,"")))))</calculatedColumnFormula>
    </tableColumn>
    <tableColumn id="259" xr3:uid="{00000000-0010-0000-0000-000003010000}" name="REQUIRIO MANEJO ODONTOLOGICO DURANTE LA GESTACIÓN" dataDxfId="184" dataCellStyle="Normal 2"/>
    <tableColumn id="388" xr3:uid="{00000000-0010-0000-0000-000084010000}" name="VACUNACION COVID19" dataDxfId="183"/>
    <tableColumn id="260" xr3:uid="{00000000-0010-0000-0000-000004010000}" name="FECHA VACUNA ANTI INFLUENZA" dataDxfId="182" dataCellStyle="Normal 2"/>
    <tableColumn id="268" xr3:uid="{00000000-0010-0000-0000-00000C010000}" name="FECHA VACUNA DPT ACELULAR" dataDxfId="181" dataCellStyle="Normal 2"/>
    <tableColumn id="269" xr3:uid="{00000000-0010-0000-0000-00000D010000}" name="ALARMA DPT ACELULAR" dataDxfId="180" dataCellStyle="Normal 2">
      <calculatedColumnFormula>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calculatedColumnFormula>
    </tableColumn>
    <tableColumn id="333" xr3:uid="{00000000-0010-0000-0000-00004D010000}" name="FECHA VACUNA TD" dataDxfId="179" dataCellStyle="Normal 2"/>
    <tableColumn id="271" xr3:uid="{00000000-0010-0000-0000-00000F010000}" name="FPP2" dataDxfId="178" dataCellStyle="Normal 2">
      <calculatedColumnFormula>IF(OR(BP3="SI",BP3="Corregida",BP3="NO"),(RW3+280),IF(BP3="Sin Dato","DEFINIR FPP POR ECO",""))</calculatedColumnFormula>
    </tableColumn>
    <tableColumn id="72" xr3:uid="{00000000-0010-0000-0000-000048000000}" name="DIAS PARA EL PARTO2" dataDxfId="177" dataCellStyle="Normal 2">
      <calculatedColumnFormula>IF(OR(IG3="DEFINIR FPP POR ECO",BT3="ERROR FUM O INGRESO"),"SIN DEFINIR",IF(IG3="","",IF(IG3&gt;0,SUM(IG3-TODAY()),"X")))</calculatedColumnFormula>
    </tableColumn>
    <tableColumn id="70" xr3:uid="{00000000-0010-0000-0000-000046000000}" name="ALERTA PARA PARTO3" dataDxfId="176" dataCellStyle="Normal 2">
      <calculatedColumnFormula>IF(IH3&lt;0,"POSIBLEMENTE NACIO",IF(IH3="SIN DEFINIR","SIN DATO",IF(AND(IH3&gt;=0,IH3&lt;=7),"SEMANA DE PARTO",IF(AND(IH3&gt;=8,IH3&lt;=28),"MENOS DE 4 SEMANAS",IF(AND(IH3&gt;=29,IH3&lt;=280),"PENDIENTE","")))))</calculatedColumnFormula>
    </tableColumn>
    <tableColumn id="71" xr3:uid="{00000000-0010-0000-0000-000047000000}" name="FECHA ULTIMA REMISION URG" dataDxfId="175" dataCellStyle="Normal 2"/>
    <tableColumn id="273" xr3:uid="{00000000-0010-0000-0000-000011010000}" name="SALE DEL PROGRAMA POR" dataDxfId="174" dataCellStyle="Normal 2"/>
    <tableColumn id="275" xr3:uid="{00000000-0010-0000-0000-000013010000}" name=" EVENTO DE INTERES EN SALUD PÚBLICA DE LA MADRE" dataDxfId="173" dataCellStyle="Normal 2"/>
    <tableColumn id="276" xr3:uid="{00000000-0010-0000-0000-000014010000}" name=" EVENTO DE INTERES EN SALUD PÚBLICA DEL RECIÉN NACIDO2" dataDxfId="172" dataCellStyle="Normal 2"/>
    <tableColumn id="277" xr3:uid="{00000000-0010-0000-0000-000015010000}" name="FECHA DE SALIDA  DEL PROGRAMA" dataDxfId="171" dataCellStyle="Normal 2"/>
    <tableColumn id="278" xr3:uid="{00000000-0010-0000-0000-000016010000}" name="LUGAR DE ATENCION DEL PARTO" dataDxfId="170" dataCellStyle="Normal 2"/>
    <tableColumn id="281" xr3:uid="{00000000-0010-0000-0000-000019010000}" name="EDAD GESTACIONAL SALIDA PROGRAMA" dataDxfId="169" dataCellStyle="Normal 2">
      <calculatedColumnFormula>IF(AND(IN3&gt;0,IK3&lt;&gt;""),SUM(IN3-RW3)/7,"")</calculatedColumnFormula>
    </tableColumn>
    <tableColumn id="282" xr3:uid="{00000000-0010-0000-0000-00001A010000}" name="NOMBRE DE LA INSTITUCION DONDE SE ATENDIO EL PARTO O LUGAR ESPECIFICO DEL PARTO SI APLICA" dataDxfId="168" dataCellStyle="Normal 2"/>
    <tableColumn id="283" xr3:uid="{00000000-0010-0000-0000-00001B010000}" name="NIVEL DE COMPLEJIDAD DE LA ATENCION DE LA INSTITUCION DONDE SE ATENDIO EL PARTO" dataDxfId="167" dataCellStyle="Normal 2"/>
    <tableColumn id="284" xr3:uid="{00000000-0010-0000-0000-00001C010000}" name="PROFESIONAL O PERSONA QUE ATIENDE EL PARTO" dataDxfId="166" dataCellStyle="Normal 2"/>
    <tableColumn id="373" xr3:uid="{00000000-0010-0000-0000-000075010000}" name="INICIO TRABAJO DE PARTO" dataDxfId="165" dataCellStyle="Normal 2"/>
    <tableColumn id="285" xr3:uid="{00000000-0010-0000-0000-00001D010000}" name="ACOMPAÑAMIENTO POR PERSONA DE CONFIANZA DURANTE TRABAJO DE PARTO Y PARTO" dataDxfId="164" dataCellStyle="Normal 2"/>
    <tableColumn id="251" xr3:uid="{00000000-0010-0000-0000-0000FB000000}" name="DILIGENCIAMIENTO DE PARTOGRAMA (NO APLICA EN EXPULSIVO)" dataDxfId="163" dataCellStyle="Normal 2"/>
    <tableColumn id="261" xr3:uid="{00000000-0010-0000-0000-000005010000}" name="MANEJO ACTIVO DEL TERCER PERIODO DEL PARTO (USO OXITOCINA,MASAJE UTERINO Y TRACCIÓN SOSTENIDA DE CORDÓN)2" dataDxfId="162" dataCellStyle="Normal 2"/>
    <tableColumn id="262" xr3:uid="{00000000-0010-0000-0000-000006010000}" name="CONTACTO PIEL A PIEL DURANTE MÍNIMO 30 MINUTOS " dataDxfId="161" dataCellStyle="Normal 2"/>
    <tableColumn id="263" xr3:uid="{00000000-0010-0000-0000-000007010000}" name="INICIO DE LACTANCIA MATERNA DURANTE EL CONTACTO PIEL A PIEL O EN LA PRIMERA HORA DE VIDA" dataDxfId="160" dataCellStyle="Normal 2"/>
    <tableColumn id="92" xr3:uid="{00000000-0010-0000-0000-00005C000000}" name="MONITORIA CADA 15 MINUTOS DE SIGNOS VITALES DURANTES LAS PRIMERAS DOS HORAS POSTPARTO (SOPORTE EN HC - 8 VALORACIONES EN LAS PRIMERAS 2 HORAS)" dataDxfId="159" dataCellStyle="Normal 2"/>
    <tableColumn id="264" xr3:uid="{00000000-0010-0000-0000-000008010000}" name="COMPLICACIONES POSTPARTO - HASTA 42 DÍAS" dataDxfId="158" dataCellStyle="Normal 2"/>
    <tableColumn id="286" xr3:uid="{00000000-0010-0000-0000-00001E010000}" name="NUMERO NACIDOS VIVOS" dataDxfId="157" dataCellStyle="Normal 2"/>
    <tableColumn id="288" xr3:uid="{00000000-0010-0000-0000-000020010000}" name="SEXO RN" dataDxfId="156" dataCellStyle="Normal 2"/>
    <tableColumn id="289" xr3:uid="{00000000-0010-0000-0000-000021010000}" name="PESO RN  EN GRAMOS" dataDxfId="155" dataCellStyle="Normal 2"/>
    <tableColumn id="290" xr3:uid="{00000000-0010-0000-0000-000022010000}" name="PESO AL NACER POR EDAD GESTACIONAL" dataDxfId="154" dataCellStyle="Normal 2">
      <calculatedColumnFormula>IF(AND(JD3&gt;700,JD3&lt;2500,IP3&gt;36),"BAJO PESO AL NACER",IF(AND(JD3&gt;500,JD3&lt;2500,IP3&lt;37),"PREMATURO",IF(AND(JD3&gt;2499,JD3&lt;5000,IP3&lt;37),"ERROR VERIFICAR DATO EDAD GESTACIONAL VS PESO",IF(AND(JD3&gt;2499,JD3&lt;4000,IP3&gt;36),"PESO ADECUADO EDAD GESTACIONAL",IF(AND(JD3&gt;3999,JD3&lt;6000,IP3&gt;36),"PESO GRANDE EDAD GESTACIONAL","")))))</calculatedColumnFormula>
    </tableColumn>
    <tableColumn id="291" xr3:uid="{00000000-0010-0000-0000-000023010000}" name="FECHA TOMA TSH" dataDxfId="153" dataCellStyle="Normal 2"/>
    <tableColumn id="294" xr3:uid="{00000000-0010-0000-0000-000026010000}" name="RESULTADO TSH" dataDxfId="152" dataCellStyle="Normal 2"/>
    <tableColumn id="295" xr3:uid="{00000000-0010-0000-0000-000027010000}" name=" FECHA RESULTADO TSH" dataDxfId="151" dataCellStyle="Normal 2"/>
    <tableColumn id="296" xr3:uid="{00000000-0010-0000-0000-000028010000}" name="APLICACIÓN DE VIT K" dataDxfId="150" dataCellStyle="Normal 2"/>
    <tableColumn id="297" xr3:uid="{00000000-0010-0000-0000-000029010000}" name="GRUPO SANGUINEO RN" dataDxfId="149" dataCellStyle="Normal 2"/>
    <tableColumn id="298" xr3:uid="{00000000-0010-0000-0000-00002A010000}" name="FECHA APLICACIÓN VACUNA HEPATITIS B" dataDxfId="148" dataCellStyle="Normal 2"/>
    <tableColumn id="299" xr3:uid="{00000000-0010-0000-0000-00002B010000}" name="FECHA APLICACIÓN VACUNA BCG" dataDxfId="147" dataCellStyle="Normal 2"/>
    <tableColumn id="300" xr3:uid="{00000000-0010-0000-0000-00002C010000}" name="SEXO RN 2" dataDxfId="146" dataCellStyle="Normal 2"/>
    <tableColumn id="301" xr3:uid="{00000000-0010-0000-0000-00002D010000}" name="PESO RN 2 EN GRAMOS2" dataDxfId="145" dataCellStyle="Normal 2"/>
    <tableColumn id="302" xr3:uid="{00000000-0010-0000-0000-00002E010000}" name="PESO AL NACER POR EDAD GESTACIONAL RN 2" dataDxfId="144" dataCellStyle="Normal 2">
      <calculatedColumnFormula>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calculatedColumnFormula>
    </tableColumn>
    <tableColumn id="303" xr3:uid="{00000000-0010-0000-0000-00002F010000}" name="FECHA TOMA TSH 2" dataDxfId="143" dataCellStyle="Normal 2"/>
    <tableColumn id="306" xr3:uid="{00000000-0010-0000-0000-000032010000}" name="RESULTADO TSH 2" dataDxfId="142" dataCellStyle="Normal 2"/>
    <tableColumn id="307" xr3:uid="{00000000-0010-0000-0000-000033010000}" name=" FECHA RESULTADO TSH 2" dataDxfId="141" dataCellStyle="Normal 2"/>
    <tableColumn id="308" xr3:uid="{00000000-0010-0000-0000-000034010000}" name="APLICACIÓN DE VIT K 2" dataDxfId="140" dataCellStyle="Normal 2"/>
    <tableColumn id="309" xr3:uid="{00000000-0010-0000-0000-000035010000}" name="GRUPO SANGUINEO RN 2" dataDxfId="139" dataCellStyle="Normal 2"/>
    <tableColumn id="310" xr3:uid="{00000000-0010-0000-0000-000036010000}" name="FECHA APLICACIÓN VACUNA HEPATITIS B 2" dataDxfId="138" dataCellStyle="Normal 2"/>
    <tableColumn id="311" xr3:uid="{00000000-0010-0000-0000-000037010000}" name="FECHA APLICACIÓN VACUNA BCG 2" dataDxfId="137" dataCellStyle="Normal 2"/>
    <tableColumn id="312" xr3:uid="{00000000-0010-0000-0000-000038010000}" name="CONTROL RN FECHA ASISTIO " dataDxfId="136" dataCellStyle="Normal 2"/>
    <tableColumn id="313" xr3:uid="{00000000-0010-0000-0000-000039010000}" name="ALARMA 1 CONTROL RN" dataDxfId="135" dataCellStyle="Normal 2">
      <calculatedColumnFormula>IF(AND(JW3&lt;&gt;"",JW3&lt;IN3),"INCONSISTENCIA FECHA CONTROL",IF(AND(OR(IK3="Parto",IK3="Cesarea"),JW3&gt;0,IN3&gt;0),SUM(JW3-IN3),IF(AND(OR(IK3="Parto",IK3="Cesarea"),JW3="",IN3&gt;0),"INASISTENTE","")))</calculatedColumnFormula>
    </tableColumn>
    <tableColumn id="314" xr3:uid="{00000000-0010-0000-0000-00003A010000}" name="CONTROL DE PUERPERIO FECHA" dataDxfId="134" dataCellStyle="Normal 2"/>
    <tableColumn id="316" xr3:uid="{00000000-0010-0000-0000-00003C010000}" name="ALARMA CONTROL PUERPERIO" dataDxfId="133" dataCellStyle="Normal 2">
      <calculatedColumnFormula>IF(AND(JY3&lt;&gt;"",JY3&lt;IN3),"INCONSISTENCIA FECHA CONTROL",IF(AND(OR(IK3="Parto",IK3="Cesarea",IK3="Aborto Espontaneo",IK3="Aborto Inducido",IK3="IVE"),JY3&gt;0,IN3&gt;0),SUM(JY3-IN3),IF(AND(JY3&lt;&gt;"",JY3&lt;IN3),"INCONSISTENCIA FECHA CONTROL",IF(AND(OR(IK3="Parto",IK3="Cesarea",IK3="Aborto Espontaneo",IK3="Aborto Inducido",IK3="IVE"),JY3="",IN3&gt;0),"INASISTENTE",""))))</calculatedColumnFormula>
    </tableColumn>
    <tableColumn id="317" xr3:uid="{00000000-0010-0000-0000-00003D010000}" name="ASESORIA EN LACTANCIA MATERNA EXCLUSIVA EN AMBITO HOSPITALARIO" dataDxfId="132" dataCellStyle="Normal 2"/>
    <tableColumn id="265" xr3:uid="{00000000-0010-0000-0000-000009010000}" name="ASESORIA EN PLANIFICACIÓN FAMILIAR POST EVENTO OBSTETRICO EN AMBITO HOSPITALARIO" dataDxfId="131" dataCellStyle="Normal 2"/>
    <tableColumn id="240" xr3:uid="{00000000-0010-0000-0000-0000F0000000}" name="PUERPERA SALE CON PLANIFICACIÓN FAMILIAR POST EVENTO OBSTETRICO " dataDxfId="130" dataCellStyle="Normal 2"/>
    <tableColumn id="97" xr3:uid="{00000000-0010-0000-0000-000061000000}" name="FECHA INSCRIPCION A PLANIFICACION FAMILIAR2" dataDxfId="129" dataCellStyle="Normal 2"/>
    <tableColumn id="319" xr3:uid="{00000000-0010-0000-0000-00003F010000}" name="METODO DE ANTICONCEPCION INICIADO POSTPARTO" dataDxfId="128" dataCellStyle="Normal 2"/>
    <tableColumn id="320" xr3:uid="{00000000-0010-0000-0000-000040010000}" name="TIPO DE APOYO REALIZADO POR LA EPS" dataDxfId="127" dataCellStyle="Normal 2"/>
    <tableColumn id="321" xr3:uid="{00000000-0010-0000-0000-000041010000}" name="TIPO DE APOYO REALIZADO POR LA IPS PRIMARIA" dataDxfId="126" dataCellStyle="Normal 2"/>
    <tableColumn id="322" xr3:uid="{00000000-0010-0000-0000-000042010000}" name="FECHA SEGUIMIENTO INICIAL POR PERSONAL DE SALUD EN TERRENO" dataDxfId="125" dataCellStyle="Normal 2"/>
    <tableColumn id="304" xr3:uid="{00000000-0010-0000-0000-000030010000}" name="FECHA ÚLTIMO SEGUIMIENTO" dataDxfId="124" dataCellStyle="Normal 2"/>
    <tableColumn id="318" xr3:uid="{00000000-0010-0000-0000-00003E010000}" name="NÚMERO DE SEGUIMIENTOS CPN" dataDxfId="123" dataCellStyle="Normal 2"/>
    <tableColumn id="183" xr3:uid="{00000000-0010-0000-0000-0000B7000000}" name="HALLAZGO GESTACIÓN SEGUIMIENTO POR VISITA DOMICILIARIA" dataDxfId="122" dataCellStyle="Normal 2"/>
    <tableColumn id="332" xr3:uid="{00000000-0010-0000-0000-00004C010000}" name="FECHA SEGUIMIENTOS TELÉFONICOS" dataDxfId="121" dataCellStyle="Normal 2"/>
    <tableColumn id="266" xr3:uid="{00000000-0010-0000-0000-00000A010000}" name="NÚMERO SEGUIMIENTOS TELÉFONCOS" dataDxfId="120" dataCellStyle="Normal 2"/>
    <tableColumn id="267" xr3:uid="{00000000-0010-0000-0000-00000B010000}" name="OBSERVACIÓN SEGUIMIENTO TELÉFONCO" dataDxfId="119" dataCellStyle="Normal 2"/>
    <tableColumn id="272" xr3:uid="{00000000-0010-0000-0000-000010010000}" name="FECHA SEGUIMIENTO POR PERSONAL DE SALUD EN TERRENO  EN PUERPERIO" dataDxfId="118" dataCellStyle="Normal 2"/>
    <tableColumn id="344" xr3:uid="{00000000-0010-0000-0000-000058010000}" name="HALLAZGOS ACOMPAÑAMIENTO PERSONAL DE SALUD PUERPERA" dataDxfId="117" dataCellStyle="Normal 2"/>
    <tableColumn id="347" xr3:uid="{00000000-0010-0000-0000-00005B010000}" name="HALLAZGOS ACOMPAÑAMIENTO PERSONAL DE SALUD RECIEN NACIDO" dataDxfId="116" dataCellStyle="Normal 2"/>
    <tableColumn id="348" xr3:uid="{00000000-0010-0000-0000-00005C010000}" name="FECHA ULTIMO SEGUIMIENTO POR PERSONAL DE SALUD EN TERRENO  EN PUERPERIO" dataDxfId="115" dataCellStyle="Normal 2"/>
    <tableColumn id="349" xr3:uid="{00000000-0010-0000-0000-00005D010000}" name="NÚMERO DE SEGUIMIENTOS EN PUERPERIO" dataDxfId="114" dataCellStyle="Normal 2"/>
    <tableColumn id="350" xr3:uid="{00000000-0010-0000-0000-00005E010000}" name="FECHA PRIMER ACOMPAÑAMIENTO SABEDOR ANCESTRAL" dataDxfId="113" dataCellStyle="Normal 2"/>
    <tableColumn id="22" xr3:uid="{00000000-0010-0000-0000-000016000000}" name="TIPO DE SABEDOR" dataDxfId="112" dataCellStyle="Normal 2"/>
    <tableColumn id="191" xr3:uid="{00000000-0010-0000-0000-0000BF000000}" name="NECESIDAD O DESARMONIA DESDE LO PROPIO 1" dataDxfId="111" dataCellStyle="Normal 2"/>
    <tableColumn id="353" xr3:uid="{00000000-0010-0000-0000-000061010000}" name="ACTIVIDAD O RITUALIDAD REALIZADA1" dataDxfId="110" dataCellStyle="Normal 2"/>
    <tableColumn id="93" xr3:uid="{00000000-0010-0000-0000-00005D000000}" name="FECHA  ACOMPAÑAMIENTO SABEDOR ANCESTRAL2" dataDxfId="109" dataCellStyle="Normal 2"/>
    <tableColumn id="354" xr3:uid="{00000000-0010-0000-0000-000062010000}" name="TIPO DE SABEDOR2" dataDxfId="108" dataCellStyle="Normal 2"/>
    <tableColumn id="355" xr3:uid="{00000000-0010-0000-0000-000063010000}" name="NECESIDAD O DESARMONIA DESDE LO PROPIO 12" dataDxfId="107" dataCellStyle="Normal 2"/>
    <tableColumn id="107" xr3:uid="{00000000-0010-0000-0000-00006B000000}" name="ACTIVIDAD O RITUALIDAD REALIZADA13" dataDxfId="106" dataCellStyle="Normal 2"/>
    <tableColumn id="357" xr3:uid="{00000000-0010-0000-0000-000065010000}" name="FECHA ACOMPAÑAMIENTO SABEDOR ANCESTRAL3" dataDxfId="105" dataCellStyle="Normal 2"/>
    <tableColumn id="358" xr3:uid="{00000000-0010-0000-0000-000066010000}" name="TIPO DE SABEDOR3" dataDxfId="104" dataCellStyle="Normal 2"/>
    <tableColumn id="359" xr3:uid="{00000000-0010-0000-0000-000067010000}" name="NECESIDAD O DESARMONIA DESDE LO PROPIO 13" dataDxfId="103" dataCellStyle="Normal 2"/>
    <tableColumn id="360" xr3:uid="{00000000-0010-0000-0000-000068010000}" name="ACTIVIDAD O RITUALIDAD REALIZADA14" dataDxfId="102" dataCellStyle="Normal 2"/>
    <tableColumn id="361" xr3:uid="{00000000-0010-0000-0000-000069010000}" name="FECHA ACOMPAÑAMIENTO SABEDOR ANCESTRAL4" dataDxfId="101" dataCellStyle="Normal 2"/>
    <tableColumn id="109" xr3:uid="{00000000-0010-0000-0000-00006D000000}" name="TIPO DE SABEDOR4" dataDxfId="100" dataCellStyle="Normal 2"/>
    <tableColumn id="362" xr3:uid="{00000000-0010-0000-0000-00006A010000}" name="NECESIDAD O DESARMONIA DESDE LO PROPIO 14" dataDxfId="99" dataCellStyle="Normal 2"/>
    <tableColumn id="364" xr3:uid="{00000000-0010-0000-0000-00006C010000}" name="ACTIVIDAD O RITUALIDAD REALIZADA15" dataDxfId="98" dataCellStyle="Normal 2"/>
    <tableColumn id="365" xr3:uid="{00000000-0010-0000-0000-00006D010000}" name="FECHA ACOMPAÑAMIENTO SABEDOR ANCESTRAL5" dataDxfId="97" dataCellStyle="Normal 2"/>
    <tableColumn id="366" xr3:uid="{00000000-0010-0000-0000-00006E010000}" name="TIPO DE SABEDOR5" dataDxfId="96" dataCellStyle="Normal 2"/>
    <tableColumn id="367" xr3:uid="{00000000-0010-0000-0000-00006F010000}" name="NECESIDAD O DESARMONIA DESDE LO PROPIO 15" dataDxfId="95" dataCellStyle="Normal 2"/>
    <tableColumn id="369" xr3:uid="{00000000-0010-0000-0000-000071010000}" name="ACTIVIDAD O RITUALIDAD REALIZADA16" dataDxfId="94" dataCellStyle="Normal 2"/>
    <tableColumn id="370" xr3:uid="{00000000-0010-0000-0000-000072010000}" name="FECHA ACOMPAÑAMIENTO SABEDOR ANCESTRAL PUERPERIO Y RECIEN NACIDO" dataDxfId="93" dataCellStyle="Normal 2"/>
    <tableColumn id="371" xr3:uid="{00000000-0010-0000-0000-000073010000}" name="TIPO DE SABEDOR6" dataDxfId="92" dataCellStyle="Normal 2"/>
    <tableColumn id="372" xr3:uid="{00000000-0010-0000-0000-000074010000}" name="NECESIDAD O DESARMONIA DESDE LO PROPIO 16" dataDxfId="91" dataCellStyle="Normal 2"/>
    <tableColumn id="69" xr3:uid="{00000000-0010-0000-0000-000045000000}" name="ACTIVIDAD O RITUALIDAD REALIZADA 6" dataDxfId="90" dataCellStyle="Normal 2"/>
    <tableColumn id="374" xr3:uid="{00000000-0010-0000-0000-000076010000}" name="FECHA ACOMPAÑAMIENTO SABEDOR ANCESTRAL PUERPERIO Y RECIEN NACIDO2" dataDxfId="89" dataCellStyle="Normal 2"/>
    <tableColumn id="182" xr3:uid="{00000000-0010-0000-0000-0000B6000000}" name="TIPO DE SABEDOR7" dataDxfId="88" dataCellStyle="Normal 2"/>
    <tableColumn id="274" xr3:uid="{00000000-0010-0000-0000-000012010000}" name="NECESIDAD O DESARMONIA DESDE LO PROPIO 17" dataDxfId="87" dataCellStyle="Normal 2"/>
    <tableColumn id="292" xr3:uid="{00000000-0010-0000-0000-000024010000}" name="ACTIVIDAD O RITUALIDAD REALIZADA18" dataDxfId="86" dataCellStyle="Normal 2"/>
    <tableColumn id="323" xr3:uid="{00000000-0010-0000-0000-000043010000}" name="FECHA ACOMPAÑAMIENTO SABEDOR ANCESTRAL PUERPERIO Y RECIEN NACIDO22" dataDxfId="85" dataCellStyle="Normal 2"/>
    <tableColumn id="324" xr3:uid="{00000000-0010-0000-0000-000044010000}" name="TIPO DE SABEDOR73" dataDxfId="84" dataCellStyle="Normal 2"/>
    <tableColumn id="325" xr3:uid="{00000000-0010-0000-0000-000045010000}" name="NECESIDAD O DESARMONIA DESDE LO PROPIO 174" dataDxfId="83" dataCellStyle="Normal 2"/>
    <tableColumn id="326" xr3:uid="{00000000-0010-0000-0000-000046010000}" name="ACTIVIDAD O RITUALIDAD REALIZADA185" dataDxfId="82" dataCellStyle="Normal 2"/>
    <tableColumn id="327" xr3:uid="{00000000-0010-0000-0000-000047010000}" name="FECHA ACOMPAÑAMIENTO SABEDOR ANCESTRAL PUERPERIO Y RECIEN NACIDO222" dataDxfId="81" dataCellStyle="Normal 2"/>
    <tableColumn id="328" xr3:uid="{00000000-0010-0000-0000-000048010000}" name="TIPO DE SABEDOR733" dataDxfId="80" dataCellStyle="Normal 2"/>
    <tableColumn id="329" xr3:uid="{00000000-0010-0000-0000-000049010000}" name="NECESIDAD O DESARMONIA DESDE LO PROPIO 1744" dataDxfId="79" dataCellStyle="Normal 2"/>
    <tableColumn id="330" xr3:uid="{00000000-0010-0000-0000-00004A010000}" name="ACTIVIDAD O RITUALIDAD REALIZADA1855" dataDxfId="78" dataCellStyle="Normal 2"/>
    <tableColumn id="331" xr3:uid="{00000000-0010-0000-0000-00004B010000}" name="FECHA ACOMPAÑAMIENTO SABEDOR ANCESTRAL PUERPERIO Y RECIEN NACIDO2222" dataDxfId="77" dataCellStyle="Normal 2"/>
    <tableColumn id="375" xr3:uid="{00000000-0010-0000-0000-000077010000}" name="TIPO DE SABEDOR7333" dataDxfId="76" dataCellStyle="Normal 2"/>
    <tableColumn id="376" xr3:uid="{00000000-0010-0000-0000-000078010000}" name="NECESIDAD O DESARMONIA DESDE LO PROPIO 17444" dataDxfId="75" dataCellStyle="Normal 2"/>
    <tableColumn id="377" xr3:uid="{00000000-0010-0000-0000-000079010000}" name="ACTIVIDAD O RITUALIDAD REALIZADA18555" dataDxfId="74" dataCellStyle="Normal 2"/>
    <tableColumn id="383" xr3:uid="{00000000-0010-0000-0000-00007F010000}" name="TOTAL SEGUIMIENTOS POR PARTERA" dataDxfId="73">
      <calculatedColumnFormula>SUM(COUNTIF(KU3,"PARTERO (A)"),COUNTIF(KY3,"PARTERO (A)"),COUNTIF(LC3,"PARTERO (A)"),COUNTIF(LG3,"PARTERO (A)"),COUNTIF(LK3,"PARTERO (A)"),COUNTIF(LO3,"PARTERO (A)"),COUNTIF(ME3,"PARTERO (A)"))</calculatedColumnFormula>
    </tableColumn>
    <tableColumn id="384" xr3:uid="{00000000-0010-0000-0000-000080010000}" name="EDAD GESTACIONAL PRIMER ACOMPAÑAMIENTO SABEDOR ANCESTRAL" dataDxfId="72">
      <calculatedColumnFormula>IF(AND(R3="",O3=""),"",IF(AND(OR(O3&gt;0,R3&gt;0),KT3&gt;0),SUM(KT3-RW3)/7,""))</calculatedColumnFormula>
    </tableColumn>
    <tableColumn id="387" xr3:uid="{00000000-0010-0000-0000-000083010000}" name="TRIMESTRE DE GESTACIÓN AL PRIMER SEGUIMIENTO POR SABEDOR" dataDxfId="71">
      <calculatedColumnFormula>IF(AND(MI3="",BT3=""),"",IF(AND(MI3&lt;&gt;"",BT3="SIN DATO"),"SIN DATO",IF(AND(MI3="",BT3&lt;&gt;""),"",IF(AND(MI3&lt;0,BT3&gt;0),"ERROR FUM O INGRESO",IF(MI3&lt;=13,"I TRIM",IF(MI3&lt;28,"II TRIM",IF(AND(MI3&gt;27,MI3&lt;45),"III TRIM","POR DEFINIR")))))))</calculatedColumnFormula>
    </tableColumn>
    <tableColumn id="385" xr3:uid="{00000000-0010-0000-0000-000081010000}" name="TOTAL SEGUIMIENTOS POR MEDICINA TRADICIONAL" dataDxfId="70">
      <calculatedColumnFormula>SUM(COUNTIF(KU3,"MEDICO (A) TRADICIONAL"),COUNTIF(KY3,"MEDICO (A) TRADICIONAL"),COUNTIF(LC3,"MEDICO (A) TRADICIONAL"),COUNTIF(LG3,"MEDICO (A) TRADICIONAL"),COUNTIF(LK3,"MEDICO (A) TRADICIONAL"),COUNTIF(LO3,"MEDICO (A) TRADICIONAL"),COUNTIF(ME3,"MEDICO (A) TRADICIONAL"))</calculatedColumnFormula>
    </tableColumn>
    <tableColumn id="393" xr3:uid="{00000000-0010-0000-0000-000089010000}" name="OPORTUNIDAD EN DIAS, INGRESO AL CONTROL PRENATAL DESDE EL MOMENDO DE LA IDENTIFICACIÓN" dataDxfId="69">
      <calculatedColumnFormula>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calculatedColumnFormula>
    </tableColumn>
    <tableColumn id="394" xr3:uid="{00000000-0010-0000-0000-00008A010000}" name="EDAD GESTACIONAL AL MOMENTO DE LA IDENTIFICACIÓN" dataDxfId="68">
      <calculatedColumnFormula>IF(AND(O3&gt;0,RW3&gt;0),SUM(O3-RW3)/7,"")</calculatedColumnFormula>
    </tableColumn>
    <tableColumn id="184" xr3:uid="{00000000-0010-0000-0000-0000B8000000}" name="MES2 INGRESO CPN" dataDxfId="67">
      <calculatedColumnFormula>IF(R3&gt;0,MONTH(R3),"")</calculatedColumnFormula>
    </tableColumn>
    <tableColumn id="192" xr3:uid="{00000000-0010-0000-0000-0000C0000000}" name="AÑO3 INGRESO CPN" dataDxfId="66">
      <calculatedColumnFormula>IF(R3&gt;0,YEAR(R3),"")</calculatedColumnFormula>
    </tableColumn>
    <tableColumn id="193" xr3:uid="{00000000-0010-0000-0000-0000C1000000}" name="TRIM DEL AÑOS4 INGRESO CPN" dataDxfId="65">
      <calculatedColumnFormula>IF(AND(MN3&gt;=1,MN3&lt;=3),"I TRIMESTRE AÑO",IF(AND(MN3&gt;=4,MN3&lt;=6),"II TRIMESTRE AÑO",IF(AND(MN3&gt;=7,MN3&lt;=9),"III TRIMESTRE AÑO",IF(AND(MN3&gt;=10,MN3&lt;=12),"IV TRIMESTRE AÑO",""))))</calculatedColumnFormula>
    </tableColumn>
    <tableColumn id="197" xr3:uid="{00000000-0010-0000-0000-0000C5000000}" name="AÑOS AL INICIO5 CPN" dataDxfId="64">
      <calculatedColumnFormula>IF(AND(M3&gt;0,R3&gt;0),DAYS360(M3,R3)/30.44/12,IF(AND(M3&gt;0,O3&gt;0,R3=""),DAYS360(M3,O3)/30.44/12,""))</calculatedColumnFormula>
    </tableColumn>
    <tableColumn id="198" xr3:uid="{00000000-0010-0000-0000-0000C6000000}" name="PUNTAJE ERBPS6 EDAD" dataDxfId="63">
      <calculatedColumnFormula>IF(AND(MQ3&gt;7,MQ3&lt;14),2,IF(MQ3&lt;16,1,IF(MQ3&lt;=35,0,IF(AND(MQ3&gt;35,MQ3&lt;50),2,""))))</calculatedColumnFormula>
    </tableColumn>
    <tableColumn id="199" xr3:uid="{00000000-0010-0000-0000-0000C7000000}" name="RANGO DE EDAD INICIO7" dataDxfId="62">
      <calculatedColumnFormula>+IF(MQ3="","",IF(MQ3&lt;14,"MENOR 14 AÑOS",IF(MQ3&lt;20,"DE 14 A 19AÑOS",IF(MQ3&lt;25," DE 20 A 24 AÑOS",IF(MQ3&lt;30," DE 25 A 29 AÑOS",IF(MQ3&lt;35," DE 30 A 34 AÑOS",IF(MQ3&lt;40," DE 35 A 39 AÑOS"," DE 40 Y MAS")))))))</calculatedColumnFormula>
    </tableColumn>
    <tableColumn id="211" xr3:uid="{00000000-0010-0000-0000-0000D3000000}" name="OBITO MUERTE PERINAT Y NEONATAL TARDIA" dataDxfId="61">
      <calculatedColumnFormula>IF(OR(AX3="SI",BA3="SI"),1,IF(AND(AX3="NO",BA3="NO"),0,""))</calculatedColumnFormula>
    </tableColumn>
    <tableColumn id="213" xr3:uid="{00000000-0010-0000-0000-0000D5000000}" name="PARTOS23" dataDxfId="60">
      <calculatedColumnFormula>IF(AT3="","",IF(AT3=0,1,IF(AND(AT3&gt;=1,AT3&lt;=4),0,IF(AT3&gt;=5,2,"X"))))</calculatedColumnFormula>
    </tableColumn>
    <tableColumn id="215" xr3:uid="{00000000-0010-0000-0000-0000D7000000}" name="CESAREAS34" dataDxfId="59">
      <calculatedColumnFormula>IF(AW3="","",IF(AW3=0,0,IF(AW3=1,1,IF(OR(AW3=2,AW3="3 o MAS"),2,"X"))))</calculatedColumnFormula>
    </tableColumn>
    <tableColumn id="227" xr3:uid="{00000000-0010-0000-0000-0000E3000000}" name="EMB ECTOP CX UTER5" dataDxfId="58">
      <calculatedColumnFormula>IF(AY3="SI",1,IF(AY3="NO",0,""))</calculatedColumnFormula>
    </tableColumn>
    <tableColumn id="80" xr3:uid="{00000000-0010-0000-0000-000050000000}" name="PUNTAJE ANEMIA RBPS" dataDxfId="57">
      <calculatedColumnFormula>IF(OR(AND(EM3&gt;0,EM3&lt;11),AND(ER3&gt;0,ER3&lt;10.5)),1,"")</calculatedColumnFormula>
    </tableColumn>
    <tableColumn id="78" xr3:uid="{00000000-0010-0000-0000-00004E000000}" name="PUNTAJE EMBARAZO PROLONGADO RBPS2" dataDxfId="56">
      <calculatedColumnFormula>IF(AND(AND(BU3&gt;40.9,BU3&lt;43),IN3=""),1,"")</calculatedColumnFormula>
    </tableColumn>
    <tableColumn id="82" xr3:uid="{00000000-0010-0000-0000-000052000000}" name="PUNTAJE VIH DX ACTUAL O ANTIGUO RBPS3" dataDxfId="55">
      <calculatedColumnFormula>IF(AND(GJ3="",GL3="",BB3=""),"",IF(OR(OR(GJ3="P.R REACTIVA",GJ3="ELISA REACTIVA"),OR(BB3="SI",GL3="POSITIVA",GL3="NO CONCLUYENTE")),3,""))</calculatedColumnFormula>
    </tableColumn>
    <tableColumn id="378" xr3:uid="{00000000-0010-0000-0000-00007A010000}" name="PUNTAJE PRESENTACIÓN RBPS4" dataDxfId="54">
      <calculatedColumnFormula>IF(CD3="","",IF(OR(CD3="CEFÁLICA",CD3="SD"),0,IF(OR(CD3="PODÁLICA",CD3="TRANSVERSA O DE FRENTE",CD3="OBLICUA"),3,"")))</calculatedColumnFormula>
    </tableColumn>
    <tableColumn id="379" xr3:uid="{00000000-0010-0000-0000-00007B010000}" name="PUNTAJE TAMIZAJE CHAGAS RBPS5" dataDxfId="53">
      <calculatedColumnFormula>IF(GZ3="","",IF(GZ3="POSITIVO",2,"0"))</calculatedColumnFormula>
    </tableColumn>
    <tableColumn id="380" xr3:uid="{00000000-0010-0000-0000-00007C010000}" name="PUNTAJE TAMIZAJE MALARIA RBPS6" dataDxfId="52">
      <calculatedColumnFormula>IF(AND(HB3="",HD3=""),"",IF(OR(HB3="POSITIVO",HD3="POSITIVO"),3,0))</calculatedColumnFormula>
    </tableColumn>
    <tableColumn id="231" xr3:uid="{00000000-0010-0000-0000-0000E7000000}" name="PUNTAJE TOTAL ERBPS2" dataDxfId="51">
      <calculatedColumnFormula>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calculatedColumnFormula>
    </tableColumn>
    <tableColumn id="235" xr3:uid="{00000000-0010-0000-0000-0000EB000000}" name="PUNT. RIESGO MODERADO COMPL HIPERTENSIVAS2" dataDxfId="50">
      <calculatedColumnFormula>IF(OR(O3&gt;0,R3&gt;0),SUM(COUNTIF(Tabla1[[#This Row],[AÑOS AL INICIO5 CPN]],"&gt;=40"),COUNTIF(AS3,"0"),COUNTIF(AR3,"SI"),COUNTIF(CC3,"SI"),COUNTIF(BQ3,"&gt;119"),COUNTIF(CI3,"&gt;=35")),"")</calculatedColumnFormula>
    </tableColumn>
    <tableColumn id="116" xr3:uid="{00000000-0010-0000-0000-000074000000}" name="EDAD GESTACIÓN DPT ACELULAR" dataDxfId="49">
      <calculatedColumnFormula>IF(AND(R3="",O3=""),"",IF(AND(OR(O3&gt;0,R3&gt;0),RW3=""),"SD",IF(AND(OR(O3&gt;0,R3&gt;0),ID3&gt;0),SUM(ID3-RW3)/7,"")))</calculatedColumnFormula>
    </tableColumn>
    <tableColumn id="17" xr3:uid="{00000000-0010-0000-0000-000011000000}" name="CUENTA RIESGO PSICOSOCIAL" dataDxfId="48">
      <calculatedColumnFormula>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calculatedColumnFormula>
    </tableColumn>
    <tableColumn id="18" xr3:uid="{00000000-0010-0000-0000-000012000000}" name="DIAS GESTACION ECO 12" dataDxfId="47">
      <calculatedColumnFormula>IF(BX3&gt;0,BX3*7,"")</calculatedColumnFormula>
    </tableColumn>
    <tableColumn id="86" xr3:uid="{00000000-0010-0000-0000-000056000000}" name="DIAS2 " dataDxfId="46">
      <calculatedColumnFormula>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calculatedColumnFormula>
    </tableColumn>
    <tableColumn id="108" xr3:uid="{00000000-0010-0000-0000-00006C000000}" name="MES PARTO" dataDxfId="45">
      <calculatedColumnFormula>MONTH(Tabla1[[#This Row],[FECHA DE SALIDA  DEL PROGRAMA]])</calculatedColumnFormula>
    </tableColumn>
    <tableColumn id="98" xr3:uid="{00000000-0010-0000-0000-000062000000}" name="AÑO PARTO" dataDxfId="44">
      <calculatedColumnFormula>YEAR(Tabla1[[#This Row],[FECHA DE SALIDA  DEL PROGRAMA]])</calculatedColumnFormula>
    </tableColumn>
    <tableColumn id="88" xr3:uid="{00000000-0010-0000-0000-000058000000}" name="OPORTUNIDAD CONSULTA GINECOLOGÍA (DIAS)" dataDxfId="43">
      <calculatedColumnFormula>IF(AND(O3&gt;0,R3=""),"NO CPN",IF(AND(O3="",R3=""),"",IF(AND(R3&gt;0,EJ3&gt;0,EI3&gt;0),_xlfn.DAYS(EJ3,EI3),IF(AND(R3&gt;0,EJ3&gt;0,EI3=""),"NO CITA","X"))))</calculatedColumnFormula>
    </tableColumn>
    <tableColumn id="166" xr3:uid="{00000000-0010-0000-0000-0000A6000000}" name="GESTANTES CON RESULTADO DE EXAMENES DE INGRESO " dataDxfId="42">
      <calculatedColumnFormula>IF(AND(O3&gt;0,R3=""),"NO CPN",IF(AND(O3="",R3=""),"",IF(AND(EN3&lt;&gt;"",EX3&lt;&gt;"",FB3&lt;&gt;"",FK3&lt;&gt;"",FW3&lt;&gt;"",FZ3&lt;&gt;"",GO3&lt;&gt;"",GQ3&lt;&gt;"",GR3&lt;&gt;""),"SI","NO")))</calculatedColumnFormula>
    </tableColumn>
    <tableColumn id="194" xr3:uid="{00000000-0010-0000-0000-0000C2000000}" name="GESTANTES CON RESULTADOS DE EXAMENES II TRIMESTRE" dataDxfId="41">
      <calculatedColumnFormula>IF(AND(O3&gt;0,R3=""),"NO CPN",IF(AND(O3="",R3=""),"",IF(AND(R3&gt;0,Tabla1[[#This Row],[SEMANAS DE GESTACION ACTUALIZADAS]]&lt;=12),"NO APLICA",IF(AND(FH3&lt;&gt;"",FN3&lt;&gt;""),"SI","NO"))))</calculatedColumnFormula>
    </tableColumn>
    <tableColumn id="195" xr3:uid="{00000000-0010-0000-0000-0000C3000000}" name="GESTANTES CON RESULTADOS DE EXAMENES III TRIMESTRE2" dataDxfId="40">
      <calculatedColumnFormula>IF(AND(O3&gt;0,R3=""),"NO CPN",IF(AND(O3="",R3=""),"",IF(AND(R3&gt;0,Tabla1[[#This Row],[SEMANAS DE GESTACION ACTUALIZADAS]]&lt;=27),"NO APLICA",IF(AND(ES3&lt;&gt;"",FQ3&lt;&gt;"",GF3&lt;&gt;""),"SI","NO"))))</calculatedColumnFormula>
    </tableColumn>
    <tableColumn id="334" xr3:uid="{00000000-0010-0000-0000-00004E010000}" name="CAPTACIÓN A SEMANA 12" dataDxfId="39" dataCellStyle="Normal 2">
      <calculatedColumnFormula>IF(AND(BS3="",IG3=""),"",IF(AND(BS3="",IG3="DEFINIR FPP POR ECO"),"SIN DATO",IF(BS3&lt;0,"ERROR FUM O INGRESO",IF(BP3="NO","DEFINIR CON ECO",IF(BS3&lt;12,"I TRIM",IF(BS3&lt;27,"II TRIM",IF(AND(BS3&gt;26,BS3&lt;45),"III TRIM","ERROR FUM O INGRESO")))))))</calculatedColumnFormula>
    </tableColumn>
    <tableColumn id="389" xr3:uid="{00000000-0010-0000-0000-000085010000}" name="Puntaje ROBSON" dataDxfId="38" dataCellStyle="Normal 2">
      <calculatedColumnFormula>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calculatedColumnFormula>
    </tableColumn>
    <tableColumn id="390" xr3:uid="{00000000-0010-0000-0000-000086010000}" name="# DE TAMIZAJES VIH Y SIFILIS A TOMAR SEGÚN TRIM INICIO CPN Y SALIDA DEL PROGRAMA" dataDxfId="37" dataCellStyle="Normal 2">
      <calculatedColumnFormula>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calculatedColumnFormula>
    </tableColumn>
    <tableColumn id="391" xr3:uid="{00000000-0010-0000-0000-000087010000}" name="# DE TAMIZAJES SIFILIS TOMADOS " dataDxfId="36" dataCellStyle="Normal 2">
      <calculatedColumnFormula>COUNT(FL3,FO3,FR3,FT3)</calculatedColumnFormula>
    </tableColumn>
    <tableColumn id="392" xr3:uid="{00000000-0010-0000-0000-000088010000}" name="# DE TAMIZAJES VIH TOMADOS " dataDxfId="35" dataCellStyle="Normal 2">
      <calculatedColumnFormula>COUNT(GA3,GD3,GG3,GI3)</calculatedColumnFormula>
    </tableColumn>
    <tableColumn id="396" xr3:uid="{00000000-0010-0000-0000-00008C010000}" name="Alarma de apoyo Tamizaje Sífilis" dataDxfId="34" dataCellStyle="Normal 2">
      <calculatedColumnFormula>IF(NR3="","",IF(NR3="REVISAR FUM O FECHA SALIDA PROGRAMA","POR DEFINIR",IF(OR(NR3=NS3,NS3&gt;NR3),"COMPLETO",IF(NS3&lt;NR3,"INCOMPLETO",""))))</calculatedColumnFormula>
    </tableColumn>
    <tableColumn id="397" xr3:uid="{00000000-0010-0000-0000-00008D010000}" name="Alarma de apoyo Tamizaje VIH" dataDxfId="33" dataCellStyle="Normal 2">
      <calculatedColumnFormula>IF(NR3="","",IF(NR3="REVISAR FUM O FECHA SALIDA PROGRAMA","POR DEFINIR",IF(OR(NR3=NT3,NT3&gt;NR3),"COMPLETO",IF(NT3&lt;NR3,"INCOMPLETO",""))))</calculatedColumnFormula>
    </tableColumn>
    <tableColumn id="270" xr3:uid="{00000000-0010-0000-0000-00000E010000}" name="# DE MUJERES CON SUMINISTRO ADECUADO DE MICRONUTRIENTES" dataDxfId="32" dataCellStyle="Normal 2">
      <calculatedColumnFormula>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calculatedColumnFormula>
    </tableColumn>
    <tableColumn id="395" xr3:uid="{00000000-0010-0000-0000-00008B010000}" name="Alarma apoyo DPT Acelular vacunadas" dataDxfId="31" dataCellStyle="Normal 2">
      <calculatedColumnFormula>IF(AND(O3="",R3=""),"",IF(OR(IE3="VACUNA APLICADA ENTRE SEMANA 20 Y SEMANA 26",IE3="VACUNA APLICADA ENTRE SEMANA 27 Y EL PARTO",IE3="VACUNA APLICADA ANTES SEMANA 20"),"VACUNADA","SIN VACUNAR"))</calculatedColumnFormula>
    </tableColumn>
  </tableColumns>
  <tableStyleInfo name="TableStyleLight21" showFirstColumn="0" showLastColumn="0" showRowStripes="1" showColumnStripes="0"/>
</table>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printerSettings" Target="../printerSettings/printerSettings4.bin"/><Relationship Id="rId1" Type="http://schemas.openxmlformats.org/officeDocument/2006/relationships/printerSettings" Target="../printerSettings/printerSettings3.bin"/><Relationship Id="rId4"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XFD153"/>
  <sheetViews>
    <sheetView topLeftCell="A29" zoomScaleNormal="100" workbookViewId="0">
      <selection activeCell="Q62" sqref="Q62"/>
    </sheetView>
  </sheetViews>
  <sheetFormatPr baseColWidth="10" defaultRowHeight="15" x14ac:dyDescent="0.25"/>
  <cols>
    <col min="1" max="1" width="43.42578125" customWidth="1"/>
    <col min="2" max="2" width="8.28515625" customWidth="1"/>
    <col min="3" max="3" width="8.85546875" bestFit="1" customWidth="1"/>
    <col min="4" max="4" width="8.28515625" customWidth="1"/>
    <col min="5" max="5" width="8.85546875" bestFit="1" customWidth="1"/>
    <col min="6" max="13" width="8.28515625" customWidth="1"/>
    <col min="14" max="14" width="15.140625" customWidth="1"/>
  </cols>
  <sheetData>
    <row r="3" spans="1:14" ht="23.25" x14ac:dyDescent="0.35">
      <c r="A3" s="45" t="s">
        <v>394</v>
      </c>
      <c r="L3" s="163" t="s">
        <v>753</v>
      </c>
    </row>
    <row r="4" spans="1:14" ht="19.5" thickBot="1" x14ac:dyDescent="0.35">
      <c r="A4" s="52" t="s">
        <v>18</v>
      </c>
      <c r="B4" s="52">
        <v>2023</v>
      </c>
    </row>
    <row r="5" spans="1:14" ht="15.75" thickBot="1" x14ac:dyDescent="0.3">
      <c r="A5" t="s">
        <v>402</v>
      </c>
      <c r="B5" t="s">
        <v>357</v>
      </c>
      <c r="C5" t="s">
        <v>358</v>
      </c>
      <c r="D5" t="s">
        <v>359</v>
      </c>
      <c r="E5" t="s">
        <v>360</v>
      </c>
      <c r="F5" t="s">
        <v>361</v>
      </c>
      <c r="G5" t="s">
        <v>362</v>
      </c>
      <c r="H5" t="s">
        <v>363</v>
      </c>
      <c r="I5" t="s">
        <v>364</v>
      </c>
      <c r="J5" t="s">
        <v>365</v>
      </c>
      <c r="K5" t="s">
        <v>366</v>
      </c>
      <c r="L5" t="s">
        <v>367</v>
      </c>
      <c r="M5" t="s">
        <v>368</v>
      </c>
      <c r="N5" s="169" t="s">
        <v>751</v>
      </c>
    </row>
    <row r="6" spans="1:14" ht="15.75" thickBot="1" x14ac:dyDescent="0.3">
      <c r="A6" s="49" t="s">
        <v>393</v>
      </c>
      <c r="B6" s="102">
        <v>1</v>
      </c>
      <c r="C6" s="103">
        <v>2</v>
      </c>
      <c r="D6" s="103">
        <v>3</v>
      </c>
      <c r="E6" s="103">
        <v>4</v>
      </c>
      <c r="F6" s="103">
        <v>5</v>
      </c>
      <c r="G6" s="103">
        <v>6</v>
      </c>
      <c r="H6" s="103">
        <v>7</v>
      </c>
      <c r="I6" s="103">
        <v>8</v>
      </c>
      <c r="J6" s="103">
        <v>9</v>
      </c>
      <c r="K6" s="103">
        <v>10</v>
      </c>
      <c r="L6" s="103">
        <v>11</v>
      </c>
      <c r="M6" s="166">
        <v>12</v>
      </c>
      <c r="N6" s="174" t="s">
        <v>752</v>
      </c>
    </row>
    <row r="7" spans="1:14" x14ac:dyDescent="0.25">
      <c r="A7" s="50" t="s">
        <v>398</v>
      </c>
      <c r="B7" s="165"/>
      <c r="C7" s="165"/>
      <c r="D7" s="165"/>
      <c r="E7" s="165"/>
      <c r="F7" s="165"/>
      <c r="G7" s="165"/>
      <c r="H7" s="165"/>
      <c r="I7" s="165"/>
      <c r="J7" s="165"/>
      <c r="K7" s="165"/>
      <c r="L7" s="165"/>
      <c r="M7" s="167"/>
      <c r="N7" s="173">
        <f>COUNTIFS(Tabla1[GESTANTES ACTUALES],"ACTIVA INGRESO A CPN")</f>
        <v>149</v>
      </c>
    </row>
    <row r="8" spans="1:14" x14ac:dyDescent="0.25">
      <c r="A8" s="50" t="s">
        <v>392</v>
      </c>
      <c r="B8" s="43"/>
      <c r="C8" s="43"/>
      <c r="D8" s="43"/>
      <c r="E8" s="43"/>
      <c r="F8" s="43"/>
      <c r="G8" s="43"/>
      <c r="H8" s="43"/>
      <c r="I8" s="43"/>
      <c r="J8" s="43"/>
      <c r="K8" s="43"/>
      <c r="L8" s="43"/>
      <c r="M8" s="168"/>
      <c r="N8" s="170">
        <f ca="1">COUNTIFS(Tabla1[GESTANTES ACTUALES],"ACTIVA INGRESO A CPN",Tabla1[ALERTA SEGUIMIENTO],"INASISTENTE")</f>
        <v>0</v>
      </c>
    </row>
    <row r="9" spans="1:14" x14ac:dyDescent="0.25">
      <c r="A9" s="50" t="s">
        <v>399</v>
      </c>
      <c r="B9" s="43"/>
      <c r="C9" s="43"/>
      <c r="D9" s="43"/>
      <c r="E9" s="43"/>
      <c r="F9" s="43"/>
      <c r="G9" s="43"/>
      <c r="H9" s="43"/>
      <c r="I9" s="43"/>
      <c r="J9" s="43"/>
      <c r="K9" s="43"/>
      <c r="L9" s="43"/>
      <c r="M9" s="168"/>
      <c r="N9" s="170">
        <f>COUNTIFS(Tabla1[GESTANTES ACTUALES],"ACTIVA SIN INGRESO CPN")</f>
        <v>0</v>
      </c>
    </row>
    <row r="10" spans="1:14" ht="15.75" thickBot="1" x14ac:dyDescent="0.3">
      <c r="A10" s="50" t="s">
        <v>400</v>
      </c>
      <c r="B10" s="43"/>
      <c r="C10" s="43"/>
      <c r="D10" s="43"/>
      <c r="E10" s="43"/>
      <c r="F10" s="43"/>
      <c r="G10" s="43"/>
      <c r="H10" s="43"/>
      <c r="I10" s="43"/>
      <c r="J10" s="43"/>
      <c r="K10" s="43"/>
      <c r="L10" s="43"/>
      <c r="M10" s="168"/>
      <c r="N10" s="171">
        <f>COUNTIFS(Tabla1[GESTANTES ACTUALES],"SALE SIN INGRESO CPN")</f>
        <v>0</v>
      </c>
    </row>
    <row r="11" spans="1:14" ht="15.75" thickBot="1" x14ac:dyDescent="0.3">
      <c r="A11" s="51" t="s">
        <v>401</v>
      </c>
      <c r="B11" s="46" t="str">
        <f t="shared" ref="B11:N11" si="0">IF(B7=0,"",SUM(B8/B7))</f>
        <v/>
      </c>
      <c r="C11" s="46" t="str">
        <f t="shared" si="0"/>
        <v/>
      </c>
      <c r="D11" s="46" t="str">
        <f t="shared" si="0"/>
        <v/>
      </c>
      <c r="E11" s="46" t="str">
        <f t="shared" si="0"/>
        <v/>
      </c>
      <c r="F11" s="46" t="str">
        <f t="shared" si="0"/>
        <v/>
      </c>
      <c r="G11" s="46" t="str">
        <f t="shared" si="0"/>
        <v/>
      </c>
      <c r="H11" s="46" t="str">
        <f t="shared" si="0"/>
        <v/>
      </c>
      <c r="I11" s="46" t="str">
        <f t="shared" si="0"/>
        <v/>
      </c>
      <c r="J11" s="46" t="str">
        <f t="shared" si="0"/>
        <v/>
      </c>
      <c r="K11" s="46" t="str">
        <f t="shared" si="0"/>
        <v/>
      </c>
      <c r="L11" s="46" t="str">
        <f t="shared" si="0"/>
        <v/>
      </c>
      <c r="M11" s="172" t="str">
        <f t="shared" si="0"/>
        <v/>
      </c>
      <c r="N11" s="139">
        <f t="shared" ca="1" si="0"/>
        <v>0</v>
      </c>
    </row>
    <row r="12" spans="1:14" ht="15.75" thickBot="1" x14ac:dyDescent="0.3">
      <c r="A12" s="53"/>
      <c r="B12" s="156"/>
      <c r="C12" s="69"/>
      <c r="D12" s="69"/>
      <c r="E12" s="69"/>
      <c r="F12" s="69"/>
      <c r="G12" s="69"/>
      <c r="H12" s="69"/>
      <c r="I12" s="69"/>
      <c r="J12" s="69"/>
      <c r="K12" s="69"/>
      <c r="L12" s="69"/>
      <c r="M12" s="69"/>
    </row>
    <row r="13" spans="1:14" ht="19.5" thickBot="1" x14ac:dyDescent="0.35">
      <c r="A13" s="158" t="s">
        <v>690</v>
      </c>
      <c r="B13" s="405" t="s">
        <v>701</v>
      </c>
      <c r="C13" s="406"/>
      <c r="D13" s="407" t="s">
        <v>720</v>
      </c>
      <c r="E13" s="408"/>
      <c r="F13" s="69"/>
      <c r="G13" s="69"/>
      <c r="H13" s="69"/>
      <c r="I13" s="69"/>
      <c r="J13" s="69"/>
      <c r="K13" s="69"/>
      <c r="L13" s="69"/>
      <c r="M13" s="69"/>
    </row>
    <row r="14" spans="1:14" ht="26.25" thickBot="1" x14ac:dyDescent="0.3">
      <c r="A14" s="155" t="s">
        <v>692</v>
      </c>
      <c r="B14" s="157">
        <f ca="1">COUNTIFS(Tabla1[GESTANTES ACTUALES],"ACTIVA INGRESO A CPN",Tabla1[RIESGO BIOPSICOSOCIAL],"ALTO RIESGO",Tabla1[FECHA ASISTENCIA PRIMERA VEZ CON GINECOLOGÍA],"&lt;&gt;",Tabla1[ASEGURADORA],$A$13)</f>
        <v>2</v>
      </c>
      <c r="C14" s="401">
        <f ca="1">IFERROR((SUM(B14/B15)),"")</f>
        <v>0.25</v>
      </c>
      <c r="D14" s="157">
        <f ca="1">COUNTIFS(Tabla1[GESTANTES ACTUALES],"ACTIVA INGRESO A CPN",Tabla1[RIESGO BIOPSICOSOCIAL],"ALTO RIESGO",Tabla1[FECHA ASISTENCIA PRIMERA VEZ CON GINECOLOGÍA],"&lt;&gt;")</f>
        <v>2</v>
      </c>
      <c r="E14" s="401">
        <f ca="1">IFERROR(SUM(D14/D15),"")</f>
        <v>0.25</v>
      </c>
      <c r="F14" s="69"/>
      <c r="G14" s="69"/>
      <c r="H14" s="69"/>
      <c r="I14" s="69"/>
      <c r="J14" s="69"/>
      <c r="K14" s="69"/>
      <c r="L14" s="69"/>
      <c r="M14" s="69"/>
    </row>
    <row r="15" spans="1:14" ht="23.25" customHeight="1" thickBot="1" x14ac:dyDescent="0.3">
      <c r="A15" s="155" t="s">
        <v>691</v>
      </c>
      <c r="B15" s="157">
        <f ca="1">COUNTIFS(Tabla1[GESTANTES ACTUALES],"ACTIVA INGRESO A CPN",Tabla1[RIESGO BIOPSICOSOCIAL],"ALTO RIESGO",Tabla1[ASEGURADORA],$A$13)</f>
        <v>8</v>
      </c>
      <c r="C15" s="402"/>
      <c r="D15" s="157">
        <f ca="1">COUNTIFS(Tabla1[GESTANTES ACTUALES],"ACTIVA INGRESO A CPN",Tabla1[RIESGO BIOPSICOSOCIAL],"ALTO RIESGO")</f>
        <v>8</v>
      </c>
      <c r="E15" s="402"/>
      <c r="F15" s="69"/>
      <c r="G15" s="69"/>
      <c r="H15" s="69"/>
      <c r="I15" s="69"/>
      <c r="J15" s="69"/>
      <c r="K15" s="69"/>
      <c r="L15" s="69"/>
      <c r="M15" s="69"/>
    </row>
    <row r="16" spans="1:14" ht="19.5" thickBot="1" x14ac:dyDescent="0.35">
      <c r="B16" s="405" t="s">
        <v>701</v>
      </c>
      <c r="C16" s="406"/>
      <c r="D16" s="407" t="s">
        <v>720</v>
      </c>
      <c r="E16" s="408"/>
      <c r="F16" s="69"/>
      <c r="G16" s="69"/>
      <c r="H16" s="69"/>
      <c r="I16" s="69"/>
      <c r="J16" s="69"/>
      <c r="K16" s="69"/>
      <c r="L16" s="69"/>
      <c r="M16" s="69"/>
    </row>
    <row r="17" spans="1:13" ht="26.25" thickBot="1" x14ac:dyDescent="0.3">
      <c r="A17" s="155" t="s">
        <v>700</v>
      </c>
      <c r="B17" s="157">
        <f>COUNTIFS(Tabla1[GESTANTES ACTUALES],"ACTIVA INGRESO A CPN",Tabla1['# DE MUJERES CON SUMINISTRO ADECUADO DE MICRONUTRIENTES],"COMPLETO",Tabla1[ASEGURADORA],$A$13)</f>
        <v>30</v>
      </c>
      <c r="C17" s="403">
        <f>IFERROR(SUM(B17/B18),"")</f>
        <v>0.20134228187919462</v>
      </c>
      <c r="D17" s="157">
        <f>COUNTIFS(Tabla1[GESTANTES ACTUALES],"ACTIVA INGRESO A CPN",Tabla1['# DE MUJERES CON SUMINISTRO ADECUADO DE MICRONUTRIENTES],"COMPLETO")</f>
        <v>30</v>
      </c>
      <c r="E17" s="403">
        <f>IFERROR(SUM(D17/D18),"")</f>
        <v>0.20134228187919462</v>
      </c>
      <c r="F17" s="69"/>
      <c r="G17" s="69"/>
      <c r="H17" s="69"/>
      <c r="I17" s="69"/>
      <c r="J17" s="69"/>
      <c r="K17" s="69"/>
      <c r="L17" s="69"/>
      <c r="M17" s="69"/>
    </row>
    <row r="18" spans="1:13" ht="15.75" thickBot="1" x14ac:dyDescent="0.3">
      <c r="A18" s="50" t="s">
        <v>398</v>
      </c>
      <c r="B18" s="157">
        <f>COUNTIFS(Tabla1[GESTANTES ACTUALES],"ACTIVA INGRESO A CPN",Tabla1[ASEGURADORA],$A$13)</f>
        <v>149</v>
      </c>
      <c r="C18" s="404"/>
      <c r="D18" s="157">
        <f>COUNTIFS(Tabla1[GESTANTES ACTUALES],"ACTIVA INGRESO A CPN")</f>
        <v>149</v>
      </c>
      <c r="E18" s="404"/>
      <c r="F18" s="69"/>
      <c r="G18" s="69"/>
      <c r="H18" s="69"/>
      <c r="I18" s="69"/>
      <c r="J18" s="69"/>
      <c r="K18" s="69"/>
      <c r="L18" s="69"/>
      <c r="M18" s="69"/>
    </row>
    <row r="19" spans="1:13" ht="19.5" thickBot="1" x14ac:dyDescent="0.35">
      <c r="B19" s="405" t="s">
        <v>701</v>
      </c>
      <c r="C19" s="406"/>
      <c r="D19" s="407" t="s">
        <v>720</v>
      </c>
      <c r="E19" s="408"/>
      <c r="F19" s="69"/>
      <c r="G19" s="69"/>
      <c r="H19" s="69"/>
      <c r="I19" s="69"/>
      <c r="J19" s="69"/>
      <c r="K19" s="69"/>
      <c r="L19" s="69"/>
      <c r="M19" s="69"/>
    </row>
    <row r="20" spans="1:13" ht="26.25" thickBot="1" x14ac:dyDescent="0.3">
      <c r="A20" s="155" t="s">
        <v>719</v>
      </c>
      <c r="B20" s="157">
        <f ca="1">COUNTIFS(Tabla1[GESTANTES ACTUALES],"ACTIVA INGRESO A CPN",Tabla1[Alarma de apoyo Tamizaje Sífilis],"COMPLETO",Tabla1[ASEGURADORA],$A$13)</f>
        <v>4</v>
      </c>
      <c r="C20" s="409">
        <f ca="1">IFERROR(SUM(B20/B21),"")</f>
        <v>2.6845637583892617E-2</v>
      </c>
      <c r="D20" s="157">
        <f ca="1">COUNTIFS(Tabla1[GESTANTES ACTUALES],"ACTIVA INGRESO A CPN",Tabla1[Alarma de apoyo Tamizaje Sífilis],"COMPLETO")</f>
        <v>4</v>
      </c>
      <c r="E20" s="409">
        <f ca="1">IFERROR(SUM(D20/D21),"")</f>
        <v>2.6845637583892617E-2</v>
      </c>
      <c r="F20" s="69"/>
      <c r="G20" s="69"/>
      <c r="H20" s="69"/>
      <c r="I20" s="69"/>
      <c r="J20" s="69"/>
      <c r="K20" s="69"/>
      <c r="L20" s="69"/>
      <c r="M20" s="69"/>
    </row>
    <row r="21" spans="1:13" ht="15.75" customHeight="1" thickBot="1" x14ac:dyDescent="0.3">
      <c r="A21" s="50" t="s">
        <v>398</v>
      </c>
      <c r="B21" s="157">
        <f>COUNTIFS(Tabla1[GESTANTES ACTUALES],"ACTIVA INGRESO A CPN",Tabla1[ASEGURADORA],$A$13)</f>
        <v>149</v>
      </c>
      <c r="C21" s="410"/>
      <c r="D21" s="157">
        <f>COUNTIFS(Tabla1[GESTANTES ACTUALES],"ACTIVA INGRESO A CPN")</f>
        <v>149</v>
      </c>
      <c r="E21" s="410"/>
      <c r="F21" s="69"/>
      <c r="G21" s="69"/>
      <c r="H21" s="69"/>
      <c r="I21" s="69"/>
      <c r="J21" s="69"/>
      <c r="K21" s="69"/>
      <c r="L21" s="69"/>
      <c r="M21" s="69"/>
    </row>
    <row r="22" spans="1:13" ht="19.5" thickBot="1" x14ac:dyDescent="0.35">
      <c r="B22" s="405" t="s">
        <v>701</v>
      </c>
      <c r="C22" s="406"/>
      <c r="D22" s="407" t="s">
        <v>720</v>
      </c>
      <c r="E22" s="408"/>
      <c r="F22" s="69"/>
      <c r="G22" s="69"/>
      <c r="H22" s="69"/>
      <c r="I22" s="69"/>
      <c r="J22" s="69"/>
      <c r="K22" s="69"/>
      <c r="L22" s="69"/>
      <c r="M22" s="69"/>
    </row>
    <row r="23" spans="1:13" ht="26.25" thickBot="1" x14ac:dyDescent="0.3">
      <c r="A23" s="155" t="s">
        <v>723</v>
      </c>
      <c r="B23" s="157">
        <f ca="1">COUNTIFS(Tabla1[GESTANTES ACTUALES],"ACTIVA INGRESO A CPN",Tabla1[Alarma de apoyo Tamizaje VIH],"COMPLETO",Tabla1[ASEGURADORA],$A$13)</f>
        <v>5</v>
      </c>
      <c r="C23" s="409">
        <f ca="1">IFERROR(SUM(B23/B24),"")</f>
        <v>3.3557046979865772E-2</v>
      </c>
      <c r="D23" s="157">
        <f ca="1">COUNTIFS(Tabla1[GESTANTES ACTUALES],"ACTIVA INGRESO A CPN",Tabla1[Alarma de apoyo Tamizaje VIH],"COMPLETO")</f>
        <v>5</v>
      </c>
      <c r="E23" s="409">
        <f ca="1">IFERROR(SUM(D23/D24),"")</f>
        <v>3.3557046979865772E-2</v>
      </c>
      <c r="F23" s="69"/>
      <c r="G23" s="69"/>
      <c r="H23" s="69"/>
      <c r="I23" s="69"/>
      <c r="J23" s="69"/>
      <c r="K23" s="69"/>
      <c r="L23" s="69"/>
      <c r="M23" s="69"/>
    </row>
    <row r="24" spans="1:13" ht="15.75" thickBot="1" x14ac:dyDescent="0.3">
      <c r="A24" s="50" t="s">
        <v>398</v>
      </c>
      <c r="B24" s="157">
        <f>COUNTIFS(Tabla1[GESTANTES ACTUALES],"ACTIVA INGRESO A CPN",Tabla1[ASEGURADORA],$A$13)</f>
        <v>149</v>
      </c>
      <c r="C24" s="410"/>
      <c r="D24" s="157">
        <f>COUNTIFS(Tabla1[GESTANTES ACTUALES],"ACTIVA INGRESO A CPN")</f>
        <v>149</v>
      </c>
      <c r="E24" s="410"/>
      <c r="F24" s="69"/>
      <c r="G24" s="69"/>
      <c r="H24" s="69"/>
      <c r="I24" s="69"/>
      <c r="J24" s="69"/>
      <c r="K24" s="69"/>
      <c r="L24" s="69"/>
      <c r="M24" s="69"/>
    </row>
    <row r="25" spans="1:13" ht="19.5" thickBot="1" x14ac:dyDescent="0.35">
      <c r="B25" s="405" t="s">
        <v>701</v>
      </c>
      <c r="C25" s="406"/>
      <c r="D25" s="407" t="s">
        <v>720</v>
      </c>
      <c r="E25" s="408"/>
      <c r="F25" s="69"/>
      <c r="G25" s="69"/>
      <c r="H25" s="69"/>
      <c r="I25" s="69"/>
      <c r="J25" s="69"/>
      <c r="K25" s="69"/>
      <c r="L25" s="69"/>
      <c r="M25" s="69"/>
    </row>
    <row r="26" spans="1:13" ht="26.25" thickBot="1" x14ac:dyDescent="0.3">
      <c r="A26" s="155" t="s">
        <v>722</v>
      </c>
      <c r="B26" s="157">
        <f ca="1">COUNTIFS(Tabla1[GESTANTES ACTUALES],"ACTIVA INGRESO A CPN",Tabla1[SEMANAS DE GESTACION ACTUALIZADAS],"&gt;36",Tabla1[SEMANAS DE GESTACION ACTUALIZADAS],"&lt;44",Tabla1[FECHA DE CONCERTACIÓN PLAN DE PARTO (Soporte HC)],"&lt;&gt;",Tabla1[ASEGURADORA],$A$13)</f>
        <v>0</v>
      </c>
      <c r="C26" s="409">
        <f ca="1">IFERROR(SUM(B26/B27),"")</f>
        <v>0</v>
      </c>
      <c r="D26" s="157">
        <f ca="1">COUNTIFS(Tabla1[GESTANTES ACTUALES],"ACTIVA INGRESO A CPN",Tabla1[SEMANAS DE GESTACION ACTUALIZADAS],"&gt;36",Tabla1[SEMANAS DE GESTACION ACTUALIZADAS],"&lt;44",Tabla1[FECHA DE CONCERTACIÓN PLAN DE PARTO (Soporte HC)],"&lt;&gt;")</f>
        <v>0</v>
      </c>
      <c r="E26" s="409">
        <f ca="1">IFERROR(SUM(D26/D27),"")</f>
        <v>0</v>
      </c>
      <c r="F26" s="69"/>
      <c r="G26" s="69"/>
      <c r="H26" s="69"/>
      <c r="I26" s="69"/>
      <c r="J26" s="69"/>
      <c r="K26" s="69"/>
      <c r="L26" s="69"/>
      <c r="M26" s="69"/>
    </row>
    <row r="27" spans="1:13" ht="15.75" thickBot="1" x14ac:dyDescent="0.3">
      <c r="A27" s="50" t="s">
        <v>721</v>
      </c>
      <c r="B27" s="157">
        <f ca="1">COUNTIFS(Tabla1[GESTANTES ACTUALES],"ACTIVA INGRESO A CPN",Tabla1[SEMANAS DE GESTACION ACTUALIZADAS],"&gt;36",Tabla1[SEMANAS DE GESTACION ACTUALIZADAS],"&lt;44",Tabla1[ASEGURADORA],$A$13)</f>
        <v>36</v>
      </c>
      <c r="C27" s="410"/>
      <c r="D27" s="157">
        <f ca="1">COUNTIFS(Tabla1[GESTANTES ACTUALES],"ACTIVA INGRESO A CPN",Tabla1[SEMANAS DE GESTACION ACTUALIZADAS],"&gt;36",Tabla1[SEMANAS DE GESTACION ACTUALIZADAS],"&lt;44")</f>
        <v>36</v>
      </c>
      <c r="E27" s="410"/>
      <c r="F27" s="69"/>
      <c r="G27" s="69"/>
      <c r="H27" s="69"/>
      <c r="I27" s="69"/>
      <c r="J27" s="69"/>
      <c r="K27" s="69"/>
      <c r="L27" s="69"/>
      <c r="M27" s="69"/>
    </row>
    <row r="28" spans="1:13" ht="19.5" thickBot="1" x14ac:dyDescent="0.35">
      <c r="B28" s="405" t="s">
        <v>701</v>
      </c>
      <c r="C28" s="406"/>
      <c r="D28" s="407" t="s">
        <v>720</v>
      </c>
      <c r="E28" s="408"/>
      <c r="F28" s="69"/>
      <c r="G28" s="69"/>
      <c r="H28" s="69"/>
      <c r="I28" s="69"/>
      <c r="J28" s="69"/>
      <c r="K28" s="69"/>
      <c r="L28" s="69"/>
      <c r="M28" s="69"/>
    </row>
    <row r="29" spans="1:13" ht="26.25" thickBot="1" x14ac:dyDescent="0.3">
      <c r="A29" s="164" t="s">
        <v>735</v>
      </c>
      <c r="B29" s="157">
        <f ca="1">COUNTIFS(Tabla1[GESTANTES ACTUALES],"ACTIVA INGRESO A CPN",Tabla1[SEMANAS DE GESTACION ACTUALIZADAS],"&gt;36",Tabla1[SEMANAS DE GESTACION ACTUALIZADAS],"&lt;44",Tabla1[FECHA VACUNA DPT ACELULAR],"&lt;&gt;",Tabla1[ASEGURADORA],$A$13)</f>
        <v>4</v>
      </c>
      <c r="C29" s="409">
        <f ca="1">IFERROR(SUM(B29/B30),"")</f>
        <v>0.1111111111111111</v>
      </c>
      <c r="D29" s="157">
        <f ca="1">COUNTIFS(Tabla1[GESTANTES ACTUALES],"ACTIVA INGRESO A CPN",Tabla1[SEMANAS DE GESTACION ACTUALIZADAS],"&gt;36",Tabla1[SEMANAS DE GESTACION ACTUALIZADAS],"&lt;44",Tabla1[FECHA VACUNA DPT ACELULAR],"&lt;&gt;")</f>
        <v>4</v>
      </c>
      <c r="E29" s="409">
        <f ca="1">IFERROR(SUM(D29/D30),"")</f>
        <v>0.1111111111111111</v>
      </c>
      <c r="F29" s="69"/>
      <c r="G29" s="69"/>
      <c r="H29" s="69"/>
      <c r="I29" s="69"/>
      <c r="J29" s="69"/>
      <c r="K29" s="69"/>
      <c r="L29" s="69"/>
      <c r="M29" s="69"/>
    </row>
    <row r="30" spans="1:13" ht="15.75" thickBot="1" x14ac:dyDescent="0.3">
      <c r="A30" s="50" t="s">
        <v>721</v>
      </c>
      <c r="B30" s="157">
        <f ca="1">COUNTIFS(Tabla1[GESTANTES ACTUALES],"ACTIVA INGRESO A CPN",Tabla1[SEMANAS DE GESTACION ACTUALIZADAS],"&gt;36",Tabla1[SEMANAS DE GESTACION ACTUALIZADAS],"&lt;44",Tabla1[ASEGURADORA],$A$13)</f>
        <v>36</v>
      </c>
      <c r="C30" s="410"/>
      <c r="D30" s="157">
        <f ca="1">COUNTIFS(Tabla1[GESTANTES ACTUALES],"ACTIVA INGRESO A CPN",Tabla1[SEMANAS DE GESTACION ACTUALIZADAS],"&gt;36",Tabla1[SEMANAS DE GESTACION ACTUALIZADAS],"&lt;44")</f>
        <v>36</v>
      </c>
      <c r="E30" s="410"/>
      <c r="F30" s="69"/>
      <c r="G30" s="69"/>
      <c r="H30" s="69"/>
      <c r="I30" s="69"/>
      <c r="J30" s="69"/>
      <c r="K30" s="69"/>
      <c r="L30" s="69"/>
      <c r="M30" s="69"/>
    </row>
    <row r="31" spans="1:13" x14ac:dyDescent="0.25">
      <c r="C31" s="69"/>
      <c r="D31" s="69"/>
      <c r="E31" s="69"/>
      <c r="F31" s="69"/>
      <c r="G31" s="69"/>
      <c r="H31" s="69"/>
      <c r="I31" s="69"/>
      <c r="J31" s="69"/>
      <c r="K31" s="69"/>
      <c r="L31" s="69"/>
      <c r="M31" s="69"/>
    </row>
    <row r="32" spans="1:13" x14ac:dyDescent="0.25">
      <c r="C32" s="69"/>
      <c r="D32" s="69"/>
      <c r="E32" s="69"/>
      <c r="F32" s="69"/>
      <c r="G32" s="69"/>
      <c r="H32" s="69"/>
      <c r="I32" s="69"/>
      <c r="J32" s="69"/>
      <c r="K32" s="69"/>
      <c r="L32" s="69"/>
      <c r="M32" s="69"/>
    </row>
    <row r="33" spans="1:14" x14ac:dyDescent="0.25">
      <c r="A33" s="70" t="s">
        <v>757</v>
      </c>
      <c r="B33" s="69"/>
      <c r="C33" s="69"/>
      <c r="D33" s="69"/>
      <c r="E33" s="69"/>
      <c r="F33" s="69"/>
      <c r="G33" s="69"/>
      <c r="H33" s="69"/>
      <c r="I33" s="69"/>
      <c r="J33" s="69"/>
      <c r="K33" s="69"/>
      <c r="L33" s="69"/>
      <c r="M33" s="69"/>
    </row>
    <row r="34" spans="1:14" ht="15.75" thickBot="1" x14ac:dyDescent="0.3">
      <c r="A34" s="47"/>
      <c r="B34" s="48"/>
      <c r="C34" s="48"/>
      <c r="D34" s="48"/>
      <c r="E34" s="48"/>
      <c r="F34" s="48"/>
      <c r="G34" s="48"/>
      <c r="H34" s="48"/>
      <c r="I34" s="48"/>
      <c r="J34" s="48"/>
      <c r="K34" s="48"/>
      <c r="L34" s="48"/>
      <c r="M34" s="48"/>
    </row>
    <row r="35" spans="1:14" ht="16.5" thickBot="1" x14ac:dyDescent="0.3">
      <c r="A35" s="75" t="s">
        <v>402</v>
      </c>
      <c r="B35" s="77" t="s">
        <v>357</v>
      </c>
      <c r="C35" s="78" t="s">
        <v>358</v>
      </c>
      <c r="D35" s="78" t="s">
        <v>359</v>
      </c>
      <c r="E35" s="78" t="s">
        <v>360</v>
      </c>
      <c r="F35" s="78" t="s">
        <v>361</v>
      </c>
      <c r="G35" s="78" t="s">
        <v>362</v>
      </c>
      <c r="H35" s="78" t="s">
        <v>363</v>
      </c>
      <c r="I35" s="78" t="s">
        <v>364</v>
      </c>
      <c r="J35" s="78" t="s">
        <v>365</v>
      </c>
      <c r="K35" s="78" t="s">
        <v>366</v>
      </c>
      <c r="L35" s="78" t="s">
        <v>367</v>
      </c>
      <c r="M35" s="80" t="s">
        <v>368</v>
      </c>
      <c r="N35" s="395" t="s">
        <v>414</v>
      </c>
    </row>
    <row r="36" spans="1:14" ht="15.75" thickBot="1" x14ac:dyDescent="0.3">
      <c r="A36" s="76" t="s">
        <v>369</v>
      </c>
      <c r="B36" s="77">
        <v>1</v>
      </c>
      <c r="C36" s="78">
        <v>2</v>
      </c>
      <c r="D36" s="78">
        <v>3</v>
      </c>
      <c r="E36" s="78">
        <v>4</v>
      </c>
      <c r="F36" s="78">
        <v>5</v>
      </c>
      <c r="G36" s="78">
        <v>6</v>
      </c>
      <c r="H36" s="78">
        <v>7</v>
      </c>
      <c r="I36" s="78">
        <v>8</v>
      </c>
      <c r="J36" s="78">
        <v>9</v>
      </c>
      <c r="K36" s="78">
        <v>10</v>
      </c>
      <c r="L36" s="78">
        <v>11</v>
      </c>
      <c r="M36" s="79">
        <v>12</v>
      </c>
      <c r="N36" s="396"/>
    </row>
    <row r="37" spans="1:14" ht="25.5" x14ac:dyDescent="0.25">
      <c r="A37" s="86" t="s">
        <v>759</v>
      </c>
      <c r="B37" s="81">
        <f>COUNTIFS(Tabla1[AÑO3 INGRESO CPN],$B$4,Tabla1[MES2 INGRESO CPN],B6,Tabla1[NOVEDAD AL MOMENTO DE LA IDENTIFICACIÓN Y/O CAPTACIÓN ],$A$33)</f>
        <v>0</v>
      </c>
      <c r="C37" s="81">
        <f>COUNTIFS(Tabla1[AÑO3 INGRESO CPN],$B$4,Tabla1[MES2 INGRESO CPN],C6,Tabla1[NOVEDAD AL MOMENTO DE LA IDENTIFICACIÓN Y/O CAPTACIÓN ],$A$33)</f>
        <v>0</v>
      </c>
      <c r="D37" s="81">
        <f>COUNTIFS(Tabla1[AÑO3 INGRESO CPN],$B$4,Tabla1[MES2 INGRESO CPN],D6,Tabla1[NOVEDAD AL MOMENTO DE LA IDENTIFICACIÓN Y/O CAPTACIÓN ],$A$33)</f>
        <v>0</v>
      </c>
      <c r="E37" s="81">
        <f>COUNTIFS(Tabla1[AÑO3 INGRESO CPN],$B$4,Tabla1[MES2 INGRESO CPN],E6,Tabla1[NOVEDAD AL MOMENTO DE LA IDENTIFICACIÓN Y/O CAPTACIÓN ],$A$33)</f>
        <v>0</v>
      </c>
      <c r="F37" s="81">
        <f>COUNTIFS(Tabla1[AÑO3 INGRESO CPN],$B$4,Tabla1[MES2 INGRESO CPN],F6,Tabla1[NOVEDAD AL MOMENTO DE LA IDENTIFICACIÓN Y/O CAPTACIÓN ],$A$33)</f>
        <v>0</v>
      </c>
      <c r="G37" s="81">
        <f>COUNTIFS(Tabla1[AÑO3 INGRESO CPN],$B$4,Tabla1[MES2 INGRESO CPN],G6,Tabla1[NOVEDAD AL MOMENTO DE LA IDENTIFICACIÓN Y/O CAPTACIÓN ],$A$33)</f>
        <v>0</v>
      </c>
      <c r="H37" s="81">
        <f>COUNTIFS(Tabla1[AÑO3 INGRESO CPN],$B$4,Tabla1[MES2 INGRESO CPN],H6,Tabla1[NOVEDAD AL MOMENTO DE LA IDENTIFICACIÓN Y/O CAPTACIÓN ],$A$33)</f>
        <v>0</v>
      </c>
      <c r="I37" s="81">
        <f>COUNTIFS(Tabla1[AÑO3 INGRESO CPN],$B$4,Tabla1[MES2 INGRESO CPN],I6,Tabla1[NOVEDAD AL MOMENTO DE LA IDENTIFICACIÓN Y/O CAPTACIÓN ],$A$33)</f>
        <v>0</v>
      </c>
      <c r="J37" s="81">
        <f>COUNTIFS(Tabla1[AÑO3 INGRESO CPN],$B$4,Tabla1[MES2 INGRESO CPN],J6,Tabla1[NOVEDAD AL MOMENTO DE LA IDENTIFICACIÓN Y/O CAPTACIÓN ],$A$33)</f>
        <v>0</v>
      </c>
      <c r="K37" s="81">
        <f>COUNTIFS(Tabla1[AÑO3 INGRESO CPN],$B$4,Tabla1[MES2 INGRESO CPN],K6,Tabla1[NOVEDAD AL MOMENTO DE LA IDENTIFICACIÓN Y/O CAPTACIÓN ],$A$33)</f>
        <v>0</v>
      </c>
      <c r="L37" s="81">
        <f>COUNTIFS(Tabla1[AÑO3 INGRESO CPN],$B$4,Tabla1[MES2 INGRESO CPN],L6,Tabla1[NOVEDAD AL MOMENTO DE LA IDENTIFICACIÓN Y/O CAPTACIÓN ],$A$33)</f>
        <v>0</v>
      </c>
      <c r="M37" s="81">
        <f>COUNTIFS(Tabla1[AÑO3 INGRESO CPN],$B$4,Tabla1[MES2 INGRESO CPN],M6,Tabla1[NOVEDAD AL MOMENTO DE LA IDENTIFICACIÓN Y/O CAPTACIÓN ],$A$33)</f>
        <v>0</v>
      </c>
      <c r="N37" s="87">
        <f>SUM(B37:M37)</f>
        <v>0</v>
      </c>
    </row>
    <row r="38" spans="1:14" ht="26.25" thickBot="1" x14ac:dyDescent="0.3">
      <c r="A38" s="88" t="s">
        <v>760</v>
      </c>
      <c r="B38" s="82">
        <f>COUNTIFS(Tabla1[AÑO3 INGRESO CPN],$B$4,Tabla1[MES2 INGRESO CPN],B6,Tabla1[TRIMESTRE DE  INGRESO AL CPN],"I TRIM",Tabla1[NOVEDAD AL MOMENTO DE LA IDENTIFICACIÓN Y/O CAPTACIÓN ],$A$33)</f>
        <v>0</v>
      </c>
      <c r="C38" s="82">
        <f>COUNTIFS(Tabla1[AÑO3 INGRESO CPN],$B$4,Tabla1[MES2 INGRESO CPN],C6,Tabla1[TRIMESTRE DE  INGRESO AL CPN],"I TRIM",Tabla1[NOVEDAD AL MOMENTO DE LA IDENTIFICACIÓN Y/O CAPTACIÓN ],$A$33)</f>
        <v>0</v>
      </c>
      <c r="D38" s="82">
        <f>COUNTIFS(Tabla1[AÑO3 INGRESO CPN],$B$4,Tabla1[MES2 INGRESO CPN],D6,Tabla1[TRIMESTRE DE  INGRESO AL CPN],"I TRIM",Tabla1[NOVEDAD AL MOMENTO DE LA IDENTIFICACIÓN Y/O CAPTACIÓN ],$A$33)</f>
        <v>0</v>
      </c>
      <c r="E38" s="82">
        <f>COUNTIFS(Tabla1[AÑO3 INGRESO CPN],$B$4,Tabla1[MES2 INGRESO CPN],E6,Tabla1[TRIMESTRE DE  INGRESO AL CPN],"I TRIM",Tabla1[NOVEDAD AL MOMENTO DE LA IDENTIFICACIÓN Y/O CAPTACIÓN ],$A$33)</f>
        <v>0</v>
      </c>
      <c r="F38" s="82">
        <f>COUNTIFS(Tabla1[AÑO3 INGRESO CPN],$B$4,Tabla1[MES2 INGRESO CPN],F6,Tabla1[TRIMESTRE DE  INGRESO AL CPN],"I TRIM",Tabla1[NOVEDAD AL MOMENTO DE LA IDENTIFICACIÓN Y/O CAPTACIÓN ],$A$33)</f>
        <v>0</v>
      </c>
      <c r="G38" s="82">
        <f>COUNTIFS(Tabla1[AÑO3 INGRESO CPN],$B$4,Tabla1[MES2 INGRESO CPN],G6,Tabla1[TRIMESTRE DE  INGRESO AL CPN],"I TRIM",Tabla1[NOVEDAD AL MOMENTO DE LA IDENTIFICACIÓN Y/O CAPTACIÓN ],$A$33)</f>
        <v>0</v>
      </c>
      <c r="H38" s="82">
        <f>COUNTIFS(Tabla1[AÑO3 INGRESO CPN],$B$4,Tabla1[MES2 INGRESO CPN],H6,Tabla1[TRIMESTRE DE  INGRESO AL CPN],"I TRIM",Tabla1[NOVEDAD AL MOMENTO DE LA IDENTIFICACIÓN Y/O CAPTACIÓN ],$A$33)</f>
        <v>0</v>
      </c>
      <c r="I38" s="82">
        <f>COUNTIFS(Tabla1[AÑO3 INGRESO CPN],$B$4,Tabla1[MES2 INGRESO CPN],I6,Tabla1[TRIMESTRE DE  INGRESO AL CPN],"I TRIM",Tabla1[NOVEDAD AL MOMENTO DE LA IDENTIFICACIÓN Y/O CAPTACIÓN ],$A$33)</f>
        <v>0</v>
      </c>
      <c r="J38" s="82">
        <f>COUNTIFS(Tabla1[AÑO3 INGRESO CPN],$B$4,Tabla1[MES2 INGRESO CPN],J6,Tabla1[TRIMESTRE DE  INGRESO AL CPN],"I TRIM",Tabla1[NOVEDAD AL MOMENTO DE LA IDENTIFICACIÓN Y/O CAPTACIÓN ],$A$33)</f>
        <v>0</v>
      </c>
      <c r="K38" s="82">
        <f>COUNTIFS(Tabla1[AÑO3 INGRESO CPN],$B$4,Tabla1[MES2 INGRESO CPN],K6,Tabla1[TRIMESTRE DE  INGRESO AL CPN],"I TRIM",Tabla1[NOVEDAD AL MOMENTO DE LA IDENTIFICACIÓN Y/O CAPTACIÓN ],$A$33)</f>
        <v>0</v>
      </c>
      <c r="L38" s="82">
        <f>COUNTIFS(Tabla1[AÑO3 INGRESO CPN],$B$4,Tabla1[MES2 INGRESO CPN],L6,Tabla1[TRIMESTRE DE  INGRESO AL CPN],"I TRIM",Tabla1[NOVEDAD AL MOMENTO DE LA IDENTIFICACIÓN Y/O CAPTACIÓN ],$A$33)</f>
        <v>0</v>
      </c>
      <c r="M38" s="82">
        <f>COUNTIFS(Tabla1[AÑO3 INGRESO CPN],$B$4,Tabla1[MES2 INGRESO CPN],M6,Tabla1[TRIMESTRE DE  INGRESO AL CPN],"I TRIM",Tabla1[NOVEDAD AL MOMENTO DE LA IDENTIFICACIÓN Y/O CAPTACIÓN ],$A$33)</f>
        <v>0</v>
      </c>
      <c r="N38" s="89">
        <f>SUM(B38:M38)</f>
        <v>0</v>
      </c>
    </row>
    <row r="39" spans="1:14" ht="30.75" customHeight="1" thickBot="1" x14ac:dyDescent="0.3">
      <c r="A39" s="72" t="s">
        <v>758</v>
      </c>
      <c r="B39" s="83" t="str">
        <f>IF(B37=0,"",SUM(B38/B37))</f>
        <v/>
      </c>
      <c r="C39" s="84" t="str">
        <f>IF(C37=0,"",SUM(C38/C37))</f>
        <v/>
      </c>
      <c r="D39" s="84" t="str">
        <f t="shared" ref="D39:N39" si="1">IF(D37=0,"",SUM(D38/D37))</f>
        <v/>
      </c>
      <c r="E39" s="84" t="str">
        <f t="shared" si="1"/>
        <v/>
      </c>
      <c r="F39" s="84" t="str">
        <f t="shared" si="1"/>
        <v/>
      </c>
      <c r="G39" s="84" t="str">
        <f t="shared" si="1"/>
        <v/>
      </c>
      <c r="H39" s="84" t="str">
        <f t="shared" si="1"/>
        <v/>
      </c>
      <c r="I39" s="84" t="str">
        <f t="shared" si="1"/>
        <v/>
      </c>
      <c r="J39" s="84" t="str">
        <f t="shared" si="1"/>
        <v/>
      </c>
      <c r="K39" s="84" t="str">
        <f t="shared" si="1"/>
        <v/>
      </c>
      <c r="L39" s="84" t="str">
        <f t="shared" si="1"/>
        <v/>
      </c>
      <c r="M39" s="84" t="str">
        <f t="shared" si="1"/>
        <v/>
      </c>
      <c r="N39" s="85" t="str">
        <f t="shared" si="1"/>
        <v/>
      </c>
    </row>
    <row r="40" spans="1:14" ht="31.5" customHeight="1" x14ac:dyDescent="0.25">
      <c r="A40" s="86" t="s">
        <v>563</v>
      </c>
      <c r="B40" s="81">
        <f>COUNTIFS(Tabla1[AÑO3 INGRESO CPN],$B$4,Tabla1[MES2 INGRESO CPN],$B$6)</f>
        <v>13</v>
      </c>
      <c r="C40" s="81">
        <f>COUNTIFS(Tabla1[AÑO3 INGRESO CPN],B4,Tabla1[MES2 INGRESO CPN],C6)</f>
        <v>29</v>
      </c>
      <c r="D40" s="81">
        <f>COUNTIFS(Tabla1[AÑO3 INGRESO CPN],B4,Tabla1[MES2 INGRESO CPN],D6)</f>
        <v>33</v>
      </c>
      <c r="E40" s="81">
        <f>COUNTIFS(Tabla1[AÑO3 INGRESO CPN],B4,Tabla1[MES2 INGRESO CPN],E6)</f>
        <v>20</v>
      </c>
      <c r="F40" s="81">
        <f>COUNTIFS(Tabla1[AÑO3 INGRESO CPN],B4,Tabla1[MES2 INGRESO CPN],F6)</f>
        <v>20</v>
      </c>
      <c r="G40" s="81">
        <f>COUNTIFS(Tabla1[AÑO3 INGRESO CPN],B4,Tabla1[MES2 INGRESO CPN],G6)</f>
        <v>8</v>
      </c>
      <c r="H40" s="81">
        <f>COUNTIFS(Tabla1[AÑO3 INGRESO CPN],B4,Tabla1[MES2 INGRESO CPN],H6)</f>
        <v>22</v>
      </c>
      <c r="I40" s="81">
        <f>COUNTIFS(Tabla1[AÑO3 INGRESO CPN],B4,Tabla1[MES2 INGRESO CPN],I6)</f>
        <v>18</v>
      </c>
      <c r="J40" s="81">
        <f>COUNTIFS(Tabla1[AÑO3 INGRESO CPN],B4,Tabla1[MES2 INGRESO CPN],J6)</f>
        <v>0</v>
      </c>
      <c r="K40" s="81">
        <f>COUNTIFS(Tabla1[AÑO3 INGRESO CPN],B4,Tabla1[MES2 INGRESO CPN],K6)</f>
        <v>0</v>
      </c>
      <c r="L40" s="81">
        <f>COUNTIFS(Tabla1[AÑO3 INGRESO CPN],B4,Tabla1[MES2 INGRESO CPN],L6)</f>
        <v>0</v>
      </c>
      <c r="M40" s="81">
        <f>COUNTIFS(Tabla1[AÑO3 INGRESO CPN],B4,Tabla1[MES2 INGRESO CPN],M6)</f>
        <v>0</v>
      </c>
      <c r="N40" s="90">
        <f>SUM(B40:M40)</f>
        <v>163</v>
      </c>
    </row>
    <row r="41" spans="1:14" ht="31.5" customHeight="1" thickBot="1" x14ac:dyDescent="0.3">
      <c r="A41" s="88" t="s">
        <v>741</v>
      </c>
      <c r="B41" s="82">
        <f>COUNTIFS(Tabla1[AÑO3 INGRESO CPN],$B$4,Tabla1[MES2 INGRESO CPN],$B$6,Tabla1[TRIMESTRE DE  INGRESO AL CPN],"I TRIM")</f>
        <v>2</v>
      </c>
      <c r="C41" s="82">
        <f>COUNTIFS(Tabla1[AÑO3 INGRESO CPN],B4,Tabla1[MES2 INGRESO CPN],C6,Tabla1[TRIMESTRE DE  INGRESO AL CPN],"I TRIM")</f>
        <v>9</v>
      </c>
      <c r="D41" s="82">
        <f>COUNTIFS(Tabla1[AÑO3 INGRESO CPN],B4,Tabla1[MES2 INGRESO CPN],D6,Tabla1[TRIMESTRE DE  INGRESO AL CPN],"I TRIM")</f>
        <v>7</v>
      </c>
      <c r="E41" s="82">
        <f>COUNTIFS(Tabla1[AÑO3 INGRESO CPN],B4,Tabla1[MES2 INGRESO CPN],E6,Tabla1[TRIMESTRE DE  INGRESO AL CPN],"I TRIM")</f>
        <v>6</v>
      </c>
      <c r="F41" s="82">
        <f>COUNTIFS(Tabla1[AÑO3 INGRESO CPN],B4,Tabla1[MES2 INGRESO CPN],F6,Tabla1[TRIMESTRE DE  INGRESO AL CPN],"I TRIM")</f>
        <v>6</v>
      </c>
      <c r="G41" s="82">
        <f>COUNTIFS(Tabla1[AÑO3 INGRESO CPN],B4,Tabla1[MES2 INGRESO CPN],G6,Tabla1[TRIMESTRE DE  INGRESO AL CPN],"I TRIM")</f>
        <v>1</v>
      </c>
      <c r="H41" s="82">
        <f>COUNTIFS(Tabla1[AÑO3 INGRESO CPN],B4,Tabla1[MES2 INGRESO CPN],H6,Tabla1[TRIMESTRE DE  INGRESO AL CPN],"I TRIM")</f>
        <v>7</v>
      </c>
      <c r="I41" s="82">
        <f>COUNTIFS(Tabla1[AÑO3 INGRESO CPN],B4,Tabla1[MES2 INGRESO CPN],I6,Tabla1[TRIMESTRE DE  INGRESO AL CPN],"I TRIM")</f>
        <v>0</v>
      </c>
      <c r="J41" s="82">
        <f>COUNTIFS(Tabla1[AÑO3 INGRESO CPN],B4,Tabla1[MES2 INGRESO CPN],J6,Tabla1[TRIMESTRE DE  INGRESO AL CPN],"I TRIM")</f>
        <v>0</v>
      </c>
      <c r="K41" s="82">
        <f>COUNTIFS(Tabla1[AÑO3 INGRESO CPN],B4,Tabla1[MES2 INGRESO CPN],K6,Tabla1[TRIMESTRE DE  INGRESO AL CPN],"I TRIM")</f>
        <v>0</v>
      </c>
      <c r="L41" s="82">
        <f>COUNTIFS(Tabla1[AÑO3 INGRESO CPN],B4,Tabla1[MES2 INGRESO CPN],L6,Tabla1[TRIMESTRE DE  INGRESO AL CPN],"I TRIM")</f>
        <v>0</v>
      </c>
      <c r="M41" s="82">
        <f>COUNTIFS(Tabla1[AÑO3 INGRESO CPN],B4,Tabla1[MES2 INGRESO CPN],M6,Tabla1[TRIMESTRE DE  INGRESO AL CPN],"I TRIM")</f>
        <v>0</v>
      </c>
      <c r="N41" s="91">
        <f>SUM(B41:M41)</f>
        <v>38</v>
      </c>
    </row>
    <row r="42" spans="1:14" ht="31.5" customHeight="1" thickBot="1" x14ac:dyDescent="0.3">
      <c r="A42" s="73" t="s">
        <v>740</v>
      </c>
      <c r="B42" s="83">
        <f>IF($B$40=0,"",SUM(B41/$B$40))</f>
        <v>0.15384615384615385</v>
      </c>
      <c r="C42" s="84">
        <f t="shared" ref="C42:N42" si="2">IF(C40=0,"",SUM(C41/C40))</f>
        <v>0.31034482758620691</v>
      </c>
      <c r="D42" s="84">
        <f t="shared" si="2"/>
        <v>0.21212121212121213</v>
      </c>
      <c r="E42" s="84">
        <f t="shared" si="2"/>
        <v>0.3</v>
      </c>
      <c r="F42" s="84">
        <f t="shared" si="2"/>
        <v>0.3</v>
      </c>
      <c r="G42" s="84">
        <f t="shared" si="2"/>
        <v>0.125</v>
      </c>
      <c r="H42" s="84">
        <f t="shared" si="2"/>
        <v>0.31818181818181818</v>
      </c>
      <c r="I42" s="84">
        <f t="shared" si="2"/>
        <v>0</v>
      </c>
      <c r="J42" s="84" t="str">
        <f t="shared" si="2"/>
        <v/>
      </c>
      <c r="K42" s="84" t="str">
        <f t="shared" si="2"/>
        <v/>
      </c>
      <c r="L42" s="84" t="str">
        <f t="shared" si="2"/>
        <v/>
      </c>
      <c r="M42" s="84" t="str">
        <f t="shared" si="2"/>
        <v/>
      </c>
      <c r="N42" s="85">
        <f t="shared" si="2"/>
        <v>0.23312883435582821</v>
      </c>
    </row>
    <row r="43" spans="1:14" ht="31.5" customHeight="1" thickBot="1" x14ac:dyDescent="0.3">
      <c r="A43" s="104" t="s">
        <v>738</v>
      </c>
      <c r="B43" s="107">
        <f>COUNTIFS(Tabla1[AÑO3 INGRESO CPN],$B$4,Tabla1[MES2 INGRESO CPN],$B$6,Tabla1[CAPTACIÓN A SEMANA 12],"I TRIM")</f>
        <v>5</v>
      </c>
      <c r="C43" s="107">
        <f>COUNTIFS(Tabla1[AÑO3 INGRESO CPN],B4,Tabla1[MES2 INGRESO CPN],C6,Tabla1[CAPTACIÓN A SEMANA 12],"I TRIM")</f>
        <v>12</v>
      </c>
      <c r="D43" s="107">
        <f>COUNTIFS(Tabla1[AÑO3 INGRESO CPN],B4,Tabla1[MES2 INGRESO CPN],D6,Tabla1[CAPTACIÓN A SEMANA 12],"I TRIM")</f>
        <v>12</v>
      </c>
      <c r="E43" s="107">
        <f>COUNTIFS(Tabla1[AÑO3 INGRESO CPN],B4,Tabla1[MES2 INGRESO CPN],E6,Tabla1[CAPTACIÓN A SEMANA 12],"I TRIM")</f>
        <v>8</v>
      </c>
      <c r="F43" s="107">
        <f>COUNTIFS(Tabla1[AÑO3 INGRESO CPN],B4,Tabla1[MES2 INGRESO CPN],F6,Tabla1[CAPTACIÓN A SEMANA 12],"I TRIM")</f>
        <v>9</v>
      </c>
      <c r="G43" s="107">
        <f>COUNTIFS(Tabla1[AÑO3 INGRESO CPN],B4,Tabla1[MES2 INGRESO CPN],G6,Tabla1[CAPTACIÓN A SEMANA 12],"I TRIM")</f>
        <v>2</v>
      </c>
      <c r="H43" s="107">
        <f>COUNTIFS(Tabla1[AÑO3 INGRESO CPN],B4,Tabla1[MES2 INGRESO CPN],H6,Tabla1[CAPTACIÓN A SEMANA 12],"I TRIM")</f>
        <v>10</v>
      </c>
      <c r="I43" s="107">
        <f>COUNTIFS(Tabla1[AÑO3 INGRESO CPN],B4,Tabla1[MES2 INGRESO CPN],I6,Tabla1[CAPTACIÓN A SEMANA 12],"I TRIM")</f>
        <v>1</v>
      </c>
      <c r="J43" s="107">
        <f>COUNTIFS(Tabla1[AÑO3 INGRESO CPN],B4,Tabla1[MES2 INGRESO CPN],J6,Tabla1[CAPTACIÓN A SEMANA 12],"I TRIM")</f>
        <v>0</v>
      </c>
      <c r="K43" s="107">
        <f>COUNTIFS(Tabla1[AÑO3 INGRESO CPN],B4,Tabla1[MES2 INGRESO CPN],K6,Tabla1[CAPTACIÓN A SEMANA 12],"I TRIM")</f>
        <v>0</v>
      </c>
      <c r="L43" s="107">
        <f>COUNTIFS(Tabla1[AÑO3 INGRESO CPN],B4,Tabla1[MES2 INGRESO CPN],L6,Tabla1[CAPTACIÓN A SEMANA 12],"I TRIM")</f>
        <v>0</v>
      </c>
      <c r="M43" s="107">
        <f>COUNTIFS(Tabla1[AÑO3 INGRESO CPN],B4,Tabla1[MES2 INGRESO CPN],M6,Tabla1[CAPTACIÓN A SEMANA 12],"I TRIM")</f>
        <v>0</v>
      </c>
      <c r="N43" s="91">
        <f>SUM(B43:M43)</f>
        <v>59</v>
      </c>
    </row>
    <row r="44" spans="1:14" ht="31.5" customHeight="1" thickBot="1" x14ac:dyDescent="0.3">
      <c r="A44" s="108" t="s">
        <v>843</v>
      </c>
      <c r="B44" s="83">
        <f>IF(B40=0,"",SUM(B43/B40))</f>
        <v>0.38461538461538464</v>
      </c>
      <c r="C44" s="84">
        <f t="shared" ref="C44:M44" si="3">IF(C40=0,"",SUM(C43/C40))</f>
        <v>0.41379310344827586</v>
      </c>
      <c r="D44" s="84">
        <f t="shared" si="3"/>
        <v>0.36363636363636365</v>
      </c>
      <c r="E44" s="84">
        <f t="shared" si="3"/>
        <v>0.4</v>
      </c>
      <c r="F44" s="84">
        <f t="shared" si="3"/>
        <v>0.45</v>
      </c>
      <c r="G44" s="84">
        <f t="shared" si="3"/>
        <v>0.25</v>
      </c>
      <c r="H44" s="84">
        <f t="shared" si="3"/>
        <v>0.45454545454545453</v>
      </c>
      <c r="I44" s="84">
        <f t="shared" si="3"/>
        <v>5.5555555555555552E-2</v>
      </c>
      <c r="J44" s="84" t="str">
        <f t="shared" si="3"/>
        <v/>
      </c>
      <c r="K44" s="84" t="str">
        <f t="shared" si="3"/>
        <v/>
      </c>
      <c r="L44" s="84" t="str">
        <f t="shared" si="3"/>
        <v/>
      </c>
      <c r="M44" s="84" t="str">
        <f t="shared" si="3"/>
        <v/>
      </c>
      <c r="N44" s="85">
        <f>IF(N40=0,"",SUM(N43/N40))</f>
        <v>0.3619631901840491</v>
      </c>
    </row>
    <row r="45" spans="1:14" ht="31.5" customHeight="1" x14ac:dyDescent="0.25">
      <c r="A45" s="86" t="s">
        <v>761</v>
      </c>
      <c r="B45" s="81">
        <f>SUM(B40-B37)</f>
        <v>13</v>
      </c>
      <c r="C45" s="81">
        <f t="shared" ref="C45:M45" si="4">SUM(C40-C37)</f>
        <v>29</v>
      </c>
      <c r="D45" s="81">
        <f t="shared" si="4"/>
        <v>33</v>
      </c>
      <c r="E45" s="81">
        <f t="shared" si="4"/>
        <v>20</v>
      </c>
      <c r="F45" s="81">
        <f t="shared" si="4"/>
        <v>20</v>
      </c>
      <c r="G45" s="81">
        <f t="shared" si="4"/>
        <v>8</v>
      </c>
      <c r="H45" s="81">
        <f t="shared" si="4"/>
        <v>22</v>
      </c>
      <c r="I45" s="81">
        <f t="shared" si="4"/>
        <v>18</v>
      </c>
      <c r="J45" s="81">
        <f t="shared" si="4"/>
        <v>0</v>
      </c>
      <c r="K45" s="81">
        <f t="shared" si="4"/>
        <v>0</v>
      </c>
      <c r="L45" s="81">
        <f t="shared" si="4"/>
        <v>0</v>
      </c>
      <c r="M45" s="81">
        <f t="shared" si="4"/>
        <v>0</v>
      </c>
      <c r="N45" s="90">
        <f>SUM(B45:M45)</f>
        <v>163</v>
      </c>
    </row>
    <row r="46" spans="1:14" ht="31.5" customHeight="1" thickBot="1" x14ac:dyDescent="0.3">
      <c r="A46" s="88" t="s">
        <v>741</v>
      </c>
      <c r="B46" s="82">
        <f>+B41-B38</f>
        <v>2</v>
      </c>
      <c r="C46" s="82">
        <f t="shared" ref="C46:M46" si="5">+C41-C38</f>
        <v>9</v>
      </c>
      <c r="D46" s="82">
        <f t="shared" si="5"/>
        <v>7</v>
      </c>
      <c r="E46" s="82">
        <f t="shared" si="5"/>
        <v>6</v>
      </c>
      <c r="F46" s="82">
        <f t="shared" si="5"/>
        <v>6</v>
      </c>
      <c r="G46" s="82">
        <f t="shared" si="5"/>
        <v>1</v>
      </c>
      <c r="H46" s="82">
        <f t="shared" si="5"/>
        <v>7</v>
      </c>
      <c r="I46" s="82">
        <f t="shared" si="5"/>
        <v>0</v>
      </c>
      <c r="J46" s="82">
        <f t="shared" si="5"/>
        <v>0</v>
      </c>
      <c r="K46" s="82">
        <f t="shared" si="5"/>
        <v>0</v>
      </c>
      <c r="L46" s="82">
        <f t="shared" si="5"/>
        <v>0</v>
      </c>
      <c r="M46" s="82">
        <f t="shared" si="5"/>
        <v>0</v>
      </c>
      <c r="N46" s="91">
        <f>SUM(B46:M46)</f>
        <v>38</v>
      </c>
    </row>
    <row r="47" spans="1:14" ht="31.5" customHeight="1" thickBot="1" x14ac:dyDescent="0.3">
      <c r="A47" s="74" t="s">
        <v>834</v>
      </c>
      <c r="B47" s="83">
        <f>IF(B45=0,"",SUM(B46/B45))</f>
        <v>0.15384615384615385</v>
      </c>
      <c r="C47" s="84">
        <f t="shared" ref="C47:M47" si="6">IF(C45=0,"",SUM(C46/C45))</f>
        <v>0.31034482758620691</v>
      </c>
      <c r="D47" s="84">
        <f t="shared" si="6"/>
        <v>0.21212121212121213</v>
      </c>
      <c r="E47" s="84">
        <f t="shared" si="6"/>
        <v>0.3</v>
      </c>
      <c r="F47" s="84">
        <f t="shared" si="6"/>
        <v>0.3</v>
      </c>
      <c r="G47" s="84">
        <f t="shared" si="6"/>
        <v>0.125</v>
      </c>
      <c r="H47" s="84">
        <f t="shared" si="6"/>
        <v>0.31818181818181818</v>
      </c>
      <c r="I47" s="84">
        <f t="shared" si="6"/>
        <v>0</v>
      </c>
      <c r="J47" s="84" t="str">
        <f t="shared" si="6"/>
        <v/>
      </c>
      <c r="K47" s="84" t="str">
        <f t="shared" si="6"/>
        <v/>
      </c>
      <c r="L47" s="84" t="str">
        <f t="shared" si="6"/>
        <v/>
      </c>
      <c r="M47" s="84" t="str">
        <f t="shared" si="6"/>
        <v/>
      </c>
      <c r="N47" s="85">
        <f>IF(N45=0,"",SUM(N46/N45))</f>
        <v>0.23312883435582821</v>
      </c>
    </row>
    <row r="48" spans="1:14" ht="54" customHeight="1" thickBot="1" x14ac:dyDescent="0.3">
      <c r="A48" s="86" t="s">
        <v>668</v>
      </c>
      <c r="B48" s="81">
        <f>COUNTIFS(Tabla1[AÑO3 INGRESO CPN],$B$4,Tabla1[MES2 INGRESO CPN],B19,Tabla1[ATENCIÓN PRECONCEPCIONAL],"PROCESO COMPLETO DE ATENCIÓN")</f>
        <v>0</v>
      </c>
      <c r="C48" s="81">
        <f>COUNTIFS(Tabla1[AÑO3 INGRESO CPN],$B$4,Tabla1[MES2 INGRESO CPN],C19,Tabla1[ATENCIÓN PRECONCEPCIONAL],"PROCESO COMPLETO DE ATENCIÓN")</f>
        <v>0</v>
      </c>
      <c r="D48" s="81">
        <f>COUNTIFS(Tabla1[AÑO3 INGRESO CPN],$B$4,Tabla1[MES2 INGRESO CPN],D19,Tabla1[ATENCIÓN PRECONCEPCIONAL],"PROCESO COMPLETO DE ATENCIÓN")</f>
        <v>0</v>
      </c>
      <c r="E48" s="81">
        <f>COUNTIFS(Tabla1[AÑO3 INGRESO CPN],$B$4,Tabla1[MES2 INGRESO CPN],E19,Tabla1[ATENCIÓN PRECONCEPCIONAL],"PROCESO COMPLETO DE ATENCIÓN")</f>
        <v>0</v>
      </c>
      <c r="F48" s="81">
        <f>COUNTIFS(Tabla1[AÑO3 INGRESO CPN],$B$4,Tabla1[MES2 INGRESO CPN],F19,Tabla1[ATENCIÓN PRECONCEPCIONAL],"PROCESO COMPLETO DE ATENCIÓN")</f>
        <v>0</v>
      </c>
      <c r="G48" s="81">
        <f>COUNTIFS(Tabla1[AÑO3 INGRESO CPN],$B$4,Tabla1[MES2 INGRESO CPN],G19,Tabla1[ATENCIÓN PRECONCEPCIONAL],"PROCESO COMPLETO DE ATENCIÓN")</f>
        <v>0</v>
      </c>
      <c r="H48" s="81">
        <f>COUNTIFS(Tabla1[AÑO3 INGRESO CPN],$B$4,Tabla1[MES2 INGRESO CPN],H19,Tabla1[ATENCIÓN PRECONCEPCIONAL],"PROCESO COMPLETO DE ATENCIÓN")</f>
        <v>0</v>
      </c>
      <c r="I48" s="81">
        <f>COUNTIFS(Tabla1[AÑO3 INGRESO CPN],$B$4,Tabla1[MES2 INGRESO CPN],I19,Tabla1[ATENCIÓN PRECONCEPCIONAL],"PROCESO COMPLETO DE ATENCIÓN")</f>
        <v>0</v>
      </c>
      <c r="J48" s="81">
        <f>COUNTIFS(Tabla1[AÑO3 INGRESO CPN],$B$4,Tabla1[MES2 INGRESO CPN],J19,Tabla1[ATENCIÓN PRECONCEPCIONAL],"PROCESO COMPLETO DE ATENCIÓN")</f>
        <v>0</v>
      </c>
      <c r="K48" s="81">
        <f>COUNTIFS(Tabla1[AÑO3 INGRESO CPN],$B$4,Tabla1[MES2 INGRESO CPN],K19,Tabla1[ATENCIÓN PRECONCEPCIONAL],"PROCESO COMPLETO DE ATENCIÓN")</f>
        <v>0</v>
      </c>
      <c r="L48" s="81">
        <f>COUNTIFS(Tabla1[AÑO3 INGRESO CPN],$B$4,Tabla1[MES2 INGRESO CPN],L19,Tabla1[ATENCIÓN PRECONCEPCIONAL],"PROCESO COMPLETO DE ATENCIÓN")</f>
        <v>0</v>
      </c>
      <c r="M48" s="81">
        <f>COUNTIFS(Tabla1[AÑO3 INGRESO CPN],$B$4,Tabla1[MES2 INGRESO CPN],M19,Tabla1[ATENCIÓN PRECONCEPCIONAL],"PROCESO COMPLETO DE ATENCIÓN")</f>
        <v>0</v>
      </c>
      <c r="N48" s="87">
        <f>SUM(B48:M48)</f>
        <v>0</v>
      </c>
    </row>
    <row r="49" spans="1:14" ht="31.5" customHeight="1" thickBot="1" x14ac:dyDescent="0.3">
      <c r="A49" s="143" t="s">
        <v>667</v>
      </c>
      <c r="B49" s="83" t="str">
        <f t="shared" ref="B49:N49" si="7">IF(B53=0,"",SUM(B48/B53))</f>
        <v/>
      </c>
      <c r="C49" s="84" t="str">
        <f t="shared" si="7"/>
        <v/>
      </c>
      <c r="D49" s="84">
        <f t="shared" si="7"/>
        <v>0</v>
      </c>
      <c r="E49" s="84">
        <f t="shared" si="7"/>
        <v>0</v>
      </c>
      <c r="F49" s="84">
        <f t="shared" si="7"/>
        <v>0</v>
      </c>
      <c r="G49" s="84">
        <f t="shared" si="7"/>
        <v>0</v>
      </c>
      <c r="H49" s="84">
        <f t="shared" si="7"/>
        <v>0</v>
      </c>
      <c r="I49" s="84">
        <f t="shared" si="7"/>
        <v>0</v>
      </c>
      <c r="J49" s="84" t="str">
        <f t="shared" si="7"/>
        <v/>
      </c>
      <c r="K49" s="84" t="str">
        <f t="shared" si="7"/>
        <v/>
      </c>
      <c r="L49" s="84" t="str">
        <f t="shared" si="7"/>
        <v/>
      </c>
      <c r="M49" s="84" t="str">
        <f t="shared" si="7"/>
        <v/>
      </c>
      <c r="N49" s="85">
        <f t="shared" si="7"/>
        <v>0</v>
      </c>
    </row>
    <row r="50" spans="1:14" ht="66.75" customHeight="1" x14ac:dyDescent="0.25">
      <c r="A50" s="161" t="s">
        <v>670</v>
      </c>
      <c r="B50" s="82">
        <f ca="1">COUNTIFS(Tabla1[AÑO3 INGRESO CPN],$B$4,Tabla1[MES2 INGRESO CPN],B6,Tabla1[RIESGO BIOPSICOSOCIAL],"ALTO RIESGO",Tabla1[FECHA ASISTENCIA PRIMERA VEZ CON GINECOLOGÍA],"&lt;&gt;")</f>
        <v>0</v>
      </c>
      <c r="C50" s="82">
        <f ca="1">COUNTIFS(Tabla1[AÑO3 INGRESO CPN],$B$4,Tabla1[MES2 INGRESO CPN],C6,Tabla1[RIESGO BIOPSICOSOCIAL],"ALTO RIESGO",Tabla1[FECHA ASISTENCIA PRIMERA VEZ CON GINECOLOGÍA],"&lt;&gt;")</f>
        <v>1</v>
      </c>
      <c r="D50" s="82">
        <f ca="1">COUNTIFS(Tabla1[AÑO3 INGRESO CPN],$B$4,Tabla1[MES2 INGRESO CPN],D6,Tabla1[RIESGO BIOPSICOSOCIAL],"ALTO RIESGO",Tabla1[FECHA ASISTENCIA PRIMERA VEZ CON GINECOLOGÍA],"&lt;&gt;")</f>
        <v>1</v>
      </c>
      <c r="E50" s="82">
        <f ca="1">COUNTIFS(Tabla1[AÑO3 INGRESO CPN],$B$4,Tabla1[MES2 INGRESO CPN],E6,Tabla1[RIESGO BIOPSICOSOCIAL],"ALTO RIESGO",Tabla1[FECHA ASISTENCIA PRIMERA VEZ CON GINECOLOGÍA],"&lt;&gt;")</f>
        <v>0</v>
      </c>
      <c r="F50" s="82">
        <f ca="1">COUNTIFS(Tabla1[AÑO3 INGRESO CPN],$B$4,Tabla1[MES2 INGRESO CPN],F6,Tabla1[RIESGO BIOPSICOSOCIAL],"ALTO RIESGO",Tabla1[FECHA ASISTENCIA PRIMERA VEZ CON GINECOLOGÍA],"&lt;&gt;")</f>
        <v>0</v>
      </c>
      <c r="G50" s="82">
        <f ca="1">COUNTIFS(Tabla1[AÑO3 INGRESO CPN],$B$4,Tabla1[MES2 INGRESO CPN],G6,Tabla1[RIESGO BIOPSICOSOCIAL],"ALTO RIESGO",Tabla1[FECHA ASISTENCIA PRIMERA VEZ CON GINECOLOGÍA],"&lt;&gt;")</f>
        <v>0</v>
      </c>
      <c r="H50" s="82">
        <f ca="1">COUNTIFS(Tabla1[AÑO3 INGRESO CPN],$B$4,Tabla1[MES2 INGRESO CPN],H6,Tabla1[RIESGO BIOPSICOSOCIAL],"ALTO RIESGO",Tabla1[FECHA ASISTENCIA PRIMERA VEZ CON GINECOLOGÍA],"&lt;&gt;")</f>
        <v>0</v>
      </c>
      <c r="I50" s="82">
        <f ca="1">COUNTIFS(Tabla1[AÑO3 INGRESO CPN],$B$4,Tabla1[MES2 INGRESO CPN],I6,Tabla1[RIESGO BIOPSICOSOCIAL],"ALTO RIESGO",Tabla1[FECHA ASISTENCIA PRIMERA VEZ CON GINECOLOGÍA],"&lt;&gt;")</f>
        <v>0</v>
      </c>
      <c r="J50" s="82">
        <f>COUNTIFS(Tabla1[AÑO3 INGRESO CPN],$B$4,Tabla1[MES2 INGRESO CPN],J6,Tabla1[RIESGO BIOPSICOSOCIAL],"ALTO RIESGO",Tabla1[FECHA ASISTENCIA PRIMERA VEZ CON GINECOLOGÍA],"&lt;&gt;")</f>
        <v>0</v>
      </c>
      <c r="K50" s="82">
        <f>COUNTIFS(Tabla1[AÑO3 INGRESO CPN],$B$4,Tabla1[MES2 INGRESO CPN],K6,Tabla1[RIESGO BIOPSICOSOCIAL],"ALTO RIESGO",Tabla1[FECHA ASISTENCIA PRIMERA VEZ CON GINECOLOGÍA],"&lt;&gt;")</f>
        <v>0</v>
      </c>
      <c r="L50" s="82">
        <f>COUNTIFS(Tabla1[AÑO3 INGRESO CPN],$B$4,Tabla1[MES2 INGRESO CPN],L6,Tabla1[RIESGO BIOPSICOSOCIAL],"ALTO RIESGO",Tabla1[FECHA ASISTENCIA PRIMERA VEZ CON GINECOLOGÍA],"&lt;&gt;")</f>
        <v>0</v>
      </c>
      <c r="M50" s="82">
        <f>COUNTIFS(Tabla1[AÑO3 INGRESO CPN],$B$4,Tabla1[MES2 INGRESO CPN],M6,Tabla1[RIESGO BIOPSICOSOCIAL],"ALTO RIESGO",Tabla1[FECHA ASISTENCIA PRIMERA VEZ CON GINECOLOGÍA],"&lt;&gt;")</f>
        <v>0</v>
      </c>
      <c r="N50" s="91">
        <f ca="1">SUM(B50:M50)</f>
        <v>2</v>
      </c>
    </row>
    <row r="51" spans="1:14" ht="42" customHeight="1" thickBot="1" x14ac:dyDescent="0.3">
      <c r="A51" s="88" t="s">
        <v>680</v>
      </c>
      <c r="B51" s="82">
        <f ca="1">COUNTIFS(Tabla1[AÑO3 INGRESO CPN],$B$4,Tabla1[MES2 INGRESO CPN],B6,Tabla1[RIESGO BIOPSICOSOCIAL],"ALTO RIESGO")</f>
        <v>0</v>
      </c>
      <c r="C51" s="82">
        <f ca="1">COUNTIFS(Tabla1[AÑO3 INGRESO CPN],$B$4,Tabla1[MES2 INGRESO CPN],C6,Tabla1[RIESGO BIOPSICOSOCIAL],"ALTO RIESGO")</f>
        <v>2</v>
      </c>
      <c r="D51" s="82">
        <f ca="1">COUNTIFS(Tabla1[AÑO3 INGRESO CPN],$B$4,Tabla1[MES2 INGRESO CPN],D6,Tabla1[RIESGO BIOPSICOSOCIAL],"ALTO RIESGO")</f>
        <v>2</v>
      </c>
      <c r="E51" s="82">
        <f ca="1">COUNTIFS(Tabla1[AÑO3 INGRESO CPN],$B$4,Tabla1[MES2 INGRESO CPN],E6,Tabla1[RIESGO BIOPSICOSOCIAL],"ALTO RIESGO")</f>
        <v>1</v>
      </c>
      <c r="F51" s="82">
        <f ca="1">COUNTIFS(Tabla1[AÑO3 INGRESO CPN],$B$4,Tabla1[MES2 INGRESO CPN],F6,Tabla1[RIESGO BIOPSICOSOCIAL],"ALTO RIESGO")</f>
        <v>2</v>
      </c>
      <c r="G51" s="82">
        <f ca="1">COUNTIFS(Tabla1[AÑO3 INGRESO CPN],$B$4,Tabla1[MES2 INGRESO CPN],G6,Tabla1[RIESGO BIOPSICOSOCIAL],"ALTO RIESGO")</f>
        <v>0</v>
      </c>
      <c r="H51" s="82">
        <f ca="1">COUNTIFS(Tabla1[AÑO3 INGRESO CPN],$B$4,Tabla1[MES2 INGRESO CPN],H6,Tabla1[RIESGO BIOPSICOSOCIAL],"ALTO RIESGO")</f>
        <v>2</v>
      </c>
      <c r="I51" s="82">
        <f ca="1">COUNTIFS(Tabla1[AÑO3 INGRESO CPN],$B$4,Tabla1[MES2 INGRESO CPN],I6,Tabla1[RIESGO BIOPSICOSOCIAL],"ALTO RIESGO")</f>
        <v>0</v>
      </c>
      <c r="J51" s="82">
        <f>COUNTIFS(Tabla1[AÑO3 INGRESO CPN],$B$4,Tabla1[MES2 INGRESO CPN],J6,Tabla1[RIESGO BIOPSICOSOCIAL],"ALTO RIESGO")</f>
        <v>0</v>
      </c>
      <c r="K51" s="82">
        <f>COUNTIFS(Tabla1[AÑO3 INGRESO CPN],$B$4,Tabla1[MES2 INGRESO CPN],K6,Tabla1[RIESGO BIOPSICOSOCIAL],"ALTO RIESGO")</f>
        <v>0</v>
      </c>
      <c r="L51" s="82">
        <f>COUNTIFS(Tabla1[AÑO3 INGRESO CPN],$B$4,Tabla1[MES2 INGRESO CPN],L6,Tabla1[RIESGO BIOPSICOSOCIAL],"ALTO RIESGO")</f>
        <v>0</v>
      </c>
      <c r="M51" s="82">
        <f>COUNTIFS(Tabla1[AÑO3 INGRESO CPN],$B$4,Tabla1[MES2 INGRESO CPN],M6,Tabla1[RIESGO BIOPSICOSOCIAL],"ALTO RIESGO")</f>
        <v>0</v>
      </c>
      <c r="N51" s="91">
        <f ca="1">SUM(B51:M51)</f>
        <v>9</v>
      </c>
    </row>
    <row r="52" spans="1:14" ht="31.5" customHeight="1" thickBot="1" x14ac:dyDescent="0.3">
      <c r="A52" s="152" t="s">
        <v>669</v>
      </c>
      <c r="B52" s="83" t="str">
        <f ca="1">IF(B51=0,"",SUM(B50/B51))</f>
        <v/>
      </c>
      <c r="C52" s="84">
        <f t="shared" ref="C52:N52" ca="1" si="8">IF(C51=0,"",SUM(C50/C51))</f>
        <v>0.5</v>
      </c>
      <c r="D52" s="84">
        <f t="shared" ca="1" si="8"/>
        <v>0.5</v>
      </c>
      <c r="E52" s="84">
        <f t="shared" ca="1" si="8"/>
        <v>0</v>
      </c>
      <c r="F52" s="84">
        <f t="shared" ca="1" si="8"/>
        <v>0</v>
      </c>
      <c r="G52" s="84" t="str">
        <f t="shared" ca="1" si="8"/>
        <v/>
      </c>
      <c r="H52" s="84">
        <f t="shared" ca="1" si="8"/>
        <v>0</v>
      </c>
      <c r="I52" s="84" t="str">
        <f t="shared" ca="1" si="8"/>
        <v/>
      </c>
      <c r="J52" s="84" t="str">
        <f t="shared" si="8"/>
        <v/>
      </c>
      <c r="K52" s="84" t="str">
        <f t="shared" si="8"/>
        <v/>
      </c>
      <c r="L52" s="84" t="str">
        <f t="shared" si="8"/>
        <v/>
      </c>
      <c r="M52" s="84" t="str">
        <f t="shared" si="8"/>
        <v/>
      </c>
      <c r="N52" s="85">
        <f t="shared" ca="1" si="8"/>
        <v>0.22222222222222221</v>
      </c>
    </row>
    <row r="53" spans="1:14" ht="39" customHeight="1" thickBot="1" x14ac:dyDescent="0.3">
      <c r="A53" s="88" t="s">
        <v>697</v>
      </c>
      <c r="B53" s="82">
        <f>SUM(COUNTIFS(Tabla1[AÑO PARTO],$B$4,Tabla1[MES PARTO],B6,Tabla1[SALE DEL PROGRAMA POR],"PARTO",Tabla1[EDAD GESTACIONAL SALIDA PROGRAMA],"&gt;36",Tabla1[EDAD GESTACIONAL SALIDA PROGRAMA],"&lt;44",Tabla1[FECHA ASISTENCIA A CONSULTA NUTRICION],"&lt;&gt;"),COUNTIFS(Tabla1[AÑO PARTO],$B$4,Tabla1[MES PARTO],B6,Tabla1[SALE DEL PROGRAMA POR],"CESAREA",Tabla1[EDAD GESTACIONAL SALIDA PROGRAMA],"&gt;36",Tabla1[EDAD GESTACIONAL SALIDA PROGRAMA],"&lt;44",Tabla1[FECHA ASISTENCIA A CONSULTA NUTRICION],"&lt;&gt;"))</f>
        <v>0</v>
      </c>
      <c r="C53" s="82">
        <f>SUM(COUNTIFS(Tabla1[AÑO PARTO],$B$4,Tabla1[MES PARTO],C6,Tabla1[SALE DEL PROGRAMA POR],"PARTO",Tabla1[EDAD GESTACIONAL SALIDA PROGRAMA],"&gt;36",Tabla1[EDAD GESTACIONAL SALIDA PROGRAMA],"&lt;44",Tabla1[FECHA ASISTENCIA A CONSULTA NUTRICION],"&lt;&gt;"),COUNTIFS(Tabla1[AÑO PARTO],$B$4,Tabla1[MES PARTO],C6,Tabla1[SALE DEL PROGRAMA POR],"CESAREA",Tabla1[EDAD GESTACIONAL SALIDA PROGRAMA],"&gt;36",Tabla1[EDAD GESTACIONAL SALIDA PROGRAMA],"&lt;44",Tabla1[FECHA ASISTENCIA A CONSULTA NUTRICION],"&lt;&gt;"))</f>
        <v>0</v>
      </c>
      <c r="D53" s="82">
        <f>SUM(COUNTIFS(Tabla1[AÑO PARTO],$B$4,Tabla1[MES PARTO],D6,Tabla1[SALE DEL PROGRAMA POR],"PARTO",Tabla1[EDAD GESTACIONAL SALIDA PROGRAMA],"&gt;36",Tabla1[EDAD GESTACIONAL SALIDA PROGRAMA],"&lt;44",Tabla1[FECHA ASISTENCIA A CONSULTA NUTRICION],"&lt;&gt;"),COUNTIFS(Tabla1[AÑO PARTO],$B$4,Tabla1[MES PARTO],D6,Tabla1[SALE DEL PROGRAMA POR],"CESAREA",Tabla1[EDAD GESTACIONAL SALIDA PROGRAMA],"&gt;36",Tabla1[EDAD GESTACIONAL SALIDA PROGRAMA],"&lt;44",Tabla1[FECHA ASISTENCIA A CONSULTA NUTRICION],"&lt;&gt;"))</f>
        <v>1</v>
      </c>
      <c r="E53" s="82">
        <f>SUM(COUNTIFS(Tabla1[AÑO PARTO],$B$4,Tabla1[MES PARTO],E6,Tabla1[SALE DEL PROGRAMA POR],"PARTO",Tabla1[EDAD GESTACIONAL SALIDA PROGRAMA],"&gt;36",Tabla1[EDAD GESTACIONAL SALIDA PROGRAMA],"&lt;44",Tabla1[FECHA ASISTENCIA A CONSULTA NUTRICION],"&lt;&gt;"),COUNTIFS(Tabla1[AÑO PARTO],$B$4,Tabla1[MES PARTO],E6,Tabla1[SALE DEL PROGRAMA POR],"CESAREA",Tabla1[EDAD GESTACIONAL SALIDA PROGRAMA],"&gt;36",Tabla1[EDAD GESTACIONAL SALIDA PROGRAMA],"&lt;44",Tabla1[FECHA ASISTENCIA A CONSULTA NUTRICION],"&lt;&gt;"))</f>
        <v>3</v>
      </c>
      <c r="F53" s="82">
        <f>SUM(COUNTIFS(Tabla1[AÑO PARTO],$B$4,Tabla1[MES PARTO],F6,Tabla1[SALE DEL PROGRAMA POR],"PARTO",Tabla1[EDAD GESTACIONAL SALIDA PROGRAMA],"&gt;36",Tabla1[EDAD GESTACIONAL SALIDA PROGRAMA],"&lt;44",Tabla1[FECHA ASISTENCIA A CONSULTA NUTRICION],"&lt;&gt;"),COUNTIFS(Tabla1[AÑO PARTO],$B$4,Tabla1[MES PARTO],F6,Tabla1[SALE DEL PROGRAMA POR],"CESAREA",Tabla1[EDAD GESTACIONAL SALIDA PROGRAMA],"&gt;36",Tabla1[EDAD GESTACIONAL SALIDA PROGRAMA],"&lt;44",Tabla1[FECHA ASISTENCIA A CONSULTA NUTRICION],"&lt;&gt;"))</f>
        <v>6</v>
      </c>
      <c r="G53" s="82">
        <f>SUM(COUNTIFS(Tabla1[AÑO PARTO],$B$4,Tabla1[MES PARTO],G6,Tabla1[SALE DEL PROGRAMA POR],"PARTO",Tabla1[EDAD GESTACIONAL SALIDA PROGRAMA],"&gt;36",Tabla1[EDAD GESTACIONAL SALIDA PROGRAMA],"&lt;44",Tabla1[FECHA ASISTENCIA A CONSULTA NUTRICION],"&lt;&gt;"),COUNTIFS(Tabla1[AÑO PARTO],$B$4,Tabla1[MES PARTO],G6,Tabla1[SALE DEL PROGRAMA POR],"CESAREA",Tabla1[EDAD GESTACIONAL SALIDA PROGRAMA],"&gt;36",Tabla1[EDAD GESTACIONAL SALIDA PROGRAMA],"&lt;44",Tabla1[FECHA ASISTENCIA A CONSULTA NUTRICION],"&lt;&gt;"))</f>
        <v>2</v>
      </c>
      <c r="H53" s="82">
        <f>SUM(COUNTIFS(Tabla1[AÑO PARTO],$B$4,Tabla1[MES PARTO],H6,Tabla1[SALE DEL PROGRAMA POR],"PARTO",Tabla1[EDAD GESTACIONAL SALIDA PROGRAMA],"&gt;36",Tabla1[EDAD GESTACIONAL SALIDA PROGRAMA],"&lt;44",Tabla1[FECHA ASISTENCIA A CONSULTA NUTRICION],"&lt;&gt;"),COUNTIFS(Tabla1[AÑO PARTO],$B$4,Tabla1[MES PARTO],H6,Tabla1[SALE DEL PROGRAMA POR],"CESAREA",Tabla1[EDAD GESTACIONAL SALIDA PROGRAMA],"&gt;36",Tabla1[EDAD GESTACIONAL SALIDA PROGRAMA],"&lt;44",Tabla1[FECHA ASISTENCIA A CONSULTA NUTRICION],"&lt;&gt;"))</f>
        <v>1</v>
      </c>
      <c r="I53" s="82">
        <f>SUM(COUNTIFS(Tabla1[AÑO PARTO],$B$4,Tabla1[MES PARTO],I6,Tabla1[SALE DEL PROGRAMA POR],"PARTO",Tabla1[EDAD GESTACIONAL SALIDA PROGRAMA],"&gt;36",Tabla1[EDAD GESTACIONAL SALIDA PROGRAMA],"&lt;44",Tabla1[FECHA ASISTENCIA A CONSULTA NUTRICION],"&lt;&gt;"),COUNTIFS(Tabla1[AÑO PARTO],$B$4,Tabla1[MES PARTO],I6,Tabla1[SALE DEL PROGRAMA POR],"CESAREA",Tabla1[EDAD GESTACIONAL SALIDA PROGRAMA],"&gt;36",Tabla1[EDAD GESTACIONAL SALIDA PROGRAMA],"&lt;44",Tabla1[FECHA ASISTENCIA A CONSULTA NUTRICION],"&lt;&gt;"))</f>
        <v>2</v>
      </c>
      <c r="J53" s="82">
        <f>SUM(COUNTIFS(Tabla1[AÑO PARTO],$B$4,Tabla1[MES PARTO],J6,Tabla1[SALE DEL PROGRAMA POR],"PARTO",Tabla1[EDAD GESTACIONAL SALIDA PROGRAMA],"&gt;36",Tabla1[EDAD GESTACIONAL SALIDA PROGRAMA],"&lt;44",Tabla1[FECHA ASISTENCIA A CONSULTA NUTRICION],"&lt;&gt;"),COUNTIFS(Tabla1[AÑO PARTO],$B$4,Tabla1[MES PARTO],J6,Tabla1[SALE DEL PROGRAMA POR],"CESAREA",Tabla1[EDAD GESTACIONAL SALIDA PROGRAMA],"&gt;36",Tabla1[EDAD GESTACIONAL SALIDA PROGRAMA],"&lt;44",Tabla1[FECHA ASISTENCIA A CONSULTA NUTRICION],"&lt;&gt;"))</f>
        <v>0</v>
      </c>
      <c r="K53" s="82">
        <f>SUM(COUNTIFS(Tabla1[AÑO PARTO],$B$4,Tabla1[MES PARTO],K6,Tabla1[SALE DEL PROGRAMA POR],"PARTO",Tabla1[EDAD GESTACIONAL SALIDA PROGRAMA],"&gt;36",Tabla1[EDAD GESTACIONAL SALIDA PROGRAMA],"&lt;44",Tabla1[FECHA ASISTENCIA A CONSULTA NUTRICION],"&lt;&gt;"),COUNTIFS(Tabla1[AÑO PARTO],$B$4,Tabla1[MES PARTO],K6,Tabla1[SALE DEL PROGRAMA POR],"CESAREA",Tabla1[EDAD GESTACIONAL SALIDA PROGRAMA],"&gt;36",Tabla1[EDAD GESTACIONAL SALIDA PROGRAMA],"&lt;44",Tabla1[FECHA ASISTENCIA A CONSULTA NUTRICION],"&lt;&gt;"))</f>
        <v>0</v>
      </c>
      <c r="L53" s="82">
        <f>SUM(COUNTIFS(Tabla1[AÑO PARTO],$B$4,Tabla1[MES PARTO],L6,Tabla1[SALE DEL PROGRAMA POR],"PARTO",Tabla1[EDAD GESTACIONAL SALIDA PROGRAMA],"&gt;36",Tabla1[EDAD GESTACIONAL SALIDA PROGRAMA],"&lt;44",Tabla1[FECHA ASISTENCIA A CONSULTA NUTRICION],"&lt;&gt;"),COUNTIFS(Tabla1[AÑO PARTO],$B$4,Tabla1[MES PARTO],L6,Tabla1[SALE DEL PROGRAMA POR],"CESAREA",Tabla1[EDAD GESTACIONAL SALIDA PROGRAMA],"&gt;36",Tabla1[EDAD GESTACIONAL SALIDA PROGRAMA],"&lt;44",Tabla1[FECHA ASISTENCIA A CONSULTA NUTRICION],"&lt;&gt;"))</f>
        <v>0</v>
      </c>
      <c r="M53" s="82">
        <f>SUM(COUNTIFS(Tabla1[AÑO PARTO],$B$4,Tabla1[MES PARTO],M6,Tabla1[SALE DEL PROGRAMA POR],"PARTO",Tabla1[EDAD GESTACIONAL SALIDA PROGRAMA],"&gt;36",Tabla1[EDAD GESTACIONAL SALIDA PROGRAMA],"&lt;44",Tabla1[FECHA ASISTENCIA A CONSULTA NUTRICION],"&lt;&gt;"),COUNTIFS(Tabla1[AÑO PARTO],$B$4,Tabla1[MES PARTO],M6,Tabla1[SALE DEL PROGRAMA POR],"CESAREA",Tabla1[EDAD GESTACIONAL SALIDA PROGRAMA],"&gt;36",Tabla1[EDAD GESTACIONAL SALIDA PROGRAMA],"&lt;44",Tabla1[FECHA ASISTENCIA A CONSULTA NUTRICION],"&lt;&gt;"))</f>
        <v>0</v>
      </c>
      <c r="N53" s="91">
        <f>SUM(B53:M53)</f>
        <v>15</v>
      </c>
    </row>
    <row r="54" spans="1:14" ht="31.5" customHeight="1" thickBot="1" x14ac:dyDescent="0.3">
      <c r="A54" s="152" t="s">
        <v>696</v>
      </c>
      <c r="B54" s="83" t="str">
        <f t="shared" ref="B54:N54" si="9">IF(B$60=0,"",SUM(B53/B$60))</f>
        <v/>
      </c>
      <c r="C54" s="84">
        <f t="shared" si="9"/>
        <v>0</v>
      </c>
      <c r="D54" s="84">
        <f t="shared" si="9"/>
        <v>8.3333333333333329E-2</v>
      </c>
      <c r="E54" s="84">
        <f t="shared" si="9"/>
        <v>0.21428571428571427</v>
      </c>
      <c r="F54" s="84">
        <f t="shared" si="9"/>
        <v>0.31578947368421051</v>
      </c>
      <c r="G54" s="84">
        <f t="shared" si="9"/>
        <v>0.18181818181818182</v>
      </c>
      <c r="H54" s="84">
        <f t="shared" si="9"/>
        <v>8.3333333333333329E-2</v>
      </c>
      <c r="I54" s="84">
        <f t="shared" si="9"/>
        <v>0.66666666666666663</v>
      </c>
      <c r="J54" s="84" t="str">
        <f t="shared" si="9"/>
        <v/>
      </c>
      <c r="K54" s="84" t="str">
        <f t="shared" si="9"/>
        <v/>
      </c>
      <c r="L54" s="84" t="str">
        <f t="shared" si="9"/>
        <v/>
      </c>
      <c r="M54" s="84" t="str">
        <f t="shared" si="9"/>
        <v/>
      </c>
      <c r="N54" s="85">
        <f t="shared" si="9"/>
        <v>0.20833333333333334</v>
      </c>
    </row>
    <row r="55" spans="1:14" ht="31.5" customHeight="1" x14ac:dyDescent="0.25">
      <c r="A55" s="88" t="s">
        <v>674</v>
      </c>
      <c r="B55" s="82">
        <f>COUNTIFS(Tabla1[AÑO PARTO],$B$4,Tabla1[MES PARTO],B6,Tabla1[GESTANTES ACTUALES],"SALIO PROGRAMA")</f>
        <v>1</v>
      </c>
      <c r="C55" s="82">
        <f>COUNTIFS(Tabla1[AÑO PARTO],$B$4,Tabla1[MES PARTO],C6,Tabla1[GESTANTES ACTUALES],"SALIO PROGRAMA")</f>
        <v>3</v>
      </c>
      <c r="D55" s="82">
        <f>COUNTIFS(Tabla1[AÑO PARTO],$B$4,Tabla1[MES PARTO],D6,Tabla1[GESTANTES ACTUALES],"SALIO PROGRAMA")</f>
        <v>12</v>
      </c>
      <c r="E55" s="82">
        <f>COUNTIFS(Tabla1[AÑO PARTO],$B$4,Tabla1[MES PARTO],E6,Tabla1[GESTANTES ACTUALES],"SALIO PROGRAMA")</f>
        <v>16</v>
      </c>
      <c r="F55" s="82">
        <f>COUNTIFS(Tabla1[AÑO PARTO],$B$4,Tabla1[MES PARTO],F6,Tabla1[GESTANTES ACTUALES],"SALIO PROGRAMA")</f>
        <v>31</v>
      </c>
      <c r="G55" s="82">
        <f>COUNTIFS(Tabla1[AÑO PARTO],$B$4,Tabla1[MES PARTO],G6,Tabla1[GESTANTES ACTUALES],"SALIO PROGRAMA")</f>
        <v>13</v>
      </c>
      <c r="H55" s="82">
        <f>COUNTIFS(Tabla1[AÑO PARTO],$B$4,Tabla1[MES PARTO],H6,Tabla1[GESTANTES ACTUALES],"SALIO PROGRAMA")</f>
        <v>14</v>
      </c>
      <c r="I55" s="82">
        <f>COUNTIFS(Tabla1[AÑO PARTO],$B$4,Tabla1[MES PARTO],I6,Tabla1[GESTANTES ACTUALES],"SALIO PROGRAMA")</f>
        <v>3</v>
      </c>
      <c r="J55" s="82">
        <f>COUNTIFS(Tabla1[AÑO PARTO],$B$4,Tabla1[MES PARTO],J6,Tabla1[GESTANTES ACTUALES],"SALIO PROGRAMA")</f>
        <v>0</v>
      </c>
      <c r="K55" s="82">
        <f>COUNTIFS(Tabla1[AÑO PARTO],$B$4,Tabla1[MES PARTO],K6,Tabla1[GESTANTES ACTUALES],"SALIO PROGRAMA")</f>
        <v>0</v>
      </c>
      <c r="L55" s="82">
        <f>COUNTIFS(Tabla1[AÑO PARTO],$B$4,Tabla1[MES PARTO],L6,Tabla1[GESTANTES ACTUALES],"SALIO PROGRAMA")</f>
        <v>0</v>
      </c>
      <c r="M55" s="82">
        <f>COUNTIFS(Tabla1[AÑO PARTO],$B$4,Tabla1[MES PARTO],M6,Tabla1[GESTANTES ACTUALES],"SALIO PROGRAMA")</f>
        <v>0</v>
      </c>
      <c r="N55" s="90">
        <f>SUM(B55:M55)</f>
        <v>93</v>
      </c>
    </row>
    <row r="56" spans="1:14" ht="43.5" customHeight="1" thickBot="1" x14ac:dyDescent="0.3">
      <c r="A56" s="53" t="s">
        <v>675</v>
      </c>
      <c r="B56" s="43">
        <f ca="1">COUNTIFS(Tabla1[AÑO PARTO],$B$4,Tabla1[MES PARTO],B6,Tabla1[GESTANTES ACTUALES],"SALIO PROGRAMA",Tabla1[Alarma de apoyo Tamizaje Sífilis],"COMPLETO")</f>
        <v>1</v>
      </c>
      <c r="C56" s="43">
        <f ca="1">COUNTIFS(Tabla1[AÑO PARTO],$B$4,Tabla1[MES PARTO],C6,Tabla1[GESTANTES ACTUALES],"SALIO PROGRAMA",Tabla1[Alarma de apoyo Tamizaje Sífilis],"COMPLETO")</f>
        <v>0</v>
      </c>
      <c r="D56" s="43">
        <f ca="1">COUNTIFS(Tabla1[AÑO PARTO],$B$4,Tabla1[MES PARTO],D6,Tabla1[GESTANTES ACTUALES],"SALIO PROGRAMA",Tabla1[Alarma de apoyo Tamizaje Sífilis],"COMPLETO")</f>
        <v>1</v>
      </c>
      <c r="E56" s="43">
        <f ca="1">COUNTIFS(Tabla1[AÑO PARTO],$B$4,Tabla1[MES PARTO],E6,Tabla1[GESTANTES ACTUALES],"SALIO PROGRAMA",Tabla1[Alarma de apoyo Tamizaje Sífilis],"COMPLETO")</f>
        <v>3</v>
      </c>
      <c r="F56" s="43">
        <f ca="1">COUNTIFS(Tabla1[AÑO PARTO],$B$4,Tabla1[MES PARTO],F6,Tabla1[GESTANTES ACTUALES],"SALIO PROGRAMA",Tabla1[Alarma de apoyo Tamizaje Sífilis],"COMPLETO")</f>
        <v>6</v>
      </c>
      <c r="G56" s="43">
        <f ca="1">COUNTIFS(Tabla1[AÑO PARTO],$B$4,Tabla1[MES PARTO],G6,Tabla1[GESTANTES ACTUALES],"SALIO PROGRAMA",Tabla1[Alarma de apoyo Tamizaje Sífilis],"COMPLETO")</f>
        <v>3</v>
      </c>
      <c r="H56" s="43">
        <f ca="1">COUNTIFS(Tabla1[AÑO PARTO],$B$4,Tabla1[MES PARTO],H6,Tabla1[GESTANTES ACTUALES],"SALIO PROGRAMA",Tabla1[Alarma de apoyo Tamizaje Sífilis],"COMPLETO")</f>
        <v>1</v>
      </c>
      <c r="I56" s="43">
        <f ca="1">COUNTIFS(Tabla1[AÑO PARTO],$B$4,Tabla1[MES PARTO],I6,Tabla1[GESTANTES ACTUALES],"SALIO PROGRAMA",Tabla1[Alarma de apoyo Tamizaje Sífilis],"COMPLETO")</f>
        <v>1</v>
      </c>
      <c r="J56" s="43">
        <f>COUNTIFS(Tabla1[AÑO PARTO],$B$4,Tabla1[MES PARTO],J6,Tabla1[GESTANTES ACTUALES],"SALIO PROGRAMA",Tabla1[Alarma de apoyo Tamizaje Sífilis],"COMPLETO")</f>
        <v>0</v>
      </c>
      <c r="K56" s="43">
        <f>COUNTIFS(Tabla1[AÑO PARTO],$B$4,Tabla1[MES PARTO],K6,Tabla1[GESTANTES ACTUALES],"SALIO PROGRAMA",Tabla1[Alarma de apoyo Tamizaje Sífilis],"COMPLETO")</f>
        <v>0</v>
      </c>
      <c r="L56" s="43">
        <f>COUNTIFS(Tabla1[AÑO PARTO],$B$4,Tabla1[MES PARTO],L6,Tabla1[GESTANTES ACTUALES],"SALIO PROGRAMA",Tabla1[Alarma de apoyo Tamizaje Sífilis],"COMPLETO")</f>
        <v>0</v>
      </c>
      <c r="M56" s="43">
        <f>COUNTIFS(Tabla1[AÑO PARTO],$B$4,Tabla1[MES PARTO],M6,Tabla1[GESTANTES ACTUALES],"SALIO PROGRAMA",Tabla1[Alarma de apoyo Tamizaje Sífilis],"COMPLETO")</f>
        <v>0</v>
      </c>
      <c r="N56" s="43">
        <f ca="1">SUM(B56:M56)</f>
        <v>16</v>
      </c>
    </row>
    <row r="57" spans="1:14" ht="37.5" customHeight="1" thickBot="1" x14ac:dyDescent="0.3">
      <c r="A57" s="143" t="s">
        <v>673</v>
      </c>
      <c r="B57" s="83">
        <f t="shared" ref="B57:N57" ca="1" si="10">IF(B55=0,"",SUM(B56/B55))</f>
        <v>1</v>
      </c>
      <c r="C57" s="84">
        <f t="shared" ca="1" si="10"/>
        <v>0</v>
      </c>
      <c r="D57" s="84">
        <f t="shared" ca="1" si="10"/>
        <v>8.3333333333333329E-2</v>
      </c>
      <c r="E57" s="84">
        <f t="shared" ca="1" si="10"/>
        <v>0.1875</v>
      </c>
      <c r="F57" s="84">
        <f t="shared" ca="1" si="10"/>
        <v>0.19354838709677419</v>
      </c>
      <c r="G57" s="84">
        <f t="shared" ca="1" si="10"/>
        <v>0.23076923076923078</v>
      </c>
      <c r="H57" s="84">
        <f t="shared" ca="1" si="10"/>
        <v>7.1428571428571425E-2</v>
      </c>
      <c r="I57" s="84">
        <f t="shared" ca="1" si="10"/>
        <v>0.33333333333333331</v>
      </c>
      <c r="J57" s="84" t="str">
        <f t="shared" si="10"/>
        <v/>
      </c>
      <c r="K57" s="84" t="str">
        <f t="shared" si="10"/>
        <v/>
      </c>
      <c r="L57" s="84" t="str">
        <f t="shared" si="10"/>
        <v/>
      </c>
      <c r="M57" s="84" t="str">
        <f t="shared" si="10"/>
        <v/>
      </c>
      <c r="N57" s="85">
        <f t="shared" ca="1" si="10"/>
        <v>0.17204301075268819</v>
      </c>
    </row>
    <row r="58" spans="1:14" ht="53.25" customHeight="1" thickBot="1" x14ac:dyDescent="0.3">
      <c r="A58" s="53" t="s">
        <v>678</v>
      </c>
      <c r="B58" s="43">
        <f ca="1">COUNTIFS(Tabla1[AÑO PARTO],$B$4,Tabla1[MES PARTO],B6,Tabla1[GESTANTES ACTUALES],"SALIO PROGRAMA",Tabla1[Alarma de apoyo Tamizaje VIH],"COMPLETO")</f>
        <v>1</v>
      </c>
      <c r="C58" s="43">
        <f ca="1">COUNTIFS(Tabla1[AÑO PARTO],$B$4,Tabla1[MES PARTO],C6,Tabla1[GESTANTES ACTUALES],"SALIO PROGRAMA",Tabla1[Alarma de apoyo Tamizaje VIH],"COMPLETO")</f>
        <v>0</v>
      </c>
      <c r="D58" s="43">
        <f ca="1">COUNTIFS(Tabla1[AÑO PARTO],$B$4,Tabla1[MES PARTO],D6,Tabla1[GESTANTES ACTUALES],"SALIO PROGRAMA",Tabla1[Alarma de apoyo Tamizaje VIH],"COMPLETO")</f>
        <v>1</v>
      </c>
      <c r="E58" s="43">
        <f ca="1">COUNTIFS(Tabla1[AÑO PARTO],$B$4,Tabla1[MES PARTO],E6,Tabla1[GESTANTES ACTUALES],"SALIO PROGRAMA",Tabla1[Alarma de apoyo Tamizaje VIH],"COMPLETO")</f>
        <v>3</v>
      </c>
      <c r="F58" s="43">
        <f ca="1">COUNTIFS(Tabla1[AÑO PARTO],$B$4,Tabla1[MES PARTO],F6,Tabla1[GESTANTES ACTUALES],"SALIO PROGRAMA",Tabla1[Alarma de apoyo Tamizaje VIH],"COMPLETO")</f>
        <v>5</v>
      </c>
      <c r="G58" s="43">
        <f ca="1">COUNTIFS(Tabla1[AÑO PARTO],$B$4,Tabla1[MES PARTO],G6,Tabla1[GESTANTES ACTUALES],"SALIO PROGRAMA",Tabla1[Alarma de apoyo Tamizaje VIH],"COMPLETO")</f>
        <v>1</v>
      </c>
      <c r="H58" s="43">
        <f ca="1">COUNTIFS(Tabla1[AÑO PARTO],$B$4,Tabla1[MES PARTO],H6,Tabla1[GESTANTES ACTUALES],"SALIO PROGRAMA",Tabla1[Alarma de apoyo Tamizaje VIH],"COMPLETO")</f>
        <v>2</v>
      </c>
      <c r="I58" s="43">
        <f ca="1">COUNTIFS(Tabla1[AÑO PARTO],$B$4,Tabla1[MES PARTO],I6,Tabla1[GESTANTES ACTUALES],"SALIO PROGRAMA",Tabla1[Alarma de apoyo Tamizaje VIH],"COMPLETO")</f>
        <v>1</v>
      </c>
      <c r="J58" s="43">
        <f>COUNTIFS(Tabla1[AÑO PARTO],$B$4,Tabla1[MES PARTO],J6,Tabla1[GESTANTES ACTUALES],"SALIO PROGRAMA",Tabla1[Alarma de apoyo Tamizaje VIH],"COMPLETO")</f>
        <v>0</v>
      </c>
      <c r="K58" s="43">
        <f>COUNTIFS(Tabla1[AÑO PARTO],$B$4,Tabla1[MES PARTO],K6,Tabla1[GESTANTES ACTUALES],"SALIO PROGRAMA",Tabla1[Alarma de apoyo Tamizaje VIH],"COMPLETO")</f>
        <v>0</v>
      </c>
      <c r="L58" s="43">
        <f>COUNTIFS(Tabla1[AÑO PARTO],$B$4,Tabla1[MES PARTO],L6,Tabla1[GESTANTES ACTUALES],"SALIO PROGRAMA",Tabla1[Alarma de apoyo Tamizaje VIH],"COMPLETO")</f>
        <v>0</v>
      </c>
      <c r="M58" s="43">
        <f>COUNTIFS(Tabla1[AÑO PARTO],$B$4,Tabla1[MES PARTO],M6,Tabla1[GESTANTES ACTUALES],"SALIO PROGRAMA",Tabla1[Alarma de apoyo Tamizaje VIH],"COMPLETO")</f>
        <v>0</v>
      </c>
      <c r="N58" s="43">
        <f ca="1">SUM(B58:M58)</f>
        <v>14</v>
      </c>
    </row>
    <row r="59" spans="1:14" ht="37.5" customHeight="1" thickBot="1" x14ac:dyDescent="0.3">
      <c r="A59" s="143" t="s">
        <v>679</v>
      </c>
      <c r="B59" s="83">
        <f t="shared" ref="B59:N59" ca="1" si="11">IF(B55=0,"",SUM(B58/B55))</f>
        <v>1</v>
      </c>
      <c r="C59" s="84">
        <f t="shared" ca="1" si="11"/>
        <v>0</v>
      </c>
      <c r="D59" s="84">
        <f t="shared" ca="1" si="11"/>
        <v>8.3333333333333329E-2</v>
      </c>
      <c r="E59" s="84">
        <f t="shared" ca="1" si="11"/>
        <v>0.1875</v>
      </c>
      <c r="F59" s="84">
        <f t="shared" ca="1" si="11"/>
        <v>0.16129032258064516</v>
      </c>
      <c r="G59" s="84">
        <f t="shared" ca="1" si="11"/>
        <v>7.6923076923076927E-2</v>
      </c>
      <c r="H59" s="84">
        <f t="shared" ca="1" si="11"/>
        <v>0.14285714285714285</v>
      </c>
      <c r="I59" s="84">
        <f t="shared" ca="1" si="11"/>
        <v>0.33333333333333331</v>
      </c>
      <c r="J59" s="84" t="str">
        <f t="shared" si="11"/>
        <v/>
      </c>
      <c r="K59" s="84" t="str">
        <f t="shared" si="11"/>
        <v/>
      </c>
      <c r="L59" s="84" t="str">
        <f t="shared" si="11"/>
        <v/>
      </c>
      <c r="M59" s="84" t="str">
        <f t="shared" si="11"/>
        <v/>
      </c>
      <c r="N59" s="85">
        <f t="shared" ca="1" si="11"/>
        <v>0.15053763440860216</v>
      </c>
    </row>
    <row r="60" spans="1:14" ht="31.5" customHeight="1" thickBot="1" x14ac:dyDescent="0.3">
      <c r="A60" s="161" t="s">
        <v>633</v>
      </c>
      <c r="B60" s="82">
        <f>SUM(COUNTIFS(Tabla1[AÑO PARTO],B4,Tabla1[MES PARTO],B6,Tabla1[SALE DEL PROGRAMA POR],"PARTO",Tabla1[EDAD GESTACIONAL SALIDA PROGRAMA],"&gt;36",Tabla1[EDAD GESTACIONAL SALIDA PROGRAMA],"&lt;44"),COUNTIFS(Tabla1[AÑO PARTO],B4,Tabla1[MES PARTO],B6,Tabla1[SALE DEL PROGRAMA POR],"CESAREA",Tabla1[EDAD GESTACIONAL SALIDA PROGRAMA],"&gt;36",Tabla1[EDAD GESTACIONAL SALIDA PROGRAMA],"&lt;44"))</f>
        <v>0</v>
      </c>
      <c r="C60" s="82">
        <f>SUM(COUNTIFS(Tabla1[AÑO PARTO],B4,Tabla1[MES PARTO],C6,Tabla1[SALE DEL PROGRAMA POR],"PARTO",Tabla1[EDAD GESTACIONAL SALIDA PROGRAMA],"&gt;36",Tabla1[EDAD GESTACIONAL SALIDA PROGRAMA],"&lt;44"),COUNTIFS(Tabla1[AÑO PARTO],B4,Tabla1[MES PARTO],C6,Tabla1[SALE DEL PROGRAMA POR],"CESAREA",Tabla1[EDAD GESTACIONAL SALIDA PROGRAMA],"&gt;36",Tabla1[EDAD GESTACIONAL SALIDA PROGRAMA],"&lt;44"))</f>
        <v>1</v>
      </c>
      <c r="D60" s="82">
        <f>SUM(COUNTIFS(Tabla1[AÑO PARTO],B4,Tabla1[MES PARTO],D6,Tabla1[SALE DEL PROGRAMA POR],"PARTO",Tabla1[EDAD GESTACIONAL SALIDA PROGRAMA],"&gt;36",Tabla1[EDAD GESTACIONAL SALIDA PROGRAMA],"&lt;44"),COUNTIFS(Tabla1[AÑO PARTO],B4,Tabla1[MES PARTO],D6,Tabla1[SALE DEL PROGRAMA POR],"CESAREA",Tabla1[EDAD GESTACIONAL SALIDA PROGRAMA],"&gt;36",Tabla1[EDAD GESTACIONAL SALIDA PROGRAMA],"&lt;44"))</f>
        <v>12</v>
      </c>
      <c r="E60" s="82">
        <f>SUM(COUNTIFS(Tabla1[AÑO PARTO],B4,Tabla1[MES PARTO],E6,Tabla1[SALE DEL PROGRAMA POR],"PARTO",Tabla1[EDAD GESTACIONAL SALIDA PROGRAMA],"&gt;36",Tabla1[EDAD GESTACIONAL SALIDA PROGRAMA],"&lt;44"),COUNTIFS(Tabla1[AÑO PARTO],B4,Tabla1[MES PARTO],E6,Tabla1[SALE DEL PROGRAMA POR],"CESAREA",Tabla1[EDAD GESTACIONAL SALIDA PROGRAMA],"&gt;36",Tabla1[EDAD GESTACIONAL SALIDA PROGRAMA],"&lt;44"))</f>
        <v>14</v>
      </c>
      <c r="F60" s="82">
        <f>SUM(COUNTIFS(Tabla1[AÑO PARTO],B4,Tabla1[MES PARTO],F6,Tabla1[SALE DEL PROGRAMA POR],"PARTO",Tabla1[EDAD GESTACIONAL SALIDA PROGRAMA],"&gt;36",Tabla1[EDAD GESTACIONAL SALIDA PROGRAMA],"&lt;44"),COUNTIFS(Tabla1[AÑO PARTO],B4,Tabla1[MES PARTO],F6,Tabla1[SALE DEL PROGRAMA POR],"CESAREA",Tabla1[EDAD GESTACIONAL SALIDA PROGRAMA],"&gt;36",Tabla1[EDAD GESTACIONAL SALIDA PROGRAMA],"&lt;44"))</f>
        <v>19</v>
      </c>
      <c r="G60" s="82">
        <f>SUM(COUNTIFS(Tabla1[AÑO PARTO],B4,Tabla1[MES PARTO],G6,Tabla1[SALE DEL PROGRAMA POR],"PARTO",Tabla1[EDAD GESTACIONAL SALIDA PROGRAMA],"&gt;36",Tabla1[EDAD GESTACIONAL SALIDA PROGRAMA],"&lt;44"),COUNTIFS(Tabla1[AÑO PARTO],B4,Tabla1[MES PARTO],G6,Tabla1[SALE DEL PROGRAMA POR],"CESAREA",Tabla1[EDAD GESTACIONAL SALIDA PROGRAMA],"&gt;36",Tabla1[EDAD GESTACIONAL SALIDA PROGRAMA],"&lt;44"))</f>
        <v>11</v>
      </c>
      <c r="H60" s="82">
        <f>SUM(COUNTIFS(Tabla1[AÑO PARTO],B4,Tabla1[MES PARTO],H6,Tabla1[SALE DEL PROGRAMA POR],"PARTO",Tabla1[EDAD GESTACIONAL SALIDA PROGRAMA],"&gt;36",Tabla1[EDAD GESTACIONAL SALIDA PROGRAMA],"&lt;44"),COUNTIFS(Tabla1[AÑO PARTO],B4,Tabla1[MES PARTO],H6,Tabla1[SALE DEL PROGRAMA POR],"CESAREA",Tabla1[EDAD GESTACIONAL SALIDA PROGRAMA],"&gt;36",Tabla1[EDAD GESTACIONAL SALIDA PROGRAMA],"&lt;44"))</f>
        <v>12</v>
      </c>
      <c r="I60" s="82">
        <f>SUM(COUNTIFS(Tabla1[AÑO PARTO],B4,Tabla1[MES PARTO],I6,Tabla1[SALE DEL PROGRAMA POR],"PARTO",Tabla1[EDAD GESTACIONAL SALIDA PROGRAMA],"&gt;36",Tabla1[EDAD GESTACIONAL SALIDA PROGRAMA],"&lt;44"),COUNTIFS(Tabla1[AÑO PARTO],B4,Tabla1[MES PARTO],I6,Tabla1[SALE DEL PROGRAMA POR],"CESAREA",Tabla1[EDAD GESTACIONAL SALIDA PROGRAMA],"&gt;36",Tabla1[EDAD GESTACIONAL SALIDA PROGRAMA],"&lt;44"))</f>
        <v>3</v>
      </c>
      <c r="J60" s="82">
        <f>SUM(COUNTIFS(Tabla1[AÑO PARTO],B4,Tabla1[MES PARTO],J6,Tabla1[SALE DEL PROGRAMA POR],"PARTO",Tabla1[EDAD GESTACIONAL SALIDA PROGRAMA],"&gt;36",Tabla1[EDAD GESTACIONAL SALIDA PROGRAMA],"&lt;44"),COUNTIFS(Tabla1[AÑO PARTO],B4,Tabla1[MES PARTO],J6,Tabla1[SALE DEL PROGRAMA POR],"CESAREA",Tabla1[EDAD GESTACIONAL SALIDA PROGRAMA],"&gt;36",Tabla1[EDAD GESTACIONAL SALIDA PROGRAMA],"&lt;44"))</f>
        <v>0</v>
      </c>
      <c r="K60" s="82">
        <f>SUM(COUNTIFS(Tabla1[AÑO PARTO],B4,Tabla1[MES PARTO],K6,Tabla1[SALE DEL PROGRAMA POR],"PARTO",Tabla1[EDAD GESTACIONAL SALIDA PROGRAMA],"&gt;36",Tabla1[EDAD GESTACIONAL SALIDA PROGRAMA],"&lt;44"),COUNTIFS(Tabla1[AÑO PARTO],B4,Tabla1[MES PARTO],K6,Tabla1[SALE DEL PROGRAMA POR],"CESAREA",Tabla1[EDAD GESTACIONAL SALIDA PROGRAMA],"&gt;36",Tabla1[EDAD GESTACIONAL SALIDA PROGRAMA],"&lt;44"))</f>
        <v>0</v>
      </c>
      <c r="L60" s="82">
        <f>SUM(COUNTIFS(Tabla1[AÑO PARTO],B4,Tabla1[MES PARTO],L6,Tabla1[SALE DEL PROGRAMA POR],"PARTO",Tabla1[EDAD GESTACIONAL SALIDA PROGRAMA],"&gt;36",Tabla1[EDAD GESTACIONAL SALIDA PROGRAMA],"&lt;44"),COUNTIFS(Tabla1[AÑO PARTO],B4,Tabla1[MES PARTO],L6,Tabla1[SALE DEL PROGRAMA POR],"CESAREA",Tabla1[EDAD GESTACIONAL SALIDA PROGRAMA],"&gt;36",Tabla1[EDAD GESTACIONAL SALIDA PROGRAMA],"&lt;44"))</f>
        <v>0</v>
      </c>
      <c r="M60" s="82">
        <f>SUM(COUNTIFS(Tabla1[AÑO PARTO],B4,Tabla1[MES PARTO],M6,Tabla1[SALE DEL PROGRAMA POR],"PARTO",Tabla1[EDAD GESTACIONAL SALIDA PROGRAMA],"&gt;36",Tabla1[EDAD GESTACIONAL SALIDA PROGRAMA],"&lt;44"),COUNTIFS(Tabla1[AÑO PARTO],B4,Tabla1[MES PARTO],M6,Tabla1[SALE DEL PROGRAMA POR],"CESAREA",Tabla1[EDAD GESTACIONAL SALIDA PROGRAMA],"&gt;36",Tabla1[EDAD GESTACIONAL SALIDA PROGRAMA],"&lt;44"))</f>
        <v>0</v>
      </c>
      <c r="N60" s="91">
        <f>SUM(B60:M60)</f>
        <v>72</v>
      </c>
    </row>
    <row r="61" spans="1:14" ht="39" customHeight="1" thickBot="1" x14ac:dyDescent="0.3">
      <c r="A61" s="149" t="s">
        <v>681</v>
      </c>
      <c r="B61" s="142">
        <f>SUM(COUNTIFS(Tabla1[AÑO PARTO],$B$4,Tabla1[MES PARTO],B6,Tabla1[SALE DEL PROGRAMA POR],"PARTO",Tabla1[EDAD GESTACIONAL SALIDA PROGRAMA],"&gt;36",Tabla1[EDAD GESTACIONAL SALIDA PROGRAMA],"&lt;44",Tabla1[FECHA CONSULTA DE 1RA VEZ POR ODONTOLOGIA],"&lt;&gt;"),COUNTIFS(Tabla1[AÑO PARTO],$B$4,Tabla1[MES PARTO],B6,Tabla1[SALE DEL PROGRAMA POR],"CESAREA",Tabla1[EDAD GESTACIONAL SALIDA PROGRAMA],"&gt;36",Tabla1[EDAD GESTACIONAL SALIDA PROGRAMA],"&lt;44",Tabla1[FECHA CONSULTA DE 1RA VEZ POR ODONTOLOGIA],"&lt;&gt;"))</f>
        <v>0</v>
      </c>
      <c r="C61" s="142">
        <f>SUM(COUNTIFS(Tabla1[AÑO PARTO],$B$4,Tabla1[MES PARTO],C6,Tabla1[SALE DEL PROGRAMA POR],"PARTO",Tabla1[EDAD GESTACIONAL SALIDA PROGRAMA],"&gt;36",Tabla1[EDAD GESTACIONAL SALIDA PROGRAMA],"&lt;44",Tabla1[FECHA CONSULTA DE 1RA VEZ POR ODONTOLOGIA],"&lt;&gt;"),COUNTIFS(Tabla1[AÑO PARTO],$B$4,Tabla1[MES PARTO],C6,Tabla1[SALE DEL PROGRAMA POR],"CESAREA",Tabla1[EDAD GESTACIONAL SALIDA PROGRAMA],"&gt;36",Tabla1[EDAD GESTACIONAL SALIDA PROGRAMA],"&lt;44",Tabla1[FECHA CONSULTA DE 1RA VEZ POR ODONTOLOGIA],"&lt;&gt;"))</f>
        <v>1</v>
      </c>
      <c r="D61" s="142">
        <f>SUM(COUNTIFS(Tabla1[AÑO PARTO],$B$4,Tabla1[MES PARTO],D6,Tabla1[SALE DEL PROGRAMA POR],"PARTO",Tabla1[EDAD GESTACIONAL SALIDA PROGRAMA],"&gt;36",Tabla1[EDAD GESTACIONAL SALIDA PROGRAMA],"&lt;44",Tabla1[FECHA CONSULTA DE 1RA VEZ POR ODONTOLOGIA],"&lt;&gt;"),COUNTIFS(Tabla1[AÑO PARTO],$B$4,Tabla1[MES PARTO],D6,Tabla1[SALE DEL PROGRAMA POR],"CESAREA",Tabla1[EDAD GESTACIONAL SALIDA PROGRAMA],"&gt;36",Tabla1[EDAD GESTACIONAL SALIDA PROGRAMA],"&lt;44",Tabla1[FECHA CONSULTA DE 1RA VEZ POR ODONTOLOGIA],"&lt;&gt;"))</f>
        <v>8</v>
      </c>
      <c r="E61" s="142">
        <f>SUM(COUNTIFS(Tabla1[AÑO PARTO],$B$4,Tabla1[MES PARTO],E6,Tabla1[SALE DEL PROGRAMA POR],"PARTO",Tabla1[EDAD GESTACIONAL SALIDA PROGRAMA],"&gt;36",Tabla1[EDAD GESTACIONAL SALIDA PROGRAMA],"&lt;44",Tabla1[FECHA CONSULTA DE 1RA VEZ POR ODONTOLOGIA],"&lt;&gt;"),COUNTIFS(Tabla1[AÑO PARTO],$B$4,Tabla1[MES PARTO],E6,Tabla1[SALE DEL PROGRAMA POR],"CESAREA",Tabla1[EDAD GESTACIONAL SALIDA PROGRAMA],"&gt;36",Tabla1[EDAD GESTACIONAL SALIDA PROGRAMA],"&lt;44",Tabla1[FECHA CONSULTA DE 1RA VEZ POR ODONTOLOGIA],"&lt;&gt;"))</f>
        <v>11</v>
      </c>
      <c r="F61" s="142">
        <f>SUM(COUNTIFS(Tabla1[AÑO PARTO],$B$4,Tabla1[MES PARTO],F6,Tabla1[SALE DEL PROGRAMA POR],"PARTO",Tabla1[EDAD GESTACIONAL SALIDA PROGRAMA],"&gt;36",Tabla1[EDAD GESTACIONAL SALIDA PROGRAMA],"&lt;44",Tabla1[FECHA CONSULTA DE 1RA VEZ POR ODONTOLOGIA],"&lt;&gt;"),COUNTIFS(Tabla1[AÑO PARTO],$B$4,Tabla1[MES PARTO],F6,Tabla1[SALE DEL PROGRAMA POR],"CESAREA",Tabla1[EDAD GESTACIONAL SALIDA PROGRAMA],"&gt;36",Tabla1[EDAD GESTACIONAL SALIDA PROGRAMA],"&lt;44",Tabla1[FECHA CONSULTA DE 1RA VEZ POR ODONTOLOGIA],"&lt;&gt;"))</f>
        <v>16</v>
      </c>
      <c r="G61" s="142">
        <f>SUM(COUNTIFS(Tabla1[AÑO PARTO],$B$4,Tabla1[MES PARTO],G6,Tabla1[SALE DEL PROGRAMA POR],"PARTO",Tabla1[EDAD GESTACIONAL SALIDA PROGRAMA],"&gt;36",Tabla1[EDAD GESTACIONAL SALIDA PROGRAMA],"&lt;44",Tabla1[FECHA CONSULTA DE 1RA VEZ POR ODONTOLOGIA],"&lt;&gt;"),COUNTIFS(Tabla1[AÑO PARTO],$B$4,Tabla1[MES PARTO],G6,Tabla1[SALE DEL PROGRAMA POR],"CESAREA",Tabla1[EDAD GESTACIONAL SALIDA PROGRAMA],"&gt;36",Tabla1[EDAD GESTACIONAL SALIDA PROGRAMA],"&lt;44",Tabla1[FECHA CONSULTA DE 1RA VEZ POR ODONTOLOGIA],"&lt;&gt;"))</f>
        <v>11</v>
      </c>
      <c r="H61" s="142">
        <f>SUM(COUNTIFS(Tabla1[AÑO PARTO],$B$4,Tabla1[MES PARTO],H6,Tabla1[SALE DEL PROGRAMA POR],"PARTO",Tabla1[EDAD GESTACIONAL SALIDA PROGRAMA],"&gt;36",Tabla1[EDAD GESTACIONAL SALIDA PROGRAMA],"&lt;44",Tabla1[FECHA CONSULTA DE 1RA VEZ POR ODONTOLOGIA],"&lt;&gt;"),COUNTIFS(Tabla1[AÑO PARTO],$B$4,Tabla1[MES PARTO],H6,Tabla1[SALE DEL PROGRAMA POR],"CESAREA",Tabla1[EDAD GESTACIONAL SALIDA PROGRAMA],"&gt;36",Tabla1[EDAD GESTACIONAL SALIDA PROGRAMA],"&lt;44",Tabla1[FECHA CONSULTA DE 1RA VEZ POR ODONTOLOGIA],"&lt;&gt;"))</f>
        <v>10</v>
      </c>
      <c r="I61" s="142">
        <f>SUM(COUNTIFS(Tabla1[AÑO PARTO],$B$4,Tabla1[MES PARTO],I6,Tabla1[SALE DEL PROGRAMA POR],"PARTO",Tabla1[EDAD GESTACIONAL SALIDA PROGRAMA],"&gt;36",Tabla1[EDAD GESTACIONAL SALIDA PROGRAMA],"&lt;44",Tabla1[FECHA CONSULTA DE 1RA VEZ POR ODONTOLOGIA],"&lt;&gt;"),COUNTIFS(Tabla1[AÑO PARTO],$B$4,Tabla1[MES PARTO],I6,Tabla1[SALE DEL PROGRAMA POR],"CESAREA",Tabla1[EDAD GESTACIONAL SALIDA PROGRAMA],"&gt;36",Tabla1[EDAD GESTACIONAL SALIDA PROGRAMA],"&lt;44",Tabla1[FECHA CONSULTA DE 1RA VEZ POR ODONTOLOGIA],"&lt;&gt;"))</f>
        <v>3</v>
      </c>
      <c r="J61" s="142">
        <f>SUM(COUNTIFS(Tabla1[AÑO PARTO],$B$4,Tabla1[MES PARTO],J6,Tabla1[SALE DEL PROGRAMA POR],"PARTO",Tabla1[EDAD GESTACIONAL SALIDA PROGRAMA],"&gt;36",Tabla1[EDAD GESTACIONAL SALIDA PROGRAMA],"&lt;44",Tabla1[FECHA CONSULTA DE 1RA VEZ POR ODONTOLOGIA],"&lt;&gt;"),COUNTIFS(Tabla1[AÑO PARTO],$B$4,Tabla1[MES PARTO],J6,Tabla1[SALE DEL PROGRAMA POR],"CESAREA",Tabla1[EDAD GESTACIONAL SALIDA PROGRAMA],"&gt;36",Tabla1[EDAD GESTACIONAL SALIDA PROGRAMA],"&lt;44",Tabla1[FECHA CONSULTA DE 1RA VEZ POR ODONTOLOGIA],"&lt;&gt;"))</f>
        <v>0</v>
      </c>
      <c r="K61" s="142">
        <f>SUM(COUNTIFS(Tabla1[AÑO PARTO],$B$4,Tabla1[MES PARTO],K6,Tabla1[SALE DEL PROGRAMA POR],"PARTO",Tabla1[EDAD GESTACIONAL SALIDA PROGRAMA],"&gt;36",Tabla1[EDAD GESTACIONAL SALIDA PROGRAMA],"&lt;44",Tabla1[FECHA CONSULTA DE 1RA VEZ POR ODONTOLOGIA],"&lt;&gt;"),COUNTIFS(Tabla1[AÑO PARTO],$B$4,Tabla1[MES PARTO],K6,Tabla1[SALE DEL PROGRAMA POR],"CESAREA",Tabla1[EDAD GESTACIONAL SALIDA PROGRAMA],"&gt;36",Tabla1[EDAD GESTACIONAL SALIDA PROGRAMA],"&lt;44",Tabla1[FECHA CONSULTA DE 1RA VEZ POR ODONTOLOGIA],"&lt;&gt;"))</f>
        <v>0</v>
      </c>
      <c r="L61" s="142">
        <f>SUM(COUNTIFS(Tabla1[AÑO PARTO],$B$4,Tabla1[MES PARTO],L6,Tabla1[SALE DEL PROGRAMA POR],"PARTO",Tabla1[EDAD GESTACIONAL SALIDA PROGRAMA],"&gt;36",Tabla1[EDAD GESTACIONAL SALIDA PROGRAMA],"&lt;44",Tabla1[FECHA CONSULTA DE 1RA VEZ POR ODONTOLOGIA],"&lt;&gt;"),COUNTIFS(Tabla1[AÑO PARTO],$B$4,Tabla1[MES PARTO],L6,Tabla1[SALE DEL PROGRAMA POR],"CESAREA",Tabla1[EDAD GESTACIONAL SALIDA PROGRAMA],"&gt;36",Tabla1[EDAD GESTACIONAL SALIDA PROGRAMA],"&lt;44",Tabla1[FECHA CONSULTA DE 1RA VEZ POR ODONTOLOGIA],"&lt;&gt;"))</f>
        <v>0</v>
      </c>
      <c r="M61" s="142">
        <f>SUM(COUNTIFS(Tabla1[AÑO PARTO],$B$4,Tabla1[MES PARTO],M6,Tabla1[SALE DEL PROGRAMA POR],"PARTO",Tabla1[EDAD GESTACIONAL SALIDA PROGRAMA],"&gt;36",Tabla1[EDAD GESTACIONAL SALIDA PROGRAMA],"&lt;44",Tabla1[FECHA CONSULTA DE 1RA VEZ POR ODONTOLOGIA],"&lt;&gt;"),COUNTIFS(Tabla1[AÑO PARTO],$B$4,Tabla1[MES PARTO],M6,Tabla1[SALE DEL PROGRAMA POR],"CESAREA",Tabla1[EDAD GESTACIONAL SALIDA PROGRAMA],"&gt;36",Tabla1[EDAD GESTACIONAL SALIDA PROGRAMA],"&lt;44",Tabla1[FECHA CONSULTA DE 1RA VEZ POR ODONTOLOGIA],"&lt;&gt;"))</f>
        <v>0</v>
      </c>
      <c r="N61" s="82">
        <f>SUM(B61:M61)</f>
        <v>60</v>
      </c>
    </row>
    <row r="62" spans="1:14" ht="33.75" customHeight="1" thickBot="1" x14ac:dyDescent="0.3">
      <c r="A62" s="143" t="s">
        <v>643</v>
      </c>
      <c r="B62" s="83" t="str">
        <f t="shared" ref="B62:N62" si="12">IF(B$60=0,"",SUM(B61/B$60))</f>
        <v/>
      </c>
      <c r="C62" s="84">
        <f t="shared" si="12"/>
        <v>1</v>
      </c>
      <c r="D62" s="84">
        <f t="shared" si="12"/>
        <v>0.66666666666666663</v>
      </c>
      <c r="E62" s="84">
        <f t="shared" si="12"/>
        <v>0.7857142857142857</v>
      </c>
      <c r="F62" s="84">
        <f t="shared" si="12"/>
        <v>0.84210526315789469</v>
      </c>
      <c r="G62" s="84">
        <f t="shared" si="12"/>
        <v>1</v>
      </c>
      <c r="H62" s="84">
        <f t="shared" si="12"/>
        <v>0.83333333333333337</v>
      </c>
      <c r="I62" s="84">
        <f t="shared" si="12"/>
        <v>1</v>
      </c>
      <c r="J62" s="84" t="str">
        <f t="shared" si="12"/>
        <v/>
      </c>
      <c r="K62" s="84" t="str">
        <f t="shared" si="12"/>
        <v/>
      </c>
      <c r="L62" s="84" t="str">
        <f t="shared" si="12"/>
        <v/>
      </c>
      <c r="M62" s="84" t="str">
        <f t="shared" si="12"/>
        <v/>
      </c>
      <c r="N62" s="85">
        <f t="shared" si="12"/>
        <v>0.83333333333333337</v>
      </c>
    </row>
    <row r="63" spans="1:14" ht="37.5" customHeight="1" thickBot="1" x14ac:dyDescent="0.3">
      <c r="A63" s="88" t="s">
        <v>634</v>
      </c>
      <c r="B63" s="82">
        <f>SUM(COUNTIFS(Tabla1[AÑO PARTO],B4,Tabla1[MES PARTO],B6,Tabla1[SALE DEL PROGRAMA POR],"PARTO",Tabla1[EDAD GESTACIONAL SALIDA PROGRAMA],"&gt;36",Tabla1[EDAD GESTACIONAL SALIDA PROGRAMA],"&lt;44",Tabla1[CURSO DE MATERNIDAD Y PATERNIDAD],"7"),COUNTIFS(Tabla1[AÑO PARTO],B4,Tabla1[MES PARTO],B6,Tabla1[SALE DEL PROGRAMA POR],"CESAREA",Tabla1[EDAD GESTACIONAL SALIDA PROGRAMA],"&gt;36",Tabla1[EDAD GESTACIONAL SALIDA PROGRAMA],"&lt;44",Tabla1[CURSO DE MATERNIDAD Y PATERNIDAD],"7"))</f>
        <v>0</v>
      </c>
      <c r="C63" s="82">
        <f>SUM(COUNTIFS(Tabla1[AÑO PARTO],B4,Tabla1[MES PARTO],C6,Tabla1[SALE DEL PROGRAMA POR],"PARTO",Tabla1[EDAD GESTACIONAL SALIDA PROGRAMA],"&gt;36",Tabla1[EDAD GESTACIONAL SALIDA PROGRAMA],"&lt;44",Tabla1[CURSO DE MATERNIDAD Y PATERNIDAD],"7"),COUNTIFS(Tabla1[AÑO PARTO],B4,Tabla1[MES PARTO],C6,Tabla1[SALE DEL PROGRAMA POR],"CESAREA",Tabla1[EDAD GESTACIONAL SALIDA PROGRAMA],"&gt;36",Tabla1[EDAD GESTACIONAL SALIDA PROGRAMA],"&lt;44",Tabla1[CURSO DE MATERNIDAD Y PATERNIDAD],"7"))</f>
        <v>0</v>
      </c>
      <c r="D63" s="82">
        <f>SUM(COUNTIFS(Tabla1[AÑO PARTO],B4,Tabla1[MES PARTO],D6,Tabla1[SALE DEL PROGRAMA POR],"PARTO",Tabla1[EDAD GESTACIONAL SALIDA PROGRAMA],"&gt;36",Tabla1[EDAD GESTACIONAL SALIDA PROGRAMA],"&lt;44",Tabla1[CURSO DE MATERNIDAD Y PATERNIDAD],"7"),COUNTIFS(Tabla1[AÑO PARTO],B4,Tabla1[MES PARTO],D6,Tabla1[SALE DEL PROGRAMA POR],"CESAREA",Tabla1[EDAD GESTACIONAL SALIDA PROGRAMA],"&gt;36",Tabla1[EDAD GESTACIONAL SALIDA PROGRAMA],"&lt;44",Tabla1[CURSO DE MATERNIDAD Y PATERNIDAD],"7"))</f>
        <v>0</v>
      </c>
      <c r="E63" s="82">
        <f>SUM(COUNTIFS(Tabla1[AÑO PARTO],B4,Tabla1[MES PARTO],E6,Tabla1[SALE DEL PROGRAMA POR],"PARTO",Tabla1[EDAD GESTACIONAL SALIDA PROGRAMA],"&gt;36",Tabla1[EDAD GESTACIONAL SALIDA PROGRAMA],"&lt;44",Tabla1[CURSO DE MATERNIDAD Y PATERNIDAD],"7"),COUNTIFS(Tabla1[AÑO PARTO],B4,Tabla1[MES PARTO],E6,Tabla1[SALE DEL PROGRAMA POR],"CESAREA",Tabla1[EDAD GESTACIONAL SALIDA PROGRAMA],"&gt;36",Tabla1[EDAD GESTACIONAL SALIDA PROGRAMA],"&lt;44",Tabla1[CURSO DE MATERNIDAD Y PATERNIDAD],"7"))</f>
        <v>0</v>
      </c>
      <c r="F63" s="82">
        <f>SUM(COUNTIFS(Tabla1[AÑO PARTO],B4,Tabla1[MES PARTO],F6,Tabla1[SALE DEL PROGRAMA POR],"PARTO",Tabla1[EDAD GESTACIONAL SALIDA PROGRAMA],"&gt;36",Tabla1[EDAD GESTACIONAL SALIDA PROGRAMA],"&lt;44",Tabla1[CURSO DE MATERNIDAD Y PATERNIDAD],"7"),COUNTIFS(Tabla1[AÑO PARTO],B4,Tabla1[MES PARTO],F6,Tabla1[SALE DEL PROGRAMA POR],"CESAREA",Tabla1[EDAD GESTACIONAL SALIDA PROGRAMA],"&gt;36",Tabla1[EDAD GESTACIONAL SALIDA PROGRAMA],"&lt;44",Tabla1[CURSO DE MATERNIDAD Y PATERNIDAD],"7"))</f>
        <v>0</v>
      </c>
      <c r="G63" s="82">
        <f>SUM(COUNTIFS(Tabla1[AÑO PARTO],B4,Tabla1[MES PARTO],G6,Tabla1[SALE DEL PROGRAMA POR],"PARTO",Tabla1[EDAD GESTACIONAL SALIDA PROGRAMA],"&gt;36",Tabla1[EDAD GESTACIONAL SALIDA PROGRAMA],"&lt;44",Tabla1[CURSO DE MATERNIDAD Y PATERNIDAD],"7"),COUNTIFS(Tabla1[AÑO PARTO],B4,Tabla1[MES PARTO],G6,Tabla1[SALE DEL PROGRAMA POR],"CESAREA",Tabla1[EDAD GESTACIONAL SALIDA PROGRAMA],"&gt;36",Tabla1[EDAD GESTACIONAL SALIDA PROGRAMA],"&lt;44",Tabla1[CURSO DE MATERNIDAD Y PATERNIDAD],"7"))</f>
        <v>0</v>
      </c>
      <c r="H63" s="82">
        <f>SUM(COUNTIFS(Tabla1[AÑO PARTO],B4,Tabla1[MES PARTO],H6,Tabla1[SALE DEL PROGRAMA POR],"PARTO",Tabla1[EDAD GESTACIONAL SALIDA PROGRAMA],"&gt;36",Tabla1[EDAD GESTACIONAL SALIDA PROGRAMA],"&lt;44",Tabla1[CURSO DE MATERNIDAD Y PATERNIDAD],"7"),COUNTIFS(Tabla1[AÑO PARTO],B4,Tabla1[MES PARTO],H6,Tabla1[SALE DEL PROGRAMA POR],"CESAREA",Tabla1[EDAD GESTACIONAL SALIDA PROGRAMA],"&gt;36",Tabla1[EDAD GESTACIONAL SALIDA PROGRAMA],"&lt;44",Tabla1[CURSO DE MATERNIDAD Y PATERNIDAD],"7"))</f>
        <v>0</v>
      </c>
      <c r="I63" s="82">
        <f>SUM(COUNTIFS(Tabla1[AÑO PARTO],B4,Tabla1[MES PARTO],I6,Tabla1[SALE DEL PROGRAMA POR],"PARTO",Tabla1[EDAD GESTACIONAL SALIDA PROGRAMA],"&gt;36",Tabla1[EDAD GESTACIONAL SALIDA PROGRAMA],"&lt;44",Tabla1[CURSO DE MATERNIDAD Y PATERNIDAD],"7"),COUNTIFS(Tabla1[AÑO PARTO],B4,Tabla1[MES PARTO],I6,Tabla1[SALE DEL PROGRAMA POR],"CESAREA",Tabla1[EDAD GESTACIONAL SALIDA PROGRAMA],"&gt;36",Tabla1[EDAD GESTACIONAL SALIDA PROGRAMA],"&lt;44",Tabla1[CURSO DE MATERNIDAD Y PATERNIDAD],"7"))</f>
        <v>0</v>
      </c>
      <c r="J63" s="82">
        <f>SUM(COUNTIFS(Tabla1[AÑO PARTO],B4,Tabla1[MES PARTO],J6,Tabla1[SALE DEL PROGRAMA POR],"PARTO",Tabla1[EDAD GESTACIONAL SALIDA PROGRAMA],"&gt;36",Tabla1[EDAD GESTACIONAL SALIDA PROGRAMA],"&lt;44",Tabla1[CURSO DE MATERNIDAD Y PATERNIDAD],"7"),COUNTIFS(Tabla1[AÑO PARTO],B4,Tabla1[MES PARTO],J6,Tabla1[SALE DEL PROGRAMA POR],"CESAREA",Tabla1[EDAD GESTACIONAL SALIDA PROGRAMA],"&gt;36",Tabla1[EDAD GESTACIONAL SALIDA PROGRAMA],"&lt;44",Tabla1[CURSO DE MATERNIDAD Y PATERNIDAD],"7"))</f>
        <v>0</v>
      </c>
      <c r="K63" s="82">
        <f>SUM(COUNTIFS(Tabla1[AÑO PARTO],B4,Tabla1[MES PARTO],K6,Tabla1[SALE DEL PROGRAMA POR],"PARTO",Tabla1[EDAD GESTACIONAL SALIDA PROGRAMA],"&gt;36",Tabla1[EDAD GESTACIONAL SALIDA PROGRAMA],"&lt;44",Tabla1[CURSO DE MATERNIDAD Y PATERNIDAD],"7"),COUNTIFS(Tabla1[AÑO PARTO],B4,Tabla1[MES PARTO],K6,Tabla1[SALE DEL PROGRAMA POR],"CESAREA",Tabla1[EDAD GESTACIONAL SALIDA PROGRAMA],"&gt;36",Tabla1[EDAD GESTACIONAL SALIDA PROGRAMA],"&lt;44",Tabla1[CURSO DE MATERNIDAD Y PATERNIDAD],"7"))</f>
        <v>0</v>
      </c>
      <c r="L63" s="82">
        <f>SUM(COUNTIFS(Tabla1[AÑO PARTO],B4,Tabla1[MES PARTO],L6,Tabla1[SALE DEL PROGRAMA POR],"PARTO",Tabla1[EDAD GESTACIONAL SALIDA PROGRAMA],"&gt;36",Tabla1[EDAD GESTACIONAL SALIDA PROGRAMA],"&lt;44",Tabla1[CURSO DE MATERNIDAD Y PATERNIDAD],"7"),COUNTIFS(Tabla1[AÑO PARTO],B4,Tabla1[MES PARTO],L6,Tabla1[SALE DEL PROGRAMA POR],"CESAREA",Tabla1[EDAD GESTACIONAL SALIDA PROGRAMA],"&gt;36",Tabla1[EDAD GESTACIONAL SALIDA PROGRAMA],"&lt;44",Tabla1[CURSO DE MATERNIDAD Y PATERNIDAD],"7"))</f>
        <v>0</v>
      </c>
      <c r="M63" s="82">
        <f>SUM(COUNTIFS(Tabla1[AÑO PARTO],B4,Tabla1[MES PARTO],M6,Tabla1[SALE DEL PROGRAMA POR],"PARTO",Tabla1[EDAD GESTACIONAL SALIDA PROGRAMA],"&gt;36",Tabla1[EDAD GESTACIONAL SALIDA PROGRAMA],"&lt;44",Tabla1[CURSO DE MATERNIDAD Y PATERNIDAD],"7"),COUNTIFS(Tabla1[AÑO PARTO],B4,Tabla1[MES PARTO],M6,Tabla1[SALE DEL PROGRAMA POR],"CESAREA",Tabla1[EDAD GESTACIONAL SALIDA PROGRAMA],"&gt;36",Tabla1[EDAD GESTACIONAL SALIDA PROGRAMA],"&lt;44",Tabla1[CURSO DE MATERNIDAD Y PATERNIDAD],"7"))</f>
        <v>0</v>
      </c>
      <c r="N63" s="91">
        <f>SUM(B63:M63)</f>
        <v>0</v>
      </c>
    </row>
    <row r="64" spans="1:14" ht="50.25" customHeight="1" thickBot="1" x14ac:dyDescent="0.3">
      <c r="A64" s="136" t="s">
        <v>725</v>
      </c>
      <c r="B64" s="83" t="str">
        <f>IF($B$60=0,"",SUM(B63/$B$60))</f>
        <v/>
      </c>
      <c r="C64" s="84">
        <f t="shared" ref="C64:N64" si="13">IF(C$60=0,"",SUM(C63/C$60))</f>
        <v>0</v>
      </c>
      <c r="D64" s="84">
        <f t="shared" si="13"/>
        <v>0</v>
      </c>
      <c r="E64" s="84">
        <f t="shared" si="13"/>
        <v>0</v>
      </c>
      <c r="F64" s="84">
        <f t="shared" si="13"/>
        <v>0</v>
      </c>
      <c r="G64" s="84">
        <f t="shared" si="13"/>
        <v>0</v>
      </c>
      <c r="H64" s="84">
        <f t="shared" si="13"/>
        <v>0</v>
      </c>
      <c r="I64" s="84">
        <f t="shared" si="13"/>
        <v>0</v>
      </c>
      <c r="J64" s="84" t="str">
        <f t="shared" si="13"/>
        <v/>
      </c>
      <c r="K64" s="84" t="str">
        <f t="shared" si="13"/>
        <v/>
      </c>
      <c r="L64" s="84" t="str">
        <f t="shared" si="13"/>
        <v/>
      </c>
      <c r="M64" s="84" t="str">
        <f t="shared" si="13"/>
        <v/>
      </c>
      <c r="N64" s="85">
        <f t="shared" si="13"/>
        <v>0</v>
      </c>
    </row>
    <row r="65" spans="1:14" ht="37.5" customHeight="1" thickBot="1" x14ac:dyDescent="0.3">
      <c r="A65" s="88" t="s">
        <v>635</v>
      </c>
      <c r="B65" s="82">
        <f>SUM(COUNTIFS(Tabla1[AÑO PARTO],B4,Tabla1[MES PARTO],B6,Tabla1[SALE DEL PROGRAMA POR],"PARTO",Tabla1[ALERTA DE PLAN DE PARTO],"&gt;36",Tabla1[ALERTA DE PLAN DE PARTO],"&lt;44"),COUNTIFS(Tabla1[AÑO PARTO],B4,Tabla1[MES PARTO],B6,Tabla1[SALE DEL PROGRAMA POR],"CESAREA",Tabla1[ALERTA DE PLAN DE PARTO],"&gt;36",Tabla1[ALERTA DE PLAN DE PARTO],"&lt;44"))</f>
        <v>0</v>
      </c>
      <c r="C65" s="82">
        <f ca="1">SUM(COUNTIFS(Tabla1[AÑO PARTO],B4,Tabla1[MES PARTO],C6,Tabla1[SALE DEL PROGRAMA POR],"PARTO",Tabla1[ALERTA DE PLAN DE PARTO],"&gt;36",Tabla1[ALERTA DE PLAN DE PARTO],"&lt;44"),COUNTIFS(Tabla1[AÑO PARTO],B4,Tabla1[MES PARTO],C6,Tabla1[SALE DEL PROGRAMA POR],"CESAREA",Tabla1[ALERTA DE PLAN DE PARTO],"&gt;36",Tabla1[ALERTA DE PLAN DE PARTO],"&lt;44"))</f>
        <v>0</v>
      </c>
      <c r="D65" s="82">
        <f ca="1">SUM(COUNTIFS(Tabla1[AÑO PARTO],B4,Tabla1[MES PARTO],D6,Tabla1[SALE DEL PROGRAMA POR],"PARTO",Tabla1[ALERTA DE PLAN DE PARTO],"&gt;36",Tabla1[ALERTA DE PLAN DE PARTO],"&lt;44"),COUNTIFS(Tabla1[AÑO PARTO],B4,Tabla1[MES PARTO],D6,Tabla1[SALE DEL PROGRAMA POR],"CESAREA",Tabla1[ALERTA DE PLAN DE PARTO],"&gt;36",Tabla1[ALERTA DE PLAN DE PARTO],"&lt;44"))</f>
        <v>0</v>
      </c>
      <c r="E65" s="82">
        <f ca="1">SUM(COUNTIFS(Tabla1[AÑO PARTO],B4,Tabla1[MES PARTO],E6,Tabla1[SALE DEL PROGRAMA POR],"PARTO",Tabla1[ALERTA DE PLAN DE PARTO],"&gt;36",Tabla1[ALERTA DE PLAN DE PARTO],"&lt;44"),COUNTIFS(Tabla1[AÑO PARTO],B4,Tabla1[MES PARTO],E6,Tabla1[SALE DEL PROGRAMA POR],"CESAREA",Tabla1[ALERTA DE PLAN DE PARTO],"&gt;36",Tabla1[ALERTA DE PLAN DE PARTO],"&lt;44"))</f>
        <v>0</v>
      </c>
      <c r="F65" s="82">
        <f ca="1">SUM(COUNTIFS(Tabla1[AÑO PARTO],B4,Tabla1[MES PARTO],F6,Tabla1[SALE DEL PROGRAMA POR],"PARTO",Tabla1[ALERTA DE PLAN DE PARTO],"&gt;36",Tabla1[ALERTA DE PLAN DE PARTO],"&lt;44"),COUNTIFS(Tabla1[AÑO PARTO],B4,Tabla1[MES PARTO],F6,Tabla1[SALE DEL PROGRAMA POR],"CESAREA",Tabla1[ALERTA DE PLAN DE PARTO],"&gt;36",Tabla1[ALERTA DE PLAN DE PARTO],"&lt;44"))</f>
        <v>0</v>
      </c>
      <c r="G65" s="82">
        <f ca="1">SUM(COUNTIFS(Tabla1[AÑO PARTO],B4,Tabla1[MES PARTO],G6,Tabla1[SALE DEL PROGRAMA POR],"PARTO",Tabla1[ALERTA DE PLAN DE PARTO],"&gt;36",Tabla1[ALERTA DE PLAN DE PARTO],"&lt;44"),COUNTIFS(Tabla1[AÑO PARTO],B4,Tabla1[MES PARTO],G6,Tabla1[SALE DEL PROGRAMA POR],"CESAREA",Tabla1[ALERTA DE PLAN DE PARTO],"&gt;36",Tabla1[ALERTA DE PLAN DE PARTO],"&lt;44"))</f>
        <v>0</v>
      </c>
      <c r="H65" s="82">
        <f ca="1">SUM(COUNTIFS(Tabla1[AÑO PARTO],B4,Tabla1[MES PARTO],H6,Tabla1[SALE DEL PROGRAMA POR],"PARTO",Tabla1[ALERTA DE PLAN DE PARTO],"&gt;36",Tabla1[ALERTA DE PLAN DE PARTO],"&lt;44"),COUNTIFS(Tabla1[AÑO PARTO],B4,Tabla1[MES PARTO],H6,Tabla1[SALE DEL PROGRAMA POR],"CESAREA",Tabla1[ALERTA DE PLAN DE PARTO],"&gt;36",Tabla1[ALERTA DE PLAN DE PARTO],"&lt;44"))</f>
        <v>0</v>
      </c>
      <c r="I65" s="82">
        <f ca="1">SUM(COUNTIFS(Tabla1[AÑO PARTO],B4,Tabla1[MES PARTO],I6,Tabla1[SALE DEL PROGRAMA POR],"PARTO",Tabla1[ALERTA DE PLAN DE PARTO],"&gt;36",Tabla1[ALERTA DE PLAN DE PARTO],"&lt;44"),COUNTIFS(Tabla1[AÑO PARTO],B4,Tabla1[MES PARTO],I6,Tabla1[SALE DEL PROGRAMA POR],"CESAREA",Tabla1[ALERTA DE PLAN DE PARTO],"&gt;36",Tabla1[ALERTA DE PLAN DE PARTO],"&lt;44"))</f>
        <v>0</v>
      </c>
      <c r="J65" s="82">
        <f>SUM(COUNTIFS(Tabla1[AÑO PARTO],B4,Tabla1[MES PARTO],J6,Tabla1[SALE DEL PROGRAMA POR],"PARTO",Tabla1[ALERTA DE PLAN DE PARTO],"&gt;36",Tabla1[ALERTA DE PLAN DE PARTO],"&lt;44"),COUNTIFS(Tabla1[AÑO PARTO],B4,Tabla1[MES PARTO],J6,Tabla1[SALE DEL PROGRAMA POR],"CESAREA",Tabla1[ALERTA DE PLAN DE PARTO],"&gt;36",Tabla1[ALERTA DE PLAN DE PARTO],"&lt;44"))</f>
        <v>0</v>
      </c>
      <c r="K65" s="82">
        <f>SUM(COUNTIFS(Tabla1[AÑO PARTO],B4,Tabla1[MES PARTO],K6,Tabla1[SALE DEL PROGRAMA POR],"PARTO",Tabla1[ALERTA DE PLAN DE PARTO],"&gt;36",Tabla1[ALERTA DE PLAN DE PARTO],"&lt;44"),COUNTIFS(Tabla1[AÑO PARTO],B4,Tabla1[MES PARTO],K6,Tabla1[SALE DEL PROGRAMA POR],"CESAREA",Tabla1[ALERTA DE PLAN DE PARTO],"&gt;36",Tabla1[ALERTA DE PLAN DE PARTO],"&lt;44"))</f>
        <v>0</v>
      </c>
      <c r="L65" s="82">
        <f>SUM(COUNTIFS(Tabla1[AÑO PARTO],B4,Tabla1[MES PARTO],L6,Tabla1[SALE DEL PROGRAMA POR],"PARTO",Tabla1[ALERTA DE PLAN DE PARTO],"&gt;36",Tabla1[ALERTA DE PLAN DE PARTO],"&lt;44"),COUNTIFS(Tabla1[AÑO PARTO],B4,Tabla1[MES PARTO],L6,Tabla1[SALE DEL PROGRAMA POR],"CESAREA",Tabla1[ALERTA DE PLAN DE PARTO],"&gt;36",Tabla1[ALERTA DE PLAN DE PARTO],"&lt;44"))</f>
        <v>0</v>
      </c>
      <c r="M65" s="82">
        <f>SUM(COUNTIFS(Tabla1[AÑO PARTO],B4,Tabla1[MES PARTO],M6,Tabla1[SALE DEL PROGRAMA POR],"PARTO",Tabla1[ALERTA DE PLAN DE PARTO],"&gt;36",Tabla1[ALERTA DE PLAN DE PARTO],"&lt;44"),COUNTIFS(Tabla1[AÑO PARTO],B4,Tabla1[MES PARTO],M6,Tabla1[SALE DEL PROGRAMA POR],"CESAREA",Tabla1[ALERTA DE PLAN DE PARTO],"&gt;36",Tabla1[ALERTA DE PLAN DE PARTO],"&lt;44"))</f>
        <v>0</v>
      </c>
      <c r="N65" s="91">
        <f ca="1">SUM(B65:M65)</f>
        <v>0</v>
      </c>
    </row>
    <row r="66" spans="1:14" ht="37.5" customHeight="1" thickBot="1" x14ac:dyDescent="0.3">
      <c r="A66" s="136" t="s">
        <v>724</v>
      </c>
      <c r="B66" s="83" t="str">
        <f t="shared" ref="B66:N66" si="14">IF(B$60=0,"",SUM(B65/B$60))</f>
        <v/>
      </c>
      <c r="C66" s="84">
        <f t="shared" ca="1" si="14"/>
        <v>0</v>
      </c>
      <c r="D66" s="84">
        <f t="shared" ca="1" si="14"/>
        <v>0</v>
      </c>
      <c r="E66" s="84">
        <f t="shared" ca="1" si="14"/>
        <v>0</v>
      </c>
      <c r="F66" s="84">
        <f t="shared" ca="1" si="14"/>
        <v>0</v>
      </c>
      <c r="G66" s="84">
        <f t="shared" ca="1" si="14"/>
        <v>0</v>
      </c>
      <c r="H66" s="84">
        <f t="shared" ca="1" si="14"/>
        <v>0</v>
      </c>
      <c r="I66" s="84">
        <f t="shared" ca="1" si="14"/>
        <v>0</v>
      </c>
      <c r="J66" s="84" t="str">
        <f t="shared" si="14"/>
        <v/>
      </c>
      <c r="K66" s="84" t="str">
        <f t="shared" si="14"/>
        <v/>
      </c>
      <c r="L66" s="84" t="str">
        <f t="shared" si="14"/>
        <v/>
      </c>
      <c r="M66" s="84" t="str">
        <f t="shared" si="14"/>
        <v/>
      </c>
      <c r="N66" s="85">
        <f t="shared" ca="1" si="14"/>
        <v>0</v>
      </c>
    </row>
    <row r="67" spans="1:14" ht="51" customHeight="1" thickBot="1" x14ac:dyDescent="0.3">
      <c r="A67" s="88" t="s">
        <v>729</v>
      </c>
      <c r="B67" s="82">
        <f>SUM(COUNTIFS(Tabla1[AÑO PARTO],$B$4,Tabla1[MES PARTO],B6,Tabla1[SALE DEL PROGRAMA POR],"PARTO",Tabla1[FECHA ASESORIA EN LACTANCIA MATERNA DURANTE CPN],"&lt;&gt;"),COUNTIFS(Tabla1[AÑO PARTO],$B$4,Tabla1[MES PARTO],B6,Tabla1[SALE DEL PROGRAMA POR],"CESAREA",Tabla1[FECHA ASESORIA EN LACTANCIA MATERNA DURANTE CPN],"&lt;&gt;"))</f>
        <v>0</v>
      </c>
      <c r="C67" s="82">
        <f>SUM(COUNTIFS(Tabla1[AÑO PARTO],$B$4,Tabla1[MES PARTO],C6,Tabla1[SALE DEL PROGRAMA POR],"PARTO",Tabla1[FECHA ASESORIA EN LACTANCIA MATERNA DURANTE CPN],"&lt;&gt;"),COUNTIFS(Tabla1[AÑO PARTO],$B$4,Tabla1[MES PARTO],C6,Tabla1[SALE DEL PROGRAMA POR],"CESAREA",Tabla1[FECHA ASESORIA EN LACTANCIA MATERNA DURANTE CPN],"&lt;&gt;"))</f>
        <v>3</v>
      </c>
      <c r="D67" s="82">
        <f>SUM(COUNTIFS(Tabla1[AÑO PARTO],$B$4,Tabla1[MES PARTO],D6,Tabla1[SALE DEL PROGRAMA POR],"PARTO",Tabla1[FECHA ASESORIA EN LACTANCIA MATERNA DURANTE CPN],"&lt;&gt;"),COUNTIFS(Tabla1[AÑO PARTO],$B$4,Tabla1[MES PARTO],D6,Tabla1[SALE DEL PROGRAMA POR],"CESAREA",Tabla1[FECHA ASESORIA EN LACTANCIA MATERNA DURANTE CPN],"&lt;&gt;"))</f>
        <v>12</v>
      </c>
      <c r="E67" s="82">
        <f>SUM(COUNTIFS(Tabla1[AÑO PARTO],$B$4,Tabla1[MES PARTO],E6,Tabla1[SALE DEL PROGRAMA POR],"PARTO",Tabla1[FECHA ASESORIA EN LACTANCIA MATERNA DURANTE CPN],"&lt;&gt;"),COUNTIFS(Tabla1[AÑO PARTO],$B$4,Tabla1[MES PARTO],E6,Tabla1[SALE DEL PROGRAMA POR],"CESAREA",Tabla1[FECHA ASESORIA EN LACTANCIA MATERNA DURANTE CPN],"&lt;&gt;"))</f>
        <v>17</v>
      </c>
      <c r="F67" s="82">
        <f>SUM(COUNTIFS(Tabla1[AÑO PARTO],$B$4,Tabla1[MES PARTO],F6,Tabla1[SALE DEL PROGRAMA POR],"PARTO",Tabla1[FECHA ASESORIA EN LACTANCIA MATERNA DURANTE CPN],"&lt;&gt;"),COUNTIFS(Tabla1[AÑO PARTO],$B$4,Tabla1[MES PARTO],F6,Tabla1[SALE DEL PROGRAMA POR],"CESAREA",Tabla1[FECHA ASESORIA EN LACTANCIA MATERNA DURANTE CPN],"&lt;&gt;"))</f>
        <v>31</v>
      </c>
      <c r="G67" s="82">
        <f>SUM(COUNTIFS(Tabla1[AÑO PARTO],$B$4,Tabla1[MES PARTO],G6,Tabla1[SALE DEL PROGRAMA POR],"PARTO",Tabla1[FECHA ASESORIA EN LACTANCIA MATERNA DURANTE CPN],"&lt;&gt;"),COUNTIFS(Tabla1[AÑO PARTO],$B$4,Tabla1[MES PARTO],G6,Tabla1[SALE DEL PROGRAMA POR],"CESAREA",Tabla1[FECHA ASESORIA EN LACTANCIA MATERNA DURANTE CPN],"&lt;&gt;"))</f>
        <v>13</v>
      </c>
      <c r="H67" s="82">
        <f>SUM(COUNTIFS(Tabla1[AÑO PARTO],$B$4,Tabla1[MES PARTO],H6,Tabla1[SALE DEL PROGRAMA POR],"PARTO",Tabla1[FECHA ASESORIA EN LACTANCIA MATERNA DURANTE CPN],"&lt;&gt;"),COUNTIFS(Tabla1[AÑO PARTO],$B$4,Tabla1[MES PARTO],H6,Tabla1[SALE DEL PROGRAMA POR],"CESAREA",Tabla1[FECHA ASESORIA EN LACTANCIA MATERNA DURANTE CPN],"&lt;&gt;"))</f>
        <v>14</v>
      </c>
      <c r="I67" s="82">
        <f>SUM(COUNTIFS(Tabla1[AÑO PARTO],$B$4,Tabla1[MES PARTO],I6,Tabla1[SALE DEL PROGRAMA POR],"PARTO",Tabla1[FECHA ASESORIA EN LACTANCIA MATERNA DURANTE CPN],"&lt;&gt;"),COUNTIFS(Tabla1[AÑO PARTO],$B$4,Tabla1[MES PARTO],I6,Tabla1[SALE DEL PROGRAMA POR],"CESAREA",Tabla1[FECHA ASESORIA EN LACTANCIA MATERNA DURANTE CPN],"&lt;&gt;"))</f>
        <v>3</v>
      </c>
      <c r="J67" s="82">
        <f>SUM(COUNTIFS(Tabla1[AÑO PARTO],$B$4,Tabla1[MES PARTO],J6,Tabla1[SALE DEL PROGRAMA POR],"PARTO",Tabla1[FECHA ASESORIA EN LACTANCIA MATERNA DURANTE CPN],"&lt;&gt;"),COUNTIFS(Tabla1[AÑO PARTO],$B$4,Tabla1[MES PARTO],J6,Tabla1[SALE DEL PROGRAMA POR],"CESAREA",Tabla1[FECHA ASESORIA EN LACTANCIA MATERNA DURANTE CPN],"&lt;&gt;"))</f>
        <v>0</v>
      </c>
      <c r="K67" s="82">
        <f>SUM(COUNTIFS(Tabla1[AÑO PARTO],$B$4,Tabla1[MES PARTO],K6,Tabla1[SALE DEL PROGRAMA POR],"PARTO",Tabla1[FECHA ASESORIA EN LACTANCIA MATERNA DURANTE CPN],"&lt;&gt;"),COUNTIFS(Tabla1[AÑO PARTO],$B$4,Tabla1[MES PARTO],K6,Tabla1[SALE DEL PROGRAMA POR],"CESAREA",Tabla1[FECHA ASESORIA EN LACTANCIA MATERNA DURANTE CPN],"&lt;&gt;"))</f>
        <v>0</v>
      </c>
      <c r="L67" s="82">
        <f>SUM(COUNTIFS(Tabla1[AÑO PARTO],$B$4,Tabla1[MES PARTO],L6,Tabla1[SALE DEL PROGRAMA POR],"PARTO",Tabla1[FECHA ASESORIA EN LACTANCIA MATERNA DURANTE CPN],"&lt;&gt;"),COUNTIFS(Tabla1[AÑO PARTO],$B$4,Tabla1[MES PARTO],L6,Tabla1[SALE DEL PROGRAMA POR],"CESAREA",Tabla1[FECHA ASESORIA EN LACTANCIA MATERNA DURANTE CPN],"&lt;&gt;"))</f>
        <v>0</v>
      </c>
      <c r="M67" s="82">
        <f>SUM(COUNTIFS(Tabla1[AÑO PARTO],$B$4,Tabla1[MES PARTO],M6,Tabla1[SALE DEL PROGRAMA POR],"PARTO",Tabla1[FECHA ASESORIA EN LACTANCIA MATERNA DURANTE CPN],"&lt;&gt;"),COUNTIFS(Tabla1[AÑO PARTO],$B$4,Tabla1[MES PARTO],M6,Tabla1[SALE DEL PROGRAMA POR],"CESAREA",Tabla1[FECHA ASESORIA EN LACTANCIA MATERNA DURANTE CPN],"&lt;&gt;"))</f>
        <v>0</v>
      </c>
      <c r="N67" s="91">
        <f>SUM(B67:M67)</f>
        <v>93</v>
      </c>
    </row>
    <row r="68" spans="1:14" ht="37.5" customHeight="1" thickBot="1" x14ac:dyDescent="0.3">
      <c r="A68" s="136" t="s">
        <v>730</v>
      </c>
      <c r="B68" s="83" t="str">
        <f t="shared" ref="B68:N68" si="15">IF(B$91=0,"",SUM(B67/B$91))</f>
        <v/>
      </c>
      <c r="C68" s="84">
        <f t="shared" si="15"/>
        <v>1</v>
      </c>
      <c r="D68" s="84">
        <f t="shared" si="15"/>
        <v>1</v>
      </c>
      <c r="E68" s="84">
        <f t="shared" si="15"/>
        <v>1</v>
      </c>
      <c r="F68" s="84">
        <f t="shared" si="15"/>
        <v>1</v>
      </c>
      <c r="G68" s="84">
        <f t="shared" si="15"/>
        <v>1</v>
      </c>
      <c r="H68" s="84">
        <f t="shared" si="15"/>
        <v>1</v>
      </c>
      <c r="I68" s="84">
        <f t="shared" si="15"/>
        <v>1</v>
      </c>
      <c r="J68" s="84" t="str">
        <f t="shared" si="15"/>
        <v/>
      </c>
      <c r="K68" s="84" t="str">
        <f t="shared" si="15"/>
        <v/>
      </c>
      <c r="L68" s="84" t="str">
        <f t="shared" si="15"/>
        <v/>
      </c>
      <c r="M68" s="84" t="str">
        <f t="shared" si="15"/>
        <v/>
      </c>
      <c r="N68" s="84">
        <f t="shared" si="15"/>
        <v>1</v>
      </c>
    </row>
    <row r="69" spans="1:14" ht="37.5" customHeight="1" thickBot="1" x14ac:dyDescent="0.3">
      <c r="A69" s="88" t="s">
        <v>728</v>
      </c>
      <c r="B69" s="82">
        <f>SUM(COUNTIFS(Tabla1[AÑO PARTO],$B$4,Tabla1[MES PARTO],B6,Tabla1[SALE DEL PROGRAMA POR],"PARTO",Tabla1[FECHA ASESORIA EN ANTICONCEPCION DURANTE CPN],"&lt;&gt;"),COUNTIFS(Tabla1[AÑO PARTO],$B$4,Tabla1[MES PARTO],B6,Tabla1[SALE DEL PROGRAMA POR],"CESAREA",Tabla1[FECHA ASESORIA EN ANTICONCEPCION DURANTE CPN],"&lt;&gt;"))</f>
        <v>0</v>
      </c>
      <c r="C69" s="82">
        <f>SUM(COUNTIFS(Tabla1[AÑO PARTO],$B$4,Tabla1[MES PARTO],C6,Tabla1[SALE DEL PROGRAMA POR],"PARTO",Tabla1[FECHA ASESORIA EN ANTICONCEPCION DURANTE CPN],"&lt;&gt;"),COUNTIFS(Tabla1[AÑO PARTO],$B$4,Tabla1[MES PARTO],C6,Tabla1[SALE DEL PROGRAMA POR],"CESAREA",Tabla1[FECHA ASESORIA EN ANTICONCEPCION DURANTE CPN],"&lt;&gt;"))</f>
        <v>3</v>
      </c>
      <c r="D69" s="82">
        <f>SUM(COUNTIFS(Tabla1[AÑO PARTO],$B$4,Tabla1[MES PARTO],D6,Tabla1[SALE DEL PROGRAMA POR],"PARTO",Tabla1[FECHA ASESORIA EN ANTICONCEPCION DURANTE CPN],"&lt;&gt;"),COUNTIFS(Tabla1[AÑO PARTO],$B$4,Tabla1[MES PARTO],D6,Tabla1[SALE DEL PROGRAMA POR],"CESAREA",Tabla1[FECHA ASESORIA EN ANTICONCEPCION DURANTE CPN],"&lt;&gt;"))</f>
        <v>12</v>
      </c>
      <c r="E69" s="82">
        <f>SUM(COUNTIFS(Tabla1[AÑO PARTO],$B$4,Tabla1[MES PARTO],E6,Tabla1[SALE DEL PROGRAMA POR],"PARTO",Tabla1[FECHA ASESORIA EN ANTICONCEPCION DURANTE CPN],"&lt;&gt;"),COUNTIFS(Tabla1[AÑO PARTO],$B$4,Tabla1[MES PARTO],E6,Tabla1[SALE DEL PROGRAMA POR],"CESAREA",Tabla1[FECHA ASESORIA EN ANTICONCEPCION DURANTE CPN],"&lt;&gt;"))</f>
        <v>17</v>
      </c>
      <c r="F69" s="82">
        <f>SUM(COUNTIFS(Tabla1[AÑO PARTO],$B$4,Tabla1[MES PARTO],F6,Tabla1[SALE DEL PROGRAMA POR],"PARTO",Tabla1[FECHA ASESORIA EN ANTICONCEPCION DURANTE CPN],"&lt;&gt;"),COUNTIFS(Tabla1[AÑO PARTO],$B$4,Tabla1[MES PARTO],F6,Tabla1[SALE DEL PROGRAMA POR],"CESAREA",Tabla1[FECHA ASESORIA EN ANTICONCEPCION DURANTE CPN],"&lt;&gt;"))</f>
        <v>31</v>
      </c>
      <c r="G69" s="82">
        <f>SUM(COUNTIFS(Tabla1[AÑO PARTO],$B$4,Tabla1[MES PARTO],G6,Tabla1[SALE DEL PROGRAMA POR],"PARTO",Tabla1[FECHA ASESORIA EN ANTICONCEPCION DURANTE CPN],"&lt;&gt;"),COUNTIFS(Tabla1[AÑO PARTO],$B$4,Tabla1[MES PARTO],G6,Tabla1[SALE DEL PROGRAMA POR],"CESAREA",Tabla1[FECHA ASESORIA EN ANTICONCEPCION DURANTE CPN],"&lt;&gt;"))</f>
        <v>13</v>
      </c>
      <c r="H69" s="82">
        <f>SUM(COUNTIFS(Tabla1[AÑO PARTO],$B$4,Tabla1[MES PARTO],H6,Tabla1[SALE DEL PROGRAMA POR],"PARTO",Tabla1[FECHA ASESORIA EN ANTICONCEPCION DURANTE CPN],"&lt;&gt;"),COUNTIFS(Tabla1[AÑO PARTO],$B$4,Tabla1[MES PARTO],H6,Tabla1[SALE DEL PROGRAMA POR],"CESAREA",Tabla1[FECHA ASESORIA EN ANTICONCEPCION DURANTE CPN],"&lt;&gt;"))</f>
        <v>14</v>
      </c>
      <c r="I69" s="82">
        <f>SUM(COUNTIFS(Tabla1[AÑO PARTO],$B$4,Tabla1[MES PARTO],I6,Tabla1[SALE DEL PROGRAMA POR],"PARTO",Tabla1[FECHA ASESORIA EN ANTICONCEPCION DURANTE CPN],"&lt;&gt;"),COUNTIFS(Tabla1[AÑO PARTO],$B$4,Tabla1[MES PARTO],I6,Tabla1[SALE DEL PROGRAMA POR],"CESAREA",Tabla1[FECHA ASESORIA EN ANTICONCEPCION DURANTE CPN],"&lt;&gt;"))</f>
        <v>3</v>
      </c>
      <c r="J69" s="82">
        <f>SUM(COUNTIFS(Tabla1[AÑO PARTO],$B$4,Tabla1[MES PARTO],J6,Tabla1[SALE DEL PROGRAMA POR],"PARTO",Tabla1[FECHA ASESORIA EN ANTICONCEPCION DURANTE CPN],"&lt;&gt;"),COUNTIFS(Tabla1[AÑO PARTO],$B$4,Tabla1[MES PARTO],J6,Tabla1[SALE DEL PROGRAMA POR],"CESAREA",Tabla1[FECHA ASESORIA EN ANTICONCEPCION DURANTE CPN],"&lt;&gt;"))</f>
        <v>0</v>
      </c>
      <c r="K69" s="82">
        <f>SUM(COUNTIFS(Tabla1[AÑO PARTO],$B$4,Tabla1[MES PARTO],K6,Tabla1[SALE DEL PROGRAMA POR],"PARTO",Tabla1[FECHA ASESORIA EN ANTICONCEPCION DURANTE CPN],"&lt;&gt;"),COUNTIFS(Tabla1[AÑO PARTO],$B$4,Tabla1[MES PARTO],K6,Tabla1[SALE DEL PROGRAMA POR],"CESAREA",Tabla1[FECHA ASESORIA EN ANTICONCEPCION DURANTE CPN],"&lt;&gt;"))</f>
        <v>0</v>
      </c>
      <c r="L69" s="82">
        <f>SUM(COUNTIFS(Tabla1[AÑO PARTO],$B$4,Tabla1[MES PARTO],L6,Tabla1[SALE DEL PROGRAMA POR],"PARTO",Tabla1[FECHA ASESORIA EN ANTICONCEPCION DURANTE CPN],"&lt;&gt;"),COUNTIFS(Tabla1[AÑO PARTO],$B$4,Tabla1[MES PARTO],L6,Tabla1[SALE DEL PROGRAMA POR],"CESAREA",Tabla1[FECHA ASESORIA EN ANTICONCEPCION DURANTE CPN],"&lt;&gt;"))</f>
        <v>0</v>
      </c>
      <c r="M69" s="82">
        <f>SUM(COUNTIFS(Tabla1[AÑO PARTO],$B$4,Tabla1[MES PARTO],M6,Tabla1[SALE DEL PROGRAMA POR],"PARTO",Tabla1[FECHA ASESORIA EN ANTICONCEPCION DURANTE CPN],"&lt;&gt;"),COUNTIFS(Tabla1[AÑO PARTO],$B$4,Tabla1[MES PARTO],M6,Tabla1[SALE DEL PROGRAMA POR],"CESAREA",Tabla1[FECHA ASESORIA EN ANTICONCEPCION DURANTE CPN],"&lt;&gt;"))</f>
        <v>0</v>
      </c>
      <c r="N69" s="82">
        <f>SUM(B69:M69)</f>
        <v>93</v>
      </c>
    </row>
    <row r="70" spans="1:14" ht="37.5" customHeight="1" thickBot="1" x14ac:dyDescent="0.3">
      <c r="A70" s="136" t="s">
        <v>695</v>
      </c>
      <c r="B70" s="83" t="str">
        <f t="shared" ref="B70:N70" si="16">IF(B$91=0,"",SUM(B69/B$91))</f>
        <v/>
      </c>
      <c r="C70" s="84">
        <f t="shared" si="16"/>
        <v>1</v>
      </c>
      <c r="D70" s="84">
        <f t="shared" si="16"/>
        <v>1</v>
      </c>
      <c r="E70" s="84">
        <f t="shared" si="16"/>
        <v>1</v>
      </c>
      <c r="F70" s="84">
        <f t="shared" si="16"/>
        <v>1</v>
      </c>
      <c r="G70" s="84">
        <f t="shared" si="16"/>
        <v>1</v>
      </c>
      <c r="H70" s="84">
        <f t="shared" si="16"/>
        <v>1</v>
      </c>
      <c r="I70" s="84">
        <f t="shared" si="16"/>
        <v>1</v>
      </c>
      <c r="J70" s="84" t="str">
        <f t="shared" si="16"/>
        <v/>
      </c>
      <c r="K70" s="84" t="str">
        <f t="shared" si="16"/>
        <v/>
      </c>
      <c r="L70" s="84" t="str">
        <f t="shared" si="16"/>
        <v/>
      </c>
      <c r="M70" s="84" t="str">
        <f t="shared" si="16"/>
        <v/>
      </c>
      <c r="N70" s="84">
        <f t="shared" si="16"/>
        <v>1</v>
      </c>
    </row>
    <row r="71" spans="1:14" ht="40.5" customHeight="1" thickBot="1" x14ac:dyDescent="0.3">
      <c r="A71" s="149" t="s">
        <v>699</v>
      </c>
      <c r="B71" s="142">
        <f>SUM(COUNTIFS(Tabla1[AÑO PARTO],$B$4,Tabla1[MES PARTO],B6,Tabla1[SALE DEL PROGRAMA POR],"PARTO",Tabla1['# DE MUJERES CON SUMINISTRO ADECUADO DE MICRONUTRIENTES],"COMPLETO"),COUNTIFS(Tabla1[AÑO PARTO],$B$4,Tabla1[MES PARTO],B6,Tabla1[SALE DEL PROGRAMA POR],"CESAREA",Tabla1['# DE MUJERES CON SUMINISTRO ADECUADO DE MICRONUTRIENTES],"COMPLETO"))</f>
        <v>0</v>
      </c>
      <c r="C71" s="142">
        <f>SUM(COUNTIFS(Tabla1[AÑO PARTO],$B$4,Tabla1[MES PARTO],C6,Tabla1[SALE DEL PROGRAMA POR],"PARTO",Tabla1['# DE MUJERES CON SUMINISTRO ADECUADO DE MICRONUTRIENTES],"COMPLETO"),COUNTIFS(Tabla1[AÑO PARTO],$B$4,Tabla1[MES PARTO],C6,Tabla1[SALE DEL PROGRAMA POR],"CESAREA",Tabla1['# DE MUJERES CON SUMINISTRO ADECUADO DE MICRONUTRIENTES],"COMPLETO"))</f>
        <v>1</v>
      </c>
      <c r="D71" s="142">
        <f>SUM(COUNTIFS(Tabla1[AÑO PARTO],$B$4,Tabla1[MES PARTO],D6,Tabla1[SALE DEL PROGRAMA POR],"PARTO",Tabla1['# DE MUJERES CON SUMINISTRO ADECUADO DE MICRONUTRIENTES],"COMPLETO"),COUNTIFS(Tabla1[AÑO PARTO],$B$4,Tabla1[MES PARTO],D6,Tabla1[SALE DEL PROGRAMA POR],"CESAREA",Tabla1['# DE MUJERES CON SUMINISTRO ADECUADO DE MICRONUTRIENTES],"COMPLETO"))</f>
        <v>3</v>
      </c>
      <c r="E71" s="142">
        <f>SUM(COUNTIFS(Tabla1[AÑO PARTO],$B$4,Tabla1[MES PARTO],E6,Tabla1[SALE DEL PROGRAMA POR],"PARTO",Tabla1['# DE MUJERES CON SUMINISTRO ADECUADO DE MICRONUTRIENTES],"COMPLETO"),COUNTIFS(Tabla1[AÑO PARTO],$B$4,Tabla1[MES PARTO],E6,Tabla1[SALE DEL PROGRAMA POR],"CESAREA",Tabla1['# DE MUJERES CON SUMINISTRO ADECUADO DE MICRONUTRIENTES],"COMPLETO"))</f>
        <v>7</v>
      </c>
      <c r="F71" s="142">
        <f>SUM(COUNTIFS(Tabla1[AÑO PARTO],$B$4,Tabla1[MES PARTO],F6,Tabla1[SALE DEL PROGRAMA POR],"PARTO",Tabla1['# DE MUJERES CON SUMINISTRO ADECUADO DE MICRONUTRIENTES],"COMPLETO"),COUNTIFS(Tabla1[AÑO PARTO],$B$4,Tabla1[MES PARTO],F6,Tabla1[SALE DEL PROGRAMA POR],"CESAREA",Tabla1['# DE MUJERES CON SUMINISTRO ADECUADO DE MICRONUTRIENTES],"COMPLETO"))</f>
        <v>10</v>
      </c>
      <c r="G71" s="142">
        <f>SUM(COUNTIFS(Tabla1[AÑO PARTO],$B$4,Tabla1[MES PARTO],G6,Tabla1[SALE DEL PROGRAMA POR],"PARTO",Tabla1['# DE MUJERES CON SUMINISTRO ADECUADO DE MICRONUTRIENTES],"COMPLETO"),COUNTIFS(Tabla1[AÑO PARTO],$B$4,Tabla1[MES PARTO],G6,Tabla1[SALE DEL PROGRAMA POR],"CESAREA",Tabla1['# DE MUJERES CON SUMINISTRO ADECUADO DE MICRONUTRIENTES],"COMPLETO"))</f>
        <v>5</v>
      </c>
      <c r="H71" s="142">
        <f>SUM(COUNTIFS(Tabla1[AÑO PARTO],$B$4,Tabla1[MES PARTO],H6,Tabla1[SALE DEL PROGRAMA POR],"PARTO",Tabla1['# DE MUJERES CON SUMINISTRO ADECUADO DE MICRONUTRIENTES],"COMPLETO"),COUNTIFS(Tabla1[AÑO PARTO],$B$4,Tabla1[MES PARTO],H6,Tabla1[SALE DEL PROGRAMA POR],"CESAREA",Tabla1['# DE MUJERES CON SUMINISTRO ADECUADO DE MICRONUTRIENTES],"COMPLETO"))</f>
        <v>4</v>
      </c>
      <c r="I71" s="142">
        <f>SUM(COUNTIFS(Tabla1[AÑO PARTO],$B$4,Tabla1[MES PARTO],I6,Tabla1[SALE DEL PROGRAMA POR],"PARTO",Tabla1['# DE MUJERES CON SUMINISTRO ADECUADO DE MICRONUTRIENTES],"COMPLETO"),COUNTIFS(Tabla1[AÑO PARTO],$B$4,Tabla1[MES PARTO],I6,Tabla1[SALE DEL PROGRAMA POR],"CESAREA",Tabla1['# DE MUJERES CON SUMINISTRO ADECUADO DE MICRONUTRIENTES],"COMPLETO"))</f>
        <v>2</v>
      </c>
      <c r="J71" s="142">
        <f>SUM(COUNTIFS(Tabla1[AÑO PARTO],$B$4,Tabla1[MES PARTO],J6,Tabla1[SALE DEL PROGRAMA POR],"PARTO",Tabla1['# DE MUJERES CON SUMINISTRO ADECUADO DE MICRONUTRIENTES],"COMPLETO"),COUNTIFS(Tabla1[AÑO PARTO],$B$4,Tabla1[MES PARTO],J6,Tabla1[SALE DEL PROGRAMA POR],"CESAREA",Tabla1['# DE MUJERES CON SUMINISTRO ADECUADO DE MICRONUTRIENTES],"COMPLETO"))</f>
        <v>0</v>
      </c>
      <c r="K71" s="142">
        <f>SUM(COUNTIFS(Tabla1[AÑO PARTO],$B$4,Tabla1[MES PARTO],K6,Tabla1[SALE DEL PROGRAMA POR],"PARTO",Tabla1['# DE MUJERES CON SUMINISTRO ADECUADO DE MICRONUTRIENTES],"COMPLETO"),COUNTIFS(Tabla1[AÑO PARTO],$B$4,Tabla1[MES PARTO],K6,Tabla1[SALE DEL PROGRAMA POR],"CESAREA",Tabla1['# DE MUJERES CON SUMINISTRO ADECUADO DE MICRONUTRIENTES],"COMPLETO"))</f>
        <v>0</v>
      </c>
      <c r="L71" s="142">
        <f>SUM(COUNTIFS(Tabla1[AÑO PARTO],$B$4,Tabla1[MES PARTO],L6,Tabla1[SALE DEL PROGRAMA POR],"PARTO",Tabla1['# DE MUJERES CON SUMINISTRO ADECUADO DE MICRONUTRIENTES],"COMPLETO"),COUNTIFS(Tabla1[AÑO PARTO],$B$4,Tabla1[MES PARTO],L6,Tabla1[SALE DEL PROGRAMA POR],"CESAREA",Tabla1['# DE MUJERES CON SUMINISTRO ADECUADO DE MICRONUTRIENTES],"COMPLETO"))</f>
        <v>0</v>
      </c>
      <c r="M71" s="142">
        <f>SUM(COUNTIFS(Tabla1[AÑO PARTO],$B$4,Tabla1[MES PARTO],M6,Tabla1[SALE DEL PROGRAMA POR],"PARTO",Tabla1['# DE MUJERES CON SUMINISTRO ADECUADO DE MICRONUTRIENTES],"COMPLETO"),COUNTIFS(Tabla1[AÑO PARTO],$B$4,Tabla1[MES PARTO],M6,Tabla1[SALE DEL PROGRAMA POR],"CESAREA",Tabla1['# DE MUJERES CON SUMINISTRO ADECUADO DE MICRONUTRIENTES],"COMPLETO"))</f>
        <v>0</v>
      </c>
      <c r="N71" s="82">
        <f>SUM(B71:M71)</f>
        <v>32</v>
      </c>
    </row>
    <row r="72" spans="1:14" ht="39.75" customHeight="1" thickBot="1" x14ac:dyDescent="0.3">
      <c r="A72" s="143" t="s">
        <v>698</v>
      </c>
      <c r="B72" s="83" t="str">
        <f t="shared" ref="B72:N72" si="17">IF(B$91=0,"",SUM(B71/B$91))</f>
        <v/>
      </c>
      <c r="C72" s="84">
        <f t="shared" si="17"/>
        <v>0.33333333333333331</v>
      </c>
      <c r="D72" s="84">
        <f t="shared" si="17"/>
        <v>0.25</v>
      </c>
      <c r="E72" s="84">
        <f t="shared" si="17"/>
        <v>0.41176470588235292</v>
      </c>
      <c r="F72" s="84">
        <f t="shared" si="17"/>
        <v>0.32258064516129031</v>
      </c>
      <c r="G72" s="84">
        <f t="shared" si="17"/>
        <v>0.38461538461538464</v>
      </c>
      <c r="H72" s="84">
        <f t="shared" si="17"/>
        <v>0.2857142857142857</v>
      </c>
      <c r="I72" s="84">
        <f t="shared" si="17"/>
        <v>0.66666666666666663</v>
      </c>
      <c r="J72" s="84" t="str">
        <f t="shared" si="17"/>
        <v/>
      </c>
      <c r="K72" s="84" t="str">
        <f t="shared" si="17"/>
        <v/>
      </c>
      <c r="L72" s="84" t="str">
        <f t="shared" si="17"/>
        <v/>
      </c>
      <c r="M72" s="84" t="str">
        <f t="shared" si="17"/>
        <v/>
      </c>
      <c r="N72" s="85">
        <f t="shared" si="17"/>
        <v>0.34408602150537637</v>
      </c>
    </row>
    <row r="73" spans="1:14" ht="39" customHeight="1" thickBot="1" x14ac:dyDescent="0.3">
      <c r="A73" s="53" t="s">
        <v>703</v>
      </c>
      <c r="B73" s="142">
        <f>SUM(COUNTIFS(Tabla1[AÑO PARTO],$B$4,Tabla1[MES PARTO],B6,Tabla1[SALE DEL PROGRAMA POR],"PARTO",Tabla1[ALARMA CONTROL PUERPERIO],"&gt;2",Tabla1[ALARMA CONTROL PUERPERIO],"&lt;6"),COUNTIFS(Tabla1[AÑO PARTO],$B$4,Tabla1[MES PARTO],B6,Tabla1[SALE DEL PROGRAMA POR],"CESAREA",Tabla1[ALARMA CONTROL PUERPERIO],"&gt;2",Tabla1[ALARMA CONTROL PUERPERIO],"&lt;6"))</f>
        <v>0</v>
      </c>
      <c r="C73" s="142">
        <f>SUM(COUNTIFS(Tabla1[AÑO PARTO],$B$4,Tabla1[MES PARTO],C6,Tabla1[SALE DEL PROGRAMA POR],"PARTO",Tabla1[ALARMA CONTROL PUERPERIO],"&gt;2",Tabla1[ALARMA CONTROL PUERPERIO],"&lt;6"),COUNTIFS(Tabla1[AÑO PARTO],$B$4,Tabla1[MES PARTO],C6,Tabla1[SALE DEL PROGRAMA POR],"CESAREA",Tabla1[ALARMA CONTROL PUERPERIO],"&gt;2",Tabla1[ALARMA CONTROL PUERPERIO],"&lt;6"))</f>
        <v>0</v>
      </c>
      <c r="D73" s="142">
        <f>SUM(COUNTIFS(Tabla1[AÑO PARTO],$B$4,Tabla1[MES PARTO],D6,Tabla1[SALE DEL PROGRAMA POR],"PARTO",Tabla1[ALARMA CONTROL PUERPERIO],"&gt;2",Tabla1[ALARMA CONTROL PUERPERIO],"&lt;6"),COUNTIFS(Tabla1[AÑO PARTO],$B$4,Tabla1[MES PARTO],D6,Tabla1[SALE DEL PROGRAMA POR],"CESAREA",Tabla1[ALARMA CONTROL PUERPERIO],"&gt;2",Tabla1[ALARMA CONTROL PUERPERIO],"&lt;6"))</f>
        <v>0</v>
      </c>
      <c r="E73" s="142">
        <f>SUM(COUNTIFS(Tabla1[AÑO PARTO],$B$4,Tabla1[MES PARTO],E6,Tabla1[SALE DEL PROGRAMA POR],"PARTO",Tabla1[ALARMA CONTROL PUERPERIO],"&gt;2",Tabla1[ALARMA CONTROL PUERPERIO],"&lt;6"),COUNTIFS(Tabla1[AÑO PARTO],$B$4,Tabla1[MES PARTO],E6,Tabla1[SALE DEL PROGRAMA POR],"CESAREA",Tabla1[ALARMA CONTROL PUERPERIO],"&gt;2",Tabla1[ALARMA CONTROL PUERPERIO],"&lt;6"))</f>
        <v>0</v>
      </c>
      <c r="F73" s="142">
        <f>SUM(COUNTIFS(Tabla1[AÑO PARTO],$B$4,Tabla1[MES PARTO],F6,Tabla1[SALE DEL PROGRAMA POR],"PARTO",Tabla1[ALARMA CONTROL PUERPERIO],"&gt;2",Tabla1[ALARMA CONTROL PUERPERIO],"&lt;6"),COUNTIFS(Tabla1[AÑO PARTO],$B$4,Tabla1[MES PARTO],F6,Tabla1[SALE DEL PROGRAMA POR],"CESAREA",Tabla1[ALARMA CONTROL PUERPERIO],"&gt;2",Tabla1[ALARMA CONTROL PUERPERIO],"&lt;6"))</f>
        <v>0</v>
      </c>
      <c r="G73" s="142">
        <f>SUM(COUNTIFS(Tabla1[AÑO PARTO],$B$4,Tabla1[MES PARTO],G6,Tabla1[SALE DEL PROGRAMA POR],"PARTO",Tabla1[ALARMA CONTROL PUERPERIO],"&gt;2",Tabla1[ALARMA CONTROL PUERPERIO],"&lt;6"),COUNTIFS(Tabla1[AÑO PARTO],$B$4,Tabla1[MES PARTO],G6,Tabla1[SALE DEL PROGRAMA POR],"CESAREA",Tabla1[ALARMA CONTROL PUERPERIO],"&gt;2",Tabla1[ALARMA CONTROL PUERPERIO],"&lt;6"))</f>
        <v>0</v>
      </c>
      <c r="H73" s="142">
        <f>SUM(COUNTIFS(Tabla1[AÑO PARTO],$B$4,Tabla1[MES PARTO],H6,Tabla1[SALE DEL PROGRAMA POR],"PARTO",Tabla1[ALARMA CONTROL PUERPERIO],"&gt;2",Tabla1[ALARMA CONTROL PUERPERIO],"&lt;6"),COUNTIFS(Tabla1[AÑO PARTO],$B$4,Tabla1[MES PARTO],H6,Tabla1[SALE DEL PROGRAMA POR],"CESAREA",Tabla1[ALARMA CONTROL PUERPERIO],"&gt;2",Tabla1[ALARMA CONTROL PUERPERIO],"&lt;6"))</f>
        <v>0</v>
      </c>
      <c r="I73" s="142">
        <f>SUM(COUNTIFS(Tabla1[AÑO PARTO],$B$4,Tabla1[MES PARTO],I6,Tabla1[SALE DEL PROGRAMA POR],"PARTO",Tabla1[ALARMA CONTROL PUERPERIO],"&gt;2",Tabla1[ALARMA CONTROL PUERPERIO],"&lt;6"),COUNTIFS(Tabla1[AÑO PARTO],$B$4,Tabla1[MES PARTO],I6,Tabla1[SALE DEL PROGRAMA POR],"CESAREA",Tabla1[ALARMA CONTROL PUERPERIO],"&gt;2",Tabla1[ALARMA CONTROL PUERPERIO],"&lt;6"))</f>
        <v>0</v>
      </c>
      <c r="J73" s="142">
        <f>SUM(COUNTIFS(Tabla1[AÑO PARTO],$B$4,Tabla1[MES PARTO],J6,Tabla1[SALE DEL PROGRAMA POR],"PARTO",Tabla1[ALARMA CONTROL PUERPERIO],"&gt;2",Tabla1[ALARMA CONTROL PUERPERIO],"&lt;6"),COUNTIFS(Tabla1[AÑO PARTO],$B$4,Tabla1[MES PARTO],J6,Tabla1[SALE DEL PROGRAMA POR],"CESAREA",Tabla1[ALARMA CONTROL PUERPERIO],"&gt;2",Tabla1[ALARMA CONTROL PUERPERIO],"&lt;6"))</f>
        <v>0</v>
      </c>
      <c r="K73" s="142">
        <f>SUM(COUNTIFS(Tabla1[AÑO PARTO],$B$4,Tabla1[MES PARTO],K6,Tabla1[SALE DEL PROGRAMA POR],"PARTO",Tabla1[ALARMA CONTROL PUERPERIO],"&gt;2",Tabla1[ALARMA CONTROL PUERPERIO],"&lt;6"),COUNTIFS(Tabla1[AÑO PARTO],$B$4,Tabla1[MES PARTO],K6,Tabla1[SALE DEL PROGRAMA POR],"CESAREA",Tabla1[ALARMA CONTROL PUERPERIO],"&gt;2",Tabla1[ALARMA CONTROL PUERPERIO],"&lt;6"))</f>
        <v>0</v>
      </c>
      <c r="L73" s="142">
        <f>SUM(COUNTIFS(Tabla1[AÑO PARTO],$B$4,Tabla1[MES PARTO],L6,Tabla1[SALE DEL PROGRAMA POR],"PARTO",Tabla1[ALARMA CONTROL PUERPERIO],"&gt;2",Tabla1[ALARMA CONTROL PUERPERIO],"&lt;6"),COUNTIFS(Tabla1[AÑO PARTO],$B$4,Tabla1[MES PARTO],L6,Tabla1[SALE DEL PROGRAMA POR],"CESAREA",Tabla1[ALARMA CONTROL PUERPERIO],"&gt;2",Tabla1[ALARMA CONTROL PUERPERIO],"&lt;6"))</f>
        <v>0</v>
      </c>
      <c r="M73" s="142">
        <f>SUM(COUNTIFS(Tabla1[AÑO PARTO],$B$4,Tabla1[MES PARTO],M6,Tabla1[SALE DEL PROGRAMA POR],"PARTO",Tabla1[ALARMA CONTROL PUERPERIO],"&gt;2",Tabla1[ALARMA CONTROL PUERPERIO],"&lt;6"),COUNTIFS(Tabla1[AÑO PARTO],$B$4,Tabla1[MES PARTO],M6,Tabla1[SALE DEL PROGRAMA POR],"CESAREA",Tabla1[ALARMA CONTROL PUERPERIO],"&gt;2",Tabla1[ALARMA CONTROL PUERPERIO],"&lt;6"))</f>
        <v>0</v>
      </c>
      <c r="N73" s="82">
        <f>SUM(B73:M73)</f>
        <v>0</v>
      </c>
    </row>
    <row r="74" spans="1:14" ht="39" customHeight="1" thickBot="1" x14ac:dyDescent="0.3">
      <c r="A74" s="146" t="s">
        <v>702</v>
      </c>
      <c r="B74" s="83" t="str">
        <f t="shared" ref="B74:N74" si="18">IF(B$91=0,"",SUM(B73/B$91))</f>
        <v/>
      </c>
      <c r="C74" s="84">
        <f t="shared" si="18"/>
        <v>0</v>
      </c>
      <c r="D74" s="84">
        <f t="shared" si="18"/>
        <v>0</v>
      </c>
      <c r="E74" s="84">
        <f t="shared" si="18"/>
        <v>0</v>
      </c>
      <c r="F74" s="84">
        <f t="shared" si="18"/>
        <v>0</v>
      </c>
      <c r="G74" s="84">
        <f t="shared" si="18"/>
        <v>0</v>
      </c>
      <c r="H74" s="84">
        <f t="shared" si="18"/>
        <v>0</v>
      </c>
      <c r="I74" s="84">
        <f t="shared" si="18"/>
        <v>0</v>
      </c>
      <c r="J74" s="84" t="str">
        <f t="shared" si="18"/>
        <v/>
      </c>
      <c r="K74" s="84" t="str">
        <f t="shared" si="18"/>
        <v/>
      </c>
      <c r="L74" s="84" t="str">
        <f t="shared" si="18"/>
        <v/>
      </c>
      <c r="M74" s="84" t="str">
        <f t="shared" si="18"/>
        <v/>
      </c>
      <c r="N74" s="147">
        <f t="shared" si="18"/>
        <v>0</v>
      </c>
    </row>
    <row r="75" spans="1:14" ht="39" customHeight="1" thickBot="1" x14ac:dyDescent="0.3">
      <c r="A75" s="53" t="s">
        <v>705</v>
      </c>
      <c r="B75" s="142">
        <f>SUM(COUNTIFS(Tabla1[AÑO PARTO],$B$4,Tabla1[MES PARTO],B6,Tabla1[SALE DEL PROGRAMA POR],"PARTO",Tabla1[ALARMA 1 CONTROL RN],"&gt;2",Tabla1[ALARMA 1 CONTROL RN],"&lt;6"),COUNTIFS(Tabla1[AÑO PARTO],$B$4,Tabla1[MES PARTO],B6,Tabla1[SALE DEL PROGRAMA POR],"CESAREA",Tabla1[ALARMA 1 CONTROL RN],"&gt;2",Tabla1[ALARMA 1 CONTROL RN],"&lt;6"))</f>
        <v>0</v>
      </c>
      <c r="C75" s="142">
        <f>SUM(COUNTIFS(Tabla1[AÑO PARTO],$B$4,Tabla1[MES PARTO],C6,Tabla1[SALE DEL PROGRAMA POR],"PARTO",Tabla1[ALARMA 1 CONTROL RN],"&gt;2",Tabla1[ALARMA 1 CONTROL RN],"&lt;6"),COUNTIFS(Tabla1[AÑO PARTO],$B$4,Tabla1[MES PARTO],C6,Tabla1[SALE DEL PROGRAMA POR],"CESAREA",Tabla1[ALARMA 1 CONTROL RN],"&gt;2",Tabla1[ALARMA 1 CONTROL RN],"&lt;6"))</f>
        <v>0</v>
      </c>
      <c r="D75" s="142">
        <f>SUM(COUNTIFS(Tabla1[AÑO PARTO],$B$4,Tabla1[MES PARTO],D6,Tabla1[SALE DEL PROGRAMA POR],"PARTO",Tabla1[ALARMA 1 CONTROL RN],"&gt;2",Tabla1[ALARMA 1 CONTROL RN],"&lt;6"),COUNTIFS(Tabla1[AÑO PARTO],$B$4,Tabla1[MES PARTO],D6,Tabla1[SALE DEL PROGRAMA POR],"CESAREA",Tabla1[ALARMA 1 CONTROL RN],"&gt;2",Tabla1[ALARMA 1 CONTROL RN],"&lt;6"))</f>
        <v>0</v>
      </c>
      <c r="E75" s="142">
        <f>SUM(COUNTIFS(Tabla1[AÑO PARTO],$B$4,Tabla1[MES PARTO],E6,Tabla1[SALE DEL PROGRAMA POR],"PARTO",Tabla1[ALARMA 1 CONTROL RN],"&gt;2",Tabla1[ALARMA 1 CONTROL RN],"&lt;6"),COUNTIFS(Tabla1[AÑO PARTO],$B$4,Tabla1[MES PARTO],E6,Tabla1[SALE DEL PROGRAMA POR],"CESAREA",Tabla1[ALARMA 1 CONTROL RN],"&gt;2",Tabla1[ALARMA 1 CONTROL RN],"&lt;6"))</f>
        <v>0</v>
      </c>
      <c r="F75" s="142">
        <f>SUM(COUNTIFS(Tabla1[AÑO PARTO],$B$4,Tabla1[MES PARTO],F6,Tabla1[SALE DEL PROGRAMA POR],"PARTO",Tabla1[ALARMA 1 CONTROL RN],"&gt;2",Tabla1[ALARMA 1 CONTROL RN],"&lt;6"),COUNTIFS(Tabla1[AÑO PARTO],$B$4,Tabla1[MES PARTO],F6,Tabla1[SALE DEL PROGRAMA POR],"CESAREA",Tabla1[ALARMA 1 CONTROL RN],"&gt;2",Tabla1[ALARMA 1 CONTROL RN],"&lt;6"))</f>
        <v>0</v>
      </c>
      <c r="G75" s="142">
        <f>SUM(COUNTIFS(Tabla1[AÑO PARTO],$B$4,Tabla1[MES PARTO],G6,Tabla1[SALE DEL PROGRAMA POR],"PARTO",Tabla1[ALARMA 1 CONTROL RN],"&gt;2",Tabla1[ALARMA 1 CONTROL RN],"&lt;6"),COUNTIFS(Tabla1[AÑO PARTO],$B$4,Tabla1[MES PARTO],G6,Tabla1[SALE DEL PROGRAMA POR],"CESAREA",Tabla1[ALARMA 1 CONTROL RN],"&gt;2",Tabla1[ALARMA 1 CONTROL RN],"&lt;6"))</f>
        <v>0</v>
      </c>
      <c r="H75" s="142">
        <f>SUM(COUNTIFS(Tabla1[AÑO PARTO],$B$4,Tabla1[MES PARTO],H6,Tabla1[SALE DEL PROGRAMA POR],"PARTO",Tabla1[ALARMA 1 CONTROL RN],"&gt;2",Tabla1[ALARMA 1 CONTROL RN],"&lt;6"),COUNTIFS(Tabla1[AÑO PARTO],$B$4,Tabla1[MES PARTO],H6,Tabla1[SALE DEL PROGRAMA POR],"CESAREA",Tabla1[ALARMA 1 CONTROL RN],"&gt;2",Tabla1[ALARMA 1 CONTROL RN],"&lt;6"))</f>
        <v>0</v>
      </c>
      <c r="I75" s="142">
        <f>SUM(COUNTIFS(Tabla1[AÑO PARTO],$B$4,Tabla1[MES PARTO],I6,Tabla1[SALE DEL PROGRAMA POR],"PARTO",Tabla1[ALARMA 1 CONTROL RN],"&gt;2",Tabla1[ALARMA 1 CONTROL RN],"&lt;6"),COUNTIFS(Tabla1[AÑO PARTO],$B$4,Tabla1[MES PARTO],I6,Tabla1[SALE DEL PROGRAMA POR],"CESAREA",Tabla1[ALARMA 1 CONTROL RN],"&gt;2",Tabla1[ALARMA 1 CONTROL RN],"&lt;6"))</f>
        <v>0</v>
      </c>
      <c r="J75" s="142">
        <f>SUM(COUNTIFS(Tabla1[AÑO PARTO],$B$4,Tabla1[MES PARTO],J6,Tabla1[SALE DEL PROGRAMA POR],"PARTO",Tabla1[ALARMA 1 CONTROL RN],"&gt;2",Tabla1[ALARMA 1 CONTROL RN],"&lt;6"),COUNTIFS(Tabla1[AÑO PARTO],$B$4,Tabla1[MES PARTO],J6,Tabla1[SALE DEL PROGRAMA POR],"CESAREA",Tabla1[ALARMA 1 CONTROL RN],"&gt;2",Tabla1[ALARMA 1 CONTROL RN],"&lt;6"))</f>
        <v>0</v>
      </c>
      <c r="K75" s="142">
        <f>SUM(COUNTIFS(Tabla1[AÑO PARTO],$B$4,Tabla1[MES PARTO],K6,Tabla1[SALE DEL PROGRAMA POR],"PARTO",Tabla1[ALARMA 1 CONTROL RN],"&gt;2",Tabla1[ALARMA 1 CONTROL RN],"&lt;6"),COUNTIFS(Tabla1[AÑO PARTO],$B$4,Tabla1[MES PARTO],K6,Tabla1[SALE DEL PROGRAMA POR],"CESAREA",Tabla1[ALARMA 1 CONTROL RN],"&gt;2",Tabla1[ALARMA 1 CONTROL RN],"&lt;6"))</f>
        <v>0</v>
      </c>
      <c r="L75" s="142">
        <f>SUM(COUNTIFS(Tabla1[AÑO PARTO],$B$4,Tabla1[MES PARTO],L6,Tabla1[SALE DEL PROGRAMA POR],"PARTO",Tabla1[ALARMA 1 CONTROL RN],"&gt;2",Tabla1[ALARMA 1 CONTROL RN],"&lt;6"),COUNTIFS(Tabla1[AÑO PARTO],$B$4,Tabla1[MES PARTO],L6,Tabla1[SALE DEL PROGRAMA POR],"CESAREA",Tabla1[ALARMA 1 CONTROL RN],"&gt;2",Tabla1[ALARMA 1 CONTROL RN],"&lt;6"))</f>
        <v>0</v>
      </c>
      <c r="M75" s="142">
        <f>SUM(COUNTIFS(Tabla1[AÑO PARTO],$B$4,Tabla1[MES PARTO],M6,Tabla1[SALE DEL PROGRAMA POR],"PARTO",Tabla1[ALARMA 1 CONTROL RN],"&gt;2",Tabla1[ALARMA 1 CONTROL RN],"&lt;6"),COUNTIFS(Tabla1[AÑO PARTO],$B$4,Tabla1[MES PARTO],M6,Tabla1[SALE DEL PROGRAMA POR],"CESAREA",Tabla1[ALARMA 1 CONTROL RN],"&gt;2",Tabla1[ALARMA 1 CONTROL RN],"&lt;6"))</f>
        <v>0</v>
      </c>
      <c r="N75" s="82">
        <f>SUM(B75:M75)</f>
        <v>0</v>
      </c>
    </row>
    <row r="76" spans="1:14" ht="39" customHeight="1" thickBot="1" x14ac:dyDescent="0.3">
      <c r="A76" s="146" t="s">
        <v>704</v>
      </c>
      <c r="B76" s="83" t="str">
        <f t="shared" ref="B76:N76" si="19">IF(B$91=0,"",SUM(B75/B$91))</f>
        <v/>
      </c>
      <c r="C76" s="84">
        <f t="shared" si="19"/>
        <v>0</v>
      </c>
      <c r="D76" s="84">
        <f t="shared" si="19"/>
        <v>0</v>
      </c>
      <c r="E76" s="84">
        <f t="shared" si="19"/>
        <v>0</v>
      </c>
      <c r="F76" s="84">
        <f t="shared" si="19"/>
        <v>0</v>
      </c>
      <c r="G76" s="84">
        <f t="shared" si="19"/>
        <v>0</v>
      </c>
      <c r="H76" s="84">
        <f t="shared" si="19"/>
        <v>0</v>
      </c>
      <c r="I76" s="84">
        <f t="shared" si="19"/>
        <v>0</v>
      </c>
      <c r="J76" s="84" t="str">
        <f t="shared" si="19"/>
        <v/>
      </c>
      <c r="K76" s="84" t="str">
        <f t="shared" si="19"/>
        <v/>
      </c>
      <c r="L76" s="84" t="str">
        <f t="shared" si="19"/>
        <v/>
      </c>
      <c r="M76" s="84" t="str">
        <f t="shared" si="19"/>
        <v/>
      </c>
      <c r="N76" s="147">
        <f t="shared" si="19"/>
        <v>0</v>
      </c>
    </row>
    <row r="77" spans="1:14" ht="39" customHeight="1" thickBot="1" x14ac:dyDescent="0.3">
      <c r="A77" s="53" t="s">
        <v>707</v>
      </c>
      <c r="B77" s="142">
        <f>SUM(COUNTIFS(Tabla1[AÑO PARTO],$B$4,Tabla1[MES PARTO],B6,Tabla1[SALE DEL PROGRAMA POR],"PARTO",Tabla1[Alarma apoyo DPT Acelular vacunadas],"VACUNADA"),COUNTIFS(Tabla1[AÑO PARTO],$B$4,Tabla1[MES PARTO],B6,Tabla1[SALE DEL PROGRAMA POR],"CESAREA",Tabla1[Alarma apoyo DPT Acelular vacunadas],"VACUNADA"))</f>
        <v>0</v>
      </c>
      <c r="C77" s="142">
        <f ca="1">SUM(COUNTIFS(Tabla1[AÑO PARTO],$B$4,Tabla1[MES PARTO],C6,Tabla1[SALE DEL PROGRAMA POR],"PARTO",Tabla1[Alarma apoyo DPT Acelular vacunadas],"VACUNADA"),COUNTIFS(Tabla1[AÑO PARTO],$B$4,Tabla1[MES PARTO],C6,Tabla1[SALE DEL PROGRAMA POR],"CESAREA",Tabla1[Alarma apoyo DPT Acelular vacunadas],"VACUNADA"))</f>
        <v>2</v>
      </c>
      <c r="D77" s="142">
        <f ca="1">SUM(COUNTIFS(Tabla1[AÑO PARTO],$B$4,Tabla1[MES PARTO],D6,Tabla1[SALE DEL PROGRAMA POR],"PARTO",Tabla1[Alarma apoyo DPT Acelular vacunadas],"VACUNADA"),COUNTIFS(Tabla1[AÑO PARTO],$B$4,Tabla1[MES PARTO],D6,Tabla1[SALE DEL PROGRAMA POR],"CESAREA",Tabla1[Alarma apoyo DPT Acelular vacunadas],"VACUNADA"))</f>
        <v>1</v>
      </c>
      <c r="E77" s="142">
        <f ca="1">SUM(COUNTIFS(Tabla1[AÑO PARTO],$B$4,Tabla1[MES PARTO],E6,Tabla1[SALE DEL PROGRAMA POR],"PARTO",Tabla1[Alarma apoyo DPT Acelular vacunadas],"VACUNADA"),COUNTIFS(Tabla1[AÑO PARTO],$B$4,Tabla1[MES PARTO],E6,Tabla1[SALE DEL PROGRAMA POR],"CESAREA",Tabla1[Alarma apoyo DPT Acelular vacunadas],"VACUNADA"))</f>
        <v>5</v>
      </c>
      <c r="F77" s="142">
        <f ca="1">SUM(COUNTIFS(Tabla1[AÑO PARTO],$B$4,Tabla1[MES PARTO],F6,Tabla1[SALE DEL PROGRAMA POR],"PARTO",Tabla1[Alarma apoyo DPT Acelular vacunadas],"VACUNADA"),COUNTIFS(Tabla1[AÑO PARTO],$B$4,Tabla1[MES PARTO],F6,Tabla1[SALE DEL PROGRAMA POR],"CESAREA",Tabla1[Alarma apoyo DPT Acelular vacunadas],"VACUNADA"))</f>
        <v>12</v>
      </c>
      <c r="G77" s="142">
        <f ca="1">SUM(COUNTIFS(Tabla1[AÑO PARTO],$B$4,Tabla1[MES PARTO],G6,Tabla1[SALE DEL PROGRAMA POR],"PARTO",Tabla1[Alarma apoyo DPT Acelular vacunadas],"VACUNADA"),COUNTIFS(Tabla1[AÑO PARTO],$B$4,Tabla1[MES PARTO],G6,Tabla1[SALE DEL PROGRAMA POR],"CESAREA",Tabla1[Alarma apoyo DPT Acelular vacunadas],"VACUNADA"))</f>
        <v>2</v>
      </c>
      <c r="H77" s="142">
        <f ca="1">SUM(COUNTIFS(Tabla1[AÑO PARTO],$B$4,Tabla1[MES PARTO],H6,Tabla1[SALE DEL PROGRAMA POR],"PARTO",Tabla1[Alarma apoyo DPT Acelular vacunadas],"VACUNADA"),COUNTIFS(Tabla1[AÑO PARTO],$B$4,Tabla1[MES PARTO],H6,Tabla1[SALE DEL PROGRAMA POR],"CESAREA",Tabla1[Alarma apoyo DPT Acelular vacunadas],"VACUNADA"))</f>
        <v>5</v>
      </c>
      <c r="I77" s="142">
        <f ca="1">SUM(COUNTIFS(Tabla1[AÑO PARTO],$B$4,Tabla1[MES PARTO],I6,Tabla1[SALE DEL PROGRAMA POR],"PARTO",Tabla1[Alarma apoyo DPT Acelular vacunadas],"VACUNADA"),COUNTIFS(Tabla1[AÑO PARTO],$B$4,Tabla1[MES PARTO],I6,Tabla1[SALE DEL PROGRAMA POR],"CESAREA",Tabla1[Alarma apoyo DPT Acelular vacunadas],"VACUNADA"))</f>
        <v>0</v>
      </c>
      <c r="J77" s="142">
        <f>SUM(COUNTIFS(Tabla1[AÑO PARTO],$B$4,Tabla1[MES PARTO],J6,Tabla1[SALE DEL PROGRAMA POR],"PARTO",Tabla1[Alarma apoyo DPT Acelular vacunadas],"VACUNADA"),COUNTIFS(Tabla1[AÑO PARTO],$B$4,Tabla1[MES PARTO],J6,Tabla1[SALE DEL PROGRAMA POR],"CESAREA",Tabla1[Alarma apoyo DPT Acelular vacunadas],"VACUNADA"))</f>
        <v>0</v>
      </c>
      <c r="K77" s="142">
        <f>SUM(COUNTIFS(Tabla1[AÑO PARTO],$B$4,Tabla1[MES PARTO],K6,Tabla1[SALE DEL PROGRAMA POR],"PARTO",Tabla1[Alarma apoyo DPT Acelular vacunadas],"VACUNADA"),COUNTIFS(Tabla1[AÑO PARTO],$B$4,Tabla1[MES PARTO],K6,Tabla1[SALE DEL PROGRAMA POR],"CESAREA",Tabla1[Alarma apoyo DPT Acelular vacunadas],"VACUNADA"))</f>
        <v>0</v>
      </c>
      <c r="L77" s="142">
        <f>SUM(COUNTIFS(Tabla1[AÑO PARTO],$B$4,Tabla1[MES PARTO],L6,Tabla1[SALE DEL PROGRAMA POR],"PARTO",Tabla1[Alarma apoyo DPT Acelular vacunadas],"VACUNADA"),COUNTIFS(Tabla1[AÑO PARTO],$B$4,Tabla1[MES PARTO],L6,Tabla1[SALE DEL PROGRAMA POR],"CESAREA",Tabla1[Alarma apoyo DPT Acelular vacunadas],"VACUNADA"))</f>
        <v>0</v>
      </c>
      <c r="M77" s="142">
        <f>SUM(COUNTIFS(Tabla1[AÑO PARTO],$B$4,Tabla1[MES PARTO],M6,Tabla1[SALE DEL PROGRAMA POR],"PARTO",Tabla1[Alarma apoyo DPT Acelular vacunadas],"VACUNADA"),COUNTIFS(Tabla1[AÑO PARTO],$B$4,Tabla1[MES PARTO],M6,Tabla1[SALE DEL PROGRAMA POR],"CESAREA",Tabla1[Alarma apoyo DPT Acelular vacunadas],"VACUNADA"))</f>
        <v>0</v>
      </c>
      <c r="N77" s="82">
        <f ca="1">SUM(B77:M77)</f>
        <v>27</v>
      </c>
    </row>
    <row r="78" spans="1:14" ht="39" customHeight="1" thickBot="1" x14ac:dyDescent="0.3">
      <c r="A78" s="146" t="s">
        <v>706</v>
      </c>
      <c r="B78" s="83" t="str">
        <f t="shared" ref="B78:N78" si="20">IF(B$91=0,"",SUM(B77/B$91))</f>
        <v/>
      </c>
      <c r="C78" s="84">
        <f t="shared" ca="1" si="20"/>
        <v>0.66666666666666663</v>
      </c>
      <c r="D78" s="84">
        <f t="shared" ca="1" si="20"/>
        <v>8.3333333333333329E-2</v>
      </c>
      <c r="E78" s="84">
        <f t="shared" ca="1" si="20"/>
        <v>0.29411764705882354</v>
      </c>
      <c r="F78" s="84">
        <f t="shared" ca="1" si="20"/>
        <v>0.38709677419354838</v>
      </c>
      <c r="G78" s="84">
        <f t="shared" ca="1" si="20"/>
        <v>0.15384615384615385</v>
      </c>
      <c r="H78" s="84">
        <f t="shared" ca="1" si="20"/>
        <v>0.35714285714285715</v>
      </c>
      <c r="I78" s="84">
        <f t="shared" ca="1" si="20"/>
        <v>0</v>
      </c>
      <c r="J78" s="84" t="str">
        <f t="shared" si="20"/>
        <v/>
      </c>
      <c r="K78" s="84" t="str">
        <f t="shared" si="20"/>
        <v/>
      </c>
      <c r="L78" s="84" t="str">
        <f t="shared" si="20"/>
        <v/>
      </c>
      <c r="M78" s="84" t="str">
        <f t="shared" si="20"/>
        <v/>
      </c>
      <c r="N78" s="147">
        <f t="shared" ca="1" si="20"/>
        <v>0.29032258064516131</v>
      </c>
    </row>
    <row r="79" spans="1:14" ht="39" customHeight="1" thickBot="1" x14ac:dyDescent="0.3">
      <c r="A79" s="53" t="s">
        <v>709</v>
      </c>
      <c r="B79" s="142">
        <f>SUM(COUNTIFS(Tabla1[AÑO PARTO],$B$4,Tabla1[MES PARTO],B6,Tabla1[SALE DEL PROGRAMA POR],"PARTO",Tabla1[FECHA VACUNA ANTI INFLUENZA],"&lt;&gt;"),COUNTIFS(Tabla1[AÑO PARTO],$B$4,Tabla1[MES PARTO],B6,Tabla1[SALE DEL PROGRAMA POR],"CESAREA",Tabla1[FECHA VACUNA ANTI INFLUENZA],"&lt;&gt;"))</f>
        <v>0</v>
      </c>
      <c r="C79" s="142">
        <f>SUM(COUNTIFS(Tabla1[AÑO PARTO],$B$4,Tabla1[MES PARTO],C6,Tabla1[SALE DEL PROGRAMA POR],"PARTO",Tabla1[FECHA VACUNA ANTI INFLUENZA],"&lt;&gt;"),COUNTIFS(Tabla1[AÑO PARTO],$B$4,Tabla1[MES PARTO],C6,Tabla1[SALE DEL PROGRAMA POR],"CESAREA",Tabla1[FECHA VACUNA ANTI INFLUENZA],"&lt;&gt;"))</f>
        <v>2</v>
      </c>
      <c r="D79" s="142">
        <f>SUM(COUNTIFS(Tabla1[AÑO PARTO],$B$4,Tabla1[MES PARTO],D6,Tabla1[SALE DEL PROGRAMA POR],"PARTO",Tabla1[FECHA VACUNA ANTI INFLUENZA],"&lt;&gt;"),COUNTIFS(Tabla1[AÑO PARTO],$B$4,Tabla1[MES PARTO],D6,Tabla1[SALE DEL PROGRAMA POR],"CESAREA",Tabla1[FECHA VACUNA ANTI INFLUENZA],"&lt;&gt;"))</f>
        <v>2</v>
      </c>
      <c r="E79" s="142">
        <f>SUM(COUNTIFS(Tabla1[AÑO PARTO],$B$4,Tabla1[MES PARTO],E6,Tabla1[SALE DEL PROGRAMA POR],"PARTO",Tabla1[FECHA VACUNA ANTI INFLUENZA],"&lt;&gt;"),COUNTIFS(Tabla1[AÑO PARTO],$B$4,Tabla1[MES PARTO],E6,Tabla1[SALE DEL PROGRAMA POR],"CESAREA",Tabla1[FECHA VACUNA ANTI INFLUENZA],"&lt;&gt;"))</f>
        <v>4</v>
      </c>
      <c r="F79" s="142">
        <f>SUM(COUNTIFS(Tabla1[AÑO PARTO],$B$4,Tabla1[MES PARTO],F6,Tabla1[SALE DEL PROGRAMA POR],"PARTO",Tabla1[FECHA VACUNA ANTI INFLUENZA],"&lt;&gt;"),COUNTIFS(Tabla1[AÑO PARTO],$B$4,Tabla1[MES PARTO],F6,Tabla1[SALE DEL PROGRAMA POR],"CESAREA",Tabla1[FECHA VACUNA ANTI INFLUENZA],"&lt;&gt;"))</f>
        <v>6</v>
      </c>
      <c r="G79" s="142">
        <f>SUM(COUNTIFS(Tabla1[AÑO PARTO],$B$4,Tabla1[MES PARTO],G6,Tabla1[SALE DEL PROGRAMA POR],"PARTO",Tabla1[FECHA VACUNA ANTI INFLUENZA],"&lt;&gt;"),COUNTIFS(Tabla1[AÑO PARTO],$B$4,Tabla1[MES PARTO],G6,Tabla1[SALE DEL PROGRAMA POR],"CESAREA",Tabla1[FECHA VACUNA ANTI INFLUENZA],"&lt;&gt;"))</f>
        <v>3</v>
      </c>
      <c r="H79" s="142">
        <f>SUM(COUNTIFS(Tabla1[AÑO PARTO],$B$4,Tabla1[MES PARTO],H6,Tabla1[SALE DEL PROGRAMA POR],"PARTO",Tabla1[FECHA VACUNA ANTI INFLUENZA],"&lt;&gt;"),COUNTIFS(Tabla1[AÑO PARTO],$B$4,Tabla1[MES PARTO],H6,Tabla1[SALE DEL PROGRAMA POR],"CESAREA",Tabla1[FECHA VACUNA ANTI INFLUENZA],"&lt;&gt;"))</f>
        <v>1</v>
      </c>
      <c r="I79" s="142">
        <f>SUM(COUNTIFS(Tabla1[AÑO PARTO],$B$4,Tabla1[MES PARTO],I6,Tabla1[SALE DEL PROGRAMA POR],"PARTO",Tabla1[FECHA VACUNA ANTI INFLUENZA],"&lt;&gt;"),COUNTIFS(Tabla1[AÑO PARTO],$B$4,Tabla1[MES PARTO],I6,Tabla1[SALE DEL PROGRAMA POR],"CESAREA",Tabla1[FECHA VACUNA ANTI INFLUENZA],"&lt;&gt;"))</f>
        <v>1</v>
      </c>
      <c r="J79" s="142">
        <f>SUM(COUNTIFS(Tabla1[AÑO PARTO],$B$4,Tabla1[MES PARTO],J6,Tabla1[SALE DEL PROGRAMA POR],"PARTO",Tabla1[FECHA VACUNA ANTI INFLUENZA],"&lt;&gt;"),COUNTIFS(Tabla1[AÑO PARTO],$B$4,Tabla1[MES PARTO],J6,Tabla1[SALE DEL PROGRAMA POR],"CESAREA",Tabla1[FECHA VACUNA ANTI INFLUENZA],"&lt;&gt;"))</f>
        <v>0</v>
      </c>
      <c r="K79" s="142">
        <f>SUM(COUNTIFS(Tabla1[AÑO PARTO],$B$4,Tabla1[MES PARTO],K6,Tabla1[SALE DEL PROGRAMA POR],"PARTO",Tabla1[FECHA VACUNA ANTI INFLUENZA],"&lt;&gt;"),COUNTIFS(Tabla1[AÑO PARTO],$B$4,Tabla1[MES PARTO],K6,Tabla1[SALE DEL PROGRAMA POR],"CESAREA",Tabla1[FECHA VACUNA ANTI INFLUENZA],"&lt;&gt;"))</f>
        <v>0</v>
      </c>
      <c r="L79" s="142">
        <f>SUM(COUNTIFS(Tabla1[AÑO PARTO],$B$4,Tabla1[MES PARTO],L6,Tabla1[SALE DEL PROGRAMA POR],"PARTO",Tabla1[FECHA VACUNA ANTI INFLUENZA],"&lt;&gt;"),COUNTIFS(Tabla1[AÑO PARTO],$B$4,Tabla1[MES PARTO],L6,Tabla1[SALE DEL PROGRAMA POR],"CESAREA",Tabla1[FECHA VACUNA ANTI INFLUENZA],"&lt;&gt;"))</f>
        <v>0</v>
      </c>
      <c r="M79" s="142">
        <f>SUM(COUNTIFS(Tabla1[AÑO PARTO],$B$4,Tabla1[MES PARTO],M6,Tabla1[SALE DEL PROGRAMA POR],"PARTO",Tabla1[FECHA VACUNA ANTI INFLUENZA],"&lt;&gt;"),COUNTIFS(Tabla1[AÑO PARTO],$B$4,Tabla1[MES PARTO],M6,Tabla1[SALE DEL PROGRAMA POR],"CESAREA",Tabla1[FECHA VACUNA ANTI INFLUENZA],"&lt;&gt;"))</f>
        <v>0</v>
      </c>
      <c r="N79" s="82">
        <f>SUM(B79:M79)</f>
        <v>19</v>
      </c>
    </row>
    <row r="80" spans="1:14" ht="39" customHeight="1" thickBot="1" x14ac:dyDescent="0.3">
      <c r="A80" s="146" t="s">
        <v>710</v>
      </c>
      <c r="B80" s="83" t="str">
        <f t="shared" ref="B80:N80" si="21">IF(B$91=0,"",SUM(B79/B$91))</f>
        <v/>
      </c>
      <c r="C80" s="84">
        <f t="shared" si="21"/>
        <v>0.66666666666666663</v>
      </c>
      <c r="D80" s="84">
        <f t="shared" si="21"/>
        <v>0.16666666666666666</v>
      </c>
      <c r="E80" s="84">
        <f t="shared" si="21"/>
        <v>0.23529411764705882</v>
      </c>
      <c r="F80" s="84">
        <f t="shared" si="21"/>
        <v>0.19354838709677419</v>
      </c>
      <c r="G80" s="84">
        <f t="shared" si="21"/>
        <v>0.23076923076923078</v>
      </c>
      <c r="H80" s="84">
        <f t="shared" si="21"/>
        <v>7.1428571428571425E-2</v>
      </c>
      <c r="I80" s="84">
        <f t="shared" si="21"/>
        <v>0.33333333333333331</v>
      </c>
      <c r="J80" s="84" t="str">
        <f t="shared" si="21"/>
        <v/>
      </c>
      <c r="K80" s="84" t="str">
        <f t="shared" si="21"/>
        <v/>
      </c>
      <c r="L80" s="84" t="str">
        <f t="shared" si="21"/>
        <v/>
      </c>
      <c r="M80" s="84" t="str">
        <f t="shared" si="21"/>
        <v/>
      </c>
      <c r="N80" s="147">
        <f t="shared" si="21"/>
        <v>0.20430107526881722</v>
      </c>
    </row>
    <row r="81" spans="1:14" ht="39" customHeight="1" thickBot="1" x14ac:dyDescent="0.3">
      <c r="A81" s="53" t="s">
        <v>711</v>
      </c>
      <c r="B81" s="142">
        <f>SUM(COUNTIFS(Tabla1[AÑO PARTO],$B$4,Tabla1[MES PARTO],B6,Tabla1[SALE DEL PROGRAMA POR],"PARTO",Tabla1[VACUNACION COVID19],"2 Dosis"),COUNTIFS(Tabla1[AÑO PARTO],$B$4,Tabla1[MES PARTO],B6,Tabla1[SALE DEL PROGRAMA POR],"CESAREA",Tabla1[VACUNACION COVID19],"2 Dosis"))</f>
        <v>0</v>
      </c>
      <c r="C81" s="142">
        <f>SUM(COUNTIFS(Tabla1[AÑO PARTO],$B$4,Tabla1[MES PARTO],C6,Tabla1[SALE DEL PROGRAMA POR],"PARTO",Tabla1[VACUNACION COVID19],"2 Dosis"),COUNTIFS(Tabla1[AÑO PARTO],$B$4,Tabla1[MES PARTO],C6,Tabla1[SALE DEL PROGRAMA POR],"CESAREA",Tabla1[VACUNACION COVID19],"2 Dosis"))</f>
        <v>0</v>
      </c>
      <c r="D81" s="142">
        <f>SUM(COUNTIFS(Tabla1[AÑO PARTO],$B$4,Tabla1[MES PARTO],D6,Tabla1[SALE DEL PROGRAMA POR],"PARTO",Tabla1[VACUNACION COVID19],"2 Dosis"),COUNTIFS(Tabla1[AÑO PARTO],$B$4,Tabla1[MES PARTO],D6,Tabla1[SALE DEL PROGRAMA POR],"CESAREA",Tabla1[VACUNACION COVID19],"2 Dosis"))</f>
        <v>0</v>
      </c>
      <c r="E81" s="142">
        <f>SUM(COUNTIFS(Tabla1[AÑO PARTO],$B$4,Tabla1[MES PARTO],E6,Tabla1[SALE DEL PROGRAMA POR],"PARTO",Tabla1[VACUNACION COVID19],"2 Dosis"),COUNTIFS(Tabla1[AÑO PARTO],$B$4,Tabla1[MES PARTO],E6,Tabla1[SALE DEL PROGRAMA POR],"CESAREA",Tabla1[VACUNACION COVID19],"2 Dosis"))</f>
        <v>0</v>
      </c>
      <c r="F81" s="142">
        <f>SUM(COUNTIFS(Tabla1[AÑO PARTO],$B$4,Tabla1[MES PARTO],F6,Tabla1[SALE DEL PROGRAMA POR],"PARTO",Tabla1[VACUNACION COVID19],"2 Dosis"),COUNTIFS(Tabla1[AÑO PARTO],$B$4,Tabla1[MES PARTO],F6,Tabla1[SALE DEL PROGRAMA POR],"CESAREA",Tabla1[VACUNACION COVID19],"2 Dosis"))</f>
        <v>0</v>
      </c>
      <c r="G81" s="142">
        <f>SUM(COUNTIFS(Tabla1[AÑO PARTO],$B$4,Tabla1[MES PARTO],G6,Tabla1[SALE DEL PROGRAMA POR],"PARTO",Tabla1[VACUNACION COVID19],"2 Dosis"),COUNTIFS(Tabla1[AÑO PARTO],$B$4,Tabla1[MES PARTO],G6,Tabla1[SALE DEL PROGRAMA POR],"CESAREA",Tabla1[VACUNACION COVID19],"2 Dosis"))</f>
        <v>0</v>
      </c>
      <c r="H81" s="142">
        <f>SUM(COUNTIFS(Tabla1[AÑO PARTO],$B$4,Tabla1[MES PARTO],H6,Tabla1[SALE DEL PROGRAMA POR],"PARTO",Tabla1[VACUNACION COVID19],"2 Dosis"),COUNTIFS(Tabla1[AÑO PARTO],$B$4,Tabla1[MES PARTO],H6,Tabla1[SALE DEL PROGRAMA POR],"CESAREA",Tabla1[VACUNACION COVID19],"2 Dosis"))</f>
        <v>0</v>
      </c>
      <c r="I81" s="142">
        <f>SUM(COUNTIFS(Tabla1[AÑO PARTO],$B$4,Tabla1[MES PARTO],I6,Tabla1[SALE DEL PROGRAMA POR],"PARTO",Tabla1[VACUNACION COVID19],"2 Dosis"),COUNTIFS(Tabla1[AÑO PARTO],$B$4,Tabla1[MES PARTO],I6,Tabla1[SALE DEL PROGRAMA POR],"CESAREA",Tabla1[VACUNACION COVID19],"2 Dosis"))</f>
        <v>0</v>
      </c>
      <c r="J81" s="142">
        <f>SUM(COUNTIFS(Tabla1[AÑO PARTO],$B$4,Tabla1[MES PARTO],J6,Tabla1[SALE DEL PROGRAMA POR],"PARTO",Tabla1[VACUNACION COVID19],"2 Dosis"),COUNTIFS(Tabla1[AÑO PARTO],$B$4,Tabla1[MES PARTO],J6,Tabla1[SALE DEL PROGRAMA POR],"CESAREA",Tabla1[VACUNACION COVID19],"2 Dosis"))</f>
        <v>0</v>
      </c>
      <c r="K81" s="142">
        <f>SUM(COUNTIFS(Tabla1[AÑO PARTO],$B$4,Tabla1[MES PARTO],K6,Tabla1[SALE DEL PROGRAMA POR],"PARTO",Tabla1[VACUNACION COVID19],"2 Dosis"),COUNTIFS(Tabla1[AÑO PARTO],$B$4,Tabla1[MES PARTO],K6,Tabla1[SALE DEL PROGRAMA POR],"CESAREA",Tabla1[VACUNACION COVID19],"2 Dosis"))</f>
        <v>0</v>
      </c>
      <c r="L81" s="142">
        <f>SUM(COUNTIFS(Tabla1[AÑO PARTO],$B$4,Tabla1[MES PARTO],L6,Tabla1[SALE DEL PROGRAMA POR],"PARTO",Tabla1[VACUNACION COVID19],"2 Dosis"),COUNTIFS(Tabla1[AÑO PARTO],$B$4,Tabla1[MES PARTO],L6,Tabla1[SALE DEL PROGRAMA POR],"CESAREA",Tabla1[VACUNACION COVID19],"2 Dosis"))</f>
        <v>0</v>
      </c>
      <c r="M81" s="142">
        <f>SUM(COUNTIFS(Tabla1[AÑO PARTO],$B$4,Tabla1[MES PARTO],M6,Tabla1[SALE DEL PROGRAMA POR],"PARTO",Tabla1[VACUNACION COVID19],"2 Dosis"),COUNTIFS(Tabla1[AÑO PARTO],$B$4,Tabla1[MES PARTO],M6,Tabla1[SALE DEL PROGRAMA POR],"CESAREA",Tabla1[VACUNACION COVID19],"2 Dosis"))</f>
        <v>0</v>
      </c>
      <c r="N81" s="82">
        <f>SUM(B81:M81)</f>
        <v>0</v>
      </c>
    </row>
    <row r="82" spans="1:14" ht="39" customHeight="1" thickBot="1" x14ac:dyDescent="0.3">
      <c r="A82" s="146" t="s">
        <v>712</v>
      </c>
      <c r="B82" s="83" t="str">
        <f t="shared" ref="B82:N82" si="22">IF(B$91=0,"",SUM(B81/B$91))</f>
        <v/>
      </c>
      <c r="C82" s="84">
        <f t="shared" si="22"/>
        <v>0</v>
      </c>
      <c r="D82" s="84">
        <f t="shared" si="22"/>
        <v>0</v>
      </c>
      <c r="E82" s="84">
        <f t="shared" si="22"/>
        <v>0</v>
      </c>
      <c r="F82" s="84">
        <f t="shared" si="22"/>
        <v>0</v>
      </c>
      <c r="G82" s="84">
        <f t="shared" si="22"/>
        <v>0</v>
      </c>
      <c r="H82" s="84">
        <f t="shared" si="22"/>
        <v>0</v>
      </c>
      <c r="I82" s="84">
        <f t="shared" si="22"/>
        <v>0</v>
      </c>
      <c r="J82" s="84" t="str">
        <f t="shared" si="22"/>
        <v/>
      </c>
      <c r="K82" s="84" t="str">
        <f t="shared" si="22"/>
        <v/>
      </c>
      <c r="L82" s="84" t="str">
        <f t="shared" si="22"/>
        <v/>
      </c>
      <c r="M82" s="84" t="str">
        <f t="shared" si="22"/>
        <v/>
      </c>
      <c r="N82" s="147">
        <f t="shared" si="22"/>
        <v>0</v>
      </c>
    </row>
    <row r="83" spans="1:14" ht="39" customHeight="1" thickBot="1" x14ac:dyDescent="0.3">
      <c r="A83" s="53" t="s">
        <v>713</v>
      </c>
      <c r="B83" s="142">
        <f>SUM(COUNTIFS(Tabla1[AÑO PARTO],$B$4,Tabla1[MES PARTO],B6,Tabla1[SALE DEL PROGRAMA POR],"PARTO",Tabla1[FECHA VACUNA TD],"&lt;&gt;"),COUNTIFS(Tabla1[AÑO PARTO],$B$4,Tabla1[MES PARTO],B6,Tabla1[SALE DEL PROGRAMA POR],"CESAREA",Tabla1[FECHA VACUNA TD],"&lt;&gt;"))</f>
        <v>0</v>
      </c>
      <c r="C83" s="142">
        <f>SUM(COUNTIFS(Tabla1[AÑO PARTO],$B$4,Tabla1[MES PARTO],C6,Tabla1[SALE DEL PROGRAMA POR],"PARTO",Tabla1[FECHA VACUNA TD],"&lt;&gt;"),COUNTIFS(Tabla1[AÑO PARTO],$B$4,Tabla1[MES PARTO],C6,Tabla1[SALE DEL PROGRAMA POR],"CESAREA",Tabla1[FECHA VACUNA TD],"&lt;&gt;"))</f>
        <v>0</v>
      </c>
      <c r="D83" s="142">
        <f>SUM(COUNTIFS(Tabla1[AÑO PARTO],$B$4,Tabla1[MES PARTO],D6,Tabla1[SALE DEL PROGRAMA POR],"PARTO",Tabla1[FECHA VACUNA TD],"&lt;&gt;"),COUNTIFS(Tabla1[AÑO PARTO],$B$4,Tabla1[MES PARTO],D6,Tabla1[SALE DEL PROGRAMA POR],"CESAREA",Tabla1[FECHA VACUNA TD],"&lt;&gt;"))</f>
        <v>0</v>
      </c>
      <c r="E83" s="142">
        <f>SUM(COUNTIFS(Tabla1[AÑO PARTO],$B$4,Tabla1[MES PARTO],E6,Tabla1[SALE DEL PROGRAMA POR],"PARTO",Tabla1[FECHA VACUNA TD],"&lt;&gt;"),COUNTIFS(Tabla1[AÑO PARTO],$B$4,Tabla1[MES PARTO],E6,Tabla1[SALE DEL PROGRAMA POR],"CESAREA",Tabla1[FECHA VACUNA TD],"&lt;&gt;"))</f>
        <v>0</v>
      </c>
      <c r="F83" s="142">
        <f>SUM(COUNTIFS(Tabla1[AÑO PARTO],$B$4,Tabla1[MES PARTO],F6,Tabla1[SALE DEL PROGRAMA POR],"PARTO",Tabla1[FECHA VACUNA TD],"&lt;&gt;"),COUNTIFS(Tabla1[AÑO PARTO],$B$4,Tabla1[MES PARTO],F6,Tabla1[SALE DEL PROGRAMA POR],"CESAREA",Tabla1[FECHA VACUNA TD],"&lt;&gt;"))</f>
        <v>0</v>
      </c>
      <c r="G83" s="142">
        <f>SUM(COUNTIFS(Tabla1[AÑO PARTO],$B$4,Tabla1[MES PARTO],G6,Tabla1[SALE DEL PROGRAMA POR],"PARTO",Tabla1[FECHA VACUNA TD],"&lt;&gt;"),COUNTIFS(Tabla1[AÑO PARTO],$B$4,Tabla1[MES PARTO],G6,Tabla1[SALE DEL PROGRAMA POR],"CESAREA",Tabla1[FECHA VACUNA TD],"&lt;&gt;"))</f>
        <v>0</v>
      </c>
      <c r="H83" s="142">
        <f>SUM(COUNTIFS(Tabla1[AÑO PARTO],$B$4,Tabla1[MES PARTO],H6,Tabla1[SALE DEL PROGRAMA POR],"PARTO",Tabla1[FECHA VACUNA TD],"&lt;&gt;"),COUNTIFS(Tabla1[AÑO PARTO],$B$4,Tabla1[MES PARTO],H6,Tabla1[SALE DEL PROGRAMA POR],"CESAREA",Tabla1[FECHA VACUNA TD],"&lt;&gt;"))</f>
        <v>0</v>
      </c>
      <c r="I83" s="142">
        <f>SUM(COUNTIFS(Tabla1[AÑO PARTO],$B$4,Tabla1[MES PARTO],I6,Tabla1[SALE DEL PROGRAMA POR],"PARTO",Tabla1[FECHA VACUNA TD],"&lt;&gt;"),COUNTIFS(Tabla1[AÑO PARTO],$B$4,Tabla1[MES PARTO],I6,Tabla1[SALE DEL PROGRAMA POR],"CESAREA",Tabla1[FECHA VACUNA TD],"&lt;&gt;"))</f>
        <v>0</v>
      </c>
      <c r="J83" s="142">
        <f>SUM(COUNTIFS(Tabla1[AÑO PARTO],$B$4,Tabla1[MES PARTO],J6,Tabla1[SALE DEL PROGRAMA POR],"PARTO",Tabla1[FECHA VACUNA TD],"&lt;&gt;"),COUNTIFS(Tabla1[AÑO PARTO],$B$4,Tabla1[MES PARTO],J6,Tabla1[SALE DEL PROGRAMA POR],"CESAREA",Tabla1[FECHA VACUNA TD],"&lt;&gt;"))</f>
        <v>0</v>
      </c>
      <c r="K83" s="142">
        <f>SUM(COUNTIFS(Tabla1[AÑO PARTO],$B$4,Tabla1[MES PARTO],K6,Tabla1[SALE DEL PROGRAMA POR],"PARTO",Tabla1[FECHA VACUNA TD],"&lt;&gt;"),COUNTIFS(Tabla1[AÑO PARTO],$B$4,Tabla1[MES PARTO],K6,Tabla1[SALE DEL PROGRAMA POR],"CESAREA",Tabla1[FECHA VACUNA TD],"&lt;&gt;"))</f>
        <v>0</v>
      </c>
      <c r="L83" s="142">
        <f>SUM(COUNTIFS(Tabla1[AÑO PARTO],$B$4,Tabla1[MES PARTO],L6,Tabla1[SALE DEL PROGRAMA POR],"PARTO",Tabla1[FECHA VACUNA TD],"&lt;&gt;"),COUNTIFS(Tabla1[AÑO PARTO],$B$4,Tabla1[MES PARTO],L6,Tabla1[SALE DEL PROGRAMA POR],"CESAREA",Tabla1[FECHA VACUNA TD],"&lt;&gt;"))</f>
        <v>0</v>
      </c>
      <c r="M83" s="142">
        <f>SUM(COUNTIFS(Tabla1[AÑO PARTO],$B$4,Tabla1[MES PARTO],M6,Tabla1[SALE DEL PROGRAMA POR],"PARTO",Tabla1[FECHA VACUNA TD],"&lt;&gt;"),COUNTIFS(Tabla1[AÑO PARTO],$B$4,Tabla1[MES PARTO],M6,Tabla1[SALE DEL PROGRAMA POR],"CESAREA",Tabla1[FECHA VACUNA TD],"&lt;&gt;"))</f>
        <v>0</v>
      </c>
      <c r="N83" s="82">
        <f>SUM(B83:M83)</f>
        <v>0</v>
      </c>
    </row>
    <row r="84" spans="1:14" ht="39" customHeight="1" thickBot="1" x14ac:dyDescent="0.3">
      <c r="A84" s="146" t="s">
        <v>714</v>
      </c>
      <c r="B84" s="83" t="str">
        <f t="shared" ref="B84:N84" si="23">IF(B$91=0,"",SUM(B83/B$91))</f>
        <v/>
      </c>
      <c r="C84" s="84">
        <f t="shared" si="23"/>
        <v>0</v>
      </c>
      <c r="D84" s="84">
        <f t="shared" si="23"/>
        <v>0</v>
      </c>
      <c r="E84" s="84">
        <f t="shared" si="23"/>
        <v>0</v>
      </c>
      <c r="F84" s="84">
        <f t="shared" si="23"/>
        <v>0</v>
      </c>
      <c r="G84" s="84">
        <f t="shared" si="23"/>
        <v>0</v>
      </c>
      <c r="H84" s="84">
        <f t="shared" si="23"/>
        <v>0</v>
      </c>
      <c r="I84" s="84">
        <f t="shared" si="23"/>
        <v>0</v>
      </c>
      <c r="J84" s="84" t="str">
        <f t="shared" si="23"/>
        <v/>
      </c>
      <c r="K84" s="84" t="str">
        <f t="shared" si="23"/>
        <v/>
      </c>
      <c r="L84" s="84" t="str">
        <f t="shared" si="23"/>
        <v/>
      </c>
      <c r="M84" s="84" t="str">
        <f t="shared" si="23"/>
        <v/>
      </c>
      <c r="N84" s="147">
        <f t="shared" si="23"/>
        <v>0</v>
      </c>
    </row>
    <row r="85" spans="1:14" ht="31.5" customHeight="1" thickBot="1" x14ac:dyDescent="0.3">
      <c r="A85" s="42" t="s">
        <v>370</v>
      </c>
      <c r="B85" s="68">
        <f>COUNTIFS(Tabla1[AÑO3 INGRESO CPN],B4,Tabla1[MES2 INGRESO CPN],B6,Tabla1[AÑOS AL INICIO5 CPN],"&gt;0",Tabla1[AÑOS AL INICIO5 CPN],"&lt;19")</f>
        <v>5</v>
      </c>
      <c r="C85" s="68">
        <f>COUNTIFS(Tabla1[AÑO3 INGRESO CPN],B4,Tabla1[MES2 INGRESO CPN],C6,Tabla1[AÑOS AL INICIO5 CPN],"&gt;0",Tabla1[AÑOS AL INICIO5 CPN],"&lt;19")</f>
        <v>8</v>
      </c>
      <c r="D85" s="68">
        <f>COUNTIFS(Tabla1[AÑO3 INGRESO CPN],B4,Tabla1[MES2 INGRESO CPN],D6,Tabla1[AÑOS AL INICIO5 CPN],"&gt;0",Tabla1[AÑOS AL INICIO5 CPN],"&lt;19")</f>
        <v>6</v>
      </c>
      <c r="E85" s="68">
        <f>COUNTIFS(Tabla1[AÑO3 INGRESO CPN],B4,Tabla1[MES2 INGRESO CPN],E6,Tabla1[AÑOS AL INICIO5 CPN],"&gt;0",Tabla1[AÑOS AL INICIO5 CPN],"&lt;19")</f>
        <v>7</v>
      </c>
      <c r="F85" s="68">
        <f>COUNTIFS(Tabla1[AÑO3 INGRESO CPN],B4,Tabla1[MES2 INGRESO CPN],F6,Tabla1[AÑOS AL INICIO5 CPN],"&gt;0",Tabla1[AÑOS AL INICIO5 CPN],"&lt;19")</f>
        <v>2</v>
      </c>
      <c r="G85" s="68">
        <f>COUNTIFS(Tabla1[AÑO3 INGRESO CPN],B4,Tabla1[MES2 INGRESO CPN],G6,Tabla1[AÑOS AL INICIO5 CPN],"&gt;0",Tabla1[AÑOS AL INICIO5 CPN],"&lt;19")</f>
        <v>3</v>
      </c>
      <c r="H85" s="68">
        <f>COUNTIFS(Tabla1[AÑO3 INGRESO CPN],B4,Tabla1[MES2 INGRESO CPN],H6,Tabla1[AÑOS AL INICIO5 CPN],"&gt;0",Tabla1[AÑOS AL INICIO5 CPN],"&lt;19")</f>
        <v>5</v>
      </c>
      <c r="I85" s="68">
        <f>COUNTIFS(Tabla1[AÑO3 INGRESO CPN],B4,Tabla1[MES2 INGRESO CPN],I6,Tabla1[AÑOS AL INICIO5 CPN],"&gt;0",Tabla1[AÑOS AL INICIO5 CPN],"&lt;19")</f>
        <v>3</v>
      </c>
      <c r="J85" s="68">
        <f>COUNTIFS(Tabla1[AÑO3 INGRESO CPN],B4,Tabla1[MES2 INGRESO CPN],J6,Tabla1[AÑOS AL INICIO5 CPN],"&gt;0",Tabla1[AÑOS AL INICIO5 CPN],"&lt;19")</f>
        <v>0</v>
      </c>
      <c r="K85" s="68">
        <f>COUNTIFS(Tabla1[AÑO3 INGRESO CPN],B4,Tabla1[MES2 INGRESO CPN],K6,Tabla1[AÑOS AL INICIO5 CPN],"&gt;0",Tabla1[AÑOS AL INICIO5 CPN],"&lt;19")</f>
        <v>0</v>
      </c>
      <c r="L85" s="68">
        <f>COUNTIFS(Tabla1[AÑO3 INGRESO CPN],B4,Tabla1[MES2 INGRESO CPN],L6,Tabla1[AÑOS AL INICIO5 CPN],"&gt;0",Tabla1[AÑOS AL INICIO5 CPN],"&lt;19")</f>
        <v>0</v>
      </c>
      <c r="M85" s="68">
        <f>COUNTIFS(Tabla1[AÑO3 INGRESO CPN],B4,Tabla1[MES2 INGRESO CPN],M6,Tabla1[AÑOS AL INICIO5 CPN],"&gt;0",Tabla1[AÑOS AL INICIO5 CPN],"&lt;19")</f>
        <v>0</v>
      </c>
      <c r="N85" s="92">
        <f>SUM(B85:M85)</f>
        <v>39</v>
      </c>
    </row>
    <row r="86" spans="1:14" ht="31.5" customHeight="1" thickBot="1" x14ac:dyDescent="0.3">
      <c r="A86" s="41" t="s">
        <v>371</v>
      </c>
      <c r="B86" s="83">
        <f>IF($B$40=0,"",SUM(B85/$B$40))</f>
        <v>0.38461538461538464</v>
      </c>
      <c r="C86" s="84">
        <f t="shared" ref="C86:N86" si="24">IF(C40=0,"",SUM(C85/C40))</f>
        <v>0.27586206896551724</v>
      </c>
      <c r="D86" s="84">
        <f t="shared" si="24"/>
        <v>0.18181818181818182</v>
      </c>
      <c r="E86" s="84">
        <f t="shared" si="24"/>
        <v>0.35</v>
      </c>
      <c r="F86" s="84">
        <f t="shared" si="24"/>
        <v>0.1</v>
      </c>
      <c r="G86" s="84">
        <f t="shared" si="24"/>
        <v>0.375</v>
      </c>
      <c r="H86" s="84">
        <f t="shared" si="24"/>
        <v>0.22727272727272727</v>
      </c>
      <c r="I86" s="84">
        <f t="shared" si="24"/>
        <v>0.16666666666666666</v>
      </c>
      <c r="J86" s="84" t="str">
        <f t="shared" si="24"/>
        <v/>
      </c>
      <c r="K86" s="84" t="str">
        <f t="shared" si="24"/>
        <v/>
      </c>
      <c r="L86" s="84" t="str">
        <f t="shared" si="24"/>
        <v/>
      </c>
      <c r="M86" s="84" t="str">
        <f t="shared" si="24"/>
        <v/>
      </c>
      <c r="N86" s="85">
        <f t="shared" si="24"/>
        <v>0.2392638036809816</v>
      </c>
    </row>
    <row r="87" spans="1:14" ht="31.5" customHeight="1" thickBot="1" x14ac:dyDescent="0.3">
      <c r="A87" s="42" t="s">
        <v>372</v>
      </c>
      <c r="B87" s="68">
        <f>COUNTIFS(Tabla1[AÑO3 INGRESO CPN],B4,Tabla1[MES2 INGRESO CPN],B6,Tabla1[AÑOS AL INICIO5 CPN],"&gt;0",Tabla1[AÑOS AL INICIO5 CPN],"&lt;14")</f>
        <v>1</v>
      </c>
      <c r="C87" s="68">
        <f>COUNTIFS(Tabla1[AÑO3 INGRESO CPN],B4,Tabla1[MES2 INGRESO CPN],C6,Tabla1[AÑOS AL INICIO5 CPN],"&gt;0",Tabla1[AÑOS AL INICIO5 CPN],"&lt;14")</f>
        <v>0</v>
      </c>
      <c r="D87" s="68">
        <f>COUNTIFS(Tabla1[AÑO3 INGRESO CPN],B4,Tabla1[MES2 INGRESO CPN],D6,Tabla1[AÑOS AL INICIO5 CPN],"&gt;0",Tabla1[AÑOS AL INICIO5 CPN],"&lt;14")</f>
        <v>0</v>
      </c>
      <c r="E87" s="68">
        <f>COUNTIFS(Tabla1[AÑO3 INGRESO CPN],B4,Tabla1[MES2 INGRESO CPN],E6,Tabla1[AÑOS AL INICIO5 CPN],"&gt;0",Tabla1[AÑOS AL INICIO5 CPN],"&lt;14")</f>
        <v>0</v>
      </c>
      <c r="F87" s="68">
        <f>COUNTIFS(Tabla1[AÑO3 INGRESO CPN],B4,Tabla1[MES2 INGRESO CPN],F6,Tabla1[AÑOS AL INICIO5 CPN],"&gt;0",Tabla1[AÑOS AL INICIO5 CPN],"&lt;14")</f>
        <v>0</v>
      </c>
      <c r="G87" s="68">
        <f>COUNTIFS(Tabla1[AÑO3 INGRESO CPN],B4,Tabla1[MES2 INGRESO CPN],G6,Tabla1[AÑOS AL INICIO5 CPN],"&gt;0",Tabla1[AÑOS AL INICIO5 CPN],"&lt;14")</f>
        <v>0</v>
      </c>
      <c r="H87" s="68">
        <f>COUNTIFS(Tabla1[AÑO3 INGRESO CPN],B4,Tabla1[MES2 INGRESO CPN],H6,Tabla1[AÑOS AL INICIO5 CPN],"&gt;0",Tabla1[AÑOS AL INICIO5 CPN],"&lt;14")</f>
        <v>1</v>
      </c>
      <c r="I87" s="68">
        <f>COUNTIFS(Tabla1[AÑO3 INGRESO CPN],B4,Tabla1[MES2 INGRESO CPN],I6,Tabla1[AÑOS AL INICIO5 CPN],"&gt;0",Tabla1[AÑOS AL INICIO5 CPN],"&lt;14")</f>
        <v>1</v>
      </c>
      <c r="J87" s="68">
        <f>COUNTIFS(Tabla1[AÑO3 INGRESO CPN],B4,Tabla1[MES2 INGRESO CPN],J6,Tabla1[AÑOS AL INICIO5 CPN],"&gt;0",Tabla1[AÑOS AL INICIO5 CPN],"&lt;14")</f>
        <v>0</v>
      </c>
      <c r="K87" s="68">
        <f>COUNTIFS(Tabla1[AÑO3 INGRESO CPN],B4,Tabla1[MES2 INGRESO CPN],K6,Tabla1[AÑOS AL INICIO5 CPN],"&gt;0",Tabla1[AÑOS AL INICIO5 CPN],"&lt;14")</f>
        <v>0</v>
      </c>
      <c r="L87" s="68">
        <f>COUNTIFS(Tabla1[AÑO3 INGRESO CPN],B4,Tabla1[MES2 INGRESO CPN],L6,Tabla1[AÑOS AL INICIO5 CPN],"&gt;0",Tabla1[AÑOS AL INICIO5 CPN],"&lt;14")</f>
        <v>0</v>
      </c>
      <c r="M87" s="68">
        <f>COUNTIFS(Tabla1[AÑO3 INGRESO CPN],B4,Tabla1[MES2 INGRESO CPN],M6,Tabla1[AÑOS AL INICIO5 CPN],"&gt;0",Tabla1[AÑOS AL INICIO5 CPN],"&lt;14")</f>
        <v>0</v>
      </c>
      <c r="N87" s="92">
        <f>SUM(B87:M87)</f>
        <v>3</v>
      </c>
    </row>
    <row r="88" spans="1:14" ht="31.5" customHeight="1" thickBot="1" x14ac:dyDescent="0.3">
      <c r="A88" s="41" t="s">
        <v>373</v>
      </c>
      <c r="B88" s="83">
        <f>IF(B$40=0,"",SUM(B87/B$40))</f>
        <v>7.6923076923076927E-2</v>
      </c>
      <c r="C88" s="84">
        <f>IF(C$40=0,"",SUM(C87/C$40))</f>
        <v>0</v>
      </c>
      <c r="D88" s="84">
        <f t="shared" ref="D88:N88" si="25">IF(D$40=0,"",SUM(D87/D$40))</f>
        <v>0</v>
      </c>
      <c r="E88" s="84">
        <f t="shared" si="25"/>
        <v>0</v>
      </c>
      <c r="F88" s="84">
        <f t="shared" si="25"/>
        <v>0</v>
      </c>
      <c r="G88" s="84">
        <f t="shared" si="25"/>
        <v>0</v>
      </c>
      <c r="H88" s="84">
        <f t="shared" si="25"/>
        <v>4.5454545454545456E-2</v>
      </c>
      <c r="I88" s="84">
        <f t="shared" si="25"/>
        <v>5.5555555555555552E-2</v>
      </c>
      <c r="J88" s="84" t="str">
        <f>IF(J$40=0,"",SUM(J87/J$40))</f>
        <v/>
      </c>
      <c r="K88" s="84" t="str">
        <f t="shared" si="25"/>
        <v/>
      </c>
      <c r="L88" s="84" t="str">
        <f t="shared" si="25"/>
        <v/>
      </c>
      <c r="M88" s="84" t="str">
        <f t="shared" si="25"/>
        <v/>
      </c>
      <c r="N88" s="85">
        <f t="shared" si="25"/>
        <v>1.8404907975460124E-2</v>
      </c>
    </row>
    <row r="89" spans="1:14" ht="31.5" customHeight="1" x14ac:dyDescent="0.25">
      <c r="A89" s="93" t="s">
        <v>726</v>
      </c>
      <c r="B89" s="81">
        <f>COUNTIFS(Tabla1[AÑO PARTO],B4,Tabla1[MES PARTO],B6,Tabla1[SALE DEL PROGRAMA POR],"PARTO")</f>
        <v>0</v>
      </c>
      <c r="C89" s="81">
        <f>COUNTIFS(Tabla1[AÑO PARTO],B4,Tabla1[MES PARTO],C6,Tabla1[SALE DEL PROGRAMA POR],"PARTO")</f>
        <v>2</v>
      </c>
      <c r="D89" s="81">
        <f>COUNTIFS(Tabla1[AÑO PARTO],B4,Tabla1[MES PARTO],D6,Tabla1[SALE DEL PROGRAMA POR],"PARTO")</f>
        <v>11</v>
      </c>
      <c r="E89" s="81">
        <f>COUNTIFS(Tabla1[AÑO PARTO],B4,Tabla1[MES PARTO],E6,Tabla1[SALE DEL PROGRAMA POR],"PARTO")</f>
        <v>13</v>
      </c>
      <c r="F89" s="81">
        <f>COUNTIFS(Tabla1[AÑO PARTO],B4,Tabla1[MES PARTO],F6,Tabla1[SALE DEL PROGRAMA POR],"PARTO")</f>
        <v>27</v>
      </c>
      <c r="G89" s="81">
        <f>COUNTIFS(Tabla1[AÑO PARTO],B4,Tabla1[MES PARTO],G6,Tabla1[SALE DEL PROGRAMA POR],"PARTO")</f>
        <v>11</v>
      </c>
      <c r="H89" s="81">
        <f>COUNTIFS(Tabla1[AÑO PARTO],B4,Tabla1[MES PARTO],H6,Tabla1[SALE DEL PROGRAMA POR],"PARTO")</f>
        <v>11</v>
      </c>
      <c r="I89" s="81">
        <f>COUNTIFS(Tabla1[AÑO PARTO],B4,Tabla1[MES PARTO],I6,Tabla1[SALE DEL PROGRAMA POR],"PARTO")</f>
        <v>0</v>
      </c>
      <c r="J89" s="81">
        <f>COUNTIFS(Tabla1[AÑO PARTO],B4,Tabla1[MES PARTO],J6,Tabla1[SALE DEL PROGRAMA POR],"PARTO")</f>
        <v>0</v>
      </c>
      <c r="K89" s="81">
        <f>COUNTIFS(Tabla1[AÑO PARTO],B4,Tabla1[MES PARTO],K6,Tabla1[SALE DEL PROGRAMA POR],"PARTO")</f>
        <v>0</v>
      </c>
      <c r="L89" s="81">
        <f>COUNTIFS(Tabla1[AÑO PARTO],B4,Tabla1[MES PARTO],L6,Tabla1[SALE DEL PROGRAMA POR],"PARTO")</f>
        <v>0</v>
      </c>
      <c r="M89" s="81">
        <f>COUNTIFS(Tabla1[AÑO PARTO],B4,Tabla1[MES PARTO],M6,Tabla1[SALE DEL PROGRAMA POR],"PARTO")</f>
        <v>0</v>
      </c>
      <c r="N89" s="90">
        <f>SUM(B89:M89)</f>
        <v>75</v>
      </c>
    </row>
    <row r="90" spans="1:14" ht="31.5" customHeight="1" x14ac:dyDescent="0.25">
      <c r="A90" s="93" t="s">
        <v>727</v>
      </c>
      <c r="B90" s="43">
        <f>COUNTIFS(Tabla1[AÑO PARTO],B4,Tabla1[MES PARTO],B6,Tabla1[SALE DEL PROGRAMA POR],"CESAREA")</f>
        <v>0</v>
      </c>
      <c r="C90" s="43">
        <f>COUNTIFS(Tabla1[AÑO PARTO],B4,Tabla1[MES PARTO],C6,Tabla1[SALE DEL PROGRAMA POR],"CESAREA")</f>
        <v>1</v>
      </c>
      <c r="D90" s="43">
        <f>COUNTIFS(Tabla1[AÑO PARTO],B4,Tabla1[MES PARTO],D6,Tabla1[SALE DEL PROGRAMA POR],"CESAREA")</f>
        <v>1</v>
      </c>
      <c r="E90" s="43">
        <f>COUNTIFS(Tabla1[AÑO PARTO],B4,Tabla1[MES PARTO],E6,Tabla1[SALE DEL PROGRAMA POR],"CESAREA")</f>
        <v>4</v>
      </c>
      <c r="F90" s="43">
        <f>COUNTIFS(Tabla1[AÑO PARTO],B4,Tabla1[MES PARTO],F6,Tabla1[SALE DEL PROGRAMA POR],"CESAREA")</f>
        <v>4</v>
      </c>
      <c r="G90" s="43">
        <f>COUNTIFS(Tabla1[AÑO PARTO],B4,Tabla1[MES PARTO],G6,Tabla1[SALE DEL PROGRAMA POR],"CESAREA")</f>
        <v>2</v>
      </c>
      <c r="H90" s="43">
        <f>COUNTIFS(Tabla1[AÑO PARTO],B4,Tabla1[MES PARTO],H6,Tabla1[SALE DEL PROGRAMA POR],"CESAREA")</f>
        <v>3</v>
      </c>
      <c r="I90" s="43">
        <f>COUNTIFS(Tabla1[AÑO PARTO],B4,Tabla1[MES PARTO],I6,Tabla1[SALE DEL PROGRAMA POR],"CESAREA")</f>
        <v>3</v>
      </c>
      <c r="J90" s="43">
        <f>COUNTIFS(Tabla1[AÑO PARTO],B4,Tabla1[MES PARTO],J6,Tabla1[SALE DEL PROGRAMA POR],"CESAREA")</f>
        <v>0</v>
      </c>
      <c r="K90" s="43">
        <f>COUNTIFS(Tabla1[AÑO PARTO],B4,Tabla1[MES PARTO],K6,Tabla1[SALE DEL PROGRAMA POR],"CESAREA")</f>
        <v>0</v>
      </c>
      <c r="L90" s="43">
        <f>COUNTIFS(Tabla1[AÑO PARTO],B4,Tabla1[MES PARTO],L6,Tabla1[SALE DEL PROGRAMA POR],"CESAREA")</f>
        <v>0</v>
      </c>
      <c r="M90" s="43">
        <f>COUNTIFS(Tabla1[AÑO PARTO],B4,Tabla1[MES PARTO],M6,Tabla1[SALE DEL PROGRAMA POR],"CESAREA")</f>
        <v>0</v>
      </c>
      <c r="N90" s="94">
        <f>SUM(B90:M90)</f>
        <v>18</v>
      </c>
    </row>
    <row r="91" spans="1:14" ht="31.5" customHeight="1" thickBot="1" x14ac:dyDescent="0.3">
      <c r="A91" s="95" t="s">
        <v>374</v>
      </c>
      <c r="B91" s="43">
        <f>SUM(B89:B90)</f>
        <v>0</v>
      </c>
      <c r="C91" s="43">
        <f t="shared" ref="C91:M91" si="26">SUM(C89:C90)</f>
        <v>3</v>
      </c>
      <c r="D91" s="43">
        <f t="shared" si="26"/>
        <v>12</v>
      </c>
      <c r="E91" s="43">
        <f t="shared" si="26"/>
        <v>17</v>
      </c>
      <c r="F91" s="43">
        <f t="shared" si="26"/>
        <v>31</v>
      </c>
      <c r="G91" s="43">
        <f t="shared" si="26"/>
        <v>13</v>
      </c>
      <c r="H91" s="43">
        <f t="shared" si="26"/>
        <v>14</v>
      </c>
      <c r="I91" s="43">
        <f t="shared" si="26"/>
        <v>3</v>
      </c>
      <c r="J91" s="43">
        <f t="shared" si="26"/>
        <v>0</v>
      </c>
      <c r="K91" s="43">
        <f t="shared" si="26"/>
        <v>0</v>
      </c>
      <c r="L91" s="43">
        <f t="shared" si="26"/>
        <v>0</v>
      </c>
      <c r="M91" s="43">
        <f t="shared" si="26"/>
        <v>0</v>
      </c>
      <c r="N91" s="94">
        <f>SUM(B91:M91)</f>
        <v>93</v>
      </c>
    </row>
    <row r="92" spans="1:14" ht="31.5" customHeight="1" thickBot="1" x14ac:dyDescent="0.3">
      <c r="A92" s="41" t="s">
        <v>375</v>
      </c>
      <c r="B92" s="46" t="str">
        <f>IF(B91=0,"",SUM(B89/B91))</f>
        <v/>
      </c>
      <c r="C92" s="46">
        <f t="shared" ref="C92:N92" si="27">IF(C91=0,"",SUM(C89/C91))</f>
        <v>0.66666666666666663</v>
      </c>
      <c r="D92" s="46">
        <f t="shared" si="27"/>
        <v>0.91666666666666663</v>
      </c>
      <c r="E92" s="46">
        <f t="shared" si="27"/>
        <v>0.76470588235294112</v>
      </c>
      <c r="F92" s="46">
        <f t="shared" si="27"/>
        <v>0.87096774193548387</v>
      </c>
      <c r="G92" s="46">
        <f t="shared" si="27"/>
        <v>0.84615384615384615</v>
      </c>
      <c r="H92" s="46">
        <f t="shared" si="27"/>
        <v>0.7857142857142857</v>
      </c>
      <c r="I92" s="46">
        <f t="shared" si="27"/>
        <v>0</v>
      </c>
      <c r="J92" s="46" t="str">
        <f t="shared" si="27"/>
        <v/>
      </c>
      <c r="K92" s="46" t="str">
        <f t="shared" si="27"/>
        <v/>
      </c>
      <c r="L92" s="46" t="str">
        <f t="shared" si="27"/>
        <v/>
      </c>
      <c r="M92" s="46" t="str">
        <f t="shared" si="27"/>
        <v/>
      </c>
      <c r="N92" s="96">
        <f t="shared" si="27"/>
        <v>0.80645161290322576</v>
      </c>
    </row>
    <row r="93" spans="1:14" ht="31.5" customHeight="1" x14ac:dyDescent="0.25">
      <c r="A93" s="41" t="s">
        <v>376</v>
      </c>
      <c r="B93" s="46" t="str">
        <f>IF(B91=0,"",SUM(B90/B91))</f>
        <v/>
      </c>
      <c r="C93" s="46">
        <f t="shared" ref="C93:N93" si="28">IF(C91=0,"",SUM(C90/C91))</f>
        <v>0.33333333333333331</v>
      </c>
      <c r="D93" s="46">
        <f t="shared" si="28"/>
        <v>8.3333333333333329E-2</v>
      </c>
      <c r="E93" s="46">
        <f t="shared" si="28"/>
        <v>0.23529411764705882</v>
      </c>
      <c r="F93" s="46">
        <f t="shared" si="28"/>
        <v>0.12903225806451613</v>
      </c>
      <c r="G93" s="46">
        <f t="shared" si="28"/>
        <v>0.15384615384615385</v>
      </c>
      <c r="H93" s="46">
        <f t="shared" si="28"/>
        <v>0.21428571428571427</v>
      </c>
      <c r="I93" s="46">
        <f t="shared" si="28"/>
        <v>1</v>
      </c>
      <c r="J93" s="46" t="str">
        <f t="shared" si="28"/>
        <v/>
      </c>
      <c r="K93" s="46" t="str">
        <f t="shared" si="28"/>
        <v/>
      </c>
      <c r="L93" s="46" t="str">
        <f t="shared" si="28"/>
        <v/>
      </c>
      <c r="M93" s="46" t="str">
        <f t="shared" si="28"/>
        <v/>
      </c>
      <c r="N93" s="96">
        <f t="shared" si="28"/>
        <v>0.19354838709677419</v>
      </c>
    </row>
    <row r="94" spans="1:14" ht="31.5" customHeight="1" thickBot="1" x14ac:dyDescent="0.3">
      <c r="A94" s="93" t="s">
        <v>377</v>
      </c>
      <c r="B94" s="82">
        <f>COUNTIFS(Tabla1[AÑO PARTO],B4,Tabla1[MES PARTO],B6,Tabla1[SALE DEL PROGRAMA POR],"IVE")</f>
        <v>0</v>
      </c>
      <c r="C94" s="82">
        <f>COUNTIFS(Tabla1[AÑO PARTO],B4,Tabla1[MES PARTO],C6,Tabla1[SALE DEL PROGRAMA POR],"IVE")</f>
        <v>0</v>
      </c>
      <c r="D94" s="82">
        <f>COUNTIFS(Tabla1[AÑO PARTO],B4,Tabla1[MES PARTO],D6,Tabla1[SALE DEL PROGRAMA POR],"IVE")</f>
        <v>0</v>
      </c>
      <c r="E94" s="82">
        <f>COUNTIFS(Tabla1[AÑO PARTO],B4,Tabla1[MES PARTO],E6,Tabla1[SALE DEL PROGRAMA POR],"IVE")</f>
        <v>0</v>
      </c>
      <c r="F94" s="82">
        <f>COUNTIFS(Tabla1[AÑO PARTO],B4,Tabla1[MES PARTO],F6,Tabla1[SALE DEL PROGRAMA POR],"IVE")</f>
        <v>0</v>
      </c>
      <c r="G94" s="82">
        <f>COUNTIFS(Tabla1[AÑO PARTO],B4,Tabla1[MES PARTO],G6,Tabla1[SALE DEL PROGRAMA POR],"IVE")</f>
        <v>0</v>
      </c>
      <c r="H94" s="82">
        <f>COUNTIFS(Tabla1[AÑO PARTO],B4,Tabla1[MES PARTO],H6,Tabla1[SALE DEL PROGRAMA POR],"IVE")</f>
        <v>0</v>
      </c>
      <c r="I94" s="82">
        <f>COUNTIFS(Tabla1[AÑO PARTO],B4,Tabla1[MES PARTO],I6,Tabla1[SALE DEL PROGRAMA POR],"IVE")</f>
        <v>0</v>
      </c>
      <c r="J94" s="82">
        <f>COUNTIFS(Tabla1[AÑO PARTO],B4,Tabla1[MES PARTO],J6,Tabla1[SALE DEL PROGRAMA POR],"IVE")</f>
        <v>0</v>
      </c>
      <c r="K94" s="82">
        <f>COUNTIFS(Tabla1[AÑO PARTO],B4,Tabla1[MES PARTO],K6,Tabla1[SALE DEL PROGRAMA POR],"IVE")</f>
        <v>0</v>
      </c>
      <c r="L94" s="82">
        <f>COUNTIFS(Tabla1[AÑO PARTO],B4,Tabla1[MES PARTO],L6,Tabla1[SALE DEL PROGRAMA POR],"IVE")</f>
        <v>0</v>
      </c>
      <c r="M94" s="82">
        <f>COUNTIFS(Tabla1[AÑO PARTO],B4,Tabla1[MES PARTO],M6,Tabla1[SALE DEL PROGRAMA POR],"IVE")</f>
        <v>0</v>
      </c>
      <c r="N94" s="91">
        <f>SUM(B94:M94)</f>
        <v>0</v>
      </c>
    </row>
    <row r="95" spans="1:14" ht="31.5" customHeight="1" thickBot="1" x14ac:dyDescent="0.3">
      <c r="A95" s="41" t="s">
        <v>378</v>
      </c>
      <c r="B95" s="83" t="str">
        <f>IF(SUM(B91,B94)=0,"",SUM(B94/SUM(B94,B91)))</f>
        <v/>
      </c>
      <c r="C95" s="84">
        <f t="shared" ref="C95:N95" si="29">IF(SUM(C91,C94)=0,"",SUM(C94/SUM(C94,C91)))</f>
        <v>0</v>
      </c>
      <c r="D95" s="84">
        <f t="shared" si="29"/>
        <v>0</v>
      </c>
      <c r="E95" s="84">
        <f t="shared" si="29"/>
        <v>0</v>
      </c>
      <c r="F95" s="84">
        <f t="shared" si="29"/>
        <v>0</v>
      </c>
      <c r="G95" s="84">
        <f t="shared" si="29"/>
        <v>0</v>
      </c>
      <c r="H95" s="84">
        <f t="shared" si="29"/>
        <v>0</v>
      </c>
      <c r="I95" s="84">
        <f t="shared" si="29"/>
        <v>0</v>
      </c>
      <c r="J95" s="84" t="str">
        <f t="shared" si="29"/>
        <v/>
      </c>
      <c r="K95" s="84" t="str">
        <f t="shared" si="29"/>
        <v/>
      </c>
      <c r="L95" s="84" t="str">
        <f t="shared" si="29"/>
        <v/>
      </c>
      <c r="M95" s="84" t="str">
        <f t="shared" si="29"/>
        <v/>
      </c>
      <c r="N95" s="85">
        <f t="shared" si="29"/>
        <v>0</v>
      </c>
    </row>
    <row r="96" spans="1:14" ht="31.5" customHeight="1" thickBot="1" x14ac:dyDescent="0.3">
      <c r="A96" s="93" t="s">
        <v>379</v>
      </c>
      <c r="B96" s="68">
        <f>SUM(COUNTIFS(Tabla1[AÑO PARTO],B4,Tabla1[MES PARTO],B6,Tabla1[SALE DEL PROGRAMA POR],"PARTO",Tabla1[LUGAR DE ATENCION DEL PARTO],"INSTITUCIONAL"),COUNTIFS(Tabla1[AÑO PARTO],B4,Tabla1[MES PARTO],B6,Tabla1[SALE DEL PROGRAMA POR],"CESAREA",Tabla1[LUGAR DE ATENCION DEL PARTO],"INSTITUCIONAL"))</f>
        <v>0</v>
      </c>
      <c r="C96" s="68">
        <f>SUM(COUNTIFS(Tabla1[AÑO PARTO],B4,Tabla1[MES PARTO],C6,Tabla1[SALE DEL PROGRAMA POR],"PARTO",Tabla1[LUGAR DE ATENCION DEL PARTO],"INSTITUCIONAL"),COUNTIFS(Tabla1[AÑO PARTO],B4,Tabla1[MES PARTO],C6,Tabla1[SALE DEL PROGRAMA POR],"CESAREA",Tabla1[LUGAR DE ATENCION DEL PARTO],"INSTITUCIONAL"))</f>
        <v>2</v>
      </c>
      <c r="D96" s="68">
        <f>SUM(COUNTIFS(Tabla1[AÑO PARTO],B4,Tabla1[MES PARTO],D6,Tabla1[SALE DEL PROGRAMA POR],"PARTO",Tabla1[LUGAR DE ATENCION DEL PARTO],"INSTITUCIONAL"),COUNTIFS(Tabla1[AÑO PARTO],B4,Tabla1[MES PARTO],D6,Tabla1[SALE DEL PROGRAMA POR],"CESAREA",Tabla1[LUGAR DE ATENCION DEL PARTO],"INSTITUCIONAL"))</f>
        <v>8</v>
      </c>
      <c r="E96" s="68">
        <f>SUM(COUNTIFS(Tabla1[AÑO PARTO],B4,Tabla1[MES PARTO],E6,Tabla1[SALE DEL PROGRAMA POR],"PARTO",Tabla1[LUGAR DE ATENCION DEL PARTO],"INSTITUCIONAL"),COUNTIFS(Tabla1[AÑO PARTO],B4,Tabla1[MES PARTO],E6,Tabla1[SALE DEL PROGRAMA POR],"CESAREA",Tabla1[LUGAR DE ATENCION DEL PARTO],"INSTITUCIONAL"))</f>
        <v>11</v>
      </c>
      <c r="F96" s="68">
        <f>SUM(COUNTIFS(Tabla1[AÑO PARTO],B4,Tabla1[MES PARTO],F6,Tabla1[SALE DEL PROGRAMA POR],"PARTO",Tabla1[LUGAR DE ATENCION DEL PARTO],"INSTITUCIONAL"),COUNTIFS(Tabla1[AÑO PARTO],B4,Tabla1[MES PARTO],F6,Tabla1[SALE DEL PROGRAMA POR],"CESAREA",Tabla1[LUGAR DE ATENCION DEL PARTO],"INSTITUCIONAL"))</f>
        <v>19</v>
      </c>
      <c r="G96" s="68">
        <f>SUM(COUNTIFS(Tabla1[AÑO PARTO],B4,Tabla1[MES PARTO],G6,Tabla1[SALE DEL PROGRAMA POR],"PARTO",Tabla1[LUGAR DE ATENCION DEL PARTO],"INSTITUCIONAL"),COUNTIFS(Tabla1[AÑO PARTO],B4,Tabla1[MES PARTO],G6,Tabla1[SALE DEL PROGRAMA POR],"CESAREA",Tabla1[LUGAR DE ATENCION DEL PARTO],"INSTITUCIONAL"))</f>
        <v>5</v>
      </c>
      <c r="H96" s="68">
        <f>SUM(COUNTIFS(Tabla1[AÑO PARTO],B4,Tabla1[MES PARTO],H6,Tabla1[SALE DEL PROGRAMA POR],"PARTO",Tabla1[LUGAR DE ATENCION DEL PARTO],"INSTITUCIONAL"),COUNTIFS(Tabla1[AÑO PARTO],B4,Tabla1[MES PARTO],H6,Tabla1[SALE DEL PROGRAMA POR],"CESAREA",Tabla1[LUGAR DE ATENCION DEL PARTO],"INSTITUCIONAL"))</f>
        <v>12</v>
      </c>
      <c r="I96" s="68">
        <f>SUM(COUNTIFS(Tabla1[AÑO PARTO],B4,Tabla1[MES PARTO],I6,Tabla1[SALE DEL PROGRAMA POR],"PARTO",Tabla1[LUGAR DE ATENCION DEL PARTO],"INSTITUCIONAL"),COUNTIFS(Tabla1[AÑO PARTO],B4,Tabla1[MES PARTO],I6,Tabla1[SALE DEL PROGRAMA POR],"CESAREA",Tabla1[LUGAR DE ATENCION DEL PARTO],"INSTITUCIONAL"))</f>
        <v>3</v>
      </c>
      <c r="J96" s="68">
        <f>SUM(COUNTIFS(Tabla1[AÑO PARTO],B4,Tabla1[MES PARTO],J6,Tabla1[SALE DEL PROGRAMA POR],"PARTO",Tabla1[LUGAR DE ATENCION DEL PARTO],"INSTITUCIONAL"),COUNTIFS(Tabla1[AÑO PARTO],B4,Tabla1[MES PARTO],J6,Tabla1[SALE DEL PROGRAMA POR],"CESAREA",Tabla1[LUGAR DE ATENCION DEL PARTO],"INSTITUCIONAL"))</f>
        <v>0</v>
      </c>
      <c r="K96" s="68">
        <f>SUM(COUNTIFS(Tabla1[AÑO PARTO],B4,Tabla1[MES PARTO],K6,Tabla1[SALE DEL PROGRAMA POR],"PARTO",Tabla1[LUGAR DE ATENCION DEL PARTO],"INSTITUCIONAL"),COUNTIFS(Tabla1[AÑO PARTO],B4,Tabla1[MES PARTO],K6,Tabla1[SALE DEL PROGRAMA POR],"CESAREA",Tabla1[LUGAR DE ATENCION DEL PARTO],"INSTITUCIONAL"))</f>
        <v>0</v>
      </c>
      <c r="L96" s="68">
        <f>SUM(COUNTIFS(Tabla1[AÑO PARTO],B4,Tabla1[MES PARTO],L6,Tabla1[SALE DEL PROGRAMA POR],"PARTO",Tabla1[LUGAR DE ATENCION DEL PARTO],"INSTITUCIONAL"),COUNTIFS(Tabla1[AÑO PARTO],B4,Tabla1[MES PARTO],L6,Tabla1[SALE DEL PROGRAMA POR],"CESAREA",Tabla1[LUGAR DE ATENCION DEL PARTO],"INSTITUCIONAL"))</f>
        <v>0</v>
      </c>
      <c r="M96" s="68">
        <f>SUM(COUNTIFS(Tabla1[AÑO PARTO],B4,Tabla1[MES PARTO],M6,Tabla1[SALE DEL PROGRAMA POR],"PARTO",Tabla1[LUGAR DE ATENCION DEL PARTO],"INSTITUCIONAL"),COUNTIFS(Tabla1[AÑO PARTO],B4,Tabla1[MES PARTO],M6,Tabla1[SALE DEL PROGRAMA POR],"CESAREA",Tabla1[LUGAR DE ATENCION DEL PARTO],"INSTITUCIONAL"))</f>
        <v>0</v>
      </c>
      <c r="N96" s="92">
        <f>SUM(B96:M96)</f>
        <v>60</v>
      </c>
    </row>
    <row r="97" spans="1:14 16384:16384" ht="31.5" customHeight="1" thickBot="1" x14ac:dyDescent="0.3">
      <c r="A97" s="41" t="s">
        <v>380</v>
      </c>
      <c r="B97" s="83" t="str">
        <f>IF(B91=0,"",SUM(B96/B91))</f>
        <v/>
      </c>
      <c r="C97" s="84">
        <f t="shared" ref="C97:N97" si="30">IF(C91=0,"",SUM(C96/C91))</f>
        <v>0.66666666666666663</v>
      </c>
      <c r="D97" s="84">
        <f t="shared" si="30"/>
        <v>0.66666666666666663</v>
      </c>
      <c r="E97" s="84">
        <f t="shared" si="30"/>
        <v>0.6470588235294118</v>
      </c>
      <c r="F97" s="84">
        <f t="shared" si="30"/>
        <v>0.61290322580645162</v>
      </c>
      <c r="G97" s="84">
        <f t="shared" si="30"/>
        <v>0.38461538461538464</v>
      </c>
      <c r="H97" s="84">
        <f t="shared" si="30"/>
        <v>0.8571428571428571</v>
      </c>
      <c r="I97" s="84">
        <f t="shared" si="30"/>
        <v>1</v>
      </c>
      <c r="J97" s="84" t="str">
        <f t="shared" si="30"/>
        <v/>
      </c>
      <c r="K97" s="84" t="str">
        <f t="shared" si="30"/>
        <v/>
      </c>
      <c r="L97" s="84" t="str">
        <f t="shared" si="30"/>
        <v/>
      </c>
      <c r="M97" s="84" t="str">
        <f t="shared" si="30"/>
        <v/>
      </c>
      <c r="N97" s="85">
        <f t="shared" si="30"/>
        <v>0.64516129032258063</v>
      </c>
    </row>
    <row r="98" spans="1:14 16384:16384" ht="31.5" customHeight="1" thickBot="1" x14ac:dyDescent="0.3">
      <c r="A98" s="93" t="s">
        <v>381</v>
      </c>
      <c r="B98" s="68">
        <f>COUNTIFS(Tabla1[AÑO PARTO],B4,Tabla1[MES PARTO],B6,Tabla1[SALE DEL PROGRAMA POR],"PARTO",Tabla1[LUGAR DE ATENCION DEL PARTO],"DOMICILIO")</f>
        <v>0</v>
      </c>
      <c r="C98" s="68">
        <f>COUNTIFS(Tabla1[AÑO PARTO],B4,Tabla1[MES PARTO],C6,Tabla1[SALE DEL PROGRAMA POR],"PARTO",Tabla1[LUGAR DE ATENCION DEL PARTO],"DOMICILIO")</f>
        <v>1</v>
      </c>
      <c r="D98" s="68">
        <f>COUNTIFS(Tabla1[AÑO PARTO],B4,Tabla1[MES PARTO],D6,Tabla1[SALE DEL PROGRAMA POR],"PARTO",Tabla1[LUGAR DE ATENCION DEL PARTO],"DOMICILIO")</f>
        <v>4</v>
      </c>
      <c r="E98" s="68">
        <f>COUNTIFS(Tabla1[AÑO PARTO],B4,Tabla1[MES PARTO],E6,Tabla1[SALE DEL PROGRAMA POR],"PARTO",Tabla1[LUGAR DE ATENCION DEL PARTO],"DOMICILIO")</f>
        <v>6</v>
      </c>
      <c r="F98" s="68">
        <f>COUNTIFS(Tabla1[AÑO PARTO],B4,Tabla1[MES PARTO],F6,Tabla1[SALE DEL PROGRAMA POR],"PARTO",Tabla1[LUGAR DE ATENCION DEL PARTO],"DOMICILIO")</f>
        <v>12</v>
      </c>
      <c r="G98" s="68">
        <f>COUNTIFS(Tabla1[AÑO PARTO],B4,Tabla1[MES PARTO],G6,Tabla1[SALE DEL PROGRAMA POR],"PARTO",Tabla1[LUGAR DE ATENCION DEL PARTO],"DOMICILIO")</f>
        <v>8</v>
      </c>
      <c r="H98" s="68">
        <f>COUNTIFS(Tabla1[AÑO PARTO],B4,Tabla1[MES PARTO],H6,Tabla1[SALE DEL PROGRAMA POR],"PARTO",Tabla1[LUGAR DE ATENCION DEL PARTO],"DOMICILIO")</f>
        <v>1</v>
      </c>
      <c r="I98" s="68">
        <f>COUNTIFS(Tabla1[AÑO PARTO],B4,Tabla1[MES PARTO],I6,Tabla1[SALE DEL PROGRAMA POR],"PARTO",Tabla1[LUGAR DE ATENCION DEL PARTO],"DOMICILIO")</f>
        <v>0</v>
      </c>
      <c r="J98" s="68">
        <f>COUNTIFS(Tabla1[AÑO PARTO],B4,Tabla1[MES PARTO],J6,Tabla1[SALE DEL PROGRAMA POR],"PARTO",Tabla1[LUGAR DE ATENCION DEL PARTO],"DOMICILIO")</f>
        <v>0</v>
      </c>
      <c r="K98" s="68">
        <f>COUNTIFS(Tabla1[AÑO PARTO],B4,Tabla1[MES PARTO],K6,Tabla1[SALE DEL PROGRAMA POR],"PARTO",Tabla1[LUGAR DE ATENCION DEL PARTO],"DOMICILIO")</f>
        <v>0</v>
      </c>
      <c r="L98" s="68">
        <f>COUNTIFS(Tabla1[AÑO PARTO],B4,Tabla1[MES PARTO],L6,Tabla1[SALE DEL PROGRAMA POR],"PARTO",Tabla1[LUGAR DE ATENCION DEL PARTO],"DOMICILIO")</f>
        <v>0</v>
      </c>
      <c r="M98" s="68">
        <f>COUNTIFS(Tabla1[AÑO PARTO],B4,Tabla1[MES PARTO],M6,Tabla1[SALE DEL PROGRAMA POR],"PARTO",Tabla1[LUGAR DE ATENCION DEL PARTO],"DOMICILIO")</f>
        <v>0</v>
      </c>
      <c r="N98" s="92">
        <f>SUM(B98:M98)</f>
        <v>32</v>
      </c>
    </row>
    <row r="99" spans="1:14 16384:16384" ht="31.5" customHeight="1" thickBot="1" x14ac:dyDescent="0.3">
      <c r="A99" s="71" t="s">
        <v>382</v>
      </c>
      <c r="B99" s="83" t="str">
        <f>IF(B$91=0,"",SUM(B98/B$91))</f>
        <v/>
      </c>
      <c r="C99" s="84">
        <f t="shared" ref="C99:N99" si="31">IF(C91=0,"",SUM(C98/C91))</f>
        <v>0.33333333333333331</v>
      </c>
      <c r="D99" s="84">
        <f t="shared" si="31"/>
        <v>0.33333333333333331</v>
      </c>
      <c r="E99" s="84">
        <f t="shared" si="31"/>
        <v>0.35294117647058826</v>
      </c>
      <c r="F99" s="84">
        <f t="shared" si="31"/>
        <v>0.38709677419354838</v>
      </c>
      <c r="G99" s="84">
        <f t="shared" si="31"/>
        <v>0.61538461538461542</v>
      </c>
      <c r="H99" s="84">
        <f t="shared" si="31"/>
        <v>7.1428571428571425E-2</v>
      </c>
      <c r="I99" s="84">
        <f t="shared" si="31"/>
        <v>0</v>
      </c>
      <c r="J99" s="84" t="str">
        <f t="shared" si="31"/>
        <v/>
      </c>
      <c r="K99" s="84" t="str">
        <f t="shared" si="31"/>
        <v/>
      </c>
      <c r="L99" s="84" t="str">
        <f t="shared" si="31"/>
        <v/>
      </c>
      <c r="M99" s="84" t="str">
        <f t="shared" si="31"/>
        <v/>
      </c>
      <c r="N99" s="85">
        <f t="shared" si="31"/>
        <v>0.34408602150537637</v>
      </c>
    </row>
    <row r="100" spans="1:14 16384:16384" ht="39.75" customHeight="1" thickBot="1" x14ac:dyDescent="0.3">
      <c r="A100" s="93" t="s">
        <v>383</v>
      </c>
      <c r="B100" s="68">
        <f>SUM(COUNTIFS(Tabla1[AÑO PARTO],B4,Tabla1[MES PARTO],B6,Tabla1[SALE DEL PROGRAMA POR],"PARTO",Tabla1[ADHERENCIA AL CPN],"SI"),COUNTIFS(Tabla1[AÑO PARTO],B4,Tabla1[MES PARTO],B6,Tabla1[SALE DEL PROGRAMA POR],"CESAREA",Tabla1[ADHERENCIA AL CPN],"SI"))</f>
        <v>0</v>
      </c>
      <c r="C100" s="68">
        <f>SUM(COUNTIFS(Tabla1[AÑO PARTO],B4,Tabla1[MES PARTO],C6,Tabla1[SALE DEL PROGRAMA POR],"PARTO",Tabla1[ADHERENCIA AL CPN],"SI"),COUNTIFS(Tabla1[AÑO PARTO],B4,Tabla1[MES PARTO],C6,Tabla1[SALE DEL PROGRAMA POR],"CESAREA",Tabla1[ADHERENCIA AL CPN],"SI"))</f>
        <v>1</v>
      </c>
      <c r="D100" s="68">
        <f>SUM(COUNTIFS(Tabla1[AÑO PARTO],B4,Tabla1[MES PARTO],D6,Tabla1[SALE DEL PROGRAMA POR],"PARTO",Tabla1[ADHERENCIA AL CPN],"SI"),COUNTIFS(Tabla1[AÑO PARTO],B4,Tabla1[MES PARTO],D6,Tabla1[SALE DEL PROGRAMA POR],"CESAREA",Tabla1[ADHERENCIA AL CPN],"SI"))</f>
        <v>7</v>
      </c>
      <c r="E100" s="68">
        <f>SUM(COUNTIFS(Tabla1[AÑO PARTO],B4,Tabla1[MES PARTO],E6,Tabla1[SALE DEL PROGRAMA POR],"PARTO",Tabla1[ADHERENCIA AL CPN],"SI"),COUNTIFS(Tabla1[AÑO PARTO],B4,Tabla1[MES PARTO],E6,Tabla1[SALE DEL PROGRAMA POR],"CESAREA",Tabla1[ADHERENCIA AL CPN],"SI"))</f>
        <v>7</v>
      </c>
      <c r="F100" s="68">
        <f>SUM(COUNTIFS(Tabla1[AÑO PARTO],B4,Tabla1[MES PARTO],F6,Tabla1[SALE DEL PROGRAMA POR],"PARTO",Tabla1[ADHERENCIA AL CPN],"SI"),COUNTIFS(Tabla1[AÑO PARTO],B4,Tabla1[MES PARTO],F6,Tabla1[SALE DEL PROGRAMA POR],"CESAREA",Tabla1[ADHERENCIA AL CPN],"SI"))</f>
        <v>21</v>
      </c>
      <c r="G100" s="68">
        <f>SUM(COUNTIFS(Tabla1[AÑO PARTO],B4,Tabla1[MES PARTO],G6,Tabla1[SALE DEL PROGRAMA POR],"PARTO",Tabla1[ADHERENCIA AL CPN],"SI"),COUNTIFS(Tabla1[AÑO PARTO],B4,Tabla1[MES PARTO],G6,Tabla1[SALE DEL PROGRAMA POR],"CESAREA",Tabla1[ADHERENCIA AL CPN],"SI"))</f>
        <v>10</v>
      </c>
      <c r="H100" s="68">
        <f>SUM(COUNTIFS(Tabla1[AÑO PARTO],B4,Tabla1[MES PARTO],H6,Tabla1[SALE DEL PROGRAMA POR],"PARTO",Tabla1[ADHERENCIA AL CPN],"SI"),COUNTIFS(Tabla1[AÑO PARTO],B4,Tabla1[MES PARTO],H6,Tabla1[SALE DEL PROGRAMA POR],"CESAREA",Tabla1[ADHERENCIA AL CPN],"SI"))</f>
        <v>9</v>
      </c>
      <c r="I100" s="68">
        <f>SUM(COUNTIFS(Tabla1[AÑO PARTO],B4,Tabla1[MES PARTO],I6,Tabla1[SALE DEL PROGRAMA POR],"PARTO",Tabla1[ADHERENCIA AL CPN],"SI"),COUNTIFS(Tabla1[AÑO PARTO],B4,Tabla1[MES PARTO],I6,Tabla1[SALE DEL PROGRAMA POR],"CESAREA",Tabla1[ADHERENCIA AL CPN],"SI"))</f>
        <v>2</v>
      </c>
      <c r="J100" s="68">
        <f>SUM(COUNTIFS(Tabla1[AÑO PARTO],B4,Tabla1[MES PARTO],J6,Tabla1[SALE DEL PROGRAMA POR],"PARTO",Tabla1[ADHERENCIA AL CPN],"SI"),COUNTIFS(Tabla1[AÑO PARTO],B4,Tabla1[MES PARTO],J6,Tabla1[SALE DEL PROGRAMA POR],"CESAREA",Tabla1[ADHERENCIA AL CPN],"SI"))</f>
        <v>0</v>
      </c>
      <c r="K100" s="68">
        <f>SUM(COUNTIFS(Tabla1[AÑO PARTO],B4,Tabla1[MES PARTO],K6,Tabla1[SALE DEL PROGRAMA POR],"PARTO",Tabla1[ADHERENCIA AL CPN],"SI"),COUNTIFS(Tabla1[AÑO PARTO],B4,Tabla1[MES PARTO],K6,Tabla1[SALE DEL PROGRAMA POR],"CESAREA",Tabla1[ADHERENCIA AL CPN],"SI"))</f>
        <v>0</v>
      </c>
      <c r="L100" s="68">
        <f>SUM(COUNTIFS(Tabla1[AÑO PARTO],B4,Tabla1[MES PARTO],L6,Tabla1[SALE DEL PROGRAMA POR],"PARTO",Tabla1[ADHERENCIA AL CPN],"SI"),COUNTIFS(Tabla1[AÑO PARTO],B4,Tabla1[MES PARTO],L6,Tabla1[SALE DEL PROGRAMA POR],"CESAREA",Tabla1[ADHERENCIA AL CPN],"SI"))</f>
        <v>0</v>
      </c>
      <c r="M100" s="68">
        <f>SUM(COUNTIFS(Tabla1[AÑO PARTO],B4,Tabla1[MES PARTO],M6,Tabla1[SALE DEL PROGRAMA POR],"PARTO",Tabla1[ADHERENCIA AL CPN],"SI"),COUNTIFS(Tabla1[AÑO PARTO],B4,Tabla1[MES PARTO],M6,Tabla1[SALE DEL PROGRAMA POR],"CESAREA",Tabla1[ADHERENCIA AL CPN],"SI"))</f>
        <v>0</v>
      </c>
      <c r="N100" s="92">
        <f>SUM(B100:M100)</f>
        <v>57</v>
      </c>
    </row>
    <row r="101" spans="1:14 16384:16384" ht="31.5" customHeight="1" thickBot="1" x14ac:dyDescent="0.3">
      <c r="A101" s="41" t="s">
        <v>384</v>
      </c>
      <c r="B101" s="83" t="str">
        <f>IF(B$91=0,"",SUM(B100/B$91))</f>
        <v/>
      </c>
      <c r="C101" s="84">
        <f t="shared" ref="C101:N101" si="32">IF(C$91=0,"",SUM(C100/C$91))</f>
        <v>0.33333333333333331</v>
      </c>
      <c r="D101" s="84">
        <f t="shared" si="32"/>
        <v>0.58333333333333337</v>
      </c>
      <c r="E101" s="84">
        <f t="shared" si="32"/>
        <v>0.41176470588235292</v>
      </c>
      <c r="F101" s="84">
        <f t="shared" si="32"/>
        <v>0.67741935483870963</v>
      </c>
      <c r="G101" s="84">
        <f t="shared" si="32"/>
        <v>0.76923076923076927</v>
      </c>
      <c r="H101" s="84">
        <f t="shared" si="32"/>
        <v>0.6428571428571429</v>
      </c>
      <c r="I101" s="84">
        <f t="shared" si="32"/>
        <v>0.66666666666666663</v>
      </c>
      <c r="J101" s="84" t="str">
        <f t="shared" si="32"/>
        <v/>
      </c>
      <c r="K101" s="84" t="str">
        <f t="shared" si="32"/>
        <v/>
      </c>
      <c r="L101" s="84" t="str">
        <f t="shared" si="32"/>
        <v/>
      </c>
      <c r="M101" s="84" t="str">
        <f t="shared" si="32"/>
        <v/>
      </c>
      <c r="N101" s="85">
        <f t="shared" si="32"/>
        <v>0.61290322580645162</v>
      </c>
    </row>
    <row r="102" spans="1:14 16384:16384" ht="31.5" customHeight="1" thickBot="1" x14ac:dyDescent="0.3">
      <c r="A102" s="93" t="s">
        <v>662</v>
      </c>
      <c r="B102" s="68">
        <f>COUNTIFS(Tabla1[AÑO PARTO],B4,Tabla1[MES PARTO],B6,Tabla1[SALE DEL PROGRAMA POR],"PARTO",Tabla1[NIVEL DE COMPLEJIDAD DE LA ATENCION DE LA INSTITUCION DONDE SE ATENDIO EL PARTO],"BAJA")</f>
        <v>0</v>
      </c>
      <c r="C102" s="68">
        <f>COUNTIFS(Tabla1[AÑO PARTO],B4,Tabla1[MES PARTO],C6,Tabla1[SALE DEL PROGRAMA POR],"PARTO",Tabla1[NIVEL DE COMPLEJIDAD DE LA ATENCION DE LA INSTITUCION DONDE SE ATENDIO EL PARTO],"BAJA")</f>
        <v>1</v>
      </c>
      <c r="D102" s="68">
        <f>COUNTIFS(Tabla1[AÑO PARTO],B4,Tabla1[MES PARTO],D6,Tabla1[SALE DEL PROGRAMA POR],"PARTO",Tabla1[NIVEL DE COMPLEJIDAD DE LA ATENCION DE LA INSTITUCION DONDE SE ATENDIO EL PARTO],"BAJA")</f>
        <v>1</v>
      </c>
      <c r="E102" s="68">
        <f>COUNTIFS(Tabla1[AÑO PARTO],B4,Tabla1[MES PARTO],E6,Tabla1[SALE DEL PROGRAMA POR],"PARTO",Tabla1[NIVEL DE COMPLEJIDAD DE LA ATENCION DE LA INSTITUCION DONDE SE ATENDIO EL PARTO],"BAJA")</f>
        <v>2</v>
      </c>
      <c r="F102" s="68">
        <f>COUNTIFS(Tabla1[AÑO PARTO],B4,Tabla1[MES PARTO],F6,Tabla1[SALE DEL PROGRAMA POR],"PARTO",Tabla1[NIVEL DE COMPLEJIDAD DE LA ATENCION DE LA INSTITUCION DONDE SE ATENDIO EL PARTO],"BAJA")</f>
        <v>4</v>
      </c>
      <c r="G102" s="68">
        <f>COUNTIFS(Tabla1[AÑO PARTO],B4,Tabla1[MES PARTO],G6,Tabla1[SALE DEL PROGRAMA POR],"PARTO",Tabla1[NIVEL DE COMPLEJIDAD DE LA ATENCION DE LA INSTITUCION DONDE SE ATENDIO EL PARTO],"BAJA")</f>
        <v>0</v>
      </c>
      <c r="H102" s="68">
        <f>COUNTIFS(Tabla1[AÑO PARTO],B4,Tabla1[MES PARTO],H6,Tabla1[SALE DEL PROGRAMA POR],"PARTO",Tabla1[NIVEL DE COMPLEJIDAD DE LA ATENCION DE LA INSTITUCION DONDE SE ATENDIO EL PARTO],"BAJA")</f>
        <v>3</v>
      </c>
      <c r="I102" s="68">
        <f>COUNTIFS(Tabla1[AÑO PARTO],B4,Tabla1[MES PARTO],I6,Tabla1[SALE DEL PROGRAMA POR],"PARTO",Tabla1[NIVEL DE COMPLEJIDAD DE LA ATENCION DE LA INSTITUCION DONDE SE ATENDIO EL PARTO],"BAJA")</f>
        <v>0</v>
      </c>
      <c r="J102" s="68">
        <f>COUNTIFS(Tabla1[AÑO PARTO],B4,Tabla1[MES PARTO],J6,Tabla1[SALE DEL PROGRAMA POR],"PARTO",Tabla1[NIVEL DE COMPLEJIDAD DE LA ATENCION DE LA INSTITUCION DONDE SE ATENDIO EL PARTO],"BAJA")</f>
        <v>0</v>
      </c>
      <c r="K102" s="68">
        <f>COUNTIFS(Tabla1[AÑO PARTO],B4,Tabla1[MES PARTO],K6,Tabla1[SALE DEL PROGRAMA POR],"PARTO",Tabla1[NIVEL DE COMPLEJIDAD DE LA ATENCION DE LA INSTITUCION DONDE SE ATENDIO EL PARTO],"BAJA")</f>
        <v>0</v>
      </c>
      <c r="L102" s="68">
        <f>COUNTIFS(Tabla1[AÑO PARTO],B4,Tabla1[MES PARTO],L6,Tabla1[SALE DEL PROGRAMA POR],"PARTO",Tabla1[NIVEL DE COMPLEJIDAD DE LA ATENCION DE LA INSTITUCION DONDE SE ATENDIO EL PARTO],"BAJA")</f>
        <v>0</v>
      </c>
      <c r="M102" s="68">
        <f>COUNTIFS(Tabla1[AÑO PARTO],B4,Tabla1[MES PARTO],M6,Tabla1[SALE DEL PROGRAMA POR],"PARTO",Tabla1[NIVEL DE COMPLEJIDAD DE LA ATENCION DE LA INSTITUCION DONDE SE ATENDIO EL PARTO],"BAJA")</f>
        <v>0</v>
      </c>
      <c r="N102" s="92">
        <f>SUM(B102:M102)</f>
        <v>11</v>
      </c>
    </row>
    <row r="103" spans="1:14 16384:16384" ht="42.75" customHeight="1" x14ac:dyDescent="0.25">
      <c r="A103" s="150" t="s">
        <v>663</v>
      </c>
      <c r="B103" s="128" t="str">
        <f>IF(B$91=0,"",SUM(B102/B$91))</f>
        <v/>
      </c>
      <c r="C103" s="129">
        <f t="shared" ref="C103:N103" si="33">IF(C$91=0,"",SUM(C102/C$91))</f>
        <v>0.33333333333333331</v>
      </c>
      <c r="D103" s="129">
        <f t="shared" si="33"/>
        <v>8.3333333333333329E-2</v>
      </c>
      <c r="E103" s="129">
        <f t="shared" si="33"/>
        <v>0.11764705882352941</v>
      </c>
      <c r="F103" s="129">
        <f t="shared" si="33"/>
        <v>0.12903225806451613</v>
      </c>
      <c r="G103" s="129">
        <f t="shared" si="33"/>
        <v>0</v>
      </c>
      <c r="H103" s="129">
        <f t="shared" si="33"/>
        <v>0.21428571428571427</v>
      </c>
      <c r="I103" s="129">
        <f t="shared" si="33"/>
        <v>0</v>
      </c>
      <c r="J103" s="129" t="str">
        <f t="shared" si="33"/>
        <v/>
      </c>
      <c r="K103" s="129" t="str">
        <f t="shared" si="33"/>
        <v/>
      </c>
      <c r="L103" s="129" t="str">
        <f t="shared" si="33"/>
        <v/>
      </c>
      <c r="M103" s="129" t="str">
        <f t="shared" si="33"/>
        <v/>
      </c>
      <c r="N103" s="130">
        <f t="shared" si="33"/>
        <v>0.11827956989247312</v>
      </c>
    </row>
    <row r="104" spans="1:14 16384:16384" ht="44.25" customHeight="1" thickBot="1" x14ac:dyDescent="0.3">
      <c r="A104" s="88" t="s">
        <v>731</v>
      </c>
      <c r="B104" s="142">
        <f>COUNTIFS(Tabla1[AÑO PARTO],$B$4,Tabla1[MES PARTO],B6,Tabla1[SALE DEL PROGRAMA POR],"PARTO",Tabla1[INICIO DE LACTANCIA MATERNA DURANTE EL CONTACTO PIEL A PIEL O EN LA PRIMERA HORA DE VIDA],"SI",Tabla1[NIVEL DE COMPLEJIDAD DE LA ATENCION DE LA INSTITUCION DONDE SE ATENDIO EL PARTO],"BAJA")</f>
        <v>0</v>
      </c>
      <c r="C104" s="142">
        <f>COUNTIFS(Tabla1[AÑO PARTO],$B$4,Tabla1[MES PARTO],C6,Tabla1[SALE DEL PROGRAMA POR],"PARTO",Tabla1[INICIO DE LACTANCIA MATERNA DURANTE EL CONTACTO PIEL A PIEL O EN LA PRIMERA HORA DE VIDA],"SI",Tabla1[NIVEL DE COMPLEJIDAD DE LA ATENCION DE LA INSTITUCION DONDE SE ATENDIO EL PARTO],"BAJA")</f>
        <v>0</v>
      </c>
      <c r="D104" s="142">
        <f>COUNTIFS(Tabla1[AÑO PARTO],$B$4,Tabla1[MES PARTO],D6,Tabla1[SALE DEL PROGRAMA POR],"PARTO",Tabla1[INICIO DE LACTANCIA MATERNA DURANTE EL CONTACTO PIEL A PIEL O EN LA PRIMERA HORA DE VIDA],"SI",Tabla1[NIVEL DE COMPLEJIDAD DE LA ATENCION DE LA INSTITUCION DONDE SE ATENDIO EL PARTO],"BAJA")</f>
        <v>0</v>
      </c>
      <c r="E104" s="142">
        <f>COUNTIFS(Tabla1[AÑO PARTO],$B$4,Tabla1[MES PARTO],E6,Tabla1[SALE DEL PROGRAMA POR],"PARTO",Tabla1[INICIO DE LACTANCIA MATERNA DURANTE EL CONTACTO PIEL A PIEL O EN LA PRIMERA HORA DE VIDA],"SI",Tabla1[NIVEL DE COMPLEJIDAD DE LA ATENCION DE LA INSTITUCION DONDE SE ATENDIO EL PARTO],"BAJA")</f>
        <v>0</v>
      </c>
      <c r="F104" s="142">
        <f>COUNTIFS(Tabla1[AÑO PARTO],$B$4,Tabla1[MES PARTO],F6,Tabla1[SALE DEL PROGRAMA POR],"PARTO",Tabla1[INICIO DE LACTANCIA MATERNA DURANTE EL CONTACTO PIEL A PIEL O EN LA PRIMERA HORA DE VIDA],"SI",Tabla1[NIVEL DE COMPLEJIDAD DE LA ATENCION DE LA INSTITUCION DONDE SE ATENDIO EL PARTO],"BAJA")</f>
        <v>0</v>
      </c>
      <c r="G104" s="142">
        <f>COUNTIFS(Tabla1[AÑO PARTO],$B$4,Tabla1[MES PARTO],G6,Tabla1[SALE DEL PROGRAMA POR],"PARTO",Tabla1[INICIO DE LACTANCIA MATERNA DURANTE EL CONTACTO PIEL A PIEL O EN LA PRIMERA HORA DE VIDA],"SI",Tabla1[NIVEL DE COMPLEJIDAD DE LA ATENCION DE LA INSTITUCION DONDE SE ATENDIO EL PARTO],"BAJA")</f>
        <v>0</v>
      </c>
      <c r="H104" s="142">
        <f>COUNTIFS(Tabla1[AÑO PARTO],$B$4,Tabla1[MES PARTO],H6,Tabla1[SALE DEL PROGRAMA POR],"PARTO",Tabla1[INICIO DE LACTANCIA MATERNA DURANTE EL CONTACTO PIEL A PIEL O EN LA PRIMERA HORA DE VIDA],"SI",Tabla1[NIVEL DE COMPLEJIDAD DE LA ATENCION DE LA INSTITUCION DONDE SE ATENDIO EL PARTO],"BAJA")</f>
        <v>0</v>
      </c>
      <c r="I104" s="142">
        <f>COUNTIFS(Tabla1[AÑO PARTO],$B$4,Tabla1[MES PARTO],I6,Tabla1[SALE DEL PROGRAMA POR],"PARTO",Tabla1[INICIO DE LACTANCIA MATERNA DURANTE EL CONTACTO PIEL A PIEL O EN LA PRIMERA HORA DE VIDA],"SI",Tabla1[NIVEL DE COMPLEJIDAD DE LA ATENCION DE LA INSTITUCION DONDE SE ATENDIO EL PARTO],"BAJA")</f>
        <v>0</v>
      </c>
      <c r="J104" s="142">
        <f>COUNTIFS(Tabla1[AÑO PARTO],$B$4,Tabla1[MES PARTO],J6,Tabla1[SALE DEL PROGRAMA POR],"PARTO",Tabla1[INICIO DE LACTANCIA MATERNA DURANTE EL CONTACTO PIEL A PIEL O EN LA PRIMERA HORA DE VIDA],"SI",Tabla1[NIVEL DE COMPLEJIDAD DE LA ATENCION DE LA INSTITUCION DONDE SE ATENDIO EL PARTO],"BAJA")</f>
        <v>0</v>
      </c>
      <c r="K104" s="142">
        <f>COUNTIFS(Tabla1[AÑO PARTO],$B$4,Tabla1[MES PARTO],K6,Tabla1[SALE DEL PROGRAMA POR],"PARTO",Tabla1[INICIO DE LACTANCIA MATERNA DURANTE EL CONTACTO PIEL A PIEL O EN LA PRIMERA HORA DE VIDA],"SI",Tabla1[NIVEL DE COMPLEJIDAD DE LA ATENCION DE LA INSTITUCION DONDE SE ATENDIO EL PARTO],"BAJA")</f>
        <v>0</v>
      </c>
      <c r="L104" s="142">
        <f>COUNTIFS(Tabla1[AÑO PARTO],$B$4,Tabla1[MES PARTO],L6,Tabla1[SALE DEL PROGRAMA POR],"PARTO",Tabla1[INICIO DE LACTANCIA MATERNA DURANTE EL CONTACTO PIEL A PIEL O EN LA PRIMERA HORA DE VIDA],"SI",Tabla1[NIVEL DE COMPLEJIDAD DE LA ATENCION DE LA INSTITUCION DONDE SE ATENDIO EL PARTO],"BAJA")</f>
        <v>0</v>
      </c>
      <c r="M104" s="142">
        <f>COUNTIFS(Tabla1[AÑO PARTO],$B$4,Tabla1[MES PARTO],M6,Tabla1[SALE DEL PROGRAMA POR],"PARTO",Tabla1[INICIO DE LACTANCIA MATERNA DURANTE EL CONTACTO PIEL A PIEL O EN LA PRIMERA HORA DE VIDA],"SI",Tabla1[NIVEL DE COMPLEJIDAD DE LA ATENCION DE LA INSTITUCION DONDE SE ATENDIO EL PARTO],"BAJA")</f>
        <v>0</v>
      </c>
      <c r="N104" s="82">
        <f>SUM(B104:M104)</f>
        <v>0</v>
      </c>
    </row>
    <row r="105" spans="1:14 16384:16384" ht="48.75" customHeight="1" thickBot="1" x14ac:dyDescent="0.3">
      <c r="A105" s="136" t="s">
        <v>734</v>
      </c>
      <c r="B105" s="83" t="str">
        <f>IF(B$102=0,"",SUM(B104/B$102))</f>
        <v/>
      </c>
      <c r="C105" s="84">
        <f>IF(C$102=0,"",SUM(C104/C$102))</f>
        <v>0</v>
      </c>
      <c r="D105" s="84">
        <f>IF(D$102=0,"",SUM(D104/D$102))</f>
        <v>0</v>
      </c>
      <c r="E105" s="84">
        <f>IF(E$102=0,"",SUM(E104/E$102))</f>
        <v>0</v>
      </c>
      <c r="F105" s="84">
        <f>IF(F$102=0,"",SUM(F104/F$102))</f>
        <v>0</v>
      </c>
      <c r="G105" s="84" t="str">
        <f>IF(G$102=0,"",SUM(G104/G$102))</f>
        <v/>
      </c>
      <c r="H105" s="84">
        <f>IF(H$102=0,"",SUM(H104/H$102))</f>
        <v>0</v>
      </c>
      <c r="I105" s="84" t="str">
        <f>IF(I$102=0,"",SUM(I104/I$102))</f>
        <v/>
      </c>
      <c r="J105" s="84" t="str">
        <f>IF(J$102=0,"",SUM(J104/J$102))</f>
        <v/>
      </c>
      <c r="K105" s="84" t="str">
        <f>IF(K$102=0,"",SUM(K104/K$102))</f>
        <v/>
      </c>
      <c r="L105" s="84" t="str">
        <f>IF(L$102=0,"",SUM(L104/L$102))</f>
        <v/>
      </c>
      <c r="M105" s="84" t="str">
        <f>IF(M$102=0,"",SUM(M104/M$102))</f>
        <v/>
      </c>
      <c r="N105" s="85">
        <f>IF(N$102=0,"",SUM(N104/N$102))</f>
        <v>0</v>
      </c>
      <c r="XFD105" s="83" t="str">
        <f>IF(XFD$102=0,"",SUM(XFD104/XFD$102))</f>
        <v/>
      </c>
    </row>
    <row r="106" spans="1:14 16384:16384" ht="42.75" customHeight="1" x14ac:dyDescent="0.25">
      <c r="A106" s="53" t="s">
        <v>732</v>
      </c>
      <c r="B106" s="142">
        <f>SUM(COUNTIFS(Tabla1[AÑO PARTO],$B$4,Tabla1[MES PARTO],B6,Tabla1[NIVEL DE COMPLEJIDAD DE LA ATENCION DE LA INSTITUCION DONDE SE ATENDIO EL PARTO],"MEDIANA",Tabla1[SALE DEL PROGRAMA POR],"PARTO",Tabla1[INICIO DE LACTANCIA MATERNA DURANTE EL CONTACTO PIEL A PIEL O EN LA PRIMERA HORA DE VIDA],"SI"),COUNTIFS(Tabla1[AÑO PARTO],$B$4,Tabla1[MES PARTO],B6,Tabla1[NIVEL DE COMPLEJIDAD DE LA ATENCION DE LA INSTITUCION DONDE SE ATENDIO EL PARTO],"MEDIANA",Tabla1[SALE DEL PROGRAMA POR],"CESAREA",Tabla1[INICIO DE LACTANCIA MATERNA DURANTE EL CONTACTO PIEL A PIEL O EN LA PRIMERA HORA DE VIDA],"SI"),COUNTIFS(Tabla1[AÑO PARTO],$B$4,Tabla1[MES PARTO],B6,Tabla1[NIVEL DE COMPLEJIDAD DE LA ATENCION DE LA INSTITUCION DONDE SE ATENDIO EL PARTO],"ALTA",Tabla1[SALE DEL PROGRAMA POR],"PARTO",Tabla1[INICIO DE LACTANCIA MATERNA DURANTE EL CONTACTO PIEL A PIEL O EN LA PRIMERA HORA DE VIDA],"SI"),COUNTIFS(Tabla1[AÑO PARTO],$B$4,Tabla1[MES PARTO],B6,Tabla1[NIVEL DE COMPLEJIDAD DE LA ATENCION DE LA INSTITUCION DONDE SE ATENDIO EL PARTO],"ALTA",Tabla1[SALE DEL PROGRAMA POR],"CESAREA",Tabla1[INICIO DE LACTANCIA MATERNA DURANTE EL CONTACTO PIEL A PIEL O EN LA PRIMERA HORA DE VIDA],"SI"))</f>
        <v>0</v>
      </c>
      <c r="C106" s="142">
        <f>SUM(COUNTIFS(Tabla1[AÑO PARTO],$B$4,Tabla1[MES PARTO],C6,Tabla1[NIVEL DE COMPLEJIDAD DE LA ATENCION DE LA INSTITUCION DONDE SE ATENDIO EL PARTO],"MEDIANA",Tabla1[SALE DEL PROGRAMA POR],"PARTO",Tabla1[INICIO DE LACTANCIA MATERNA DURANTE EL CONTACTO PIEL A PIEL O EN LA PRIMERA HORA DE VIDA],"SI"),COUNTIFS(Tabla1[AÑO PARTO],$B$4,Tabla1[MES PARTO],C6,Tabla1[NIVEL DE COMPLEJIDAD DE LA ATENCION DE LA INSTITUCION DONDE SE ATENDIO EL PARTO],"MEDIANA",Tabla1[SALE DEL PROGRAMA POR],"CESAREA",Tabla1[INICIO DE LACTANCIA MATERNA DURANTE EL CONTACTO PIEL A PIEL O EN LA PRIMERA HORA DE VIDA],"SI"),COUNTIFS(Tabla1[AÑO PARTO],$B$4,Tabla1[MES PARTO],C6,Tabla1[NIVEL DE COMPLEJIDAD DE LA ATENCION DE LA INSTITUCION DONDE SE ATENDIO EL PARTO],"ALTA",Tabla1[SALE DEL PROGRAMA POR],"PARTO",Tabla1[INICIO DE LACTANCIA MATERNA DURANTE EL CONTACTO PIEL A PIEL O EN LA PRIMERA HORA DE VIDA],"SI"),COUNTIFS(Tabla1[AÑO PARTO],$B$4,Tabla1[MES PARTO],C6,Tabla1[NIVEL DE COMPLEJIDAD DE LA ATENCION DE LA INSTITUCION DONDE SE ATENDIO EL PARTO],"ALTA",Tabla1[SALE DEL PROGRAMA POR],"CESAREA",Tabla1[INICIO DE LACTANCIA MATERNA DURANTE EL CONTACTO PIEL A PIEL O EN LA PRIMERA HORA DE VIDA],"SI"))</f>
        <v>0</v>
      </c>
      <c r="D106" s="142">
        <f>SUM(COUNTIFS(Tabla1[AÑO PARTO],$B$4,Tabla1[MES PARTO],D6,Tabla1[NIVEL DE COMPLEJIDAD DE LA ATENCION DE LA INSTITUCION DONDE SE ATENDIO EL PARTO],"MEDIANA",Tabla1[SALE DEL PROGRAMA POR],"PARTO",Tabla1[INICIO DE LACTANCIA MATERNA DURANTE EL CONTACTO PIEL A PIEL O EN LA PRIMERA HORA DE VIDA],"SI"),COUNTIFS(Tabla1[AÑO PARTO],$B$4,Tabla1[MES PARTO],D6,Tabla1[NIVEL DE COMPLEJIDAD DE LA ATENCION DE LA INSTITUCION DONDE SE ATENDIO EL PARTO],"MEDIANA",Tabla1[SALE DEL PROGRAMA POR],"CESAREA",Tabla1[INICIO DE LACTANCIA MATERNA DURANTE EL CONTACTO PIEL A PIEL O EN LA PRIMERA HORA DE VIDA],"SI"),COUNTIFS(Tabla1[AÑO PARTO],$B$4,Tabla1[MES PARTO],D6,Tabla1[NIVEL DE COMPLEJIDAD DE LA ATENCION DE LA INSTITUCION DONDE SE ATENDIO EL PARTO],"ALTA",Tabla1[SALE DEL PROGRAMA POR],"PARTO",Tabla1[INICIO DE LACTANCIA MATERNA DURANTE EL CONTACTO PIEL A PIEL O EN LA PRIMERA HORA DE VIDA],"SI"),COUNTIFS(Tabla1[AÑO PARTO],$B$4,Tabla1[MES PARTO],D6,Tabla1[NIVEL DE COMPLEJIDAD DE LA ATENCION DE LA INSTITUCION DONDE SE ATENDIO EL PARTO],"ALTA",Tabla1[SALE DEL PROGRAMA POR],"CESAREA",Tabla1[INICIO DE LACTANCIA MATERNA DURANTE EL CONTACTO PIEL A PIEL O EN LA PRIMERA HORA DE VIDA],"SI"))</f>
        <v>0</v>
      </c>
      <c r="E106" s="142">
        <f>SUM(COUNTIFS(Tabla1[AÑO PARTO],$B$4,Tabla1[MES PARTO],E6,Tabla1[NIVEL DE COMPLEJIDAD DE LA ATENCION DE LA INSTITUCION DONDE SE ATENDIO EL PARTO],"MEDIANA",Tabla1[SALE DEL PROGRAMA POR],"PARTO",Tabla1[INICIO DE LACTANCIA MATERNA DURANTE EL CONTACTO PIEL A PIEL O EN LA PRIMERA HORA DE VIDA],"SI"),COUNTIFS(Tabla1[AÑO PARTO],$B$4,Tabla1[MES PARTO],E6,Tabla1[NIVEL DE COMPLEJIDAD DE LA ATENCION DE LA INSTITUCION DONDE SE ATENDIO EL PARTO],"MEDIANA",Tabla1[SALE DEL PROGRAMA POR],"CESAREA",Tabla1[INICIO DE LACTANCIA MATERNA DURANTE EL CONTACTO PIEL A PIEL O EN LA PRIMERA HORA DE VIDA],"SI"),COUNTIFS(Tabla1[AÑO PARTO],$B$4,Tabla1[MES PARTO],E6,Tabla1[NIVEL DE COMPLEJIDAD DE LA ATENCION DE LA INSTITUCION DONDE SE ATENDIO EL PARTO],"ALTA",Tabla1[SALE DEL PROGRAMA POR],"PARTO",Tabla1[INICIO DE LACTANCIA MATERNA DURANTE EL CONTACTO PIEL A PIEL O EN LA PRIMERA HORA DE VIDA],"SI"),COUNTIFS(Tabla1[AÑO PARTO],$B$4,Tabla1[MES PARTO],E6,Tabla1[NIVEL DE COMPLEJIDAD DE LA ATENCION DE LA INSTITUCION DONDE SE ATENDIO EL PARTO],"ALTA",Tabla1[SALE DEL PROGRAMA POR],"CESAREA",Tabla1[INICIO DE LACTANCIA MATERNA DURANTE EL CONTACTO PIEL A PIEL O EN LA PRIMERA HORA DE VIDA],"SI"))</f>
        <v>0</v>
      </c>
      <c r="F106" s="142">
        <f>SUM(COUNTIFS(Tabla1[AÑO PARTO],$B$4,Tabla1[MES PARTO],F6,Tabla1[NIVEL DE COMPLEJIDAD DE LA ATENCION DE LA INSTITUCION DONDE SE ATENDIO EL PARTO],"MEDIANA",Tabla1[SALE DEL PROGRAMA POR],"PARTO",Tabla1[INICIO DE LACTANCIA MATERNA DURANTE EL CONTACTO PIEL A PIEL O EN LA PRIMERA HORA DE VIDA],"SI"),COUNTIFS(Tabla1[AÑO PARTO],$B$4,Tabla1[MES PARTO],F6,Tabla1[NIVEL DE COMPLEJIDAD DE LA ATENCION DE LA INSTITUCION DONDE SE ATENDIO EL PARTO],"MEDIANA",Tabla1[SALE DEL PROGRAMA POR],"CESAREA",Tabla1[INICIO DE LACTANCIA MATERNA DURANTE EL CONTACTO PIEL A PIEL O EN LA PRIMERA HORA DE VIDA],"SI"),COUNTIFS(Tabla1[AÑO PARTO],$B$4,Tabla1[MES PARTO],F6,Tabla1[NIVEL DE COMPLEJIDAD DE LA ATENCION DE LA INSTITUCION DONDE SE ATENDIO EL PARTO],"ALTA",Tabla1[SALE DEL PROGRAMA POR],"PARTO",Tabla1[INICIO DE LACTANCIA MATERNA DURANTE EL CONTACTO PIEL A PIEL O EN LA PRIMERA HORA DE VIDA],"SI"),COUNTIFS(Tabla1[AÑO PARTO],$B$4,Tabla1[MES PARTO],F6,Tabla1[NIVEL DE COMPLEJIDAD DE LA ATENCION DE LA INSTITUCION DONDE SE ATENDIO EL PARTO],"ALTA",Tabla1[SALE DEL PROGRAMA POR],"CESAREA",Tabla1[INICIO DE LACTANCIA MATERNA DURANTE EL CONTACTO PIEL A PIEL O EN LA PRIMERA HORA DE VIDA],"SI"))</f>
        <v>0</v>
      </c>
      <c r="G106" s="142">
        <f>SUM(COUNTIFS(Tabla1[AÑO PARTO],$B$4,Tabla1[MES PARTO],G6,Tabla1[NIVEL DE COMPLEJIDAD DE LA ATENCION DE LA INSTITUCION DONDE SE ATENDIO EL PARTO],"MEDIANA",Tabla1[SALE DEL PROGRAMA POR],"PARTO",Tabla1[INICIO DE LACTANCIA MATERNA DURANTE EL CONTACTO PIEL A PIEL O EN LA PRIMERA HORA DE VIDA],"SI"),COUNTIFS(Tabla1[AÑO PARTO],$B$4,Tabla1[MES PARTO],G6,Tabla1[NIVEL DE COMPLEJIDAD DE LA ATENCION DE LA INSTITUCION DONDE SE ATENDIO EL PARTO],"MEDIANA",Tabla1[SALE DEL PROGRAMA POR],"CESAREA",Tabla1[INICIO DE LACTANCIA MATERNA DURANTE EL CONTACTO PIEL A PIEL O EN LA PRIMERA HORA DE VIDA],"SI"),COUNTIFS(Tabla1[AÑO PARTO],$B$4,Tabla1[MES PARTO],G6,Tabla1[NIVEL DE COMPLEJIDAD DE LA ATENCION DE LA INSTITUCION DONDE SE ATENDIO EL PARTO],"ALTA",Tabla1[SALE DEL PROGRAMA POR],"PARTO",Tabla1[INICIO DE LACTANCIA MATERNA DURANTE EL CONTACTO PIEL A PIEL O EN LA PRIMERA HORA DE VIDA],"SI"),COUNTIFS(Tabla1[AÑO PARTO],$B$4,Tabla1[MES PARTO],G6,Tabla1[NIVEL DE COMPLEJIDAD DE LA ATENCION DE LA INSTITUCION DONDE SE ATENDIO EL PARTO],"ALTA",Tabla1[SALE DEL PROGRAMA POR],"CESAREA",Tabla1[INICIO DE LACTANCIA MATERNA DURANTE EL CONTACTO PIEL A PIEL O EN LA PRIMERA HORA DE VIDA],"SI"))</f>
        <v>0</v>
      </c>
      <c r="H106" s="142">
        <f>SUM(COUNTIFS(Tabla1[AÑO PARTO],$B$4,Tabla1[MES PARTO],H6,Tabla1[NIVEL DE COMPLEJIDAD DE LA ATENCION DE LA INSTITUCION DONDE SE ATENDIO EL PARTO],"MEDIANA",Tabla1[SALE DEL PROGRAMA POR],"PARTO",Tabla1[INICIO DE LACTANCIA MATERNA DURANTE EL CONTACTO PIEL A PIEL O EN LA PRIMERA HORA DE VIDA],"SI"),COUNTIFS(Tabla1[AÑO PARTO],$B$4,Tabla1[MES PARTO],H6,Tabla1[NIVEL DE COMPLEJIDAD DE LA ATENCION DE LA INSTITUCION DONDE SE ATENDIO EL PARTO],"MEDIANA",Tabla1[SALE DEL PROGRAMA POR],"CESAREA",Tabla1[INICIO DE LACTANCIA MATERNA DURANTE EL CONTACTO PIEL A PIEL O EN LA PRIMERA HORA DE VIDA],"SI"),COUNTIFS(Tabla1[AÑO PARTO],$B$4,Tabla1[MES PARTO],H6,Tabla1[NIVEL DE COMPLEJIDAD DE LA ATENCION DE LA INSTITUCION DONDE SE ATENDIO EL PARTO],"ALTA",Tabla1[SALE DEL PROGRAMA POR],"PARTO",Tabla1[INICIO DE LACTANCIA MATERNA DURANTE EL CONTACTO PIEL A PIEL O EN LA PRIMERA HORA DE VIDA],"SI"),COUNTIFS(Tabla1[AÑO PARTO],$B$4,Tabla1[MES PARTO],H6,Tabla1[NIVEL DE COMPLEJIDAD DE LA ATENCION DE LA INSTITUCION DONDE SE ATENDIO EL PARTO],"ALTA",Tabla1[SALE DEL PROGRAMA POR],"CESAREA",Tabla1[INICIO DE LACTANCIA MATERNA DURANTE EL CONTACTO PIEL A PIEL O EN LA PRIMERA HORA DE VIDA],"SI"))</f>
        <v>0</v>
      </c>
      <c r="I106" s="142">
        <f>SUM(COUNTIFS(Tabla1[AÑO PARTO],$B$4,Tabla1[MES PARTO],I6,Tabla1[NIVEL DE COMPLEJIDAD DE LA ATENCION DE LA INSTITUCION DONDE SE ATENDIO EL PARTO],"MEDIANA",Tabla1[SALE DEL PROGRAMA POR],"PARTO",Tabla1[INICIO DE LACTANCIA MATERNA DURANTE EL CONTACTO PIEL A PIEL O EN LA PRIMERA HORA DE VIDA],"SI"),COUNTIFS(Tabla1[AÑO PARTO],$B$4,Tabla1[MES PARTO],I6,Tabla1[NIVEL DE COMPLEJIDAD DE LA ATENCION DE LA INSTITUCION DONDE SE ATENDIO EL PARTO],"MEDIANA",Tabla1[SALE DEL PROGRAMA POR],"CESAREA",Tabla1[INICIO DE LACTANCIA MATERNA DURANTE EL CONTACTO PIEL A PIEL O EN LA PRIMERA HORA DE VIDA],"SI"),COUNTIFS(Tabla1[AÑO PARTO],$B$4,Tabla1[MES PARTO],I6,Tabla1[NIVEL DE COMPLEJIDAD DE LA ATENCION DE LA INSTITUCION DONDE SE ATENDIO EL PARTO],"ALTA",Tabla1[SALE DEL PROGRAMA POR],"PARTO",Tabla1[INICIO DE LACTANCIA MATERNA DURANTE EL CONTACTO PIEL A PIEL O EN LA PRIMERA HORA DE VIDA],"SI"),COUNTIFS(Tabla1[AÑO PARTO],$B$4,Tabla1[MES PARTO],I6,Tabla1[NIVEL DE COMPLEJIDAD DE LA ATENCION DE LA INSTITUCION DONDE SE ATENDIO EL PARTO],"ALTA",Tabla1[SALE DEL PROGRAMA POR],"CESAREA",Tabla1[INICIO DE LACTANCIA MATERNA DURANTE EL CONTACTO PIEL A PIEL O EN LA PRIMERA HORA DE VIDA],"SI"))</f>
        <v>0</v>
      </c>
      <c r="J106" s="142">
        <f>SUM(COUNTIFS(Tabla1[AÑO PARTO],$B$4,Tabla1[MES PARTO],J6,Tabla1[NIVEL DE COMPLEJIDAD DE LA ATENCION DE LA INSTITUCION DONDE SE ATENDIO EL PARTO],"MEDIANA",Tabla1[SALE DEL PROGRAMA POR],"PARTO",Tabla1[INICIO DE LACTANCIA MATERNA DURANTE EL CONTACTO PIEL A PIEL O EN LA PRIMERA HORA DE VIDA],"SI"),COUNTIFS(Tabla1[AÑO PARTO],$B$4,Tabla1[MES PARTO],J6,Tabla1[NIVEL DE COMPLEJIDAD DE LA ATENCION DE LA INSTITUCION DONDE SE ATENDIO EL PARTO],"MEDIANA",Tabla1[SALE DEL PROGRAMA POR],"CESAREA",Tabla1[INICIO DE LACTANCIA MATERNA DURANTE EL CONTACTO PIEL A PIEL O EN LA PRIMERA HORA DE VIDA],"SI"),COUNTIFS(Tabla1[AÑO PARTO],$B$4,Tabla1[MES PARTO],J6,Tabla1[NIVEL DE COMPLEJIDAD DE LA ATENCION DE LA INSTITUCION DONDE SE ATENDIO EL PARTO],"ALTA",Tabla1[SALE DEL PROGRAMA POR],"PARTO",Tabla1[INICIO DE LACTANCIA MATERNA DURANTE EL CONTACTO PIEL A PIEL O EN LA PRIMERA HORA DE VIDA],"SI"),COUNTIFS(Tabla1[AÑO PARTO],$B$4,Tabla1[MES PARTO],J6,Tabla1[NIVEL DE COMPLEJIDAD DE LA ATENCION DE LA INSTITUCION DONDE SE ATENDIO EL PARTO],"ALTA",Tabla1[SALE DEL PROGRAMA POR],"CESAREA",Tabla1[INICIO DE LACTANCIA MATERNA DURANTE EL CONTACTO PIEL A PIEL O EN LA PRIMERA HORA DE VIDA],"SI"))</f>
        <v>0</v>
      </c>
      <c r="K106" s="142">
        <f>SUM(COUNTIFS(Tabla1[AÑO PARTO],$B$4,Tabla1[MES PARTO],K6,Tabla1[NIVEL DE COMPLEJIDAD DE LA ATENCION DE LA INSTITUCION DONDE SE ATENDIO EL PARTO],"MEDIANA",Tabla1[SALE DEL PROGRAMA POR],"PARTO",Tabla1[INICIO DE LACTANCIA MATERNA DURANTE EL CONTACTO PIEL A PIEL O EN LA PRIMERA HORA DE VIDA],"SI"),COUNTIFS(Tabla1[AÑO PARTO],$B$4,Tabla1[MES PARTO],K6,Tabla1[NIVEL DE COMPLEJIDAD DE LA ATENCION DE LA INSTITUCION DONDE SE ATENDIO EL PARTO],"MEDIANA",Tabla1[SALE DEL PROGRAMA POR],"CESAREA",Tabla1[INICIO DE LACTANCIA MATERNA DURANTE EL CONTACTO PIEL A PIEL O EN LA PRIMERA HORA DE VIDA],"SI"),COUNTIFS(Tabla1[AÑO PARTO],$B$4,Tabla1[MES PARTO],K6,Tabla1[NIVEL DE COMPLEJIDAD DE LA ATENCION DE LA INSTITUCION DONDE SE ATENDIO EL PARTO],"ALTA",Tabla1[SALE DEL PROGRAMA POR],"PARTO",Tabla1[INICIO DE LACTANCIA MATERNA DURANTE EL CONTACTO PIEL A PIEL O EN LA PRIMERA HORA DE VIDA],"SI"),COUNTIFS(Tabla1[AÑO PARTO],$B$4,Tabla1[MES PARTO],K6,Tabla1[NIVEL DE COMPLEJIDAD DE LA ATENCION DE LA INSTITUCION DONDE SE ATENDIO EL PARTO],"ALTA",Tabla1[SALE DEL PROGRAMA POR],"CESAREA",Tabla1[INICIO DE LACTANCIA MATERNA DURANTE EL CONTACTO PIEL A PIEL O EN LA PRIMERA HORA DE VIDA],"SI"))</f>
        <v>0</v>
      </c>
      <c r="L106" s="142">
        <f>SUM(COUNTIFS(Tabla1[AÑO PARTO],$B$4,Tabla1[MES PARTO],L6,Tabla1[NIVEL DE COMPLEJIDAD DE LA ATENCION DE LA INSTITUCION DONDE SE ATENDIO EL PARTO],"MEDIANA",Tabla1[SALE DEL PROGRAMA POR],"PARTO",Tabla1[INICIO DE LACTANCIA MATERNA DURANTE EL CONTACTO PIEL A PIEL O EN LA PRIMERA HORA DE VIDA],"SI"),COUNTIFS(Tabla1[AÑO PARTO],$B$4,Tabla1[MES PARTO],L6,Tabla1[NIVEL DE COMPLEJIDAD DE LA ATENCION DE LA INSTITUCION DONDE SE ATENDIO EL PARTO],"MEDIANA",Tabla1[SALE DEL PROGRAMA POR],"CESAREA",Tabla1[INICIO DE LACTANCIA MATERNA DURANTE EL CONTACTO PIEL A PIEL O EN LA PRIMERA HORA DE VIDA],"SI"),COUNTIFS(Tabla1[AÑO PARTO],$B$4,Tabla1[MES PARTO],L6,Tabla1[NIVEL DE COMPLEJIDAD DE LA ATENCION DE LA INSTITUCION DONDE SE ATENDIO EL PARTO],"ALTA",Tabla1[SALE DEL PROGRAMA POR],"PARTO",Tabla1[INICIO DE LACTANCIA MATERNA DURANTE EL CONTACTO PIEL A PIEL O EN LA PRIMERA HORA DE VIDA],"SI"),COUNTIFS(Tabla1[AÑO PARTO],$B$4,Tabla1[MES PARTO],L6,Tabla1[NIVEL DE COMPLEJIDAD DE LA ATENCION DE LA INSTITUCION DONDE SE ATENDIO EL PARTO],"ALTA",Tabla1[SALE DEL PROGRAMA POR],"CESAREA",Tabla1[INICIO DE LACTANCIA MATERNA DURANTE EL CONTACTO PIEL A PIEL O EN LA PRIMERA HORA DE VIDA],"SI"))</f>
        <v>0</v>
      </c>
      <c r="M106" s="142">
        <f>SUM(COUNTIFS(Tabla1[AÑO PARTO],$B$4,Tabla1[MES PARTO],M6,Tabla1[NIVEL DE COMPLEJIDAD DE LA ATENCION DE LA INSTITUCION DONDE SE ATENDIO EL PARTO],"MEDIANA",Tabla1[SALE DEL PROGRAMA POR],"PARTO",Tabla1[INICIO DE LACTANCIA MATERNA DURANTE EL CONTACTO PIEL A PIEL O EN LA PRIMERA HORA DE VIDA],"SI"),COUNTIFS(Tabla1[AÑO PARTO],$B$4,Tabla1[MES PARTO],M6,Tabla1[NIVEL DE COMPLEJIDAD DE LA ATENCION DE LA INSTITUCION DONDE SE ATENDIO EL PARTO],"MEDIANA",Tabla1[SALE DEL PROGRAMA POR],"CESAREA",Tabla1[INICIO DE LACTANCIA MATERNA DURANTE EL CONTACTO PIEL A PIEL O EN LA PRIMERA HORA DE VIDA],"SI"),COUNTIFS(Tabla1[AÑO PARTO],$B$4,Tabla1[MES PARTO],M6,Tabla1[NIVEL DE COMPLEJIDAD DE LA ATENCION DE LA INSTITUCION DONDE SE ATENDIO EL PARTO],"ALTA",Tabla1[SALE DEL PROGRAMA POR],"PARTO",Tabla1[INICIO DE LACTANCIA MATERNA DURANTE EL CONTACTO PIEL A PIEL O EN LA PRIMERA HORA DE VIDA],"SI"),COUNTIFS(Tabla1[AÑO PARTO],$B$4,Tabla1[MES PARTO],M6,Tabla1[NIVEL DE COMPLEJIDAD DE LA ATENCION DE LA INSTITUCION DONDE SE ATENDIO EL PARTO],"ALTA",Tabla1[SALE DEL PROGRAMA POR],"CESAREA",Tabla1[INICIO DE LACTANCIA MATERNA DURANTE EL CONTACTO PIEL A PIEL O EN LA PRIMERA HORA DE VIDA],"SI"))</f>
        <v>0</v>
      </c>
      <c r="N106" s="82">
        <f>SUM(B106:M106)</f>
        <v>0</v>
      </c>
    </row>
    <row r="107" spans="1:14 16384:16384" ht="42.75" customHeight="1" thickBot="1" x14ac:dyDescent="0.3">
      <c r="A107" s="162" t="s">
        <v>694</v>
      </c>
      <c r="B107" s="142">
        <f>SUM(COUNTIFS(Tabla1[AÑO PARTO],$B$4,Tabla1[MES PARTO],B6,Tabla1[NIVEL DE COMPLEJIDAD DE LA ATENCION DE LA INSTITUCION DONDE SE ATENDIO EL PARTO],"MEDIANA",Tabla1[SALE DEL PROGRAMA POR],"PARTO"),COUNTIFS(Tabla1[AÑO PARTO],$B$4,Tabla1[MES PARTO],B6,Tabla1[NIVEL DE COMPLEJIDAD DE LA ATENCION DE LA INSTITUCION DONDE SE ATENDIO EL PARTO],"MEDIANA",Tabla1[SALE DEL PROGRAMA POR],"CESAREA"),COUNTIFS(Tabla1[AÑO PARTO],$B$4,Tabla1[MES PARTO],B6,Tabla1[NIVEL DE COMPLEJIDAD DE LA ATENCION DE LA INSTITUCION DONDE SE ATENDIO EL PARTO],"ALTA",Tabla1[SALE DEL PROGRAMA POR],"PARTO"),COUNTIFS(Tabla1[AÑO PARTO],$B$4,Tabla1[MES PARTO],B6,Tabla1[NIVEL DE COMPLEJIDAD DE LA ATENCION DE LA INSTITUCION DONDE SE ATENDIO EL PARTO],"ALTA",Tabla1[SALE DEL PROGRAMA POR],"CESAREA"))</f>
        <v>0</v>
      </c>
      <c r="C107" s="142">
        <f>SUM(COUNTIFS(Tabla1[AÑO PARTO],$B$4,Tabla1[MES PARTO],C6,Tabla1[NIVEL DE COMPLEJIDAD DE LA ATENCION DE LA INSTITUCION DONDE SE ATENDIO EL PARTO],"MEDIANA",Tabla1[SALE DEL PROGRAMA POR],"PARTO"),COUNTIFS(Tabla1[AÑO PARTO],$B$4,Tabla1[MES PARTO],C6,Tabla1[NIVEL DE COMPLEJIDAD DE LA ATENCION DE LA INSTITUCION DONDE SE ATENDIO EL PARTO],"MEDIANA",Tabla1[SALE DEL PROGRAMA POR],"CESAREA"),COUNTIFS(Tabla1[AÑO PARTO],$B$4,Tabla1[MES PARTO],C6,Tabla1[NIVEL DE COMPLEJIDAD DE LA ATENCION DE LA INSTITUCION DONDE SE ATENDIO EL PARTO],"ALTA",Tabla1[SALE DEL PROGRAMA POR],"PARTO"),COUNTIFS(Tabla1[AÑO PARTO],$B$4,Tabla1[MES PARTO],C6,Tabla1[NIVEL DE COMPLEJIDAD DE LA ATENCION DE LA INSTITUCION DONDE SE ATENDIO EL PARTO],"ALTA",Tabla1[SALE DEL PROGRAMA POR],"CESAREA"))</f>
        <v>1</v>
      </c>
      <c r="D107" s="142">
        <f>SUM(COUNTIFS(Tabla1[AÑO PARTO],$B$4,Tabla1[MES PARTO],D6,Tabla1[NIVEL DE COMPLEJIDAD DE LA ATENCION DE LA INSTITUCION DONDE SE ATENDIO EL PARTO],"MEDIANA",Tabla1[SALE DEL PROGRAMA POR],"PARTO"),COUNTIFS(Tabla1[AÑO PARTO],$B$4,Tabla1[MES PARTO],D6,Tabla1[NIVEL DE COMPLEJIDAD DE LA ATENCION DE LA INSTITUCION DONDE SE ATENDIO EL PARTO],"MEDIANA",Tabla1[SALE DEL PROGRAMA POR],"CESAREA"),COUNTIFS(Tabla1[AÑO PARTO],$B$4,Tabla1[MES PARTO],D6,Tabla1[NIVEL DE COMPLEJIDAD DE LA ATENCION DE LA INSTITUCION DONDE SE ATENDIO EL PARTO],"ALTA",Tabla1[SALE DEL PROGRAMA POR],"PARTO"),COUNTIFS(Tabla1[AÑO PARTO],$B$4,Tabla1[MES PARTO],D6,Tabla1[NIVEL DE COMPLEJIDAD DE LA ATENCION DE LA INSTITUCION DONDE SE ATENDIO EL PARTO],"ALTA",Tabla1[SALE DEL PROGRAMA POR],"CESAREA"))</f>
        <v>7</v>
      </c>
      <c r="E107" s="142">
        <f>SUM(COUNTIFS(Tabla1[AÑO PARTO],$B$4,Tabla1[MES PARTO],E6,Tabla1[NIVEL DE COMPLEJIDAD DE LA ATENCION DE LA INSTITUCION DONDE SE ATENDIO EL PARTO],"MEDIANA",Tabla1[SALE DEL PROGRAMA POR],"PARTO"),COUNTIFS(Tabla1[AÑO PARTO],$B$4,Tabla1[MES PARTO],E6,Tabla1[NIVEL DE COMPLEJIDAD DE LA ATENCION DE LA INSTITUCION DONDE SE ATENDIO EL PARTO],"MEDIANA",Tabla1[SALE DEL PROGRAMA POR],"CESAREA"),COUNTIFS(Tabla1[AÑO PARTO],$B$4,Tabla1[MES PARTO],E6,Tabla1[NIVEL DE COMPLEJIDAD DE LA ATENCION DE LA INSTITUCION DONDE SE ATENDIO EL PARTO],"ALTA",Tabla1[SALE DEL PROGRAMA POR],"PARTO"),COUNTIFS(Tabla1[AÑO PARTO],$B$4,Tabla1[MES PARTO],E6,Tabla1[NIVEL DE COMPLEJIDAD DE LA ATENCION DE LA INSTITUCION DONDE SE ATENDIO EL PARTO],"ALTA",Tabla1[SALE DEL PROGRAMA POR],"CESAREA"))</f>
        <v>9</v>
      </c>
      <c r="F107" s="142">
        <f>SUM(COUNTIFS(Tabla1[AÑO PARTO],$B$4,Tabla1[MES PARTO],F6,Tabla1[NIVEL DE COMPLEJIDAD DE LA ATENCION DE LA INSTITUCION DONDE SE ATENDIO EL PARTO],"MEDIANA",Tabla1[SALE DEL PROGRAMA POR],"PARTO"),COUNTIFS(Tabla1[AÑO PARTO],$B$4,Tabla1[MES PARTO],F6,Tabla1[NIVEL DE COMPLEJIDAD DE LA ATENCION DE LA INSTITUCION DONDE SE ATENDIO EL PARTO],"MEDIANA",Tabla1[SALE DEL PROGRAMA POR],"CESAREA"),COUNTIFS(Tabla1[AÑO PARTO],$B$4,Tabla1[MES PARTO],F6,Tabla1[NIVEL DE COMPLEJIDAD DE LA ATENCION DE LA INSTITUCION DONDE SE ATENDIO EL PARTO],"ALTA",Tabla1[SALE DEL PROGRAMA POR],"PARTO"),COUNTIFS(Tabla1[AÑO PARTO],$B$4,Tabla1[MES PARTO],F6,Tabla1[NIVEL DE COMPLEJIDAD DE LA ATENCION DE LA INSTITUCION DONDE SE ATENDIO EL PARTO],"ALTA",Tabla1[SALE DEL PROGRAMA POR],"CESAREA"))</f>
        <v>15</v>
      </c>
      <c r="G107" s="142">
        <f>SUM(COUNTIFS(Tabla1[AÑO PARTO],$B$4,Tabla1[MES PARTO],G6,Tabla1[NIVEL DE COMPLEJIDAD DE LA ATENCION DE LA INSTITUCION DONDE SE ATENDIO EL PARTO],"MEDIANA",Tabla1[SALE DEL PROGRAMA POR],"PARTO"),COUNTIFS(Tabla1[AÑO PARTO],$B$4,Tabla1[MES PARTO],G6,Tabla1[NIVEL DE COMPLEJIDAD DE LA ATENCION DE LA INSTITUCION DONDE SE ATENDIO EL PARTO],"MEDIANA",Tabla1[SALE DEL PROGRAMA POR],"CESAREA"),COUNTIFS(Tabla1[AÑO PARTO],$B$4,Tabla1[MES PARTO],G6,Tabla1[NIVEL DE COMPLEJIDAD DE LA ATENCION DE LA INSTITUCION DONDE SE ATENDIO EL PARTO],"ALTA",Tabla1[SALE DEL PROGRAMA POR],"PARTO"),COUNTIFS(Tabla1[AÑO PARTO],$B$4,Tabla1[MES PARTO],G6,Tabla1[NIVEL DE COMPLEJIDAD DE LA ATENCION DE LA INSTITUCION DONDE SE ATENDIO EL PARTO],"ALTA",Tabla1[SALE DEL PROGRAMA POR],"CESAREA"))</f>
        <v>5</v>
      </c>
      <c r="H107" s="142">
        <f>SUM(COUNTIFS(Tabla1[AÑO PARTO],$B$4,Tabla1[MES PARTO],H6,Tabla1[NIVEL DE COMPLEJIDAD DE LA ATENCION DE LA INSTITUCION DONDE SE ATENDIO EL PARTO],"MEDIANA",Tabla1[SALE DEL PROGRAMA POR],"PARTO"),COUNTIFS(Tabla1[AÑO PARTO],$B$4,Tabla1[MES PARTO],H6,Tabla1[NIVEL DE COMPLEJIDAD DE LA ATENCION DE LA INSTITUCION DONDE SE ATENDIO EL PARTO],"MEDIANA",Tabla1[SALE DEL PROGRAMA POR],"CESAREA"),COUNTIFS(Tabla1[AÑO PARTO],$B$4,Tabla1[MES PARTO],H6,Tabla1[NIVEL DE COMPLEJIDAD DE LA ATENCION DE LA INSTITUCION DONDE SE ATENDIO EL PARTO],"ALTA",Tabla1[SALE DEL PROGRAMA POR],"PARTO"),COUNTIFS(Tabla1[AÑO PARTO],$B$4,Tabla1[MES PARTO],H6,Tabla1[NIVEL DE COMPLEJIDAD DE LA ATENCION DE LA INSTITUCION DONDE SE ATENDIO EL PARTO],"ALTA",Tabla1[SALE DEL PROGRAMA POR],"CESAREA"))</f>
        <v>10</v>
      </c>
      <c r="I107" s="142">
        <f>SUM(COUNTIFS(Tabla1[AÑO PARTO],$B$4,Tabla1[MES PARTO],I6,Tabla1[NIVEL DE COMPLEJIDAD DE LA ATENCION DE LA INSTITUCION DONDE SE ATENDIO EL PARTO],"MEDIANA",Tabla1[SALE DEL PROGRAMA POR],"PARTO"),COUNTIFS(Tabla1[AÑO PARTO],$B$4,Tabla1[MES PARTO],I6,Tabla1[NIVEL DE COMPLEJIDAD DE LA ATENCION DE LA INSTITUCION DONDE SE ATENDIO EL PARTO],"MEDIANA",Tabla1[SALE DEL PROGRAMA POR],"CESAREA"),COUNTIFS(Tabla1[AÑO PARTO],$B$4,Tabla1[MES PARTO],I6,Tabla1[NIVEL DE COMPLEJIDAD DE LA ATENCION DE LA INSTITUCION DONDE SE ATENDIO EL PARTO],"ALTA",Tabla1[SALE DEL PROGRAMA POR],"PARTO"),COUNTIFS(Tabla1[AÑO PARTO],$B$4,Tabla1[MES PARTO],I6,Tabla1[NIVEL DE COMPLEJIDAD DE LA ATENCION DE LA INSTITUCION DONDE SE ATENDIO EL PARTO],"ALTA",Tabla1[SALE DEL PROGRAMA POR],"CESAREA"))</f>
        <v>3</v>
      </c>
      <c r="J107" s="142">
        <f>SUM(COUNTIFS(Tabla1[AÑO PARTO],$B$4,Tabla1[MES PARTO],J6,Tabla1[NIVEL DE COMPLEJIDAD DE LA ATENCION DE LA INSTITUCION DONDE SE ATENDIO EL PARTO],"MEDIANA",Tabla1[SALE DEL PROGRAMA POR],"PARTO"),COUNTIFS(Tabla1[AÑO PARTO],$B$4,Tabla1[MES PARTO],J6,Tabla1[NIVEL DE COMPLEJIDAD DE LA ATENCION DE LA INSTITUCION DONDE SE ATENDIO EL PARTO],"MEDIANA",Tabla1[SALE DEL PROGRAMA POR],"CESAREA"),COUNTIFS(Tabla1[AÑO PARTO],$B$4,Tabla1[MES PARTO],J6,Tabla1[NIVEL DE COMPLEJIDAD DE LA ATENCION DE LA INSTITUCION DONDE SE ATENDIO EL PARTO],"ALTA",Tabla1[SALE DEL PROGRAMA POR],"PARTO"),COUNTIFS(Tabla1[AÑO PARTO],$B$4,Tabla1[MES PARTO],J6,Tabla1[NIVEL DE COMPLEJIDAD DE LA ATENCION DE LA INSTITUCION DONDE SE ATENDIO EL PARTO],"ALTA",Tabla1[SALE DEL PROGRAMA POR],"CESAREA"))</f>
        <v>0</v>
      </c>
      <c r="K107" s="142">
        <f>SUM(COUNTIFS(Tabla1[AÑO PARTO],$B$4,Tabla1[MES PARTO],K6,Tabla1[NIVEL DE COMPLEJIDAD DE LA ATENCION DE LA INSTITUCION DONDE SE ATENDIO EL PARTO],"MEDIANA",Tabla1[SALE DEL PROGRAMA POR],"PARTO"),COUNTIFS(Tabla1[AÑO PARTO],$B$4,Tabla1[MES PARTO],K6,Tabla1[NIVEL DE COMPLEJIDAD DE LA ATENCION DE LA INSTITUCION DONDE SE ATENDIO EL PARTO],"MEDIANA",Tabla1[SALE DEL PROGRAMA POR],"CESAREA"),COUNTIFS(Tabla1[AÑO PARTO],$B$4,Tabla1[MES PARTO],K6,Tabla1[NIVEL DE COMPLEJIDAD DE LA ATENCION DE LA INSTITUCION DONDE SE ATENDIO EL PARTO],"ALTA",Tabla1[SALE DEL PROGRAMA POR],"PARTO"),COUNTIFS(Tabla1[AÑO PARTO],$B$4,Tabla1[MES PARTO],K6,Tabla1[NIVEL DE COMPLEJIDAD DE LA ATENCION DE LA INSTITUCION DONDE SE ATENDIO EL PARTO],"ALTA",Tabla1[SALE DEL PROGRAMA POR],"CESAREA"))</f>
        <v>0</v>
      </c>
      <c r="L107" s="142">
        <f>SUM(COUNTIFS(Tabla1[AÑO PARTO],$B$4,Tabla1[MES PARTO],L6,Tabla1[NIVEL DE COMPLEJIDAD DE LA ATENCION DE LA INSTITUCION DONDE SE ATENDIO EL PARTO],"MEDIANA",Tabla1[SALE DEL PROGRAMA POR],"PARTO"),COUNTIFS(Tabla1[AÑO PARTO],$B$4,Tabla1[MES PARTO],L6,Tabla1[NIVEL DE COMPLEJIDAD DE LA ATENCION DE LA INSTITUCION DONDE SE ATENDIO EL PARTO],"MEDIANA",Tabla1[SALE DEL PROGRAMA POR],"CESAREA"),COUNTIFS(Tabla1[AÑO PARTO],$B$4,Tabla1[MES PARTO],L6,Tabla1[NIVEL DE COMPLEJIDAD DE LA ATENCION DE LA INSTITUCION DONDE SE ATENDIO EL PARTO],"ALTA",Tabla1[SALE DEL PROGRAMA POR],"PARTO"),COUNTIFS(Tabla1[AÑO PARTO],$B$4,Tabla1[MES PARTO],L6,Tabla1[NIVEL DE COMPLEJIDAD DE LA ATENCION DE LA INSTITUCION DONDE SE ATENDIO EL PARTO],"ALTA",Tabla1[SALE DEL PROGRAMA POR],"CESAREA"))</f>
        <v>0</v>
      </c>
      <c r="M107" s="142">
        <f>SUM(COUNTIFS(Tabla1[AÑO PARTO],$B$4,Tabla1[MES PARTO],M6,Tabla1[NIVEL DE COMPLEJIDAD DE LA ATENCION DE LA INSTITUCION DONDE SE ATENDIO EL PARTO],"MEDIANA",Tabla1[SALE DEL PROGRAMA POR],"PARTO"),COUNTIFS(Tabla1[AÑO PARTO],$B$4,Tabla1[MES PARTO],M6,Tabla1[NIVEL DE COMPLEJIDAD DE LA ATENCION DE LA INSTITUCION DONDE SE ATENDIO EL PARTO],"MEDIANA",Tabla1[SALE DEL PROGRAMA POR],"CESAREA"),COUNTIFS(Tabla1[AÑO PARTO],$B$4,Tabla1[MES PARTO],M6,Tabla1[NIVEL DE COMPLEJIDAD DE LA ATENCION DE LA INSTITUCION DONDE SE ATENDIO EL PARTO],"ALTA",Tabla1[SALE DEL PROGRAMA POR],"PARTO"),COUNTIFS(Tabla1[AÑO PARTO],$B$4,Tabla1[MES PARTO],M6,Tabla1[NIVEL DE COMPLEJIDAD DE LA ATENCION DE LA INSTITUCION DONDE SE ATENDIO EL PARTO],"ALTA",Tabla1[SALE DEL PROGRAMA POR],"CESAREA"))</f>
        <v>0</v>
      </c>
      <c r="N107" s="82">
        <f>SUM(B107:M107)</f>
        <v>50</v>
      </c>
    </row>
    <row r="108" spans="1:14 16384:16384" ht="54" customHeight="1" thickBot="1" x14ac:dyDescent="0.3">
      <c r="A108" s="153" t="s">
        <v>733</v>
      </c>
      <c r="B108" s="83" t="str">
        <f>IF(B107=0,"",SUM(B106/B107))</f>
        <v/>
      </c>
      <c r="C108" s="84">
        <f>IF(C$107=0,"",SUM(C106/C$107))</f>
        <v>0</v>
      </c>
      <c r="D108" s="84">
        <f>IF(D$107=0,"",SUM(D106/D$107))</f>
        <v>0</v>
      </c>
      <c r="E108" s="84">
        <f>IF(E$107=0,"",SUM(E106/E$107))</f>
        <v>0</v>
      </c>
      <c r="F108" s="84">
        <f>IF(F$107=0,"",SUM(F106/F$107))</f>
        <v>0</v>
      </c>
      <c r="G108" s="84">
        <f>IF(G$107=0,"",SUM(G106/G$107))</f>
        <v>0</v>
      </c>
      <c r="H108" s="84">
        <f>IF(H$107=0,"",SUM(H106/H$107))</f>
        <v>0</v>
      </c>
      <c r="I108" s="84">
        <f>IF(I$107=0,"",SUM(I106/I$107))</f>
        <v>0</v>
      </c>
      <c r="J108" s="84" t="str">
        <f>IF(J$107=0,"",SUM(J106/J$107))</f>
        <v/>
      </c>
      <c r="K108" s="84" t="str">
        <f>IF(K$107=0,"",SUM(K106/K$107))</f>
        <v/>
      </c>
      <c r="L108" s="84" t="str">
        <f>IF(L$107=0,"",SUM(L106/L$107))</f>
        <v/>
      </c>
      <c r="M108" s="84" t="str">
        <f>IF(M$107=0,"",SUM(M106/M$107))</f>
        <v/>
      </c>
      <c r="N108" s="85">
        <f>IF(N$107=0,"",SUM(N106/N$107))</f>
        <v>0</v>
      </c>
      <c r="XFD108" s="83"/>
    </row>
    <row r="109" spans="1:14 16384:16384" ht="30" customHeight="1" x14ac:dyDescent="0.25">
      <c r="A109" s="53" t="s">
        <v>683</v>
      </c>
      <c r="B109" s="142">
        <f>COUNTIFS(Tabla1[AÑO PARTO],$B$4,Tabla1[MES PARTO],B6,Tabla1[SALE DEL PROGRAMA POR],"PARTO",Tabla1[DILIGENCIAMIENTO DE PARTOGRAMA (NO APLICA EN EXPULSIVO)],"SI",Tabla1[NIVEL DE COMPLEJIDAD DE LA ATENCION DE LA INSTITUCION DONDE SE ATENDIO EL PARTO],"BAJA")</f>
        <v>0</v>
      </c>
      <c r="C109" s="142">
        <f>COUNTIFS(Tabla1[AÑO PARTO],$B$4,Tabla1[MES PARTO],C6,Tabla1[SALE DEL PROGRAMA POR],"PARTO",Tabla1[DILIGENCIAMIENTO DE PARTOGRAMA (NO APLICA EN EXPULSIVO)],"SI",Tabla1[NIVEL DE COMPLEJIDAD DE LA ATENCION DE LA INSTITUCION DONDE SE ATENDIO EL PARTO],"BAJA")</f>
        <v>0</v>
      </c>
      <c r="D109" s="142">
        <f>COUNTIFS(Tabla1[AÑO PARTO],$B$4,Tabla1[MES PARTO],D6,Tabla1[SALE DEL PROGRAMA POR],"PARTO",Tabla1[DILIGENCIAMIENTO DE PARTOGRAMA (NO APLICA EN EXPULSIVO)],"SI",Tabla1[NIVEL DE COMPLEJIDAD DE LA ATENCION DE LA INSTITUCION DONDE SE ATENDIO EL PARTO],"BAJA")</f>
        <v>0</v>
      </c>
      <c r="E109" s="142">
        <f>COUNTIFS(Tabla1[AÑO PARTO],$B$4,Tabla1[MES PARTO],E6,Tabla1[SALE DEL PROGRAMA POR],"PARTO",Tabla1[DILIGENCIAMIENTO DE PARTOGRAMA (NO APLICA EN EXPULSIVO)],"SI",Tabla1[NIVEL DE COMPLEJIDAD DE LA ATENCION DE LA INSTITUCION DONDE SE ATENDIO EL PARTO],"BAJA")</f>
        <v>0</v>
      </c>
      <c r="F109" s="142">
        <f>COUNTIFS(Tabla1[AÑO PARTO],$B$4,Tabla1[MES PARTO],F6,Tabla1[SALE DEL PROGRAMA POR],"PARTO",Tabla1[DILIGENCIAMIENTO DE PARTOGRAMA (NO APLICA EN EXPULSIVO)],"SI",Tabla1[NIVEL DE COMPLEJIDAD DE LA ATENCION DE LA INSTITUCION DONDE SE ATENDIO EL PARTO],"BAJA")</f>
        <v>0</v>
      </c>
      <c r="G109" s="142">
        <f>COUNTIFS(Tabla1[AÑO PARTO],$B$4,Tabla1[MES PARTO],G6,Tabla1[SALE DEL PROGRAMA POR],"PARTO",Tabla1[DILIGENCIAMIENTO DE PARTOGRAMA (NO APLICA EN EXPULSIVO)],"SI",Tabla1[NIVEL DE COMPLEJIDAD DE LA ATENCION DE LA INSTITUCION DONDE SE ATENDIO EL PARTO],"BAJA")</f>
        <v>0</v>
      </c>
      <c r="H109" s="142">
        <f>COUNTIFS(Tabla1[AÑO PARTO],$B$4,Tabla1[MES PARTO],H6,Tabla1[SALE DEL PROGRAMA POR],"PARTO",Tabla1[DILIGENCIAMIENTO DE PARTOGRAMA (NO APLICA EN EXPULSIVO)],"SI",Tabla1[NIVEL DE COMPLEJIDAD DE LA ATENCION DE LA INSTITUCION DONDE SE ATENDIO EL PARTO],"BAJA")</f>
        <v>0</v>
      </c>
      <c r="I109" s="142">
        <f>COUNTIFS(Tabla1[AÑO PARTO],$B$4,Tabla1[MES PARTO],I6,Tabla1[SALE DEL PROGRAMA POR],"PARTO",Tabla1[DILIGENCIAMIENTO DE PARTOGRAMA (NO APLICA EN EXPULSIVO)],"SI",Tabla1[NIVEL DE COMPLEJIDAD DE LA ATENCION DE LA INSTITUCION DONDE SE ATENDIO EL PARTO],"BAJA")</f>
        <v>0</v>
      </c>
      <c r="J109" s="142">
        <f>COUNTIFS(Tabla1[AÑO PARTO],$B$4,Tabla1[MES PARTO],J6,Tabla1[SALE DEL PROGRAMA POR],"PARTO",Tabla1[DILIGENCIAMIENTO DE PARTOGRAMA (NO APLICA EN EXPULSIVO)],"SI",Tabla1[NIVEL DE COMPLEJIDAD DE LA ATENCION DE LA INSTITUCION DONDE SE ATENDIO EL PARTO],"BAJA")</f>
        <v>0</v>
      </c>
      <c r="K109" s="142">
        <f>COUNTIFS(Tabla1[AÑO PARTO],$B$4,Tabla1[MES PARTO],K6,Tabla1[SALE DEL PROGRAMA POR],"PARTO",Tabla1[DILIGENCIAMIENTO DE PARTOGRAMA (NO APLICA EN EXPULSIVO)],"SI",Tabla1[NIVEL DE COMPLEJIDAD DE LA ATENCION DE LA INSTITUCION DONDE SE ATENDIO EL PARTO],"BAJA")</f>
        <v>0</v>
      </c>
      <c r="L109" s="142">
        <f>COUNTIFS(Tabla1[AÑO PARTO],$B$4,Tabla1[MES PARTO],L6,Tabla1[SALE DEL PROGRAMA POR],"PARTO",Tabla1[DILIGENCIAMIENTO DE PARTOGRAMA (NO APLICA EN EXPULSIVO)],"SI",Tabla1[NIVEL DE COMPLEJIDAD DE LA ATENCION DE LA INSTITUCION DONDE SE ATENDIO EL PARTO],"BAJA")</f>
        <v>0</v>
      </c>
      <c r="M109" s="142">
        <f>COUNTIFS(Tabla1[AÑO PARTO],$B$4,Tabla1[MES PARTO],M6,Tabla1[SALE DEL PROGRAMA POR],"PARTO",Tabla1[DILIGENCIAMIENTO DE PARTOGRAMA (NO APLICA EN EXPULSIVO)],"SI",Tabla1[NIVEL DE COMPLEJIDAD DE LA ATENCION DE LA INSTITUCION DONDE SE ATENDIO EL PARTO],"BAJA")</f>
        <v>0</v>
      </c>
      <c r="N109" s="82">
        <f>SUM(B109:M109)</f>
        <v>0</v>
      </c>
    </row>
    <row r="110" spans="1:14 16384:16384" ht="48" customHeight="1" thickBot="1" x14ac:dyDescent="0.3">
      <c r="A110" s="162" t="s">
        <v>684</v>
      </c>
      <c r="B110" s="142">
        <f>SUM(COUNTIFS(Tabla1[AÑO PARTO],$B$4,Tabla1[MES PARTO],B6,Tabla1[SALE DEL PROGRAMA POR],"PARTO",Tabla1[NIVEL DE COMPLEJIDAD DE LA ATENCION DE LA INSTITUCION DONDE SE ATENDIO EL PARTO],"BAJA")-COUNTIFS(Tabla1[AÑO PARTO],$B$4,Tabla1[MES PARTO],B6,Tabla1[SALE DEL PROGRAMA POR],"PARTO",Tabla1[DILIGENCIAMIENTO DE PARTOGRAMA (NO APLICA EN EXPULSIVO)],"NO APLICA",Tabla1[NIVEL DE COMPLEJIDAD DE LA ATENCION DE LA INSTITUCION DONDE SE ATENDIO EL PARTO],"BAJA"))</f>
        <v>0</v>
      </c>
      <c r="C110" s="142">
        <f>SUM(COUNTIFS(Tabla1[AÑO PARTO],$B$4,Tabla1[MES PARTO],C6,Tabla1[SALE DEL PROGRAMA POR],"PARTO",Tabla1[NIVEL DE COMPLEJIDAD DE LA ATENCION DE LA INSTITUCION DONDE SE ATENDIO EL PARTO],"BAJA")-COUNTIFS(Tabla1[AÑO PARTO],$B$4,Tabla1[MES PARTO],C6,Tabla1[SALE DEL PROGRAMA POR],"PARTO",Tabla1[DILIGENCIAMIENTO DE PARTOGRAMA (NO APLICA EN EXPULSIVO)],"NO APLICA",Tabla1[NIVEL DE COMPLEJIDAD DE LA ATENCION DE LA INSTITUCION DONDE SE ATENDIO EL PARTO],"BAJA"))</f>
        <v>1</v>
      </c>
      <c r="D110" s="142">
        <f>SUM(COUNTIFS(Tabla1[AÑO PARTO],$B$4,Tabla1[MES PARTO],D6,Tabla1[SALE DEL PROGRAMA POR],"PARTO",Tabla1[NIVEL DE COMPLEJIDAD DE LA ATENCION DE LA INSTITUCION DONDE SE ATENDIO EL PARTO],"BAJA")-COUNTIFS(Tabla1[AÑO PARTO],$B$4,Tabla1[MES PARTO],D6,Tabla1[SALE DEL PROGRAMA POR],"PARTO",Tabla1[DILIGENCIAMIENTO DE PARTOGRAMA (NO APLICA EN EXPULSIVO)],"NO APLICA",Tabla1[NIVEL DE COMPLEJIDAD DE LA ATENCION DE LA INSTITUCION DONDE SE ATENDIO EL PARTO],"BAJA"))</f>
        <v>1</v>
      </c>
      <c r="E110" s="142">
        <f>SUM(COUNTIFS(Tabla1[AÑO PARTO],$B$4,Tabla1[MES PARTO],E6,Tabla1[SALE DEL PROGRAMA POR],"PARTO",Tabla1[NIVEL DE COMPLEJIDAD DE LA ATENCION DE LA INSTITUCION DONDE SE ATENDIO EL PARTO],"BAJA")-COUNTIFS(Tabla1[AÑO PARTO],$B$4,Tabla1[MES PARTO],E6,Tabla1[SALE DEL PROGRAMA POR],"PARTO",Tabla1[DILIGENCIAMIENTO DE PARTOGRAMA (NO APLICA EN EXPULSIVO)],"NO APLICA",Tabla1[NIVEL DE COMPLEJIDAD DE LA ATENCION DE LA INSTITUCION DONDE SE ATENDIO EL PARTO],"BAJA"))</f>
        <v>2</v>
      </c>
      <c r="F110" s="142">
        <f>SUM(COUNTIFS(Tabla1[AÑO PARTO],$B$4,Tabla1[MES PARTO],F6,Tabla1[SALE DEL PROGRAMA POR],"PARTO",Tabla1[NIVEL DE COMPLEJIDAD DE LA ATENCION DE LA INSTITUCION DONDE SE ATENDIO EL PARTO],"BAJA")-COUNTIFS(Tabla1[AÑO PARTO],$B$4,Tabla1[MES PARTO],F6,Tabla1[SALE DEL PROGRAMA POR],"PARTO",Tabla1[DILIGENCIAMIENTO DE PARTOGRAMA (NO APLICA EN EXPULSIVO)],"NO APLICA",Tabla1[NIVEL DE COMPLEJIDAD DE LA ATENCION DE LA INSTITUCION DONDE SE ATENDIO EL PARTO],"BAJA"))</f>
        <v>4</v>
      </c>
      <c r="G110" s="142">
        <f>SUM(COUNTIFS(Tabla1[AÑO PARTO],$B$4,Tabla1[MES PARTO],G6,Tabla1[SALE DEL PROGRAMA POR],"PARTO",Tabla1[NIVEL DE COMPLEJIDAD DE LA ATENCION DE LA INSTITUCION DONDE SE ATENDIO EL PARTO],"BAJA")-COUNTIFS(Tabla1[AÑO PARTO],$B$4,Tabla1[MES PARTO],G6,Tabla1[SALE DEL PROGRAMA POR],"PARTO",Tabla1[DILIGENCIAMIENTO DE PARTOGRAMA (NO APLICA EN EXPULSIVO)],"NO APLICA",Tabla1[NIVEL DE COMPLEJIDAD DE LA ATENCION DE LA INSTITUCION DONDE SE ATENDIO EL PARTO],"BAJA"))</f>
        <v>0</v>
      </c>
      <c r="H110" s="142">
        <f>SUM(COUNTIFS(Tabla1[AÑO PARTO],$B$4,Tabla1[MES PARTO],H6,Tabla1[SALE DEL PROGRAMA POR],"PARTO",Tabla1[NIVEL DE COMPLEJIDAD DE LA ATENCION DE LA INSTITUCION DONDE SE ATENDIO EL PARTO],"BAJA")-COUNTIFS(Tabla1[AÑO PARTO],$B$4,Tabla1[MES PARTO],H6,Tabla1[SALE DEL PROGRAMA POR],"PARTO",Tabla1[DILIGENCIAMIENTO DE PARTOGRAMA (NO APLICA EN EXPULSIVO)],"NO APLICA",Tabla1[NIVEL DE COMPLEJIDAD DE LA ATENCION DE LA INSTITUCION DONDE SE ATENDIO EL PARTO],"BAJA"))</f>
        <v>3</v>
      </c>
      <c r="I110" s="142">
        <f>SUM(COUNTIFS(Tabla1[AÑO PARTO],$B$4,Tabla1[MES PARTO],I6,Tabla1[SALE DEL PROGRAMA POR],"PARTO",Tabla1[NIVEL DE COMPLEJIDAD DE LA ATENCION DE LA INSTITUCION DONDE SE ATENDIO EL PARTO],"BAJA")-COUNTIFS(Tabla1[AÑO PARTO],$B$4,Tabla1[MES PARTO],I6,Tabla1[SALE DEL PROGRAMA POR],"PARTO",Tabla1[DILIGENCIAMIENTO DE PARTOGRAMA (NO APLICA EN EXPULSIVO)],"NO APLICA",Tabla1[NIVEL DE COMPLEJIDAD DE LA ATENCION DE LA INSTITUCION DONDE SE ATENDIO EL PARTO],"BAJA"))</f>
        <v>0</v>
      </c>
      <c r="J110" s="142">
        <f>SUM(COUNTIFS(Tabla1[AÑO PARTO],$B$4,Tabla1[MES PARTO],J6,Tabla1[SALE DEL PROGRAMA POR],"PARTO",Tabla1[NIVEL DE COMPLEJIDAD DE LA ATENCION DE LA INSTITUCION DONDE SE ATENDIO EL PARTO],"BAJA")-COUNTIFS(Tabla1[AÑO PARTO],$B$4,Tabla1[MES PARTO],J6,Tabla1[SALE DEL PROGRAMA POR],"PARTO",Tabla1[DILIGENCIAMIENTO DE PARTOGRAMA (NO APLICA EN EXPULSIVO)],"NO APLICA",Tabla1[NIVEL DE COMPLEJIDAD DE LA ATENCION DE LA INSTITUCION DONDE SE ATENDIO EL PARTO],"BAJA"))</f>
        <v>0</v>
      </c>
      <c r="K110" s="142">
        <f>SUM(COUNTIFS(Tabla1[AÑO PARTO],$B$4,Tabla1[MES PARTO],K6,Tabla1[SALE DEL PROGRAMA POR],"PARTO",Tabla1[NIVEL DE COMPLEJIDAD DE LA ATENCION DE LA INSTITUCION DONDE SE ATENDIO EL PARTO],"BAJA")-COUNTIFS(Tabla1[AÑO PARTO],$B$4,Tabla1[MES PARTO],K6,Tabla1[SALE DEL PROGRAMA POR],"PARTO",Tabla1[DILIGENCIAMIENTO DE PARTOGRAMA (NO APLICA EN EXPULSIVO)],"NO APLICA",Tabla1[NIVEL DE COMPLEJIDAD DE LA ATENCION DE LA INSTITUCION DONDE SE ATENDIO EL PARTO],"BAJA"))</f>
        <v>0</v>
      </c>
      <c r="L110" s="142">
        <f>SUM(COUNTIFS(Tabla1[AÑO PARTO],$B$4,Tabla1[MES PARTO],L6,Tabla1[SALE DEL PROGRAMA POR],"PARTO",Tabla1[NIVEL DE COMPLEJIDAD DE LA ATENCION DE LA INSTITUCION DONDE SE ATENDIO EL PARTO],"BAJA")-COUNTIFS(Tabla1[AÑO PARTO],$B$4,Tabla1[MES PARTO],L6,Tabla1[SALE DEL PROGRAMA POR],"PARTO",Tabla1[DILIGENCIAMIENTO DE PARTOGRAMA (NO APLICA EN EXPULSIVO)],"NO APLICA",Tabla1[NIVEL DE COMPLEJIDAD DE LA ATENCION DE LA INSTITUCION DONDE SE ATENDIO EL PARTO],"BAJA"))</f>
        <v>0</v>
      </c>
      <c r="M110" s="142">
        <f>SUM(COUNTIFS(Tabla1[AÑO PARTO],$B$4,Tabla1[MES PARTO],M6,Tabla1[SALE DEL PROGRAMA POR],"PARTO",Tabla1[NIVEL DE COMPLEJIDAD DE LA ATENCION DE LA INSTITUCION DONDE SE ATENDIO EL PARTO],"BAJA")-COUNTIFS(Tabla1[AÑO PARTO],$B$4,Tabla1[MES PARTO],M6,Tabla1[SALE DEL PROGRAMA POR],"PARTO",Tabla1[DILIGENCIAMIENTO DE PARTOGRAMA (NO APLICA EN EXPULSIVO)],"NO APLICA",Tabla1[NIVEL DE COMPLEJIDAD DE LA ATENCION DE LA INSTITUCION DONDE SE ATENDIO EL PARTO],"BAJA"))</f>
        <v>0</v>
      </c>
      <c r="N110" s="82">
        <f>SUM(B110:M110)</f>
        <v>11</v>
      </c>
    </row>
    <row r="111" spans="1:14 16384:16384" ht="42.75" customHeight="1" thickBot="1" x14ac:dyDescent="0.3">
      <c r="A111" s="154" t="s">
        <v>685</v>
      </c>
      <c r="B111" s="83" t="str">
        <f>IF(B$110=0,"",SUM(B109/B$110))</f>
        <v/>
      </c>
      <c r="C111" s="84">
        <f>IF(C$110=0,"",SUM(C109/C$110))</f>
        <v>0</v>
      </c>
      <c r="D111" s="84">
        <f>IF(D$110=0,"",SUM(D109/D$110))</f>
        <v>0</v>
      </c>
      <c r="E111" s="84">
        <f>IF(E$110=0,"",SUM(E109/E$110))</f>
        <v>0</v>
      </c>
      <c r="F111" s="84">
        <f>IF(F$110=0,"",SUM(F109/F$110))</f>
        <v>0</v>
      </c>
      <c r="G111" s="84" t="str">
        <f>IF(G$110=0,"",SUM(G109/G$110))</f>
        <v/>
      </c>
      <c r="H111" s="84">
        <f>IF(H$110=0,"",SUM(H109/H$110))</f>
        <v>0</v>
      </c>
      <c r="I111" s="84" t="str">
        <f>IF(I$110=0,"",SUM(I109/I$110))</f>
        <v/>
      </c>
      <c r="J111" s="84" t="str">
        <f>IF(J$110=0,"",SUM(J109/J$110))</f>
        <v/>
      </c>
      <c r="K111" s="84" t="str">
        <f>IF(K$110=0,"",SUM(K109/K$110))</f>
        <v/>
      </c>
      <c r="L111" s="84" t="str">
        <f>IF(L$110=0,"",SUM(L109/L$110))</f>
        <v/>
      </c>
      <c r="M111" s="84" t="str">
        <f>IF(M$110=0,"",SUM(M109/M$110))</f>
        <v/>
      </c>
      <c r="N111" s="85">
        <f>IF(N$110=0,"",SUM(N109/N$110))</f>
        <v>0</v>
      </c>
    </row>
    <row r="112" spans="1:14 16384:16384" ht="33.75" customHeight="1" x14ac:dyDescent="0.25">
      <c r="A112" s="53" t="s">
        <v>686</v>
      </c>
      <c r="B112" s="142">
        <f>SUM(COUNTIFS(Tabla1[AÑO PARTO],$B$4,Tabla1[MES PARTO],B6,Tabla1[SALE DEL PROGRAMA POR],"PARTO",Tabla1[DILIGENCIAMIENTO DE PARTOGRAMA (NO APLICA EN EXPULSIVO)],"SI",Tabla1[NIVEL DE COMPLEJIDAD DE LA ATENCION DE LA INSTITUCION DONDE SE ATENDIO EL PARTO],"MEDIANA"),COUNTIFS(Tabla1[AÑO PARTO],$B$4,Tabla1[MES PARTO],B6,Tabla1[SALE DEL PROGRAMA POR],"PARTO",Tabla1[DILIGENCIAMIENTO DE PARTOGRAMA (NO APLICA EN EXPULSIVO)],"SI",Tabla1[NIVEL DE COMPLEJIDAD DE LA ATENCION DE LA INSTITUCION DONDE SE ATENDIO EL PARTO],"ALTA"),COUNTIFS(Tabla1[AÑO PARTO],$B$4,Tabla1[MES PARTO],B6,Tabla1[SALE DEL PROGRAMA POR],"CESAREA",Tabla1[DILIGENCIAMIENTO DE PARTOGRAMA (NO APLICA EN EXPULSIVO)],"SI",Tabla1[NIVEL DE COMPLEJIDAD DE LA ATENCION DE LA INSTITUCION DONDE SE ATENDIO EL PARTO],"MEDIANA"),COUNTIFS(Tabla1[AÑO PARTO],$B$4,Tabla1[MES PARTO],B6,Tabla1[SALE DEL PROGRAMA POR],"CESAREA",Tabla1[DILIGENCIAMIENTO DE PARTOGRAMA (NO APLICA EN EXPULSIVO)],"SI",Tabla1[NIVEL DE COMPLEJIDAD DE LA ATENCION DE LA INSTITUCION DONDE SE ATENDIO EL PARTO],"ALTA"))</f>
        <v>0</v>
      </c>
      <c r="C112" s="142">
        <f>SUM(COUNTIFS(Tabla1[AÑO PARTO],$B$4,Tabla1[MES PARTO],C6,Tabla1[SALE DEL PROGRAMA POR],"PARTO",Tabla1[DILIGENCIAMIENTO DE PARTOGRAMA (NO APLICA EN EXPULSIVO)],"SI",Tabla1[NIVEL DE COMPLEJIDAD DE LA ATENCION DE LA INSTITUCION DONDE SE ATENDIO EL PARTO],"MEDIANA"),COUNTIFS(Tabla1[AÑO PARTO],$B$4,Tabla1[MES PARTO],C6,Tabla1[SALE DEL PROGRAMA POR],"PARTO",Tabla1[DILIGENCIAMIENTO DE PARTOGRAMA (NO APLICA EN EXPULSIVO)],"SI",Tabla1[NIVEL DE COMPLEJIDAD DE LA ATENCION DE LA INSTITUCION DONDE SE ATENDIO EL PARTO],"ALTA"),COUNTIFS(Tabla1[AÑO PARTO],$B$4,Tabla1[MES PARTO],C6,Tabla1[SALE DEL PROGRAMA POR],"CESAREA",Tabla1[DILIGENCIAMIENTO DE PARTOGRAMA (NO APLICA EN EXPULSIVO)],"SI",Tabla1[NIVEL DE COMPLEJIDAD DE LA ATENCION DE LA INSTITUCION DONDE SE ATENDIO EL PARTO],"MEDIANA"),COUNTIFS(Tabla1[AÑO PARTO],$B$4,Tabla1[MES PARTO],C6,Tabla1[SALE DEL PROGRAMA POR],"CESAREA",Tabla1[DILIGENCIAMIENTO DE PARTOGRAMA (NO APLICA EN EXPULSIVO)],"SI",Tabla1[NIVEL DE COMPLEJIDAD DE LA ATENCION DE LA INSTITUCION DONDE SE ATENDIO EL PARTO],"ALTA"))</f>
        <v>0</v>
      </c>
      <c r="D112" s="142">
        <f>SUM(COUNTIFS(Tabla1[AÑO PARTO],$B$4,Tabla1[MES PARTO],D6,Tabla1[SALE DEL PROGRAMA POR],"PARTO",Tabla1[DILIGENCIAMIENTO DE PARTOGRAMA (NO APLICA EN EXPULSIVO)],"SI",Tabla1[NIVEL DE COMPLEJIDAD DE LA ATENCION DE LA INSTITUCION DONDE SE ATENDIO EL PARTO],"MEDIANA"),COUNTIFS(Tabla1[AÑO PARTO],$B$4,Tabla1[MES PARTO],D6,Tabla1[SALE DEL PROGRAMA POR],"PARTO",Tabla1[DILIGENCIAMIENTO DE PARTOGRAMA (NO APLICA EN EXPULSIVO)],"SI",Tabla1[NIVEL DE COMPLEJIDAD DE LA ATENCION DE LA INSTITUCION DONDE SE ATENDIO EL PARTO],"ALTA"),COUNTIFS(Tabla1[AÑO PARTO],$B$4,Tabla1[MES PARTO],D6,Tabla1[SALE DEL PROGRAMA POR],"CESAREA",Tabla1[DILIGENCIAMIENTO DE PARTOGRAMA (NO APLICA EN EXPULSIVO)],"SI",Tabla1[NIVEL DE COMPLEJIDAD DE LA ATENCION DE LA INSTITUCION DONDE SE ATENDIO EL PARTO],"MEDIANA"),COUNTIFS(Tabla1[AÑO PARTO],$B$4,Tabla1[MES PARTO],D6,Tabla1[SALE DEL PROGRAMA POR],"CESAREA",Tabla1[DILIGENCIAMIENTO DE PARTOGRAMA (NO APLICA EN EXPULSIVO)],"SI",Tabla1[NIVEL DE COMPLEJIDAD DE LA ATENCION DE LA INSTITUCION DONDE SE ATENDIO EL PARTO],"ALTA"))</f>
        <v>0</v>
      </c>
      <c r="E112" s="142">
        <f>SUM(COUNTIFS(Tabla1[AÑO PARTO],$B$4,Tabla1[MES PARTO],E6,Tabla1[SALE DEL PROGRAMA POR],"PARTO",Tabla1[DILIGENCIAMIENTO DE PARTOGRAMA (NO APLICA EN EXPULSIVO)],"SI",Tabla1[NIVEL DE COMPLEJIDAD DE LA ATENCION DE LA INSTITUCION DONDE SE ATENDIO EL PARTO],"MEDIANA"),COUNTIFS(Tabla1[AÑO PARTO],$B$4,Tabla1[MES PARTO],E6,Tabla1[SALE DEL PROGRAMA POR],"PARTO",Tabla1[DILIGENCIAMIENTO DE PARTOGRAMA (NO APLICA EN EXPULSIVO)],"SI",Tabla1[NIVEL DE COMPLEJIDAD DE LA ATENCION DE LA INSTITUCION DONDE SE ATENDIO EL PARTO],"ALTA"),COUNTIFS(Tabla1[AÑO PARTO],$B$4,Tabla1[MES PARTO],E6,Tabla1[SALE DEL PROGRAMA POR],"CESAREA",Tabla1[DILIGENCIAMIENTO DE PARTOGRAMA (NO APLICA EN EXPULSIVO)],"SI",Tabla1[NIVEL DE COMPLEJIDAD DE LA ATENCION DE LA INSTITUCION DONDE SE ATENDIO EL PARTO],"MEDIANA"),COUNTIFS(Tabla1[AÑO PARTO],$B$4,Tabla1[MES PARTO],E6,Tabla1[SALE DEL PROGRAMA POR],"CESAREA",Tabla1[DILIGENCIAMIENTO DE PARTOGRAMA (NO APLICA EN EXPULSIVO)],"SI",Tabla1[NIVEL DE COMPLEJIDAD DE LA ATENCION DE LA INSTITUCION DONDE SE ATENDIO EL PARTO],"ALTA"))</f>
        <v>0</v>
      </c>
      <c r="F112" s="142">
        <f>SUM(COUNTIFS(Tabla1[AÑO PARTO],$B$4,Tabla1[MES PARTO],F6,Tabla1[SALE DEL PROGRAMA POR],"PARTO",Tabla1[DILIGENCIAMIENTO DE PARTOGRAMA (NO APLICA EN EXPULSIVO)],"SI",Tabla1[NIVEL DE COMPLEJIDAD DE LA ATENCION DE LA INSTITUCION DONDE SE ATENDIO EL PARTO],"MEDIANA"),COUNTIFS(Tabla1[AÑO PARTO],$B$4,Tabla1[MES PARTO],F6,Tabla1[SALE DEL PROGRAMA POR],"PARTO",Tabla1[DILIGENCIAMIENTO DE PARTOGRAMA (NO APLICA EN EXPULSIVO)],"SI",Tabla1[NIVEL DE COMPLEJIDAD DE LA ATENCION DE LA INSTITUCION DONDE SE ATENDIO EL PARTO],"ALTA"),COUNTIFS(Tabla1[AÑO PARTO],$B$4,Tabla1[MES PARTO],F6,Tabla1[SALE DEL PROGRAMA POR],"CESAREA",Tabla1[DILIGENCIAMIENTO DE PARTOGRAMA (NO APLICA EN EXPULSIVO)],"SI",Tabla1[NIVEL DE COMPLEJIDAD DE LA ATENCION DE LA INSTITUCION DONDE SE ATENDIO EL PARTO],"MEDIANA"),COUNTIFS(Tabla1[AÑO PARTO],$B$4,Tabla1[MES PARTO],F6,Tabla1[SALE DEL PROGRAMA POR],"CESAREA",Tabla1[DILIGENCIAMIENTO DE PARTOGRAMA (NO APLICA EN EXPULSIVO)],"SI",Tabla1[NIVEL DE COMPLEJIDAD DE LA ATENCION DE LA INSTITUCION DONDE SE ATENDIO EL PARTO],"ALTA"))</f>
        <v>0</v>
      </c>
      <c r="G112" s="142">
        <f>SUM(COUNTIFS(Tabla1[AÑO PARTO],$B$4,Tabla1[MES PARTO],G6,Tabla1[SALE DEL PROGRAMA POR],"PARTO",Tabla1[DILIGENCIAMIENTO DE PARTOGRAMA (NO APLICA EN EXPULSIVO)],"SI",Tabla1[NIVEL DE COMPLEJIDAD DE LA ATENCION DE LA INSTITUCION DONDE SE ATENDIO EL PARTO],"MEDIANA"),COUNTIFS(Tabla1[AÑO PARTO],$B$4,Tabla1[MES PARTO],G6,Tabla1[SALE DEL PROGRAMA POR],"PARTO",Tabla1[DILIGENCIAMIENTO DE PARTOGRAMA (NO APLICA EN EXPULSIVO)],"SI",Tabla1[NIVEL DE COMPLEJIDAD DE LA ATENCION DE LA INSTITUCION DONDE SE ATENDIO EL PARTO],"ALTA"),COUNTIFS(Tabla1[AÑO PARTO],$B$4,Tabla1[MES PARTO],G6,Tabla1[SALE DEL PROGRAMA POR],"CESAREA",Tabla1[DILIGENCIAMIENTO DE PARTOGRAMA (NO APLICA EN EXPULSIVO)],"SI",Tabla1[NIVEL DE COMPLEJIDAD DE LA ATENCION DE LA INSTITUCION DONDE SE ATENDIO EL PARTO],"MEDIANA"),COUNTIFS(Tabla1[AÑO PARTO],$B$4,Tabla1[MES PARTO],G6,Tabla1[SALE DEL PROGRAMA POR],"CESAREA",Tabla1[DILIGENCIAMIENTO DE PARTOGRAMA (NO APLICA EN EXPULSIVO)],"SI",Tabla1[NIVEL DE COMPLEJIDAD DE LA ATENCION DE LA INSTITUCION DONDE SE ATENDIO EL PARTO],"ALTA"))</f>
        <v>0</v>
      </c>
      <c r="H112" s="142">
        <f>SUM(COUNTIFS(Tabla1[AÑO PARTO],$B$4,Tabla1[MES PARTO],H6,Tabla1[SALE DEL PROGRAMA POR],"PARTO",Tabla1[DILIGENCIAMIENTO DE PARTOGRAMA (NO APLICA EN EXPULSIVO)],"SI",Tabla1[NIVEL DE COMPLEJIDAD DE LA ATENCION DE LA INSTITUCION DONDE SE ATENDIO EL PARTO],"MEDIANA"),COUNTIFS(Tabla1[AÑO PARTO],$B$4,Tabla1[MES PARTO],H6,Tabla1[SALE DEL PROGRAMA POR],"PARTO",Tabla1[DILIGENCIAMIENTO DE PARTOGRAMA (NO APLICA EN EXPULSIVO)],"SI",Tabla1[NIVEL DE COMPLEJIDAD DE LA ATENCION DE LA INSTITUCION DONDE SE ATENDIO EL PARTO],"ALTA"),COUNTIFS(Tabla1[AÑO PARTO],$B$4,Tabla1[MES PARTO],H6,Tabla1[SALE DEL PROGRAMA POR],"CESAREA",Tabla1[DILIGENCIAMIENTO DE PARTOGRAMA (NO APLICA EN EXPULSIVO)],"SI",Tabla1[NIVEL DE COMPLEJIDAD DE LA ATENCION DE LA INSTITUCION DONDE SE ATENDIO EL PARTO],"MEDIANA"),COUNTIFS(Tabla1[AÑO PARTO],$B$4,Tabla1[MES PARTO],H6,Tabla1[SALE DEL PROGRAMA POR],"CESAREA",Tabla1[DILIGENCIAMIENTO DE PARTOGRAMA (NO APLICA EN EXPULSIVO)],"SI",Tabla1[NIVEL DE COMPLEJIDAD DE LA ATENCION DE LA INSTITUCION DONDE SE ATENDIO EL PARTO],"ALTA"))</f>
        <v>0</v>
      </c>
      <c r="I112" s="142">
        <f>SUM(COUNTIFS(Tabla1[AÑO PARTO],$B$4,Tabla1[MES PARTO],I6,Tabla1[SALE DEL PROGRAMA POR],"PARTO",Tabla1[DILIGENCIAMIENTO DE PARTOGRAMA (NO APLICA EN EXPULSIVO)],"SI",Tabla1[NIVEL DE COMPLEJIDAD DE LA ATENCION DE LA INSTITUCION DONDE SE ATENDIO EL PARTO],"MEDIANA"),COUNTIFS(Tabla1[AÑO PARTO],$B$4,Tabla1[MES PARTO],I6,Tabla1[SALE DEL PROGRAMA POR],"PARTO",Tabla1[DILIGENCIAMIENTO DE PARTOGRAMA (NO APLICA EN EXPULSIVO)],"SI",Tabla1[NIVEL DE COMPLEJIDAD DE LA ATENCION DE LA INSTITUCION DONDE SE ATENDIO EL PARTO],"ALTA"),COUNTIFS(Tabla1[AÑO PARTO],$B$4,Tabla1[MES PARTO],I6,Tabla1[SALE DEL PROGRAMA POR],"CESAREA",Tabla1[DILIGENCIAMIENTO DE PARTOGRAMA (NO APLICA EN EXPULSIVO)],"SI",Tabla1[NIVEL DE COMPLEJIDAD DE LA ATENCION DE LA INSTITUCION DONDE SE ATENDIO EL PARTO],"MEDIANA"),COUNTIFS(Tabla1[AÑO PARTO],$B$4,Tabla1[MES PARTO],I6,Tabla1[SALE DEL PROGRAMA POR],"CESAREA",Tabla1[DILIGENCIAMIENTO DE PARTOGRAMA (NO APLICA EN EXPULSIVO)],"SI",Tabla1[NIVEL DE COMPLEJIDAD DE LA ATENCION DE LA INSTITUCION DONDE SE ATENDIO EL PARTO],"ALTA"))</f>
        <v>0</v>
      </c>
      <c r="J112" s="142">
        <f>SUM(COUNTIFS(Tabla1[AÑO PARTO],$B$4,Tabla1[MES PARTO],J6,Tabla1[SALE DEL PROGRAMA POR],"PARTO",Tabla1[DILIGENCIAMIENTO DE PARTOGRAMA (NO APLICA EN EXPULSIVO)],"SI",Tabla1[NIVEL DE COMPLEJIDAD DE LA ATENCION DE LA INSTITUCION DONDE SE ATENDIO EL PARTO],"MEDIANA"),COUNTIFS(Tabla1[AÑO PARTO],$B$4,Tabla1[MES PARTO],J6,Tabla1[SALE DEL PROGRAMA POR],"PARTO",Tabla1[DILIGENCIAMIENTO DE PARTOGRAMA (NO APLICA EN EXPULSIVO)],"SI",Tabla1[NIVEL DE COMPLEJIDAD DE LA ATENCION DE LA INSTITUCION DONDE SE ATENDIO EL PARTO],"ALTA"),COUNTIFS(Tabla1[AÑO PARTO],$B$4,Tabla1[MES PARTO],J6,Tabla1[SALE DEL PROGRAMA POR],"CESAREA",Tabla1[DILIGENCIAMIENTO DE PARTOGRAMA (NO APLICA EN EXPULSIVO)],"SI",Tabla1[NIVEL DE COMPLEJIDAD DE LA ATENCION DE LA INSTITUCION DONDE SE ATENDIO EL PARTO],"MEDIANA"),COUNTIFS(Tabla1[AÑO PARTO],$B$4,Tabla1[MES PARTO],J6,Tabla1[SALE DEL PROGRAMA POR],"CESAREA",Tabla1[DILIGENCIAMIENTO DE PARTOGRAMA (NO APLICA EN EXPULSIVO)],"SI",Tabla1[NIVEL DE COMPLEJIDAD DE LA ATENCION DE LA INSTITUCION DONDE SE ATENDIO EL PARTO],"ALTA"))</f>
        <v>0</v>
      </c>
      <c r="K112" s="142">
        <f>SUM(COUNTIFS(Tabla1[AÑO PARTO],$B$4,Tabla1[MES PARTO],K6,Tabla1[SALE DEL PROGRAMA POR],"PARTO",Tabla1[DILIGENCIAMIENTO DE PARTOGRAMA (NO APLICA EN EXPULSIVO)],"SI",Tabla1[NIVEL DE COMPLEJIDAD DE LA ATENCION DE LA INSTITUCION DONDE SE ATENDIO EL PARTO],"MEDIANA"),COUNTIFS(Tabla1[AÑO PARTO],$B$4,Tabla1[MES PARTO],K6,Tabla1[SALE DEL PROGRAMA POR],"PARTO",Tabla1[DILIGENCIAMIENTO DE PARTOGRAMA (NO APLICA EN EXPULSIVO)],"SI",Tabla1[NIVEL DE COMPLEJIDAD DE LA ATENCION DE LA INSTITUCION DONDE SE ATENDIO EL PARTO],"ALTA"),COUNTIFS(Tabla1[AÑO PARTO],$B$4,Tabla1[MES PARTO],K6,Tabla1[SALE DEL PROGRAMA POR],"CESAREA",Tabla1[DILIGENCIAMIENTO DE PARTOGRAMA (NO APLICA EN EXPULSIVO)],"SI",Tabla1[NIVEL DE COMPLEJIDAD DE LA ATENCION DE LA INSTITUCION DONDE SE ATENDIO EL PARTO],"MEDIANA"),COUNTIFS(Tabla1[AÑO PARTO],$B$4,Tabla1[MES PARTO],K6,Tabla1[SALE DEL PROGRAMA POR],"CESAREA",Tabla1[DILIGENCIAMIENTO DE PARTOGRAMA (NO APLICA EN EXPULSIVO)],"SI",Tabla1[NIVEL DE COMPLEJIDAD DE LA ATENCION DE LA INSTITUCION DONDE SE ATENDIO EL PARTO],"ALTA"))</f>
        <v>0</v>
      </c>
      <c r="L112" s="142">
        <f>SUM(COUNTIFS(Tabla1[AÑO PARTO],$B$4,Tabla1[MES PARTO],L6,Tabla1[SALE DEL PROGRAMA POR],"PARTO",Tabla1[DILIGENCIAMIENTO DE PARTOGRAMA (NO APLICA EN EXPULSIVO)],"SI",Tabla1[NIVEL DE COMPLEJIDAD DE LA ATENCION DE LA INSTITUCION DONDE SE ATENDIO EL PARTO],"MEDIANA"),COUNTIFS(Tabla1[AÑO PARTO],$B$4,Tabla1[MES PARTO],L6,Tabla1[SALE DEL PROGRAMA POR],"PARTO",Tabla1[DILIGENCIAMIENTO DE PARTOGRAMA (NO APLICA EN EXPULSIVO)],"SI",Tabla1[NIVEL DE COMPLEJIDAD DE LA ATENCION DE LA INSTITUCION DONDE SE ATENDIO EL PARTO],"ALTA"),COUNTIFS(Tabla1[AÑO PARTO],$B$4,Tabla1[MES PARTO],L6,Tabla1[SALE DEL PROGRAMA POR],"CESAREA",Tabla1[DILIGENCIAMIENTO DE PARTOGRAMA (NO APLICA EN EXPULSIVO)],"SI",Tabla1[NIVEL DE COMPLEJIDAD DE LA ATENCION DE LA INSTITUCION DONDE SE ATENDIO EL PARTO],"MEDIANA"),COUNTIFS(Tabla1[AÑO PARTO],$B$4,Tabla1[MES PARTO],L6,Tabla1[SALE DEL PROGRAMA POR],"CESAREA",Tabla1[DILIGENCIAMIENTO DE PARTOGRAMA (NO APLICA EN EXPULSIVO)],"SI",Tabla1[NIVEL DE COMPLEJIDAD DE LA ATENCION DE LA INSTITUCION DONDE SE ATENDIO EL PARTO],"ALTA"))</f>
        <v>0</v>
      </c>
      <c r="M112" s="142">
        <f>SUM(COUNTIFS(Tabla1[AÑO PARTO],$B$4,Tabla1[MES PARTO],M6,Tabla1[SALE DEL PROGRAMA POR],"PARTO",Tabla1[DILIGENCIAMIENTO DE PARTOGRAMA (NO APLICA EN EXPULSIVO)],"SI",Tabla1[NIVEL DE COMPLEJIDAD DE LA ATENCION DE LA INSTITUCION DONDE SE ATENDIO EL PARTO],"MEDIANA"),COUNTIFS(Tabla1[AÑO PARTO],$B$4,Tabla1[MES PARTO],M6,Tabla1[SALE DEL PROGRAMA POR],"PARTO",Tabla1[DILIGENCIAMIENTO DE PARTOGRAMA (NO APLICA EN EXPULSIVO)],"SI",Tabla1[NIVEL DE COMPLEJIDAD DE LA ATENCION DE LA INSTITUCION DONDE SE ATENDIO EL PARTO],"ALTA"),COUNTIFS(Tabla1[AÑO PARTO],$B$4,Tabla1[MES PARTO],M6,Tabla1[SALE DEL PROGRAMA POR],"CESAREA",Tabla1[DILIGENCIAMIENTO DE PARTOGRAMA (NO APLICA EN EXPULSIVO)],"SI",Tabla1[NIVEL DE COMPLEJIDAD DE LA ATENCION DE LA INSTITUCION DONDE SE ATENDIO EL PARTO],"MEDIANA"),COUNTIFS(Tabla1[AÑO PARTO],$B$4,Tabla1[MES PARTO],M6,Tabla1[SALE DEL PROGRAMA POR],"CESAREA",Tabla1[DILIGENCIAMIENTO DE PARTOGRAMA (NO APLICA EN EXPULSIVO)],"SI",Tabla1[NIVEL DE COMPLEJIDAD DE LA ATENCION DE LA INSTITUCION DONDE SE ATENDIO EL PARTO],"ALTA"))</f>
        <v>0</v>
      </c>
      <c r="N112" s="82">
        <f>SUM(B112:M112)</f>
        <v>0</v>
      </c>
    </row>
    <row r="113" spans="1:14" ht="40.5" customHeight="1" thickBot="1" x14ac:dyDescent="0.3">
      <c r="A113" s="162" t="s">
        <v>687</v>
      </c>
      <c r="B113" s="142">
        <f>SUM(SUM(COUNTIFS(Tabla1[AÑO PARTO],$B$4,Tabla1[MES PARTO],B6,Tabla1[SALE DEL PROGRAMA POR],"PARTO",Tabla1[NIVEL DE COMPLEJIDAD DE LA ATENCION DE LA INSTITUCION DONDE SE ATENDIO EL PARTO],"MEDIANA"),COUNTIFS(Tabla1[AÑO PARTO],$B$4,Tabla1[MES PARTO],B6,Tabla1[SALE DEL PROGRAMA POR],"PARTO",Tabla1[NIVEL DE COMPLEJIDAD DE LA ATENCION DE LA INSTITUCION DONDE SE ATENDIO EL PARTO],"ALTA"),COUNTIFS(Tabla1[AÑO PARTO],$B$4,Tabla1[MES PARTO],B6,Tabla1[SALE DEL PROGRAMA POR],"CESAREA",Tabla1[NIVEL DE COMPLEJIDAD DE LA ATENCION DE LA INSTITUCION DONDE SE ATENDIO EL PARTO],"MEDIANA"),COUNTIFS(Tabla1[AÑO PARTO],$B$4,Tabla1[MES PARTO],B6,Tabla1[SALE DEL PROGRAMA POR],"CESAREA",Tabla1[NIVEL DE COMPLEJIDAD DE LA ATENCION DE LA INSTITUCION DONDE SE ATENDIO EL PARTO],"ALTA"))-SUM(COUNTIFS(Tabla1[AÑO PARTO],$B$4,Tabla1[MES PARTO],B6,Tabla1[SALE DEL PROGRAMA POR],"PARTO",Tabla1[DILIGENCIAMIENTO DE PARTOGRAMA (NO APLICA EN EXPULSIVO)],"NO APLICA",Tabla1[NIVEL DE COMPLEJIDAD DE LA ATENCION DE LA INSTITUCION DONDE SE ATENDIO EL PARTO],"MEDIANA"),COUNTIFS(Tabla1[AÑO PARTO],$B$4,Tabla1[MES PARTO],B6,Tabla1[SALE DEL PROGRAMA POR],"PARTO",Tabla1[DILIGENCIAMIENTO DE PARTOGRAMA (NO APLICA EN EXPULSIVO)],"NO APLICA",Tabla1[NIVEL DE COMPLEJIDAD DE LA ATENCION DE LA INSTITUCION DONDE SE ATENDIO EL PARTO],"ALTA"),COUNTIFS(Tabla1[AÑO PARTO],$B$4,Tabla1[MES PARTO],B6,Tabla1[SALE DEL PROGRAMA POR],"CESAREA",Tabla1[DILIGENCIAMIENTO DE PARTOGRAMA (NO APLICA EN EXPULSIVO)],"NO APLICA",Tabla1[NIVEL DE COMPLEJIDAD DE LA ATENCION DE LA INSTITUCION DONDE SE ATENDIO EL PARTO],"MEDIANA"),COUNTIFS(Tabla1[AÑO PARTO],$B$4,Tabla1[MES PARTO],B6,Tabla1[SALE DEL PROGRAMA POR],"CESAREA",Tabla1[DILIGENCIAMIENTO DE PARTOGRAMA (NO APLICA EN EXPULSIVO)],"NO APLICA",Tabla1[NIVEL DE COMPLEJIDAD DE LA ATENCION DE LA INSTITUCION DONDE SE ATENDIO EL PARTO],"ALTA")))</f>
        <v>0</v>
      </c>
      <c r="C113" s="142">
        <f>SUM(SUM(COUNTIFS(Tabla1[AÑO PARTO],$B$4,Tabla1[MES PARTO],C6,Tabla1[SALE DEL PROGRAMA POR],"PARTO",Tabla1[NIVEL DE COMPLEJIDAD DE LA ATENCION DE LA INSTITUCION DONDE SE ATENDIO EL PARTO],"MEDIANA"),COUNTIFS(Tabla1[AÑO PARTO],$B$4,Tabla1[MES PARTO],C6,Tabla1[SALE DEL PROGRAMA POR],"PARTO",Tabla1[NIVEL DE COMPLEJIDAD DE LA ATENCION DE LA INSTITUCION DONDE SE ATENDIO EL PARTO],"ALTA"),COUNTIFS(Tabla1[AÑO PARTO],$B$4,Tabla1[MES PARTO],C6,Tabla1[SALE DEL PROGRAMA POR],"CESAREA",Tabla1[NIVEL DE COMPLEJIDAD DE LA ATENCION DE LA INSTITUCION DONDE SE ATENDIO EL PARTO],"MEDIANA"),COUNTIFS(Tabla1[AÑO PARTO],$B$4,Tabla1[MES PARTO],C6,Tabla1[SALE DEL PROGRAMA POR],"CESAREA",Tabla1[NIVEL DE COMPLEJIDAD DE LA ATENCION DE LA INSTITUCION DONDE SE ATENDIO EL PARTO],"ALTA"))-SUM(COUNTIFS(Tabla1[AÑO PARTO],$B$4,Tabla1[MES PARTO],C6,Tabla1[SALE DEL PROGRAMA POR],"PARTO",Tabla1[DILIGENCIAMIENTO DE PARTOGRAMA (NO APLICA EN EXPULSIVO)],"NO APLICA",Tabla1[NIVEL DE COMPLEJIDAD DE LA ATENCION DE LA INSTITUCION DONDE SE ATENDIO EL PARTO],"MEDIANA"),COUNTIFS(Tabla1[AÑO PARTO],$B$4,Tabla1[MES PARTO],C6,Tabla1[SALE DEL PROGRAMA POR],"PARTO",Tabla1[DILIGENCIAMIENTO DE PARTOGRAMA (NO APLICA EN EXPULSIVO)],"NO APLICA",Tabla1[NIVEL DE COMPLEJIDAD DE LA ATENCION DE LA INSTITUCION DONDE SE ATENDIO EL PARTO],"ALTA"),COUNTIFS(Tabla1[AÑO PARTO],$B$4,Tabla1[MES PARTO],C6,Tabla1[SALE DEL PROGRAMA POR],"CESAREA",Tabla1[DILIGENCIAMIENTO DE PARTOGRAMA (NO APLICA EN EXPULSIVO)],"NO APLICA",Tabla1[NIVEL DE COMPLEJIDAD DE LA ATENCION DE LA INSTITUCION DONDE SE ATENDIO EL PARTO],"MEDIANA"),COUNTIFS(Tabla1[AÑO PARTO],$B$4,Tabla1[MES PARTO],C6,Tabla1[SALE DEL PROGRAMA POR],"CESAREA",Tabla1[DILIGENCIAMIENTO DE PARTOGRAMA (NO APLICA EN EXPULSIVO)],"NO APLICA",Tabla1[NIVEL DE COMPLEJIDAD DE LA ATENCION DE LA INSTITUCION DONDE SE ATENDIO EL PARTO],"ALTA")))</f>
        <v>1</v>
      </c>
      <c r="D113" s="142">
        <f>SUM(SUM(COUNTIFS(Tabla1[AÑO PARTO],$B$4,Tabla1[MES PARTO],D6,Tabla1[SALE DEL PROGRAMA POR],"PARTO",Tabla1[NIVEL DE COMPLEJIDAD DE LA ATENCION DE LA INSTITUCION DONDE SE ATENDIO EL PARTO],"MEDIANA"),COUNTIFS(Tabla1[AÑO PARTO],$B$4,Tabla1[MES PARTO],D6,Tabla1[SALE DEL PROGRAMA POR],"PARTO",Tabla1[NIVEL DE COMPLEJIDAD DE LA ATENCION DE LA INSTITUCION DONDE SE ATENDIO EL PARTO],"ALTA"),COUNTIFS(Tabla1[AÑO PARTO],$B$4,Tabla1[MES PARTO],D6,Tabla1[SALE DEL PROGRAMA POR],"CESAREA",Tabla1[NIVEL DE COMPLEJIDAD DE LA ATENCION DE LA INSTITUCION DONDE SE ATENDIO EL PARTO],"MEDIANA"),COUNTIFS(Tabla1[AÑO PARTO],$B$4,Tabla1[MES PARTO],D6,Tabla1[SALE DEL PROGRAMA POR],"CESAREA",Tabla1[NIVEL DE COMPLEJIDAD DE LA ATENCION DE LA INSTITUCION DONDE SE ATENDIO EL PARTO],"ALTA"))-SUM(COUNTIFS(Tabla1[AÑO PARTO],$B$4,Tabla1[MES PARTO],D6,Tabla1[SALE DEL PROGRAMA POR],"PARTO",Tabla1[DILIGENCIAMIENTO DE PARTOGRAMA (NO APLICA EN EXPULSIVO)],"NO APLICA",Tabla1[NIVEL DE COMPLEJIDAD DE LA ATENCION DE LA INSTITUCION DONDE SE ATENDIO EL PARTO],"MEDIANA"),COUNTIFS(Tabla1[AÑO PARTO],$B$4,Tabla1[MES PARTO],D6,Tabla1[SALE DEL PROGRAMA POR],"PARTO",Tabla1[DILIGENCIAMIENTO DE PARTOGRAMA (NO APLICA EN EXPULSIVO)],"NO APLICA",Tabla1[NIVEL DE COMPLEJIDAD DE LA ATENCION DE LA INSTITUCION DONDE SE ATENDIO EL PARTO],"ALTA"),COUNTIFS(Tabla1[AÑO PARTO],$B$4,Tabla1[MES PARTO],D6,Tabla1[SALE DEL PROGRAMA POR],"CESAREA",Tabla1[DILIGENCIAMIENTO DE PARTOGRAMA (NO APLICA EN EXPULSIVO)],"NO APLICA",Tabla1[NIVEL DE COMPLEJIDAD DE LA ATENCION DE LA INSTITUCION DONDE SE ATENDIO EL PARTO],"MEDIANA"),COUNTIFS(Tabla1[AÑO PARTO],$B$4,Tabla1[MES PARTO],D6,Tabla1[SALE DEL PROGRAMA POR],"CESAREA",Tabla1[DILIGENCIAMIENTO DE PARTOGRAMA (NO APLICA EN EXPULSIVO)],"NO APLICA",Tabla1[NIVEL DE COMPLEJIDAD DE LA ATENCION DE LA INSTITUCION DONDE SE ATENDIO EL PARTO],"ALTA")))</f>
        <v>7</v>
      </c>
      <c r="E113" s="142">
        <f>SUM(SUM(COUNTIFS(Tabla1[AÑO PARTO],$B$4,Tabla1[MES PARTO],E6,Tabla1[SALE DEL PROGRAMA POR],"PARTO",Tabla1[NIVEL DE COMPLEJIDAD DE LA ATENCION DE LA INSTITUCION DONDE SE ATENDIO EL PARTO],"MEDIANA"),COUNTIFS(Tabla1[AÑO PARTO],$B$4,Tabla1[MES PARTO],E6,Tabla1[SALE DEL PROGRAMA POR],"PARTO",Tabla1[NIVEL DE COMPLEJIDAD DE LA ATENCION DE LA INSTITUCION DONDE SE ATENDIO EL PARTO],"ALTA"),COUNTIFS(Tabla1[AÑO PARTO],$B$4,Tabla1[MES PARTO],E6,Tabla1[SALE DEL PROGRAMA POR],"CESAREA",Tabla1[NIVEL DE COMPLEJIDAD DE LA ATENCION DE LA INSTITUCION DONDE SE ATENDIO EL PARTO],"MEDIANA"),COUNTIFS(Tabla1[AÑO PARTO],$B$4,Tabla1[MES PARTO],E6,Tabla1[SALE DEL PROGRAMA POR],"CESAREA",Tabla1[NIVEL DE COMPLEJIDAD DE LA ATENCION DE LA INSTITUCION DONDE SE ATENDIO EL PARTO],"ALTA"))-SUM(COUNTIFS(Tabla1[AÑO PARTO],$B$4,Tabla1[MES PARTO],E6,Tabla1[SALE DEL PROGRAMA POR],"PARTO",Tabla1[DILIGENCIAMIENTO DE PARTOGRAMA (NO APLICA EN EXPULSIVO)],"NO APLICA",Tabla1[NIVEL DE COMPLEJIDAD DE LA ATENCION DE LA INSTITUCION DONDE SE ATENDIO EL PARTO],"MEDIANA"),COUNTIFS(Tabla1[AÑO PARTO],$B$4,Tabla1[MES PARTO],E6,Tabla1[SALE DEL PROGRAMA POR],"PARTO",Tabla1[DILIGENCIAMIENTO DE PARTOGRAMA (NO APLICA EN EXPULSIVO)],"NO APLICA",Tabla1[NIVEL DE COMPLEJIDAD DE LA ATENCION DE LA INSTITUCION DONDE SE ATENDIO EL PARTO],"ALTA"),COUNTIFS(Tabla1[AÑO PARTO],$B$4,Tabla1[MES PARTO],E6,Tabla1[SALE DEL PROGRAMA POR],"CESAREA",Tabla1[DILIGENCIAMIENTO DE PARTOGRAMA (NO APLICA EN EXPULSIVO)],"NO APLICA",Tabla1[NIVEL DE COMPLEJIDAD DE LA ATENCION DE LA INSTITUCION DONDE SE ATENDIO EL PARTO],"MEDIANA"),COUNTIFS(Tabla1[AÑO PARTO],$B$4,Tabla1[MES PARTO],E6,Tabla1[SALE DEL PROGRAMA POR],"CESAREA",Tabla1[DILIGENCIAMIENTO DE PARTOGRAMA (NO APLICA EN EXPULSIVO)],"NO APLICA",Tabla1[NIVEL DE COMPLEJIDAD DE LA ATENCION DE LA INSTITUCION DONDE SE ATENDIO EL PARTO],"ALTA")))</f>
        <v>9</v>
      </c>
      <c r="F113" s="142">
        <f>SUM(SUM(COUNTIFS(Tabla1[AÑO PARTO],$B$4,Tabla1[MES PARTO],F6,Tabla1[SALE DEL PROGRAMA POR],"PARTO",Tabla1[NIVEL DE COMPLEJIDAD DE LA ATENCION DE LA INSTITUCION DONDE SE ATENDIO EL PARTO],"MEDIANA"),COUNTIFS(Tabla1[AÑO PARTO],$B$4,Tabla1[MES PARTO],F6,Tabla1[SALE DEL PROGRAMA POR],"PARTO",Tabla1[NIVEL DE COMPLEJIDAD DE LA ATENCION DE LA INSTITUCION DONDE SE ATENDIO EL PARTO],"ALTA"),COUNTIFS(Tabla1[AÑO PARTO],$B$4,Tabla1[MES PARTO],F6,Tabla1[SALE DEL PROGRAMA POR],"CESAREA",Tabla1[NIVEL DE COMPLEJIDAD DE LA ATENCION DE LA INSTITUCION DONDE SE ATENDIO EL PARTO],"MEDIANA"),COUNTIFS(Tabla1[AÑO PARTO],$B$4,Tabla1[MES PARTO],F6,Tabla1[SALE DEL PROGRAMA POR],"CESAREA",Tabla1[NIVEL DE COMPLEJIDAD DE LA ATENCION DE LA INSTITUCION DONDE SE ATENDIO EL PARTO],"ALTA"))-SUM(COUNTIFS(Tabla1[AÑO PARTO],$B$4,Tabla1[MES PARTO],F6,Tabla1[SALE DEL PROGRAMA POR],"PARTO",Tabla1[DILIGENCIAMIENTO DE PARTOGRAMA (NO APLICA EN EXPULSIVO)],"NO APLICA",Tabla1[NIVEL DE COMPLEJIDAD DE LA ATENCION DE LA INSTITUCION DONDE SE ATENDIO EL PARTO],"MEDIANA"),COUNTIFS(Tabla1[AÑO PARTO],$B$4,Tabla1[MES PARTO],F6,Tabla1[SALE DEL PROGRAMA POR],"PARTO",Tabla1[DILIGENCIAMIENTO DE PARTOGRAMA (NO APLICA EN EXPULSIVO)],"NO APLICA",Tabla1[NIVEL DE COMPLEJIDAD DE LA ATENCION DE LA INSTITUCION DONDE SE ATENDIO EL PARTO],"ALTA"),COUNTIFS(Tabla1[AÑO PARTO],$B$4,Tabla1[MES PARTO],F6,Tabla1[SALE DEL PROGRAMA POR],"CESAREA",Tabla1[DILIGENCIAMIENTO DE PARTOGRAMA (NO APLICA EN EXPULSIVO)],"NO APLICA",Tabla1[NIVEL DE COMPLEJIDAD DE LA ATENCION DE LA INSTITUCION DONDE SE ATENDIO EL PARTO],"MEDIANA"),COUNTIFS(Tabla1[AÑO PARTO],$B$4,Tabla1[MES PARTO],F6,Tabla1[SALE DEL PROGRAMA POR],"CESAREA",Tabla1[DILIGENCIAMIENTO DE PARTOGRAMA (NO APLICA EN EXPULSIVO)],"NO APLICA",Tabla1[NIVEL DE COMPLEJIDAD DE LA ATENCION DE LA INSTITUCION DONDE SE ATENDIO EL PARTO],"ALTA")))</f>
        <v>15</v>
      </c>
      <c r="G113" s="142">
        <f>SUM(SUM(COUNTIFS(Tabla1[AÑO PARTO],$B$4,Tabla1[MES PARTO],G6,Tabla1[SALE DEL PROGRAMA POR],"PARTO",Tabla1[NIVEL DE COMPLEJIDAD DE LA ATENCION DE LA INSTITUCION DONDE SE ATENDIO EL PARTO],"MEDIANA"),COUNTIFS(Tabla1[AÑO PARTO],$B$4,Tabla1[MES PARTO],G6,Tabla1[SALE DEL PROGRAMA POR],"PARTO",Tabla1[NIVEL DE COMPLEJIDAD DE LA ATENCION DE LA INSTITUCION DONDE SE ATENDIO EL PARTO],"ALTA"),COUNTIFS(Tabla1[AÑO PARTO],$B$4,Tabla1[MES PARTO],G6,Tabla1[SALE DEL PROGRAMA POR],"CESAREA",Tabla1[NIVEL DE COMPLEJIDAD DE LA ATENCION DE LA INSTITUCION DONDE SE ATENDIO EL PARTO],"MEDIANA"),COUNTIFS(Tabla1[AÑO PARTO],$B$4,Tabla1[MES PARTO],G6,Tabla1[SALE DEL PROGRAMA POR],"CESAREA",Tabla1[NIVEL DE COMPLEJIDAD DE LA ATENCION DE LA INSTITUCION DONDE SE ATENDIO EL PARTO],"ALTA"))-SUM(COUNTIFS(Tabla1[AÑO PARTO],$B$4,Tabla1[MES PARTO],G6,Tabla1[SALE DEL PROGRAMA POR],"PARTO",Tabla1[DILIGENCIAMIENTO DE PARTOGRAMA (NO APLICA EN EXPULSIVO)],"NO APLICA",Tabla1[NIVEL DE COMPLEJIDAD DE LA ATENCION DE LA INSTITUCION DONDE SE ATENDIO EL PARTO],"MEDIANA"),COUNTIFS(Tabla1[AÑO PARTO],$B$4,Tabla1[MES PARTO],G6,Tabla1[SALE DEL PROGRAMA POR],"PARTO",Tabla1[DILIGENCIAMIENTO DE PARTOGRAMA (NO APLICA EN EXPULSIVO)],"NO APLICA",Tabla1[NIVEL DE COMPLEJIDAD DE LA ATENCION DE LA INSTITUCION DONDE SE ATENDIO EL PARTO],"ALTA"),COUNTIFS(Tabla1[AÑO PARTO],$B$4,Tabla1[MES PARTO],G6,Tabla1[SALE DEL PROGRAMA POR],"CESAREA",Tabla1[DILIGENCIAMIENTO DE PARTOGRAMA (NO APLICA EN EXPULSIVO)],"NO APLICA",Tabla1[NIVEL DE COMPLEJIDAD DE LA ATENCION DE LA INSTITUCION DONDE SE ATENDIO EL PARTO],"MEDIANA"),COUNTIFS(Tabla1[AÑO PARTO],$B$4,Tabla1[MES PARTO],G6,Tabla1[SALE DEL PROGRAMA POR],"CESAREA",Tabla1[DILIGENCIAMIENTO DE PARTOGRAMA (NO APLICA EN EXPULSIVO)],"NO APLICA",Tabla1[NIVEL DE COMPLEJIDAD DE LA ATENCION DE LA INSTITUCION DONDE SE ATENDIO EL PARTO],"ALTA")))</f>
        <v>5</v>
      </c>
      <c r="H113" s="142">
        <f>SUM(SUM(COUNTIFS(Tabla1[AÑO PARTO],$B$4,Tabla1[MES PARTO],H6,Tabla1[SALE DEL PROGRAMA POR],"PARTO",Tabla1[NIVEL DE COMPLEJIDAD DE LA ATENCION DE LA INSTITUCION DONDE SE ATENDIO EL PARTO],"MEDIANA"),COUNTIFS(Tabla1[AÑO PARTO],$B$4,Tabla1[MES PARTO],H6,Tabla1[SALE DEL PROGRAMA POR],"PARTO",Tabla1[NIVEL DE COMPLEJIDAD DE LA ATENCION DE LA INSTITUCION DONDE SE ATENDIO EL PARTO],"ALTA"),COUNTIFS(Tabla1[AÑO PARTO],$B$4,Tabla1[MES PARTO],H6,Tabla1[SALE DEL PROGRAMA POR],"CESAREA",Tabla1[NIVEL DE COMPLEJIDAD DE LA ATENCION DE LA INSTITUCION DONDE SE ATENDIO EL PARTO],"MEDIANA"),COUNTIFS(Tabla1[AÑO PARTO],$B$4,Tabla1[MES PARTO],H6,Tabla1[SALE DEL PROGRAMA POR],"CESAREA",Tabla1[NIVEL DE COMPLEJIDAD DE LA ATENCION DE LA INSTITUCION DONDE SE ATENDIO EL PARTO],"ALTA"))-SUM(COUNTIFS(Tabla1[AÑO PARTO],$B$4,Tabla1[MES PARTO],H6,Tabla1[SALE DEL PROGRAMA POR],"PARTO",Tabla1[DILIGENCIAMIENTO DE PARTOGRAMA (NO APLICA EN EXPULSIVO)],"NO APLICA",Tabla1[NIVEL DE COMPLEJIDAD DE LA ATENCION DE LA INSTITUCION DONDE SE ATENDIO EL PARTO],"MEDIANA"),COUNTIFS(Tabla1[AÑO PARTO],$B$4,Tabla1[MES PARTO],H6,Tabla1[SALE DEL PROGRAMA POR],"PARTO",Tabla1[DILIGENCIAMIENTO DE PARTOGRAMA (NO APLICA EN EXPULSIVO)],"NO APLICA",Tabla1[NIVEL DE COMPLEJIDAD DE LA ATENCION DE LA INSTITUCION DONDE SE ATENDIO EL PARTO],"ALTA"),COUNTIFS(Tabla1[AÑO PARTO],$B$4,Tabla1[MES PARTO],H6,Tabla1[SALE DEL PROGRAMA POR],"CESAREA",Tabla1[DILIGENCIAMIENTO DE PARTOGRAMA (NO APLICA EN EXPULSIVO)],"NO APLICA",Tabla1[NIVEL DE COMPLEJIDAD DE LA ATENCION DE LA INSTITUCION DONDE SE ATENDIO EL PARTO],"MEDIANA"),COUNTIFS(Tabla1[AÑO PARTO],$B$4,Tabla1[MES PARTO],H6,Tabla1[SALE DEL PROGRAMA POR],"CESAREA",Tabla1[DILIGENCIAMIENTO DE PARTOGRAMA (NO APLICA EN EXPULSIVO)],"NO APLICA",Tabla1[NIVEL DE COMPLEJIDAD DE LA ATENCION DE LA INSTITUCION DONDE SE ATENDIO EL PARTO],"ALTA")))</f>
        <v>10</v>
      </c>
      <c r="I113" s="142">
        <f>SUM(SUM(COUNTIFS(Tabla1[AÑO PARTO],$B$4,Tabla1[MES PARTO],I6,Tabla1[SALE DEL PROGRAMA POR],"PARTO",Tabla1[NIVEL DE COMPLEJIDAD DE LA ATENCION DE LA INSTITUCION DONDE SE ATENDIO EL PARTO],"MEDIANA"),COUNTIFS(Tabla1[AÑO PARTO],$B$4,Tabla1[MES PARTO],I6,Tabla1[SALE DEL PROGRAMA POR],"PARTO",Tabla1[NIVEL DE COMPLEJIDAD DE LA ATENCION DE LA INSTITUCION DONDE SE ATENDIO EL PARTO],"ALTA"),COUNTIFS(Tabla1[AÑO PARTO],$B$4,Tabla1[MES PARTO],I6,Tabla1[SALE DEL PROGRAMA POR],"CESAREA",Tabla1[NIVEL DE COMPLEJIDAD DE LA ATENCION DE LA INSTITUCION DONDE SE ATENDIO EL PARTO],"MEDIANA"),COUNTIFS(Tabla1[AÑO PARTO],$B$4,Tabla1[MES PARTO],I6,Tabla1[SALE DEL PROGRAMA POR],"CESAREA",Tabla1[NIVEL DE COMPLEJIDAD DE LA ATENCION DE LA INSTITUCION DONDE SE ATENDIO EL PARTO],"ALTA"))-SUM(COUNTIFS(Tabla1[AÑO PARTO],$B$4,Tabla1[MES PARTO],I6,Tabla1[SALE DEL PROGRAMA POR],"PARTO",Tabla1[DILIGENCIAMIENTO DE PARTOGRAMA (NO APLICA EN EXPULSIVO)],"NO APLICA",Tabla1[NIVEL DE COMPLEJIDAD DE LA ATENCION DE LA INSTITUCION DONDE SE ATENDIO EL PARTO],"MEDIANA"),COUNTIFS(Tabla1[AÑO PARTO],$B$4,Tabla1[MES PARTO],I6,Tabla1[SALE DEL PROGRAMA POR],"PARTO",Tabla1[DILIGENCIAMIENTO DE PARTOGRAMA (NO APLICA EN EXPULSIVO)],"NO APLICA",Tabla1[NIVEL DE COMPLEJIDAD DE LA ATENCION DE LA INSTITUCION DONDE SE ATENDIO EL PARTO],"ALTA"),COUNTIFS(Tabla1[AÑO PARTO],$B$4,Tabla1[MES PARTO],I6,Tabla1[SALE DEL PROGRAMA POR],"CESAREA",Tabla1[DILIGENCIAMIENTO DE PARTOGRAMA (NO APLICA EN EXPULSIVO)],"NO APLICA",Tabla1[NIVEL DE COMPLEJIDAD DE LA ATENCION DE LA INSTITUCION DONDE SE ATENDIO EL PARTO],"MEDIANA"),COUNTIFS(Tabla1[AÑO PARTO],$B$4,Tabla1[MES PARTO],I6,Tabla1[SALE DEL PROGRAMA POR],"CESAREA",Tabla1[DILIGENCIAMIENTO DE PARTOGRAMA (NO APLICA EN EXPULSIVO)],"NO APLICA",Tabla1[NIVEL DE COMPLEJIDAD DE LA ATENCION DE LA INSTITUCION DONDE SE ATENDIO EL PARTO],"ALTA")))</f>
        <v>3</v>
      </c>
      <c r="J113" s="142">
        <f>SUM(SUM(COUNTIFS(Tabla1[AÑO PARTO],$B$4,Tabla1[MES PARTO],J6,Tabla1[SALE DEL PROGRAMA POR],"PARTO",Tabla1[NIVEL DE COMPLEJIDAD DE LA ATENCION DE LA INSTITUCION DONDE SE ATENDIO EL PARTO],"MEDIANA"),COUNTIFS(Tabla1[AÑO PARTO],$B$4,Tabla1[MES PARTO],J6,Tabla1[SALE DEL PROGRAMA POR],"PARTO",Tabla1[NIVEL DE COMPLEJIDAD DE LA ATENCION DE LA INSTITUCION DONDE SE ATENDIO EL PARTO],"ALTA"),COUNTIFS(Tabla1[AÑO PARTO],$B$4,Tabla1[MES PARTO],J6,Tabla1[SALE DEL PROGRAMA POR],"CESAREA",Tabla1[NIVEL DE COMPLEJIDAD DE LA ATENCION DE LA INSTITUCION DONDE SE ATENDIO EL PARTO],"MEDIANA"),COUNTIFS(Tabla1[AÑO PARTO],$B$4,Tabla1[MES PARTO],J6,Tabla1[SALE DEL PROGRAMA POR],"CESAREA",Tabla1[NIVEL DE COMPLEJIDAD DE LA ATENCION DE LA INSTITUCION DONDE SE ATENDIO EL PARTO],"ALTA"))-SUM(COUNTIFS(Tabla1[AÑO PARTO],$B$4,Tabla1[MES PARTO],J6,Tabla1[SALE DEL PROGRAMA POR],"PARTO",Tabla1[DILIGENCIAMIENTO DE PARTOGRAMA (NO APLICA EN EXPULSIVO)],"NO APLICA",Tabla1[NIVEL DE COMPLEJIDAD DE LA ATENCION DE LA INSTITUCION DONDE SE ATENDIO EL PARTO],"MEDIANA"),COUNTIFS(Tabla1[AÑO PARTO],$B$4,Tabla1[MES PARTO],J6,Tabla1[SALE DEL PROGRAMA POR],"PARTO",Tabla1[DILIGENCIAMIENTO DE PARTOGRAMA (NO APLICA EN EXPULSIVO)],"NO APLICA",Tabla1[NIVEL DE COMPLEJIDAD DE LA ATENCION DE LA INSTITUCION DONDE SE ATENDIO EL PARTO],"ALTA"),COUNTIFS(Tabla1[AÑO PARTO],$B$4,Tabla1[MES PARTO],J6,Tabla1[SALE DEL PROGRAMA POR],"CESAREA",Tabla1[DILIGENCIAMIENTO DE PARTOGRAMA (NO APLICA EN EXPULSIVO)],"NO APLICA",Tabla1[NIVEL DE COMPLEJIDAD DE LA ATENCION DE LA INSTITUCION DONDE SE ATENDIO EL PARTO],"MEDIANA"),COUNTIFS(Tabla1[AÑO PARTO],$B$4,Tabla1[MES PARTO],J6,Tabla1[SALE DEL PROGRAMA POR],"CESAREA",Tabla1[DILIGENCIAMIENTO DE PARTOGRAMA (NO APLICA EN EXPULSIVO)],"NO APLICA",Tabla1[NIVEL DE COMPLEJIDAD DE LA ATENCION DE LA INSTITUCION DONDE SE ATENDIO EL PARTO],"ALTA")))</f>
        <v>0</v>
      </c>
      <c r="K113" s="142">
        <f>SUM(SUM(COUNTIFS(Tabla1[AÑO PARTO],$B$4,Tabla1[MES PARTO],K6,Tabla1[SALE DEL PROGRAMA POR],"PARTO",Tabla1[NIVEL DE COMPLEJIDAD DE LA ATENCION DE LA INSTITUCION DONDE SE ATENDIO EL PARTO],"MEDIANA"),COUNTIFS(Tabla1[AÑO PARTO],$B$4,Tabla1[MES PARTO],K6,Tabla1[SALE DEL PROGRAMA POR],"PARTO",Tabla1[NIVEL DE COMPLEJIDAD DE LA ATENCION DE LA INSTITUCION DONDE SE ATENDIO EL PARTO],"ALTA"),COUNTIFS(Tabla1[AÑO PARTO],$B$4,Tabla1[MES PARTO],K6,Tabla1[SALE DEL PROGRAMA POR],"CESAREA",Tabla1[NIVEL DE COMPLEJIDAD DE LA ATENCION DE LA INSTITUCION DONDE SE ATENDIO EL PARTO],"MEDIANA"),COUNTIFS(Tabla1[AÑO PARTO],$B$4,Tabla1[MES PARTO],K6,Tabla1[SALE DEL PROGRAMA POR],"CESAREA",Tabla1[NIVEL DE COMPLEJIDAD DE LA ATENCION DE LA INSTITUCION DONDE SE ATENDIO EL PARTO],"ALTA"))-SUM(COUNTIFS(Tabla1[AÑO PARTO],$B$4,Tabla1[MES PARTO],K6,Tabla1[SALE DEL PROGRAMA POR],"PARTO",Tabla1[DILIGENCIAMIENTO DE PARTOGRAMA (NO APLICA EN EXPULSIVO)],"NO APLICA",Tabla1[NIVEL DE COMPLEJIDAD DE LA ATENCION DE LA INSTITUCION DONDE SE ATENDIO EL PARTO],"MEDIANA"),COUNTIFS(Tabla1[AÑO PARTO],$B$4,Tabla1[MES PARTO],K6,Tabla1[SALE DEL PROGRAMA POR],"PARTO",Tabla1[DILIGENCIAMIENTO DE PARTOGRAMA (NO APLICA EN EXPULSIVO)],"NO APLICA",Tabla1[NIVEL DE COMPLEJIDAD DE LA ATENCION DE LA INSTITUCION DONDE SE ATENDIO EL PARTO],"ALTA"),COUNTIFS(Tabla1[AÑO PARTO],$B$4,Tabla1[MES PARTO],K6,Tabla1[SALE DEL PROGRAMA POR],"CESAREA",Tabla1[DILIGENCIAMIENTO DE PARTOGRAMA (NO APLICA EN EXPULSIVO)],"NO APLICA",Tabla1[NIVEL DE COMPLEJIDAD DE LA ATENCION DE LA INSTITUCION DONDE SE ATENDIO EL PARTO],"MEDIANA"),COUNTIFS(Tabla1[AÑO PARTO],$B$4,Tabla1[MES PARTO],K6,Tabla1[SALE DEL PROGRAMA POR],"CESAREA",Tabla1[DILIGENCIAMIENTO DE PARTOGRAMA (NO APLICA EN EXPULSIVO)],"NO APLICA",Tabla1[NIVEL DE COMPLEJIDAD DE LA ATENCION DE LA INSTITUCION DONDE SE ATENDIO EL PARTO],"ALTA")))</f>
        <v>0</v>
      </c>
      <c r="L113" s="142">
        <f>SUM(SUM(COUNTIFS(Tabla1[AÑO PARTO],$B$4,Tabla1[MES PARTO],L6,Tabla1[SALE DEL PROGRAMA POR],"PARTO",Tabla1[NIVEL DE COMPLEJIDAD DE LA ATENCION DE LA INSTITUCION DONDE SE ATENDIO EL PARTO],"MEDIANA"),COUNTIFS(Tabla1[AÑO PARTO],$B$4,Tabla1[MES PARTO],L6,Tabla1[SALE DEL PROGRAMA POR],"PARTO",Tabla1[NIVEL DE COMPLEJIDAD DE LA ATENCION DE LA INSTITUCION DONDE SE ATENDIO EL PARTO],"ALTA"),COUNTIFS(Tabla1[AÑO PARTO],$B$4,Tabla1[MES PARTO],L6,Tabla1[SALE DEL PROGRAMA POR],"CESAREA",Tabla1[NIVEL DE COMPLEJIDAD DE LA ATENCION DE LA INSTITUCION DONDE SE ATENDIO EL PARTO],"MEDIANA"),COUNTIFS(Tabla1[AÑO PARTO],$B$4,Tabla1[MES PARTO],L6,Tabla1[SALE DEL PROGRAMA POR],"CESAREA",Tabla1[NIVEL DE COMPLEJIDAD DE LA ATENCION DE LA INSTITUCION DONDE SE ATENDIO EL PARTO],"ALTA"))-SUM(COUNTIFS(Tabla1[AÑO PARTO],$B$4,Tabla1[MES PARTO],L6,Tabla1[SALE DEL PROGRAMA POR],"PARTO",Tabla1[DILIGENCIAMIENTO DE PARTOGRAMA (NO APLICA EN EXPULSIVO)],"NO APLICA",Tabla1[NIVEL DE COMPLEJIDAD DE LA ATENCION DE LA INSTITUCION DONDE SE ATENDIO EL PARTO],"MEDIANA"),COUNTIFS(Tabla1[AÑO PARTO],$B$4,Tabla1[MES PARTO],L6,Tabla1[SALE DEL PROGRAMA POR],"PARTO",Tabla1[DILIGENCIAMIENTO DE PARTOGRAMA (NO APLICA EN EXPULSIVO)],"NO APLICA",Tabla1[NIVEL DE COMPLEJIDAD DE LA ATENCION DE LA INSTITUCION DONDE SE ATENDIO EL PARTO],"ALTA"),COUNTIFS(Tabla1[AÑO PARTO],$B$4,Tabla1[MES PARTO],L6,Tabla1[SALE DEL PROGRAMA POR],"CESAREA",Tabla1[DILIGENCIAMIENTO DE PARTOGRAMA (NO APLICA EN EXPULSIVO)],"NO APLICA",Tabla1[NIVEL DE COMPLEJIDAD DE LA ATENCION DE LA INSTITUCION DONDE SE ATENDIO EL PARTO],"MEDIANA"),COUNTIFS(Tabla1[AÑO PARTO],$B$4,Tabla1[MES PARTO],L6,Tabla1[SALE DEL PROGRAMA POR],"CESAREA",Tabla1[DILIGENCIAMIENTO DE PARTOGRAMA (NO APLICA EN EXPULSIVO)],"NO APLICA",Tabla1[NIVEL DE COMPLEJIDAD DE LA ATENCION DE LA INSTITUCION DONDE SE ATENDIO EL PARTO],"ALTA")))</f>
        <v>0</v>
      </c>
      <c r="M113" s="142">
        <f>SUM(SUM(COUNTIFS(Tabla1[AÑO PARTO],$B$4,Tabla1[MES PARTO],M6,Tabla1[SALE DEL PROGRAMA POR],"PARTO",Tabla1[NIVEL DE COMPLEJIDAD DE LA ATENCION DE LA INSTITUCION DONDE SE ATENDIO EL PARTO],"MEDIANA"),COUNTIFS(Tabla1[AÑO PARTO],$B$4,Tabla1[MES PARTO],M6,Tabla1[SALE DEL PROGRAMA POR],"PARTO",Tabla1[NIVEL DE COMPLEJIDAD DE LA ATENCION DE LA INSTITUCION DONDE SE ATENDIO EL PARTO],"ALTA"),COUNTIFS(Tabla1[AÑO PARTO],$B$4,Tabla1[MES PARTO],M6,Tabla1[SALE DEL PROGRAMA POR],"CESAREA",Tabla1[NIVEL DE COMPLEJIDAD DE LA ATENCION DE LA INSTITUCION DONDE SE ATENDIO EL PARTO],"MEDIANA"),COUNTIFS(Tabla1[AÑO PARTO],$B$4,Tabla1[MES PARTO],M6,Tabla1[SALE DEL PROGRAMA POR],"CESAREA",Tabla1[NIVEL DE COMPLEJIDAD DE LA ATENCION DE LA INSTITUCION DONDE SE ATENDIO EL PARTO],"ALTA"))-SUM(COUNTIFS(Tabla1[AÑO PARTO],$B$4,Tabla1[MES PARTO],M6,Tabla1[SALE DEL PROGRAMA POR],"PARTO",Tabla1[DILIGENCIAMIENTO DE PARTOGRAMA (NO APLICA EN EXPULSIVO)],"NO APLICA",Tabla1[NIVEL DE COMPLEJIDAD DE LA ATENCION DE LA INSTITUCION DONDE SE ATENDIO EL PARTO],"MEDIANA"),COUNTIFS(Tabla1[AÑO PARTO],$B$4,Tabla1[MES PARTO],M6,Tabla1[SALE DEL PROGRAMA POR],"PARTO",Tabla1[DILIGENCIAMIENTO DE PARTOGRAMA (NO APLICA EN EXPULSIVO)],"NO APLICA",Tabla1[NIVEL DE COMPLEJIDAD DE LA ATENCION DE LA INSTITUCION DONDE SE ATENDIO EL PARTO],"ALTA"),COUNTIFS(Tabla1[AÑO PARTO],$B$4,Tabla1[MES PARTO],M6,Tabla1[SALE DEL PROGRAMA POR],"CESAREA",Tabla1[DILIGENCIAMIENTO DE PARTOGRAMA (NO APLICA EN EXPULSIVO)],"NO APLICA",Tabla1[NIVEL DE COMPLEJIDAD DE LA ATENCION DE LA INSTITUCION DONDE SE ATENDIO EL PARTO],"MEDIANA"),COUNTIFS(Tabla1[AÑO PARTO],$B$4,Tabla1[MES PARTO],M6,Tabla1[SALE DEL PROGRAMA POR],"CESAREA",Tabla1[DILIGENCIAMIENTO DE PARTOGRAMA (NO APLICA EN EXPULSIVO)],"NO APLICA",Tabla1[NIVEL DE COMPLEJIDAD DE LA ATENCION DE LA INSTITUCION DONDE SE ATENDIO EL PARTO],"ALTA")))</f>
        <v>0</v>
      </c>
      <c r="N113" s="82">
        <f>SUM(B113:M113)</f>
        <v>50</v>
      </c>
    </row>
    <row r="114" spans="1:14" ht="39" customHeight="1" thickBot="1" x14ac:dyDescent="0.3">
      <c r="A114" s="146" t="s">
        <v>688</v>
      </c>
      <c r="B114" s="83" t="str">
        <f t="shared" ref="B114:N114" si="34">IF(B$113=0,"",SUM(B112/B$113))</f>
        <v/>
      </c>
      <c r="C114" s="84">
        <f t="shared" si="34"/>
        <v>0</v>
      </c>
      <c r="D114" s="84">
        <f t="shared" si="34"/>
        <v>0</v>
      </c>
      <c r="E114" s="84">
        <f t="shared" si="34"/>
        <v>0</v>
      </c>
      <c r="F114" s="84">
        <f t="shared" si="34"/>
        <v>0</v>
      </c>
      <c r="G114" s="84">
        <f t="shared" si="34"/>
        <v>0</v>
      </c>
      <c r="H114" s="84">
        <f t="shared" si="34"/>
        <v>0</v>
      </c>
      <c r="I114" s="84">
        <f t="shared" si="34"/>
        <v>0</v>
      </c>
      <c r="J114" s="84" t="str">
        <f t="shared" si="34"/>
        <v/>
      </c>
      <c r="K114" s="84" t="str">
        <f t="shared" si="34"/>
        <v/>
      </c>
      <c r="L114" s="84" t="str">
        <f t="shared" si="34"/>
        <v/>
      </c>
      <c r="M114" s="84" t="str">
        <f t="shared" si="34"/>
        <v/>
      </c>
      <c r="N114" s="147">
        <f t="shared" si="34"/>
        <v>0</v>
      </c>
    </row>
    <row r="115" spans="1:14" ht="42.75" customHeight="1" thickBot="1" x14ac:dyDescent="0.3">
      <c r="A115" s="131" t="s">
        <v>644</v>
      </c>
      <c r="B115" s="144">
        <f>COUNTIFS(Tabla1[AÑO PARTO],$B$4,Tabla1[MES PARTO],B6,Tabla1[SALE DEL PROGRAMA POR],"PARTO",Tabla1[NIVEL DE COMPLEJIDAD DE LA ATENCION DE LA INSTITUCION DONDE SE ATENDIO EL PARTO],"BAJA",Tabla1[MANEJO ACTIVO DEL TERCER PERIODO DEL PARTO (USO OXITOCINA,MASAJE UTERINO Y TRACCIÓN SOSTENIDA DE CORDÓN)2],"SI")</f>
        <v>0</v>
      </c>
      <c r="C115" s="132">
        <f>COUNTIFS(Tabla1[AÑO PARTO],$B$4,Tabla1[MES PARTO],C6,Tabla1[SALE DEL PROGRAMA POR],"PARTO",Tabla1[NIVEL DE COMPLEJIDAD DE LA ATENCION DE LA INSTITUCION DONDE SE ATENDIO EL PARTO],"BAJA",Tabla1[MANEJO ACTIVO DEL TERCER PERIODO DEL PARTO (USO OXITOCINA,MASAJE UTERINO Y TRACCIÓN SOSTENIDA DE CORDÓN)2],"SI")</f>
        <v>0</v>
      </c>
      <c r="D115" s="132">
        <f>COUNTIFS(Tabla1[AÑO PARTO],$B$4,Tabla1[MES PARTO],D6,Tabla1[SALE DEL PROGRAMA POR],"PARTO",Tabla1[NIVEL DE COMPLEJIDAD DE LA ATENCION DE LA INSTITUCION DONDE SE ATENDIO EL PARTO],"BAJA",Tabla1[MANEJO ACTIVO DEL TERCER PERIODO DEL PARTO (USO OXITOCINA,MASAJE UTERINO Y TRACCIÓN SOSTENIDA DE CORDÓN)2],"SI")</f>
        <v>0</v>
      </c>
      <c r="E115" s="132">
        <f>COUNTIFS(Tabla1[AÑO PARTO],$B$4,Tabla1[MES PARTO],E6,Tabla1[SALE DEL PROGRAMA POR],"PARTO",Tabla1[NIVEL DE COMPLEJIDAD DE LA ATENCION DE LA INSTITUCION DONDE SE ATENDIO EL PARTO],"BAJA",Tabla1[MANEJO ACTIVO DEL TERCER PERIODO DEL PARTO (USO OXITOCINA,MASAJE UTERINO Y TRACCIÓN SOSTENIDA DE CORDÓN)2],"SI")</f>
        <v>0</v>
      </c>
      <c r="F115" s="132">
        <f>COUNTIFS(Tabla1[AÑO PARTO],$B$4,Tabla1[MES PARTO],F6,Tabla1[SALE DEL PROGRAMA POR],"PARTO",Tabla1[NIVEL DE COMPLEJIDAD DE LA ATENCION DE LA INSTITUCION DONDE SE ATENDIO EL PARTO],"BAJA",Tabla1[MANEJO ACTIVO DEL TERCER PERIODO DEL PARTO (USO OXITOCINA,MASAJE UTERINO Y TRACCIÓN SOSTENIDA DE CORDÓN)2],"SI")</f>
        <v>0</v>
      </c>
      <c r="G115" s="132">
        <f>COUNTIFS(Tabla1[AÑO PARTO],$B$4,Tabla1[MES PARTO],G6,Tabla1[SALE DEL PROGRAMA POR],"PARTO",Tabla1[NIVEL DE COMPLEJIDAD DE LA ATENCION DE LA INSTITUCION DONDE SE ATENDIO EL PARTO],"BAJA",Tabla1[MANEJO ACTIVO DEL TERCER PERIODO DEL PARTO (USO OXITOCINA,MASAJE UTERINO Y TRACCIÓN SOSTENIDA DE CORDÓN)2],"SI")</f>
        <v>0</v>
      </c>
      <c r="H115" s="132">
        <f>COUNTIFS(Tabla1[AÑO PARTO],$B$4,Tabla1[MES PARTO],H6,Tabla1[SALE DEL PROGRAMA POR],"PARTO",Tabla1[NIVEL DE COMPLEJIDAD DE LA ATENCION DE LA INSTITUCION DONDE SE ATENDIO EL PARTO],"BAJA",Tabla1[MANEJO ACTIVO DEL TERCER PERIODO DEL PARTO (USO OXITOCINA,MASAJE UTERINO Y TRACCIÓN SOSTENIDA DE CORDÓN)2],"SI")</f>
        <v>0</v>
      </c>
      <c r="I115" s="132">
        <f>COUNTIFS(Tabla1[AÑO PARTO],$B$4,Tabla1[MES PARTO],I6,Tabla1[SALE DEL PROGRAMA POR],"PARTO",Tabla1[NIVEL DE COMPLEJIDAD DE LA ATENCION DE LA INSTITUCION DONDE SE ATENDIO EL PARTO],"BAJA",Tabla1[MANEJO ACTIVO DEL TERCER PERIODO DEL PARTO (USO OXITOCINA,MASAJE UTERINO Y TRACCIÓN SOSTENIDA DE CORDÓN)2],"SI")</f>
        <v>0</v>
      </c>
      <c r="J115" s="132">
        <f>COUNTIFS(Tabla1[AÑO PARTO],$B$4,Tabla1[MES PARTO],J6,Tabla1[SALE DEL PROGRAMA POR],"PARTO",Tabla1[NIVEL DE COMPLEJIDAD DE LA ATENCION DE LA INSTITUCION DONDE SE ATENDIO EL PARTO],"BAJA",Tabla1[MANEJO ACTIVO DEL TERCER PERIODO DEL PARTO (USO OXITOCINA,MASAJE UTERINO Y TRACCIÓN SOSTENIDA DE CORDÓN)2],"SI")</f>
        <v>0</v>
      </c>
      <c r="K115" s="132">
        <f>COUNTIFS(Tabla1[AÑO PARTO],$B$4,Tabla1[MES PARTO],K6,Tabla1[SALE DEL PROGRAMA POR],"PARTO",Tabla1[NIVEL DE COMPLEJIDAD DE LA ATENCION DE LA INSTITUCION DONDE SE ATENDIO EL PARTO],"BAJA",Tabla1[MANEJO ACTIVO DEL TERCER PERIODO DEL PARTO (USO OXITOCINA,MASAJE UTERINO Y TRACCIÓN SOSTENIDA DE CORDÓN)2],"SI")</f>
        <v>0</v>
      </c>
      <c r="L115" s="132">
        <f>COUNTIFS(Tabla1[AÑO PARTO],$B$4,Tabla1[MES PARTO],L6,Tabla1[SALE DEL PROGRAMA POR],"PARTO",Tabla1[NIVEL DE COMPLEJIDAD DE LA ATENCION DE LA INSTITUCION DONDE SE ATENDIO EL PARTO],"BAJA",Tabla1[MANEJO ACTIVO DEL TERCER PERIODO DEL PARTO (USO OXITOCINA,MASAJE UTERINO Y TRACCIÓN SOSTENIDA DE CORDÓN)2],"SI")</f>
        <v>0</v>
      </c>
      <c r="M115" s="132">
        <f>COUNTIFS(Tabla1[AÑO PARTO],$B$4,Tabla1[MES PARTO],M6,Tabla1[SALE DEL PROGRAMA POR],"PARTO",Tabla1[NIVEL DE COMPLEJIDAD DE LA ATENCION DE LA INSTITUCION DONDE SE ATENDIO EL PARTO],"BAJA",Tabla1[MANEJO ACTIVO DEL TERCER PERIODO DEL PARTO (USO OXITOCINA,MASAJE UTERINO Y TRACCIÓN SOSTENIDA DE CORDÓN)2],"SI")</f>
        <v>0</v>
      </c>
      <c r="N115" s="145">
        <f>SUM(B115:M115)</f>
        <v>0</v>
      </c>
    </row>
    <row r="116" spans="1:14" ht="42.75" customHeight="1" thickBot="1" x14ac:dyDescent="0.3">
      <c r="A116" s="151" t="s">
        <v>661</v>
      </c>
      <c r="B116" s="144" t="str">
        <f>IF(B$102=0,"",SUM(B115/B$102))</f>
        <v/>
      </c>
      <c r="C116" s="132">
        <f t="shared" ref="C116:N116" si="35">IF(C$102=0,"",SUM(C115/C$102))</f>
        <v>0</v>
      </c>
      <c r="D116" s="132">
        <f t="shared" si="35"/>
        <v>0</v>
      </c>
      <c r="E116" s="132">
        <f t="shared" si="35"/>
        <v>0</v>
      </c>
      <c r="F116" s="132">
        <f t="shared" si="35"/>
        <v>0</v>
      </c>
      <c r="G116" s="132" t="str">
        <f t="shared" si="35"/>
        <v/>
      </c>
      <c r="H116" s="132">
        <f t="shared" si="35"/>
        <v>0</v>
      </c>
      <c r="I116" s="132" t="str">
        <f t="shared" si="35"/>
        <v/>
      </c>
      <c r="J116" s="132" t="str">
        <f t="shared" si="35"/>
        <v/>
      </c>
      <c r="K116" s="132" t="str">
        <f t="shared" si="35"/>
        <v/>
      </c>
      <c r="L116" s="132" t="str">
        <f t="shared" si="35"/>
        <v/>
      </c>
      <c r="M116" s="132" t="str">
        <f t="shared" si="35"/>
        <v/>
      </c>
      <c r="N116" s="145">
        <f t="shared" si="35"/>
        <v>0</v>
      </c>
    </row>
    <row r="117" spans="1:14" ht="42.75" customHeight="1" thickBot="1" x14ac:dyDescent="0.3">
      <c r="A117" s="131" t="s">
        <v>645</v>
      </c>
      <c r="B117" s="144">
        <f>SUM(COUNTIFS(Tabla1[AÑO PARTO],$B$4,Tabla1[MES PARTO],B6,Tabla1[NIVEL DE COMPLEJIDAD DE LA ATENCION DE LA INSTITUCION DONDE SE ATENDIO EL PARTO],"MEDIANA",Tabla1[MANEJO ACTIVO DEL TERCER PERIODO DEL PARTO (USO OXITOCINA,MASAJE UTERINO Y TRACCIÓN SOSTENIDA DE CORDÓN)2],"SI" ),COUNTIFS(Tabla1[AÑO PARTO],$B$4,Tabla1[MES PARTO],B6,Tabla1[NIVEL DE COMPLEJIDAD DE LA ATENCION DE LA INSTITUCION DONDE SE ATENDIO EL PARTO],"ALTA",Tabla1[MANEJO ACTIVO DEL TERCER PERIODO DEL PARTO (USO OXITOCINA,MASAJE UTERINO Y TRACCIÓN SOSTENIDA DE CORDÓN)2],"SI"))</f>
        <v>0</v>
      </c>
      <c r="C117" s="148">
        <f>SUM(COUNTIFS(Tabla1[AÑO PARTO],$B$4,Tabla1[MES PARTO],C6,Tabla1[NIVEL DE COMPLEJIDAD DE LA ATENCION DE LA INSTITUCION DONDE SE ATENDIO EL PARTO],"MEDIANA",Tabla1[MANEJO ACTIVO DEL TERCER PERIODO DEL PARTO (USO OXITOCINA,MASAJE UTERINO Y TRACCIÓN SOSTENIDA DE CORDÓN)2],"SI" ),COUNTIFS(Tabla1[AÑO PARTO],$B$4,Tabla1[MES PARTO],C6,Tabla1[NIVEL DE COMPLEJIDAD DE LA ATENCION DE LA INSTITUCION DONDE SE ATENDIO EL PARTO],"ALTA",Tabla1[MANEJO ACTIVO DEL TERCER PERIODO DEL PARTO (USO OXITOCINA,MASAJE UTERINO Y TRACCIÓN SOSTENIDA DE CORDÓN)2],"SI"))</f>
        <v>0</v>
      </c>
      <c r="D117" s="148">
        <f>SUM(COUNTIFS(Tabla1[AÑO PARTO],$B$4,Tabla1[MES PARTO],D6,Tabla1[NIVEL DE COMPLEJIDAD DE LA ATENCION DE LA INSTITUCION DONDE SE ATENDIO EL PARTO],"MEDIANA",Tabla1[MANEJO ACTIVO DEL TERCER PERIODO DEL PARTO (USO OXITOCINA,MASAJE UTERINO Y TRACCIÓN SOSTENIDA DE CORDÓN)2],"SI" ),COUNTIFS(Tabla1[AÑO PARTO],$B$4,Tabla1[MES PARTO],D6,Tabla1[NIVEL DE COMPLEJIDAD DE LA ATENCION DE LA INSTITUCION DONDE SE ATENDIO EL PARTO],"ALTA",Tabla1[MANEJO ACTIVO DEL TERCER PERIODO DEL PARTO (USO OXITOCINA,MASAJE UTERINO Y TRACCIÓN SOSTENIDA DE CORDÓN)2],"SI"))</f>
        <v>0</v>
      </c>
      <c r="E117" s="148">
        <f>SUM(COUNTIFS(Tabla1[AÑO PARTO],$B$4,Tabla1[MES PARTO],E6,Tabla1[NIVEL DE COMPLEJIDAD DE LA ATENCION DE LA INSTITUCION DONDE SE ATENDIO EL PARTO],"MEDIANA",Tabla1[MANEJO ACTIVO DEL TERCER PERIODO DEL PARTO (USO OXITOCINA,MASAJE UTERINO Y TRACCIÓN SOSTENIDA DE CORDÓN)2],"SI" ),COUNTIFS(Tabla1[AÑO PARTO],$B$4,Tabla1[MES PARTO],E6,Tabla1[NIVEL DE COMPLEJIDAD DE LA ATENCION DE LA INSTITUCION DONDE SE ATENDIO EL PARTO],"ALTA",Tabla1[MANEJO ACTIVO DEL TERCER PERIODO DEL PARTO (USO OXITOCINA,MASAJE UTERINO Y TRACCIÓN SOSTENIDA DE CORDÓN)2],"SI"))</f>
        <v>0</v>
      </c>
      <c r="F117" s="148">
        <f>SUM(COUNTIFS(Tabla1[AÑO PARTO],$B$4,Tabla1[MES PARTO],F6,Tabla1[NIVEL DE COMPLEJIDAD DE LA ATENCION DE LA INSTITUCION DONDE SE ATENDIO EL PARTO],"MEDIANA",Tabla1[MANEJO ACTIVO DEL TERCER PERIODO DEL PARTO (USO OXITOCINA,MASAJE UTERINO Y TRACCIÓN SOSTENIDA DE CORDÓN)2],"SI" ),COUNTIFS(Tabla1[AÑO PARTO],$B$4,Tabla1[MES PARTO],F6,Tabla1[NIVEL DE COMPLEJIDAD DE LA ATENCION DE LA INSTITUCION DONDE SE ATENDIO EL PARTO],"ALTA",Tabla1[MANEJO ACTIVO DEL TERCER PERIODO DEL PARTO (USO OXITOCINA,MASAJE UTERINO Y TRACCIÓN SOSTENIDA DE CORDÓN)2],"SI"))</f>
        <v>0</v>
      </c>
      <c r="G117" s="148">
        <f>SUM(COUNTIFS(Tabla1[AÑO PARTO],$B$4,Tabla1[MES PARTO],G6,Tabla1[NIVEL DE COMPLEJIDAD DE LA ATENCION DE LA INSTITUCION DONDE SE ATENDIO EL PARTO],"MEDIANA",Tabla1[MANEJO ACTIVO DEL TERCER PERIODO DEL PARTO (USO OXITOCINA,MASAJE UTERINO Y TRACCIÓN SOSTENIDA DE CORDÓN)2],"SI" ),COUNTIFS(Tabla1[AÑO PARTO],$B$4,Tabla1[MES PARTO],G6,Tabla1[NIVEL DE COMPLEJIDAD DE LA ATENCION DE LA INSTITUCION DONDE SE ATENDIO EL PARTO],"ALTA",Tabla1[MANEJO ACTIVO DEL TERCER PERIODO DEL PARTO (USO OXITOCINA,MASAJE UTERINO Y TRACCIÓN SOSTENIDA DE CORDÓN)2],"SI"))</f>
        <v>0</v>
      </c>
      <c r="H117" s="148">
        <f>SUM(COUNTIFS(Tabla1[AÑO PARTO],$B$4,Tabla1[MES PARTO],H6,Tabla1[NIVEL DE COMPLEJIDAD DE LA ATENCION DE LA INSTITUCION DONDE SE ATENDIO EL PARTO],"MEDIANA",Tabla1[MANEJO ACTIVO DEL TERCER PERIODO DEL PARTO (USO OXITOCINA,MASAJE UTERINO Y TRACCIÓN SOSTENIDA DE CORDÓN)2],"SI" ),COUNTIFS(Tabla1[AÑO PARTO],$B$4,Tabla1[MES PARTO],H6,Tabla1[NIVEL DE COMPLEJIDAD DE LA ATENCION DE LA INSTITUCION DONDE SE ATENDIO EL PARTO],"ALTA",Tabla1[MANEJO ACTIVO DEL TERCER PERIODO DEL PARTO (USO OXITOCINA,MASAJE UTERINO Y TRACCIÓN SOSTENIDA DE CORDÓN)2],"SI"))</f>
        <v>0</v>
      </c>
      <c r="I117" s="148">
        <f>SUM(COUNTIFS(Tabla1[AÑO PARTO],$B$4,Tabla1[MES PARTO],I6,Tabla1[NIVEL DE COMPLEJIDAD DE LA ATENCION DE LA INSTITUCION DONDE SE ATENDIO EL PARTO],"MEDIANA",Tabla1[MANEJO ACTIVO DEL TERCER PERIODO DEL PARTO (USO OXITOCINA,MASAJE UTERINO Y TRACCIÓN SOSTENIDA DE CORDÓN)2],"SI" ),COUNTIFS(Tabla1[AÑO PARTO],$B$4,Tabla1[MES PARTO],I6,Tabla1[NIVEL DE COMPLEJIDAD DE LA ATENCION DE LA INSTITUCION DONDE SE ATENDIO EL PARTO],"ALTA",Tabla1[MANEJO ACTIVO DEL TERCER PERIODO DEL PARTO (USO OXITOCINA,MASAJE UTERINO Y TRACCIÓN SOSTENIDA DE CORDÓN)2],"SI"))</f>
        <v>0</v>
      </c>
      <c r="J117" s="148">
        <f>SUM(COUNTIFS(Tabla1[AÑO PARTO],$B$4,Tabla1[MES PARTO],J6,Tabla1[NIVEL DE COMPLEJIDAD DE LA ATENCION DE LA INSTITUCION DONDE SE ATENDIO EL PARTO],"MEDIANA",Tabla1[MANEJO ACTIVO DEL TERCER PERIODO DEL PARTO (USO OXITOCINA,MASAJE UTERINO Y TRACCIÓN SOSTENIDA DE CORDÓN)2],"SI" ),COUNTIFS(Tabla1[AÑO PARTO],$B$4,Tabla1[MES PARTO],J6,Tabla1[NIVEL DE COMPLEJIDAD DE LA ATENCION DE LA INSTITUCION DONDE SE ATENDIO EL PARTO],"ALTA",Tabla1[MANEJO ACTIVO DEL TERCER PERIODO DEL PARTO (USO OXITOCINA,MASAJE UTERINO Y TRACCIÓN SOSTENIDA DE CORDÓN)2],"SI"))</f>
        <v>0</v>
      </c>
      <c r="K117" s="148">
        <f>SUM(COUNTIFS(Tabla1[AÑO PARTO],$B$4,Tabla1[MES PARTO],K6,Tabla1[NIVEL DE COMPLEJIDAD DE LA ATENCION DE LA INSTITUCION DONDE SE ATENDIO EL PARTO],"MEDIANA",Tabla1[MANEJO ACTIVO DEL TERCER PERIODO DEL PARTO (USO OXITOCINA,MASAJE UTERINO Y TRACCIÓN SOSTENIDA DE CORDÓN)2],"SI" ),COUNTIFS(Tabla1[AÑO PARTO],$B$4,Tabla1[MES PARTO],K6,Tabla1[NIVEL DE COMPLEJIDAD DE LA ATENCION DE LA INSTITUCION DONDE SE ATENDIO EL PARTO],"ALTA",Tabla1[MANEJO ACTIVO DEL TERCER PERIODO DEL PARTO (USO OXITOCINA,MASAJE UTERINO Y TRACCIÓN SOSTENIDA DE CORDÓN)2],"SI"))</f>
        <v>0</v>
      </c>
      <c r="L117" s="148">
        <f>SUM(COUNTIFS(Tabla1[AÑO PARTO],$B$4,Tabla1[MES PARTO],L6,Tabla1[NIVEL DE COMPLEJIDAD DE LA ATENCION DE LA INSTITUCION DONDE SE ATENDIO EL PARTO],"MEDIANA",Tabla1[MANEJO ACTIVO DEL TERCER PERIODO DEL PARTO (USO OXITOCINA,MASAJE UTERINO Y TRACCIÓN SOSTENIDA DE CORDÓN)2],"SI" ),COUNTIFS(Tabla1[AÑO PARTO],$B$4,Tabla1[MES PARTO],L6,Tabla1[NIVEL DE COMPLEJIDAD DE LA ATENCION DE LA INSTITUCION DONDE SE ATENDIO EL PARTO],"ALTA",Tabla1[MANEJO ACTIVO DEL TERCER PERIODO DEL PARTO (USO OXITOCINA,MASAJE UTERINO Y TRACCIÓN SOSTENIDA DE CORDÓN)2],"SI"))</f>
        <v>0</v>
      </c>
      <c r="M117" s="148">
        <f>SUM(COUNTIFS(Tabla1[AÑO PARTO],$B$4,Tabla1[MES PARTO],M6,Tabla1[NIVEL DE COMPLEJIDAD DE LA ATENCION DE LA INSTITUCION DONDE SE ATENDIO EL PARTO],"MEDIANA",Tabla1[MANEJO ACTIVO DEL TERCER PERIODO DEL PARTO (USO OXITOCINA,MASAJE UTERINO Y TRACCIÓN SOSTENIDA DE CORDÓN)2],"SI" ),COUNTIFS(Tabla1[AÑO PARTO],$B$4,Tabla1[MES PARTO],M6,Tabla1[NIVEL DE COMPLEJIDAD DE LA ATENCION DE LA INSTITUCION DONDE SE ATENDIO EL PARTO],"ALTA",Tabla1[MANEJO ACTIVO DEL TERCER PERIODO DEL PARTO (USO OXITOCINA,MASAJE UTERINO Y TRACCIÓN SOSTENIDA DE CORDÓN)2],"SI"))</f>
        <v>0</v>
      </c>
      <c r="N117" s="145">
        <f>SUM(B117:M117)</f>
        <v>0</v>
      </c>
    </row>
    <row r="118" spans="1:14" ht="42.75" customHeight="1" thickBot="1" x14ac:dyDescent="0.3">
      <c r="A118" s="146" t="s">
        <v>646</v>
      </c>
      <c r="B118" s="144" t="str">
        <f t="shared" ref="B118:N118" si="36">IF(B$107=0,"",SUM(B117/B$107))</f>
        <v/>
      </c>
      <c r="C118" s="132">
        <f t="shared" si="36"/>
        <v>0</v>
      </c>
      <c r="D118" s="132">
        <f t="shared" si="36"/>
        <v>0</v>
      </c>
      <c r="E118" s="132">
        <f t="shared" si="36"/>
        <v>0</v>
      </c>
      <c r="F118" s="132">
        <f t="shared" si="36"/>
        <v>0</v>
      </c>
      <c r="G118" s="132">
        <f t="shared" si="36"/>
        <v>0</v>
      </c>
      <c r="H118" s="132">
        <f t="shared" si="36"/>
        <v>0</v>
      </c>
      <c r="I118" s="132">
        <f t="shared" si="36"/>
        <v>0</v>
      </c>
      <c r="J118" s="132" t="str">
        <f t="shared" si="36"/>
        <v/>
      </c>
      <c r="K118" s="132" t="str">
        <f t="shared" si="36"/>
        <v/>
      </c>
      <c r="L118" s="132" t="str">
        <f t="shared" si="36"/>
        <v/>
      </c>
      <c r="M118" s="132" t="str">
        <f t="shared" si="36"/>
        <v/>
      </c>
      <c r="N118" s="145">
        <f t="shared" si="36"/>
        <v>0</v>
      </c>
    </row>
    <row r="119" spans="1:14" ht="42.75" customHeight="1" thickBot="1" x14ac:dyDescent="0.3">
      <c r="A119" s="131" t="s">
        <v>717</v>
      </c>
      <c r="B119" s="144">
        <f>COUNTIFS(Tabla1[AÑO PARTO],$B$4,Tabla1[MES PARTO],B6,Tabla1[SALE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C119" s="148">
        <f>COUNTIFS(Tabla1[AÑO PARTO],$B$4,Tabla1[MES PARTO],C6,Tabla1[SALE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D119" s="148">
        <f>COUNTIFS(Tabla1[AÑO PARTO],$B$4,Tabla1[MES PARTO],D6,Tabla1[SALE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E119" s="148">
        <f>COUNTIFS(Tabla1[AÑO PARTO],$B$4,Tabla1[MES PARTO],E6,Tabla1[SALE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F119" s="148">
        <f>COUNTIFS(Tabla1[AÑO PARTO],$B$4,Tabla1[MES PARTO],F6,Tabla1[SALE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G119" s="148">
        <f>COUNTIFS(Tabla1[AÑO PARTO],$B$4,Tabla1[MES PARTO],G6,Tabla1[SALE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H119" s="148">
        <f>COUNTIFS(Tabla1[AÑO PARTO],$B$4,Tabla1[MES PARTO],H6,Tabla1[SALE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I119" s="148">
        <f>COUNTIFS(Tabla1[AÑO PARTO],$B$4,Tabla1[MES PARTO],I6,Tabla1[SALE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J119" s="148">
        <f>COUNTIFS(Tabla1[AÑO PARTO],$B$4,Tabla1[MES PARTO],J6,Tabla1[SALE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K119" s="148">
        <f>COUNTIFS(Tabla1[AÑO PARTO],$B$4,Tabla1[MES PARTO],K6,Tabla1[SALE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L119" s="148">
        <f>COUNTIFS(Tabla1[AÑO PARTO],$B$4,Tabla1[MES PARTO],L6,Tabla1[SALE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M119" s="148">
        <f>COUNTIFS(Tabla1[AÑO PARTO],$B$4,Tabla1[MES PARTO],M6,Tabla1[SALE DEL PROGRAMA POR],"PARTO",Tabla1[NIVEL DE COMPLEJIDAD DE LA ATENCION DE LA INSTITUCION DONDE SE ATENDIO EL PARTO],"BAJA",Tabla1[MONITORIA CADA 15 MINUTOS DE SIGNOS VITALES DURANTES LAS PRIMERAS DOS HORAS POSTPARTO (SOPORTE EN HC - 8 VALORACIONES EN LAS PRIMERAS 2 HORAS)],"SI")</f>
        <v>0</v>
      </c>
      <c r="N119" s="145">
        <f>SUM(B119:M119)</f>
        <v>0</v>
      </c>
    </row>
    <row r="120" spans="1:14" ht="42.75" customHeight="1" thickBot="1" x14ac:dyDescent="0.3">
      <c r="A120" s="151" t="s">
        <v>715</v>
      </c>
      <c r="B120" s="144" t="str">
        <f t="shared" ref="B120:N120" si="37">IF(B$102=0,"",SUM(B119/B$102))</f>
        <v/>
      </c>
      <c r="C120" s="132">
        <f t="shared" si="37"/>
        <v>0</v>
      </c>
      <c r="D120" s="132">
        <f t="shared" si="37"/>
        <v>0</v>
      </c>
      <c r="E120" s="132">
        <f t="shared" si="37"/>
        <v>0</v>
      </c>
      <c r="F120" s="132">
        <f t="shared" si="37"/>
        <v>0</v>
      </c>
      <c r="G120" s="132" t="str">
        <f t="shared" si="37"/>
        <v/>
      </c>
      <c r="H120" s="132">
        <f t="shared" si="37"/>
        <v>0</v>
      </c>
      <c r="I120" s="132" t="str">
        <f t="shared" si="37"/>
        <v/>
      </c>
      <c r="J120" s="132" t="str">
        <f t="shared" si="37"/>
        <v/>
      </c>
      <c r="K120" s="132" t="str">
        <f t="shared" si="37"/>
        <v/>
      </c>
      <c r="L120" s="132" t="str">
        <f t="shared" si="37"/>
        <v/>
      </c>
      <c r="M120" s="132" t="str">
        <f t="shared" si="37"/>
        <v/>
      </c>
      <c r="N120" s="145">
        <f t="shared" si="37"/>
        <v>0</v>
      </c>
    </row>
    <row r="121" spans="1:14" ht="42.75" customHeight="1" thickBot="1" x14ac:dyDescent="0.3">
      <c r="A121" s="131" t="s">
        <v>718</v>
      </c>
      <c r="B121" s="144">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C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D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E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F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G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H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I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J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K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L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M121" s="133">
        <f>SUM(COUNTIFS(Tabla1[AÑO PARTO],$B$4,Tabla1[MES PARTO],B6,Tabla1[NIVEL DE COMPLEJIDAD DE LA ATENCION DE LA INSTITUCION DONDE SE ATENDIO EL PARTO],"MEDIANA",Tabla1[MONITORIA CADA 15 MINUTOS DE SIGNOS VITALES DURANTES LAS PRIMERAS DOS HORAS POSTPARTO (SOPORTE EN HC - 8 VALORACIONES EN LAS PRIMERAS 2 HORAS)],"SI" ),COUNTIFS(Tabla1[AÑO PARTO],$B$4,Tabla1[MES PARTO],B6,Tabla1[NIVEL DE COMPLEJIDAD DE LA ATENCION DE LA INSTITUCION DONDE SE ATENDIO EL PARTO],"ALTA",Tabla1[MONITORIA CADA 15 MINUTOS DE SIGNOS VITALES DURANTES LAS PRIMERAS DOS HORAS POSTPARTO (SOPORTE EN HC - 8 VALORACIONES EN LAS PRIMERAS 2 HORAS)],"SI"))</f>
        <v>0</v>
      </c>
      <c r="N121" s="145">
        <f>SUM(B121:M121)</f>
        <v>0</v>
      </c>
    </row>
    <row r="122" spans="1:14" ht="42.75" customHeight="1" thickBot="1" x14ac:dyDescent="0.3">
      <c r="A122" s="146" t="s">
        <v>716</v>
      </c>
      <c r="B122" s="144" t="str">
        <f t="shared" ref="B122:N122" si="38">IF(B$107=0,"",SUM(B121/B$107))</f>
        <v/>
      </c>
      <c r="C122" s="132">
        <f t="shared" si="38"/>
        <v>0</v>
      </c>
      <c r="D122" s="132">
        <f t="shared" si="38"/>
        <v>0</v>
      </c>
      <c r="E122" s="132">
        <f t="shared" si="38"/>
        <v>0</v>
      </c>
      <c r="F122" s="132">
        <f t="shared" si="38"/>
        <v>0</v>
      </c>
      <c r="G122" s="132">
        <f t="shared" si="38"/>
        <v>0</v>
      </c>
      <c r="H122" s="132">
        <f t="shared" si="38"/>
        <v>0</v>
      </c>
      <c r="I122" s="132">
        <f t="shared" si="38"/>
        <v>0</v>
      </c>
      <c r="J122" s="132" t="str">
        <f t="shared" si="38"/>
        <v/>
      </c>
      <c r="K122" s="132" t="str">
        <f t="shared" si="38"/>
        <v/>
      </c>
      <c r="L122" s="132" t="str">
        <f t="shared" si="38"/>
        <v/>
      </c>
      <c r="M122" s="132" t="str">
        <f t="shared" si="38"/>
        <v/>
      </c>
      <c r="N122" s="145">
        <f t="shared" si="38"/>
        <v>0</v>
      </c>
    </row>
    <row r="123" spans="1:14" ht="49.5" customHeight="1" thickBot="1" x14ac:dyDescent="0.3">
      <c r="A123" s="131" t="s">
        <v>629</v>
      </c>
      <c r="B123" s="133">
        <f>COUNTIFS(Tabla1[AÑO PARTO],B4,Tabla1[MES PARTO],B6,Tabla1[SALE DEL PROGRAMA POR],"PARTO",Tabla1[NIVEL DE COMPLEJIDAD DE LA ATENCION DE LA INSTITUCION DONDE SE ATENDIO EL PARTO],"BAJA",Tabla1[[PUERPERA SALE CON PLANIFICACIÓN FAMILIAR POST EVENTO OBSTETRICO ]],"SI")</f>
        <v>0</v>
      </c>
      <c r="C123" s="133">
        <f>COUNTIFS(Tabla1[AÑO PARTO],B4,Tabla1[MES PARTO],C6,Tabla1[SALE DEL PROGRAMA POR],"PARTO",Tabla1[NIVEL DE COMPLEJIDAD DE LA ATENCION DE LA INSTITUCION DONDE SE ATENDIO EL PARTO],"BAJA",Tabla1[[PUERPERA SALE CON PLANIFICACIÓN FAMILIAR POST EVENTO OBSTETRICO ]],"SI")</f>
        <v>0</v>
      </c>
      <c r="D123" s="133">
        <f>COUNTIFS(Tabla1[AÑO PARTO],B4,Tabla1[MES PARTO],D6,Tabla1[SALE DEL PROGRAMA POR],"PARTO",Tabla1[NIVEL DE COMPLEJIDAD DE LA ATENCION DE LA INSTITUCION DONDE SE ATENDIO EL PARTO],"BAJA",Tabla1[[PUERPERA SALE CON PLANIFICACIÓN FAMILIAR POST EVENTO OBSTETRICO ]],"SI")</f>
        <v>0</v>
      </c>
      <c r="E123" s="133">
        <f>COUNTIFS(Tabla1[AÑO PARTO],B4,Tabla1[MES PARTO],E6,Tabla1[SALE DEL PROGRAMA POR],"PARTO",Tabla1[NIVEL DE COMPLEJIDAD DE LA ATENCION DE LA INSTITUCION DONDE SE ATENDIO EL PARTO],"BAJA",Tabla1[[PUERPERA SALE CON PLANIFICACIÓN FAMILIAR POST EVENTO OBSTETRICO ]],"SI")</f>
        <v>0</v>
      </c>
      <c r="F123" s="133">
        <f>COUNTIFS(Tabla1[AÑO PARTO],B4,Tabla1[MES PARTO],F6,Tabla1[SALE DEL PROGRAMA POR],"PARTO",Tabla1[NIVEL DE COMPLEJIDAD DE LA ATENCION DE LA INSTITUCION DONDE SE ATENDIO EL PARTO],"BAJA",Tabla1[[PUERPERA SALE CON PLANIFICACIÓN FAMILIAR POST EVENTO OBSTETRICO ]],"SI")</f>
        <v>0</v>
      </c>
      <c r="G123" s="133">
        <f>COUNTIFS(Tabla1[AÑO PARTO],B4,Tabla1[MES PARTO],G6,Tabla1[SALE DEL PROGRAMA POR],"PARTO",Tabla1[NIVEL DE COMPLEJIDAD DE LA ATENCION DE LA INSTITUCION DONDE SE ATENDIO EL PARTO],"BAJA",Tabla1[[PUERPERA SALE CON PLANIFICACIÓN FAMILIAR POST EVENTO OBSTETRICO ]],"SI")</f>
        <v>0</v>
      </c>
      <c r="H123" s="133">
        <f>COUNTIFS(Tabla1[AÑO PARTO],B4,Tabla1[MES PARTO],H6,Tabla1[SALE DEL PROGRAMA POR],"PARTO",Tabla1[NIVEL DE COMPLEJIDAD DE LA ATENCION DE LA INSTITUCION DONDE SE ATENDIO EL PARTO],"BAJA",Tabla1[[PUERPERA SALE CON PLANIFICACIÓN FAMILIAR POST EVENTO OBSTETRICO ]],"SI")</f>
        <v>0</v>
      </c>
      <c r="I123" s="133">
        <f>COUNTIFS(Tabla1[AÑO PARTO],B4,Tabla1[MES PARTO],I6,Tabla1[SALE DEL PROGRAMA POR],"PARTO",Tabla1[NIVEL DE COMPLEJIDAD DE LA ATENCION DE LA INSTITUCION DONDE SE ATENDIO EL PARTO],"BAJA",Tabla1[[PUERPERA SALE CON PLANIFICACIÓN FAMILIAR POST EVENTO OBSTETRICO ]],"SI")</f>
        <v>0</v>
      </c>
      <c r="J123" s="133">
        <f>COUNTIFS(Tabla1[AÑO PARTO],B4,Tabla1[MES PARTO],J6,Tabla1[SALE DEL PROGRAMA POR],"PARTO",Tabla1[NIVEL DE COMPLEJIDAD DE LA ATENCION DE LA INSTITUCION DONDE SE ATENDIO EL PARTO],"BAJA",Tabla1[[PUERPERA SALE CON PLANIFICACIÓN FAMILIAR POST EVENTO OBSTETRICO ]],"SI")</f>
        <v>0</v>
      </c>
      <c r="K123" s="133">
        <f>COUNTIFS(Tabla1[AÑO PARTO],B4,Tabla1[MES PARTO],K6,Tabla1[SALE DEL PROGRAMA POR],"PARTO",Tabla1[NIVEL DE COMPLEJIDAD DE LA ATENCION DE LA INSTITUCION DONDE SE ATENDIO EL PARTO],"BAJA",Tabla1[[PUERPERA SALE CON PLANIFICACIÓN FAMILIAR POST EVENTO OBSTETRICO ]],"SI")</f>
        <v>0</v>
      </c>
      <c r="L123" s="133">
        <f>COUNTIFS(Tabla1[AÑO PARTO],B4,Tabla1[MES PARTO],L6,Tabla1[SALE DEL PROGRAMA POR],"PARTO",Tabla1[NIVEL DE COMPLEJIDAD DE LA ATENCION DE LA INSTITUCION DONDE SE ATENDIO EL PARTO],"BAJA",Tabla1[[PUERPERA SALE CON PLANIFICACIÓN FAMILIAR POST EVENTO OBSTETRICO ]],"SI")</f>
        <v>0</v>
      </c>
      <c r="M123" s="133">
        <f>COUNTIFS(Tabla1[AÑO PARTO],B4,Tabla1[MES PARTO],M6,Tabla1[SALE DEL PROGRAMA POR],"PARTO",Tabla1[NIVEL DE COMPLEJIDAD DE LA ATENCION DE LA INSTITUCION DONDE SE ATENDIO EL PARTO],"BAJA",Tabla1[[PUERPERA SALE CON PLANIFICACIÓN FAMILIAR POST EVENTO OBSTETRICO ]],"SI")</f>
        <v>0</v>
      </c>
      <c r="N123" s="134">
        <f>SUM(B123:M123)</f>
        <v>0</v>
      </c>
    </row>
    <row r="124" spans="1:14" ht="42.75" customHeight="1" thickBot="1" x14ac:dyDescent="0.3">
      <c r="A124" s="151" t="s">
        <v>664</v>
      </c>
      <c r="B124" s="83" t="str">
        <f>IF(B$102=0,"",SUM(B123/B$102))</f>
        <v/>
      </c>
      <c r="C124" s="84">
        <f>IF(C$102=0,"",SUM(C123/C$102))</f>
        <v>0</v>
      </c>
      <c r="D124" s="84">
        <f t="shared" ref="D124:L124" si="39">IF(D$102=0,"",SUM(D123/D$102))</f>
        <v>0</v>
      </c>
      <c r="E124" s="84">
        <f t="shared" si="39"/>
        <v>0</v>
      </c>
      <c r="F124" s="84">
        <f t="shared" si="39"/>
        <v>0</v>
      </c>
      <c r="G124" s="84" t="str">
        <f t="shared" si="39"/>
        <v/>
      </c>
      <c r="H124" s="84">
        <f t="shared" si="39"/>
        <v>0</v>
      </c>
      <c r="I124" s="84" t="str">
        <f t="shared" si="39"/>
        <v/>
      </c>
      <c r="J124" s="84" t="str">
        <f t="shared" si="39"/>
        <v/>
      </c>
      <c r="K124" s="84" t="str">
        <f t="shared" si="39"/>
        <v/>
      </c>
      <c r="L124" s="84" t="str">
        <f t="shared" si="39"/>
        <v/>
      </c>
      <c r="M124" s="84" t="str">
        <f>IF(M$102=0,"",SUM(M123/M$102))</f>
        <v/>
      </c>
      <c r="N124" s="85">
        <f>IF(N$102=0,"",SUM(N123/N$102))</f>
        <v>0</v>
      </c>
    </row>
    <row r="125" spans="1:14" ht="42.75" customHeight="1" thickBot="1" x14ac:dyDescent="0.3">
      <c r="A125" s="126" t="s">
        <v>666</v>
      </c>
      <c r="B125" s="135">
        <f>SUM(COUNTIFS(Tabla1[AÑO PARTO],B4,Tabla1[MES PARTO],B6,Tabla1[NIVEL DE COMPLEJIDAD DE LA ATENCION DE LA INSTITUCION DONDE SE ATENDIO EL PARTO],"MEDIANA",Tabla1[[PUERPERA SALE CON PLANIFICACIÓN FAMILIAR POST EVENTO OBSTETRICO ]],"SI" ),COUNTIFS(Tabla1[AÑO PARTO],B4,Tabla1[MES PARTO],B6,Tabla1[NIVEL DE COMPLEJIDAD DE LA ATENCION DE LA INSTITUCION DONDE SE ATENDIO EL PARTO],"ALTA",Tabla1[[PUERPERA SALE CON PLANIFICACIÓN FAMILIAR POST EVENTO OBSTETRICO ]],"SI"))</f>
        <v>0</v>
      </c>
      <c r="C125" s="135">
        <f>SUM(COUNTIFS(Tabla1[AÑO PARTO],B4,Tabla1[MES PARTO],C6,Tabla1[NIVEL DE COMPLEJIDAD DE LA ATENCION DE LA INSTITUCION DONDE SE ATENDIO EL PARTO],"MEDIANA",Tabla1[[PUERPERA SALE CON PLANIFICACIÓN FAMILIAR POST EVENTO OBSTETRICO ]],"SI" ),COUNTIFS(Tabla1[AÑO PARTO],B4,Tabla1[MES PARTO],C6,Tabla1[NIVEL DE COMPLEJIDAD DE LA ATENCION DE LA INSTITUCION DONDE SE ATENDIO EL PARTO],"ALTA",Tabla1[[PUERPERA SALE CON PLANIFICACIÓN FAMILIAR POST EVENTO OBSTETRICO ]],"SI"))</f>
        <v>0</v>
      </c>
      <c r="D125" s="135">
        <f>SUM(COUNTIFS(Tabla1[AÑO PARTO],B4,Tabla1[MES PARTO],D6,Tabla1[NIVEL DE COMPLEJIDAD DE LA ATENCION DE LA INSTITUCION DONDE SE ATENDIO EL PARTO],"MEDIANA",Tabla1[[PUERPERA SALE CON PLANIFICACIÓN FAMILIAR POST EVENTO OBSTETRICO ]],"SI" ),COUNTIFS(Tabla1[AÑO PARTO],B4,Tabla1[MES PARTO],D6,Tabla1[NIVEL DE COMPLEJIDAD DE LA ATENCION DE LA INSTITUCION DONDE SE ATENDIO EL PARTO],"ALTA",Tabla1[[PUERPERA SALE CON PLANIFICACIÓN FAMILIAR POST EVENTO OBSTETRICO ]],"SI"))</f>
        <v>0</v>
      </c>
      <c r="E125" s="135">
        <f>SUM(COUNTIFS(Tabla1[AÑO PARTO],B4,Tabla1[MES PARTO],E6,Tabla1[NIVEL DE COMPLEJIDAD DE LA ATENCION DE LA INSTITUCION DONDE SE ATENDIO EL PARTO],"MEDIANA",Tabla1[[PUERPERA SALE CON PLANIFICACIÓN FAMILIAR POST EVENTO OBSTETRICO ]],"SI" ),COUNTIFS(Tabla1[AÑO PARTO],B4,Tabla1[MES PARTO],E6,Tabla1[NIVEL DE COMPLEJIDAD DE LA ATENCION DE LA INSTITUCION DONDE SE ATENDIO EL PARTO],"ALTA",Tabla1[[PUERPERA SALE CON PLANIFICACIÓN FAMILIAR POST EVENTO OBSTETRICO ]],"SI"))</f>
        <v>0</v>
      </c>
      <c r="F125" s="135">
        <f>SUM(COUNTIFS(Tabla1[AÑO PARTO],B4,Tabla1[MES PARTO],F6,Tabla1[NIVEL DE COMPLEJIDAD DE LA ATENCION DE LA INSTITUCION DONDE SE ATENDIO EL PARTO],"MEDIANA",Tabla1[[PUERPERA SALE CON PLANIFICACIÓN FAMILIAR POST EVENTO OBSTETRICO ]],"SI" ),COUNTIFS(Tabla1[AÑO PARTO],B4,Tabla1[MES PARTO],F6,Tabla1[NIVEL DE COMPLEJIDAD DE LA ATENCION DE LA INSTITUCION DONDE SE ATENDIO EL PARTO],"ALTA",Tabla1[[PUERPERA SALE CON PLANIFICACIÓN FAMILIAR POST EVENTO OBSTETRICO ]],"SI"))</f>
        <v>0</v>
      </c>
      <c r="G125" s="135">
        <f>SUM(COUNTIFS(Tabla1[AÑO PARTO],B4,Tabla1[MES PARTO],G6,Tabla1[NIVEL DE COMPLEJIDAD DE LA ATENCION DE LA INSTITUCION DONDE SE ATENDIO EL PARTO],"MEDIANA",Tabla1[[PUERPERA SALE CON PLANIFICACIÓN FAMILIAR POST EVENTO OBSTETRICO ]],"SI" ),COUNTIFS(Tabla1[AÑO PARTO],B4,Tabla1[MES PARTO],G6,Tabla1[NIVEL DE COMPLEJIDAD DE LA ATENCION DE LA INSTITUCION DONDE SE ATENDIO EL PARTO],"ALTA",Tabla1[[PUERPERA SALE CON PLANIFICACIÓN FAMILIAR POST EVENTO OBSTETRICO ]],"SI"))</f>
        <v>0</v>
      </c>
      <c r="H125" s="135">
        <f>SUM(COUNTIFS(Tabla1[AÑO PARTO],B4,Tabla1[MES PARTO],H6,Tabla1[NIVEL DE COMPLEJIDAD DE LA ATENCION DE LA INSTITUCION DONDE SE ATENDIO EL PARTO],"MEDIANA",Tabla1[[PUERPERA SALE CON PLANIFICACIÓN FAMILIAR POST EVENTO OBSTETRICO ]],"SI" ),COUNTIFS(Tabla1[AÑO PARTO],B4,Tabla1[MES PARTO],H6,Tabla1[NIVEL DE COMPLEJIDAD DE LA ATENCION DE LA INSTITUCION DONDE SE ATENDIO EL PARTO],"ALTA",Tabla1[[PUERPERA SALE CON PLANIFICACIÓN FAMILIAR POST EVENTO OBSTETRICO ]],"SI"))</f>
        <v>0</v>
      </c>
      <c r="I125" s="135">
        <f>SUM(COUNTIFS(Tabla1[AÑO PARTO],B4,Tabla1[MES PARTO],I6,Tabla1[NIVEL DE COMPLEJIDAD DE LA ATENCION DE LA INSTITUCION DONDE SE ATENDIO EL PARTO],"MEDIANA",Tabla1[[PUERPERA SALE CON PLANIFICACIÓN FAMILIAR POST EVENTO OBSTETRICO ]],"SI" ),COUNTIFS(Tabla1[AÑO PARTO],B4,Tabla1[MES PARTO],I6,Tabla1[NIVEL DE COMPLEJIDAD DE LA ATENCION DE LA INSTITUCION DONDE SE ATENDIO EL PARTO],"ALTA",Tabla1[[PUERPERA SALE CON PLANIFICACIÓN FAMILIAR POST EVENTO OBSTETRICO ]],"SI"))</f>
        <v>0</v>
      </c>
      <c r="J125" s="135">
        <f>SUM(COUNTIFS(Tabla1[AÑO PARTO],B4,Tabla1[MES PARTO],J6,Tabla1[NIVEL DE COMPLEJIDAD DE LA ATENCION DE LA INSTITUCION DONDE SE ATENDIO EL PARTO],"MEDIANA",Tabla1[[PUERPERA SALE CON PLANIFICACIÓN FAMILIAR POST EVENTO OBSTETRICO ]],"SI" ),COUNTIFS(Tabla1[AÑO PARTO],B4,Tabla1[MES PARTO],J6,Tabla1[NIVEL DE COMPLEJIDAD DE LA ATENCION DE LA INSTITUCION DONDE SE ATENDIO EL PARTO],"ALTA",Tabla1[[PUERPERA SALE CON PLANIFICACIÓN FAMILIAR POST EVENTO OBSTETRICO ]],"SI"))</f>
        <v>0</v>
      </c>
      <c r="K125" s="135">
        <f>SUM(COUNTIFS(Tabla1[AÑO PARTO],B4,Tabla1[MES PARTO],K6,Tabla1[NIVEL DE COMPLEJIDAD DE LA ATENCION DE LA INSTITUCION DONDE SE ATENDIO EL PARTO],"MEDIANA",Tabla1[[PUERPERA SALE CON PLANIFICACIÓN FAMILIAR POST EVENTO OBSTETRICO ]],"SI" ),COUNTIFS(Tabla1[AÑO PARTO],B4,Tabla1[MES PARTO],K6,Tabla1[NIVEL DE COMPLEJIDAD DE LA ATENCION DE LA INSTITUCION DONDE SE ATENDIO EL PARTO],"ALTA",Tabla1[[PUERPERA SALE CON PLANIFICACIÓN FAMILIAR POST EVENTO OBSTETRICO ]],"SI"))</f>
        <v>0</v>
      </c>
      <c r="L125" s="135">
        <f>SUM(COUNTIFS(Tabla1[AÑO PARTO],B4,Tabla1[MES PARTO],L6,Tabla1[NIVEL DE COMPLEJIDAD DE LA ATENCION DE LA INSTITUCION DONDE SE ATENDIO EL PARTO],"MEDIANA",Tabla1[[PUERPERA SALE CON PLANIFICACIÓN FAMILIAR POST EVENTO OBSTETRICO ]],"SI" ),COUNTIFS(Tabla1[AÑO PARTO],B4,Tabla1[MES PARTO],L6,Tabla1[NIVEL DE COMPLEJIDAD DE LA ATENCION DE LA INSTITUCION DONDE SE ATENDIO EL PARTO],"ALTA",Tabla1[[PUERPERA SALE CON PLANIFICACIÓN FAMILIAR POST EVENTO OBSTETRICO ]],"SI"))</f>
        <v>0</v>
      </c>
      <c r="M125" s="135">
        <f>SUM(COUNTIFS(Tabla1[AÑO PARTO],B4,Tabla1[MES PARTO],M6,Tabla1[NIVEL DE COMPLEJIDAD DE LA ATENCION DE LA INSTITUCION DONDE SE ATENDIO EL PARTO],"MEDIANA",Tabla1[[PUERPERA SALE CON PLANIFICACIÓN FAMILIAR POST EVENTO OBSTETRICO ]],"SI" ),COUNTIFS(Tabla1[AÑO PARTO],B4,Tabla1[MES PARTO],M6,Tabla1[NIVEL DE COMPLEJIDAD DE LA ATENCION DE LA INSTITUCION DONDE SE ATENDIO EL PARTO],"ALTA",Tabla1[[PUERPERA SALE CON PLANIFICACIÓN FAMILIAR POST EVENTO OBSTETRICO ]],"SI"))</f>
        <v>0</v>
      </c>
      <c r="N125" s="134">
        <f>SUM(B125:M125)</f>
        <v>0</v>
      </c>
    </row>
    <row r="126" spans="1:14" ht="42.75" customHeight="1" thickBot="1" x14ac:dyDescent="0.3">
      <c r="A126" s="127" t="s">
        <v>693</v>
      </c>
      <c r="B126" s="132">
        <f>SUM(COUNTIFS(Tabla1[AÑO PARTO],B4,Tabla1[MES PARTO],B6,Tabla1[NIVEL DE COMPLEJIDAD DE LA ATENCION DE LA INSTITUCION DONDE SE ATENDIO EL PARTO],"MEDIANA"),COUNTIFS(Tabla1[AÑO PARTO],B4,Tabla1[MES PARTO],B6,Tabla1[NIVEL DE COMPLEJIDAD DE LA ATENCION DE LA INSTITUCION DONDE SE ATENDIO EL PARTO],"ALTA"))</f>
        <v>0</v>
      </c>
      <c r="C126" s="132">
        <f>SUM(COUNTIFS(Tabla1[AÑO PARTO],B4,Tabla1[MES PARTO],C6,Tabla1[NIVEL DE COMPLEJIDAD DE LA ATENCION DE LA INSTITUCION DONDE SE ATENDIO EL PARTO],"MEDIANA"),COUNTIFS(Tabla1[AÑO PARTO],B4,Tabla1[MES PARTO],C6,Tabla1[NIVEL DE COMPLEJIDAD DE LA ATENCION DE LA INSTITUCION DONDE SE ATENDIO EL PARTO],"ALTA"))</f>
        <v>1</v>
      </c>
      <c r="D126" s="132">
        <f>SUM(COUNTIFS(Tabla1[AÑO PARTO],B4,Tabla1[MES PARTO],D6,Tabla1[NIVEL DE COMPLEJIDAD DE LA ATENCION DE LA INSTITUCION DONDE SE ATENDIO EL PARTO],"MEDIANA"),COUNTIFS(Tabla1[AÑO PARTO],B4,Tabla1[MES PARTO],D6,Tabla1[NIVEL DE COMPLEJIDAD DE LA ATENCION DE LA INSTITUCION DONDE SE ATENDIO EL PARTO],"ALTA"))</f>
        <v>7</v>
      </c>
      <c r="E126" s="132">
        <f>SUM(COUNTIFS(Tabla1[AÑO PARTO],B4,Tabla1[MES PARTO],E6,Tabla1[NIVEL DE COMPLEJIDAD DE LA ATENCION DE LA INSTITUCION DONDE SE ATENDIO EL PARTO],"MEDIANA"),COUNTIFS(Tabla1[AÑO PARTO],B4,Tabla1[MES PARTO],E6,Tabla1[NIVEL DE COMPLEJIDAD DE LA ATENCION DE LA INSTITUCION DONDE SE ATENDIO EL PARTO],"ALTA"))</f>
        <v>9</v>
      </c>
      <c r="F126" s="132">
        <f>SUM(COUNTIFS(Tabla1[AÑO PARTO],B4,Tabla1[MES PARTO],F6,Tabla1[NIVEL DE COMPLEJIDAD DE LA ATENCION DE LA INSTITUCION DONDE SE ATENDIO EL PARTO],"MEDIANA"),COUNTIFS(Tabla1[AÑO PARTO],B4,Tabla1[MES PARTO],F6,Tabla1[NIVEL DE COMPLEJIDAD DE LA ATENCION DE LA INSTITUCION DONDE SE ATENDIO EL PARTO],"ALTA"))</f>
        <v>15</v>
      </c>
      <c r="G126" s="132">
        <f>SUM(COUNTIFS(Tabla1[AÑO PARTO],B4,Tabla1[MES PARTO],G6,Tabla1[NIVEL DE COMPLEJIDAD DE LA ATENCION DE LA INSTITUCION DONDE SE ATENDIO EL PARTO],"MEDIANA"),COUNTIFS(Tabla1[AÑO PARTO],B4,Tabla1[MES PARTO],G6,Tabla1[NIVEL DE COMPLEJIDAD DE LA ATENCION DE LA INSTITUCION DONDE SE ATENDIO EL PARTO],"ALTA"))</f>
        <v>5</v>
      </c>
      <c r="H126" s="132">
        <f>SUM(COUNTIFS(Tabla1[AÑO PARTO],B4,Tabla1[MES PARTO],H6,Tabla1[NIVEL DE COMPLEJIDAD DE LA ATENCION DE LA INSTITUCION DONDE SE ATENDIO EL PARTO],"MEDIANA"),COUNTIFS(Tabla1[AÑO PARTO],B4,Tabla1[MES PARTO],H6,Tabla1[NIVEL DE COMPLEJIDAD DE LA ATENCION DE LA INSTITUCION DONDE SE ATENDIO EL PARTO],"ALTA"))</f>
        <v>10</v>
      </c>
      <c r="I126" s="132">
        <f>SUM(COUNTIFS(Tabla1[AÑO PARTO],B4,Tabla1[MES PARTO],I6,Tabla1[NIVEL DE COMPLEJIDAD DE LA ATENCION DE LA INSTITUCION DONDE SE ATENDIO EL PARTO],"MEDIANA"),COUNTIFS(Tabla1[AÑO PARTO],B4,Tabla1[MES PARTO],I6,Tabla1[NIVEL DE COMPLEJIDAD DE LA ATENCION DE LA INSTITUCION DONDE SE ATENDIO EL PARTO],"ALTA"))</f>
        <v>3</v>
      </c>
      <c r="J126" s="132">
        <f>SUM(COUNTIFS(Tabla1[AÑO PARTO],B4,Tabla1[MES PARTO],J6,Tabla1[NIVEL DE COMPLEJIDAD DE LA ATENCION DE LA INSTITUCION DONDE SE ATENDIO EL PARTO],"MEDIANA"),COUNTIFS(Tabla1[AÑO PARTO],B4,Tabla1[MES PARTO],J6,Tabla1[NIVEL DE COMPLEJIDAD DE LA ATENCION DE LA INSTITUCION DONDE SE ATENDIO EL PARTO],"ALTA"))</f>
        <v>0</v>
      </c>
      <c r="K126" s="132">
        <f>SUM(COUNTIFS(Tabla1[AÑO PARTO],B4,Tabla1[MES PARTO],K6,Tabla1[NIVEL DE COMPLEJIDAD DE LA ATENCION DE LA INSTITUCION DONDE SE ATENDIO EL PARTO],"MEDIANA"),COUNTIFS(Tabla1[AÑO PARTO],B4,Tabla1[MES PARTO],K6,Tabla1[NIVEL DE COMPLEJIDAD DE LA ATENCION DE LA INSTITUCION DONDE SE ATENDIO EL PARTO],"ALTA"))</f>
        <v>0</v>
      </c>
      <c r="L126" s="132">
        <f>SUM(COUNTIFS(Tabla1[AÑO PARTO],B4,Tabla1[MES PARTO],L6,Tabla1[NIVEL DE COMPLEJIDAD DE LA ATENCION DE LA INSTITUCION DONDE SE ATENDIO EL PARTO],"MEDIANA"),COUNTIFS(Tabla1[AÑO PARTO],B4,Tabla1[MES PARTO],L6,Tabla1[NIVEL DE COMPLEJIDAD DE LA ATENCION DE LA INSTITUCION DONDE SE ATENDIO EL PARTO],"ALTA"))</f>
        <v>0</v>
      </c>
      <c r="M126" s="132">
        <f>SUM(COUNTIFS(Tabla1[AÑO PARTO],B4,Tabla1[MES PARTO],M6,Tabla1[NIVEL DE COMPLEJIDAD DE LA ATENCION DE LA INSTITUCION DONDE SE ATENDIO EL PARTO],"MEDIANA"),COUNTIFS(Tabla1[AÑO PARTO],B4,Tabla1[MES PARTO],M6,Tabla1[NIVEL DE COMPLEJIDAD DE LA ATENCION DE LA INSTITUCION DONDE SE ATENDIO EL PARTO],"ALTA"))</f>
        <v>0</v>
      </c>
      <c r="N126" s="134">
        <f>SUM(B126:M126)</f>
        <v>50</v>
      </c>
    </row>
    <row r="127" spans="1:14" ht="42.75" customHeight="1" thickBot="1" x14ac:dyDescent="0.3">
      <c r="A127" s="143" t="s">
        <v>665</v>
      </c>
      <c r="B127" s="83" t="str">
        <f>IF(B$126=0,"",SUM(B125/B$126))</f>
        <v/>
      </c>
      <c r="C127" s="84">
        <f t="shared" ref="C127:L127" si="40">IF(C$126=0,"",SUM(C125/C$126))</f>
        <v>0</v>
      </c>
      <c r="D127" s="84">
        <f t="shared" si="40"/>
        <v>0</v>
      </c>
      <c r="E127" s="84">
        <f t="shared" si="40"/>
        <v>0</v>
      </c>
      <c r="F127" s="84">
        <f t="shared" si="40"/>
        <v>0</v>
      </c>
      <c r="G127" s="84">
        <f t="shared" si="40"/>
        <v>0</v>
      </c>
      <c r="H127" s="84">
        <f t="shared" si="40"/>
        <v>0</v>
      </c>
      <c r="I127" s="84">
        <f t="shared" si="40"/>
        <v>0</v>
      </c>
      <c r="J127" s="84" t="str">
        <f t="shared" si="40"/>
        <v/>
      </c>
      <c r="K127" s="84" t="str">
        <f t="shared" si="40"/>
        <v/>
      </c>
      <c r="L127" s="84" t="str">
        <f t="shared" si="40"/>
        <v/>
      </c>
      <c r="M127" s="84" t="str">
        <f>IF(M$126=0,"",SUM(M125/M$126))</f>
        <v/>
      </c>
      <c r="N127" s="85">
        <f>IF(N$126=0,"",SUM(N125/N$126))</f>
        <v>0</v>
      </c>
    </row>
    <row r="128" spans="1:14" x14ac:dyDescent="0.25">
      <c r="A128" s="125" t="s">
        <v>385</v>
      </c>
      <c r="B128" s="81">
        <f>SUM(COUNTIFS(Tabla1[AÑO PARTO],B4,Tabla1[MES PARTO],B6,Tabla1[NUMERO NACIDOS VIVOS],"&gt;0"),COUNTIFS(Tabla1[AÑO PARTO],B4,Tabla1[MES PARTO],B6,Tabla1[NUMERO NACIDOS VIVOS],"&gt;1"),COUNTIFS(Tabla1[AÑO PARTO],B4,Tabla1[MES PARTO],B6,Tabla1[NUMERO NACIDOS VIVOS],"&gt;2"))</f>
        <v>0</v>
      </c>
      <c r="C128" s="81">
        <f>SUM(COUNTIFS(Tabla1[AÑO PARTO],B4,Tabla1[MES PARTO],C6,Tabla1[NUMERO NACIDOS VIVOS],"&gt;0"),COUNTIFS(Tabla1[AÑO PARTO],B4,Tabla1[MES PARTO],C6,Tabla1[NUMERO NACIDOS VIVOS],"&gt;1"),COUNTIFS(Tabla1[AÑO PARTO],B4,Tabla1[MES PARTO],C6,Tabla1[NUMERO NACIDOS VIVOS],"&gt;2"))</f>
        <v>3</v>
      </c>
      <c r="D128" s="81">
        <f>SUM(COUNTIFS(Tabla1[AÑO PARTO],B4,Tabla1[MES PARTO],D6,Tabla1[NUMERO NACIDOS VIVOS],"&gt;0"),COUNTIFS(Tabla1[AÑO PARTO],B4,Tabla1[MES PARTO],D6,Tabla1[NUMERO NACIDOS VIVOS],"&gt;1"),COUNTIFS(Tabla1[AÑO PARTO],B4,Tabla1[MES PARTO],D6,Tabla1[NUMERO NACIDOS VIVOS],"&gt;2"))</f>
        <v>12</v>
      </c>
      <c r="E128" s="81">
        <f>SUM(COUNTIFS(Tabla1[AÑO PARTO],B4,Tabla1[MES PARTO],E6,Tabla1[NUMERO NACIDOS VIVOS],"&gt;0"),COUNTIFS(Tabla1[AÑO PARTO],B4,Tabla1[MES PARTO],E6,Tabla1[NUMERO NACIDOS VIVOS],"&gt;1"),COUNTIFS(Tabla1[AÑO PARTO],B4,Tabla1[MES PARTO],E6,Tabla1[NUMERO NACIDOS VIVOS],"&gt;2"))</f>
        <v>17</v>
      </c>
      <c r="F128" s="81">
        <f>SUM(COUNTIFS(Tabla1[AÑO PARTO],B4,Tabla1[MES PARTO],F6,Tabla1[NUMERO NACIDOS VIVOS],"&gt;0"),COUNTIFS(Tabla1[AÑO PARTO],B4,Tabla1[MES PARTO],F6,Tabla1[NUMERO NACIDOS VIVOS],"&gt;1"),COUNTIFS(Tabla1[AÑO PARTO],B4,Tabla1[MES PARTO],F6,Tabla1[NUMERO NACIDOS VIVOS],"&gt;2"))</f>
        <v>31</v>
      </c>
      <c r="G128" s="81">
        <f>SUM(COUNTIFS(Tabla1[AÑO PARTO],B4,Tabla1[MES PARTO],G6,Tabla1[NUMERO NACIDOS VIVOS],"&gt;0"),COUNTIFS(Tabla1[AÑO PARTO],B4,Tabla1[MES PARTO],G6,Tabla1[NUMERO NACIDOS VIVOS],"&gt;1"),COUNTIFS(Tabla1[AÑO PARTO],B4,Tabla1[MES PARTO],G6,Tabla1[NUMERO NACIDOS VIVOS],"&gt;2"))</f>
        <v>13</v>
      </c>
      <c r="H128" s="81">
        <f>SUM(COUNTIFS(Tabla1[AÑO PARTO],B4,Tabla1[MES PARTO],H6,Tabla1[NUMERO NACIDOS VIVOS],"&gt;0"),COUNTIFS(Tabla1[AÑO PARTO],B4,Tabla1[MES PARTO],H6,Tabla1[NUMERO NACIDOS VIVOS],"&gt;1"),COUNTIFS(Tabla1[AÑO PARTO],B4,Tabla1[MES PARTO],H6,Tabla1[NUMERO NACIDOS VIVOS],"&gt;2"))</f>
        <v>14</v>
      </c>
      <c r="I128" s="81">
        <f>SUM(COUNTIFS(Tabla1[AÑO PARTO],B4,Tabla1[MES PARTO],I6,Tabla1[NUMERO NACIDOS VIVOS],"&gt;0"),COUNTIFS(Tabla1[AÑO PARTO],B4,Tabla1[MES PARTO],I6,Tabla1[NUMERO NACIDOS VIVOS],"&gt;1"),COUNTIFS(Tabla1[AÑO PARTO],B4,Tabla1[MES PARTO],I6,Tabla1[NUMERO NACIDOS VIVOS],"&gt;2"))</f>
        <v>3</v>
      </c>
      <c r="J128" s="81">
        <f>SUM(COUNTIFS(Tabla1[AÑO PARTO],B4,Tabla1[MES PARTO],J6,Tabla1[NUMERO NACIDOS VIVOS],"&gt;0"),COUNTIFS(Tabla1[AÑO PARTO],B4,Tabla1[MES PARTO],J6,Tabla1[NUMERO NACIDOS VIVOS],"&gt;1"),COUNTIFS(Tabla1[AÑO PARTO],B4,Tabla1[MES PARTO],J6,Tabla1[NUMERO NACIDOS VIVOS],"&gt;2"))</f>
        <v>0</v>
      </c>
      <c r="K128" s="81">
        <f>SUM(COUNTIFS(Tabla1[AÑO PARTO],B4,Tabla1[MES PARTO],K6,Tabla1[NUMERO NACIDOS VIVOS],"&gt;0"),COUNTIFS(Tabla1[AÑO PARTO],B4,Tabla1[MES PARTO],K6,Tabla1[NUMERO NACIDOS VIVOS],"&gt;1"),COUNTIFS(Tabla1[AÑO PARTO],B4,Tabla1[MES PARTO],K6,Tabla1[NUMERO NACIDOS VIVOS],"&gt;2"))</f>
        <v>0</v>
      </c>
      <c r="L128" s="81">
        <f>SUM(COUNTIFS(Tabla1[AÑO PARTO],B4,Tabla1[MES PARTO],L6,Tabla1[NUMERO NACIDOS VIVOS],"&gt;0"),COUNTIFS(Tabla1[AÑO PARTO],B4,Tabla1[MES PARTO],L6,Tabla1[NUMERO NACIDOS VIVOS],"&gt;1"),COUNTIFS(Tabla1[AÑO PARTO],B4,Tabla1[MES PARTO],L6,Tabla1[NUMERO NACIDOS VIVOS],"&gt;2"))</f>
        <v>0</v>
      </c>
      <c r="M128" s="81">
        <f>SUM(COUNTIFS(Tabla1[AÑO PARTO],B4,Tabla1[MES PARTO],M6,Tabla1[NUMERO NACIDOS VIVOS],"&gt;0"),COUNTIFS(Tabla1[AÑO PARTO],B4,Tabla1[MES PARTO],M6,Tabla1[NUMERO NACIDOS VIVOS],"&gt;1"),COUNTIFS(Tabla1[AÑO PARTO],B4,Tabla1[MES PARTO],M6,Tabla1[NUMERO NACIDOS VIVOS],"&gt;2"))</f>
        <v>0</v>
      </c>
      <c r="N128" s="90">
        <f>SUM(B128:M128)</f>
        <v>93</v>
      </c>
    </row>
    <row r="129" spans="1:14" x14ac:dyDescent="0.25">
      <c r="A129" s="97" t="s">
        <v>386</v>
      </c>
      <c r="B129" s="43">
        <f>SUM(COUNTIFS(Tabla1[AÑO PARTO],B4,Tabla1[MES PARTO],B6,Tabla1[NUMERO NACIDOS VIVOS],"&gt;0",Tabla1[EDAD GESTACIONAL SALIDA PROGRAMA],"&gt;=37"),COUNTIFS(Tabla1[AÑO PARTO],B4,Tabla1[MES PARTO],B6,Tabla1[NUMERO NACIDOS VIVOS],"&gt;1",Tabla1[EDAD GESTACIONAL SALIDA PROGRAMA],"&gt;=37"),COUNTIFS(Tabla1[AÑO PARTO],B4,Tabla1[MES PARTO],B6,Tabla1[NUMERO NACIDOS VIVOS],"&gt;2",Tabla1[EDAD GESTACIONAL SALIDA PROGRAMA],"&gt;=37"))</f>
        <v>0</v>
      </c>
      <c r="C129" s="43">
        <f>SUM(COUNTIFS(Tabla1[AÑO PARTO],B4,Tabla1[MES PARTO],C6,Tabla1[NUMERO NACIDOS VIVOS],"&gt;0",Tabla1[EDAD GESTACIONAL SALIDA PROGRAMA],"&gt;=37"),COUNTIFS(Tabla1[AÑO PARTO],B4,Tabla1[MES PARTO],C6,Tabla1[NUMERO NACIDOS VIVOS],"&gt;1",Tabla1[EDAD GESTACIONAL SALIDA PROGRAMA],"&gt;=37"),COUNTIFS(Tabla1[AÑO PARTO],B4,Tabla1[MES PARTO],C6,Tabla1[NUMERO NACIDOS VIVOS],"&gt;2",Tabla1[EDAD GESTACIONAL SALIDA PROGRAMA],"&gt;=37"))</f>
        <v>1</v>
      </c>
      <c r="D129" s="43">
        <f>SUM(COUNTIFS(Tabla1[AÑO PARTO],B4,Tabla1[MES PARTO],D6,Tabla1[NUMERO NACIDOS VIVOS],"&gt;0",Tabla1[EDAD GESTACIONAL SALIDA PROGRAMA],"&gt;=37"),COUNTIFS(Tabla1[AÑO PARTO],B4,Tabla1[MES PARTO],D6,Tabla1[NUMERO NACIDOS VIVOS],"&gt;1",Tabla1[EDAD GESTACIONAL SALIDA PROGRAMA],"&gt;=37"),COUNTIFS(Tabla1[AÑO PARTO],B4,Tabla1[MES PARTO],D6,Tabla1[NUMERO NACIDOS VIVOS],"&gt;2",Tabla1[EDAD GESTACIONAL SALIDA PROGRAMA],"&gt;=37"))</f>
        <v>12</v>
      </c>
      <c r="E129" s="43">
        <f>SUM(COUNTIFS(Tabla1[AÑO PARTO],B4,Tabla1[MES PARTO],E6,Tabla1[NUMERO NACIDOS VIVOS],"&gt;0",Tabla1[EDAD GESTACIONAL SALIDA PROGRAMA],"&gt;=37"),COUNTIFS(Tabla1[AÑO PARTO],B4,Tabla1[MES PARTO],E6,Tabla1[NUMERO NACIDOS VIVOS],"&gt;1",Tabla1[EDAD GESTACIONAL SALIDA PROGRAMA],"&gt;=37"),COUNTIFS(Tabla1[AÑO PARTO],B4,Tabla1[MES PARTO],E6,Tabla1[NUMERO NACIDOS VIVOS],"&gt;2",Tabla1[EDAD GESTACIONAL SALIDA PROGRAMA],"&gt;=37"))</f>
        <v>13</v>
      </c>
      <c r="F129" s="43">
        <f>SUM(COUNTIFS(Tabla1[AÑO PARTO],B4,Tabla1[MES PARTO],F6,Tabla1[NUMERO NACIDOS VIVOS],"&gt;0",Tabla1[EDAD GESTACIONAL SALIDA PROGRAMA],"&gt;=37"),COUNTIFS(Tabla1[AÑO PARTO],B4,Tabla1[MES PARTO],F6,Tabla1[NUMERO NACIDOS VIVOS],"&gt;1",Tabla1[EDAD GESTACIONAL SALIDA PROGRAMA],"&gt;=37"),COUNTIFS(Tabla1[AÑO PARTO],B4,Tabla1[MES PARTO],F6,Tabla1[NUMERO NACIDOS VIVOS],"&gt;2",Tabla1[EDAD GESTACIONAL SALIDA PROGRAMA],"&gt;=37"))</f>
        <v>19</v>
      </c>
      <c r="G129" s="43">
        <f>SUM(COUNTIFS(Tabla1[AÑO PARTO],B4,Tabla1[MES PARTO],G6,Tabla1[NUMERO NACIDOS VIVOS],"&gt;0",Tabla1[EDAD GESTACIONAL SALIDA PROGRAMA],"&gt;=37"),COUNTIFS(Tabla1[AÑO PARTO],B4,Tabla1[MES PARTO],G6,Tabla1[NUMERO NACIDOS VIVOS],"&gt;1",Tabla1[EDAD GESTACIONAL SALIDA PROGRAMA],"&gt;=37"),COUNTIFS(Tabla1[AÑO PARTO],B4,Tabla1[MES PARTO],G6,Tabla1[NUMERO NACIDOS VIVOS],"&gt;2",Tabla1[EDAD GESTACIONAL SALIDA PROGRAMA],"&gt;=37"))</f>
        <v>12</v>
      </c>
      <c r="H129" s="43">
        <f>SUM(COUNTIFS(Tabla1[AÑO PARTO],B4,Tabla1[MES PARTO],H6,Tabla1[NUMERO NACIDOS VIVOS],"&gt;0",Tabla1[EDAD GESTACIONAL SALIDA PROGRAMA],"&gt;=37"),COUNTIFS(Tabla1[AÑO PARTO],B4,Tabla1[MES PARTO],H6,Tabla1[NUMERO NACIDOS VIVOS],"&gt;1",Tabla1[EDAD GESTACIONAL SALIDA PROGRAMA],"&gt;=37"),COUNTIFS(Tabla1[AÑO PARTO],B4,Tabla1[MES PARTO],H6,Tabla1[NUMERO NACIDOS VIVOS],"&gt;2",Tabla1[EDAD GESTACIONAL SALIDA PROGRAMA],"&gt;=37"))</f>
        <v>10</v>
      </c>
      <c r="I129" s="43">
        <f>SUM(COUNTIFS(Tabla1[AÑO PARTO],B4,Tabla1[MES PARTO],I6,Tabla1[NUMERO NACIDOS VIVOS],"&gt;0",Tabla1[EDAD GESTACIONAL SALIDA PROGRAMA],"&gt;=37"),COUNTIFS(Tabla1[AÑO PARTO],B4,Tabla1[MES PARTO],I6,Tabla1[NUMERO NACIDOS VIVOS],"&gt;1",Tabla1[EDAD GESTACIONAL SALIDA PROGRAMA],"&gt;=37"),COUNTIFS(Tabla1[AÑO PARTO],B4,Tabla1[MES PARTO],I6,Tabla1[NUMERO NACIDOS VIVOS],"&gt;2",Tabla1[EDAD GESTACIONAL SALIDA PROGRAMA],"&gt;=37"))</f>
        <v>3</v>
      </c>
      <c r="J129" s="43">
        <f>SUM(COUNTIFS(Tabla1[AÑO PARTO],B4,Tabla1[MES PARTO],J6,Tabla1[NUMERO NACIDOS VIVOS],"&gt;0",Tabla1[EDAD GESTACIONAL SALIDA PROGRAMA],"&gt;=37"),COUNTIFS(Tabla1[AÑO PARTO],B4,Tabla1[MES PARTO],J6,Tabla1[NUMERO NACIDOS VIVOS],"&gt;1",Tabla1[EDAD GESTACIONAL SALIDA PROGRAMA],"&gt;=37"),COUNTIFS(Tabla1[AÑO PARTO],B4,Tabla1[MES PARTO],J6,Tabla1[NUMERO NACIDOS VIVOS],"&gt;2",Tabla1[EDAD GESTACIONAL SALIDA PROGRAMA],"&gt;=37"))</f>
        <v>0</v>
      </c>
      <c r="K129" s="43">
        <f>SUM(COUNTIFS(Tabla1[AÑO PARTO],B4,Tabla1[MES PARTO],K6,Tabla1[NUMERO NACIDOS VIVOS],"&gt;0",Tabla1[EDAD GESTACIONAL SALIDA PROGRAMA],"&gt;=37"),COUNTIFS(Tabla1[AÑO PARTO],B4,Tabla1[MES PARTO],K6,Tabla1[NUMERO NACIDOS VIVOS],"&gt;1",Tabla1[EDAD GESTACIONAL SALIDA PROGRAMA],"&gt;=37"),COUNTIFS(Tabla1[AÑO PARTO],B4,Tabla1[MES PARTO],K6,Tabla1[NUMERO NACIDOS VIVOS],"&gt;2",Tabla1[EDAD GESTACIONAL SALIDA PROGRAMA],"&gt;=37"))</f>
        <v>0</v>
      </c>
      <c r="L129" s="43">
        <f>SUM(COUNTIFS(Tabla1[AÑO PARTO],B4,Tabla1[MES PARTO],L6,Tabla1[NUMERO NACIDOS VIVOS],"&gt;0",Tabla1[EDAD GESTACIONAL SALIDA PROGRAMA],"&gt;=37"),COUNTIFS(Tabla1[AÑO PARTO],B4,Tabla1[MES PARTO],L6,Tabla1[NUMERO NACIDOS VIVOS],"&gt;1",Tabla1[EDAD GESTACIONAL SALIDA PROGRAMA],"&gt;=37"),COUNTIFS(Tabla1[AÑO PARTO],B4,Tabla1[MES PARTO],L6,Tabla1[NUMERO NACIDOS VIVOS],"&gt;2",Tabla1[EDAD GESTACIONAL SALIDA PROGRAMA],"&gt;=37"))</f>
        <v>0</v>
      </c>
      <c r="M129" s="43">
        <f>SUM(COUNTIFS(Tabla1[AÑO PARTO],B4,Tabla1[MES PARTO],M6,Tabla1[NUMERO NACIDOS VIVOS],"&gt;0",Tabla1[EDAD GESTACIONAL SALIDA PROGRAMA],"&gt;=37"),COUNTIFS(Tabla1[AÑO PARTO],B4,Tabla1[MES PARTO],M6,Tabla1[NUMERO NACIDOS VIVOS],"&gt;1",Tabla1[EDAD GESTACIONAL SALIDA PROGRAMA],"&gt;=37"),COUNTIFS(Tabla1[AÑO PARTO],B4,Tabla1[MES PARTO],M6,Tabla1[NUMERO NACIDOS VIVOS],"&gt;2",Tabla1[EDAD GESTACIONAL SALIDA PROGRAMA],"&gt;=37"))</f>
        <v>0</v>
      </c>
      <c r="N129" s="94">
        <f>SUM(B129:M129)</f>
        <v>70</v>
      </c>
    </row>
    <row r="130" spans="1:14" ht="26.25" thickBot="1" x14ac:dyDescent="0.3">
      <c r="A130" s="105" t="s">
        <v>387</v>
      </c>
      <c r="B130" s="106">
        <f>SUM(COUNTIFS(Tabla1[AÑO PARTO],B4,Tabla1[MES PARTO],B6,Tabla1[PESO RN  EN GRAMOS],"&lt;2500",Tabla1[EDAD GESTACIONAL SALIDA PROGRAMA],"&gt;=37"),COUNTIFS(Tabla1[AÑO PARTO],B4,Tabla1[MES PARTO],B6,Tabla1[PESO RN 2 EN GRAMOS2],"&lt;2500",Tabla1[EDAD GESTACIONAL SALIDA PROGRAMA],"&gt;=37"))</f>
        <v>0</v>
      </c>
      <c r="C130" s="106">
        <f>SUM(COUNTIFS(Tabla1[AÑO PARTO],B4,Tabla1[MES PARTO],C6,Tabla1[PESO RN  EN GRAMOS],"&lt;2500",Tabla1[EDAD GESTACIONAL SALIDA PROGRAMA],"&gt;=37"),COUNTIFS(Tabla1[AÑO PARTO],B4,Tabla1[MES PARTO],C6,Tabla1[PESO RN 2 EN GRAMOS2],"&lt;2500",Tabla1[EDAD GESTACIONAL SALIDA PROGRAMA],"&gt;=37"))</f>
        <v>0</v>
      </c>
      <c r="D130" s="106">
        <f>SUM(COUNTIFS(Tabla1[AÑO PARTO],B4,Tabla1[MES PARTO],D6,Tabla1[PESO RN  EN GRAMOS],"&lt;2500",Tabla1[EDAD GESTACIONAL SALIDA PROGRAMA],"&gt;=37"),COUNTIFS(Tabla1[AÑO PARTO],B4,Tabla1[MES PARTO],D6,Tabla1[PESO RN 2 EN GRAMOS2],"&lt;2500",Tabla1[EDAD GESTACIONAL SALIDA PROGRAMA],"&gt;=37"))</f>
        <v>1</v>
      </c>
      <c r="E130" s="106">
        <f>SUM(COUNTIFS(Tabla1[AÑO PARTO],B4,Tabla1[MES PARTO],E6,Tabla1[PESO RN  EN GRAMOS],"&lt;2500",Tabla1[EDAD GESTACIONAL SALIDA PROGRAMA],"&gt;=37"),COUNTIFS(Tabla1[AÑO PARTO],B4,Tabla1[MES PARTO],E6,Tabla1[PESO RN 2 EN GRAMOS2],"&lt;2500",Tabla1[EDAD GESTACIONAL SALIDA PROGRAMA],"&gt;=37"))</f>
        <v>0</v>
      </c>
      <c r="F130" s="106">
        <f>SUM(COUNTIFS(Tabla1[AÑO PARTO],B4,Tabla1[MES PARTO],F6,Tabla1[PESO RN  EN GRAMOS],"&lt;2500",Tabla1[EDAD GESTACIONAL SALIDA PROGRAMA],"&gt;=37"),COUNTIFS(Tabla1[AÑO PARTO],B4,Tabla1[MES PARTO],F6,Tabla1[PESO RN 2 EN GRAMOS2],"&lt;2500",Tabla1[EDAD GESTACIONAL SALIDA PROGRAMA],"&gt;=37"))</f>
        <v>0</v>
      </c>
      <c r="G130" s="106">
        <f>SUM(COUNTIFS(Tabla1[AÑO PARTO],B4,Tabla1[MES PARTO],G6,Tabla1[PESO RN  EN GRAMOS],"&lt;2500",Tabla1[EDAD GESTACIONAL SALIDA PROGRAMA],"&gt;=37"),COUNTIFS(Tabla1[AÑO PARTO],B4,Tabla1[MES PARTO],G6,Tabla1[PESO RN 2 EN GRAMOS2],"&lt;2500",Tabla1[EDAD GESTACIONAL SALIDA PROGRAMA],"&gt;=37"))</f>
        <v>0</v>
      </c>
      <c r="H130" s="106">
        <f>SUM(COUNTIFS(Tabla1[AÑO PARTO],B4,Tabla1[MES PARTO],H6,Tabla1[PESO RN  EN GRAMOS],"&lt;2500",Tabla1[EDAD GESTACIONAL SALIDA PROGRAMA],"&gt;=37"),COUNTIFS(Tabla1[AÑO PARTO],B4,Tabla1[MES PARTO],H6,Tabla1[PESO RN 2 EN GRAMOS2],"&lt;2500",Tabla1[EDAD GESTACIONAL SALIDA PROGRAMA],"&gt;=37"))</f>
        <v>0</v>
      </c>
      <c r="I130" s="106">
        <f>SUM(COUNTIFS(Tabla1[AÑO PARTO],B4,Tabla1[MES PARTO],I6,Tabla1[PESO RN  EN GRAMOS],"&lt;2500",Tabla1[EDAD GESTACIONAL SALIDA PROGRAMA],"&gt;=37"),COUNTIFS(Tabla1[AÑO PARTO],B4,Tabla1[MES PARTO],I6,Tabla1[PESO RN 2 EN GRAMOS2],"&lt;2500",Tabla1[EDAD GESTACIONAL SALIDA PROGRAMA],"&gt;=37"))</f>
        <v>0</v>
      </c>
      <c r="J130" s="106">
        <f>SUM(COUNTIFS(Tabla1[AÑO PARTO],B4,Tabla1[MES PARTO],J6,Tabla1[PESO RN  EN GRAMOS],"&lt;2500",Tabla1[EDAD GESTACIONAL SALIDA PROGRAMA],"&gt;=37"),COUNTIFS(Tabla1[AÑO PARTO],B4,Tabla1[MES PARTO],J6,Tabla1[PESO RN 2 EN GRAMOS2],"&lt;2500",Tabla1[EDAD GESTACIONAL SALIDA PROGRAMA],"&gt;=37"))</f>
        <v>0</v>
      </c>
      <c r="K130" s="106">
        <f>SUM(COUNTIFS(Tabla1[AÑO PARTO],B4,Tabla1[MES PARTO],K6,Tabla1[PESO RN  EN GRAMOS],"&lt;2500",Tabla1[EDAD GESTACIONAL SALIDA PROGRAMA],"&gt;=37"),COUNTIFS(Tabla1[AÑO PARTO],B4,Tabla1[MES PARTO],K6,Tabla1[PESO RN 2 EN GRAMOS2],"&lt;2500",Tabla1[EDAD GESTACIONAL SALIDA PROGRAMA],"&gt;=37"))</f>
        <v>0</v>
      </c>
      <c r="L130" s="106">
        <f>SUM(COUNTIFS(Tabla1[AÑO PARTO],B4,Tabla1[MES PARTO],L6,Tabla1[PESO RN  EN GRAMOS],"&lt;2500",Tabla1[EDAD GESTACIONAL SALIDA PROGRAMA],"&gt;=37"),COUNTIFS(Tabla1[AÑO PARTO],B4,Tabla1[MES PARTO],L6,Tabla1[PESO RN 2 EN GRAMOS2],"&lt;2500",Tabla1[EDAD GESTACIONAL SALIDA PROGRAMA],"&gt;=37"))</f>
        <v>0</v>
      </c>
      <c r="M130" s="106">
        <f>SUM(COUNTIFS(Tabla1[AÑO PARTO],B4,Tabla1[MES PARTO],M6,Tabla1[PESO RN  EN GRAMOS],"&lt;2500",Tabla1[EDAD GESTACIONAL SALIDA PROGRAMA],"&gt;=37"),COUNTIFS(Tabla1[AÑO PARTO],B4,Tabla1[MES PARTO],M6,Tabla1[PESO RN 2 EN GRAMOS2],"&lt;2500",Tabla1[EDAD GESTACIONAL SALIDA PROGRAMA],"&gt;=37"))</f>
        <v>0</v>
      </c>
      <c r="N130" s="101">
        <f>SUM(B130:M130)</f>
        <v>1</v>
      </c>
    </row>
    <row r="131" spans="1:14" ht="15.75" thickBot="1" x14ac:dyDescent="0.3">
      <c r="A131" s="41" t="s">
        <v>388</v>
      </c>
      <c r="B131" s="83" t="str">
        <f>IF(B129=0,"",SUM(B130/B129))</f>
        <v/>
      </c>
      <c r="C131" s="84">
        <f t="shared" ref="C131:N131" si="41">IF(C129=0,"",SUM(C130/C129))</f>
        <v>0</v>
      </c>
      <c r="D131" s="84">
        <f t="shared" si="41"/>
        <v>8.3333333333333329E-2</v>
      </c>
      <c r="E131" s="84">
        <f t="shared" si="41"/>
        <v>0</v>
      </c>
      <c r="F131" s="84">
        <f t="shared" si="41"/>
        <v>0</v>
      </c>
      <c r="G131" s="84">
        <f t="shared" si="41"/>
        <v>0</v>
      </c>
      <c r="H131" s="84">
        <f t="shared" si="41"/>
        <v>0</v>
      </c>
      <c r="I131" s="84">
        <f t="shared" si="41"/>
        <v>0</v>
      </c>
      <c r="J131" s="84" t="str">
        <f t="shared" si="41"/>
        <v/>
      </c>
      <c r="K131" s="84" t="str">
        <f t="shared" si="41"/>
        <v/>
      </c>
      <c r="L131" s="84" t="str">
        <f t="shared" si="41"/>
        <v/>
      </c>
      <c r="M131" s="84" t="str">
        <f t="shared" si="41"/>
        <v/>
      </c>
      <c r="N131" s="85">
        <f t="shared" si="41"/>
        <v>1.4285714285714285E-2</v>
      </c>
    </row>
    <row r="132" spans="1:14" ht="26.25" thickBot="1" x14ac:dyDescent="0.3">
      <c r="A132" s="98" t="s">
        <v>632</v>
      </c>
      <c r="B132" s="81">
        <f>SUM(COUNTIFS(Tabla1[AÑO PARTO],B4,Tabla1[MES PARTO],B6,Tabla1[[ EVENTO DE INTERES EN SALUD PÚBLICA DEL RECIÉN NACIDO2]],"MUERTE PERINATAL O NEONATAL TEMPRANA"),COUNTIFS(Tabla1[AÑO PARTO],B4,Tabla1[MES PARTO],B6,Tabla1[[ EVENTO DE INTERES EN SALUD PÚBLICA DEL RECIÉN NACIDO2]],"MUERTE NEONATAL TARDÍA"))</f>
        <v>0</v>
      </c>
      <c r="C132" s="81">
        <f>SUM(COUNTIFS(Tabla1[AÑO PARTO],B4,Tabla1[MES PARTO],C6,Tabla1[[ EVENTO DE INTERES EN SALUD PÚBLICA DEL RECIÉN NACIDO2]],"MUERTE PERINATAL O NEONATAL TEMPRANA"),COUNTIFS(Tabla1[AÑO PARTO],B4,Tabla1[MES PARTO],C6,Tabla1[[ EVENTO DE INTERES EN SALUD PÚBLICA DEL RECIÉN NACIDO2]],"MUERTE NEONATAL TARDÍA"))</f>
        <v>0</v>
      </c>
      <c r="D132" s="81">
        <f>SUM(COUNTIFS(Tabla1[AÑO PARTO],B4,Tabla1[MES PARTO],D6,Tabla1[[ EVENTO DE INTERES EN SALUD PÚBLICA DEL RECIÉN NACIDO2]],"MUERTE PERINATAL O NEONATAL TEMPRANA"),COUNTIFS(Tabla1[AÑO PARTO],B4,Tabla1[MES PARTO],D6,Tabla1[[ EVENTO DE INTERES EN SALUD PÚBLICA DEL RECIÉN NACIDO2]],"MUERTE NEONATAL TARDÍA"))</f>
        <v>0</v>
      </c>
      <c r="E132" s="81">
        <f>SUM(COUNTIFS(Tabla1[AÑO PARTO],B4,Tabla1[MES PARTO],E6,Tabla1[[ EVENTO DE INTERES EN SALUD PÚBLICA DEL RECIÉN NACIDO2]],"MUERTE PERINATAL O NEONATAL TEMPRANA"),COUNTIFS(Tabla1[AÑO PARTO],B4,Tabla1[MES PARTO],E6,Tabla1[[ EVENTO DE INTERES EN SALUD PÚBLICA DEL RECIÉN NACIDO2]],"MUERTE NEONATAL TARDÍA"))</f>
        <v>0</v>
      </c>
      <c r="F132" s="81">
        <f>SUM(COUNTIFS(Tabla1[AÑO PARTO],B4,Tabla1[MES PARTO],F6,Tabla1[[ EVENTO DE INTERES EN SALUD PÚBLICA DEL RECIÉN NACIDO2]],"MUERTE PERINATAL O NEONATAL TEMPRANA"),COUNTIFS(Tabla1[AÑO PARTO],B4,Tabla1[MES PARTO],F6,Tabla1[[ EVENTO DE INTERES EN SALUD PÚBLICA DEL RECIÉN NACIDO2]],"MUERTE NEONATAL TARDÍA"))</f>
        <v>0</v>
      </c>
      <c r="G132" s="81">
        <f>SUM(COUNTIFS(Tabla1[AÑO PARTO],B4,Tabla1[MES PARTO],G6,Tabla1[[ EVENTO DE INTERES EN SALUD PÚBLICA DEL RECIÉN NACIDO2]],"MUERTE PERINATAL O NEONATAL TEMPRANA"),COUNTIFS(Tabla1[AÑO PARTO],B4,Tabla1[MES PARTO],G6,Tabla1[[ EVENTO DE INTERES EN SALUD PÚBLICA DEL RECIÉN NACIDO2]],"MUERTE NEONATAL TARDÍA"))</f>
        <v>0</v>
      </c>
      <c r="H132" s="81">
        <f>SUM(COUNTIFS(Tabla1[AÑO PARTO],B4,Tabla1[MES PARTO],H6,Tabla1[[ EVENTO DE INTERES EN SALUD PÚBLICA DEL RECIÉN NACIDO2]],"MUERTE PERINATAL O NEONATAL TEMPRANA"),COUNTIFS(Tabla1[AÑO PARTO],B4,Tabla1[MES PARTO],H6,Tabla1[[ EVENTO DE INTERES EN SALUD PÚBLICA DEL RECIÉN NACIDO2]],"MUERTE NEONATAL TARDÍA"))</f>
        <v>0</v>
      </c>
      <c r="I132" s="81">
        <f>SUM(COUNTIFS(Tabla1[AÑO PARTO],B4,Tabla1[MES PARTO],I6,Tabla1[[ EVENTO DE INTERES EN SALUD PÚBLICA DEL RECIÉN NACIDO2]],"MUERTE PERINATAL O NEONATAL TEMPRANA"),COUNTIFS(Tabla1[AÑO PARTO],B4,Tabla1[MES PARTO],I6,Tabla1[[ EVENTO DE INTERES EN SALUD PÚBLICA DEL RECIÉN NACIDO2]],"MUERTE NEONATAL TARDÍA"))</f>
        <v>0</v>
      </c>
      <c r="J132" s="81">
        <f>SUM(COUNTIFS(Tabla1[AÑO PARTO],B4,Tabla1[MES PARTO],J6,Tabla1[[ EVENTO DE INTERES EN SALUD PÚBLICA DEL RECIÉN NACIDO2]],"MUERTE PERINATAL O NEONATAL TEMPRANA"),COUNTIFS(Tabla1[AÑO PARTO],B4,Tabla1[MES PARTO],J6,Tabla1[[ EVENTO DE INTERES EN SALUD PÚBLICA DEL RECIÉN NACIDO2]],"MUERTE NEONATAL TARDÍA"))</f>
        <v>0</v>
      </c>
      <c r="K132" s="81">
        <f>SUM(COUNTIFS(Tabla1[AÑO PARTO],B4,Tabla1[MES PARTO],K6,Tabla1[[ EVENTO DE INTERES EN SALUD PÚBLICA DEL RECIÉN NACIDO2]],"MUERTE PERINATAL O NEONATAL TEMPRANA"),COUNTIFS(Tabla1[AÑO PARTO],B4,Tabla1[MES PARTO],K6,Tabla1[[ EVENTO DE INTERES EN SALUD PÚBLICA DEL RECIÉN NACIDO2]],"MUERTE NEONATAL TARDÍA"))</f>
        <v>0</v>
      </c>
      <c r="L132" s="81">
        <f>SUM(COUNTIFS(Tabla1[AÑO PARTO],B4,Tabla1[MES PARTO],L6,Tabla1[[ EVENTO DE INTERES EN SALUD PÚBLICA DEL RECIÉN NACIDO2]],"MUERTE PERINATAL O NEONATAL TEMPRANA"),COUNTIFS(Tabla1[AÑO PARTO],B4,Tabla1[MES PARTO],L6,Tabla1[[ EVENTO DE INTERES EN SALUD PÚBLICA DEL RECIÉN NACIDO2]],"MUERTE NEONATAL TARDÍA"))</f>
        <v>0</v>
      </c>
      <c r="M132" s="81">
        <f>SUM(COUNTIFS(Tabla1[AÑO PARTO],B4,Tabla1[MES PARTO],M6,Tabla1[[ EVENTO DE INTERES EN SALUD PÚBLICA DEL RECIÉN NACIDO2]],"MUERTE PERINATAL O NEONATAL TEMPRANA"),COUNTIFS(Tabla1[AÑO PARTO],B4,Tabla1[MES PARTO],M6,Tabla1[[ EVENTO DE INTERES EN SALUD PÚBLICA DEL RECIÉN NACIDO2]],"MUERTE NEONATAL TARDÍA"))</f>
        <v>0</v>
      </c>
      <c r="N132" s="92">
        <f>SUM(B132:M132)</f>
        <v>0</v>
      </c>
    </row>
    <row r="133" spans="1:14" ht="15.75" thickBot="1" x14ac:dyDescent="0.3">
      <c r="A133" s="99" t="s">
        <v>389</v>
      </c>
      <c r="B133" s="397"/>
      <c r="C133" s="398"/>
      <c r="D133" s="398"/>
      <c r="E133" s="398"/>
      <c r="F133" s="398"/>
      <c r="G133" s="398"/>
      <c r="H133" s="398"/>
      <c r="I133" s="398"/>
      <c r="J133" s="398"/>
      <c r="K133" s="398"/>
      <c r="L133" s="398"/>
      <c r="M133" s="398"/>
      <c r="N133" s="141">
        <f>IF(N$128=0,"",SUM((N132/N$128)*1000))</f>
        <v>0</v>
      </c>
    </row>
    <row r="134" spans="1:14" ht="15.75" thickBot="1" x14ac:dyDescent="0.3">
      <c r="A134" s="98" t="s">
        <v>390</v>
      </c>
      <c r="B134" s="43">
        <f>SUM(COUNTIFS(Tabla1[AÑO PARTO],B4,Tabla1[MES PARTO],B6,Tabla1[[ EVENTO DE INTERES EN SALUD PÚBLICA DE LA MADRE]],"MORBILIDAD MATERNA EXTREMA"),COUNTIFS(Tabla1[AÑO PARTO],B4,Tabla1[MES PARTO],B6,Tabla1[[ EVENTO DE INTERES EN SALUD PÚBLICA DE LA MADRE]],"MUERTE Y MORBILIDAD MATERNA EXTREMA"))</f>
        <v>0</v>
      </c>
      <c r="C134" s="43">
        <f>SUM(COUNTIFS(Tabla1[AÑO PARTO],B4,Tabla1[MES PARTO],C6,Tabla1[[ EVENTO DE INTERES EN SALUD PÚBLICA DE LA MADRE]],"MORBILIDAD MATERNA EXTREMA"),COUNTIFS(Tabla1[AÑO PARTO],B4,Tabla1[MES PARTO],C6,Tabla1[[ EVENTO DE INTERES EN SALUD PÚBLICA DE LA MADRE]],"MUERTE Y MORBILIDAD MATERNA EXTREMA"))</f>
        <v>0</v>
      </c>
      <c r="D134" s="43">
        <f>SUM(COUNTIFS(Tabla1[AÑO PARTO],B4,Tabla1[MES PARTO],D6,Tabla1[[ EVENTO DE INTERES EN SALUD PÚBLICA DE LA MADRE]],"MORBILIDAD MATERNA EXTREMA"),COUNTIFS(Tabla1[AÑO PARTO],B4,Tabla1[MES PARTO],D6,Tabla1[[ EVENTO DE INTERES EN SALUD PÚBLICA DE LA MADRE]],"MUERTE Y MORBILIDAD MATERNA EXTREMA"))</f>
        <v>0</v>
      </c>
      <c r="E134" s="43">
        <f>SUM(COUNTIFS(Tabla1[AÑO PARTO],B4,Tabla1[MES PARTO],E6,Tabla1[[ EVENTO DE INTERES EN SALUD PÚBLICA DE LA MADRE]],"MORBILIDAD MATERNA EXTREMA"),COUNTIFS(Tabla1[AÑO PARTO],B4,Tabla1[MES PARTO],E6,Tabla1[[ EVENTO DE INTERES EN SALUD PÚBLICA DE LA MADRE]],"MUERTE Y MORBILIDAD MATERNA EXTREMA"))</f>
        <v>2</v>
      </c>
      <c r="F134" s="43">
        <f>SUM(COUNTIFS(Tabla1[AÑO PARTO],B4,Tabla1[MES PARTO],F6,Tabla1[[ EVENTO DE INTERES EN SALUD PÚBLICA DE LA MADRE]],"MORBILIDAD MATERNA EXTREMA"),COUNTIFS(Tabla1[AÑO PARTO],B4,Tabla1[MES PARTO],F6,Tabla1[[ EVENTO DE INTERES EN SALUD PÚBLICA DE LA MADRE]],"MUERTE Y MORBILIDAD MATERNA EXTREMA"))</f>
        <v>0</v>
      </c>
      <c r="G134" s="43">
        <f>SUM(COUNTIFS(Tabla1[AÑO PARTO],B4,Tabla1[MES PARTO],G6,Tabla1[[ EVENTO DE INTERES EN SALUD PÚBLICA DE LA MADRE]],"MORBILIDAD MATERNA EXTREMA"),COUNTIFS(Tabla1[AÑO PARTO],B4,Tabla1[MES PARTO],G6,Tabla1[[ EVENTO DE INTERES EN SALUD PÚBLICA DE LA MADRE]],"MUERTE Y MORBILIDAD MATERNA EXTREMA"))</f>
        <v>0</v>
      </c>
      <c r="H134" s="43">
        <f>SUM(COUNTIFS(Tabla1[AÑO PARTO],B4,Tabla1[MES PARTO],H6,Tabla1[[ EVENTO DE INTERES EN SALUD PÚBLICA DE LA MADRE]],"MORBILIDAD MATERNA EXTREMA"),COUNTIFS(Tabla1[AÑO PARTO],B4,Tabla1[MES PARTO],H6,Tabla1[[ EVENTO DE INTERES EN SALUD PÚBLICA DE LA MADRE]],"MUERTE Y MORBILIDAD MATERNA EXTREMA"))</f>
        <v>1</v>
      </c>
      <c r="I134" s="43">
        <f>SUM(COUNTIFS(Tabla1[AÑO PARTO],B4,Tabla1[MES PARTO],I6,Tabla1[[ EVENTO DE INTERES EN SALUD PÚBLICA DE LA MADRE]],"MORBILIDAD MATERNA EXTREMA"),COUNTIFS(Tabla1[AÑO PARTO],B4,Tabla1[MES PARTO],I6,Tabla1[[ EVENTO DE INTERES EN SALUD PÚBLICA DE LA MADRE]],"MUERTE Y MORBILIDAD MATERNA EXTREMA"))</f>
        <v>1</v>
      </c>
      <c r="J134" s="43">
        <f>SUM(COUNTIFS(Tabla1[AÑO PARTO],B4,Tabla1[MES PARTO],J6,Tabla1[[ EVENTO DE INTERES EN SALUD PÚBLICA DE LA MADRE]],"MORBILIDAD MATERNA EXTREMA"),COUNTIFS(Tabla1[AÑO PARTO],B4,Tabla1[MES PARTO],J6,Tabla1[[ EVENTO DE INTERES EN SALUD PÚBLICA DE LA MADRE]],"MUERTE Y MORBILIDAD MATERNA EXTREMA"))</f>
        <v>0</v>
      </c>
      <c r="K134" s="43">
        <f>SUM(COUNTIFS(Tabla1[AÑO PARTO],B4,Tabla1[MES PARTO],K6,Tabla1[[ EVENTO DE INTERES EN SALUD PÚBLICA DE LA MADRE]],"MORBILIDAD MATERNA EXTREMA"),COUNTIFS(Tabla1[AÑO PARTO],B4,Tabla1[MES PARTO],K6,Tabla1[[ EVENTO DE INTERES EN SALUD PÚBLICA DE LA MADRE]],"MUERTE Y MORBILIDAD MATERNA EXTREMA"))</f>
        <v>0</v>
      </c>
      <c r="L134" s="43">
        <f>SUM(COUNTIFS(Tabla1[AÑO PARTO],B4,Tabla1[MES PARTO],L6,Tabla1[[ EVENTO DE INTERES EN SALUD PÚBLICA DE LA MADRE]],"MORBILIDAD MATERNA EXTREMA"),COUNTIFS(Tabla1[AÑO PARTO],B4,Tabla1[MES PARTO],L6,Tabla1[[ EVENTO DE INTERES EN SALUD PÚBLICA DE LA MADRE]],"MUERTE Y MORBILIDAD MATERNA EXTREMA"))</f>
        <v>0</v>
      </c>
      <c r="M134" s="43">
        <f>SUM(COUNTIFS(Tabla1[AÑO PARTO],B4,Tabla1[MES PARTO],M6,Tabla1[[ EVENTO DE INTERES EN SALUD PÚBLICA DE LA MADRE]],"MORBILIDAD MATERNA EXTREMA"),COUNTIFS(Tabla1[AÑO PARTO],B4,Tabla1[MES PARTO],M6,Tabla1[[ EVENTO DE INTERES EN SALUD PÚBLICA DE LA MADRE]],"MUERTE Y MORBILIDAD MATERNA EXTREMA"))</f>
        <v>0</v>
      </c>
      <c r="N134" s="92">
        <f>SUM(B134:M134)</f>
        <v>4</v>
      </c>
    </row>
    <row r="135" spans="1:14" ht="26.25" thickBot="1" x14ac:dyDescent="0.3">
      <c r="A135" s="99" t="s">
        <v>391</v>
      </c>
      <c r="B135" s="397"/>
      <c r="C135" s="398"/>
      <c r="D135" s="398"/>
      <c r="E135" s="398"/>
      <c r="F135" s="398"/>
      <c r="G135" s="398"/>
      <c r="H135" s="398"/>
      <c r="I135" s="398"/>
      <c r="J135" s="398"/>
      <c r="K135" s="398"/>
      <c r="L135" s="398"/>
      <c r="M135" s="398"/>
      <c r="N135" s="141">
        <f>IF(N$128=0,"",SUM((N134/N$128)*1000))</f>
        <v>43.010752688172047</v>
      </c>
    </row>
    <row r="136" spans="1:14" ht="15.75" thickBot="1" x14ac:dyDescent="0.3">
      <c r="A136" s="98" t="s">
        <v>639</v>
      </c>
      <c r="B136" s="43">
        <f>SUM(COUNTIFS(Tabla1[AÑO PARTO],B4,Tabla1[MES PARTO],B6,Tabla1[[ EVENTO DE INTERES EN SALUD PÚBLICA DE LA MADRE]],"MUERTE MATERNA"),COUNTIFS(Tabla1[AÑO PARTO],B4,Tabla1[MES PARTO],B6,Tabla1[[ EVENTO DE INTERES EN SALUD PÚBLICA DE LA MADRE]],"MUERTE Y MORBILIDAD MATERNA EXTREMA"))</f>
        <v>0</v>
      </c>
      <c r="C136" s="43">
        <f>SUM(COUNTIFS(Tabla1[AÑO PARTO],B4,Tabla1[MES PARTO],C6,Tabla1[[ EVENTO DE INTERES EN SALUD PÚBLICA DE LA MADRE]],"MUERTE MATERNA"),COUNTIFS(Tabla1[AÑO PARTO],B4,Tabla1[MES PARTO],C6,Tabla1[[ EVENTO DE INTERES EN SALUD PÚBLICA DE LA MADRE]],"MUERTE Y MORBILIDAD MATERNA EXTREMA"))</f>
        <v>0</v>
      </c>
      <c r="D136" s="43">
        <f>SUM(COUNTIFS(Tabla1[AÑO PARTO],B4,Tabla1[MES PARTO],D6,Tabla1[[ EVENTO DE INTERES EN SALUD PÚBLICA DE LA MADRE]],"MUERTE MATERNA"),COUNTIFS(Tabla1[AÑO PARTO],B4,Tabla1[MES PARTO],D6,Tabla1[[ EVENTO DE INTERES EN SALUD PÚBLICA DE LA MADRE]],"MUERTE Y MORBILIDAD MATERNA EXTREMA"))</f>
        <v>0</v>
      </c>
      <c r="E136" s="43">
        <f>SUM(COUNTIFS(Tabla1[AÑO PARTO],B4,Tabla1[MES PARTO],E6,Tabla1[[ EVENTO DE INTERES EN SALUD PÚBLICA DE LA MADRE]],"MUERTE MATERNA"),COUNTIFS(Tabla1[AÑO PARTO],B4,Tabla1[MES PARTO],E6,Tabla1[[ EVENTO DE INTERES EN SALUD PÚBLICA DE LA MADRE]],"MUERTE Y MORBILIDAD MATERNA EXTREMA"))</f>
        <v>0</v>
      </c>
      <c r="F136" s="43">
        <f>SUM(COUNTIFS(Tabla1[AÑO PARTO],B4,Tabla1[MES PARTO],F6,Tabla1[[ EVENTO DE INTERES EN SALUD PÚBLICA DE LA MADRE]],"MUERTE MATERNA"),COUNTIFS(Tabla1[AÑO PARTO],B4,Tabla1[MES PARTO],F6,Tabla1[[ EVENTO DE INTERES EN SALUD PÚBLICA DE LA MADRE]],"MUERTE Y MORBILIDAD MATERNA EXTREMA"))</f>
        <v>0</v>
      </c>
      <c r="G136" s="43">
        <f>SUM(COUNTIFS(Tabla1[AÑO PARTO],B4,Tabla1[MES PARTO],G6,Tabla1[[ EVENTO DE INTERES EN SALUD PÚBLICA DE LA MADRE]],"MUERTE MATERNA"),COUNTIFS(Tabla1[AÑO PARTO],B4,Tabla1[MES PARTO],G6,Tabla1[[ EVENTO DE INTERES EN SALUD PÚBLICA DE LA MADRE]],"MUERTE Y MORBILIDAD MATERNA EXTREMA"))</f>
        <v>0</v>
      </c>
      <c r="H136" s="43">
        <f>SUM(COUNTIFS(Tabla1[AÑO PARTO],B4,Tabla1[MES PARTO],H6,Tabla1[[ EVENTO DE INTERES EN SALUD PÚBLICA DE LA MADRE]],"MUERTE MATERNA"),COUNTIFS(Tabla1[AÑO PARTO],B4,Tabla1[MES PARTO],H6,Tabla1[[ EVENTO DE INTERES EN SALUD PÚBLICA DE LA MADRE]],"MUERTE Y MORBILIDAD MATERNA EXTREMA"))</f>
        <v>0</v>
      </c>
      <c r="I136" s="43">
        <f>SUM(COUNTIFS(Tabla1[AÑO PARTO],B4,Tabla1[MES PARTO],I6,Tabla1[[ EVENTO DE INTERES EN SALUD PÚBLICA DE LA MADRE]],"MUERTE MATERNA"),COUNTIFS(Tabla1[AÑO PARTO],B4,Tabla1[MES PARTO],I6,Tabla1[[ EVENTO DE INTERES EN SALUD PÚBLICA DE LA MADRE]],"MUERTE Y MORBILIDAD MATERNA EXTREMA"))</f>
        <v>0</v>
      </c>
      <c r="J136" s="43">
        <f>SUM(COUNTIFS(Tabla1[AÑO PARTO],B4,Tabla1[MES PARTO],J6,Tabla1[[ EVENTO DE INTERES EN SALUD PÚBLICA DE LA MADRE]],"MUERTE MATERNA"),COUNTIFS(Tabla1[AÑO PARTO],B4,Tabla1[MES PARTO],J6,Tabla1[[ EVENTO DE INTERES EN SALUD PÚBLICA DE LA MADRE]],"MUERTE Y MORBILIDAD MATERNA EXTREMA"))</f>
        <v>0</v>
      </c>
      <c r="K136" s="43">
        <f>SUM(COUNTIFS(Tabla1[AÑO PARTO],B4,Tabla1[MES PARTO],K6,Tabla1[[ EVENTO DE INTERES EN SALUD PÚBLICA DE LA MADRE]],"MUERTE MATERNA"),COUNTIFS(Tabla1[AÑO PARTO],B4,Tabla1[MES PARTO],K6,Tabla1[[ EVENTO DE INTERES EN SALUD PÚBLICA DE LA MADRE]],"MUERTE Y MORBILIDAD MATERNA EXTREMA"))</f>
        <v>0</v>
      </c>
      <c r="L136" s="43">
        <f>SUM(COUNTIFS(Tabla1[AÑO PARTO],B4,Tabla1[MES PARTO],L6,Tabla1[[ EVENTO DE INTERES EN SALUD PÚBLICA DE LA MADRE]],"MUERTE MATERNA"),COUNTIFS(Tabla1[AÑO PARTO],B4,Tabla1[MES PARTO],L6,Tabla1[[ EVENTO DE INTERES EN SALUD PÚBLICA DE LA MADRE]],"MUERTE Y MORBILIDAD MATERNA EXTREMA"))</f>
        <v>0</v>
      </c>
      <c r="M136" s="43">
        <f>SUM(COUNTIFS(Tabla1[AÑO PARTO],B4,Tabla1[MES PARTO],M6,Tabla1[[ EVENTO DE INTERES EN SALUD PÚBLICA DE LA MADRE]],"MUERTE MATERNA"),COUNTIFS(Tabla1[AÑO PARTO],B4,Tabla1[MES PARTO],M6,Tabla1[[ EVENTO DE INTERES EN SALUD PÚBLICA DE LA MADRE]],"MUERTE Y MORBILIDAD MATERNA EXTREMA"))</f>
        <v>0</v>
      </c>
      <c r="N136" s="92">
        <f>SUM(B136:M136)</f>
        <v>0</v>
      </c>
    </row>
    <row r="137" spans="1:14" ht="15.75" thickBot="1" x14ac:dyDescent="0.3">
      <c r="A137" s="100" t="s">
        <v>415</v>
      </c>
      <c r="B137" s="399"/>
      <c r="C137" s="400"/>
      <c r="D137" s="400"/>
      <c r="E137" s="400"/>
      <c r="F137" s="400"/>
      <c r="G137" s="400"/>
      <c r="H137" s="400"/>
      <c r="I137" s="400"/>
      <c r="J137" s="400"/>
      <c r="K137" s="400"/>
      <c r="L137" s="400"/>
      <c r="M137" s="400"/>
      <c r="N137" s="141">
        <f>IF(N$128=0,"",SUM((N136/N$128)*100000))</f>
        <v>0</v>
      </c>
    </row>
    <row r="138" spans="1:14" ht="26.25" thickBot="1" x14ac:dyDescent="0.3">
      <c r="A138" s="137" t="s">
        <v>637</v>
      </c>
      <c r="B138" s="399" t="str">
        <f t="shared" ref="B138:N138" si="42">IF(B$136=0,"",SUM(B134/B136))</f>
        <v/>
      </c>
      <c r="C138" s="400" t="str">
        <f t="shared" si="42"/>
        <v/>
      </c>
      <c r="D138" s="400" t="str">
        <f t="shared" si="42"/>
        <v/>
      </c>
      <c r="E138" s="400" t="str">
        <f t="shared" si="42"/>
        <v/>
      </c>
      <c r="F138" s="400" t="str">
        <f t="shared" si="42"/>
        <v/>
      </c>
      <c r="G138" s="400" t="str">
        <f t="shared" si="42"/>
        <v/>
      </c>
      <c r="H138" s="400" t="str">
        <f t="shared" si="42"/>
        <v/>
      </c>
      <c r="I138" s="400" t="str">
        <f t="shared" si="42"/>
        <v/>
      </c>
      <c r="J138" s="400" t="str">
        <f t="shared" si="42"/>
        <v/>
      </c>
      <c r="K138" s="400" t="str">
        <f t="shared" si="42"/>
        <v/>
      </c>
      <c r="L138" s="400" t="str">
        <f t="shared" si="42"/>
        <v/>
      </c>
      <c r="M138" s="400" t="str">
        <f t="shared" si="42"/>
        <v/>
      </c>
      <c r="N138" s="140" t="str">
        <f t="shared" si="42"/>
        <v/>
      </c>
    </row>
    <row r="139" spans="1:14" ht="26.25" thickBot="1" x14ac:dyDescent="0.3">
      <c r="A139" s="42" t="s">
        <v>640</v>
      </c>
      <c r="B139" s="43">
        <f>SUM(COUNTIFS(Tabla1[AÑO PARTO],$B$4,Tabla1[MES PARTO],B6,Tabla1[[ EVENTO DE INTERES EN SALUD PÚBLICA DE LA MADRE]],"MUERTE MATERNA"),COUNTIFS(Tabla1[AÑO PARTO],$B$4,Tabla1[MES PARTO],B6,Tabla1[[ EVENTO DE INTERES EN SALUD PÚBLICA DE LA MADRE]],"MUERTE Y MORBILIDAD MATERNA EXTREMA"),COUNTIFS(Tabla1[AÑO PARTO],$B$4,Tabla1[MES PARTO],B6,Tabla1[[ EVENTO DE INTERES EN SALUD PÚBLICA DE LA MADRE]],"MORBILIDAD MATERNA EXTREMA"))</f>
        <v>0</v>
      </c>
      <c r="C139" s="43">
        <f>SUM(COUNTIFS(Tabla1[AÑO PARTO],$B$4,Tabla1[MES PARTO],C6,Tabla1[[ EVENTO DE INTERES EN SALUD PÚBLICA DE LA MADRE]],"MUERTE MATERNA"),COUNTIFS(Tabla1[AÑO PARTO],$B$4,Tabla1[MES PARTO],C6,Tabla1[[ EVENTO DE INTERES EN SALUD PÚBLICA DE LA MADRE]],"MUERTE Y MORBILIDAD MATERNA EXTREMA"),COUNTIFS(Tabla1[AÑO PARTO],$B$4,Tabla1[MES PARTO],C6,Tabla1[[ EVENTO DE INTERES EN SALUD PÚBLICA DE LA MADRE]],"MORBILIDAD MATERNA EXTREMA"))</f>
        <v>0</v>
      </c>
      <c r="D139" s="43">
        <f>SUM(COUNTIFS(Tabla1[AÑO PARTO],$B$4,Tabla1[MES PARTO],D6,Tabla1[[ EVENTO DE INTERES EN SALUD PÚBLICA DE LA MADRE]],"MUERTE MATERNA"),COUNTIFS(Tabla1[AÑO PARTO],$B$4,Tabla1[MES PARTO],D6,Tabla1[[ EVENTO DE INTERES EN SALUD PÚBLICA DE LA MADRE]],"MUERTE Y MORBILIDAD MATERNA EXTREMA"),COUNTIFS(Tabla1[AÑO PARTO],$B$4,Tabla1[MES PARTO],D6,Tabla1[[ EVENTO DE INTERES EN SALUD PÚBLICA DE LA MADRE]],"MORBILIDAD MATERNA EXTREMA"))</f>
        <v>0</v>
      </c>
      <c r="E139" s="43">
        <f>SUM(COUNTIFS(Tabla1[AÑO PARTO],$B$4,Tabla1[MES PARTO],E6,Tabla1[[ EVENTO DE INTERES EN SALUD PÚBLICA DE LA MADRE]],"MUERTE MATERNA"),COUNTIFS(Tabla1[AÑO PARTO],$B$4,Tabla1[MES PARTO],E6,Tabla1[[ EVENTO DE INTERES EN SALUD PÚBLICA DE LA MADRE]],"MUERTE Y MORBILIDAD MATERNA EXTREMA"),COUNTIFS(Tabla1[AÑO PARTO],$B$4,Tabla1[MES PARTO],E6,Tabla1[[ EVENTO DE INTERES EN SALUD PÚBLICA DE LA MADRE]],"MORBILIDAD MATERNA EXTREMA"))</f>
        <v>2</v>
      </c>
      <c r="F139" s="43">
        <f>SUM(COUNTIFS(Tabla1[AÑO PARTO],$B$4,Tabla1[MES PARTO],F6,Tabla1[[ EVENTO DE INTERES EN SALUD PÚBLICA DE LA MADRE]],"MUERTE MATERNA"),COUNTIFS(Tabla1[AÑO PARTO],$B$4,Tabla1[MES PARTO],F6,Tabla1[[ EVENTO DE INTERES EN SALUD PÚBLICA DE LA MADRE]],"MUERTE Y MORBILIDAD MATERNA EXTREMA"),COUNTIFS(Tabla1[AÑO PARTO],$B$4,Tabla1[MES PARTO],F6,Tabla1[[ EVENTO DE INTERES EN SALUD PÚBLICA DE LA MADRE]],"MORBILIDAD MATERNA EXTREMA"))</f>
        <v>0</v>
      </c>
      <c r="G139" s="43">
        <f>SUM(COUNTIFS(Tabla1[AÑO PARTO],$B$4,Tabla1[MES PARTO],G6,Tabla1[[ EVENTO DE INTERES EN SALUD PÚBLICA DE LA MADRE]],"MUERTE MATERNA"),COUNTIFS(Tabla1[AÑO PARTO],$B$4,Tabla1[MES PARTO],G6,Tabla1[[ EVENTO DE INTERES EN SALUD PÚBLICA DE LA MADRE]],"MUERTE Y MORBILIDAD MATERNA EXTREMA"),COUNTIFS(Tabla1[AÑO PARTO],$B$4,Tabla1[MES PARTO],G6,Tabla1[[ EVENTO DE INTERES EN SALUD PÚBLICA DE LA MADRE]],"MORBILIDAD MATERNA EXTREMA"))</f>
        <v>0</v>
      </c>
      <c r="H139" s="43">
        <f>SUM(COUNTIFS(Tabla1[AÑO PARTO],$B$4,Tabla1[MES PARTO],H6,Tabla1[[ EVENTO DE INTERES EN SALUD PÚBLICA DE LA MADRE]],"MUERTE MATERNA"),COUNTIFS(Tabla1[AÑO PARTO],$B$4,Tabla1[MES PARTO],H6,Tabla1[[ EVENTO DE INTERES EN SALUD PÚBLICA DE LA MADRE]],"MUERTE Y MORBILIDAD MATERNA EXTREMA"),COUNTIFS(Tabla1[AÑO PARTO],$B$4,Tabla1[MES PARTO],H6,Tabla1[[ EVENTO DE INTERES EN SALUD PÚBLICA DE LA MADRE]],"MORBILIDAD MATERNA EXTREMA"))</f>
        <v>1</v>
      </c>
      <c r="I139" s="43">
        <f>SUM(COUNTIFS(Tabla1[AÑO PARTO],$B$4,Tabla1[MES PARTO],I6,Tabla1[[ EVENTO DE INTERES EN SALUD PÚBLICA DE LA MADRE]],"MUERTE MATERNA"),COUNTIFS(Tabla1[AÑO PARTO],$B$4,Tabla1[MES PARTO],I6,Tabla1[[ EVENTO DE INTERES EN SALUD PÚBLICA DE LA MADRE]],"MUERTE Y MORBILIDAD MATERNA EXTREMA"),COUNTIFS(Tabla1[AÑO PARTO],$B$4,Tabla1[MES PARTO],I6,Tabla1[[ EVENTO DE INTERES EN SALUD PÚBLICA DE LA MADRE]],"MORBILIDAD MATERNA EXTREMA"))</f>
        <v>1</v>
      </c>
      <c r="J139" s="43">
        <f>SUM(COUNTIFS(Tabla1[AÑO PARTO],$B$4,Tabla1[MES PARTO],J6,Tabla1[[ EVENTO DE INTERES EN SALUD PÚBLICA DE LA MADRE]],"MUERTE MATERNA"),COUNTIFS(Tabla1[AÑO PARTO],$B$4,Tabla1[MES PARTO],J6,Tabla1[[ EVENTO DE INTERES EN SALUD PÚBLICA DE LA MADRE]],"MUERTE Y MORBILIDAD MATERNA EXTREMA"),COUNTIFS(Tabla1[AÑO PARTO],$B$4,Tabla1[MES PARTO],J6,Tabla1[[ EVENTO DE INTERES EN SALUD PÚBLICA DE LA MADRE]],"MORBILIDAD MATERNA EXTREMA"))</f>
        <v>0</v>
      </c>
      <c r="K139" s="43">
        <f>SUM(COUNTIFS(Tabla1[AÑO PARTO],$B$4,Tabla1[MES PARTO],K6,Tabla1[[ EVENTO DE INTERES EN SALUD PÚBLICA DE LA MADRE]],"MUERTE MATERNA"),COUNTIFS(Tabla1[AÑO PARTO],$B$4,Tabla1[MES PARTO],K6,Tabla1[[ EVENTO DE INTERES EN SALUD PÚBLICA DE LA MADRE]],"MUERTE Y MORBILIDAD MATERNA EXTREMA"),COUNTIFS(Tabla1[AÑO PARTO],$B$4,Tabla1[MES PARTO],K6,Tabla1[[ EVENTO DE INTERES EN SALUD PÚBLICA DE LA MADRE]],"MORBILIDAD MATERNA EXTREMA"))</f>
        <v>0</v>
      </c>
      <c r="L139" s="43">
        <f>SUM(COUNTIFS(Tabla1[AÑO PARTO],$B$4,Tabla1[MES PARTO],L6,Tabla1[[ EVENTO DE INTERES EN SALUD PÚBLICA DE LA MADRE]],"MUERTE MATERNA"),COUNTIFS(Tabla1[AÑO PARTO],$B$4,Tabla1[MES PARTO],L6,Tabla1[[ EVENTO DE INTERES EN SALUD PÚBLICA DE LA MADRE]],"MUERTE Y MORBILIDAD MATERNA EXTREMA"),COUNTIFS(Tabla1[AÑO PARTO],$B$4,Tabla1[MES PARTO],L6,Tabla1[[ EVENTO DE INTERES EN SALUD PÚBLICA DE LA MADRE]],"MORBILIDAD MATERNA EXTREMA"))</f>
        <v>0</v>
      </c>
      <c r="M139" s="43">
        <f>SUM(COUNTIFS(Tabla1[AÑO PARTO],$B$4,Tabla1[MES PARTO],M6,Tabla1[[ EVENTO DE INTERES EN SALUD PÚBLICA DE LA MADRE]],"MUERTE MATERNA"),COUNTIFS(Tabla1[AÑO PARTO],$B$4,Tabla1[MES PARTO],M6,Tabla1[[ EVENTO DE INTERES EN SALUD PÚBLICA DE LA MADRE]],"MUERTE Y MORBILIDAD MATERNA EXTREMA"),COUNTIFS(Tabla1[AÑO PARTO],$B$4,Tabla1[MES PARTO],M6,Tabla1[[ EVENTO DE INTERES EN SALUD PÚBLICA DE LA MADRE]],"MORBILIDAD MATERNA EXTREMA"))</f>
        <v>0</v>
      </c>
      <c r="N139" s="68">
        <f>SUM(B139:M139)</f>
        <v>4</v>
      </c>
    </row>
    <row r="140" spans="1:14" ht="15.75" thickBot="1" x14ac:dyDescent="0.3">
      <c r="A140" s="138" t="s">
        <v>638</v>
      </c>
      <c r="B140" s="393" t="str">
        <f>IF(B$139=0,"",SUM(B136/B139))</f>
        <v/>
      </c>
      <c r="C140" s="394"/>
      <c r="D140" s="394"/>
      <c r="E140" s="394"/>
      <c r="F140" s="394"/>
      <c r="G140" s="394"/>
      <c r="H140" s="394"/>
      <c r="I140" s="394"/>
      <c r="J140" s="394"/>
      <c r="K140" s="394"/>
      <c r="L140" s="394"/>
      <c r="M140" s="394"/>
      <c r="N140" s="139">
        <f>IF(N$139=0,"",SUM(N136/N139))</f>
        <v>0</v>
      </c>
    </row>
    <row r="141" spans="1:14" x14ac:dyDescent="0.25">
      <c r="A141" s="44"/>
    </row>
    <row r="143" spans="1:14" x14ac:dyDescent="0.25">
      <c r="A143" s="44" t="s">
        <v>397</v>
      </c>
      <c r="B143" s="43" t="s">
        <v>357</v>
      </c>
      <c r="C143" s="43" t="s">
        <v>358</v>
      </c>
      <c r="D143" s="43" t="s">
        <v>359</v>
      </c>
      <c r="E143" s="43" t="s">
        <v>360</v>
      </c>
      <c r="F143" s="43" t="s">
        <v>361</v>
      </c>
      <c r="G143" s="43" t="s">
        <v>362</v>
      </c>
      <c r="H143" s="43" t="s">
        <v>363</v>
      </c>
      <c r="I143" s="43" t="s">
        <v>364</v>
      </c>
      <c r="J143" s="43" t="s">
        <v>365</v>
      </c>
      <c r="K143" s="43" t="s">
        <v>366</v>
      </c>
      <c r="L143" s="43" t="s">
        <v>367</v>
      </c>
      <c r="M143" s="43" t="s">
        <v>368</v>
      </c>
      <c r="N143" s="54" t="s">
        <v>414</v>
      </c>
    </row>
    <row r="144" spans="1:14" ht="38.25" x14ac:dyDescent="0.25">
      <c r="A144" s="53" t="s">
        <v>405</v>
      </c>
      <c r="B144" s="43">
        <f>COUNTIFS(Tabla1[AÑO3 INGRESO CPN],B4,Tabla1[MES2 INGRESO CPN],B6,Tabla1[TOTAL SEGUIMIENTOS POR PARTERA],"&gt;0")</f>
        <v>0</v>
      </c>
      <c r="C144" s="43">
        <f>COUNTIFS(Tabla1[AÑO3 INGRESO CPN],B4,Tabla1[MES2 INGRESO CPN],C6,Tabla1[TOTAL SEGUIMIENTOS POR PARTERA],"&gt;0")</f>
        <v>0</v>
      </c>
      <c r="D144" s="43">
        <f>COUNTIFS(Tabla1[AÑO3 INGRESO CPN],B4,Tabla1[MES2 INGRESO CPN],D6,Tabla1[TOTAL SEGUIMIENTOS POR PARTERA],"&gt;0")</f>
        <v>0</v>
      </c>
      <c r="E144" s="43">
        <f>COUNTIFS(Tabla1[AÑO3 INGRESO CPN],B4,Tabla1[MES2 INGRESO CPN],E6,Tabla1[TOTAL SEGUIMIENTOS POR PARTERA],"&gt;0")</f>
        <v>0</v>
      </c>
      <c r="F144" s="43">
        <f>COUNTIFS(Tabla1[AÑO3 INGRESO CPN],B4,Tabla1[MES2 INGRESO CPN],F6,Tabla1[TOTAL SEGUIMIENTOS POR PARTERA],"&gt;0")</f>
        <v>0</v>
      </c>
      <c r="G144" s="43">
        <f>COUNTIFS(Tabla1[AÑO3 INGRESO CPN],B4,Tabla1[MES2 INGRESO CPN],G6,Tabla1[TOTAL SEGUIMIENTOS POR PARTERA],"&gt;0")</f>
        <v>0</v>
      </c>
      <c r="H144" s="43">
        <f>COUNTIFS(Tabla1[AÑO3 INGRESO CPN],B4,Tabla1[MES2 INGRESO CPN],H6,Tabla1[TOTAL SEGUIMIENTOS POR PARTERA],"&gt;0")</f>
        <v>0</v>
      </c>
      <c r="I144" s="43">
        <f>COUNTIFS(Tabla1[AÑO3 INGRESO CPN],B4,Tabla1[MES2 INGRESO CPN],I6,Tabla1[TOTAL SEGUIMIENTOS POR PARTERA],"&gt;0")</f>
        <v>0</v>
      </c>
      <c r="J144" s="43">
        <f>COUNTIFS(Tabla1[AÑO3 INGRESO CPN],B4,Tabla1[MES2 INGRESO CPN],J6,Tabla1[TOTAL SEGUIMIENTOS POR PARTERA],"&gt;0")</f>
        <v>0</v>
      </c>
      <c r="K144" s="43">
        <f>COUNTIFS(Tabla1[AÑO3 INGRESO CPN],B4,Tabla1[MES2 INGRESO CPN],K6,Tabla1[TOTAL SEGUIMIENTOS POR PARTERA],"&gt;0")</f>
        <v>0</v>
      </c>
      <c r="L144" s="43">
        <f>COUNTIFS(Tabla1[AÑO3 INGRESO CPN],B4,Tabla1[MES2 INGRESO CPN],L6,Tabla1[TOTAL SEGUIMIENTOS POR PARTERA],"&gt;0")</f>
        <v>0</v>
      </c>
      <c r="M144" s="43">
        <f>COUNTIFS(Tabla1[AÑO3 INGRESO CPN],B4,Tabla1[MES2 INGRESO CPN],M6,Tabla1[TOTAL SEGUIMIENTOS POR PARTERA],"&gt;0")</f>
        <v>0</v>
      </c>
      <c r="N144" s="43">
        <f>SUM(B144:M144)</f>
        <v>0</v>
      </c>
    </row>
    <row r="145" spans="1:14" ht="28.5" customHeight="1" x14ac:dyDescent="0.25">
      <c r="A145" s="51" t="s">
        <v>409</v>
      </c>
      <c r="B145" s="46">
        <f>IF(B$40=0,"",SUM(B144/B$40))</f>
        <v>0</v>
      </c>
      <c r="C145" s="46">
        <f t="shared" ref="C145:N145" si="43">IF(C40=0,"",SUM(C144/C40))</f>
        <v>0</v>
      </c>
      <c r="D145" s="46">
        <f t="shared" si="43"/>
        <v>0</v>
      </c>
      <c r="E145" s="46">
        <f t="shared" si="43"/>
        <v>0</v>
      </c>
      <c r="F145" s="46">
        <f t="shared" si="43"/>
        <v>0</v>
      </c>
      <c r="G145" s="46">
        <f t="shared" si="43"/>
        <v>0</v>
      </c>
      <c r="H145" s="46">
        <f t="shared" si="43"/>
        <v>0</v>
      </c>
      <c r="I145" s="46">
        <f t="shared" si="43"/>
        <v>0</v>
      </c>
      <c r="J145" s="46" t="str">
        <f t="shared" si="43"/>
        <v/>
      </c>
      <c r="K145" s="46" t="str">
        <f t="shared" si="43"/>
        <v/>
      </c>
      <c r="L145" s="46" t="str">
        <f t="shared" si="43"/>
        <v/>
      </c>
      <c r="M145" s="46" t="str">
        <f t="shared" si="43"/>
        <v/>
      </c>
      <c r="N145" s="46">
        <f t="shared" si="43"/>
        <v>0</v>
      </c>
    </row>
    <row r="146" spans="1:14" ht="38.25" x14ac:dyDescent="0.25">
      <c r="A146" s="53" t="s">
        <v>406</v>
      </c>
      <c r="B146" s="43">
        <f>COUNTIFS(Tabla1[AÑO3 INGRESO CPN],B4,Tabla1[MES2 INGRESO CPN],B6,Tabla1[TOTAL SEGUIMIENTOS POR MEDICINA TRADICIONAL],"&gt;0")</f>
        <v>0</v>
      </c>
      <c r="C146" s="43">
        <f>COUNTIFS(Tabla1[AÑO3 INGRESO CPN],B4,Tabla1[MES2 INGRESO CPN],C6,Tabla1[TOTAL SEGUIMIENTOS POR MEDICINA TRADICIONAL],"&gt;0")</f>
        <v>0</v>
      </c>
      <c r="D146" s="43">
        <f>COUNTIFS(Tabla1[AÑO3 INGRESO CPN],B4,Tabla1[MES2 INGRESO CPN],D6,Tabla1[TOTAL SEGUIMIENTOS POR MEDICINA TRADICIONAL],"&gt;0")</f>
        <v>0</v>
      </c>
      <c r="E146" s="43">
        <f>COUNTIFS(Tabla1[AÑO3 INGRESO CPN],B4,Tabla1[MES2 INGRESO CPN],E6,Tabla1[TOTAL SEGUIMIENTOS POR MEDICINA TRADICIONAL],"&gt;0")</f>
        <v>0</v>
      </c>
      <c r="F146" s="43">
        <f>COUNTIFS(Tabla1[AÑO3 INGRESO CPN],B4,Tabla1[MES2 INGRESO CPN],F6,Tabla1[TOTAL SEGUIMIENTOS POR MEDICINA TRADICIONAL],"&gt;0")</f>
        <v>0</v>
      </c>
      <c r="G146" s="43">
        <f>COUNTIFS(Tabla1[AÑO3 INGRESO CPN],B4,Tabla1[MES2 INGRESO CPN],G6,Tabla1[TOTAL SEGUIMIENTOS POR MEDICINA TRADICIONAL],"&gt;0")</f>
        <v>0</v>
      </c>
      <c r="H146" s="43">
        <f>COUNTIFS(Tabla1[AÑO3 INGRESO CPN],B4,Tabla1[MES2 INGRESO CPN],H6,Tabla1[TOTAL SEGUIMIENTOS POR MEDICINA TRADICIONAL],"&gt;0")</f>
        <v>0</v>
      </c>
      <c r="I146" s="43">
        <f>COUNTIFS(Tabla1[AÑO3 INGRESO CPN],B4,Tabla1[MES2 INGRESO CPN],I6,Tabla1[TOTAL SEGUIMIENTOS POR MEDICINA TRADICIONAL],"&gt;0")</f>
        <v>0</v>
      </c>
      <c r="J146" s="43">
        <f>COUNTIFS(Tabla1[AÑO3 INGRESO CPN],B4,Tabla1[MES2 INGRESO CPN],J6,Tabla1[TOTAL SEGUIMIENTOS POR MEDICINA TRADICIONAL],"&gt;0")</f>
        <v>0</v>
      </c>
      <c r="K146" s="43">
        <f>COUNTIFS(Tabla1[AÑO3 INGRESO CPN],B4,Tabla1[MES2 INGRESO CPN],K6,Tabla1[TOTAL SEGUIMIENTOS POR MEDICINA TRADICIONAL],"&gt;0")</f>
        <v>0</v>
      </c>
      <c r="L146" s="43">
        <f>COUNTIFS(Tabla1[AÑO3 INGRESO CPN],B4,Tabla1[MES2 INGRESO CPN],L6,Tabla1[TOTAL SEGUIMIENTOS POR MEDICINA TRADICIONAL],"&gt;0")</f>
        <v>0</v>
      </c>
      <c r="M146" s="43">
        <f>COUNTIFS(Tabla1[AÑO3 INGRESO CPN],B4,Tabla1[MES2 INGRESO CPN],M6,Tabla1[TOTAL SEGUIMIENTOS POR MEDICINA TRADICIONAL],"&gt;0")</f>
        <v>0</v>
      </c>
      <c r="N146" s="43">
        <f>SUM(B146:M146)</f>
        <v>0</v>
      </c>
    </row>
    <row r="147" spans="1:14" ht="30.75" customHeight="1" x14ac:dyDescent="0.25">
      <c r="A147" s="51" t="s">
        <v>410</v>
      </c>
      <c r="B147" s="46">
        <f>IF(B$40=0,"",SUM(B146/B$40))</f>
        <v>0</v>
      </c>
      <c r="C147" s="46">
        <f t="shared" ref="C147:N147" si="44">IF(C$40=0,"",SUM(C146/C$40))</f>
        <v>0</v>
      </c>
      <c r="D147" s="46">
        <f t="shared" si="44"/>
        <v>0</v>
      </c>
      <c r="E147" s="46">
        <f t="shared" si="44"/>
        <v>0</v>
      </c>
      <c r="F147" s="46">
        <f t="shared" si="44"/>
        <v>0</v>
      </c>
      <c r="G147" s="46">
        <f t="shared" si="44"/>
        <v>0</v>
      </c>
      <c r="H147" s="46">
        <f t="shared" si="44"/>
        <v>0</v>
      </c>
      <c r="I147" s="46">
        <f t="shared" si="44"/>
        <v>0</v>
      </c>
      <c r="J147" s="46" t="str">
        <f t="shared" si="44"/>
        <v/>
      </c>
      <c r="K147" s="46" t="str">
        <f t="shared" si="44"/>
        <v/>
      </c>
      <c r="L147" s="46" t="str">
        <f t="shared" si="44"/>
        <v/>
      </c>
      <c r="M147" s="46" t="str">
        <f t="shared" si="44"/>
        <v/>
      </c>
      <c r="N147" s="46">
        <f t="shared" si="44"/>
        <v>0</v>
      </c>
    </row>
    <row r="148" spans="1:14" ht="25.5" x14ac:dyDescent="0.25">
      <c r="A148" s="53" t="s">
        <v>395</v>
      </c>
      <c r="B148" s="43">
        <f>COUNTIFS(Tabla1[AÑO3 INGRESO CPN],B4,Tabla1[MES2 INGRESO CPN],B6,Tabla1[TRIMESTRE DE GESTACIÓN AL PRIMER SEGUIMIENTO POR SABEDOR],"I TRIM")</f>
        <v>0</v>
      </c>
      <c r="C148" s="43">
        <f>COUNTIFS(Tabla1[AÑO3 INGRESO CPN],B4,Tabla1[MES2 INGRESO CPN],C6,Tabla1[TRIMESTRE DE GESTACIÓN AL PRIMER SEGUIMIENTO POR SABEDOR],"I TRIM")</f>
        <v>0</v>
      </c>
      <c r="D148" s="43">
        <f>COUNTIFS(Tabla1[AÑO3 INGRESO CPN],B4,Tabla1[MES2 INGRESO CPN],D6,Tabla1[TRIMESTRE DE GESTACIÓN AL PRIMER SEGUIMIENTO POR SABEDOR],"I TRIM")</f>
        <v>0</v>
      </c>
      <c r="E148" s="43">
        <f>COUNTIFS(Tabla1[AÑO3 INGRESO CPN],B4,Tabla1[MES2 INGRESO CPN],E6,Tabla1[TRIMESTRE DE GESTACIÓN AL PRIMER SEGUIMIENTO POR SABEDOR],"I TRIM")</f>
        <v>0</v>
      </c>
      <c r="F148" s="43">
        <f>COUNTIFS(Tabla1[AÑO3 INGRESO CPN],B4,Tabla1[MES2 INGRESO CPN],F6,Tabla1[TRIMESTRE DE GESTACIÓN AL PRIMER SEGUIMIENTO POR SABEDOR],"I TRIM")</f>
        <v>0</v>
      </c>
      <c r="G148" s="43">
        <f>COUNTIFS(Tabla1[AÑO3 INGRESO CPN],B4,Tabla1[MES2 INGRESO CPN],G6,Tabla1[TRIMESTRE DE GESTACIÓN AL PRIMER SEGUIMIENTO POR SABEDOR],"I TRIM")</f>
        <v>0</v>
      </c>
      <c r="H148" s="43">
        <f>COUNTIFS(Tabla1[AÑO3 INGRESO CPN],B4,Tabla1[MES2 INGRESO CPN],H6,Tabla1[TRIMESTRE DE GESTACIÓN AL PRIMER SEGUIMIENTO POR SABEDOR],"I TRIM")</f>
        <v>0</v>
      </c>
      <c r="I148" s="43">
        <f>COUNTIFS(Tabla1[AÑO3 INGRESO CPN],B4,Tabla1[MES2 INGRESO CPN],I6,Tabla1[TRIMESTRE DE GESTACIÓN AL PRIMER SEGUIMIENTO POR SABEDOR],"I TRIM")</f>
        <v>0</v>
      </c>
      <c r="J148" s="43">
        <f>COUNTIFS(Tabla1[AÑO3 INGRESO CPN],B4,Tabla1[MES2 INGRESO CPN],J6,Tabla1[TRIMESTRE DE GESTACIÓN AL PRIMER SEGUIMIENTO POR SABEDOR],"I TRIM")</f>
        <v>0</v>
      </c>
      <c r="K148" s="43">
        <f>COUNTIFS(Tabla1[AÑO3 INGRESO CPN],B4,Tabla1[MES2 INGRESO CPN],K6,Tabla1[TRIMESTRE DE GESTACIÓN AL PRIMER SEGUIMIENTO POR SABEDOR],"I TRIM")</f>
        <v>0</v>
      </c>
      <c r="L148" s="43">
        <f>COUNTIFS(Tabla1[AÑO3 INGRESO CPN],B4,Tabla1[MES2 INGRESO CPN],L6,Tabla1[TRIMESTRE DE GESTACIÓN AL PRIMER SEGUIMIENTO POR SABEDOR],"I TRIM")</f>
        <v>0</v>
      </c>
      <c r="M148" s="43">
        <f>COUNTIFS(Tabla1[AÑO3 INGRESO CPN],B4,Tabla1[MES2 INGRESO CPN],M6,Tabla1[TRIMESTRE DE GESTACIÓN AL PRIMER SEGUIMIENTO POR SABEDOR],"I TRIM")</f>
        <v>0</v>
      </c>
      <c r="N148" s="43">
        <f>SUM(B148:M148)</f>
        <v>0</v>
      </c>
    </row>
    <row r="149" spans="1:14" ht="23.25" customHeight="1" x14ac:dyDescent="0.25">
      <c r="A149" s="51" t="s">
        <v>411</v>
      </c>
      <c r="B149" s="46">
        <f>IF(B$40=0,"",SUM(B148/B$40))</f>
        <v>0</v>
      </c>
      <c r="C149" s="46">
        <f t="shared" ref="C149:N149" si="45">IF(C$40=0,"",SUM(C148/C$40))</f>
        <v>0</v>
      </c>
      <c r="D149" s="46">
        <f t="shared" si="45"/>
        <v>0</v>
      </c>
      <c r="E149" s="46">
        <f t="shared" si="45"/>
        <v>0</v>
      </c>
      <c r="F149" s="46">
        <f t="shared" si="45"/>
        <v>0</v>
      </c>
      <c r="G149" s="46">
        <f t="shared" si="45"/>
        <v>0</v>
      </c>
      <c r="H149" s="46">
        <f t="shared" si="45"/>
        <v>0</v>
      </c>
      <c r="I149" s="46">
        <f t="shared" si="45"/>
        <v>0</v>
      </c>
      <c r="J149" s="46" t="str">
        <f t="shared" si="45"/>
        <v/>
      </c>
      <c r="K149" s="46" t="str">
        <f t="shared" si="45"/>
        <v/>
      </c>
      <c r="L149" s="46" t="str">
        <f t="shared" si="45"/>
        <v/>
      </c>
      <c r="M149" s="46" t="str">
        <f t="shared" si="45"/>
        <v/>
      </c>
      <c r="N149" s="46">
        <f t="shared" si="45"/>
        <v>0</v>
      </c>
    </row>
    <row r="150" spans="1:14" ht="25.5" x14ac:dyDescent="0.25">
      <c r="A150" s="53" t="s">
        <v>396</v>
      </c>
      <c r="B150" s="43">
        <f>COUNTIFS(Tabla1[AÑO3 INGRESO CPN],B4,Tabla1[MES2 INGRESO CPN],B6,Tabla1[TRIMESTRE DE GESTACIÓN AL PRIMER SEGUIMIENTO POR SABEDOR],"II TRIM")</f>
        <v>0</v>
      </c>
      <c r="C150" s="43">
        <f>COUNTIFS(Tabla1[AÑO3 INGRESO CPN],B4,Tabla1[MES2 INGRESO CPN],C6,Tabla1[TRIMESTRE DE GESTACIÓN AL PRIMER SEGUIMIENTO POR SABEDOR],"II TRIM")</f>
        <v>0</v>
      </c>
      <c r="D150" s="43">
        <f>COUNTIFS(Tabla1[AÑO3 INGRESO CPN],B4,Tabla1[MES2 INGRESO CPN],D6,Tabla1[TRIMESTRE DE GESTACIÓN AL PRIMER SEGUIMIENTO POR SABEDOR],"II TRIM")</f>
        <v>0</v>
      </c>
      <c r="E150" s="43">
        <f>COUNTIFS(Tabla1[AÑO3 INGRESO CPN],B4,Tabla1[MES2 INGRESO CPN],E6,Tabla1[TRIMESTRE DE GESTACIÓN AL PRIMER SEGUIMIENTO POR SABEDOR],"II TRIM")</f>
        <v>0</v>
      </c>
      <c r="F150" s="43">
        <f>COUNTIFS(Tabla1[AÑO3 INGRESO CPN],B4,Tabla1[MES2 INGRESO CPN],F6,Tabla1[TRIMESTRE DE GESTACIÓN AL PRIMER SEGUIMIENTO POR SABEDOR],"II TRIM")</f>
        <v>0</v>
      </c>
      <c r="G150" s="43">
        <f>COUNTIFS(Tabla1[AÑO3 INGRESO CPN],B4,Tabla1[MES2 INGRESO CPN],G6,Tabla1[TRIMESTRE DE GESTACIÓN AL PRIMER SEGUIMIENTO POR SABEDOR],"II TRIM")</f>
        <v>0</v>
      </c>
      <c r="H150" s="43">
        <f>COUNTIFS(Tabla1[AÑO3 INGRESO CPN],B4,Tabla1[MES2 INGRESO CPN],H6,Tabla1[TRIMESTRE DE GESTACIÓN AL PRIMER SEGUIMIENTO POR SABEDOR],"II TRIM")</f>
        <v>0</v>
      </c>
      <c r="I150" s="43">
        <f>COUNTIFS(Tabla1[AÑO3 INGRESO CPN],B4,Tabla1[MES2 INGRESO CPN],I6,Tabla1[TRIMESTRE DE GESTACIÓN AL PRIMER SEGUIMIENTO POR SABEDOR],"II TRIM")</f>
        <v>0</v>
      </c>
      <c r="J150" s="43">
        <f>COUNTIFS(Tabla1[AÑO3 INGRESO CPN],B4,Tabla1[MES2 INGRESO CPN],J6,Tabla1[TRIMESTRE DE GESTACIÓN AL PRIMER SEGUIMIENTO POR SABEDOR],"II TRIM")</f>
        <v>0</v>
      </c>
      <c r="K150" s="43">
        <f>COUNTIFS(Tabla1[AÑO3 INGRESO CPN],B4,Tabla1[MES2 INGRESO CPN],K6,Tabla1[TRIMESTRE DE GESTACIÓN AL PRIMER SEGUIMIENTO POR SABEDOR],"II TRIM")</f>
        <v>0</v>
      </c>
      <c r="L150" s="43">
        <f>COUNTIFS(Tabla1[AÑO3 INGRESO CPN],B4,Tabla1[MES2 INGRESO CPN],L6,Tabla1[TRIMESTRE DE GESTACIÓN AL PRIMER SEGUIMIENTO POR SABEDOR],"II TRIM")</f>
        <v>0</v>
      </c>
      <c r="M150" s="43">
        <f>COUNTIFS(Tabla1[AÑO3 INGRESO CPN],B4,Tabla1[MES2 INGRESO CPN],M6,Tabla1[TRIMESTRE DE GESTACIÓN AL PRIMER SEGUIMIENTO POR SABEDOR],"II TRIM")</f>
        <v>0</v>
      </c>
      <c r="N150" s="43">
        <f>SUM(B150:M150)</f>
        <v>0</v>
      </c>
    </row>
    <row r="151" spans="1:14" ht="25.5" x14ac:dyDescent="0.25">
      <c r="A151" s="51" t="s">
        <v>412</v>
      </c>
      <c r="B151" s="46">
        <f>IF(B$40=0,"",SUM(B150/B$40))</f>
        <v>0</v>
      </c>
      <c r="C151" s="46">
        <f t="shared" ref="C151:N151" si="46">IF(C$40=0,"",SUM(C150/C$40))</f>
        <v>0</v>
      </c>
      <c r="D151" s="46">
        <f t="shared" si="46"/>
        <v>0</v>
      </c>
      <c r="E151" s="46">
        <f t="shared" si="46"/>
        <v>0</v>
      </c>
      <c r="F151" s="46">
        <f t="shared" si="46"/>
        <v>0</v>
      </c>
      <c r="G151" s="46">
        <f t="shared" si="46"/>
        <v>0</v>
      </c>
      <c r="H151" s="46">
        <f t="shared" si="46"/>
        <v>0</v>
      </c>
      <c r="I151" s="46">
        <f t="shared" si="46"/>
        <v>0</v>
      </c>
      <c r="J151" s="46" t="str">
        <f t="shared" si="46"/>
        <v/>
      </c>
      <c r="K151" s="46" t="str">
        <f t="shared" si="46"/>
        <v/>
      </c>
      <c r="L151" s="46" t="str">
        <f t="shared" si="46"/>
        <v/>
      </c>
      <c r="M151" s="46" t="str">
        <f t="shared" si="46"/>
        <v/>
      </c>
      <c r="N151" s="46">
        <f t="shared" si="46"/>
        <v>0</v>
      </c>
    </row>
    <row r="152" spans="1:14" ht="25.5" x14ac:dyDescent="0.25">
      <c r="A152" s="53" t="s">
        <v>408</v>
      </c>
      <c r="B152" s="43">
        <f>COUNTIFS(Tabla1[AÑO3 INGRESO CPN],B4,Tabla1[MES2 INGRESO CPN],B6,Tabla1[TRIMESTRE DE GESTACIÓN AL PRIMER SEGUIMIENTO POR SABEDOR],"III TRIM")</f>
        <v>0</v>
      </c>
      <c r="C152" s="43">
        <f>COUNTIFS(Tabla1[AÑO3 INGRESO CPN],B4,Tabla1[MES2 INGRESO CPN],C6,Tabla1[TRIMESTRE DE GESTACIÓN AL PRIMER SEGUIMIENTO POR SABEDOR],"III TRIM")</f>
        <v>0</v>
      </c>
      <c r="D152" s="43">
        <f>COUNTIFS(Tabla1[AÑO3 INGRESO CPN],B4,Tabla1[MES2 INGRESO CPN],D6,Tabla1[TRIMESTRE DE GESTACIÓN AL PRIMER SEGUIMIENTO POR SABEDOR],"III TRIM")</f>
        <v>0</v>
      </c>
      <c r="E152" s="43">
        <f>COUNTIFS(Tabla1[AÑO3 INGRESO CPN],B4,Tabla1[MES2 INGRESO CPN],E6,Tabla1[TRIMESTRE DE GESTACIÓN AL PRIMER SEGUIMIENTO POR SABEDOR],"III TRIM")</f>
        <v>0</v>
      </c>
      <c r="F152" s="43">
        <f>COUNTIFS(Tabla1[AÑO3 INGRESO CPN],B4,Tabla1[MES2 INGRESO CPN],F6,Tabla1[TRIMESTRE DE GESTACIÓN AL PRIMER SEGUIMIENTO POR SABEDOR],"III TRIM")</f>
        <v>0</v>
      </c>
      <c r="G152" s="43">
        <f>COUNTIFS(Tabla1[AÑO3 INGRESO CPN],B4,Tabla1[MES2 INGRESO CPN],G6,Tabla1[TRIMESTRE DE GESTACIÓN AL PRIMER SEGUIMIENTO POR SABEDOR],"III TRIM")</f>
        <v>0</v>
      </c>
      <c r="H152" s="43">
        <f>COUNTIFS(Tabla1[AÑO3 INGRESO CPN],B4,Tabla1[MES2 INGRESO CPN],H6,Tabla1[TRIMESTRE DE GESTACIÓN AL PRIMER SEGUIMIENTO POR SABEDOR],"III TRIM")</f>
        <v>0</v>
      </c>
      <c r="I152" s="43">
        <f>COUNTIFS(Tabla1[AÑO3 INGRESO CPN],B4,Tabla1[MES2 INGRESO CPN],I6,Tabla1[TRIMESTRE DE GESTACIÓN AL PRIMER SEGUIMIENTO POR SABEDOR],"III TRIM")</f>
        <v>0</v>
      </c>
      <c r="J152" s="43">
        <f>COUNTIFS(Tabla1[AÑO3 INGRESO CPN],B4,Tabla1[MES2 INGRESO CPN],J6,Tabla1[TRIMESTRE DE GESTACIÓN AL PRIMER SEGUIMIENTO POR SABEDOR],"III TRIM")</f>
        <v>0</v>
      </c>
      <c r="K152" s="43">
        <f>COUNTIFS(Tabla1[AÑO3 INGRESO CPN],B4,Tabla1[MES2 INGRESO CPN],K6,Tabla1[TRIMESTRE DE GESTACIÓN AL PRIMER SEGUIMIENTO POR SABEDOR],"III TRIM")</f>
        <v>0</v>
      </c>
      <c r="L152" s="43">
        <f>COUNTIFS(Tabla1[AÑO3 INGRESO CPN],B4,Tabla1[MES2 INGRESO CPN],L6,Tabla1[TRIMESTRE DE GESTACIÓN AL PRIMER SEGUIMIENTO POR SABEDOR],"III TRIM")</f>
        <v>0</v>
      </c>
      <c r="M152" s="43">
        <f>COUNTIFS(Tabla1[AÑO3 INGRESO CPN],B4,Tabla1[MES2 INGRESO CPN],M6,Tabla1[TRIMESTRE DE GESTACIÓN AL PRIMER SEGUIMIENTO POR SABEDOR],"III TRIM")</f>
        <v>0</v>
      </c>
      <c r="N152" s="43">
        <f>SUM(B152:M152)</f>
        <v>0</v>
      </c>
    </row>
    <row r="153" spans="1:14" ht="25.5" x14ac:dyDescent="0.25">
      <c r="A153" s="51" t="s">
        <v>413</v>
      </c>
      <c r="B153" s="46">
        <f>IF(B$40=0,"",SUM(B152/B$40))</f>
        <v>0</v>
      </c>
      <c r="C153" s="46">
        <f t="shared" ref="C153:N153" si="47">IF(C$40=0,"",SUM(C152/C$40))</f>
        <v>0</v>
      </c>
      <c r="D153" s="46">
        <f t="shared" si="47"/>
        <v>0</v>
      </c>
      <c r="E153" s="46">
        <f t="shared" si="47"/>
        <v>0</v>
      </c>
      <c r="F153" s="46">
        <f t="shared" si="47"/>
        <v>0</v>
      </c>
      <c r="G153" s="46">
        <f t="shared" si="47"/>
        <v>0</v>
      </c>
      <c r="H153" s="46">
        <f t="shared" si="47"/>
        <v>0</v>
      </c>
      <c r="I153" s="46">
        <f t="shared" si="47"/>
        <v>0</v>
      </c>
      <c r="J153" s="46" t="str">
        <f t="shared" si="47"/>
        <v/>
      </c>
      <c r="K153" s="46" t="str">
        <f t="shared" si="47"/>
        <v/>
      </c>
      <c r="L153" s="46" t="str">
        <f t="shared" si="47"/>
        <v/>
      </c>
      <c r="M153" s="46" t="str">
        <f t="shared" si="47"/>
        <v/>
      </c>
      <c r="N153" s="46">
        <f t="shared" si="47"/>
        <v>0</v>
      </c>
    </row>
  </sheetData>
  <protectedRanges>
    <protectedRange algorithmName="SHA-512" hashValue="KHhv3JU/LRdRrRTxxkgFceEHPZ5UzadmpZRZR3zmQRnPvkUJZuanRafIJ+qde0IWwLZSvFIQDyUAHq6v6k7XIg==" saltValue="2GKG1kCzVNNcn+vbOPuhJA==" spinCount="100000" sqref="A33" name="Rango2_2_5"/>
    <protectedRange algorithmName="SHA-512" hashValue="NUll9P9xh7KbSfMYpMxsRZLfDw/y/AzW2LSWlpXVscBDqiAxmzo71xjs+a2lh+jRa7pceOC849slke4+ZKx8LA==" saltValue="8qbkKpQ+CiQuLnqgShNvXA==" spinCount="100000" sqref="A13" name="Rango2_88_6"/>
  </protectedRanges>
  <mergeCells count="30">
    <mergeCell ref="B28:C28"/>
    <mergeCell ref="D28:E28"/>
    <mergeCell ref="C29:C30"/>
    <mergeCell ref="E29:E30"/>
    <mergeCell ref="C23:C24"/>
    <mergeCell ref="E23:E24"/>
    <mergeCell ref="B25:C25"/>
    <mergeCell ref="D25:E25"/>
    <mergeCell ref="C26:C27"/>
    <mergeCell ref="E26:E27"/>
    <mergeCell ref="B19:C19"/>
    <mergeCell ref="D19:E19"/>
    <mergeCell ref="C20:C21"/>
    <mergeCell ref="E20:E21"/>
    <mergeCell ref="B22:C22"/>
    <mergeCell ref="D22:E22"/>
    <mergeCell ref="C14:C15"/>
    <mergeCell ref="C17:C18"/>
    <mergeCell ref="E14:E15"/>
    <mergeCell ref="B13:C13"/>
    <mergeCell ref="D13:E13"/>
    <mergeCell ref="E17:E18"/>
    <mergeCell ref="B16:C16"/>
    <mergeCell ref="D16:E16"/>
    <mergeCell ref="B140:M140"/>
    <mergeCell ref="N35:N36"/>
    <mergeCell ref="B133:M133"/>
    <mergeCell ref="B135:M135"/>
    <mergeCell ref="B137:M137"/>
    <mergeCell ref="B138:M138"/>
  </mergeCells>
  <conditionalFormatting sqref="A33">
    <cfRule type="containsText" dxfId="20" priority="45" operator="containsText" text="SE TRASLADO DE EPS">
      <formula>NOT(ISERROR(SEARCH("SE TRASLADO DE EPS",A33)))</formula>
    </cfRule>
    <cfRule type="containsText" dxfId="19" priority="46" operator="containsText" text="INMIGRANTE VENEZOLANA">
      <formula>NOT(ISERROR(SEARCH("INMIGRANTE VENEZOLANA",A33)))</formula>
    </cfRule>
    <cfRule type="containsText" dxfId="18" priority="47" operator="containsText" text="SIN AFILIACIÓN A EPS">
      <formula>NOT(ISERROR(SEARCH("SIN AFILIACIÓN A EPS",A33)))</formula>
    </cfRule>
    <cfRule type="containsText" dxfId="17" priority="48" operator="containsText" text="NOVEDAD">
      <formula>NOT(ISERROR(SEARCH("NOVEDAD",A33)))</formula>
    </cfRule>
    <cfRule type="containsText" dxfId="16" priority="49" operator="containsText" text="IDENTIDAD">
      <formula>NOT(ISERROR(SEARCH("IDENTIDAD",A33)))</formula>
    </cfRule>
    <cfRule type="containsText" dxfId="15" priority="50" operator="containsText" text="CPN">
      <formula>NOT(ISERROR(SEARCH("CPN",A33)))</formula>
    </cfRule>
    <cfRule type="containsText" dxfId="14" priority="51" operator="containsText" text="VIENE">
      <formula>NOT(ISERROR(SEARCH("VIENE",A33)))</formula>
    </cfRule>
    <cfRule type="cellIs" dxfId="13" priority="52" operator="equal">
      <formula>"TRAMITE DE PORTABILIDAD"</formula>
    </cfRule>
  </conditionalFormatting>
  <conditionalFormatting sqref="A39">
    <cfRule type="containsText" dxfId="12" priority="9" operator="containsText" text="SE TRASLADO DE EPS">
      <formula>NOT(ISERROR(SEARCH("SE TRASLADO DE EPS",A39)))</formula>
    </cfRule>
    <cfRule type="containsText" dxfId="11" priority="10" operator="containsText" text="INMIGRANTE VENEZOLANA">
      <formula>NOT(ISERROR(SEARCH("INMIGRANTE VENEZOLANA",A39)))</formula>
    </cfRule>
    <cfRule type="containsText" dxfId="10" priority="11" operator="containsText" text="SIN AFILIACIÓN A EPS">
      <formula>NOT(ISERROR(SEARCH("SIN AFILIACIÓN A EPS",A39)))</formula>
    </cfRule>
    <cfRule type="containsText" dxfId="9" priority="12" operator="containsText" text="NOVEDAD">
      <formula>NOT(ISERROR(SEARCH("NOVEDAD",A39)))</formula>
    </cfRule>
    <cfRule type="containsText" dxfId="8" priority="13" operator="containsText" text="IDENTIDAD">
      <formula>NOT(ISERROR(SEARCH("IDENTIDAD",A39)))</formula>
    </cfRule>
    <cfRule type="containsText" dxfId="7" priority="14" operator="containsText" text="CPN">
      <formula>NOT(ISERROR(SEARCH("CPN",A39)))</formula>
    </cfRule>
    <cfRule type="containsText" dxfId="6" priority="15" operator="containsText" text="VIENE">
      <formula>NOT(ISERROR(SEARCH("VIENE",A39)))</formula>
    </cfRule>
    <cfRule type="cellIs" dxfId="5" priority="16" operator="equal">
      <formula>"TRAMITE DE PORTABILIDAD"</formula>
    </cfRule>
  </conditionalFormatting>
  <dataValidations disablePrompts="1" count="2">
    <dataValidation type="list" allowBlank="1" showInputMessage="1" showErrorMessage="1" sqref="A33" xr:uid="{00000000-0002-0000-0100-000000000000}">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A13" xr:uid="{00000000-0002-0000-0100-000001000000}">
      <formula1>"AIC, ASMET SALUD, CAJA COMPENSACION HUILA, CAPITAL SALUD, COMFENALCO, COMPENSAR, Contrato Particular, COOMEVA, COOSALUD, COSMITET, EJERCITO, EMSSANAR, MALLAMAS, NUEVA EPS, OTRO, POLICIA, PPNA, SANITAS, SOS, SURA, UNIDAD DE SALUD UNICAUCA"</formula1>
    </dataValidation>
  </dataValidations>
  <pageMargins left="0.7" right="0.7" top="0.75" bottom="0.75" header="0.3" footer="0.3"/>
  <pageSetup paperSize="9" orientation="portrait" r:id="rId1"/>
  <ignoredErrors>
    <ignoredError sqref="B75:N75 D14 D17 D20 D23 D26 D29 N39 N42 N44 N47 N49 N52 N54 N57 N59 N64 N62 N66 N68:N71 B69:M69 B71:M71 N72:N73 B73:M73 N74 N76:N77 B77:M77 B79:N79 N78 B83:N83 N81 N80 N82 N86 N88 N95 N99 N97 N101 B102:M102 B100 N103 N105 N108 N111 N116 N118 N120 N122 N124 N127 N131 N133 N135 N145 N147 B148:M148 B146 N149 N151 B150:M150 B152:M152 B81:E81 F81:M81" formula="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G5"/>
  <sheetViews>
    <sheetView topLeftCell="IK1" zoomScale="70" zoomScaleNormal="70" workbookViewId="0">
      <selection activeCell="IO5" sqref="IO5"/>
    </sheetView>
  </sheetViews>
  <sheetFormatPr baseColWidth="10" defaultRowHeight="15" x14ac:dyDescent="0.25"/>
  <cols>
    <col min="1" max="1" width="38.28515625" customWidth="1"/>
    <col min="2" max="3" width="30.7109375" customWidth="1"/>
    <col min="4" max="4" width="34.28515625" customWidth="1"/>
    <col min="5" max="7" width="22.7109375" customWidth="1"/>
    <col min="8" max="8" width="23.28515625" customWidth="1"/>
    <col min="9" max="10" width="23" customWidth="1"/>
    <col min="11" max="11" width="23.28515625" customWidth="1"/>
    <col min="12" max="12" width="22.7109375" customWidth="1"/>
    <col min="13" max="13" width="22.5703125" customWidth="1"/>
    <col min="14" max="14" width="22.28515625" customWidth="1"/>
    <col min="15" max="15" width="23.28515625" customWidth="1"/>
    <col min="16" max="16" width="27.42578125" customWidth="1"/>
    <col min="17" max="17" width="22.5703125" customWidth="1"/>
    <col min="18" max="18" width="23" customWidth="1"/>
    <col min="19" max="19" width="16" customWidth="1"/>
    <col min="20" max="20" width="16.5703125" customWidth="1"/>
    <col min="21" max="21" width="17" customWidth="1"/>
    <col min="22" max="22" width="18.7109375" customWidth="1"/>
    <col min="23" max="23" width="16.7109375" customWidth="1"/>
    <col min="24" max="24" width="17.7109375" customWidth="1"/>
    <col min="25" max="25" width="18.5703125" customWidth="1"/>
    <col min="26" max="26" width="15.7109375" customWidth="1"/>
    <col min="27" max="27" width="16.28515625" customWidth="1"/>
    <col min="28" max="28" width="17.5703125" customWidth="1"/>
    <col min="29" max="29" width="19.42578125" customWidth="1"/>
    <col min="30" max="30" width="22.42578125" customWidth="1"/>
    <col min="31" max="31" width="21.28515625" customWidth="1"/>
    <col min="32" max="32" width="28.7109375" customWidth="1"/>
    <col min="33" max="33" width="23.28515625" customWidth="1"/>
    <col min="34" max="34" width="27.28515625" customWidth="1"/>
    <col min="35" max="35" width="23.28515625" customWidth="1"/>
    <col min="36" max="36" width="16.28515625" customWidth="1"/>
    <col min="37" max="37" width="18.7109375" customWidth="1"/>
    <col min="38" max="38" width="14.28515625" customWidth="1"/>
    <col min="39" max="39" width="15.28515625" customWidth="1"/>
    <col min="40" max="41" width="14.5703125" customWidth="1"/>
    <col min="43" max="43" width="12" customWidth="1"/>
    <col min="44" max="44" width="14.28515625" customWidth="1"/>
    <col min="45" max="45" width="18.5703125" customWidth="1"/>
    <col min="46" max="46" width="17.42578125" customWidth="1"/>
    <col min="47" max="47" width="17.28515625" customWidth="1"/>
    <col min="48" max="48" width="16.42578125" customWidth="1"/>
    <col min="49" max="49" width="16" customWidth="1"/>
    <col min="50" max="50" width="21" customWidth="1"/>
    <col min="51" max="51" width="21.7109375" customWidth="1"/>
    <col min="52" max="52" width="17.7109375" customWidth="1"/>
    <col min="53" max="55" width="16.7109375" customWidth="1"/>
    <col min="56" max="56" width="16.28515625" customWidth="1"/>
    <col min="57" max="67" width="14.7109375" customWidth="1"/>
    <col min="68" max="68" width="19.28515625" customWidth="1"/>
    <col min="69" max="69" width="15.28515625" customWidth="1"/>
    <col min="70" max="70" width="23.28515625" customWidth="1"/>
    <col min="71" max="71" width="14.5703125" customWidth="1"/>
    <col min="72" max="72" width="14.28515625" customWidth="1"/>
    <col min="73" max="74" width="16.7109375" customWidth="1"/>
    <col min="75" max="75" width="15.28515625" customWidth="1"/>
    <col min="76" max="77" width="14.7109375" customWidth="1"/>
    <col min="80" max="80" width="21" customWidth="1"/>
    <col min="81" max="81" width="19.28515625" customWidth="1"/>
    <col min="82" max="82" width="36.28515625" customWidth="1"/>
    <col min="83" max="83" width="25.7109375" customWidth="1"/>
    <col min="84" max="84" width="23.42578125" customWidth="1"/>
    <col min="86" max="86" width="22.28515625" customWidth="1"/>
    <col min="89" max="89" width="16" customWidth="1"/>
    <col min="90" max="90" width="13.7109375" customWidth="1"/>
    <col min="92" max="92" width="15.28515625" customWidth="1"/>
    <col min="93" max="95" width="20.42578125" customWidth="1"/>
    <col min="96" max="96" width="15" customWidth="1"/>
    <col min="97" max="97" width="15.7109375" customWidth="1"/>
    <col min="98" max="98" width="19.7109375" customWidth="1"/>
    <col min="99" max="99" width="14" customWidth="1"/>
    <col min="100" max="100" width="18.7109375" customWidth="1"/>
    <col min="101" max="101" width="25.28515625" customWidth="1"/>
    <col min="104" max="104" width="24.42578125" customWidth="1"/>
    <col min="107" max="107" width="19.5703125" customWidth="1"/>
    <col min="122" max="122" width="15.5703125" customWidth="1"/>
    <col min="123" max="124" width="17" customWidth="1"/>
    <col min="125" max="125" width="21.5703125" customWidth="1"/>
    <col min="126" max="126" width="15.7109375" customWidth="1"/>
    <col min="128" max="128" width="16.7109375" customWidth="1"/>
    <col min="140" max="140" width="16" customWidth="1"/>
    <col min="143" max="143" width="34.28515625" customWidth="1"/>
    <col min="144" max="144" width="32.28515625" customWidth="1"/>
    <col min="145" max="145" width="19.28515625" customWidth="1"/>
    <col min="146" max="146" width="21" customWidth="1"/>
    <col min="147" max="147" width="16.7109375" customWidth="1"/>
    <col min="148" max="148" width="21" customWidth="1"/>
    <col min="150" max="150" width="22.85546875" customWidth="1"/>
    <col min="151" max="151" width="16.5703125" customWidth="1"/>
    <col min="152" max="152" width="26.28515625" customWidth="1"/>
    <col min="153" max="154" width="20" customWidth="1"/>
    <col min="155" max="155" width="16.140625" customWidth="1"/>
    <col min="156" max="156" width="32.5703125" customWidth="1"/>
    <col min="159" max="159" width="27.42578125" customWidth="1"/>
    <col min="163" max="163" width="17.7109375" customWidth="1"/>
    <col min="165" max="165" width="18" customWidth="1"/>
    <col min="166" max="166" width="39.28515625" customWidth="1"/>
    <col min="167" max="167" width="14.42578125" customWidth="1"/>
    <col min="168" max="168" width="48.28515625" customWidth="1"/>
    <col min="169" max="169" width="55.28515625" customWidth="1"/>
    <col min="171" max="171" width="53" customWidth="1"/>
    <col min="172" max="172" width="51.5703125" customWidth="1"/>
    <col min="174" max="174" width="55.7109375" customWidth="1"/>
    <col min="175" max="175" width="46.28515625" customWidth="1"/>
    <col min="176" max="176" width="14.7109375" customWidth="1"/>
    <col min="177" max="177" width="17.7109375" customWidth="1"/>
    <col min="181" max="181" width="24.42578125" customWidth="1"/>
    <col min="183" max="183" width="44" customWidth="1"/>
    <col min="184" max="184" width="19.42578125" customWidth="1"/>
    <col min="186" max="186" width="51.28515625" customWidth="1"/>
    <col min="187" max="187" width="20.28515625" customWidth="1"/>
    <col min="189" max="189" width="56" customWidth="1"/>
    <col min="190" max="190" width="22" customWidth="1"/>
    <col min="191" max="191" width="15.5703125" customWidth="1"/>
    <col min="192" max="192" width="23.28515625" customWidth="1"/>
    <col min="193" max="193" width="17.42578125" customWidth="1"/>
    <col min="194" max="194" width="23" customWidth="1"/>
    <col min="195" max="195" width="18.5703125" customWidth="1"/>
    <col min="196" max="196" width="16.28515625" customWidth="1"/>
    <col min="197" max="197" width="15" customWidth="1"/>
    <col min="198" max="198" width="14" customWidth="1"/>
    <col min="199" max="199" width="16.28515625" customWidth="1"/>
    <col min="200" max="200" width="18" customWidth="1"/>
    <col min="201" max="201" width="17.28515625" customWidth="1"/>
    <col min="202" max="202" width="16.7109375" customWidth="1"/>
    <col min="205" max="205" width="20.7109375" customWidth="1"/>
    <col min="206" max="206" width="15.7109375" customWidth="1"/>
    <col min="207" max="207" width="18.5703125" customWidth="1"/>
    <col min="208" max="208" width="17.7109375" customWidth="1"/>
    <col min="209" max="209" width="13.28515625" customWidth="1"/>
    <col min="210" max="210" width="13.5703125" customWidth="1"/>
    <col min="211" max="211" width="15.28515625" customWidth="1"/>
    <col min="212" max="212" width="15.7109375" customWidth="1"/>
    <col min="213" max="213" width="22.5703125" customWidth="1"/>
    <col min="214" max="214" width="24.42578125" customWidth="1"/>
    <col min="215" max="215" width="15.7109375" customWidth="1"/>
    <col min="216" max="216" width="24" customWidth="1"/>
    <col min="217" max="217" width="21.7109375" customWidth="1"/>
    <col min="218" max="218" width="24.5703125" customWidth="1"/>
    <col min="219" max="219" width="25" customWidth="1"/>
    <col min="220" max="220" width="24.28515625" customWidth="1"/>
    <col min="221" max="221" width="34.28515625" customWidth="1"/>
    <col min="222" max="222" width="29" customWidth="1"/>
    <col min="223" max="223" width="18.28515625" customWidth="1"/>
    <col min="224" max="225" width="15.7109375" customWidth="1"/>
    <col min="226" max="226" width="34.42578125" customWidth="1"/>
    <col min="227" max="227" width="15.7109375" customWidth="1"/>
    <col min="228" max="228" width="47.7109375" customWidth="1"/>
    <col min="229" max="229" width="23.42578125" customWidth="1"/>
    <col min="230" max="230" width="48" customWidth="1"/>
    <col min="231" max="231" width="22" customWidth="1"/>
    <col min="232" max="232" width="43.28515625" customWidth="1"/>
    <col min="233" max="234" width="17.7109375" customWidth="1"/>
    <col min="235" max="235" width="20.42578125" customWidth="1"/>
    <col min="236" max="236" width="21.42578125" customWidth="1"/>
    <col min="239" max="239" width="42.7109375" customWidth="1"/>
    <col min="240" max="240" width="19.5703125" customWidth="1"/>
    <col min="242" max="242" width="23.7109375" customWidth="1"/>
    <col min="243" max="243" width="19.7109375" customWidth="1"/>
    <col min="245" max="245" width="15.7109375" customWidth="1"/>
    <col min="246" max="246" width="39" customWidth="1"/>
    <col min="247" max="247" width="41.28515625" customWidth="1"/>
    <col min="248" max="248" width="15.7109375" customWidth="1"/>
    <col min="249" max="249" width="17" customWidth="1"/>
    <col min="251" max="251" width="26" customWidth="1"/>
    <col min="252" max="252" width="19.5703125" customWidth="1"/>
    <col min="253" max="254" width="18" customWidth="1"/>
    <col min="255" max="255" width="32.28515625" customWidth="1"/>
    <col min="256" max="256" width="38" customWidth="1"/>
    <col min="257" max="257" width="38.7109375" customWidth="1"/>
    <col min="258" max="258" width="32.28515625" customWidth="1"/>
    <col min="259" max="259" width="40.7109375" customWidth="1"/>
    <col min="260" max="260" width="52.5703125" customWidth="1"/>
    <col min="261" max="261" width="24.42578125" customWidth="1"/>
    <col min="262" max="262" width="19.28515625" customWidth="1"/>
    <col min="263" max="263" width="22.7109375" customWidth="1"/>
    <col min="265" max="265" width="15.28515625" customWidth="1"/>
    <col min="287" max="287" width="27" customWidth="1"/>
    <col min="288" max="288" width="29.7109375" customWidth="1"/>
    <col min="289" max="289" width="23.28515625" customWidth="1"/>
    <col min="290" max="290" width="18.42578125" customWidth="1"/>
    <col min="291" max="293" width="17.28515625" customWidth="1"/>
    <col min="294" max="294" width="13.7109375" customWidth="1"/>
    <col min="295" max="295" width="16.5703125" customWidth="1"/>
    <col min="296" max="296" width="21.7109375" customWidth="1"/>
    <col min="297" max="297" width="22.28515625" customWidth="1"/>
    <col min="298" max="298" width="17.28515625" customWidth="1"/>
    <col min="299" max="299" width="18.7109375" customWidth="1"/>
    <col min="300" max="300" width="27.7109375" customWidth="1"/>
    <col min="301" max="305" width="18.42578125" customWidth="1"/>
    <col min="306" max="306" width="15.5703125" customWidth="1"/>
    <col min="307" max="307" width="23.28515625" customWidth="1"/>
    <col min="308" max="308" width="19.5703125" customWidth="1"/>
    <col min="309" max="309" width="20.5703125" customWidth="1"/>
    <col min="310" max="310" width="17.7109375" customWidth="1"/>
    <col min="311" max="311" width="17.28515625" customWidth="1"/>
    <col min="312" max="312" width="20.42578125" customWidth="1"/>
    <col min="313" max="313" width="18" customWidth="1"/>
    <col min="314" max="315" width="17.28515625" customWidth="1"/>
    <col min="326" max="326" width="20" customWidth="1"/>
    <col min="327" max="327" width="16.7109375" customWidth="1"/>
    <col min="328" max="328" width="19.7109375" customWidth="1"/>
    <col min="329" max="329" width="22.7109375" customWidth="1"/>
    <col min="330" max="330" width="19.7109375" customWidth="1"/>
    <col min="331" max="331" width="17.28515625" customWidth="1"/>
    <col min="332" max="332" width="17" customWidth="1"/>
    <col min="333" max="333" width="19.28515625" customWidth="1"/>
    <col min="334" max="345" width="16.28515625" customWidth="1"/>
  </cols>
  <sheetData>
    <row r="1" spans="1:345" ht="45" customHeight="1" x14ac:dyDescent="0.25">
      <c r="A1" s="414" t="s">
        <v>433</v>
      </c>
      <c r="B1" s="414"/>
      <c r="C1" s="414"/>
      <c r="D1" s="414"/>
      <c r="E1" s="414"/>
      <c r="F1" s="414"/>
    </row>
    <row r="2" spans="1:345" ht="44.25" customHeight="1" x14ac:dyDescent="0.3">
      <c r="A2" s="415" t="s">
        <v>553</v>
      </c>
      <c r="B2" s="415"/>
      <c r="C2" s="415"/>
      <c r="D2" s="415"/>
      <c r="E2" s="415"/>
      <c r="F2" s="415"/>
    </row>
    <row r="3" spans="1:345" ht="44.25" customHeight="1" thickBot="1" x14ac:dyDescent="0.35">
      <c r="A3" s="415" t="s">
        <v>456</v>
      </c>
      <c r="B3" s="415"/>
      <c r="C3" s="415"/>
      <c r="D3" s="415"/>
      <c r="E3" s="415"/>
      <c r="F3" s="415"/>
    </row>
    <row r="4" spans="1:345" ht="141.75" customHeight="1" thickBot="1" x14ac:dyDescent="0.3">
      <c r="A4" s="8" t="s">
        <v>554</v>
      </c>
      <c r="B4" s="8" t="s">
        <v>278</v>
      </c>
      <c r="C4" s="7" t="s">
        <v>31</v>
      </c>
      <c r="D4" s="114" t="s">
        <v>582</v>
      </c>
      <c r="E4" s="7" t="s">
        <v>94</v>
      </c>
      <c r="F4" s="7" t="s">
        <v>21</v>
      </c>
      <c r="G4" s="7" t="s">
        <v>0</v>
      </c>
      <c r="H4" s="7" t="s">
        <v>1</v>
      </c>
      <c r="I4" s="7" t="s">
        <v>2</v>
      </c>
      <c r="J4" s="7" t="s">
        <v>3</v>
      </c>
      <c r="K4" s="7" t="s">
        <v>19</v>
      </c>
      <c r="L4" s="20" t="s">
        <v>20</v>
      </c>
      <c r="M4" s="7" t="s">
        <v>4</v>
      </c>
      <c r="N4" s="19" t="s">
        <v>5</v>
      </c>
      <c r="O4" s="7" t="s">
        <v>43</v>
      </c>
      <c r="P4" s="19" t="s">
        <v>42</v>
      </c>
      <c r="Q4" s="7" t="s">
        <v>46</v>
      </c>
      <c r="R4" s="8" t="s">
        <v>150</v>
      </c>
      <c r="S4" s="7" t="s">
        <v>28</v>
      </c>
      <c r="T4" s="7" t="s">
        <v>6</v>
      </c>
      <c r="U4" s="7" t="s">
        <v>127</v>
      </c>
      <c r="V4" s="7" t="s">
        <v>7</v>
      </c>
      <c r="W4" s="7" t="s">
        <v>48</v>
      </c>
      <c r="X4" s="8" t="s">
        <v>175</v>
      </c>
      <c r="Y4" s="7" t="s">
        <v>45</v>
      </c>
      <c r="Z4" s="7" t="s">
        <v>8</v>
      </c>
      <c r="AA4" s="7" t="s">
        <v>25</v>
      </c>
      <c r="AB4" s="7" t="s">
        <v>30</v>
      </c>
      <c r="AC4" s="7" t="s">
        <v>9</v>
      </c>
      <c r="AD4" s="58" t="s">
        <v>742</v>
      </c>
      <c r="AE4" s="7" t="s">
        <v>131</v>
      </c>
      <c r="AF4" s="7" t="s">
        <v>10</v>
      </c>
      <c r="AG4" s="7" t="s">
        <v>743</v>
      </c>
      <c r="AH4" s="7" t="s">
        <v>130</v>
      </c>
      <c r="AI4" s="20" t="s">
        <v>29</v>
      </c>
      <c r="AJ4" s="7" t="s">
        <v>26</v>
      </c>
      <c r="AK4" s="19" t="s">
        <v>49</v>
      </c>
      <c r="AL4" s="56" t="s">
        <v>435</v>
      </c>
      <c r="AM4" s="58" t="s">
        <v>763</v>
      </c>
      <c r="AN4" s="58" t="s">
        <v>745</v>
      </c>
      <c r="AO4" s="58" t="s">
        <v>744</v>
      </c>
      <c r="AP4" s="58" t="s">
        <v>762</v>
      </c>
      <c r="AQ4" s="56" t="s">
        <v>436</v>
      </c>
      <c r="AR4" s="56" t="s">
        <v>437</v>
      </c>
      <c r="AS4" s="56" t="s">
        <v>112</v>
      </c>
      <c r="AT4" s="56" t="s">
        <v>438</v>
      </c>
      <c r="AU4" s="56" t="s">
        <v>439</v>
      </c>
      <c r="AV4" s="56" t="s">
        <v>128</v>
      </c>
      <c r="AW4" s="56" t="s">
        <v>447</v>
      </c>
      <c r="AX4" s="56" t="s">
        <v>440</v>
      </c>
      <c r="AY4" s="58" t="s">
        <v>746</v>
      </c>
      <c r="AZ4" s="56" t="s">
        <v>441</v>
      </c>
      <c r="BA4" s="56" t="s">
        <v>442</v>
      </c>
      <c r="BB4" s="58" t="s">
        <v>771</v>
      </c>
      <c r="BC4" s="58" t="s">
        <v>765</v>
      </c>
      <c r="BD4" s="7" t="s">
        <v>133</v>
      </c>
      <c r="BE4" s="7" t="s">
        <v>134</v>
      </c>
      <c r="BF4" s="7" t="s">
        <v>135</v>
      </c>
      <c r="BG4" s="7" t="s">
        <v>136</v>
      </c>
      <c r="BH4" s="8" t="s">
        <v>146</v>
      </c>
      <c r="BI4" s="7" t="s">
        <v>145</v>
      </c>
      <c r="BJ4" s="58" t="s">
        <v>747</v>
      </c>
      <c r="BK4" s="58" t="s">
        <v>764</v>
      </c>
      <c r="BL4" s="7" t="s">
        <v>139</v>
      </c>
      <c r="BM4" s="8" t="s">
        <v>138</v>
      </c>
      <c r="BN4" s="55" t="s">
        <v>323</v>
      </c>
      <c r="BO4" s="17" t="s">
        <v>748</v>
      </c>
      <c r="BP4" s="7" t="s">
        <v>36</v>
      </c>
      <c r="BQ4" s="19" t="s">
        <v>34</v>
      </c>
      <c r="BR4" s="19" t="s">
        <v>52</v>
      </c>
      <c r="BS4" s="19" t="s">
        <v>11</v>
      </c>
      <c r="BT4" s="19" t="s">
        <v>12</v>
      </c>
      <c r="BU4" s="19" t="s">
        <v>13</v>
      </c>
      <c r="BV4" s="20" t="s">
        <v>755</v>
      </c>
      <c r="BW4" s="7" t="s">
        <v>50</v>
      </c>
      <c r="BX4" s="7" t="s">
        <v>51</v>
      </c>
      <c r="BY4" s="58" t="s">
        <v>756</v>
      </c>
      <c r="BZ4" s="7" t="s">
        <v>53</v>
      </c>
      <c r="CA4" s="7" t="s">
        <v>54</v>
      </c>
      <c r="CB4" s="7" t="s">
        <v>805</v>
      </c>
      <c r="CC4" s="8" t="s">
        <v>191</v>
      </c>
      <c r="CD4" s="115" t="s">
        <v>630</v>
      </c>
      <c r="CE4" s="7" t="s">
        <v>137</v>
      </c>
      <c r="CF4" s="58" t="s">
        <v>780</v>
      </c>
      <c r="CG4" s="8" t="s">
        <v>41</v>
      </c>
      <c r="CH4" s="20" t="s">
        <v>776</v>
      </c>
      <c r="CI4" s="19" t="s">
        <v>17</v>
      </c>
      <c r="CJ4" s="19" t="s">
        <v>779</v>
      </c>
      <c r="CK4" s="183" t="s">
        <v>783</v>
      </c>
      <c r="CL4" s="58" t="s">
        <v>796</v>
      </c>
      <c r="CM4" s="19" t="s">
        <v>774</v>
      </c>
      <c r="CN4" s="19" t="s">
        <v>773</v>
      </c>
      <c r="CO4" s="19" t="s">
        <v>775</v>
      </c>
      <c r="CP4" s="177" t="s">
        <v>784</v>
      </c>
      <c r="CQ4" s="183" t="s">
        <v>781</v>
      </c>
      <c r="CR4" s="7" t="s">
        <v>119</v>
      </c>
      <c r="CS4" s="7" t="s">
        <v>120</v>
      </c>
      <c r="CT4" s="183" t="s">
        <v>129</v>
      </c>
      <c r="CU4" s="7" t="s">
        <v>143</v>
      </c>
      <c r="CV4" s="7" t="s">
        <v>144</v>
      </c>
      <c r="CW4" s="176" t="s">
        <v>151</v>
      </c>
      <c r="CX4" s="7" t="s">
        <v>123</v>
      </c>
      <c r="CY4" s="7" t="s">
        <v>126</v>
      </c>
      <c r="CZ4" s="178" t="s">
        <v>782</v>
      </c>
      <c r="DA4" s="58" t="s">
        <v>791</v>
      </c>
      <c r="DB4" s="58" t="s">
        <v>792</v>
      </c>
      <c r="DC4" s="176" t="s">
        <v>785</v>
      </c>
      <c r="DD4" s="17" t="s">
        <v>320</v>
      </c>
      <c r="DE4" s="17" t="s">
        <v>321</v>
      </c>
      <c r="DF4" s="18" t="s">
        <v>55</v>
      </c>
      <c r="DG4" s="18" t="s">
        <v>56</v>
      </c>
      <c r="DH4" s="18" t="s">
        <v>57</v>
      </c>
      <c r="DI4" s="18" t="s">
        <v>58</v>
      </c>
      <c r="DJ4" s="18" t="s">
        <v>59</v>
      </c>
      <c r="DK4" s="18" t="s">
        <v>60</v>
      </c>
      <c r="DL4" s="18" t="s">
        <v>61</v>
      </c>
      <c r="DM4" s="18" t="s">
        <v>62</v>
      </c>
      <c r="DN4" s="18" t="s">
        <v>63</v>
      </c>
      <c r="DO4" s="18" t="s">
        <v>64</v>
      </c>
      <c r="DP4" s="18" t="s">
        <v>289</v>
      </c>
      <c r="DQ4" s="18" t="s">
        <v>560</v>
      </c>
      <c r="DR4" s="116" t="s">
        <v>577</v>
      </c>
      <c r="DS4" s="116" t="s">
        <v>601</v>
      </c>
      <c r="DT4" s="180" t="s">
        <v>750</v>
      </c>
      <c r="DU4" s="117" t="s">
        <v>578</v>
      </c>
      <c r="DV4" s="19" t="s">
        <v>44</v>
      </c>
      <c r="DW4" s="19" t="s">
        <v>22</v>
      </c>
      <c r="DX4" s="19" t="s">
        <v>290</v>
      </c>
      <c r="DY4" s="19" t="s">
        <v>256</v>
      </c>
      <c r="DZ4" s="19" t="s">
        <v>257</v>
      </c>
      <c r="EA4" s="19" t="s">
        <v>39</v>
      </c>
      <c r="EB4" s="19" t="s">
        <v>32</v>
      </c>
      <c r="EC4" s="19" t="s">
        <v>47</v>
      </c>
      <c r="ED4" s="19" t="s">
        <v>65</v>
      </c>
      <c r="EE4" s="7" t="s">
        <v>66</v>
      </c>
      <c r="EF4" s="7" t="s">
        <v>67</v>
      </c>
      <c r="EG4" s="10" t="s">
        <v>68</v>
      </c>
      <c r="EH4" s="7" t="s">
        <v>69</v>
      </c>
      <c r="EI4" s="7" t="s">
        <v>70</v>
      </c>
      <c r="EJ4" s="57" t="s">
        <v>314</v>
      </c>
      <c r="EK4" s="7" t="s">
        <v>114</v>
      </c>
      <c r="EL4" s="7" t="s">
        <v>113</v>
      </c>
      <c r="EM4" s="119" t="s">
        <v>772</v>
      </c>
      <c r="EN4" s="55" t="s">
        <v>71</v>
      </c>
      <c r="EO4" s="19" t="s">
        <v>72</v>
      </c>
      <c r="EP4" s="19" t="s">
        <v>115</v>
      </c>
      <c r="EQ4" s="19" t="s">
        <v>147</v>
      </c>
      <c r="ER4" s="58" t="s">
        <v>95</v>
      </c>
      <c r="ES4" s="17" t="s">
        <v>100</v>
      </c>
      <c r="ET4" s="183" t="s">
        <v>99</v>
      </c>
      <c r="EU4" s="19" t="s">
        <v>140</v>
      </c>
      <c r="EV4" s="58" t="s">
        <v>766</v>
      </c>
      <c r="EW4" s="55" t="s">
        <v>767</v>
      </c>
      <c r="EX4" s="55" t="s">
        <v>806</v>
      </c>
      <c r="EY4" s="19" t="s">
        <v>768</v>
      </c>
      <c r="EZ4" s="183" t="s">
        <v>828</v>
      </c>
      <c r="FA4" s="58" t="s">
        <v>332</v>
      </c>
      <c r="FB4" s="55" t="s">
        <v>132</v>
      </c>
      <c r="FC4" s="19" t="s">
        <v>149</v>
      </c>
      <c r="FD4" s="17" t="s">
        <v>101</v>
      </c>
      <c r="FE4" s="17" t="s">
        <v>102</v>
      </c>
      <c r="FF4" s="17" t="s">
        <v>103</v>
      </c>
      <c r="FG4" s="19" t="s">
        <v>98</v>
      </c>
      <c r="FH4" s="17" t="s">
        <v>104</v>
      </c>
      <c r="FI4" s="19" t="s">
        <v>122</v>
      </c>
      <c r="FJ4" s="58" t="s">
        <v>579</v>
      </c>
      <c r="FK4" s="55" t="s">
        <v>602</v>
      </c>
      <c r="FL4" s="19" t="s">
        <v>583</v>
      </c>
      <c r="FM4" s="58" t="s">
        <v>428</v>
      </c>
      <c r="FN4" s="17" t="s">
        <v>105</v>
      </c>
      <c r="FO4" s="118" t="s">
        <v>584</v>
      </c>
      <c r="FP4" s="58" t="s">
        <v>429</v>
      </c>
      <c r="FQ4" s="17" t="s">
        <v>106</v>
      </c>
      <c r="FR4" s="118" t="s">
        <v>585</v>
      </c>
      <c r="FS4" s="58" t="s">
        <v>430</v>
      </c>
      <c r="FT4" s="17" t="s">
        <v>107</v>
      </c>
      <c r="FU4" s="19" t="s">
        <v>121</v>
      </c>
      <c r="FV4" s="58" t="s">
        <v>73</v>
      </c>
      <c r="FW4" s="17" t="s">
        <v>74</v>
      </c>
      <c r="FX4" s="19" t="s">
        <v>75</v>
      </c>
      <c r="FY4" s="58" t="s">
        <v>580</v>
      </c>
      <c r="FZ4" s="59" t="s">
        <v>603</v>
      </c>
      <c r="GA4" s="118" t="s">
        <v>587</v>
      </c>
      <c r="GB4" s="58" t="s">
        <v>304</v>
      </c>
      <c r="GC4" s="59" t="s">
        <v>305</v>
      </c>
      <c r="GD4" s="118" t="s">
        <v>588</v>
      </c>
      <c r="GE4" s="58" t="s">
        <v>328</v>
      </c>
      <c r="GF4" s="17" t="s">
        <v>470</v>
      </c>
      <c r="GG4" s="118" t="s">
        <v>589</v>
      </c>
      <c r="GH4" s="58" t="s">
        <v>427</v>
      </c>
      <c r="GI4" s="17" t="s">
        <v>343</v>
      </c>
      <c r="GJ4" s="60" t="s">
        <v>306</v>
      </c>
      <c r="GK4" s="17" t="s">
        <v>307</v>
      </c>
      <c r="GL4" s="60" t="s">
        <v>308</v>
      </c>
      <c r="GM4" s="17" t="s">
        <v>309</v>
      </c>
      <c r="GN4" s="58" t="s">
        <v>76</v>
      </c>
      <c r="GO4" s="55" t="s">
        <v>77</v>
      </c>
      <c r="GP4" s="19" t="s">
        <v>141</v>
      </c>
      <c r="GQ4" s="58" t="s">
        <v>78</v>
      </c>
      <c r="GR4" s="58" t="s">
        <v>80</v>
      </c>
      <c r="GS4" s="19" t="s">
        <v>110</v>
      </c>
      <c r="GT4" s="55" t="s">
        <v>79</v>
      </c>
      <c r="GU4" s="19" t="s">
        <v>142</v>
      </c>
      <c r="GV4" s="19" t="s">
        <v>148</v>
      </c>
      <c r="GW4" s="17" t="s">
        <v>249</v>
      </c>
      <c r="GX4" s="17" t="s">
        <v>111</v>
      </c>
      <c r="GY4" s="17" t="s">
        <v>24</v>
      </c>
      <c r="GZ4" s="119" t="s">
        <v>590</v>
      </c>
      <c r="HA4" s="114" t="s">
        <v>591</v>
      </c>
      <c r="HB4" s="119" t="s">
        <v>592</v>
      </c>
      <c r="HC4" s="114" t="s">
        <v>593</v>
      </c>
      <c r="HD4" s="119" t="s">
        <v>594</v>
      </c>
      <c r="HE4" s="114" t="s">
        <v>604</v>
      </c>
      <c r="HF4" s="114" t="s">
        <v>576</v>
      </c>
      <c r="HG4" s="19" t="s">
        <v>284</v>
      </c>
      <c r="HH4" s="19" t="s">
        <v>344</v>
      </c>
      <c r="HI4" s="19" t="s">
        <v>340</v>
      </c>
      <c r="HJ4" s="19" t="s">
        <v>330</v>
      </c>
      <c r="HK4" s="19" t="s">
        <v>287</v>
      </c>
      <c r="HL4" s="19" t="s">
        <v>329</v>
      </c>
      <c r="HM4" s="19" t="s">
        <v>337</v>
      </c>
      <c r="HN4" s="19" t="s">
        <v>336</v>
      </c>
      <c r="HO4" s="61" t="s">
        <v>356</v>
      </c>
      <c r="HP4" s="17" t="s">
        <v>288</v>
      </c>
      <c r="HQ4" s="17" t="s">
        <v>787</v>
      </c>
      <c r="HR4" s="181" t="s">
        <v>788</v>
      </c>
      <c r="HS4" s="17" t="s">
        <v>544</v>
      </c>
      <c r="HT4" s="17" t="s">
        <v>259</v>
      </c>
      <c r="HU4" s="17" t="s">
        <v>545</v>
      </c>
      <c r="HV4" s="17" t="s">
        <v>258</v>
      </c>
      <c r="HW4" s="17" t="s">
        <v>546</v>
      </c>
      <c r="HX4" s="17" t="s">
        <v>264</v>
      </c>
      <c r="HY4" s="7" t="s">
        <v>33</v>
      </c>
      <c r="HZ4" s="19" t="s">
        <v>14</v>
      </c>
      <c r="IA4" s="17" t="s">
        <v>659</v>
      </c>
      <c r="IB4" s="120" t="s">
        <v>754</v>
      </c>
      <c r="IC4" s="8" t="s">
        <v>108</v>
      </c>
      <c r="ID4" s="7" t="s">
        <v>109</v>
      </c>
      <c r="IE4" s="19" t="s">
        <v>326</v>
      </c>
      <c r="IF4" s="8" t="s">
        <v>490</v>
      </c>
      <c r="IG4" s="19" t="s">
        <v>335</v>
      </c>
      <c r="IH4" s="40" t="s">
        <v>333</v>
      </c>
      <c r="II4" s="19" t="s">
        <v>334</v>
      </c>
      <c r="IJ4" s="62" t="s">
        <v>250</v>
      </c>
      <c r="IK4" s="62" t="s">
        <v>23</v>
      </c>
      <c r="IL4" s="160" t="s">
        <v>654</v>
      </c>
      <c r="IM4" s="160" t="s">
        <v>655</v>
      </c>
      <c r="IN4" s="62" t="s">
        <v>27</v>
      </c>
      <c r="IO4" s="62" t="s">
        <v>500</v>
      </c>
      <c r="IP4" s="9" t="s">
        <v>81</v>
      </c>
      <c r="IQ4" s="62" t="s">
        <v>502</v>
      </c>
      <c r="IR4" s="62" t="s">
        <v>417</v>
      </c>
      <c r="IS4" s="62" t="s">
        <v>16</v>
      </c>
      <c r="IT4" s="62" t="s">
        <v>596</v>
      </c>
      <c r="IU4" s="61" t="s">
        <v>316</v>
      </c>
      <c r="IV4" s="61" t="s">
        <v>318</v>
      </c>
      <c r="IW4" s="61" t="s">
        <v>317</v>
      </c>
      <c r="IX4" s="61" t="s">
        <v>352</v>
      </c>
      <c r="IY4" s="61" t="s">
        <v>353</v>
      </c>
      <c r="IZ4" s="61" t="s">
        <v>319</v>
      </c>
      <c r="JA4" s="7" t="s">
        <v>125</v>
      </c>
      <c r="JB4" s="7" t="s">
        <v>35</v>
      </c>
      <c r="JC4" s="7" t="s">
        <v>82</v>
      </c>
      <c r="JD4" s="8" t="s">
        <v>156</v>
      </c>
      <c r="JE4" s="9" t="s">
        <v>40</v>
      </c>
      <c r="JF4" s="8" t="s">
        <v>513</v>
      </c>
      <c r="JG4" s="7" t="s">
        <v>83</v>
      </c>
      <c r="JH4" s="7" t="s">
        <v>84</v>
      </c>
      <c r="JI4" s="7" t="s">
        <v>37</v>
      </c>
      <c r="JJ4" s="7" t="s">
        <v>38</v>
      </c>
      <c r="JK4" s="7" t="s">
        <v>116</v>
      </c>
      <c r="JL4" s="7" t="s">
        <v>96</v>
      </c>
      <c r="JM4" s="7" t="s">
        <v>85</v>
      </c>
      <c r="JN4" s="8" t="s">
        <v>155</v>
      </c>
      <c r="JO4" s="9" t="s">
        <v>86</v>
      </c>
      <c r="JP4" s="7" t="s">
        <v>87</v>
      </c>
      <c r="JQ4" s="7" t="s">
        <v>88</v>
      </c>
      <c r="JR4" s="7" t="s">
        <v>89</v>
      </c>
      <c r="JS4" s="7" t="s">
        <v>90</v>
      </c>
      <c r="JT4" s="7" t="s">
        <v>91</v>
      </c>
      <c r="JU4" s="7" t="s">
        <v>117</v>
      </c>
      <c r="JV4" s="7" t="s">
        <v>97</v>
      </c>
      <c r="JW4" s="10" t="s">
        <v>92</v>
      </c>
      <c r="JX4" s="9" t="s">
        <v>153</v>
      </c>
      <c r="JY4" s="7" t="s">
        <v>93</v>
      </c>
      <c r="JZ4" s="9" t="s">
        <v>154</v>
      </c>
      <c r="KA4" s="61" t="s">
        <v>416</v>
      </c>
      <c r="KB4" s="61" t="s">
        <v>354</v>
      </c>
      <c r="KC4" s="61" t="s">
        <v>355</v>
      </c>
      <c r="KD4" s="7" t="s">
        <v>124</v>
      </c>
      <c r="KE4" s="7" t="s">
        <v>118</v>
      </c>
      <c r="KF4" s="67" t="s">
        <v>551</v>
      </c>
      <c r="KG4" s="56" t="s">
        <v>552</v>
      </c>
      <c r="KH4" s="63" t="s">
        <v>345</v>
      </c>
      <c r="KI4" s="63" t="s">
        <v>338</v>
      </c>
      <c r="KJ4" s="63" t="s">
        <v>339</v>
      </c>
      <c r="KK4" s="63" t="s">
        <v>346</v>
      </c>
      <c r="KL4" s="65" t="s">
        <v>547</v>
      </c>
      <c r="KM4" s="65" t="s">
        <v>548</v>
      </c>
      <c r="KN4" s="65" t="s">
        <v>549</v>
      </c>
      <c r="KO4" s="64" t="s">
        <v>523</v>
      </c>
      <c r="KP4" s="64" t="s">
        <v>348</v>
      </c>
      <c r="KQ4" s="64" t="s">
        <v>350</v>
      </c>
      <c r="KR4" s="64" t="s">
        <v>349</v>
      </c>
      <c r="KS4" s="199" t="s">
        <v>347</v>
      </c>
      <c r="KT4" s="195" t="s">
        <v>265</v>
      </c>
      <c r="KU4" s="196" t="s">
        <v>263</v>
      </c>
      <c r="KV4" s="193" t="s">
        <v>262</v>
      </c>
      <c r="KW4" s="197" t="s">
        <v>293</v>
      </c>
      <c r="KX4" s="200" t="s">
        <v>267</v>
      </c>
      <c r="KY4" s="201" t="s">
        <v>268</v>
      </c>
      <c r="KZ4" s="193" t="s">
        <v>292</v>
      </c>
      <c r="LA4" s="202" t="s">
        <v>294</v>
      </c>
      <c r="LB4" s="195" t="s">
        <v>269</v>
      </c>
      <c r="LC4" s="196" t="s">
        <v>266</v>
      </c>
      <c r="LD4" s="193" t="s">
        <v>295</v>
      </c>
      <c r="LE4" s="197" t="s">
        <v>296</v>
      </c>
      <c r="LF4" s="200" t="s">
        <v>270</v>
      </c>
      <c r="LG4" s="201" t="s">
        <v>271</v>
      </c>
      <c r="LH4" s="193" t="s">
        <v>297</v>
      </c>
      <c r="LI4" s="202" t="s">
        <v>298</v>
      </c>
      <c r="LJ4" s="195" t="s">
        <v>272</v>
      </c>
      <c r="LK4" s="196" t="s">
        <v>273</v>
      </c>
      <c r="LL4" s="193" t="s">
        <v>299</v>
      </c>
      <c r="LM4" s="197" t="s">
        <v>300</v>
      </c>
      <c r="LN4" s="191" t="s">
        <v>291</v>
      </c>
      <c r="LO4" s="192" t="s">
        <v>274</v>
      </c>
      <c r="LP4" s="193" t="s">
        <v>301</v>
      </c>
      <c r="LQ4" s="194" t="s">
        <v>275</v>
      </c>
      <c r="LR4" s="191" t="s">
        <v>331</v>
      </c>
      <c r="LS4" s="192" t="s">
        <v>276</v>
      </c>
      <c r="LT4" s="193" t="s">
        <v>302</v>
      </c>
      <c r="LU4" s="194" t="s">
        <v>303</v>
      </c>
      <c r="LV4" s="191" t="s">
        <v>564</v>
      </c>
      <c r="LW4" s="192" t="s">
        <v>565</v>
      </c>
      <c r="LX4" s="193" t="s">
        <v>566</v>
      </c>
      <c r="LY4" s="194" t="s">
        <v>567</v>
      </c>
      <c r="LZ4" s="195" t="s">
        <v>568</v>
      </c>
      <c r="MA4" s="196" t="s">
        <v>569</v>
      </c>
      <c r="MB4" s="193" t="s">
        <v>570</v>
      </c>
      <c r="MC4" s="197" t="s">
        <v>571</v>
      </c>
      <c r="MD4" s="191" t="s">
        <v>572</v>
      </c>
      <c r="ME4" s="192" t="s">
        <v>573</v>
      </c>
      <c r="MF4" s="193" t="s">
        <v>574</v>
      </c>
      <c r="MG4" s="194" t="s">
        <v>575</v>
      </c>
    </row>
    <row r="5" spans="1:345" ht="347.25" customHeight="1" x14ac:dyDescent="0.25">
      <c r="A5" s="11" t="s">
        <v>431</v>
      </c>
      <c r="B5" s="11" t="s">
        <v>432</v>
      </c>
      <c r="C5" s="11" t="s">
        <v>434</v>
      </c>
      <c r="D5" s="11" t="s">
        <v>624</v>
      </c>
      <c r="E5" s="11" t="s">
        <v>157</v>
      </c>
      <c r="F5" s="11" t="s">
        <v>158</v>
      </c>
      <c r="G5" s="11" t="s">
        <v>159</v>
      </c>
      <c r="H5" s="11" t="s">
        <v>160</v>
      </c>
      <c r="I5" s="12" t="s">
        <v>161</v>
      </c>
      <c r="J5" s="13" t="s">
        <v>162</v>
      </c>
      <c r="K5" s="14" t="s">
        <v>163</v>
      </c>
      <c r="L5" s="182" t="s">
        <v>807</v>
      </c>
      <c r="M5" s="11" t="s">
        <v>166</v>
      </c>
      <c r="N5" s="14" t="s">
        <v>164</v>
      </c>
      <c r="O5" s="11" t="s">
        <v>165</v>
      </c>
      <c r="P5" s="11" t="s">
        <v>185</v>
      </c>
      <c r="Q5" s="11" t="s">
        <v>808</v>
      </c>
      <c r="R5" s="11" t="s">
        <v>457</v>
      </c>
      <c r="S5" s="11" t="s">
        <v>167</v>
      </c>
      <c r="T5" s="11" t="s">
        <v>168</v>
      </c>
      <c r="U5" s="11" t="s">
        <v>169</v>
      </c>
      <c r="V5" s="11" t="s">
        <v>170</v>
      </c>
      <c r="W5" s="11" t="s">
        <v>171</v>
      </c>
      <c r="X5" s="11" t="s">
        <v>172</v>
      </c>
      <c r="Y5" s="11" t="s">
        <v>173</v>
      </c>
      <c r="Z5" s="11" t="s">
        <v>174</v>
      </c>
      <c r="AA5" s="11" t="s">
        <v>177</v>
      </c>
      <c r="AB5" s="11" t="s">
        <v>178</v>
      </c>
      <c r="AC5" s="11" t="s">
        <v>179</v>
      </c>
      <c r="AD5" s="182" t="s">
        <v>809</v>
      </c>
      <c r="AE5" s="11" t="s">
        <v>180</v>
      </c>
      <c r="AF5" s="11" t="s">
        <v>181</v>
      </c>
      <c r="AG5" s="182" t="s">
        <v>182</v>
      </c>
      <c r="AH5" s="11" t="s">
        <v>183</v>
      </c>
      <c r="AI5" s="11" t="s">
        <v>793</v>
      </c>
      <c r="AJ5" s="11" t="s">
        <v>184</v>
      </c>
      <c r="AK5" s="11" t="s">
        <v>186</v>
      </c>
      <c r="AL5" s="416" t="s">
        <v>187</v>
      </c>
      <c r="AM5" s="416"/>
      <c r="AN5" s="416"/>
      <c r="AO5" s="416"/>
      <c r="AP5" s="416"/>
      <c r="AQ5" s="416"/>
      <c r="AR5" s="416"/>
      <c r="AS5" s="11" t="s">
        <v>194</v>
      </c>
      <c r="AT5" s="11" t="s">
        <v>188</v>
      </c>
      <c r="AU5" s="11" t="s">
        <v>189</v>
      </c>
      <c r="AV5" s="11" t="s">
        <v>446</v>
      </c>
      <c r="AW5" s="11" t="s">
        <v>190</v>
      </c>
      <c r="AX5" s="11" t="s">
        <v>443</v>
      </c>
      <c r="AY5" s="11" t="s">
        <v>810</v>
      </c>
      <c r="AZ5" s="11" t="s">
        <v>444</v>
      </c>
      <c r="BA5" s="11" t="s">
        <v>445</v>
      </c>
      <c r="BB5" s="11" t="s">
        <v>811</v>
      </c>
      <c r="BC5" s="11" t="s">
        <v>812</v>
      </c>
      <c r="BD5" s="11" t="s">
        <v>193</v>
      </c>
      <c r="BE5" s="11" t="s">
        <v>196</v>
      </c>
      <c r="BF5" s="11" t="s">
        <v>197</v>
      </c>
      <c r="BG5" s="11" t="s">
        <v>192</v>
      </c>
      <c r="BH5" s="11" t="s">
        <v>198</v>
      </c>
      <c r="BI5" s="11" t="s">
        <v>195</v>
      </c>
      <c r="BJ5" s="11" t="s">
        <v>195</v>
      </c>
      <c r="BK5" s="11" t="s">
        <v>195</v>
      </c>
      <c r="BL5" s="11" t="s">
        <v>192</v>
      </c>
      <c r="BM5" s="11" t="s">
        <v>195</v>
      </c>
      <c r="BN5" s="11" t="s">
        <v>199</v>
      </c>
      <c r="BO5" s="11" t="s">
        <v>201</v>
      </c>
      <c r="BP5" s="11" t="s">
        <v>813</v>
      </c>
      <c r="BQ5" s="11" t="s">
        <v>200</v>
      </c>
      <c r="BR5" s="121" t="s">
        <v>814</v>
      </c>
      <c r="BS5" s="11" t="s">
        <v>815</v>
      </c>
      <c r="BT5" s="182" t="s">
        <v>816</v>
      </c>
      <c r="BU5" s="11" t="s">
        <v>202</v>
      </c>
      <c r="BV5" s="11" t="s">
        <v>817</v>
      </c>
      <c r="BW5" s="11" t="s">
        <v>203</v>
      </c>
      <c r="BX5" s="11" t="s">
        <v>204</v>
      </c>
      <c r="BY5" s="11" t="s">
        <v>818</v>
      </c>
      <c r="BZ5" s="11" t="s">
        <v>205</v>
      </c>
      <c r="CA5" s="11" t="s">
        <v>206</v>
      </c>
      <c r="CB5" s="11" t="s">
        <v>448</v>
      </c>
      <c r="CC5" s="11" t="s">
        <v>449</v>
      </c>
      <c r="CD5" s="11" t="s">
        <v>605</v>
      </c>
      <c r="CE5" s="11" t="s">
        <v>450</v>
      </c>
      <c r="CF5" s="182" t="s">
        <v>819</v>
      </c>
      <c r="CG5" s="11" t="s">
        <v>207</v>
      </c>
      <c r="CH5" s="11" t="s">
        <v>794</v>
      </c>
      <c r="CI5" s="11" t="s">
        <v>820</v>
      </c>
      <c r="CJ5" s="11" t="s">
        <v>208</v>
      </c>
      <c r="CK5" s="11" t="s">
        <v>795</v>
      </c>
      <c r="CL5" s="11" t="s">
        <v>821</v>
      </c>
      <c r="CM5" s="11" t="s">
        <v>797</v>
      </c>
      <c r="CN5" s="11" t="s">
        <v>798</v>
      </c>
      <c r="CO5" s="11" t="s">
        <v>822</v>
      </c>
      <c r="CP5" s="11" t="s">
        <v>823</v>
      </c>
      <c r="CQ5" s="11" t="s">
        <v>824</v>
      </c>
      <c r="CR5" s="11" t="s">
        <v>451</v>
      </c>
      <c r="CS5" s="11" t="s">
        <v>452</v>
      </c>
      <c r="CT5" s="11" t="s">
        <v>209</v>
      </c>
      <c r="CU5" s="11" t="s">
        <v>453</v>
      </c>
      <c r="CV5" s="11" t="s">
        <v>454</v>
      </c>
      <c r="CW5" s="11" t="s">
        <v>210</v>
      </c>
      <c r="CX5" s="11" t="s">
        <v>211</v>
      </c>
      <c r="CY5" s="11" t="s">
        <v>212</v>
      </c>
      <c r="CZ5" s="11" t="s">
        <v>210</v>
      </c>
      <c r="DA5" s="11" t="s">
        <v>799</v>
      </c>
      <c r="DB5" s="11" t="s">
        <v>800</v>
      </c>
      <c r="DC5" s="11" t="s">
        <v>210</v>
      </c>
      <c r="DD5" s="11" t="s">
        <v>455</v>
      </c>
      <c r="DE5" s="11" t="s">
        <v>455</v>
      </c>
      <c r="DF5" s="411" t="s">
        <v>458</v>
      </c>
      <c r="DG5" s="412"/>
      <c r="DH5" s="412"/>
      <c r="DI5" s="412"/>
      <c r="DJ5" s="412"/>
      <c r="DK5" s="412"/>
      <c r="DL5" s="412"/>
      <c r="DM5" s="412"/>
      <c r="DN5" s="412"/>
      <c r="DO5" s="412"/>
      <c r="DP5" s="412"/>
      <c r="DQ5" s="413"/>
      <c r="DR5" s="112" t="s">
        <v>625</v>
      </c>
      <c r="DS5" s="11" t="s">
        <v>606</v>
      </c>
      <c r="DT5" s="179" t="s">
        <v>801</v>
      </c>
      <c r="DU5" s="112" t="s">
        <v>607</v>
      </c>
      <c r="DV5" s="11" t="s">
        <v>460</v>
      </c>
      <c r="DW5" s="11" t="s">
        <v>459</v>
      </c>
      <c r="DX5" s="11" t="s">
        <v>626</v>
      </c>
      <c r="DY5" s="122" t="s">
        <v>461</v>
      </c>
      <c r="DZ5" s="122" t="s">
        <v>462</v>
      </c>
      <c r="EA5" s="113" t="s">
        <v>213</v>
      </c>
      <c r="EB5" s="113" t="s">
        <v>214</v>
      </c>
      <c r="EC5" s="11" t="s">
        <v>215</v>
      </c>
      <c r="ED5" s="113" t="s">
        <v>463</v>
      </c>
      <c r="EE5" s="417" t="s">
        <v>216</v>
      </c>
      <c r="EF5" s="418"/>
      <c r="EG5" s="418"/>
      <c r="EH5" s="418"/>
      <c r="EI5" s="419"/>
      <c r="EJ5" s="113" t="s">
        <v>464</v>
      </c>
      <c r="EK5" s="113" t="s">
        <v>465</v>
      </c>
      <c r="EL5" s="113" t="s">
        <v>466</v>
      </c>
      <c r="EM5" s="113" t="s">
        <v>825</v>
      </c>
      <c r="EN5" s="113" t="s">
        <v>217</v>
      </c>
      <c r="EO5" s="113" t="s">
        <v>218</v>
      </c>
      <c r="EP5" s="113" t="s">
        <v>219</v>
      </c>
      <c r="EQ5" s="113" t="s">
        <v>220</v>
      </c>
      <c r="ER5" s="113" t="s">
        <v>221</v>
      </c>
      <c r="ES5" s="113" t="s">
        <v>217</v>
      </c>
      <c r="ET5" s="113" t="s">
        <v>826</v>
      </c>
      <c r="EU5" s="113" t="s">
        <v>219</v>
      </c>
      <c r="EV5" s="113" t="s">
        <v>830</v>
      </c>
      <c r="EW5" s="113" t="s">
        <v>829</v>
      </c>
      <c r="EX5" s="113" t="s">
        <v>831</v>
      </c>
      <c r="EY5" s="11" t="s">
        <v>223</v>
      </c>
      <c r="EZ5" s="113" t="s">
        <v>832</v>
      </c>
      <c r="FA5" s="113" t="s">
        <v>224</v>
      </c>
      <c r="FB5" s="113" t="s">
        <v>467</v>
      </c>
      <c r="FC5" s="11" t="s">
        <v>833</v>
      </c>
      <c r="FD5" s="113" t="s">
        <v>225</v>
      </c>
      <c r="FE5" s="113" t="s">
        <v>226</v>
      </c>
      <c r="FF5" s="113" t="s">
        <v>227</v>
      </c>
      <c r="FG5" s="113" t="s">
        <v>228</v>
      </c>
      <c r="FH5" s="113" t="s">
        <v>222</v>
      </c>
      <c r="FI5" s="11" t="s">
        <v>229</v>
      </c>
      <c r="FJ5" s="123" t="s">
        <v>608</v>
      </c>
      <c r="FK5" s="113" t="s">
        <v>609</v>
      </c>
      <c r="FL5" s="11" t="s">
        <v>610</v>
      </c>
      <c r="FM5" s="123" t="s">
        <v>611</v>
      </c>
      <c r="FN5" s="113" t="s">
        <v>230</v>
      </c>
      <c r="FO5" s="11" t="s">
        <v>612</v>
      </c>
      <c r="FP5" s="123" t="s">
        <v>613</v>
      </c>
      <c r="FQ5" s="113" t="s">
        <v>230</v>
      </c>
      <c r="FR5" s="11" t="s">
        <v>614</v>
      </c>
      <c r="FS5" s="123" t="s">
        <v>613</v>
      </c>
      <c r="FT5" s="113" t="s">
        <v>231</v>
      </c>
      <c r="FU5" s="11" t="s">
        <v>615</v>
      </c>
      <c r="FV5" s="11" t="s">
        <v>233</v>
      </c>
      <c r="FW5" s="113" t="s">
        <v>234</v>
      </c>
      <c r="FX5" s="11" t="s">
        <v>232</v>
      </c>
      <c r="FY5" s="11" t="s">
        <v>835</v>
      </c>
      <c r="FZ5" s="113" t="s">
        <v>469</v>
      </c>
      <c r="GA5" s="11" t="s">
        <v>610</v>
      </c>
      <c r="GB5" s="11" t="s">
        <v>836</v>
      </c>
      <c r="GC5" s="113" t="s">
        <v>469</v>
      </c>
      <c r="GD5" s="11" t="s">
        <v>612</v>
      </c>
      <c r="GE5" s="11" t="s">
        <v>837</v>
      </c>
      <c r="GF5" s="113" t="s">
        <v>235</v>
      </c>
      <c r="GG5" s="11" t="s">
        <v>614</v>
      </c>
      <c r="GH5" s="11" t="s">
        <v>468</v>
      </c>
      <c r="GI5" s="113" t="s">
        <v>469</v>
      </c>
      <c r="GJ5" s="11" t="s">
        <v>472</v>
      </c>
      <c r="GK5" s="113" t="s">
        <v>473</v>
      </c>
      <c r="GL5" s="11" t="s">
        <v>471</v>
      </c>
      <c r="GM5" s="11" t="s">
        <v>474</v>
      </c>
      <c r="GN5" s="11" t="s">
        <v>476</v>
      </c>
      <c r="GO5" s="113" t="s">
        <v>475</v>
      </c>
      <c r="GP5" s="11" t="s">
        <v>237</v>
      </c>
      <c r="GQ5" s="11" t="s">
        <v>476</v>
      </c>
      <c r="GR5" s="11" t="s">
        <v>476</v>
      </c>
      <c r="GS5" s="11" t="s">
        <v>477</v>
      </c>
      <c r="GT5" s="113" t="s">
        <v>478</v>
      </c>
      <c r="GU5" s="11" t="s">
        <v>238</v>
      </c>
      <c r="GV5" s="11" t="s">
        <v>236</v>
      </c>
      <c r="GW5" s="11" t="s">
        <v>479</v>
      </c>
      <c r="GX5" s="11" t="s">
        <v>480</v>
      </c>
      <c r="GY5" s="11" t="s">
        <v>481</v>
      </c>
      <c r="GZ5" s="113" t="s">
        <v>616</v>
      </c>
      <c r="HA5" s="113" t="s">
        <v>617</v>
      </c>
      <c r="HB5" s="113" t="s">
        <v>618</v>
      </c>
      <c r="HC5" s="113" t="s">
        <v>619</v>
      </c>
      <c r="HD5" s="113" t="s">
        <v>618</v>
      </c>
      <c r="HE5" s="11" t="s">
        <v>620</v>
      </c>
      <c r="HF5" s="11" t="s">
        <v>621</v>
      </c>
      <c r="HG5" s="11" t="s">
        <v>482</v>
      </c>
      <c r="HH5" s="113" t="s">
        <v>483</v>
      </c>
      <c r="HI5" s="113" t="s">
        <v>484</v>
      </c>
      <c r="HJ5" s="113" t="s">
        <v>485</v>
      </c>
      <c r="HK5" s="113" t="s">
        <v>486</v>
      </c>
      <c r="HL5" s="113" t="s">
        <v>487</v>
      </c>
      <c r="HM5" s="11" t="s">
        <v>627</v>
      </c>
      <c r="HN5" s="11" t="s">
        <v>460</v>
      </c>
      <c r="HO5" s="113" t="s">
        <v>488</v>
      </c>
      <c r="HP5" s="184" t="s">
        <v>658</v>
      </c>
      <c r="HQ5" s="113" t="s">
        <v>838</v>
      </c>
      <c r="HR5" s="113" t="s">
        <v>839</v>
      </c>
      <c r="HS5" s="113" t="s">
        <v>555</v>
      </c>
      <c r="HT5" s="113" t="s">
        <v>657</v>
      </c>
      <c r="HU5" s="113" t="s">
        <v>556</v>
      </c>
      <c r="HV5" s="184" t="s">
        <v>789</v>
      </c>
      <c r="HW5" s="113" t="s">
        <v>557</v>
      </c>
      <c r="HX5" s="184" t="s">
        <v>652</v>
      </c>
      <c r="HY5" s="113" t="s">
        <v>241</v>
      </c>
      <c r="HZ5" s="113" t="s">
        <v>239</v>
      </c>
      <c r="IA5" s="11" t="s">
        <v>660</v>
      </c>
      <c r="IB5" s="182" t="s">
        <v>840</v>
      </c>
      <c r="IC5" s="113" t="s">
        <v>240</v>
      </c>
      <c r="ID5" s="113" t="s">
        <v>240</v>
      </c>
      <c r="IE5" s="113" t="s">
        <v>628</v>
      </c>
      <c r="IF5" s="113" t="s">
        <v>491</v>
      </c>
      <c r="IG5" s="113" t="s">
        <v>492</v>
      </c>
      <c r="IH5" s="113" t="s">
        <v>493</v>
      </c>
      <c r="II5" s="113" t="s">
        <v>494</v>
      </c>
      <c r="IJ5" s="113" t="s">
        <v>495</v>
      </c>
      <c r="IK5" s="113" t="s">
        <v>242</v>
      </c>
      <c r="IL5" s="113" t="s">
        <v>496</v>
      </c>
      <c r="IM5" s="113" t="s">
        <v>499</v>
      </c>
      <c r="IN5" s="113" t="s">
        <v>497</v>
      </c>
      <c r="IO5" s="11" t="s">
        <v>501</v>
      </c>
      <c r="IP5" s="11" t="s">
        <v>243</v>
      </c>
      <c r="IQ5" s="11" t="s">
        <v>656</v>
      </c>
      <c r="IR5" s="11" t="s">
        <v>503</v>
      </c>
      <c r="IS5" s="11" t="s">
        <v>504</v>
      </c>
      <c r="IT5" s="11" t="s">
        <v>622</v>
      </c>
      <c r="IU5" s="11" t="s">
        <v>505</v>
      </c>
      <c r="IV5" s="11" t="s">
        <v>506</v>
      </c>
      <c r="IW5" s="11" t="s">
        <v>507</v>
      </c>
      <c r="IX5" s="11" t="s">
        <v>508</v>
      </c>
      <c r="IY5" s="11" t="s">
        <v>509</v>
      </c>
      <c r="IZ5" s="11" t="s">
        <v>510</v>
      </c>
      <c r="JA5" s="11" t="s">
        <v>489</v>
      </c>
      <c r="JB5" s="11" t="s">
        <v>511</v>
      </c>
      <c r="JC5" s="11" t="s">
        <v>511</v>
      </c>
      <c r="JD5" s="11" t="s">
        <v>244</v>
      </c>
      <c r="JE5" s="11" t="s">
        <v>512</v>
      </c>
      <c r="JF5" s="113" t="s">
        <v>245</v>
      </c>
      <c r="JG5" s="11" t="s">
        <v>511</v>
      </c>
      <c r="JH5" s="113" t="s">
        <v>245</v>
      </c>
      <c r="JI5" s="11" t="s">
        <v>514</v>
      </c>
      <c r="JJ5" s="11" t="s">
        <v>514</v>
      </c>
      <c r="JK5" s="113" t="s">
        <v>515</v>
      </c>
      <c r="JL5" s="113" t="s">
        <v>516</v>
      </c>
      <c r="JM5" s="411" t="s">
        <v>246</v>
      </c>
      <c r="JN5" s="412"/>
      <c r="JO5" s="412"/>
      <c r="JP5" s="412"/>
      <c r="JQ5" s="412"/>
      <c r="JR5" s="412"/>
      <c r="JS5" s="412"/>
      <c r="JT5" s="412"/>
      <c r="JU5" s="412"/>
      <c r="JV5" s="413"/>
      <c r="JW5" s="113" t="s">
        <v>245</v>
      </c>
      <c r="JX5" s="113" t="s">
        <v>247</v>
      </c>
      <c r="JY5" s="113" t="s">
        <v>245</v>
      </c>
      <c r="JZ5" s="113" t="s">
        <v>248</v>
      </c>
      <c r="KA5" s="11" t="s">
        <v>517</v>
      </c>
      <c r="KB5" s="11" t="s">
        <v>517</v>
      </c>
      <c r="KC5" s="113" t="s">
        <v>518</v>
      </c>
      <c r="KD5" s="113" t="s">
        <v>519</v>
      </c>
      <c r="KE5" s="113" t="s">
        <v>245</v>
      </c>
      <c r="KF5" s="113" t="s">
        <v>489</v>
      </c>
      <c r="KG5" s="113" t="s">
        <v>489</v>
      </c>
      <c r="KH5" s="113" t="s">
        <v>520</v>
      </c>
      <c r="KI5" s="113" t="s">
        <v>522</v>
      </c>
      <c r="KJ5" s="113" t="s">
        <v>559</v>
      </c>
      <c r="KK5" s="113" t="s">
        <v>521</v>
      </c>
      <c r="KL5" s="113" t="s">
        <v>245</v>
      </c>
      <c r="KM5" s="113" t="s">
        <v>558</v>
      </c>
      <c r="KN5" s="113" t="s">
        <v>521</v>
      </c>
      <c r="KO5" s="113" t="s">
        <v>525</v>
      </c>
      <c r="KP5" s="113" t="s">
        <v>526</v>
      </c>
      <c r="KQ5" s="113" t="s">
        <v>527</v>
      </c>
      <c r="KR5" s="113" t="s">
        <v>528</v>
      </c>
      <c r="KS5" s="113" t="s">
        <v>529</v>
      </c>
      <c r="KT5" s="198" t="s">
        <v>533</v>
      </c>
      <c r="KU5" s="198" t="s">
        <v>530</v>
      </c>
      <c r="KV5" s="198" t="s">
        <v>532</v>
      </c>
      <c r="KW5" s="198" t="s">
        <v>531</v>
      </c>
      <c r="KX5" s="198" t="s">
        <v>534</v>
      </c>
      <c r="KY5" s="198" t="s">
        <v>535</v>
      </c>
      <c r="KZ5" s="198" t="s">
        <v>536</v>
      </c>
      <c r="LA5" s="198" t="s">
        <v>531</v>
      </c>
      <c r="LB5" s="198" t="s">
        <v>537</v>
      </c>
      <c r="LC5" s="198" t="s">
        <v>535</v>
      </c>
      <c r="LD5" s="198" t="s">
        <v>536</v>
      </c>
      <c r="LE5" s="198" t="s">
        <v>531</v>
      </c>
      <c r="LF5" s="198" t="s">
        <v>538</v>
      </c>
      <c r="LG5" s="198" t="s">
        <v>535</v>
      </c>
      <c r="LH5" s="198" t="s">
        <v>536</v>
      </c>
      <c r="LI5" s="198" t="s">
        <v>531</v>
      </c>
      <c r="LJ5" s="198" t="s">
        <v>539</v>
      </c>
      <c r="LK5" s="198" t="s">
        <v>535</v>
      </c>
      <c r="LL5" s="198" t="s">
        <v>536</v>
      </c>
      <c r="LM5" s="198" t="s">
        <v>531</v>
      </c>
      <c r="LN5" s="198" t="s">
        <v>540</v>
      </c>
      <c r="LO5" s="198" t="s">
        <v>541</v>
      </c>
      <c r="LP5" s="198" t="s">
        <v>542</v>
      </c>
      <c r="LQ5" s="198" t="s">
        <v>543</v>
      </c>
      <c r="LR5" s="198" t="s">
        <v>540</v>
      </c>
      <c r="LS5" s="198" t="s">
        <v>541</v>
      </c>
      <c r="LT5" s="198" t="s">
        <v>542</v>
      </c>
      <c r="LU5" s="198" t="s">
        <v>543</v>
      </c>
      <c r="LV5" s="113" t="s">
        <v>540</v>
      </c>
      <c r="LW5" s="113" t="s">
        <v>541</v>
      </c>
      <c r="LX5" s="113" t="s">
        <v>542</v>
      </c>
      <c r="LY5" s="113" t="s">
        <v>543</v>
      </c>
      <c r="LZ5" s="113" t="s">
        <v>540</v>
      </c>
      <c r="MA5" s="113" t="s">
        <v>541</v>
      </c>
      <c r="MB5" s="113" t="s">
        <v>542</v>
      </c>
      <c r="MC5" s="113" t="s">
        <v>543</v>
      </c>
      <c r="MD5" s="113" t="s">
        <v>540</v>
      </c>
      <c r="ME5" s="113" t="s">
        <v>541</v>
      </c>
      <c r="MF5" s="113" t="s">
        <v>542</v>
      </c>
      <c r="MG5" s="113" t="s">
        <v>543</v>
      </c>
    </row>
  </sheetData>
  <protectedRanges>
    <protectedRange algorithmName="SHA-512" hashValue="T5GM3Hk55ikn4L72qf8drBnciehouugFmTxRvg4z3stC5BBsVfGehiKpXxQpfmvaGh0Uim03HEhyKoQz33dQCw==" saltValue="LyjMVodEJcZwL7GZBzd+0Q==" spinCount="100000" sqref="EK4:EL4 B4:C4 E4:AC4 AE4:AK4 BD4:BI4 BO4:BP4 BW4:BX4 CR4:CS4 CU4:CV4 CX4:CY4 EE4:EI4 HY4:HZ4 IC4:ID4 IK4 IS4 JA4:JZ4 KD4:KE4 DF4:DQ4 IF4 IN4:IQ4 BL4:BM4 BZ4:CE4 CG4:CH4" name="Rango2_1"/>
    <protectedRange algorithmName="SHA-512" hashValue="ViAdlylmV/HxJpF2FDYKuH1mdmYsDnRhOXspwOCuVIrui3X95V+H1cTu4IZ7ydSeEvlINtU9D++BdH163/ljAg==" saltValue="hbrHMpaiZ6YuEWTen54dCg==" spinCount="100000" sqref="AD4" name="Rango2"/>
    <protectedRange algorithmName="SHA-512" hashValue="R3mlUfs93ql+nRuDqs1ZcwWF91QEb2Q4R7h9Ngo+dskn1eGMrJGVGDO5YgMn2mZOVwGOiWDgWtpCLr8EMEFOzw==" saltValue="YKZE/6kOH0IfGYrvnmMFzQ==" spinCount="100000" sqref="AL4:AM4 AQ4:AR4" name="Rango2_6_1"/>
    <protectedRange algorithmName="SHA-512" hashValue="cR34urYs1moDUzMXhK608cryS72KFuIJr+USDU/e4HbjGNrIxLzShpb/NptCKibwUZ1E/l35OgxZzAFEYDJegw==" saltValue="w6wxOOpoqFE0jOhV3+UUQA==" spinCount="100000" sqref="AS4:AW4" name="Rango2_6_2"/>
    <protectedRange algorithmName="SHA-512" hashValue="rlvKbsY5OB4J8ccWHpZYbFQzCwfTDWvDzv9p08ujW6w6pi994C6qGZdUSfaBGNnOtQ5Q91R47IzeMiTzMeo6FA==" saltValue="oR23eM03O0q7bRNQmWIbuQ==" spinCount="100000" sqref="AX4:AZ4" name="Rango2_6_3"/>
    <protectedRange algorithmName="SHA-512" hashValue="myGEtfYF6AVqbJhHXZw0izMYIxSEKNsDFti90+N06CAmGRe41BoPZvpC7X152Y6k1FwDPSFjs8gQtTjs4uLFtw==" saltValue="nFPM53YLPjyH63GlBIVt0g==" spinCount="100000" sqref="BA4" name="Rango2_6_4"/>
    <protectedRange algorithmName="SHA-512" hashValue="/qgJpRcRIMoD5yDlKeL9SCTiNLX5HdTpVLT3nPjFfjLni52un5ad5QWvqmeZHSN/u+A8K8wo0XdKrLSrAcCvig==" saltValue="f1kIlCMpbeMFbbHrVj2hrw==" spinCount="100000" sqref="BN4" name="Rango2_27"/>
    <protectedRange algorithmName="SHA-512" hashValue="fT1Y1d+I+IQszeVy1GKNi12uAKgjcVKtTUZ3adselWe9NMQPUBp2Vb3P2HdgYzWifLnMB6ORab3RFeOppzcKcg==" saltValue="SQkbkmlyiNxk/ptcjFvu7A==" spinCount="100000" sqref="BQ4:BU4" name="Rango2_2"/>
    <protectedRange algorithmName="SHA-512" hashValue="OdwF1CjCdp5mF4AFI6eFL6p7Tp8LtqF4bDQuAqL9/fv/F58gsq+g7Ek9tQxpQZU3gKSp9tu4FYOupovoMQ8HBw==" saltValue="sB/ZQbdLJugKwIKTVF9VgQ==" spinCount="100000" sqref="CI4:CJ4" name="Rango2_3"/>
    <protectedRange algorithmName="SHA-512" hashValue="mULTMdOTHFwqRTLDBhkWPY4OJA24+Jrky6A8O5ipHF4JxEMCgeG9FC7SjMmepYO7Hy71Ar+z5E5SSA2Os5hQrA==" saltValue="Q9GNoe+SS4HHa7LHJWjmyQ==" spinCount="100000" sqref="CL4" name="Rango2_54"/>
    <protectedRange algorithmName="SHA-512" hashValue="03axmgossuKmEDp7qaMZLyAd4ZhJFGdYvuLpTcXCCtGLSxwv1T7UfM1yayEOXNJa+h0zxN+sB+olo35egTOB8Q==" saltValue="3BUqA8rhAdrSg5jbmpHM0Q==" spinCount="100000" sqref="DD4:DE4" name="Rango2_75"/>
    <protectedRange algorithmName="SHA-512" hashValue="BmJj4VfqXT18pzBiEquA/vWlWPO69wKDRh9rM9XfgKCVBmeXdO3VIFlBfi8vos5hWcg4uLyhkmgtGb3voCou7w==" saltValue="Gem4qNbUQoN0/wXsvkWUWA==" spinCount="100000" sqref="CT4" name="Rango2_8"/>
    <protectedRange algorithmName="SHA-512" hashValue="7m6qbk+O4sCixrFzGVsOc4ZzJ0sgp3Qqq4On0s22ePyLFPtyCFeubzB3k9IlHbv8r5PdNiXmLMAxnruhXZiKAw==" saltValue="fJza2K4m7NOTLPE8/GTlfA==" spinCount="100000" sqref="CW4" name="Rango2_10"/>
    <protectedRange algorithmName="SHA-512" hashValue="pa0ZC7QQGBngYLhOuEtMW8kDNmJy8a7AvDszT0PnEbjcknLxGD1a4tQwcE4uzq2fNeIJw/xhs6WGrDVj/bmxBg==" saltValue="gMbDGSVESDnhggI6QIAsoA==" spinCount="100000" sqref="DX4 DV4" name="Rango2_12"/>
    <protectedRange algorithmName="SHA-512" hashValue="WxN0SqVtk/lEOls7K/aqveg6Ch2vLpeDNbPsxO3zBMHVh+h79e4zFJuJ7HOTIL1lpmdzyTOgxdpVKTSf4STOUw==" saltValue="jiyF7rgqLQtTZmwOcTqYNQ==" spinCount="100000" sqref="DW4" name="Rango2_77"/>
    <protectedRange algorithmName="SHA-512" hashValue="wWvy47fvn33asxtX4l6U82ssQrKYExOzr2xXLlT5/5tZuOxl/DQ5CGK7Aa5AKdsqNFWp6ON1Pr4x2ZQUM6ld4w==" saltValue="anEr8gWk6CEqsX7cwo+oUg==" spinCount="100000" sqref="DY4:DZ4" name="Rango2_78"/>
    <protectedRange algorithmName="SHA-512" hashValue="Qo3nc1FmzMPTXbH4v/fT5g4pCtgLm2usUFRZa2vKdnFfWpEZXcOx6Ei/HgaP8SgHrezXAvqnz5FkVTXueU2vXA==" saltValue="uw5KemXb2X/UvoQvdBtKrw==" spinCount="100000" sqref="EA4:ED4" name="Rango2_13"/>
    <protectedRange algorithmName="SHA-512" hashValue="vyE6EWOfNttk7jMui+O1oRF5qt3fL5w9J+o2gY0ma0egVHvooF0Z/j+PNF5LlIhMEMVvZ8y7Ono4j/2TJ7d0RQ==" saltValue="rNDzvsLL+egg8OaHGNF7Rg==" spinCount="100000" sqref="EJ4" name="Rango2_79"/>
    <protectedRange algorithmName="SHA-512" hashValue="zpyJK1fZ5KqPwEQyrQbZ5bbZUtd9tt1Y53C5HGkbyJBJm9hdnzjquRoDhw2cRyMuTL/Sghd6TSNJ82Mdz7k4mQ==" saltValue="cAXeuT82v+t9sJ2nS0egNQ==" spinCount="100000" sqref="EO4:EQ4" name="Rango2_14"/>
    <protectedRange algorithmName="SHA-512" hashValue="taf8VKDI2aAYCtPSdeLNozUIAoyZdqZ84fYKL08pHFLcT6e4qP6JrFPSSTKmIpeyfLFEQeG0AZ3p4asp6xgYIQ==" saltValue="zYxlhSM202DbCtHgWdae/A==" spinCount="100000" sqref="EN4" name="Rango2_79_1"/>
    <protectedRange algorithmName="SHA-512" hashValue="4tyXukZ9cdLiYgyD2L9x1PAaa6BAy/aLryktdm8lP4Vc2hKqcJbhPDcal3aKR373rd8YNWt79fmku+QUcQv7rQ==" saltValue="qr7PcNGavPXCGfTUZgJ6rw==" spinCount="100000" sqref="ET4:EU4" name="Rango2_15"/>
    <protectedRange algorithmName="SHA-512" hashValue="LvKtPFwui+7ubAgeVxwzglpzDySTbK7PWHkePx3rKw7aIiOt1RmbrHwYEh1n4nBsdYmuR7OPamMrEQDJk6BYzw==" saltValue="JxgEvhhAsUL8aMP+840epw==" spinCount="100000" sqref="ER4:ES4" name="Rango2_89"/>
    <protectedRange algorithmName="SHA-512" hashValue="v+4aSz2fsHgt/41QaEP7ZLG6704x7VAWY9DXFlOgnsmMJLcfC7PjwSVfzneaS0yG/ygAzUUS8kU/8cdurc2f1Q==" saltValue="2FsOfLaYy631fU2za+rhGQ==" spinCount="100000" sqref="FC4" name="Rango2_17"/>
    <protectedRange algorithmName="SHA-512" hashValue="jTBHe379JZ81c1mfTNeZ/wTMBE/fvOQ3yr9UAKF3A5UAPrXUZkfA91oh9Hx1LcCs5qsD/SThyLM5G7Dr/t8Sbw==" saltValue="Z2pHRIVxnBmWJpWKckJc6A==" spinCount="100000" sqref="FA4:FB4" name="Rango2_97"/>
    <protectedRange algorithmName="SHA-512" hashValue="DiwwdNDeO+fFKT7GhEYKDNxhvhf4s2macsAyOWO58xNgAAJmbqnozvXQQ/FdkuGPK+T2G7ePrqgM9WoErPq3uw==" saltValue="fP7LveFGnJnQToiIfvXzpw==" spinCount="100000" sqref="FD4:FI4" name="Rango2_18"/>
    <protectedRange algorithmName="SHA-512" hashValue="uqqwwxkwMi9KoivZhGNEZes2GaZhqoXAo6ntRNLe72iY7nJynrRMoYoEVJ05s/kk0sHhfOnOSH/9bKDkAGJtNQ==" saltValue="+yWPLzVgRUwfRhhJaZFGLA==" spinCount="100000" sqref="FJ4:FN4 FP4:FQ4 FS4:FU4" name="Rango2_20"/>
    <protectedRange algorithmName="SHA-512" hashValue="2sQQ4Vlkx0elRvn4R4gqJfr/i9dYAzSLOctdQA/AjtaBR6aBrE8bk+9r4itN/oYZtRw96bLvgj0zQJB/41+XXA==" saltValue="gYgbBDHnn+FZFzeDgwgllQ==" spinCount="100000" sqref="FV4:FX4" name="Rango2_22"/>
    <protectedRange algorithmName="SHA-512" hashValue="5t5OY/1WmEf2AJsZrJZLc8Yph8rgJ1TiEofSeET0/DK97W5CUbxH4EhMSAtDU+qGQzPBUKJFRIgZ3Ik7C2fktw==" saltValue="bitiG/6a8YtXK0XJyFqCvg==" spinCount="100000" sqref="GB4:GC4" name="Rango2_25"/>
    <protectedRange algorithmName="SHA-512" hashValue="CNaXgIJSmN9LhCrV0UaWY0ziZjkgUCqMW7Hfs8srxxy11kvQG9mHpz4+VqLWENMl1tjQMecBH6ZOi3I5xoGSnA==" saltValue="lf96LJU7jZL80tiPQUNjBA==" spinCount="100000" sqref="GH4:GK4" name="Rango2_26"/>
    <protectedRange algorithmName="SHA-512" hashValue="tTode/DgoACcHZi/pl/crwhRqQNV2BkuEzrzlAZpiN6rs4ChFphUDOqtiJFQCBvr5JNsivpKoJti+kQCDjwZww==" saltValue="68QMzv0M4uUVXPa5Wqjzlw==" spinCount="100000" sqref="GL4:GM4" name="Rango2_28"/>
    <protectedRange algorithmName="SHA-512" hashValue="hNKjoTglZhwS7YWoVv82sJD5cgxLo7TsvUjsN+CQwFhjpuWAwGhWR8uLljQcTusZMYgcSfpo4Epb4MLwRPSFHQ==" saltValue="bgxMoG3ClTGQHeoV6H83Ug==" spinCount="100000" sqref="GE4" name="Rango2_30"/>
    <protectedRange algorithmName="SHA-512" hashValue="TixJhnE3PsZQs1hQOyaqKL2HvwKWMQSrR/K6tsRAfIQrTYVah/jfCb5grNr2RHsPfmE7NFuv1DPXLowN4TlL7Q==" saltValue="3MqGBtwHwAUvhuLM9Ir9yg==" spinCount="100000" sqref="GF4" name="Rango2_31"/>
    <protectedRange algorithmName="SHA-512" hashValue="6a2me31Q+LTB4mAWSoBQi/4PdX0dGAsyK4ow7os3vmDbF9JzZwQeF2MoVxZqV72HN1O3GY7C41Fp98nEwwOpYw==" saltValue="E8iZTjQFcSJgrANQDlDCIw==" spinCount="100000" sqref="GN4:GP4" name="Rango2_33"/>
    <protectedRange algorithmName="SHA-512" hashValue="ojSOqHto1RcxnXA4K3xvlQbNPvluARCRbIFb8mRcrEQxIZVBaykCNvULZBywfN378JaFfsyrjiGYVmIBNvQYHA==" saltValue="uyDhcHzUDuPQ1g+Hgf82Bg==" spinCount="100000" sqref="GQ4:GV4" name="Rango2_34"/>
    <protectedRange algorithmName="SHA-512" hashValue="sOileb7kkqTRbACZ/X69lSpx8p/USwvFmfrL+ioD5EXbk5ZGgWA80DYDFfRmmWiHnotfyqsKpcYlgTJdwgW88w==" saltValue="4G/tMBgMo12oOO+MfUrVBQ==" spinCount="100000" sqref="GW4:GY4" name="Rango2_35"/>
    <protectedRange algorithmName="SHA-512" hashValue="nGRv0xVNxiYCg9USDLLrECQlscKnukp1MUI6u2F3K2KjpEf7VZ8ypr23qdNPojFM215QYQIqM6MO4ponutiknQ==" saltValue="ORTrLhTWKcfiBcs5Tn92XA==" spinCount="100000" sqref="HG4:HJ4" name="Rango2_37"/>
    <protectedRange algorithmName="SHA-512" hashValue="7VX5ovLqPUJ5V0hiTTZNSKRdKv/WIyvf2TF6fMOFlW9VyqjD7j+kMZoKYqcdQHmWZEpxyDIywPTGidqHmyTffg==" saltValue="4Bf7rfTVhEtPrx17D9kRkA==" spinCount="100000" sqref="HM4:HN4" name="Rango2_38"/>
    <protectedRange algorithmName="SHA-512" hashValue="S4DCHo/8Pb92Pe+armNJCa6XsMAgoAOdMUbwK9eYcI7o1wg0bllAboVAYzce8BaO3lUV5SXjdrQMDG3Gz4xbdQ==" saltValue="H++ZT9i4vimtX0wTeRVJNg==" spinCount="100000" sqref="HF4" name="Rango2_39"/>
    <protectedRange algorithmName="SHA-512" hashValue="9+DNppQbWrLYYUMoJ+lyQctV2bX3Vq9kZnegLbpjTLP49It2ovUbcartuoQTeXgP+TGpY//7mDH/UQlFCKDGiA==" saltValue="KUnni6YEm00anzSSvyLqQA==" spinCount="100000" sqref="HT4 HV4 HX4" name="Rango2_6"/>
    <protectedRange algorithmName="SHA-512" hashValue="9+DNppQbWrLYYUMoJ+lyQctV2bX3Vq9kZnegLbpjTLP49It2ovUbcartuoQTeXgP+TGpY//7mDH/UQlFCKDGiA==" saltValue="KUnni6YEm00anzSSvyLqQA==" spinCount="100000" sqref="IE4" name="Rango2_9"/>
    <protectedRange algorithmName="SHA-512" hashValue="9+DNppQbWrLYYUMoJ+lyQctV2bX3Vq9kZnegLbpjTLP49It2ovUbcartuoQTeXgP+TGpY//7mDH/UQlFCKDGiA==" saltValue="KUnni6YEm00anzSSvyLqQA==" spinCount="100000" sqref="IG4:II4" name="Rango2_19"/>
    <protectedRange algorithmName="SHA-512" hashValue="9+DNppQbWrLYYUMoJ+lyQctV2bX3Vq9kZnegLbpjTLP49It2ovUbcartuoQTeXgP+TGpY//7mDH/UQlFCKDGiA==" saltValue="KUnni6YEm00anzSSvyLqQA==" spinCount="100000" sqref="IU4:IY4" name="Rango2_21"/>
    <protectedRange algorithmName="SHA-512" hashValue="9+DNppQbWrLYYUMoJ+lyQctV2bX3Vq9kZnegLbpjTLP49It2ovUbcartuoQTeXgP+TGpY//7mDH/UQlFCKDGiA==" saltValue="KUnni6YEm00anzSSvyLqQA==" spinCount="100000" sqref="IZ4" name="Rango2_29"/>
    <protectedRange algorithmName="SHA-512" hashValue="9+DNppQbWrLYYUMoJ+lyQctV2bX3Vq9kZnegLbpjTLP49It2ovUbcartuoQTeXgP+TGpY//7mDH/UQlFCKDGiA==" saltValue="KUnni6YEm00anzSSvyLqQA==" spinCount="100000" sqref="IR4" name="Rango2_41"/>
    <protectedRange algorithmName="SHA-512" hashValue="9+DNppQbWrLYYUMoJ+lyQctV2bX3Vq9kZnegLbpjTLP49It2ovUbcartuoQTeXgP+TGpY//7mDH/UQlFCKDGiA==" saltValue="KUnni6YEm00anzSSvyLqQA==" spinCount="100000" sqref="IJ4" name="Rango2_42"/>
    <protectedRange algorithmName="SHA-512" hashValue="9+DNppQbWrLYYUMoJ+lyQctV2bX3Vq9kZnegLbpjTLP49It2ovUbcartuoQTeXgP+TGpY//7mDH/UQlFCKDGiA==" saltValue="KUnni6YEm00anzSSvyLqQA==" spinCount="100000" sqref="KA4:KC4" name="Rango2_43"/>
    <protectedRange algorithmName="SHA-512" hashValue="9+DNppQbWrLYYUMoJ+lyQctV2bX3Vq9kZnegLbpjTLP49It2ovUbcartuoQTeXgP+TGpY//7mDH/UQlFCKDGiA==" saltValue="KUnni6YEm00anzSSvyLqQA==" spinCount="100000" sqref="KH4:KK4 KO4:KS4" name="Rango2_44"/>
    <protectedRange algorithmName="SHA-512" hashValue="9+DNppQbWrLYYUMoJ+lyQctV2bX3Vq9kZnegLbpjTLP49It2ovUbcartuoQTeXgP+TGpY//7mDH/UQlFCKDGiA==" saltValue="KUnni6YEm00anzSSvyLqQA==" spinCount="100000" sqref="KF4:KG4" name="Rango2_45"/>
    <protectedRange algorithmName="SHA-512" hashValue="9+DNppQbWrLYYUMoJ+lyQctV2bX3Vq9kZnegLbpjTLP49It2ovUbcartuoQTeXgP+TGpY//7mDH/UQlFCKDGiA==" saltValue="KUnni6YEm00anzSSvyLqQA==" spinCount="100000" sqref="KL4:KN4" name="Rango2_46"/>
    <protectedRange algorithmName="SHA-512" hashValue="+u8ETP7RnmTFzwP1xRwajJa0k8e4nLv8tEoGW4GVn+3uAiDu7IjPSpc8eJAORlZW6vPJAWwmGRugW8VCG8sO4g==" saltValue="npbfSwlEiEyOodcwZD1w4Q==" spinCount="100000" sqref="DR4" name="Rango2_78_1"/>
    <protectedRange algorithmName="SHA-512" hashValue="+u8ETP7RnmTFzwP1xRwajJa0k8e4nLv8tEoGW4GVn+3uAiDu7IjPSpc8eJAORlZW6vPJAWwmGRugW8VCG8sO4g==" saltValue="npbfSwlEiEyOodcwZD1w4Q==" spinCount="100000" sqref="DU4" name="Rango2_78_2"/>
    <protectedRange algorithmName="SHA-512" hashValue="9+DNppQbWrLYYUMoJ+lyQctV2bX3Vq9kZnegLbpjTLP49It2ovUbcartuoQTeXgP+TGpY//7mDH/UQlFCKDGiA==" saltValue="KUnni6YEm00anzSSvyLqQA==" spinCount="100000" sqref="FO4" name="Rango2_47"/>
    <protectedRange algorithmName="SHA-512" hashValue="9+DNppQbWrLYYUMoJ+lyQctV2bX3Vq9kZnegLbpjTLP49It2ovUbcartuoQTeXgP+TGpY//7mDH/UQlFCKDGiA==" saltValue="KUnni6YEm00anzSSvyLqQA==" spinCount="100000" sqref="FR4" name="Rango2_48"/>
    <protectedRange algorithmName="SHA-512" hashValue="9+DNppQbWrLYYUMoJ+lyQctV2bX3Vq9kZnegLbpjTLP49It2ovUbcartuoQTeXgP+TGpY//7mDH/UQlFCKDGiA==" saltValue="KUnni6YEm00anzSSvyLqQA==" spinCount="100000" sqref="FY4" name="Rango2_49"/>
    <protectedRange algorithmName="SHA-512" hashValue="9+DNppQbWrLYYUMoJ+lyQctV2bX3Vq9kZnegLbpjTLP49It2ovUbcartuoQTeXgP+TGpY//7mDH/UQlFCKDGiA==" saltValue="KUnni6YEm00anzSSvyLqQA==" spinCount="100000" sqref="FZ4" name="Rango2_50"/>
    <protectedRange algorithmName="SHA-512" hashValue="9+DNppQbWrLYYUMoJ+lyQctV2bX3Vq9kZnegLbpjTLP49It2ovUbcartuoQTeXgP+TGpY//7mDH/UQlFCKDGiA==" saltValue="KUnni6YEm00anzSSvyLqQA==" spinCount="100000" sqref="GA4" name="Rango2_51"/>
    <protectedRange algorithmName="SHA-512" hashValue="9+DNppQbWrLYYUMoJ+lyQctV2bX3Vq9kZnegLbpjTLP49It2ovUbcartuoQTeXgP+TGpY//7mDH/UQlFCKDGiA==" saltValue="KUnni6YEm00anzSSvyLqQA==" spinCount="100000" sqref="GD4" name="Rango2_52"/>
    <protectedRange algorithmName="SHA-512" hashValue="9+DNppQbWrLYYUMoJ+lyQctV2bX3Vq9kZnegLbpjTLP49It2ovUbcartuoQTeXgP+TGpY//7mDH/UQlFCKDGiA==" saltValue="KUnni6YEm00anzSSvyLqQA==" spinCount="100000" sqref="GG4" name="Rango2_59"/>
    <protectedRange algorithmName="SHA-512" hashValue="9+DNppQbWrLYYUMoJ+lyQctV2bX3Vq9kZnegLbpjTLP49It2ovUbcartuoQTeXgP+TGpY//7mDH/UQlFCKDGiA==" saltValue="KUnni6YEm00anzSSvyLqQA==" spinCount="100000" sqref="GZ4:HE4" name="Rango2_60"/>
    <protectedRange algorithmName="SHA-512" hashValue="9+DNppQbWrLYYUMoJ+lyQctV2bX3Vq9kZnegLbpjTLP49It2ovUbcartuoQTeXgP+TGpY//7mDH/UQlFCKDGiA==" saltValue="KUnni6YEm00anzSSvyLqQA==" spinCount="100000" sqref="IB4" name="Rango2_61"/>
    <protectedRange algorithmName="SHA-512" hashValue="9+DNppQbWrLYYUMoJ+lyQctV2bX3Vq9kZnegLbpjTLP49It2ovUbcartuoQTeXgP+TGpY//7mDH/UQlFCKDGiA==" saltValue="KUnni6YEm00anzSSvyLqQA==" spinCount="100000" sqref="IT4" name="Rango2_63"/>
    <protectedRange algorithmName="SHA-512" hashValue="+u8ETP7RnmTFzwP1xRwajJa0k8e4nLv8tEoGW4GVn+3uAiDu7IjPSpc8eJAORlZW6vPJAWwmGRugW8VCG8sO4g==" saltValue="npbfSwlEiEyOodcwZD1w4Q==" spinCount="100000" sqref="DS4" name="Rango2_78_3"/>
    <protectedRange algorithmName="SHA-512" hashValue="9+DNppQbWrLYYUMoJ+lyQctV2bX3Vq9kZnegLbpjTLP49It2ovUbcartuoQTeXgP+TGpY//7mDH/UQlFCKDGiA==" saltValue="KUnni6YEm00anzSSvyLqQA==" spinCount="100000" sqref="IA4" name="Rango2_24"/>
    <protectedRange algorithmName="SHA-512" hashValue="9+DNppQbWrLYYUMoJ+lyQctV2bX3Vq9kZnegLbpjTLP49It2ovUbcartuoQTeXgP+TGpY//7mDH/UQlFCKDGiA==" saltValue="KUnni6YEm00anzSSvyLqQA==" spinCount="100000" sqref="IL4" name="Rango2_32"/>
    <protectedRange algorithmName="SHA-512" hashValue="9+DNppQbWrLYYUMoJ+lyQctV2bX3Vq9kZnegLbpjTLP49It2ovUbcartuoQTeXgP+TGpY//7mDH/UQlFCKDGiA==" saltValue="KUnni6YEm00anzSSvyLqQA==" spinCount="100000" sqref="IM4" name="Rango2_64"/>
    <protectedRange algorithmName="SHA-512" hashValue="cAqnPN+UCIZzte8I1PR0A+E1NnkaKA1uIlTKaL2Ooq+bsEVoZy+3rFiHfZ83amseg3KrfSyT3g0I28v4fEOZZA==" saltValue="8U9Hp6LW9UleuWFcK7+zGw==" spinCount="100000" sqref="AN4:AO4" name="Rango2_6_5"/>
    <protectedRange algorithmName="SHA-512" hashValue="cAqnPN+UCIZzte8I1PR0A+E1NnkaKA1uIlTKaL2Ooq+bsEVoZy+3rFiHfZ83amseg3KrfSyT3g0I28v4fEOZZA==" saltValue="8U9Hp6LW9UleuWFcK7+zGw==" spinCount="100000" sqref="AP4" name="Rango2_6_6"/>
    <protectedRange algorithmName="SHA-512" hashValue="cAqnPN+UCIZzte8I1PR0A+E1NnkaKA1uIlTKaL2Ooq+bsEVoZy+3rFiHfZ83amseg3KrfSyT3g0I28v4fEOZZA==" saltValue="8U9Hp6LW9UleuWFcK7+zGw==" spinCount="100000" sqref="BB4:BC4" name="Rango2_6_7"/>
    <protectedRange algorithmName="SHA-512" hashValue="YRHPUqMmepU5uJeUadNBpjTbnssMrleyPZ1FIcyRUHikknEWIOuqFlUpFYanUAt+RrR6WdIxfmY53S47/UJA2g==" saltValue="H2y28rMTiCh6/OyAqBW4cA==" spinCount="100000" sqref="BJ4" name="Rango2_9_1"/>
    <protectedRange algorithmName="SHA-512" hashValue="YRHPUqMmepU5uJeUadNBpjTbnssMrleyPZ1FIcyRUHikknEWIOuqFlUpFYanUAt+RrR6WdIxfmY53S47/UJA2g==" saltValue="H2y28rMTiCh6/OyAqBW4cA==" spinCount="100000" sqref="BK4" name="Rango2_9_2"/>
    <protectedRange algorithmName="SHA-512" hashValue="vFJvjG+iQrj8vDWVDifD5qDOHBOSB9V8wt0/5OJVoxWwruwuccUmaqzIh5JUODzpDmxUROk2xJzyAFtKXgcHQg==" saltValue="lgDVsS9IWXRoh0tXSdkS+g==" spinCount="100000" sqref="BV4" name="Rango2_31_1"/>
    <protectedRange algorithmName="SHA-512" hashValue="vFJvjG+iQrj8vDWVDifD5qDOHBOSB9V8wt0/5OJVoxWwruwuccUmaqzIh5JUODzpDmxUROk2xJzyAFtKXgcHQg==" saltValue="lgDVsS9IWXRoh0tXSdkS+g==" spinCount="100000" sqref="BY4" name="Rango2_31_2"/>
    <protectedRange algorithmName="SHA-512" hashValue="5InfS2vnDalKnufFiqFUvr4P4JViu8X2tHBM9Y1eg5Bzc96fjwSxrumO4AJMDdb6F+n7/iptghai6C6flopOnw==" saltValue="43IKR18eirSZT50xvmea9Q==" spinCount="100000" sqref="CF4" name="Rango2_51_1"/>
    <protectedRange algorithmName="SHA-512" hashValue="kWgY2hoF4KcIxdFPxQipujL/Tey4N4aNp7Z1M/Kh7vAUiOnfu8rofah+OZuthxnoikdOBEOB2ozj6nZk5hNzAg==" saltValue="irDz92D4scIQlSA43H+0Hg==" spinCount="100000" sqref="CK4" name="Rango2_56_1"/>
    <protectedRange algorithmName="SHA-512" hashValue="a12pJC7sywDpBhhBFqNclpXnG0kDSF+2teaYUx/IkA50kIDDwWTi3ROx6eSgo00jHouMrSxeYC6zq2M3cVX1rA==" saltValue="JxWAHhMbnJFgFI/3ZoTuwA==" spinCount="100000" sqref="CN4" name="Rango2_58_1"/>
    <protectedRange algorithmName="SHA-512" hashValue="9+DNppQbWrLYYUMoJ+lyQctV2bX3Vq9kZnegLbpjTLP49It2ovUbcartuoQTeXgP+TGpY//7mDH/UQlFCKDGiA==" saltValue="KUnni6YEm00anzSSvyLqQA==" spinCount="100000" sqref="CM4 CO4" name="Rango2_65"/>
    <protectedRange algorithmName="SHA-512" hashValue="5InfS2vnDalKnufFiqFUvr4P4JViu8X2tHBM9Y1eg5Bzc96fjwSxrumO4AJMDdb6F+n7/iptghai6C6flopOnw==" saltValue="43IKR18eirSZT50xvmea9Q==" spinCount="100000" sqref="CP4" name="Rango2_51_2"/>
    <protectedRange algorithmName="SHA-512" hashValue="9+DNppQbWrLYYUMoJ+lyQctV2bX3Vq9kZnegLbpjTLP49It2ovUbcartuoQTeXgP+TGpY//7mDH/UQlFCKDGiA==" saltValue="KUnni6YEm00anzSSvyLqQA==" spinCount="100000" sqref="CQ4" name="Rango2_66"/>
    <protectedRange algorithmName="SHA-512" hashValue="SWHd6qxoLe+bNriEbglZF1YJHrgjbzfRYXYEkAC/lNyLPenLVZ5nZzJ4kqugo93eLe7TsjNhpscveFFzvhDeXg==" saltValue="0midFXnAtyNshnWzg7j43A==" spinCount="100000" sqref="DA4:DB4" name="Rango2_63_1"/>
    <protectedRange algorithmName="SHA-512" hashValue="9+DNppQbWrLYYUMoJ+lyQctV2bX3Vq9kZnegLbpjTLP49It2ovUbcartuoQTeXgP+TGpY//7mDH/UQlFCKDGiA==" saltValue="KUnni6YEm00anzSSvyLqQA==" spinCount="100000" sqref="DC4" name="Rango2_67"/>
    <protectedRange algorithmName="SHA-512" hashValue="9+DNppQbWrLYYUMoJ+lyQctV2bX3Vq9kZnegLbpjTLP49It2ovUbcartuoQTeXgP+TGpY//7mDH/UQlFCKDGiA==" saltValue="KUnni6YEm00anzSSvyLqQA==" spinCount="100000" sqref="CZ4" name="Rango2_7_1"/>
    <protectedRange algorithmName="SHA-512" hashValue="+u8ETP7RnmTFzwP1xRwajJa0k8e4nLv8tEoGW4GVn+3uAiDu7IjPSpc8eJAORlZW6vPJAWwmGRugW8VCG8sO4g==" saltValue="npbfSwlEiEyOodcwZD1w4Q==" spinCount="100000" sqref="DT4" name="Rango2_78_1_1"/>
    <protectedRange algorithmName="SHA-512" hashValue="aFc1WXUOJlOo+G2n8ZMY7F5piiLTFVnl4myPipBDWxoC1s3J8AWOGcIhveE/wNCm1zt7bC0JDSax037/ZOICnA==" saltValue="Q4P5E34bqyzrOFTtjh+sIg==" spinCount="100000" sqref="EM4" name="Rango2_79_2"/>
    <protectedRange algorithmName="SHA-512" hashValue="cjB0/89+phf70Vhq9PW8mqFIBSi0NBIwb6Nu68c2KHw5qNJONhOzx/CkyH9AcA1QkhnV2r8TzORgeQ70DsWEuQ==" saltValue="HzeP5EzY+7kwoprfNZQSZw==" spinCount="100000" sqref="EV4:EX4" name="Rango2_96_1"/>
    <protectedRange algorithmName="SHA-512" hashValue="9+DNppQbWrLYYUMoJ+lyQctV2bX3Vq9kZnegLbpjTLP49It2ovUbcartuoQTeXgP+TGpY//7mDH/UQlFCKDGiA==" saltValue="KUnni6YEm00anzSSvyLqQA==" spinCount="100000" sqref="EY4:EZ4" name="Rango2_68"/>
  </protectedRanges>
  <mergeCells count="7">
    <mergeCell ref="JM5:JV5"/>
    <mergeCell ref="A1:F1"/>
    <mergeCell ref="A2:F2"/>
    <mergeCell ref="A3:F3"/>
    <mergeCell ref="AL5:AR5"/>
    <mergeCell ref="DF5:DQ5"/>
    <mergeCell ref="EE5:EI5"/>
  </mergeCells>
  <conditionalFormatting sqref="IP4">
    <cfRule type="notContainsBlanks" dxfId="4" priority="5">
      <formula>LEN(TRIM(IP4))&gt;0</formula>
    </cfRule>
  </conditionalFormatting>
  <conditionalFormatting sqref="JE4">
    <cfRule type="notContainsBlanks" dxfId="3" priority="4">
      <formula>LEN(TRIM(JE4))&gt;0</formula>
    </cfRule>
  </conditionalFormatting>
  <conditionalFormatting sqref="JO4">
    <cfRule type="notContainsBlanks" dxfId="2" priority="3">
      <formula>LEN(TRIM(JO4))&gt;0</formula>
    </cfRule>
  </conditionalFormatting>
  <conditionalFormatting sqref="JX4">
    <cfRule type="notContainsBlanks" dxfId="1" priority="2">
      <formula>LEN(TRIM(JX4))&gt;0</formula>
    </cfRule>
  </conditionalFormatting>
  <conditionalFormatting sqref="JZ4">
    <cfRule type="notContainsBlanks" dxfId="0" priority="1">
      <formula>LEN(TRIM(JZ4))&gt;0</formula>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Hoja1">
    <tabColor rgb="FF66FF66"/>
  </sheetPr>
  <dimension ref="A1:RY248"/>
  <sheetViews>
    <sheetView tabSelected="1" topLeftCell="HD1" zoomScale="70" zoomScaleNormal="70" zoomScaleSheetLayoutView="76" workbookViewId="0">
      <pane ySplit="2" topLeftCell="A3" activePane="bottomLeft" state="frozen"/>
      <selection pane="bottomLeft" activeCell="HL6" sqref="HL6"/>
    </sheetView>
  </sheetViews>
  <sheetFormatPr baseColWidth="10" defaultColWidth="11.42578125" defaultRowHeight="15" x14ac:dyDescent="0.25"/>
  <cols>
    <col min="1" max="1" width="20.140625" style="1" customWidth="1"/>
    <col min="2" max="2" width="28.7109375" style="1" customWidth="1"/>
    <col min="3" max="3" width="23.42578125" style="1" customWidth="1"/>
    <col min="4" max="4" width="22.28515625" style="1" customWidth="1"/>
    <col min="5" max="5" width="13.7109375" style="1" customWidth="1"/>
    <col min="6" max="6" width="15.140625" style="1" customWidth="1"/>
    <col min="7" max="8" width="14.5703125" style="1" customWidth="1"/>
    <col min="9" max="9" width="16.85546875" style="1" customWidth="1"/>
    <col min="10" max="10" width="19.28515625" style="1" customWidth="1"/>
    <col min="11" max="11" width="17" style="1" customWidth="1"/>
    <col min="12" max="12" width="22.28515625" style="1" customWidth="1"/>
    <col min="13" max="13" width="16.7109375" style="1" customWidth="1"/>
    <col min="14" max="14" width="12.7109375" style="1" customWidth="1"/>
    <col min="15" max="15" width="22" style="1" customWidth="1"/>
    <col min="16" max="16" width="17" style="1" customWidth="1"/>
    <col min="17" max="17" width="28.28515625" style="1" customWidth="1"/>
    <col min="18" max="18" width="16.7109375" style="4" customWidth="1"/>
    <col min="19" max="19" width="13.42578125" style="1" customWidth="1"/>
    <col min="20" max="20" width="18.42578125" style="1" customWidth="1"/>
    <col min="21" max="21" width="15.42578125" style="1" customWidth="1"/>
    <col min="22" max="22" width="18" style="1" customWidth="1"/>
    <col min="23" max="23" width="15.7109375" style="1" customWidth="1"/>
    <col min="24" max="24" width="18.5703125" style="1" customWidth="1"/>
    <col min="25" max="25" width="27.5703125" style="1" customWidth="1"/>
    <col min="26" max="26" width="19.85546875" style="1" customWidth="1"/>
    <col min="27" max="27" width="17.42578125" style="1" customWidth="1"/>
    <col min="28" max="28" width="18.28515625" style="1" customWidth="1"/>
    <col min="29" max="29" width="19.42578125" style="1" customWidth="1"/>
    <col min="30" max="30" width="14.42578125" style="1" customWidth="1"/>
    <col min="31" max="31" width="19" style="1" customWidth="1"/>
    <col min="32" max="32" width="14.28515625" style="1" customWidth="1"/>
    <col min="33" max="33" width="12.5703125" style="1" customWidth="1"/>
    <col min="34" max="34" width="17" style="1" customWidth="1"/>
    <col min="35" max="35" width="19.28515625" style="1" customWidth="1"/>
    <col min="36" max="36" width="14.42578125" style="1" customWidth="1"/>
    <col min="37" max="37" width="13" style="1" customWidth="1"/>
    <col min="38" max="38" width="22.5703125" style="1" customWidth="1"/>
    <col min="39" max="39" width="21.28515625" style="1" customWidth="1"/>
    <col min="40" max="41" width="18.28515625" style="1" customWidth="1"/>
    <col min="42" max="42" width="12.5703125" style="1" customWidth="1"/>
    <col min="43" max="43" width="15.42578125" style="1" customWidth="1"/>
    <col min="44" max="44" width="14.28515625" style="1" customWidth="1"/>
    <col min="45" max="45" width="13.7109375" style="1" customWidth="1"/>
    <col min="46" max="46" width="14.7109375" style="1" customWidth="1"/>
    <col min="47" max="47" width="11.42578125" style="1" customWidth="1"/>
    <col min="48" max="48" width="13.7109375" style="1" customWidth="1"/>
    <col min="49" max="49" width="12.42578125" style="1" customWidth="1"/>
    <col min="50" max="50" width="18.28515625" style="1" customWidth="1"/>
    <col min="51" max="51" width="20.28515625" style="1" customWidth="1"/>
    <col min="52" max="52" width="14.42578125" style="1" customWidth="1"/>
    <col min="53" max="55" width="14.5703125" style="1" customWidth="1"/>
    <col min="56" max="60" width="12.42578125" style="1" customWidth="1"/>
    <col min="61" max="62" width="19.28515625" style="1" customWidth="1"/>
    <col min="63" max="65" width="14.28515625" style="1" customWidth="1"/>
    <col min="66" max="66" width="15.7109375" style="4" customWidth="1"/>
    <col min="67" max="67" width="12.42578125" style="1" customWidth="1"/>
    <col min="68" max="68" width="10.7109375" style="4" customWidth="1"/>
    <col min="69" max="69" width="12.7109375" style="4" customWidth="1"/>
    <col min="70" max="70" width="13.28515625" style="4" customWidth="1"/>
    <col min="71" max="71" width="13.28515625" style="1" customWidth="1"/>
    <col min="72" max="72" width="14.7109375" style="1" customWidth="1"/>
    <col min="73" max="73" width="14.28515625" style="1" customWidth="1"/>
    <col min="74" max="74" width="21.140625" style="1" customWidth="1"/>
    <col min="75" max="75" width="17" style="1" customWidth="1"/>
    <col min="76" max="76" width="17" style="4" customWidth="1"/>
    <col min="77" max="77" width="19.85546875" style="4" customWidth="1"/>
    <col min="78" max="79" width="17" style="4" customWidth="1"/>
    <col min="80" max="83" width="20" style="4" customWidth="1"/>
    <col min="84" max="84" width="21.7109375" style="4" customWidth="1"/>
    <col min="85" max="85" width="10.28515625" style="4" customWidth="1"/>
    <col min="86" max="86" width="16.42578125" style="1" customWidth="1"/>
    <col min="87" max="87" width="8.7109375" style="1" customWidth="1"/>
    <col min="88" max="88" width="16.5703125" style="1" customWidth="1"/>
    <col min="89" max="89" width="14.42578125" style="1" customWidth="1"/>
    <col min="90" max="90" width="17.140625" style="4" customWidth="1"/>
    <col min="91" max="91" width="8.7109375" style="1" customWidth="1"/>
    <col min="92" max="92" width="11.42578125" style="1" customWidth="1"/>
    <col min="93" max="95" width="17.28515625" style="1" customWidth="1"/>
    <col min="96" max="97" width="13.42578125" style="1" customWidth="1"/>
    <col min="98" max="98" width="14.5703125" style="1" customWidth="1"/>
    <col min="99" max="99" width="11.28515625" style="1" customWidth="1"/>
    <col min="100" max="100" width="10.5703125" style="1" customWidth="1"/>
    <col min="101" max="101" width="19.7109375" style="1" customWidth="1"/>
    <col min="102" max="103" width="11.5703125" style="1" customWidth="1"/>
    <col min="104" max="104" width="16.7109375" style="1" customWidth="1"/>
    <col min="105" max="105" width="13.7109375" style="1" customWidth="1"/>
    <col min="106" max="106" width="15.28515625" style="1" customWidth="1"/>
    <col min="107" max="107" width="21.28515625" style="1" customWidth="1"/>
    <col min="108" max="108" width="18.42578125" style="1" customWidth="1"/>
    <col min="109" max="109" width="17.28515625" style="1" customWidth="1"/>
    <col min="110" max="110" width="11.42578125" style="1" customWidth="1"/>
    <col min="111" max="121" width="11.42578125" style="4" customWidth="1"/>
    <col min="122" max="122" width="13.28515625" style="4" customWidth="1"/>
    <col min="123" max="123" width="14.7109375" style="4" customWidth="1"/>
    <col min="124" max="124" width="15.5703125" style="4" customWidth="1"/>
    <col min="125" max="125" width="17" style="1" customWidth="1"/>
    <col min="126" max="126" width="15.5703125" style="4" customWidth="1"/>
    <col min="127" max="127" width="13.5703125" style="4" customWidth="1"/>
    <col min="128" max="128" width="19.28515625" style="4" customWidth="1"/>
    <col min="129" max="130" width="11.42578125" style="4" customWidth="1"/>
    <col min="131" max="133" width="13.7109375" style="1" customWidth="1"/>
    <col min="134" max="134" width="12.28515625" style="1" customWidth="1"/>
    <col min="135" max="135" width="17.5703125" style="4" customWidth="1"/>
    <col min="136" max="136" width="17.7109375" style="4" customWidth="1"/>
    <col min="137" max="137" width="15" style="4" customWidth="1"/>
    <col min="138" max="138" width="16.7109375" style="4" customWidth="1"/>
    <col min="139" max="139" width="15.5703125" style="4" customWidth="1"/>
    <col min="140" max="140" width="19.28515625" style="4" customWidth="1"/>
    <col min="141" max="141" width="15.42578125" style="4" customWidth="1"/>
    <col min="142" max="142" width="13" style="4" customWidth="1"/>
    <col min="143" max="143" width="21.28515625" style="1" customWidth="1"/>
    <col min="144" max="144" width="15.7109375" style="4" customWidth="1"/>
    <col min="145" max="145" width="12.5703125" style="1" customWidth="1"/>
    <col min="146" max="146" width="19.42578125" style="1" customWidth="1"/>
    <col min="147" max="147" width="19" style="1" customWidth="1"/>
    <col min="148" max="148" width="20.7109375" style="1" customWidth="1"/>
    <col min="149" max="149" width="18" style="1" customWidth="1"/>
    <col min="150" max="150" width="15.7109375" style="1" customWidth="1"/>
    <col min="151" max="151" width="12.7109375" style="1" customWidth="1"/>
    <col min="152" max="153" width="26.85546875" style="1" customWidth="1"/>
    <col min="154" max="154" width="22.28515625" style="4" customWidth="1"/>
    <col min="155" max="155" width="23.28515625" style="5" customWidth="1"/>
    <col min="156" max="156" width="24.7109375" style="1" customWidth="1"/>
    <col min="157" max="157" width="18.28515625" style="1" customWidth="1"/>
    <col min="158" max="158" width="16.7109375" style="4" customWidth="1"/>
    <col min="159" max="159" width="16.7109375" style="1" customWidth="1"/>
    <col min="160" max="160" width="20.28515625" style="1" customWidth="1"/>
    <col min="161" max="161" width="18.42578125" style="1" customWidth="1"/>
    <col min="162" max="162" width="20.28515625" style="1" customWidth="1"/>
    <col min="163" max="163" width="21.28515625" style="1" customWidth="1"/>
    <col min="164" max="164" width="15.7109375" style="1" customWidth="1"/>
    <col min="165" max="165" width="25.5703125" style="1" customWidth="1"/>
    <col min="166" max="166" width="21.7109375" style="1" customWidth="1"/>
    <col min="167" max="167" width="21.7109375" style="4" customWidth="1"/>
    <col min="168" max="168" width="15.28515625" style="1" customWidth="1"/>
    <col min="169" max="169" width="20.42578125" style="1" customWidth="1"/>
    <col min="170" max="170" width="22" style="1" customWidth="1"/>
    <col min="171" max="171" width="17.28515625" style="1" customWidth="1"/>
    <col min="172" max="172" width="17.5703125" style="1" customWidth="1"/>
    <col min="173" max="173" width="20.28515625" style="1" customWidth="1"/>
    <col min="174" max="174" width="16.42578125" style="1" customWidth="1"/>
    <col min="175" max="175" width="19.28515625" style="1" customWidth="1"/>
    <col min="176" max="176" width="20.42578125" style="1" customWidth="1"/>
    <col min="177" max="177" width="16.7109375" style="1" customWidth="1"/>
    <col min="178" max="178" width="19.28515625" style="4" customWidth="1"/>
    <col min="179" max="179" width="20.7109375" style="1" customWidth="1"/>
    <col min="180" max="180" width="14.7109375" style="1" customWidth="1"/>
    <col min="181" max="181" width="18.28515625" style="1" customWidth="1"/>
    <col min="182" max="182" width="20.7109375" style="16" customWidth="1"/>
    <col min="183" max="183" width="15.28515625" style="1" customWidth="1"/>
    <col min="184" max="184" width="17.28515625" style="1" customWidth="1"/>
    <col min="185" max="185" width="17.28515625" style="4" customWidth="1"/>
    <col min="186" max="186" width="14.42578125" style="4" customWidth="1"/>
    <col min="187" max="188" width="17.28515625" style="1" customWidth="1"/>
    <col min="189" max="189" width="15.28515625" style="1" customWidth="1"/>
    <col min="190" max="192" width="22.7109375" style="1" customWidth="1"/>
    <col min="193" max="193" width="30.28515625" style="1" customWidth="1"/>
    <col min="194" max="194" width="18.28515625" style="1" customWidth="1"/>
    <col min="195" max="195" width="24.7109375" style="1" customWidth="1"/>
    <col min="196" max="196" width="14.5703125" style="1" customWidth="1"/>
    <col min="197" max="197" width="14.5703125" style="4" customWidth="1"/>
    <col min="198" max="198" width="15.5703125" style="1" customWidth="1"/>
    <col min="199" max="200" width="14.5703125" style="1" customWidth="1"/>
    <col min="201" max="201" width="16.28515625" style="1" customWidth="1"/>
    <col min="202" max="202" width="14.5703125" style="4" customWidth="1"/>
    <col min="203" max="203" width="15.7109375" style="1" customWidth="1"/>
    <col min="204" max="204" width="17.28515625" style="1" customWidth="1"/>
    <col min="205" max="205" width="16.42578125" style="1" customWidth="1"/>
    <col min="206" max="207" width="21" style="1" customWidth="1"/>
    <col min="208" max="212" width="23" style="1" customWidth="1"/>
    <col min="213" max="213" width="25.28515625" style="1" customWidth="1"/>
    <col min="214" max="214" width="32.28515625" style="1" customWidth="1"/>
    <col min="215" max="215" width="28.28515625" style="4" customWidth="1"/>
    <col min="216" max="216" width="39.7109375" style="4" customWidth="1"/>
    <col min="217" max="217" width="24.28515625" style="4" customWidth="1"/>
    <col min="218" max="218" width="65.42578125" style="4" customWidth="1"/>
    <col min="219" max="219" width="33.7109375" style="4" customWidth="1"/>
    <col min="220" max="220" width="25.28515625" style="4" customWidth="1"/>
    <col min="221" max="221" width="16.7109375" style="4" customWidth="1"/>
    <col min="222" max="222" width="17.7109375" style="4" customWidth="1"/>
    <col min="223" max="223" width="15.28515625" style="4" customWidth="1"/>
    <col min="224" max="224" width="19.5703125" style="4" customWidth="1"/>
    <col min="225" max="225" width="19.5703125" style="344" customWidth="1"/>
    <col min="226" max="227" width="19.5703125" style="4" customWidth="1"/>
    <col min="228" max="228" width="21.5703125" style="4" customWidth="1"/>
    <col min="229" max="229" width="18.7109375" style="4" customWidth="1"/>
    <col min="230" max="230" width="21.7109375" style="4" customWidth="1"/>
    <col min="231" max="231" width="20.5703125" style="4" customWidth="1"/>
    <col min="232" max="232" width="24" style="4" customWidth="1"/>
    <col min="233" max="233" width="20" style="2" customWidth="1"/>
    <col min="234" max="234" width="19.7109375" style="3" customWidth="1"/>
    <col min="235" max="236" width="17" style="1" customWidth="1"/>
    <col min="237" max="237" width="20.42578125" style="1" customWidth="1"/>
    <col min="238" max="238" width="18.28515625" style="1" customWidth="1"/>
    <col min="239" max="239" width="23.7109375" style="1" customWidth="1"/>
    <col min="240" max="240" width="21.5703125" style="1" customWidth="1"/>
    <col min="241" max="241" width="13.42578125" style="1" customWidth="1"/>
    <col min="242" max="242" width="13.42578125" style="5" customWidth="1"/>
    <col min="243" max="243" width="21" style="1" customWidth="1"/>
    <col min="244" max="244" width="19.28515625" style="1" customWidth="1"/>
    <col min="245" max="245" width="23.28515625" style="1" customWidth="1"/>
    <col min="246" max="246" width="24.28515625" style="1" customWidth="1"/>
    <col min="247" max="247" width="22.5703125" style="1" customWidth="1"/>
    <col min="248" max="248" width="16.28515625" style="344" customWidth="1"/>
    <col min="249" max="249" width="20.5703125" style="1" customWidth="1"/>
    <col min="250" max="250" width="15.7109375" style="1" customWidth="1"/>
    <col min="251" max="251" width="26.42578125" style="1" customWidth="1"/>
    <col min="252" max="252" width="24.42578125" style="1" customWidth="1"/>
    <col min="253" max="254" width="27.28515625" style="1" customWidth="1"/>
    <col min="255" max="255" width="23.5703125" style="1" customWidth="1"/>
    <col min="256" max="256" width="23" style="1" customWidth="1"/>
    <col min="257" max="257" width="32.42578125" style="1" customWidth="1"/>
    <col min="258" max="258" width="21.28515625" style="1" customWidth="1"/>
    <col min="259" max="259" width="27.42578125" style="1" customWidth="1"/>
    <col min="260" max="260" width="37.7109375" style="1" customWidth="1"/>
    <col min="261" max="261" width="26.7109375" style="1" customWidth="1"/>
    <col min="262" max="262" width="13.7109375" style="6" customWidth="1"/>
    <col min="263" max="263" width="9.7109375" style="1" customWidth="1"/>
    <col min="264" max="264" width="13.7109375" style="1" customWidth="1"/>
    <col min="265" max="265" width="17.7109375" style="1" customWidth="1"/>
    <col min="266" max="266" width="10.28515625" style="1" customWidth="1"/>
    <col min="267" max="267" width="13.5703125" style="1" customWidth="1"/>
    <col min="268" max="268" width="16" style="1" customWidth="1"/>
    <col min="269" max="269" width="10.7109375" style="1" customWidth="1"/>
    <col min="270" max="270" width="13.28515625" style="1" customWidth="1"/>
    <col min="271" max="271" width="12.42578125" style="4" customWidth="1"/>
    <col min="272" max="272" width="12.42578125" style="15" customWidth="1"/>
    <col min="273" max="273" width="11.28515625" style="1" customWidth="1"/>
    <col min="274" max="274" width="15" style="1" customWidth="1"/>
    <col min="275" max="275" width="15.42578125" style="1" customWidth="1"/>
    <col min="276" max="276" width="10.7109375" style="1" customWidth="1"/>
    <col min="277" max="277" width="12.28515625" style="1" customWidth="1"/>
    <col min="278" max="278" width="13.7109375" style="1" customWidth="1"/>
    <col min="279" max="279" width="13.28515625" style="1" customWidth="1"/>
    <col min="280" max="280" width="11.5703125" style="1" customWidth="1"/>
    <col min="281" max="281" width="22.28515625" style="1" customWidth="1"/>
    <col min="282" max="282" width="14.7109375" style="1" customWidth="1"/>
    <col min="283" max="283" width="20.7109375" style="4" customWidth="1"/>
    <col min="284" max="284" width="19" style="1" customWidth="1"/>
    <col min="285" max="285" width="17.28515625" style="1" customWidth="1"/>
    <col min="286" max="286" width="19" style="1" customWidth="1"/>
    <col min="287" max="287" width="20.7109375" style="1" customWidth="1"/>
    <col min="288" max="288" width="27.42578125" style="1" customWidth="1"/>
    <col min="289" max="289" width="19" style="1" customWidth="1"/>
    <col min="290" max="290" width="18.42578125" style="1" customWidth="1"/>
    <col min="291" max="293" width="22" style="1" customWidth="1"/>
    <col min="294" max="294" width="26.42578125" style="4" customWidth="1"/>
    <col min="295" max="295" width="15.7109375" style="4" customWidth="1"/>
    <col min="296" max="296" width="14.7109375" style="3" customWidth="1"/>
    <col min="297" max="297" width="24.7109375" style="4" customWidth="1"/>
    <col min="298" max="298" width="16.7109375" style="4" customWidth="1"/>
    <col min="299" max="299" width="15.42578125" style="4" customWidth="1"/>
    <col min="300" max="300" width="20" style="4" customWidth="1"/>
    <col min="301" max="301" width="26.7109375" style="4" customWidth="1"/>
    <col min="302" max="302" width="19" style="4" customWidth="1"/>
    <col min="303" max="303" width="22.28515625" style="4" customWidth="1"/>
    <col min="304" max="304" width="20" style="4" customWidth="1"/>
    <col min="305" max="305" width="16.7109375" style="4" customWidth="1"/>
    <col min="306" max="306" width="17.28515625" style="1" customWidth="1"/>
    <col min="307" max="307" width="19.7109375" style="1" customWidth="1"/>
    <col min="308" max="308" width="21" style="1" customWidth="1"/>
    <col min="309" max="309" width="20.42578125" style="1" customWidth="1"/>
    <col min="310" max="310" width="14" style="1" customWidth="1"/>
    <col min="311" max="311" width="19.28515625" style="1" customWidth="1"/>
    <col min="312" max="312" width="14.5703125" style="1" customWidth="1"/>
    <col min="313" max="313" width="20" style="1" customWidth="1"/>
    <col min="314" max="315" width="19.28515625" style="1" customWidth="1"/>
    <col min="316" max="316" width="14.7109375" style="1" customWidth="1"/>
    <col min="317" max="317" width="19.42578125" style="1" customWidth="1"/>
    <col min="318" max="319" width="18.7109375" style="1" customWidth="1"/>
    <col min="320" max="320" width="15.7109375" style="1" customWidth="1"/>
    <col min="321" max="321" width="17.5703125" style="1" customWidth="1"/>
    <col min="322" max="322" width="16.42578125" style="1" customWidth="1"/>
    <col min="323" max="323" width="20.42578125" style="1" customWidth="1"/>
    <col min="324" max="324" width="18.28515625" style="1" customWidth="1"/>
    <col min="325" max="325" width="22.7109375" style="1" customWidth="1"/>
    <col min="326" max="326" width="18.28515625" style="1" customWidth="1"/>
    <col min="327" max="327" width="24.42578125" style="1" customWidth="1"/>
    <col min="328" max="328" width="17.28515625" style="1" customWidth="1"/>
    <col min="329" max="336" width="21.7109375" style="1" customWidth="1"/>
    <col min="337" max="337" width="30.42578125" style="1" customWidth="1"/>
    <col min="338" max="338" width="27.28515625" style="1" customWidth="1"/>
    <col min="339" max="341" width="21.7109375" style="1" customWidth="1"/>
    <col min="342" max="342" width="19.7109375" style="1" customWidth="1"/>
    <col min="343" max="343" width="22" style="1" customWidth="1"/>
    <col min="344" max="344" width="20" style="1" customWidth="1"/>
    <col min="345" max="345" width="23.140625" style="1" customWidth="1"/>
    <col min="346" max="346" width="18" hidden="1" customWidth="1"/>
    <col min="347" max="349" width="15.7109375" hidden="1" customWidth="1"/>
    <col min="350" max="350" width="19.7109375" hidden="1" customWidth="1"/>
    <col min="351" max="351" width="12.28515625" hidden="1" customWidth="1"/>
    <col min="352" max="352" width="15.7109375" hidden="1" customWidth="1"/>
    <col min="353" max="382" width="11.42578125" hidden="1" customWidth="1"/>
    <col min="383" max="383" width="11.5703125" hidden="1" customWidth="1"/>
    <col min="384" max="388" width="11.42578125" hidden="1" customWidth="1"/>
    <col min="389" max="389" width="8.42578125" hidden="1" customWidth="1"/>
    <col min="390" max="390" width="10" hidden="1" customWidth="1"/>
    <col min="391" max="424" width="7.5703125" hidden="1" customWidth="1"/>
    <col min="425" max="425" width="11.140625" hidden="1" customWidth="1"/>
    <col min="426" max="459" width="7.5703125" hidden="1" customWidth="1"/>
    <col min="460" max="460" width="12.5703125" hidden="1" customWidth="1"/>
    <col min="461" max="461" width="10.28515625" hidden="1" customWidth="1"/>
    <col min="462" max="493" width="11.42578125" style="1" hidden="1" customWidth="1"/>
    <col min="494" max="16384" width="11.42578125" style="1"/>
  </cols>
  <sheetData>
    <row r="1" spans="1:493" ht="51.75" thickBot="1" x14ac:dyDescent="0.3">
      <c r="A1" s="1" t="s">
        <v>1717</v>
      </c>
      <c r="B1" s="1" t="s">
        <v>1718</v>
      </c>
      <c r="C1" s="1" t="s">
        <v>1719</v>
      </c>
      <c r="D1" s="1" t="s">
        <v>1720</v>
      </c>
      <c r="E1" s="1" t="s">
        <v>1721</v>
      </c>
      <c r="F1" s="1" t="s">
        <v>1722</v>
      </c>
      <c r="G1" s="1" t="s">
        <v>1723</v>
      </c>
      <c r="H1" s="1" t="s">
        <v>1724</v>
      </c>
      <c r="I1" s="1" t="s">
        <v>1725</v>
      </c>
      <c r="J1" s="1" t="s">
        <v>1726</v>
      </c>
      <c r="K1" s="1" t="s">
        <v>1727</v>
      </c>
      <c r="L1" s="1" t="s">
        <v>1728</v>
      </c>
      <c r="M1" s="1" t="s">
        <v>1729</v>
      </c>
      <c r="N1" s="1" t="s">
        <v>1730</v>
      </c>
      <c r="O1" s="1" t="s">
        <v>1731</v>
      </c>
      <c r="P1" s="1" t="s">
        <v>1732</v>
      </c>
      <c r="Q1" s="1" t="s">
        <v>1733</v>
      </c>
      <c r="R1" s="4" t="s">
        <v>1734</v>
      </c>
      <c r="S1" s="1" t="s">
        <v>1735</v>
      </c>
      <c r="T1" s="392" t="s">
        <v>1736</v>
      </c>
      <c r="U1" s="1" t="s">
        <v>1737</v>
      </c>
      <c r="V1" s="1" t="s">
        <v>1738</v>
      </c>
      <c r="W1" s="1" t="s">
        <v>1739</v>
      </c>
      <c r="X1" s="1" t="s">
        <v>1740</v>
      </c>
      <c r="Y1" s="1" t="s">
        <v>1741</v>
      </c>
      <c r="Z1" s="1" t="s">
        <v>1742</v>
      </c>
      <c r="AA1" s="1" t="s">
        <v>1743</v>
      </c>
      <c r="AB1" s="1" t="s">
        <v>1744</v>
      </c>
      <c r="AC1" s="1" t="s">
        <v>1745</v>
      </c>
      <c r="AD1" s="1" t="s">
        <v>1746</v>
      </c>
      <c r="AE1" s="1" t="s">
        <v>1747</v>
      </c>
      <c r="AF1" s="1" t="s">
        <v>1748</v>
      </c>
      <c r="AG1" s="1" t="s">
        <v>1749</v>
      </c>
      <c r="AH1" s="1" t="s">
        <v>1750</v>
      </c>
      <c r="AI1" s="1" t="s">
        <v>1751</v>
      </c>
      <c r="AJ1" s="392" t="s">
        <v>1752</v>
      </c>
      <c r="AK1" s="1" t="s">
        <v>1753</v>
      </c>
      <c r="AL1" s="1" t="s">
        <v>1754</v>
      </c>
      <c r="AM1" s="1" t="s">
        <v>1755</v>
      </c>
      <c r="AN1" s="1" t="s">
        <v>1756</v>
      </c>
      <c r="AO1" s="1" t="s">
        <v>1757</v>
      </c>
      <c r="AP1" s="1" t="s">
        <v>1758</v>
      </c>
      <c r="AQ1" s="1" t="s">
        <v>1759</v>
      </c>
      <c r="AR1" s="1" t="s">
        <v>1760</v>
      </c>
      <c r="AS1" s="1" t="s">
        <v>1761</v>
      </c>
      <c r="AT1" s="1" t="s">
        <v>1762</v>
      </c>
      <c r="AU1" s="1" t="s">
        <v>1763</v>
      </c>
      <c r="AV1" s="1" t="s">
        <v>1764</v>
      </c>
      <c r="AW1" s="1" t="s">
        <v>1765</v>
      </c>
      <c r="AX1" s="1" t="s">
        <v>1766</v>
      </c>
      <c r="AY1" s="1" t="s">
        <v>1767</v>
      </c>
      <c r="AZ1" s="1" t="s">
        <v>1768</v>
      </c>
      <c r="BA1" s="1" t="s">
        <v>1769</v>
      </c>
      <c r="BB1" s="1" t="s">
        <v>1770</v>
      </c>
      <c r="BC1" s="1" t="s">
        <v>1771</v>
      </c>
      <c r="BD1" s="1" t="s">
        <v>1772</v>
      </c>
      <c r="BE1" s="1" t="s">
        <v>1773</v>
      </c>
      <c r="BF1" s="1" t="s">
        <v>1774</v>
      </c>
      <c r="BG1" s="1" t="s">
        <v>1775</v>
      </c>
      <c r="BH1" s="1" t="s">
        <v>1776</v>
      </c>
      <c r="BI1" s="1" t="s">
        <v>1777</v>
      </c>
      <c r="BJ1" s="1" t="s">
        <v>1778</v>
      </c>
      <c r="BK1" s="1" t="s">
        <v>1779</v>
      </c>
      <c r="BL1" s="1" t="s">
        <v>1780</v>
      </c>
      <c r="BM1" s="1" t="s">
        <v>1781</v>
      </c>
      <c r="BN1" s="4" t="s">
        <v>1782</v>
      </c>
      <c r="BO1" s="1" t="s">
        <v>1783</v>
      </c>
      <c r="BP1" s="4" t="s">
        <v>1784</v>
      </c>
      <c r="BQ1" s="4" t="s">
        <v>1785</v>
      </c>
      <c r="BR1" s="4" t="s">
        <v>1786</v>
      </c>
      <c r="BS1" s="1" t="s">
        <v>1787</v>
      </c>
      <c r="BT1" s="1" t="s">
        <v>1788</v>
      </c>
      <c r="BU1" s="1" t="s">
        <v>1789</v>
      </c>
      <c r="BV1" s="1" t="s">
        <v>1790</v>
      </c>
      <c r="BW1" s="1" t="s">
        <v>1791</v>
      </c>
      <c r="BX1" s="4" t="s">
        <v>1792</v>
      </c>
      <c r="BY1" s="4" t="s">
        <v>1793</v>
      </c>
      <c r="BZ1" s="4" t="s">
        <v>1794</v>
      </c>
      <c r="CA1" s="4" t="s">
        <v>1795</v>
      </c>
      <c r="CB1" s="4" t="s">
        <v>1796</v>
      </c>
      <c r="CC1" s="4" t="s">
        <v>1797</v>
      </c>
      <c r="CD1" s="4" t="s">
        <v>1798</v>
      </c>
      <c r="CE1" s="4" t="s">
        <v>1799</v>
      </c>
      <c r="CF1" s="4" t="s">
        <v>1800</v>
      </c>
      <c r="CG1" s="4" t="s">
        <v>1801</v>
      </c>
      <c r="CH1" t="s">
        <v>1802</v>
      </c>
      <c r="CI1" s="1" t="s">
        <v>17</v>
      </c>
      <c r="CJ1" s="1" t="s">
        <v>1803</v>
      </c>
      <c r="CK1" s="1" t="s">
        <v>1804</v>
      </c>
      <c r="CL1" s="4" t="s">
        <v>1805</v>
      </c>
      <c r="CM1" s="1" t="s">
        <v>1806</v>
      </c>
      <c r="CN1" s="1" t="s">
        <v>1807</v>
      </c>
      <c r="CO1" s="1" t="s">
        <v>1808</v>
      </c>
      <c r="CP1" s="1" t="s">
        <v>1809</v>
      </c>
      <c r="CQ1" s="1" t="s">
        <v>1810</v>
      </c>
      <c r="CR1" s="1" t="s">
        <v>1811</v>
      </c>
      <c r="CS1" s="1" t="s">
        <v>1812</v>
      </c>
      <c r="CT1" s="1" t="s">
        <v>1813</v>
      </c>
      <c r="CU1" s="1" t="s">
        <v>1814</v>
      </c>
      <c r="CV1" s="1" t="s">
        <v>1815</v>
      </c>
      <c r="CW1" s="1" t="s">
        <v>1816</v>
      </c>
      <c r="CX1" s="1" t="s">
        <v>1817</v>
      </c>
      <c r="CY1" s="1" t="s">
        <v>1818</v>
      </c>
      <c r="CZ1" s="1" t="s">
        <v>1819</v>
      </c>
      <c r="DA1" s="1" t="s">
        <v>1820</v>
      </c>
      <c r="DB1" s="1" t="s">
        <v>1821</v>
      </c>
      <c r="DC1" s="1" t="s">
        <v>1822</v>
      </c>
      <c r="DD1" s="1" t="s">
        <v>1823</v>
      </c>
      <c r="DE1" s="1" t="s">
        <v>1824</v>
      </c>
      <c r="DF1" s="1" t="s">
        <v>1825</v>
      </c>
      <c r="DG1" s="4" t="s">
        <v>1826</v>
      </c>
      <c r="DH1" s="4" t="s">
        <v>1827</v>
      </c>
      <c r="DI1" s="4" t="s">
        <v>1828</v>
      </c>
      <c r="DJ1" s="4" t="s">
        <v>1829</v>
      </c>
      <c r="DK1" s="392" t="s">
        <v>1830</v>
      </c>
      <c r="DL1" s="4" t="s">
        <v>1831</v>
      </c>
      <c r="DM1" s="4" t="s">
        <v>1832</v>
      </c>
      <c r="DN1" s="4" t="s">
        <v>1833</v>
      </c>
      <c r="DO1" s="4" t="s">
        <v>1834</v>
      </c>
      <c r="DP1" s="4" t="s">
        <v>1835</v>
      </c>
      <c r="DQ1" s="4" t="s">
        <v>1836</v>
      </c>
      <c r="DR1" s="4" t="s">
        <v>1837</v>
      </c>
      <c r="DS1" s="4" t="s">
        <v>1838</v>
      </c>
      <c r="DT1" s="4" t="s">
        <v>1839</v>
      </c>
      <c r="DU1" s="1" t="s">
        <v>1840</v>
      </c>
      <c r="DV1" s="4" t="s">
        <v>1841</v>
      </c>
      <c r="DW1" s="4" t="s">
        <v>1842</v>
      </c>
      <c r="DX1" s="4" t="s">
        <v>1843</v>
      </c>
      <c r="DY1" s="4" t="s">
        <v>1844</v>
      </c>
      <c r="DZ1" s="4" t="s">
        <v>1845</v>
      </c>
      <c r="EA1" s="1" t="s">
        <v>1846</v>
      </c>
      <c r="EB1" s="1" t="s">
        <v>1847</v>
      </c>
      <c r="EC1" s="1" t="s">
        <v>1848</v>
      </c>
      <c r="ED1" s="1" t="s">
        <v>1849</v>
      </c>
      <c r="EE1" s="4" t="s">
        <v>1850</v>
      </c>
      <c r="EF1" s="4" t="s">
        <v>1851</v>
      </c>
      <c r="EG1" s="4" t="s">
        <v>1852</v>
      </c>
      <c r="EH1" s="4" t="s">
        <v>1853</v>
      </c>
      <c r="EI1" s="4" t="s">
        <v>1854</v>
      </c>
      <c r="EJ1" s="4" t="s">
        <v>1855</v>
      </c>
      <c r="EK1" s="4" t="s">
        <v>1856</v>
      </c>
      <c r="EL1" s="4" t="s">
        <v>1857</v>
      </c>
      <c r="EM1" s="1" t="s">
        <v>1858</v>
      </c>
      <c r="EN1" s="4" t="s">
        <v>1859</v>
      </c>
      <c r="EO1" s="1" t="s">
        <v>1860</v>
      </c>
      <c r="EP1" s="1" t="s">
        <v>1861</v>
      </c>
      <c r="EQ1" s="1" t="s">
        <v>1862</v>
      </c>
      <c r="ER1" s="1" t="s">
        <v>1863</v>
      </c>
      <c r="ES1" s="1" t="s">
        <v>1864</v>
      </c>
      <c r="ET1" s="1" t="s">
        <v>1865</v>
      </c>
      <c r="EU1" s="1" t="s">
        <v>1866</v>
      </c>
      <c r="EV1" s="1" t="s">
        <v>1867</v>
      </c>
      <c r="EW1" s="1" t="s">
        <v>1868</v>
      </c>
      <c r="EX1" s="4" t="s">
        <v>1869</v>
      </c>
      <c r="EY1" s="5" t="s">
        <v>1870</v>
      </c>
      <c r="EZ1" s="1" t="s">
        <v>1871</v>
      </c>
      <c r="FA1" s="1" t="s">
        <v>1872</v>
      </c>
      <c r="FB1" s="4" t="s">
        <v>1873</v>
      </c>
      <c r="FC1" s="1" t="s">
        <v>1874</v>
      </c>
      <c r="FD1" s="1" t="s">
        <v>1875</v>
      </c>
      <c r="FE1" s="1" t="s">
        <v>1876</v>
      </c>
      <c r="FF1" s="1" t="s">
        <v>1877</v>
      </c>
      <c r="FG1" s="1" t="s">
        <v>1878</v>
      </c>
      <c r="FH1" s="1" t="s">
        <v>1879</v>
      </c>
      <c r="FI1" s="1" t="s">
        <v>1880</v>
      </c>
      <c r="FJ1" s="1" t="s">
        <v>1881</v>
      </c>
      <c r="FK1" s="4" t="s">
        <v>1882</v>
      </c>
      <c r="FL1" s="1" t="s">
        <v>1883</v>
      </c>
      <c r="FM1" s="1" t="s">
        <v>1884</v>
      </c>
      <c r="FN1" s="1" t="s">
        <v>1885</v>
      </c>
      <c r="FO1" s="1" t="s">
        <v>1886</v>
      </c>
      <c r="FP1" s="1" t="s">
        <v>1887</v>
      </c>
      <c r="FQ1" s="1" t="s">
        <v>1888</v>
      </c>
      <c r="FR1" s="1" t="s">
        <v>1889</v>
      </c>
      <c r="FS1" s="1" t="s">
        <v>1890</v>
      </c>
      <c r="FT1" s="1" t="s">
        <v>1891</v>
      </c>
      <c r="FU1" s="1" t="s">
        <v>1892</v>
      </c>
      <c r="FV1" s="392" t="s">
        <v>1893</v>
      </c>
      <c r="FW1" s="1" t="s">
        <v>1894</v>
      </c>
      <c r="FX1" s="1" t="s">
        <v>1895</v>
      </c>
      <c r="FY1" s="16" t="s">
        <v>1896</v>
      </c>
      <c r="FZ1" s="16" t="s">
        <v>1897</v>
      </c>
      <c r="GA1" s="1" t="s">
        <v>1898</v>
      </c>
      <c r="GB1" s="1" t="s">
        <v>1899</v>
      </c>
      <c r="GC1" s="4" t="s">
        <v>1900</v>
      </c>
      <c r="GD1" s="4" t="s">
        <v>1901</v>
      </c>
      <c r="GE1" s="1" t="s">
        <v>1902</v>
      </c>
      <c r="GF1" s="1" t="s">
        <v>1903</v>
      </c>
      <c r="GG1" s="1" t="s">
        <v>1904</v>
      </c>
      <c r="GH1" s="1" t="s">
        <v>1905</v>
      </c>
      <c r="GI1" s="1" t="s">
        <v>1906</v>
      </c>
      <c r="GJ1" s="1" t="s">
        <v>1907</v>
      </c>
      <c r="GK1" s="1" t="s">
        <v>1908</v>
      </c>
      <c r="GL1" s="1" t="s">
        <v>1909</v>
      </c>
      <c r="GM1" s="1" t="s">
        <v>1910</v>
      </c>
      <c r="GN1" s="1" t="s">
        <v>1911</v>
      </c>
      <c r="GO1" s="4" t="s">
        <v>1912</v>
      </c>
      <c r="GP1" s="1" t="s">
        <v>1913</v>
      </c>
      <c r="GQ1" s="1" t="s">
        <v>1914</v>
      </c>
      <c r="GR1" s="1" t="s">
        <v>1915</v>
      </c>
      <c r="GS1" s="1" t="s">
        <v>1916</v>
      </c>
      <c r="GT1" s="4" t="s">
        <v>1917</v>
      </c>
      <c r="GU1" s="1" t="s">
        <v>1918</v>
      </c>
      <c r="GV1" s="1" t="s">
        <v>1919</v>
      </c>
      <c r="GW1" s="1" t="s">
        <v>1920</v>
      </c>
      <c r="GX1" s="1" t="s">
        <v>1921</v>
      </c>
      <c r="GY1" s="1" t="s">
        <v>1922</v>
      </c>
      <c r="GZ1" s="1" t="s">
        <v>1923</v>
      </c>
      <c r="HA1" s="1" t="s">
        <v>1924</v>
      </c>
      <c r="HB1" s="1" t="s">
        <v>1925</v>
      </c>
      <c r="HC1" s="1" t="s">
        <v>1926</v>
      </c>
      <c r="HD1" s="1" t="s">
        <v>1927</v>
      </c>
      <c r="HE1" s="1" t="s">
        <v>1928</v>
      </c>
      <c r="HF1" s="1" t="s">
        <v>1929</v>
      </c>
      <c r="HG1" s="4" t="s">
        <v>1930</v>
      </c>
      <c r="HH1" s="4" t="s">
        <v>1931</v>
      </c>
      <c r="HI1" s="4" t="s">
        <v>1932</v>
      </c>
      <c r="HJ1" s="4" t="s">
        <v>1933</v>
      </c>
      <c r="HK1" s="4" t="s">
        <v>1934</v>
      </c>
      <c r="HL1" s="4" t="s">
        <v>1935</v>
      </c>
      <c r="HM1" s="4" t="s">
        <v>1936</v>
      </c>
      <c r="HN1" s="4" t="s">
        <v>1937</v>
      </c>
      <c r="HO1" s="4" t="s">
        <v>1938</v>
      </c>
      <c r="HP1" s="4" t="s">
        <v>1939</v>
      </c>
      <c r="HQ1" s="4" t="s">
        <v>1940</v>
      </c>
      <c r="HR1" s="4" t="s">
        <v>1941</v>
      </c>
      <c r="HS1" s="4" t="s">
        <v>1942</v>
      </c>
      <c r="HT1" s="4" t="s">
        <v>1943</v>
      </c>
      <c r="HU1" s="4" t="s">
        <v>1944</v>
      </c>
      <c r="HV1" s="4" t="s">
        <v>1945</v>
      </c>
      <c r="HW1" s="4" t="s">
        <v>1946</v>
      </c>
      <c r="HX1" s="4" t="s">
        <v>1947</v>
      </c>
      <c r="HY1" s="2" t="s">
        <v>1948</v>
      </c>
      <c r="HZ1" s="3" t="s">
        <v>1949</v>
      </c>
      <c r="IA1" s="1" t="s">
        <v>1950</v>
      </c>
      <c r="IB1" s="1" t="s">
        <v>1951</v>
      </c>
      <c r="IC1" s="1" t="s">
        <v>1952</v>
      </c>
      <c r="ID1" s="1" t="s">
        <v>1953</v>
      </c>
      <c r="IE1" s="1" t="s">
        <v>1954</v>
      </c>
      <c r="IF1" s="1" t="s">
        <v>1955</v>
      </c>
      <c r="IG1" s="1" t="s">
        <v>335</v>
      </c>
      <c r="IH1" s="5" t="s">
        <v>1956</v>
      </c>
      <c r="II1" s="1" t="s">
        <v>1957</v>
      </c>
      <c r="IJ1" s="1" t="s">
        <v>1958</v>
      </c>
      <c r="IK1" s="1" t="s">
        <v>1959</v>
      </c>
      <c r="IL1" s="1" t="s">
        <v>1960</v>
      </c>
      <c r="IM1" s="1" t="s">
        <v>1961</v>
      </c>
      <c r="IN1" s="4" t="s">
        <v>1962</v>
      </c>
      <c r="IO1" s="1" t="s">
        <v>1963</v>
      </c>
      <c r="IP1" s="1" t="s">
        <v>1964</v>
      </c>
      <c r="IQ1" s="1" t="s">
        <v>1965</v>
      </c>
      <c r="IR1" s="1" t="s">
        <v>1966</v>
      </c>
      <c r="IS1" s="1" t="s">
        <v>1967</v>
      </c>
      <c r="IT1" s="1" t="s">
        <v>1968</v>
      </c>
      <c r="IU1" s="1" t="s">
        <v>1969</v>
      </c>
      <c r="IV1" s="1" t="s">
        <v>1970</v>
      </c>
      <c r="IW1" s="1" t="s">
        <v>1971</v>
      </c>
      <c r="IX1" s="1" t="s">
        <v>1972</v>
      </c>
      <c r="IY1" s="1" t="s">
        <v>1973</v>
      </c>
      <c r="IZ1" s="1" t="s">
        <v>1974</v>
      </c>
      <c r="JA1" s="1" t="s">
        <v>1975</v>
      </c>
      <c r="JB1" s="6" t="s">
        <v>1976</v>
      </c>
      <c r="JC1" s="1" t="s">
        <v>1977</v>
      </c>
      <c r="JD1" s="1" t="s">
        <v>1978</v>
      </c>
      <c r="JE1" s="1" t="s">
        <v>1979</v>
      </c>
      <c r="JF1" s="1" t="s">
        <v>1980</v>
      </c>
      <c r="JG1" s="1" t="s">
        <v>1981</v>
      </c>
      <c r="JH1" s="1" t="s">
        <v>1982</v>
      </c>
      <c r="JI1" s="1" t="s">
        <v>1983</v>
      </c>
      <c r="JJ1" s="1" t="s">
        <v>1984</v>
      </c>
      <c r="JK1" s="4" t="s">
        <v>1985</v>
      </c>
      <c r="JL1" s="15" t="s">
        <v>1986</v>
      </c>
      <c r="JM1" s="1" t="s">
        <v>1987</v>
      </c>
      <c r="JN1" s="1" t="s">
        <v>1988</v>
      </c>
      <c r="JO1" s="1" t="s">
        <v>1989</v>
      </c>
      <c r="JP1" s="1" t="s">
        <v>1990</v>
      </c>
      <c r="JQ1" s="1" t="s">
        <v>1991</v>
      </c>
      <c r="JR1" s="1" t="s">
        <v>1992</v>
      </c>
      <c r="JS1" s="1" t="s">
        <v>1993</v>
      </c>
      <c r="JT1" s="1" t="s">
        <v>1994</v>
      </c>
      <c r="JU1" s="1" t="s">
        <v>1995</v>
      </c>
      <c r="JV1" s="1" t="s">
        <v>1996</v>
      </c>
      <c r="JW1" s="4" t="s">
        <v>1997</v>
      </c>
      <c r="JX1" s="1" t="s">
        <v>1998</v>
      </c>
      <c r="JY1" s="1" t="s">
        <v>1999</v>
      </c>
      <c r="JZ1" s="1" t="s">
        <v>2000</v>
      </c>
      <c r="KA1" s="1" t="s">
        <v>2001</v>
      </c>
      <c r="KB1" s="1" t="s">
        <v>2002</v>
      </c>
      <c r="KC1" s="1" t="s">
        <v>2003</v>
      </c>
      <c r="KD1" s="1" t="s">
        <v>2004</v>
      </c>
      <c r="KE1" s="1" t="s">
        <v>2005</v>
      </c>
      <c r="KF1" s="1" t="s">
        <v>2006</v>
      </c>
      <c r="KG1" s="1" t="s">
        <v>2007</v>
      </c>
      <c r="KH1" s="4" t="s">
        <v>2008</v>
      </c>
      <c r="KI1" s="4" t="s">
        <v>2009</v>
      </c>
      <c r="KJ1" s="3" t="s">
        <v>2010</v>
      </c>
      <c r="KK1" s="4" t="s">
        <v>2011</v>
      </c>
      <c r="KL1" s="4" t="s">
        <v>2012</v>
      </c>
      <c r="KM1" s="4" t="s">
        <v>2013</v>
      </c>
      <c r="KN1" s="4" t="s">
        <v>2014</v>
      </c>
      <c r="KO1" s="4" t="s">
        <v>2015</v>
      </c>
      <c r="KP1" s="4" t="s">
        <v>2016</v>
      </c>
      <c r="KQ1" s="4" t="s">
        <v>2017</v>
      </c>
      <c r="KR1" s="4" t="s">
        <v>2018</v>
      </c>
      <c r="KS1" s="4" t="s">
        <v>2019</v>
      </c>
      <c r="KT1" s="1" t="s">
        <v>2020</v>
      </c>
      <c r="KU1" s="1" t="s">
        <v>2021</v>
      </c>
      <c r="KV1" s="1" t="s">
        <v>2022</v>
      </c>
      <c r="KW1" s="1" t="s">
        <v>2023</v>
      </c>
      <c r="KX1" s="1" t="s">
        <v>2024</v>
      </c>
      <c r="KY1" s="1" t="s">
        <v>2025</v>
      </c>
      <c r="KZ1" s="1" t="s">
        <v>2026</v>
      </c>
      <c r="LA1" s="1" t="s">
        <v>2027</v>
      </c>
      <c r="LB1" s="1" t="s">
        <v>2028</v>
      </c>
      <c r="LC1" s="1" t="s">
        <v>2029</v>
      </c>
      <c r="LD1" s="1" t="s">
        <v>2030</v>
      </c>
      <c r="LE1" s="1" t="s">
        <v>2031</v>
      </c>
      <c r="LF1" s="1" t="s">
        <v>2032</v>
      </c>
      <c r="LG1" s="1" t="s">
        <v>2033</v>
      </c>
      <c r="LH1" s="1" t="s">
        <v>2034</v>
      </c>
      <c r="LI1" s="1" t="s">
        <v>2035</v>
      </c>
      <c r="LJ1" s="1" t="s">
        <v>2036</v>
      </c>
      <c r="LK1" s="1" t="s">
        <v>2037</v>
      </c>
      <c r="LL1" s="1" t="s">
        <v>2038</v>
      </c>
      <c r="LM1" s="1" t="s">
        <v>2039</v>
      </c>
      <c r="LN1" s="1" t="s">
        <v>2040</v>
      </c>
      <c r="LO1" s="1" t="s">
        <v>2041</v>
      </c>
      <c r="LP1" s="1" t="s">
        <v>2042</v>
      </c>
      <c r="LQ1" s="1" t="s">
        <v>2043</v>
      </c>
      <c r="LR1" s="1" t="s">
        <v>2044</v>
      </c>
      <c r="LS1" s="1" t="s">
        <v>2045</v>
      </c>
      <c r="LT1" s="1" t="s">
        <v>2046</v>
      </c>
      <c r="LU1" s="1" t="s">
        <v>2047</v>
      </c>
      <c r="LV1" s="1" t="s">
        <v>2048</v>
      </c>
      <c r="LW1" s="1" t="s">
        <v>2049</v>
      </c>
      <c r="LX1" s="1" t="s">
        <v>2050</v>
      </c>
      <c r="LY1" s="1" t="s">
        <v>2051</v>
      </c>
      <c r="LZ1" s="392" t="s">
        <v>2052</v>
      </c>
      <c r="MA1" s="1" t="s">
        <v>2053</v>
      </c>
      <c r="MB1" s="1" t="s">
        <v>2054</v>
      </c>
      <c r="MC1" s="1" t="s">
        <v>2055</v>
      </c>
      <c r="MD1" s="1" t="s">
        <v>2056</v>
      </c>
      <c r="ME1" s="1" t="s">
        <v>2057</v>
      </c>
      <c r="MF1" s="1" t="s">
        <v>2058</v>
      </c>
      <c r="MG1" s="1" t="s">
        <v>2059</v>
      </c>
    </row>
    <row r="2" spans="1:493" ht="93" customHeight="1" thickBot="1" x14ac:dyDescent="0.3">
      <c r="A2" s="232" t="s">
        <v>554</v>
      </c>
      <c r="B2" s="233" t="s">
        <v>278</v>
      </c>
      <c r="C2" s="233" t="s">
        <v>31</v>
      </c>
      <c r="D2" s="234" t="s">
        <v>582</v>
      </c>
      <c r="E2" s="233" t="s">
        <v>94</v>
      </c>
      <c r="F2" s="233" t="s">
        <v>21</v>
      </c>
      <c r="G2" s="233" t="s">
        <v>0</v>
      </c>
      <c r="H2" s="233" t="s">
        <v>1</v>
      </c>
      <c r="I2" s="233" t="s">
        <v>2</v>
      </c>
      <c r="J2" s="233" t="s">
        <v>3</v>
      </c>
      <c r="K2" s="233" t="s">
        <v>19</v>
      </c>
      <c r="L2" s="233" t="s">
        <v>20</v>
      </c>
      <c r="M2" s="233" t="s">
        <v>4</v>
      </c>
      <c r="N2" s="235" t="s">
        <v>5</v>
      </c>
      <c r="O2" s="233" t="s">
        <v>277</v>
      </c>
      <c r="P2" s="235" t="s">
        <v>42</v>
      </c>
      <c r="Q2" s="233" t="s">
        <v>562</v>
      </c>
      <c r="R2" s="236" t="s">
        <v>150</v>
      </c>
      <c r="S2" s="234" t="s">
        <v>28</v>
      </c>
      <c r="T2" s="234" t="s">
        <v>6</v>
      </c>
      <c r="U2" s="233" t="s">
        <v>127</v>
      </c>
      <c r="V2" s="234" t="s">
        <v>7</v>
      </c>
      <c r="W2" s="233" t="s">
        <v>48</v>
      </c>
      <c r="X2" s="233" t="s">
        <v>176</v>
      </c>
      <c r="Y2" s="233" t="s">
        <v>581</v>
      </c>
      <c r="Z2" s="237" t="s">
        <v>8</v>
      </c>
      <c r="AA2" s="234" t="s">
        <v>25</v>
      </c>
      <c r="AB2" s="233" t="s">
        <v>322</v>
      </c>
      <c r="AC2" s="234" t="s">
        <v>9</v>
      </c>
      <c r="AD2" s="237" t="s">
        <v>742</v>
      </c>
      <c r="AE2" s="234" t="s">
        <v>131</v>
      </c>
      <c r="AF2" s="234" t="s">
        <v>10</v>
      </c>
      <c r="AG2" s="234" t="s">
        <v>743</v>
      </c>
      <c r="AH2" s="234" t="s">
        <v>130</v>
      </c>
      <c r="AI2" s="233" t="s">
        <v>29</v>
      </c>
      <c r="AJ2" s="233" t="s">
        <v>324</v>
      </c>
      <c r="AK2" s="235" t="s">
        <v>49</v>
      </c>
      <c r="AL2" s="238" t="s">
        <v>435</v>
      </c>
      <c r="AM2" s="239" t="s">
        <v>763</v>
      </c>
      <c r="AN2" s="238" t="s">
        <v>745</v>
      </c>
      <c r="AO2" s="238" t="s">
        <v>744</v>
      </c>
      <c r="AP2" s="240" t="s">
        <v>762</v>
      </c>
      <c r="AQ2" s="238" t="s">
        <v>436</v>
      </c>
      <c r="AR2" s="238" t="s">
        <v>437</v>
      </c>
      <c r="AS2" s="238" t="s">
        <v>112</v>
      </c>
      <c r="AT2" s="238" t="s">
        <v>438</v>
      </c>
      <c r="AU2" s="238" t="s">
        <v>439</v>
      </c>
      <c r="AV2" s="238" t="s">
        <v>128</v>
      </c>
      <c r="AW2" s="238" t="s">
        <v>447</v>
      </c>
      <c r="AX2" s="238" t="s">
        <v>440</v>
      </c>
      <c r="AY2" s="238" t="s">
        <v>746</v>
      </c>
      <c r="AZ2" s="238" t="s">
        <v>441</v>
      </c>
      <c r="BA2" s="238" t="s">
        <v>442</v>
      </c>
      <c r="BB2" s="233" t="s">
        <v>771</v>
      </c>
      <c r="BC2" s="233" t="s">
        <v>765</v>
      </c>
      <c r="BD2" s="234" t="s">
        <v>133</v>
      </c>
      <c r="BE2" s="234" t="s">
        <v>134</v>
      </c>
      <c r="BF2" s="234" t="s">
        <v>135</v>
      </c>
      <c r="BG2" s="234" t="s">
        <v>136</v>
      </c>
      <c r="BH2" s="233" t="s">
        <v>146</v>
      </c>
      <c r="BI2" s="233" t="s">
        <v>327</v>
      </c>
      <c r="BJ2" s="233" t="s">
        <v>747</v>
      </c>
      <c r="BK2" s="234" t="s">
        <v>764</v>
      </c>
      <c r="BL2" s="233" t="s">
        <v>325</v>
      </c>
      <c r="BM2" s="233" t="s">
        <v>138</v>
      </c>
      <c r="BN2" s="234" t="s">
        <v>323</v>
      </c>
      <c r="BO2" s="285" t="s">
        <v>748</v>
      </c>
      <c r="BP2" s="233" t="s">
        <v>36</v>
      </c>
      <c r="BQ2" s="235" t="s">
        <v>34</v>
      </c>
      <c r="BR2" s="235" t="s">
        <v>52</v>
      </c>
      <c r="BS2" s="235" t="s">
        <v>11</v>
      </c>
      <c r="BT2" s="235" t="s">
        <v>12</v>
      </c>
      <c r="BU2" s="235" t="s">
        <v>13</v>
      </c>
      <c r="BV2" s="241" t="s">
        <v>755</v>
      </c>
      <c r="BW2" s="241" t="s">
        <v>50</v>
      </c>
      <c r="BX2" s="241" t="s">
        <v>51</v>
      </c>
      <c r="BY2" s="241" t="s">
        <v>756</v>
      </c>
      <c r="BZ2" s="241" t="s">
        <v>53</v>
      </c>
      <c r="CA2" s="241" t="s">
        <v>54</v>
      </c>
      <c r="CB2" s="242" t="s">
        <v>749</v>
      </c>
      <c r="CC2" s="242" t="s">
        <v>191</v>
      </c>
      <c r="CD2" s="242" t="s">
        <v>630</v>
      </c>
      <c r="CE2" s="242" t="s">
        <v>137</v>
      </c>
      <c r="CF2" s="234" t="s">
        <v>780</v>
      </c>
      <c r="CG2" s="233" t="s">
        <v>255</v>
      </c>
      <c r="CH2" s="233" t="s">
        <v>776</v>
      </c>
      <c r="CI2" s="235" t="s">
        <v>17</v>
      </c>
      <c r="CJ2" s="235" t="s">
        <v>779</v>
      </c>
      <c r="CK2" s="235" t="s">
        <v>783</v>
      </c>
      <c r="CL2" s="243" t="s">
        <v>790</v>
      </c>
      <c r="CM2" s="235" t="s">
        <v>774</v>
      </c>
      <c r="CN2" s="235" t="s">
        <v>773</v>
      </c>
      <c r="CO2" s="235" t="s">
        <v>775</v>
      </c>
      <c r="CP2" s="244" t="s">
        <v>784</v>
      </c>
      <c r="CQ2" s="235" t="s">
        <v>781</v>
      </c>
      <c r="CR2" s="234" t="s">
        <v>119</v>
      </c>
      <c r="CS2" s="234" t="s">
        <v>120</v>
      </c>
      <c r="CT2" s="235" t="s">
        <v>129</v>
      </c>
      <c r="CU2" s="233" t="s">
        <v>143</v>
      </c>
      <c r="CV2" s="234" t="s">
        <v>144</v>
      </c>
      <c r="CW2" s="235" t="s">
        <v>151</v>
      </c>
      <c r="CX2" s="234" t="s">
        <v>123</v>
      </c>
      <c r="CY2" s="234" t="s">
        <v>126</v>
      </c>
      <c r="CZ2" s="279" t="s">
        <v>782</v>
      </c>
      <c r="DA2" s="190" t="s">
        <v>791</v>
      </c>
      <c r="DB2" s="190" t="s">
        <v>792</v>
      </c>
      <c r="DC2" s="235" t="s">
        <v>785</v>
      </c>
      <c r="DD2" s="233" t="s">
        <v>320</v>
      </c>
      <c r="DE2" s="233" t="s">
        <v>321</v>
      </c>
      <c r="DF2" s="245" t="s">
        <v>55</v>
      </c>
      <c r="DG2" s="245" t="s">
        <v>56</v>
      </c>
      <c r="DH2" s="245" t="s">
        <v>57</v>
      </c>
      <c r="DI2" s="245" t="s">
        <v>58</v>
      </c>
      <c r="DJ2" s="245" t="s">
        <v>59</v>
      </c>
      <c r="DK2" s="245" t="s">
        <v>60</v>
      </c>
      <c r="DL2" s="245" t="s">
        <v>61</v>
      </c>
      <c r="DM2" s="245" t="s">
        <v>62</v>
      </c>
      <c r="DN2" s="245" t="s">
        <v>63</v>
      </c>
      <c r="DO2" s="245" t="s">
        <v>64</v>
      </c>
      <c r="DP2" s="245" t="s">
        <v>289</v>
      </c>
      <c r="DQ2" s="245" t="s">
        <v>560</v>
      </c>
      <c r="DR2" s="246" t="s">
        <v>636</v>
      </c>
      <c r="DS2" s="246" t="s">
        <v>623</v>
      </c>
      <c r="DT2" s="246" t="s">
        <v>750</v>
      </c>
      <c r="DU2" s="280" t="s">
        <v>631</v>
      </c>
      <c r="DV2" s="235" t="s">
        <v>44</v>
      </c>
      <c r="DW2" s="247" t="s">
        <v>22</v>
      </c>
      <c r="DX2" s="235" t="s">
        <v>290</v>
      </c>
      <c r="DY2" s="235" t="s">
        <v>256</v>
      </c>
      <c r="DZ2" s="235" t="s">
        <v>257</v>
      </c>
      <c r="EA2" s="235" t="s">
        <v>39</v>
      </c>
      <c r="EB2" s="235" t="s">
        <v>32</v>
      </c>
      <c r="EC2" s="235" t="s">
        <v>47</v>
      </c>
      <c r="ED2" s="235" t="s">
        <v>65</v>
      </c>
      <c r="EE2" s="248" t="s">
        <v>66</v>
      </c>
      <c r="EF2" s="248" t="s">
        <v>67</v>
      </c>
      <c r="EG2" s="234" t="s">
        <v>68</v>
      </c>
      <c r="EH2" s="234" t="s">
        <v>69</v>
      </c>
      <c r="EI2" s="236" t="s">
        <v>70</v>
      </c>
      <c r="EJ2" s="249" t="s">
        <v>314</v>
      </c>
      <c r="EK2" s="248" t="s">
        <v>114</v>
      </c>
      <c r="EL2" s="234" t="s">
        <v>113</v>
      </c>
      <c r="EM2" s="250" t="s">
        <v>772</v>
      </c>
      <c r="EN2" s="248" t="s">
        <v>71</v>
      </c>
      <c r="EO2" s="235" t="s">
        <v>72</v>
      </c>
      <c r="EP2" s="235" t="s">
        <v>115</v>
      </c>
      <c r="EQ2" s="235" t="s">
        <v>147</v>
      </c>
      <c r="ER2" s="251" t="s">
        <v>95</v>
      </c>
      <c r="ES2" s="233" t="s">
        <v>100</v>
      </c>
      <c r="ET2" s="235" t="s">
        <v>99</v>
      </c>
      <c r="EU2" s="235" t="s">
        <v>140</v>
      </c>
      <c r="EV2" s="251" t="s">
        <v>766</v>
      </c>
      <c r="EW2" s="233" t="s">
        <v>767</v>
      </c>
      <c r="EX2" s="236" t="s">
        <v>806</v>
      </c>
      <c r="EY2" s="235" t="s">
        <v>827</v>
      </c>
      <c r="EZ2" s="235" t="s">
        <v>828</v>
      </c>
      <c r="FA2" s="251" t="s">
        <v>332</v>
      </c>
      <c r="FB2" s="248" t="s">
        <v>132</v>
      </c>
      <c r="FC2" s="235" t="s">
        <v>149</v>
      </c>
      <c r="FD2" s="234" t="s">
        <v>101</v>
      </c>
      <c r="FE2" s="234" t="s">
        <v>102</v>
      </c>
      <c r="FF2" s="234" t="s">
        <v>103</v>
      </c>
      <c r="FG2" s="235" t="s">
        <v>98</v>
      </c>
      <c r="FH2" s="233" t="s">
        <v>104</v>
      </c>
      <c r="FI2" s="235" t="s">
        <v>122</v>
      </c>
      <c r="FJ2" s="252" t="s">
        <v>579</v>
      </c>
      <c r="FK2" s="248" t="s">
        <v>737</v>
      </c>
      <c r="FL2" s="235" t="s">
        <v>583</v>
      </c>
      <c r="FM2" s="252" t="s">
        <v>428</v>
      </c>
      <c r="FN2" s="234" t="s">
        <v>105</v>
      </c>
      <c r="FO2" s="235" t="s">
        <v>584</v>
      </c>
      <c r="FP2" s="253" t="s">
        <v>429</v>
      </c>
      <c r="FQ2" s="234" t="s">
        <v>106</v>
      </c>
      <c r="FR2" s="235" t="s">
        <v>585</v>
      </c>
      <c r="FS2" s="252" t="s">
        <v>430</v>
      </c>
      <c r="FT2" s="234" t="s">
        <v>107</v>
      </c>
      <c r="FU2" s="235" t="s">
        <v>586</v>
      </c>
      <c r="FV2" s="252" t="s">
        <v>73</v>
      </c>
      <c r="FW2" s="234" t="s">
        <v>74</v>
      </c>
      <c r="FX2" s="235" t="s">
        <v>75</v>
      </c>
      <c r="FY2" s="251" t="s">
        <v>580</v>
      </c>
      <c r="FZ2" s="254" t="s">
        <v>649</v>
      </c>
      <c r="GA2" s="235" t="s">
        <v>587</v>
      </c>
      <c r="GB2" s="251" t="s">
        <v>304</v>
      </c>
      <c r="GC2" s="236" t="s">
        <v>650</v>
      </c>
      <c r="GD2" s="235" t="s">
        <v>588</v>
      </c>
      <c r="GE2" s="251" t="s">
        <v>328</v>
      </c>
      <c r="GF2" s="233" t="s">
        <v>651</v>
      </c>
      <c r="GG2" s="235" t="s">
        <v>589</v>
      </c>
      <c r="GH2" s="251" t="s">
        <v>427</v>
      </c>
      <c r="GI2" s="233" t="s">
        <v>343</v>
      </c>
      <c r="GJ2" s="255" t="s">
        <v>306</v>
      </c>
      <c r="GK2" s="234" t="s">
        <v>307</v>
      </c>
      <c r="GL2" s="256" t="s">
        <v>308</v>
      </c>
      <c r="GM2" s="233" t="s">
        <v>309</v>
      </c>
      <c r="GN2" s="252" t="s">
        <v>76</v>
      </c>
      <c r="GO2" s="248" t="s">
        <v>77</v>
      </c>
      <c r="GP2" s="235" t="s">
        <v>141</v>
      </c>
      <c r="GQ2" s="252" t="s">
        <v>78</v>
      </c>
      <c r="GR2" s="252" t="s">
        <v>80</v>
      </c>
      <c r="GS2" s="235" t="s">
        <v>110</v>
      </c>
      <c r="GT2" s="248" t="s">
        <v>79</v>
      </c>
      <c r="GU2" s="235" t="s">
        <v>142</v>
      </c>
      <c r="GV2" s="235" t="s">
        <v>148</v>
      </c>
      <c r="GW2" s="233" t="s">
        <v>249</v>
      </c>
      <c r="GX2" s="234" t="s">
        <v>111</v>
      </c>
      <c r="GY2" s="233" t="s">
        <v>24</v>
      </c>
      <c r="GZ2" s="251" t="s">
        <v>590</v>
      </c>
      <c r="HA2" s="234" t="s">
        <v>591</v>
      </c>
      <c r="HB2" s="251" t="s">
        <v>592</v>
      </c>
      <c r="HC2" s="234" t="s">
        <v>593</v>
      </c>
      <c r="HD2" s="251" t="s">
        <v>594</v>
      </c>
      <c r="HE2" s="234" t="s">
        <v>595</v>
      </c>
      <c r="HF2" s="234" t="s">
        <v>576</v>
      </c>
      <c r="HG2" s="257" t="s">
        <v>284</v>
      </c>
      <c r="HH2" s="257" t="s">
        <v>344</v>
      </c>
      <c r="HI2" s="257" t="s">
        <v>340</v>
      </c>
      <c r="HJ2" s="257" t="s">
        <v>330</v>
      </c>
      <c r="HK2" s="257" t="s">
        <v>287</v>
      </c>
      <c r="HL2" s="257" t="s">
        <v>329</v>
      </c>
      <c r="HM2" s="257" t="s">
        <v>337</v>
      </c>
      <c r="HN2" s="257" t="s">
        <v>336</v>
      </c>
      <c r="HO2" s="258" t="s">
        <v>356</v>
      </c>
      <c r="HP2" s="234" t="s">
        <v>288</v>
      </c>
      <c r="HQ2" s="348" t="s">
        <v>787</v>
      </c>
      <c r="HR2" s="281" t="s">
        <v>788</v>
      </c>
      <c r="HS2" s="233" t="s">
        <v>544</v>
      </c>
      <c r="HT2" s="234" t="s">
        <v>259</v>
      </c>
      <c r="HU2" s="233" t="s">
        <v>545</v>
      </c>
      <c r="HV2" s="234" t="s">
        <v>258</v>
      </c>
      <c r="HW2" s="233" t="s">
        <v>546</v>
      </c>
      <c r="HX2" s="234" t="s">
        <v>264</v>
      </c>
      <c r="HY2" s="234" t="s">
        <v>33</v>
      </c>
      <c r="HZ2" s="235" t="s">
        <v>14</v>
      </c>
      <c r="IA2" s="233" t="s">
        <v>659</v>
      </c>
      <c r="IB2" s="259" t="s">
        <v>754</v>
      </c>
      <c r="IC2" s="233" t="s">
        <v>108</v>
      </c>
      <c r="ID2" s="234" t="s">
        <v>109</v>
      </c>
      <c r="IE2" s="235" t="s">
        <v>326</v>
      </c>
      <c r="IF2" s="233" t="s">
        <v>682</v>
      </c>
      <c r="IG2" s="235" t="s">
        <v>335</v>
      </c>
      <c r="IH2" s="260" t="s">
        <v>333</v>
      </c>
      <c r="II2" s="235" t="s">
        <v>334</v>
      </c>
      <c r="IJ2" s="261" t="s">
        <v>250</v>
      </c>
      <c r="IK2" s="262" t="s">
        <v>23</v>
      </c>
      <c r="IL2" s="262" t="s">
        <v>654</v>
      </c>
      <c r="IM2" s="262" t="s">
        <v>655</v>
      </c>
      <c r="IN2" s="351" t="s">
        <v>498</v>
      </c>
      <c r="IO2" s="262" t="s">
        <v>15</v>
      </c>
      <c r="IP2" s="235" t="s">
        <v>81</v>
      </c>
      <c r="IQ2" s="261" t="s">
        <v>152</v>
      </c>
      <c r="IR2" s="261" t="s">
        <v>417</v>
      </c>
      <c r="IS2" s="261" t="s">
        <v>16</v>
      </c>
      <c r="IT2" s="262" t="s">
        <v>596</v>
      </c>
      <c r="IU2" s="258" t="s">
        <v>316</v>
      </c>
      <c r="IV2" s="258" t="s">
        <v>318</v>
      </c>
      <c r="IW2" s="258" t="s">
        <v>317</v>
      </c>
      <c r="IX2" s="258" t="s">
        <v>641</v>
      </c>
      <c r="IY2" s="258" t="s">
        <v>642</v>
      </c>
      <c r="IZ2" s="258" t="s">
        <v>653</v>
      </c>
      <c r="JA2" s="261" t="s">
        <v>672</v>
      </c>
      <c r="JB2" s="263" t="s">
        <v>35</v>
      </c>
      <c r="JC2" s="263" t="s">
        <v>82</v>
      </c>
      <c r="JD2" s="264" t="s">
        <v>156</v>
      </c>
      <c r="JE2" s="235" t="s">
        <v>40</v>
      </c>
      <c r="JF2" s="264" t="s">
        <v>260</v>
      </c>
      <c r="JG2" s="263" t="s">
        <v>83</v>
      </c>
      <c r="JH2" s="263" t="s">
        <v>84</v>
      </c>
      <c r="JI2" s="263" t="s">
        <v>37</v>
      </c>
      <c r="JJ2" s="263" t="s">
        <v>38</v>
      </c>
      <c r="JK2" s="265" t="s">
        <v>116</v>
      </c>
      <c r="JL2" s="265" t="s">
        <v>96</v>
      </c>
      <c r="JM2" s="263" t="s">
        <v>85</v>
      </c>
      <c r="JN2" s="264" t="s">
        <v>155</v>
      </c>
      <c r="JO2" s="235" t="s">
        <v>86</v>
      </c>
      <c r="JP2" s="264" t="s">
        <v>261</v>
      </c>
      <c r="JQ2" s="263" t="s">
        <v>88</v>
      </c>
      <c r="JR2" s="263" t="s">
        <v>89</v>
      </c>
      <c r="JS2" s="263" t="s">
        <v>90</v>
      </c>
      <c r="JT2" s="263" t="s">
        <v>91</v>
      </c>
      <c r="JU2" s="263" t="s">
        <v>117</v>
      </c>
      <c r="JV2" s="263" t="s">
        <v>97</v>
      </c>
      <c r="JW2" s="265" t="s">
        <v>92</v>
      </c>
      <c r="JX2" s="235" t="s">
        <v>153</v>
      </c>
      <c r="JY2" s="234" t="s">
        <v>93</v>
      </c>
      <c r="JZ2" s="235" t="s">
        <v>154</v>
      </c>
      <c r="KA2" s="258" t="s">
        <v>416</v>
      </c>
      <c r="KB2" s="258" t="s">
        <v>354</v>
      </c>
      <c r="KC2" s="258" t="s">
        <v>355</v>
      </c>
      <c r="KD2" s="233" t="s">
        <v>313</v>
      </c>
      <c r="KE2" s="233" t="s">
        <v>251</v>
      </c>
      <c r="KF2" s="266" t="s">
        <v>551</v>
      </c>
      <c r="KG2" s="238" t="s">
        <v>552</v>
      </c>
      <c r="KH2" s="267" t="s">
        <v>345</v>
      </c>
      <c r="KI2" s="267" t="s">
        <v>338</v>
      </c>
      <c r="KJ2" s="268" t="s">
        <v>339</v>
      </c>
      <c r="KK2" s="267" t="s">
        <v>550</v>
      </c>
      <c r="KL2" s="267" t="s">
        <v>547</v>
      </c>
      <c r="KM2" s="267" t="s">
        <v>548</v>
      </c>
      <c r="KN2" s="267" t="s">
        <v>549</v>
      </c>
      <c r="KO2" s="269" t="s">
        <v>523</v>
      </c>
      <c r="KP2" s="269" t="s">
        <v>348</v>
      </c>
      <c r="KQ2" s="269" t="s">
        <v>350</v>
      </c>
      <c r="KR2" s="269" t="s">
        <v>524</v>
      </c>
      <c r="KS2" s="269" t="s">
        <v>347</v>
      </c>
      <c r="KT2" s="187" t="s">
        <v>265</v>
      </c>
      <c r="KU2" s="187" t="s">
        <v>263</v>
      </c>
      <c r="KV2" s="188" t="s">
        <v>262</v>
      </c>
      <c r="KW2" s="187" t="s">
        <v>293</v>
      </c>
      <c r="KX2" s="189" t="s">
        <v>267</v>
      </c>
      <c r="KY2" s="189" t="s">
        <v>268</v>
      </c>
      <c r="KZ2" s="188" t="s">
        <v>292</v>
      </c>
      <c r="LA2" s="189" t="s">
        <v>294</v>
      </c>
      <c r="LB2" s="187" t="s">
        <v>269</v>
      </c>
      <c r="LC2" s="187" t="s">
        <v>266</v>
      </c>
      <c r="LD2" s="188" t="s">
        <v>295</v>
      </c>
      <c r="LE2" s="187" t="s">
        <v>296</v>
      </c>
      <c r="LF2" s="189" t="s">
        <v>270</v>
      </c>
      <c r="LG2" s="189" t="s">
        <v>271</v>
      </c>
      <c r="LH2" s="188" t="s">
        <v>297</v>
      </c>
      <c r="LI2" s="189" t="s">
        <v>298</v>
      </c>
      <c r="LJ2" s="187" t="s">
        <v>272</v>
      </c>
      <c r="LK2" s="187" t="s">
        <v>273</v>
      </c>
      <c r="LL2" s="188" t="s">
        <v>299</v>
      </c>
      <c r="LM2" s="187" t="s">
        <v>300</v>
      </c>
      <c r="LN2" s="190" t="s">
        <v>291</v>
      </c>
      <c r="LO2" s="190" t="s">
        <v>274</v>
      </c>
      <c r="LP2" s="188" t="s">
        <v>301</v>
      </c>
      <c r="LQ2" s="190" t="s">
        <v>275</v>
      </c>
      <c r="LR2" s="187" t="s">
        <v>331</v>
      </c>
      <c r="LS2" s="187" t="s">
        <v>276</v>
      </c>
      <c r="LT2" s="188" t="s">
        <v>302</v>
      </c>
      <c r="LU2" s="187" t="s">
        <v>303</v>
      </c>
      <c r="LV2" s="190" t="s">
        <v>564</v>
      </c>
      <c r="LW2" s="190" t="s">
        <v>565</v>
      </c>
      <c r="LX2" s="188" t="s">
        <v>566</v>
      </c>
      <c r="LY2" s="190" t="s">
        <v>567</v>
      </c>
      <c r="LZ2" s="187" t="s">
        <v>568</v>
      </c>
      <c r="MA2" s="187" t="s">
        <v>569</v>
      </c>
      <c r="MB2" s="188" t="s">
        <v>570</v>
      </c>
      <c r="MC2" s="187" t="s">
        <v>571</v>
      </c>
      <c r="MD2" s="190" t="s">
        <v>572</v>
      </c>
      <c r="ME2" s="190" t="s">
        <v>573</v>
      </c>
      <c r="MF2" s="188" t="s">
        <v>574</v>
      </c>
      <c r="MG2" s="190" t="s">
        <v>575</v>
      </c>
      <c r="MH2" s="270" t="s">
        <v>253</v>
      </c>
      <c r="MI2" s="270" t="s">
        <v>351</v>
      </c>
      <c r="MJ2" s="270" t="s">
        <v>407</v>
      </c>
      <c r="MK2" s="270" t="s">
        <v>252</v>
      </c>
      <c r="ML2" s="270" t="s">
        <v>254</v>
      </c>
      <c r="MM2" s="270" t="s">
        <v>418</v>
      </c>
      <c r="MN2" s="270" t="s">
        <v>419</v>
      </c>
      <c r="MO2" s="270" t="s">
        <v>420</v>
      </c>
      <c r="MP2" s="270" t="s">
        <v>421</v>
      </c>
      <c r="MQ2" s="270" t="s">
        <v>422</v>
      </c>
      <c r="MR2" s="271" t="s">
        <v>423</v>
      </c>
      <c r="MS2" s="270" t="s">
        <v>279</v>
      </c>
      <c r="MT2" s="270" t="s">
        <v>769</v>
      </c>
      <c r="MU2" s="271" t="s">
        <v>280</v>
      </c>
      <c r="MV2" s="271" t="s">
        <v>281</v>
      </c>
      <c r="MW2" s="271" t="s">
        <v>282</v>
      </c>
      <c r="MX2" s="271" t="s">
        <v>341</v>
      </c>
      <c r="MY2" s="271" t="s">
        <v>342</v>
      </c>
      <c r="MZ2" s="271" t="s">
        <v>770</v>
      </c>
      <c r="NA2" s="271" t="s">
        <v>597</v>
      </c>
      <c r="NB2" s="271" t="s">
        <v>598</v>
      </c>
      <c r="NC2" s="271" t="s">
        <v>599</v>
      </c>
      <c r="ND2" s="270" t="s">
        <v>424</v>
      </c>
      <c r="NE2" s="270" t="s">
        <v>283</v>
      </c>
      <c r="NF2" s="270" t="s">
        <v>426</v>
      </c>
      <c r="NG2" s="270" t="s">
        <v>285</v>
      </c>
      <c r="NH2" s="270" t="s">
        <v>286</v>
      </c>
      <c r="NI2" s="270" t="s">
        <v>425</v>
      </c>
      <c r="NJ2" s="270" t="s">
        <v>403</v>
      </c>
      <c r="NK2" s="270" t="s">
        <v>404</v>
      </c>
      <c r="NL2" s="270" t="s">
        <v>315</v>
      </c>
      <c r="NM2" s="270" t="s">
        <v>310</v>
      </c>
      <c r="NN2" s="270" t="s">
        <v>311</v>
      </c>
      <c r="NO2" s="270" t="s">
        <v>312</v>
      </c>
      <c r="NP2" s="272" t="s">
        <v>739</v>
      </c>
      <c r="NQ2" s="272" t="s">
        <v>600</v>
      </c>
      <c r="NR2" s="272" t="s">
        <v>671</v>
      </c>
      <c r="NS2" s="272" t="s">
        <v>647</v>
      </c>
      <c r="NT2" s="272" t="s">
        <v>648</v>
      </c>
      <c r="NU2" s="272" t="s">
        <v>676</v>
      </c>
      <c r="NV2" s="272" t="s">
        <v>677</v>
      </c>
      <c r="NW2" s="272" t="s">
        <v>689</v>
      </c>
      <c r="NX2" s="272" t="s">
        <v>708</v>
      </c>
      <c r="NY2" s="273" t="s">
        <v>561</v>
      </c>
      <c r="NZ2" s="273" t="s">
        <v>777</v>
      </c>
      <c r="OA2" s="273" t="s">
        <v>778</v>
      </c>
      <c r="OB2" s="273">
        <v>10</v>
      </c>
      <c r="OC2" s="273">
        <v>11</v>
      </c>
      <c r="OD2" s="273">
        <v>12</v>
      </c>
      <c r="OE2" s="273">
        <v>13</v>
      </c>
      <c r="OF2" s="273">
        <v>14</v>
      </c>
      <c r="OG2" s="273">
        <v>15</v>
      </c>
      <c r="OH2" s="273">
        <v>16</v>
      </c>
      <c r="OI2" s="273">
        <v>17</v>
      </c>
      <c r="OJ2" s="273">
        <v>18</v>
      </c>
      <c r="OK2" s="273">
        <v>19</v>
      </c>
      <c r="OL2" s="273">
        <v>20</v>
      </c>
      <c r="OM2" s="273">
        <v>21</v>
      </c>
      <c r="ON2" s="273">
        <v>22</v>
      </c>
      <c r="OO2" s="273">
        <v>23</v>
      </c>
      <c r="OP2" s="273">
        <v>24</v>
      </c>
      <c r="OQ2" s="273">
        <v>25</v>
      </c>
      <c r="OR2" s="273">
        <v>26</v>
      </c>
      <c r="OS2" s="273">
        <v>27</v>
      </c>
      <c r="OT2" s="273">
        <v>28</v>
      </c>
      <c r="OU2" s="273">
        <v>29</v>
      </c>
      <c r="OV2" s="273">
        <v>30</v>
      </c>
      <c r="OW2" s="273">
        <v>31</v>
      </c>
      <c r="OX2" s="273">
        <v>32</v>
      </c>
      <c r="OY2" s="273">
        <v>33</v>
      </c>
      <c r="OZ2" s="273">
        <v>34</v>
      </c>
      <c r="PA2" s="273">
        <v>35</v>
      </c>
      <c r="PB2" s="273">
        <v>36</v>
      </c>
      <c r="PC2" s="273">
        <v>37</v>
      </c>
      <c r="PD2" s="273">
        <v>38</v>
      </c>
      <c r="PE2" s="273">
        <v>39</v>
      </c>
      <c r="PF2" s="273">
        <v>40</v>
      </c>
      <c r="PG2" s="273">
        <v>41</v>
      </c>
      <c r="PH2" s="273">
        <v>42</v>
      </c>
      <c r="PI2" s="274" t="s">
        <v>786</v>
      </c>
      <c r="PJ2" s="274" t="s">
        <v>778</v>
      </c>
      <c r="PK2" s="274">
        <v>10</v>
      </c>
      <c r="PL2" s="274">
        <v>11</v>
      </c>
      <c r="PM2" s="274">
        <v>12</v>
      </c>
      <c r="PN2" s="274">
        <v>13</v>
      </c>
      <c r="PO2" s="274">
        <v>14</v>
      </c>
      <c r="PP2" s="274">
        <v>15</v>
      </c>
      <c r="PQ2" s="274">
        <v>16</v>
      </c>
      <c r="PR2" s="274">
        <v>17</v>
      </c>
      <c r="PS2" s="274">
        <v>18</v>
      </c>
      <c r="PT2" s="274">
        <v>19</v>
      </c>
      <c r="PU2" s="274">
        <v>20</v>
      </c>
      <c r="PV2" s="274">
        <v>21</v>
      </c>
      <c r="PW2" s="274">
        <v>22</v>
      </c>
      <c r="PX2" s="274">
        <v>23</v>
      </c>
      <c r="PY2" s="274">
        <v>24</v>
      </c>
      <c r="PZ2" s="274">
        <v>25</v>
      </c>
      <c r="QA2" s="274">
        <v>26</v>
      </c>
      <c r="QB2" s="274">
        <v>27</v>
      </c>
      <c r="QC2" s="274">
        <v>28</v>
      </c>
      <c r="QD2" s="274">
        <v>29</v>
      </c>
      <c r="QE2" s="274">
        <v>30</v>
      </c>
      <c r="QF2" s="274">
        <v>31</v>
      </c>
      <c r="QG2" s="274">
        <v>32</v>
      </c>
      <c r="QH2" s="275">
        <v>33</v>
      </c>
      <c r="QI2" s="274">
        <v>34</v>
      </c>
      <c r="QJ2" s="274">
        <v>35</v>
      </c>
      <c r="QK2" s="274">
        <v>36</v>
      </c>
      <c r="QL2" s="274">
        <v>37</v>
      </c>
      <c r="QM2" s="274">
        <v>38</v>
      </c>
      <c r="QN2" s="274">
        <v>39</v>
      </c>
      <c r="QO2" s="274">
        <v>40</v>
      </c>
      <c r="QP2" s="274">
        <v>41</v>
      </c>
      <c r="QQ2" s="274">
        <v>42</v>
      </c>
      <c r="QR2" s="276" t="s">
        <v>786</v>
      </c>
      <c r="QS2" s="276" t="s">
        <v>778</v>
      </c>
      <c r="QT2" s="276">
        <v>13</v>
      </c>
      <c r="QU2" s="276">
        <v>14</v>
      </c>
      <c r="QV2" s="276">
        <v>15</v>
      </c>
      <c r="QW2" s="276">
        <v>16</v>
      </c>
      <c r="QX2" s="276">
        <v>17</v>
      </c>
      <c r="QY2" s="276">
        <v>18</v>
      </c>
      <c r="QZ2" s="276">
        <v>19</v>
      </c>
      <c r="RA2" s="276">
        <v>20</v>
      </c>
      <c r="RB2" s="276">
        <v>21</v>
      </c>
      <c r="RC2" s="276">
        <v>22</v>
      </c>
      <c r="RD2" s="276">
        <v>23</v>
      </c>
      <c r="RE2" s="276">
        <v>24</v>
      </c>
      <c r="RF2" s="276">
        <v>25</v>
      </c>
      <c r="RG2" s="276">
        <v>26</v>
      </c>
      <c r="RH2" s="276">
        <v>27</v>
      </c>
      <c r="RI2" s="276">
        <v>28</v>
      </c>
      <c r="RJ2" s="276">
        <v>29</v>
      </c>
      <c r="RK2" s="276">
        <v>30</v>
      </c>
      <c r="RL2" s="276">
        <v>31</v>
      </c>
      <c r="RM2" s="276">
        <v>32</v>
      </c>
      <c r="RN2" s="277">
        <v>33</v>
      </c>
      <c r="RO2" s="276">
        <v>34</v>
      </c>
      <c r="RP2" s="276">
        <v>35</v>
      </c>
      <c r="RQ2" s="276">
        <v>36</v>
      </c>
      <c r="RR2" s="276">
        <v>37</v>
      </c>
      <c r="RS2" s="276">
        <v>38</v>
      </c>
      <c r="RT2" s="276">
        <v>39</v>
      </c>
      <c r="RU2" s="276" t="s">
        <v>802</v>
      </c>
      <c r="RV2" s="278" t="s">
        <v>803</v>
      </c>
      <c r="RW2" s="282" t="s">
        <v>804</v>
      </c>
      <c r="RX2" s="21" t="s">
        <v>841</v>
      </c>
      <c r="RY2" s="21" t="s">
        <v>842</v>
      </c>
    </row>
    <row r="3" spans="1:493" ht="24.6" customHeight="1" x14ac:dyDescent="0.25">
      <c r="A3" s="208" t="s">
        <v>736</v>
      </c>
      <c r="B3" s="81"/>
      <c r="C3" s="81"/>
      <c r="D3" s="208"/>
      <c r="E3" s="81"/>
      <c r="F3" s="81"/>
      <c r="G3" s="81"/>
      <c r="H3" s="81"/>
      <c r="I3" s="209"/>
      <c r="J3" s="210"/>
      <c r="K3" s="81"/>
      <c r="L3" s="211"/>
      <c r="M3" s="212"/>
      <c r="N3" s="213" t="str">
        <f t="shared" ref="N3:N66" ca="1" si="0">IF(M3&gt;0,SUM(TODAY()-M3)/365,"")</f>
        <v/>
      </c>
      <c r="O3" s="212"/>
      <c r="P3" s="214" t="str">
        <f t="shared" ref="P3:P34" si="1">IF(AND(O3="",R3&gt;0),"ACUDE ESPONTANEAMENTE",IF(AND(AND(O3&gt;0,R3=""),OR(IN3&gt;0,IK3&lt;&gt;"")),"NA",IF(AND(O3&gt;0,IN3="",R3=""),"NO",IF(AND(O3&gt;0,R3&gt;0),"SI",""))))</f>
        <v/>
      </c>
      <c r="Q3" s="215"/>
      <c r="R3" s="212"/>
      <c r="S3" s="216"/>
      <c r="T3" s="217"/>
      <c r="U3" s="216"/>
      <c r="V3" s="216"/>
      <c r="W3" s="216"/>
      <c r="X3" s="216"/>
      <c r="Y3" s="216"/>
      <c r="Z3" s="216"/>
      <c r="AA3" s="216"/>
      <c r="AB3" s="218"/>
      <c r="AC3" s="215"/>
      <c r="AD3" s="186"/>
      <c r="AE3" s="215"/>
      <c r="AF3" s="215"/>
      <c r="AG3" s="219"/>
      <c r="AH3" s="219"/>
      <c r="AI3" s="217"/>
      <c r="AJ3" s="219"/>
      <c r="AK3" s="220" t="str">
        <f>IF(AND(AD3="",AE3="",AF3="",AG3="",AH3="",AI3="",AJ3=""),"",IF(OR(Tabla1[[#This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EVALUACIÓN",IF(AND(O3="",R3=""),"",IF(AND(OR(O3&gt;0,R3&gt;0),NG3&gt;=0,NG3&lt;2),"SIN RIESGO",IF(AND(OR(O3&gt;0,R3&gt;0),NG3&gt;=2),"CON RIESGO","ASD")))))</f>
        <v/>
      </c>
      <c r="AL3" s="219"/>
      <c r="AM3" s="215"/>
      <c r="AN3" s="215"/>
      <c r="AO3" s="215"/>
      <c r="AP3" s="215"/>
      <c r="AQ3" s="215"/>
      <c r="AR3" s="215"/>
      <c r="AS3" s="216"/>
      <c r="AT3" s="216"/>
      <c r="AU3" s="216"/>
      <c r="AV3" s="215"/>
      <c r="AW3" s="216"/>
      <c r="AX3" s="215"/>
      <c r="AY3" s="215"/>
      <c r="AZ3" s="215"/>
      <c r="BA3" s="215"/>
      <c r="BB3" s="215"/>
      <c r="BC3" s="215"/>
      <c r="BD3" s="215"/>
      <c r="BE3" s="221"/>
      <c r="BF3" s="215"/>
      <c r="BG3" s="215"/>
      <c r="BH3" s="215"/>
      <c r="BI3" s="215"/>
      <c r="BJ3" s="215"/>
      <c r="BK3" s="215"/>
      <c r="BL3" s="215"/>
      <c r="BM3" s="215"/>
      <c r="BN3" s="212"/>
      <c r="BO3" s="22"/>
      <c r="BP3" s="216"/>
      <c r="BQ3" s="222" t="str">
        <f t="shared" ref="BQ3:BQ66" si="2">IF(OR(BN3="SD",RW3=""),"",IF(BN3="",0,SUM(RW3-BN3)/30))</f>
        <v/>
      </c>
      <c r="BR3" s="223" t="str">
        <f t="shared" ref="BR3:BR66" si="3">IF(BX3&gt;0,SUM(BW3-NH3),"")</f>
        <v/>
      </c>
      <c r="BS3" s="224" t="str">
        <f t="shared" ref="BS3:BS66" si="4">IF(AND(BP3="Corregida",BO3&gt;0,R3&gt;0,ISBLANK(BX3)),"SIN SEMANAS X ECO",IF(AND(BP3="Corregida",BO3&gt;0,R3&gt;0),SUM(R3-BR3)/7,IF(AND(OR(BP3="SI",BP3="NO"),BO3&gt;0,R3&gt;0),SUM(R3-BO3)/7,"")))</f>
        <v/>
      </c>
      <c r="BT3" s="216" t="str">
        <f t="shared" ref="BT3:BT66" si="5">IF(AND(BS3="",IG3=""),"",IF(AND(BS3="",IG3="DEFINIR FPP POR ECO"),"SIN DATO",IF(BS3&lt;0,"ERROR FUM O INGRESO O ECO",IF(BP3="NO","DEFINIR CON ECO",IF(BS3&lt;10,"I TRIM",IF(BS3&lt;27,"II TRIM",IF(AND(BS3&gt;26,BS3&lt;45),"III TRIM","ERROR FUM O INGRESO O ECO")))))))</f>
        <v/>
      </c>
      <c r="BU3" s="214" t="str">
        <f t="shared" ref="BU3:BU66" ca="1" si="6">IF(AND(BO3="",BR3=""),"",IF(SUM((TODAY()-RW3)/7)&gt;43.1,"",IF(AND(RW3&gt;0,OR(BP3="si",BP3="Corregida",BP3="NO")),SUM((TODAY()-RW3)/7),"")))</f>
        <v/>
      </c>
      <c r="BV3" s="214"/>
      <c r="BW3" s="212"/>
      <c r="BX3" s="222"/>
      <c r="BY3" s="222"/>
      <c r="BZ3" s="212"/>
      <c r="CA3" s="216"/>
      <c r="CB3" s="215"/>
      <c r="CC3" s="215"/>
      <c r="CD3" s="215"/>
      <c r="CE3" s="215"/>
      <c r="CF3" s="212"/>
      <c r="CG3" s="216"/>
      <c r="CH3" s="216"/>
      <c r="CI3" s="214" t="str">
        <f t="shared" ref="CI3:CI66" si="7">IF(AND(OR(O3&gt;0,R3&gt;0),CG3=""),"SD",IF(AND(OR(O3="",R3=""),CG3=""),"",IF(AND(OR(O3&gt;0,R3&gt;0),CG3&gt;0,CH3&gt;0),SUM(CH3)/(CG3*CG3),"X")))</f>
        <v/>
      </c>
      <c r="CJ3" s="225" t="str">
        <f>IF(AND(CI3&lt;10,CH3="SD"),"SIN DATO PESO PREGESTACION O I TRIM",IF(AND(OR(R3&gt;0,O3&gt;0),CI3="X"),"INGRESAR DATO DE PESO",IF(CI3="SD","INGRESAR DATO DE TALLA Y PESO",IF(AND(OR(Tabla1[[#This Row],[MOMENTO EN QUE SE REALIZA EL PESO AL INGRESO A CPN]]="PREGESTACIÓN",NZ3="Menor"),CI3&lt;18.5),"BAJO PESO",IF(AND(OR(Tabla1[[#This Row],[MOMENTO EN QUE SE REALIZA EL PESO AL INGRESO A CPN]]="PREGESTACIÓN",NZ3="Menor"),CI3&lt;25),"NORMAL",IF(AND(OR(Tabla1[[#This Row],[MOMENTO EN QUE SE REALIZA EL PESO AL INGRESO A CPN]]="PREGESTACIÓN",NZ3="Menor"),CI3&lt;30),"SOBREPESO",IF(AND(OR(Tabla1[[#This Row],[MOMENTO EN QUE SE REALIZA EL PESO AL INGRESO A CPN]]="PREGESTACIÓN",NZ3="Menor"),CI3&gt;=30,CI3&lt;50),"OBESIDAD",IF(AND(BS3&gt;0,Tabla1[[#This Row],[MOMENTO EN QUE SE REALIZA EL PESO AL INGRESO A CPN]]="GESTACIÓN"),HLOOKUP(NZ3,$OA$2:PH3,NY3),""))))))))</f>
        <v/>
      </c>
      <c r="CK3" s="212" t="str">
        <f t="shared" ref="CK3:CK66" si="8">DY3</f>
        <v/>
      </c>
      <c r="CL3" s="216"/>
      <c r="CM3" s="214" t="str">
        <f t="shared" ref="CM3:CM66" si="9">IF(AND(OR(O3&gt;0,R3&gt;0),CG3=""),"SD",IF(AND(OR(O3="",R3=""),CG3=""),"",IF(AND(OR(O3&gt;0,R3&gt;0),CG3&gt;0),SUM(CL3)/(CG3*CG3),"X")))</f>
        <v/>
      </c>
      <c r="CN3" s="216" t="str">
        <f t="shared" ref="CN3:CN66" si="10">DZ3</f>
        <v/>
      </c>
      <c r="CO3" s="216" t="str">
        <f>IF(PI3="","",IF(PI3&gt;0,HLOOKUP(PI3,$PJ$2:QQ3,NY3),""))</f>
        <v/>
      </c>
      <c r="CP3" s="216"/>
      <c r="CQ3" s="216" t="str">
        <f>IF(QR3="Menor","NO APLICA-MENOR 13 SEM",IF(AND(CC3="SI",CN3&gt;23),"NO APLICA- GEMELAR",IF(QR3="","",IF(QR3&gt;0,HLOOKUP(QR3,$QS$2:RU3,NY3),""))))</f>
        <v/>
      </c>
      <c r="CR3" s="21"/>
      <c r="CS3" s="21"/>
      <c r="CT3" s="217" t="str">
        <f>IF(R3="","",IF(AND(BS3&gt;1,BS3&lt;12,Tabla1[[#This Row],[T.A. SISTOLICA - ANTES DE SEMANA 12]]="",Tabla1[[#This Row],[T.A. DIASTOLICA - ANTES DE SEMANA 12]]=""),"REGISTRE DATO TA ANTES SEMANA 12",IF(AND(BS3&gt;11,BS3&lt;43,Tabla1[[#This Row],[T.A. SISTOLICA - ANTES DE SEMANA 12]]="",Tabla1[[#This Row],[T.A. DIASTOLICA - ANTES DE SEMANA 12]]=""),"NO APLICA REGISTRO TA-INGRESO TARDIO",IF(AND(OR(O3&gt;0,R3&gt;0),OR(CR3&gt;=140,CS3&gt;=90)),"DEFINIR ESTADIO HTA",IF(AND(OR(O3&gt;0,R3&gt;0),AND(CR3&gt;120,CR3&lt;=139)),"PRE HTA SEGUIMIENTO",IF(AND(OR(O3&gt;0,R3&gt;0),AND(CS3&gt;80,CS3&lt;=89)),"PRE HTA SEGUIMIENTO",IF(AND(OR(O3&gt;0,R3&gt;0),AND(CR3&gt;=80,CR3&lt;=120)),"APARENTEMENTE NORMAL",IF(AND(OR(O3&gt;0,R3&gt;0),AND(CS3&gt;=50,CS3&lt;=80)),"APARENTEMENTE NORMAL",IF(AND(OR(O3&gt;0,R3&gt;0),AND(CR3&gt;1,CR3&lt;=70),AND(CS3&gt;1,CS3&lt;=40)),"HIPOTENSIÓN","")))))))))</f>
        <v/>
      </c>
      <c r="CU3" s="21"/>
      <c r="CV3" s="21"/>
      <c r="CW3" s="217" t="str">
        <f>IF(R3="","",IF(AND(CN3&gt;19,CN3&lt;27,Tabla1[[#This Row],[T.A. SISTOLICA (Entre semana 20 y 26)]]="",Tabla1[[#This Row],[T.A. DIATOLICA (Entre semana 20 y 26)]]=""),"ACUDE A CONTROL SEM 20 A 26 REGISTRE TA AHORA",IF(AND(BS3&gt;1,BS3&lt;27,BU3&gt;19,Tabla1[[#This Row],[T.A. SISTOLICA (Entre semana 20 y 26)]]="",Tabla1[[#This Row],[T.A. DIATOLICA (Entre semana 20 y 26)]]=""),"COMPLETE REGISTRO TA CONTROL SEM 20 A26 ",IF(AND(BS3&gt;26,BS3&lt;43,Tabla1[[#This Row],[T.A. SISTOLICA (Entre semana 20 y 26)]]="",Tabla1[[#This Row],[T.A. DIATOLICA (Entre semana 20 y 26)]]=""),"NO APLICA REGISTRO TA-INGRESO TARDIO",IF(AND(OR(O3&gt;0,R3&gt;0),OR(CU3&gt;=140,CV3&gt;=90)),"ALTO RIESGO PREECLAMPSIA,DEFINIR ESTADIO HTA",IF(AND(OR(O3&gt;0,R3&gt;0),AND(CU3&gt;120,CU3&lt;=139)),"PRE HTA SEGUIMIENTO,RIESGO HIPERTENSION INDUCIDA POR EL EMBARAZO",IF(AND(OR(O3&gt;0,R3&gt;0),AND(CV3&gt;80,CV3&lt;=89)),"PRE HTA SEGUIMIENTO, RIESGO HIPERTENSION INDUCIDA POR EL EMBARAZO",IF(AND(OR(O3&lt;&gt;"",R3&lt;&gt;""),CS3&lt;&gt;"",CV3&lt;&gt;"",CS3&lt;=CV3),"VIGILAR CIFRAS PRESION ARTERIAL",IF(AND(OR(O3&gt;0,R3&gt;0),AND(CU3&gt;120,CU3&lt;=139)),"PRE HTA SEGUIMIENTO",IF(AND(OR(O3&gt;0,R3&gt;0),AND(CU3&gt;1,CU3&lt;=70),AND(CV3&gt;1,CV3&lt;=40)),"HIPOTENSIÓN",IF(AND(OR(O3&lt;&gt;"",R3&lt;&gt;""),CS3&lt;&gt;"",CV3&lt;&gt;"",CS3&gt;CV3),"APARENTEMENTE NORMAL",IF(AND(OR(O3&gt;0,R3&gt;0),AND(CU3&gt;=80,CU3&lt;=120)),"APARENTEMENTE NORMAL",IF(AND(OR(O3&gt;0,R3&gt;0),AND(CV3&gt;=50,CV3&lt;=80)),"APARENTEMENTE NORMAL","")))))))))))))</f>
        <v/>
      </c>
      <c r="CX3" s="216"/>
      <c r="CY3" s="216"/>
      <c r="CZ3" s="216" t="str">
        <f t="shared" ref="CZ3:CZ34" si="11">IF(R3="","",IF(AND(CN3&gt;31,CN3&lt;35,CX3="",CY3=""),"ACUDE A CONTROL SEM 30 A 34- REGISTRE AHORA",IF(AND(BS3&gt;34,BS3&lt;43,CX4="",CY4=""),"NO APLICA-INGRESO TARDIO",IF(AND(OR(O3&gt;0,R3&gt;0),OR(CX3&gt;=140,CY3&gt;=90)),"ESTUDIO INMEDIATO HTA PARA DESCARTAR PREECLAMSIA",IF(AND(OR(O3&gt;0,R3&gt;0),AND(CX3&gt;=130,CX3&lt;=139)),"PRE HTA,RIESGO ALTO PREECLAMPSIA",IF(AND(OR(O3&gt;0,R3&gt;0),AND(CY3&gt;80,CY3&lt;=89)),"PRE HTA,RIESGO ALTO PREECLAMPSIA",IF(AND(OR(O3&gt;0,R3&gt;0),AND(CX3&gt;120,CX3&lt;=129)),"RANGO PREHIPERTENSIVO SEGUIMIENTO HTA",IF(AND(OR(O3&lt;&gt;"",R3&lt;&gt;""),CS3&lt;&gt;"",CY3&lt;&gt;"",CS3&lt;CY3),"VIGILAR CIFRAS PRESION ARTERIAL",IF(AND(OR(O3&lt;&gt;"",R3&lt;&gt;""),CS3&lt;&gt;"",CY3&lt;&gt;"",CS3=CY3),"APARENTEMENTE NORMAL",IF(AND(OR(O3&gt;0,R3&gt;0),CX3&gt;=80,CX3&lt;=120),"APARENTEMENTE NORMAL",IF(AND(OR(O3&gt;0,R3&gt;0),CY3&gt;=50,CY3&lt;=80),"APARENTEMENTE NORMAL","")))))))))))</f>
        <v/>
      </c>
      <c r="DA3" s="216"/>
      <c r="DB3" s="216"/>
      <c r="DC3" s="217" t="str">
        <f t="shared" ref="DC3:DC66" si="12">IF(AND(R3="",DA3="",DB3=""),"",IF(AND(R3&lt;&gt;"",DA3="",DB3=""),"REGISTRE DATO PRESIÓN ARTERIAL MENSUAL",IF(AND(OR(O3&gt;0,R3&gt;0),OR(DA3&gt;=140,DB3&gt;=90)),"ESTUDIO INMEDIATO HTA PARA DESCARTAR PREECLAMSIA",IF(AND(OR(O3&gt;0,R3&gt;0),AND(DA3&gt;=130,DA3&lt;=139)),"PRE HTA,RIESGO ALTO PREECLAMPSIA",IF(AND(OR(O3&gt;0,R3&gt;0),AND(DB3&gt;80,DB3&lt;=89)),"PRE HTA,RIESGO ALTO PREECLAMPSIA",IF(AND(OR(O3&gt;0,R3&gt;0),AND(DA3&gt;120,DA3&lt;=129)),"RANGO PREHIPERTENSIVO SEGUIMIENTO HTA",IF(AND(CN3&gt;34,CN3&lt;43,OR(O3&lt;&gt;"",R3&lt;&gt;""),CS3&lt;&gt;"",CY3&lt;&gt;"",DB3&lt;&gt;"",OR(CS3&lt;DB3,CS3&lt;CY3)),"VIGILAR CIFRAS PRESION ARTERIAL",IF(AND(CN3&gt;34,CN3&lt;43,OR(O3&lt;&gt;"",R3&lt;&gt;""),CR3="",CS3="",OR(CY3&lt;DB3,CX3&lt;DA3)),"VIGILAR CIFRAS PRESION ARTERIAL",IF(AND(CN3&gt;34,CN3&lt;43,OR(O3&lt;&gt;"",R3&lt;&gt;""),CS3&lt;&gt;"",CY3&lt;&gt;"",DB3&lt;&gt;"",OR(CS3=DB3,CS3=CY3)),"APARENTEMENTE NORMAL",IF(AND(OR(O3&gt;0,R3&gt;0),AND(DA3&gt;=80,DA3&lt;=120)),"APARENTEMENTE NORMAL",IF(AND(CN3&gt;34,CN3&lt;43,OR(O3&gt;0,R3&gt;0),AND(DB3&gt;=50,DB3&lt;=80)),"APARENTEMENTE NORMAL","")))))))))))</f>
        <v/>
      </c>
      <c r="DD3" s="212"/>
      <c r="DE3" s="212"/>
      <c r="DF3" s="212"/>
      <c r="DG3" s="212"/>
      <c r="DH3" s="212"/>
      <c r="DI3" s="212"/>
      <c r="DJ3" s="212"/>
      <c r="DK3" s="212"/>
      <c r="DL3" s="212"/>
      <c r="DM3" s="212"/>
      <c r="DN3" s="212"/>
      <c r="DO3" s="212"/>
      <c r="DP3" s="212"/>
      <c r="DQ3" s="212"/>
      <c r="DR3" s="222"/>
      <c r="DS3" s="212"/>
      <c r="DT3" s="212"/>
      <c r="DU3" s="216" t="str">
        <f t="shared" ref="DU3:DU34" si="13">IF(AND(BT3="ERROR FUM O INGRESO",DS3&gt;0),"ERROR FUM O INGRESO",IF(AND(DS3="",R3="",O3=""),"",IF(OR(AND(DS3&lt;&gt;"",DS3&lt;RW3),AND(DS3&lt;&gt;"",AND(SUM((DS3-RW3)/7)&gt;0,SUM((DS3-RW3)/7)&lt;28))),"PLAN REALIZADO ANTES III TRIM", IF(AND(DS3="",OR(O3&gt;0,R3&gt;0),AND(BU3&gt;=28, BU3&lt;35,DV3="ACTIVA INGRESO A CPN")),"PLANEAR PLAN DE PARTO", IF(AND(DS3="",OR(O3&gt;0,R3&gt;0),BU3&gt;=35,DV3="ACTIVA INGRESO A CPN"),"CONCERTAR PLAN DE PARTO INMEDIATO", IF(AND(DS3="",OR(O3&gt;0,R3&gt;0),AND(BU3&gt;0, BU3&lt;28),OR(DV3="ACTIVA INGRESO A CPN", DV3=" ACTIVA SIN INGRESO CPN")),"EN ESPERA", IF(AND(DS3="",OR(O3&gt;0,R3&gt;0),AND(IP3&gt;0, IP3&lt;28)),"NO APLICA SALE PROGRAMA ANTES III TRIM", IF(AND(DS3="",OR(O3&gt;0,R3&gt;0),AND(IP3&gt;=28, IP3&lt;35)),"SALE PROGRAMA ANTES SEMANA 35", IF(AND(DS3="",OR(O3&gt;0,R3&gt;0),IP3&gt;35),"SALE SIN PLAN DE PARTO",IF(DS3&gt;0,SUM(DS3-BO3)/7,""))))))))))</f>
        <v/>
      </c>
      <c r="DV3" s="226" t="str">
        <f t="shared" ref="DV3:DV34" si="14">IF(AND(R3&lt;&gt;"",IK3="CAMBIO DE RESIDENCIA",IK3="CAMBIO DE IPS",IK3="CAMBIO DE EPS"),"SEGUIMIENTO REPORTE EPS",IF(IK3="IVE","IVE",IF(AND(R3&lt;&gt;"",OR(IK3&lt;&gt;"",IN3&lt;&gt;"")),"SALIO PROGRAMA",IF(AND(AND(R3="",O3&gt;0),OR(IK3&lt;&gt;"",IN3&lt;&gt;"")),"SALE SIN INGRESO CPN",IF(AND(R3="",O3&gt;0,IK3="",IN3=""),"ACTIVA SIN INGRESO CPN",IF(AND(R3&lt;&gt;"",OR(IK3="",IN3="")),"ACTIVA INGRESO A CPN",""))))))</f>
        <v/>
      </c>
      <c r="DW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3" s="216" t="str">
        <f t="shared" ref="DX3:DX66" ca="1" si="15">IF(NI3="SD","",IF(AND(NI3&lt;=33,NI3&gt;=8),"MES DE CONTROL",IF(AND(NI3&gt;=1,NI3&lt;8),"SEMANA DE CONTROL",IF(NI3=0,"DIA DE CONTROL",IF(NI3&lt;0,"INASISTENTE",IF(NI3="Y","SEGUIMIENTO FUERA MUNICIPIO",IF(NI3="Z","BUSCAR PARA INGRESO A CPN",IF(NI3="W","DEFINIR FECHA CITA",IF(NI3="X","NO REALIZO CPN",IF(NI3="I","IVE",IF(NI3="S","DILIGENCIAR FECHA SALIDA PROGRAMA","REVISAR FORMULA")))))))))))</f>
        <v/>
      </c>
      <c r="DY3" s="212" t="str">
        <f>IF(R3="","",IF(R3&gt;0,MAX(Tabla1[[#This Row],[FECHA C2]:[FECHA C13]],Tabla1[[#This Row],[FECHA CONSULTA PRIMERA VEZ PROGRAMA CPN ]])))</f>
        <v/>
      </c>
      <c r="DZ3" s="216" t="str">
        <f t="shared" ref="DZ3:DZ66" si="16">IF(AND(DY3="",RW3="",R3=""),"",IF(AND(R3="",RW3&gt;0,DY3=""),"",IF(AND(R3&gt;0,DY3&lt;RW3),"REVISAR FUM O FECHA CPN",IF(AND(R3&gt;0,DY3&gt;0,RW3=""),"SD",IF(AND(R3&gt;0,DY3&gt;0,RW3&gt;0),INT(SUM(DY3-RW3)/7))))))</f>
        <v/>
      </c>
      <c r="EA3" s="222" t="str">
        <f>IF(R3&gt;0,SUM(COUNTA(DF3:DQ3)+COUNTA(Tabla1[[#This Row],[FECHA CONSULTA PRIMERA VEZ PROGRAMA CPN ]])),"")</f>
        <v/>
      </c>
      <c r="EB3" s="222" t="str">
        <f t="shared" ref="EB3:EB66" si="17">IF(AND(EA3&gt;=0,EA3&lt;4),"NO",IF(AND(EA3&gt;=4,EA3&lt;12),"SI",""))</f>
        <v/>
      </c>
      <c r="EC3" s="214" t="str">
        <f t="shared" ref="EC3:EC66" si="18">IF(BS3="","",IF(BS3&gt;0,INT(SUM(((40-BS3)/4)+2)),"X"))</f>
        <v/>
      </c>
      <c r="ED3" s="227" t="str">
        <f t="shared" ref="ED3:ED66" si="19">IF(EC3="","",IF(EA3&gt;0,SUM(EA3/EC3),"X"))</f>
        <v/>
      </c>
      <c r="EE3" s="212"/>
      <c r="EF3" s="212"/>
      <c r="EG3" s="212"/>
      <c r="EH3" s="212"/>
      <c r="EI3" s="212"/>
      <c r="EJ3" s="212"/>
      <c r="EK3" s="212"/>
      <c r="EL3" s="216"/>
      <c r="EM3" s="216"/>
      <c r="EN3" s="212"/>
      <c r="EO3" s="222" t="str">
        <f t="shared" ref="EO3:EO66" si="20">IF(AND(BT3="ERROR FUM O INGRESO",EN3&gt;0),"ERROR FUM O INGRESO",IF(AND(EN3="",R3="",O3=""),"",IF(OR(AND(EN3&lt;&gt;"",EN3&lt;RW3),AND(EN3&lt;&gt;"",SUM((EN3-RW3)/7)&gt;40)),"CORREGIR FECHA RESULTADO",IF(AND(EN3="",OR(O3&gt;0,R3&gt;0)),"TOMAR EXAMEN",IF(EN3&gt;0,SUM(EN3-RW3)/7,"")))))</f>
        <v/>
      </c>
      <c r="EP3" s="214" t="str">
        <f t="shared" ref="EP3:EP66" si="21">IF(AND(OR(O3&gt;0,R3&gt;0),EM3=""),"",IF(AND(OR(O3&gt;0,R3&gt;0),EM3&gt;0,EM3&lt;11),"MANEJO MD POR ANEMIA FERROPENICA",IF(AND(OR(O3&gt;0,R3&gt;0),EM3&lt;=14),"NORMAL- SUMINISTRAR SULFATO FERROSO",IF(AND(OR(O3&gt;0,R3&gt;0),EM3&lt;20),"NO DAR SULFATO FERROSO",""))))</f>
        <v/>
      </c>
      <c r="EQ3" s="216" t="str">
        <f t="shared" ref="EQ3:EQ66" si="22">IF(AND(EO3="",BT3=""),"",IF(AND(EO3&lt;&gt;"",BT3="SIN DATO"),"SIN DATO",IF(AND(EO3="",BT3&lt;&gt;""),"",IF(AND(EO3&lt;0,BT3&gt;0),"ERROR FUM O INGRESO",IF(EO3&lt;=13,"I TRIM",IF(EO3&lt;28,"II TRIM",IF(AND(EO3&gt;27,EO3&lt;45),"III TRIM","POR DEFINIR")))))))</f>
        <v/>
      </c>
      <c r="ER3" s="217"/>
      <c r="ES3" s="212"/>
      <c r="ET3" s="29" t="str">
        <f t="shared" ref="ET3:ET34" si="23">IF(AND(BT3="ERROR FUM O INGRESO",ES3&gt;0),"ERROR FUM O INGRESO",IF(AND(ES3="",R3="",O3=""),"",IF(OR(AND(ES3&lt;&gt;"",ES3&lt;RW3),AND(ES3&lt;&gt;"",SUM((ES3-RW3)/7)&gt;40)),"CORREGIR FECHA RESULTADO",IF(AND(BU3&gt;1,BU3&lt;23,ER3="",ES3=""),"EN ESPERA PARA TOMA EXAMEN",IF(AND(BU3&gt;22,BU3&lt;26,ER3="",ES3=""),"PROGRAMAR TOMA HEMOGLOBINA A SEM 28",IF(AND(BU3&gt;25,BU3&lt;28,ER3="",ES3=""),"TOMA HEMOGLOBINA A SEM 28 EN 1 SEMANA",IF(AND(BU3&gt;27,BU3&lt;31,ES3="",OR(O3&gt;0,R3&gt;0)),"EN SEMANA 28 TOMA INMEDIATA DE EXAMEN",IF(AND(IP3&gt;0,IP3&lt;28,ES3="",OR(O3&gt;0,R3&gt;0)),"NO APLICA-SALE ANTES SEM 28",IF(AND(IP3&gt;28,IP3&lt;43,ES3="",OR(O3&gt;0,R3&gt;0)),"SALE SIN TAMIZAJE HEMOGLOBINA SEM 28",IF(AND(BS3&gt;0,ES3="",OR(O3&gt;0,R3&gt;0)),"TOMA DE HEMOGLOBINA TARDÍA",IF(ES3&gt;0,SUM(ES3-RW3)/7,"")))))))))))</f>
        <v/>
      </c>
      <c r="EU3" s="25" t="str">
        <f t="shared" ref="EU3:EU66" si="24">IF(AND(OR(O3&gt;0,R3&gt;0),ER3=""),"",IF(AND(OR(O3&gt;0,R3&gt;0),ER3&gt;0,ER3&lt;10.5),"MANEJO MD POR ANEMIA FERROPENICA",IF(AND(OR(O3&gt;0,R3&gt;0),ER3&lt;14),"NORMAL- SUMINISTRAR SULFATO FERROSO",IF(AND(OR(O3&gt;0,R3&gt;0),ER3&lt;20),"NO DAR SULFATO FERROSO",""))))</f>
        <v/>
      </c>
      <c r="EV3" s="24"/>
      <c r="EW3" s="32"/>
      <c r="EX3" s="22"/>
      <c r="EY3" s="29" t="str">
        <f t="shared" ref="EY3:EY34" si="25">IF(AND(BT3="ERROR FUM O INGRESO",EW3&gt;0),"ERROR FUM O INGRESO",IF(AND(EW3="",R3="",O3=""),"",IF(OR(AND(EW3&lt;&gt;"",EW3&lt;RW3),AND(EW3&lt;&gt;"",SUM((EW3-RW3)/7)&gt;40)),"CORREGIR FECHA RESULTADO",IF(AND(EW3="",OR(O3&gt;0,R3&gt;0)),"TOMAR EXAMEN",IF(EW3&gt;0,SUM(EW3-RW3)/7,"")))))</f>
        <v/>
      </c>
      <c r="EZ3" s="25" t="str">
        <f t="shared" ref="EZ3:EZ34" ca="1" si="26">IF(EV3="RH POSITIVO","SIN RIESGO DE ISOINMUNIZACIÓN",IF(AND(EV3="RH NEGATIVO CON COOMBS NEGATIVO",EX3="",BU3&lt;=24),"COOMBS C/MES Y APLICAR RHESUMAN SEM 28",IF(AND(EV3="RH NEGATIVO CON COOMBS NEGATIVO",EX3="",AND(BU3&gt;24,BU3&lt;27)),"FALTAN DE 4 A 2 SEMANAS PARA APLICAR RHESUMAN A SEM 28",IF(AND(EV3="RH NEGATIVO CON COOMBS NEGATIVO",EX3="",AND(BU3&gt;26.99,BU3&lt;27.99)),"FALTAN 1 SEMANAS PARA APLICAR RHESUMAN A SEM 28",IF(AND(EV3="RH NEGATIVO CON COOMBS NEGATIVO",EX3="",AND(BU3&gt;27.99,BU3&lt;29)),"SEMANA 28 APLICAR DE INMEDIATO RHESUMAN",IF(AND(EV3="RH NEGATIVO CON COOMBS NEGATIVO",EX3="",AND(BU3&gt;28.99,BU3&lt;42)),"DEBE APLICAR RHESUMAN, ES NO OPORTUNO &gt; 28 SEMANAS",IF(AND(EV3="RH NEGATIVO CON COOMBS NEGATIVO",EX3&gt;0),SUM(EX3-RW3)/7,IF(EV3="RH NEGATIVO SIN COOMBS","TOMAR COOMBS INMEDIATO PARA DEFINIR MANEJO",IF(EV3="RH NEGATIVO CON COOMBS POSITIVO","TOMAR COOMBS CUANTITATIVO Y REMISIÓN","")))))))))</f>
        <v/>
      </c>
      <c r="FA3" s="21"/>
      <c r="FB3" s="22"/>
      <c r="FC3" s="29" t="str">
        <f t="shared" ref="FC3:FC66" si="27">IF(AND(BT3="ERROR FUM O INGRESO",FB3&gt;0),"ERROR FUM O INGRESO",IF(AND(FB3="",R3="",O3=""),"",IF(OR(AND(FB3&lt;&gt;"",FB3&lt;RW3),AND(FB3&lt;&gt;"",SUM((FB3-RW3)/7)&gt;40)),"CORREGIR FECHA RESULTADO",IF(AND(FB3="",BS3&gt;=24,OR(O3&gt;0,R3&gt;0)),"PIERDE TOMA TAMIZAJE- INGRESO TARDIO",IF(AND(FB3="",OR(O3&gt;0,R3&gt;0)),"TOMAR EXAMEN",IF(SUM((FB3-RW3)/7)&gt;=24,"NO APLICA &gt; 23 SEM -TOMAR PTOG",IF(AND(SUM((FB3-RW3)/7)&lt;24,FA3&gt;126),"DIABETES PREGESTACIONAL- REMITIR",IF(FB3&gt;0,SUM(FB3-RW3)/7,""))))))))</f>
        <v/>
      </c>
      <c r="FD3" s="29"/>
      <c r="FE3" s="29"/>
      <c r="FF3" s="29"/>
      <c r="FG3" s="21" t="str">
        <f t="shared" ref="FG3:FG66" ca="1" si="28">IF(AND(OR(FD3&gt;0,FE3&gt;0,FF3&gt;0),FI3&gt;0,FI3&lt;24,AND(FD3&gt;1,FD3&lt;92),AND(FE3&gt;1,FE3&lt;180),AND(FF3&gt;1,FF3&lt;153)),"NORMAL, NO DESCARTA DIABETES POR REALIZARLO ANTES DE  SEMANA 24, ",IF(AND(OR(FD3&gt;0,FE3&gt;0,FF3&gt;0),FI3&gt;0,FI3&lt;24,OR(FD3&gt;=92,FE3&gt;=180,FF3&gt;=153)),"DIABETES, REMITIR",IF(AND(BU3="",FH3="",FD3="",FE3="",FF3=""),"",IF(AND(BU3&gt;=19,BU3&lt;24,FH3="",FD3="",FE3="",FF3=""),"PROGRAMAR TOMA PTOG SIGUIENTE CONTROL",IF(AND(BU3&gt;=24,FH3="",FD3="",FE3="",FF3=""),"TOMAR PTOG",IF(OR(FD3&gt;=92,FE3&gt;=180,FF3&gt;=153),"DIABETES, REMITIR",IF(AND(AND(FD3&gt;1,FD3&lt;92),AND(FE3&gt;1,FE3&lt;180),AND(FF3&gt;1,FF3&lt;153)),"NORMAL",IF(AND(FD3&gt;0,OR(FE3=0,FF3=0)),"NO COMPLETA EXAMEN",""))))))))</f>
        <v/>
      </c>
      <c r="FH3" s="31"/>
      <c r="FI3" s="29" t="str">
        <f t="shared" ref="FI3:FI66" si="29">IF(AND(BT3="ERROR FUM O INGRESO",FH3&gt;0),"ERROR FUM O INGRESO",IF(AND(FH3="",R3="",O3=""),"",IF(OR(AND(FH3&lt;&gt;"",FH3&lt;RW3),AND(FH3&lt;&gt;"",SUM((FH3-RW3)/7)&gt;40)),"CORREGIR FECHA RESULTADO",IF(AND(FH3="",OR(O3&gt;0,R3&gt;0)),"TOMAR EXAMEN",IF(FH3&gt;0,SUM(FH3-RW3)/7,"")))))</f>
        <v/>
      </c>
      <c r="FJ3" s="22"/>
      <c r="FK3" s="22"/>
      <c r="FL3" s="29" t="str">
        <f t="shared" ref="FL3:FL66" si="30">IF(AND(BT3="ERROR FUM O INGRESO",FK3&gt;0),"ERROR FUM O INGRESO",IF(AND(FK3="",R3="",O3=""),"",IF(OR(AND(FK3&lt;&gt;"",FK3&lt;RW3),AND(FK3&lt;&gt;"",AND(SUM((FK3-RW3)/7)&gt;=13,SUM((FK3-RW3)/7)&lt;27))),"REGISTRAR EN II TRIMESTRE",IF(OR(AND(FK3&lt;&gt;"",FK3&lt;RW3),AND(FK3&lt;&gt;"",AND(SUM((FK3-RW3)/7)&gt;=27,SUM((FK3-RW3)/7)&lt;44))),"REGISTRAR EN III TRIMESTRE",IF(AND(FK3="",OR(O3&gt;0,R3&gt;0),AND(BU3&gt;1,BU3&lt;10)),"EN RANGO PARA TOMAR EXAMEN",IF(AND(FK3="",OR(O3&gt;0,R3&gt;0),AND(BU3&gt;=10,BU3&lt;13)),"TOMA INMEDIATA DE TAMIZAJE",IF(AND(FK3="",BS3&lt;13,OR(O3&gt;0,R3&gt;0)),"PIERDE TOMA DE TAMIZAJE",IF(AND(FK3="",OR(O3&gt;0,R3&gt;0),AND(BS3&gt;=13,BS3&lt;43)),"NO APLICA-INGRESO TARDIO",IF(FK3&gt;0,SUM(FK3-RW3)/7,"")))))))))</f>
        <v/>
      </c>
      <c r="FM3" s="22"/>
      <c r="FN3" s="32"/>
      <c r="FO3" s="29" t="str">
        <f t="shared" ref="FO3:FO34" si="31">IF(AND(BT3="ERROR FUM O INGRESO",FN3&gt;0),"ERROR FUM O INGRESO",IF(AND(FN3="",R3="",O3=""),"",IF(AND(FN3&lt;&gt;"",FN3&lt;RW3), "INCOHERENCIA FUM Y FECHA TAMIZAJE",IF(AND(FN3="",DV3="ACTIVA INGRESO A CPN",AND(BU3&gt;0,BU3&lt;13)),"EN ESPERA-ESTÁ I TRIM", IF(AND(FN3="",AND(BS3&gt;0, BS3&lt;13),OR(O3&gt;0,R3&gt;0),AND(IP3&gt;0,IP3&lt;13)),"NO APLICA-SALIO DEL PROGRAMA I TRIM",IF(AND(FN3&lt;&gt;"",AND(SUM((FN3-RW3)/7)&gt;0,SUM((FN3-RW3)/7)&lt;13)),"REGISTRAR EN I TRIMESTRE",IF(AND(FN3&lt;&gt;"",AND(SUM((FN3-RW3)/7)&gt;=27,SUM((FN3-RW3)/7)&lt;44)),"REGISTRAR EN III TRIMESTRE",IF(AND(FN3="",OR(O3&gt;0,R3&gt;0),AND(BU3&gt;=13,BU3&lt;24),DV3="ACTIVA INGRESO A CPN"),"EN RANGO PARA TOMAR EXAMEN",IF(AND(FN3="",OR(O3&gt;0,R3&gt;0),AND(BU3&gt;=25,BU3&lt;27),DV3="ACTIVA INGRESO A CPN"),"TOMA INMEDIATA DE TAMIZAJE",IF(AND(FN3="",OR(O3&gt;0,R3&gt;0),AND(BS3&gt;=27,BS3&lt;44)),"NO APLICA-INGRESO TARDIO",IF(AND(FN3="",BS3&lt;27,OR(AND(IP3&gt;12,IP3&lt;44),BU3&gt;12)),"PIERDE TOMA DE TAMIZAJE",IF(FN3&gt;0,SUM(FN3-RW3)/7,""))))))))))))</f>
        <v/>
      </c>
      <c r="FP3" s="22"/>
      <c r="FQ3" s="32"/>
      <c r="FR3" s="29" t="str">
        <f t="shared" ref="FR3:FR34" si="32">IF(AND(BT3="ERROR FUM O INGRESO",FQ3&gt;0),"ERROR FUM O INGRESO",IF(AND(FQ3="",R3="",O3=""),"",IF(AND(FQ3&lt;&gt;"",FQ3&lt;RW3), "INCOHERENCIA FUM Y FECHA TAMIZAJE",IF(AND(FQ3="",DV3="ACTIVA INGRESO A CPN",AND(BU3&gt;0,BU3&lt;27)),"EN ESPERA-ESTÁ I TRIM O II TRIM", IF(AND(FQ3="",AND(BS3&gt;0, BS3&lt;27),OR(O3&gt;0,R3&gt;0),AND(IP3&gt;0,IP3&lt;27)),"NO APLICA-SALIO DEL PROGRAMA I O II TRIM",IF(AND(FQ3&lt;&gt;"",AND(SUM((FQ3-RW3)/7)&gt;0,SUM((FQ3-RW3)/7)&lt;13)),"REGISTAR EN I TRIMESTRE",IF(AND(FQ3&lt;&gt;"",AND(SUM((FQ3-RW3)/7)&gt;=13,SUM((FQ3-RW3)/7)&lt;27)),"REGISTRAR EN II TRIMESTRE",IF(AND(FQ3="",OR(O3&gt;0,R3&gt;0),AND(BU3&gt;=28,BU3&lt;35),DV3="ACTIVA INGRESO A CPN"),"EN RANGO PARA TOMAR EXAMEN",IF(AND(FQ3="",OR(O3&gt;0,R3&gt;0),BU3&gt;=35, DV3="ACTIVA INGRESO A CPN"),"TOMA INMEDIATA DE TAMIZAJE",IF(AND(FQ3="",DV3= "SALE SIN INGRESO CPN"),"NO APLICA-SIN CPN",IF(AND(FQ3="",AND(IP3&gt;26,IP3&lt;43)),"PIERDE TOMA DE TAMIZAJE",IF(FQ3&gt;0,SUM(FQ3-RW3)/7,""))))))))))))</f>
        <v/>
      </c>
      <c r="FS3" s="22"/>
      <c r="FT3" s="32"/>
      <c r="FU3" s="29" t="str">
        <f>IF(AND(FJ3="",FM3="",FP3="",FS3=""),"",IF(OR(OR(Tabla1[[#This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 s="28"/>
      <c r="FW3" s="22"/>
      <c r="FX3" s="29" t="str">
        <f t="shared" ref="FX3:FX66" si="33">IF(AND(BT3="ERROR FUM O INGRESO",FW3&gt;0),"ERROR FUM O INGRESO",IF(AND(FW3="",R3="",O3=""),"",IF(OR(AND(FW3&lt;&gt;"",FW3&lt;RW3),AND(FW3&lt;&gt;"",SUM((FW3-RW3)/7)&gt;40)),"CORREGIR FECHA RESULTADO",IF(AND(FW3="",OR(O3&gt;0,R3&gt;0)),"TOMAR EXAMEN",IF(FW3&gt;0,SUM(FW3-RW3)/7,"")))))</f>
        <v/>
      </c>
      <c r="FY3" s="22"/>
      <c r="FZ3" s="22"/>
      <c r="GA3" s="29" t="str">
        <f t="shared" ref="GA3:GA34" si="34">IF(AND(BT3="ERROR FUM O INGRESO",FZ3&gt;0),"ERROR FUM O INGRESO",IF(AND(FZ3="",R3="",O3=""),"",IF(OR(AND(FZ3&lt;&gt;"",FZ3&lt;RW3),AND(FZ3&lt;&gt;"",AND(SUM((FZ3-RW3)/7)&gt;=13,SUM((FZ3-RW3)/7)&lt;27))),"REGISTRAR EN II TRIMESTRE",IF(OR(AND(FZ3&lt;&gt;"",FZ3&lt;RW3),AND(FZ3&lt;&gt;"",AND(SUM((FZ3-RW3)/7)&gt;=27,SUM((FZ3-RW3)/7)&lt;44))),"REGISTRAR EN III TRIMESTRE",IF(AND(FZ3="",OR(O3&gt;0,R3&gt;0),AND(BU3&gt;1,BU3&lt;10)),"EN RANGO PARA TOMAR EXAMEN",IF(AND(FZ3="",OR(O3&gt;0,R3&gt;0),AND(BU3&gt;=10,BU3&lt;12)),"TOMA INMEDIATA DE TAMIZAJE",IF(AND(FZ3="",BS3&lt;12,OR(O3&gt;0,R3&gt;0)),"PIERDE TOMA DE TAMIZAJE",IF(AND(FZ3="",OR(O3&gt;0,R3&gt;0),AND(BS3&gt;=13,BS3&lt;44)),"NO APLICA-INGRESO TARDIO",IF(FZ3&gt;0,SUM(FZ3-RW3)/7,"")))))))))</f>
        <v/>
      </c>
      <c r="GB3" s="22"/>
      <c r="GC3" s="22"/>
      <c r="GD3" s="29" t="str">
        <f t="shared" ref="GD3:GD34" si="35">IF(AND(BT3="ERROR FUM O INGRESO",GC3&gt;0),"ERROR FUM O INGRESO",IF(AND(GC3="",R3="",O3=""),"",IF(AND(GC3&lt;&gt;"",GC3&lt;RW3), "INCOHERENCIA FUM Y FECHA TAMIZAJE",IF(AND(GC3="",DV3="ACTIVA INGRESO A CPN",AND(BU3&gt;0,BU3&lt;13)),"EN ESPERA-ESTÁ I TRIM", IF(AND(GC3="",AND(BS3&gt;0, BS3&lt;12),OR(O3&gt;0,R3&gt;0),AND(IP3&gt;0,IP3&lt;13)),"NO APLICA-SALIO DEL PROGRAMA I TRIM",IF(AND(GC3&lt;&gt;"",AND(SUM((GC3-RW3)/7)&gt;0,SUM((GC3-RW3)/7)&lt;13)),"REGISTRAR EN I TRIMESTRE",IF(AND(GC3&lt;&gt;"",AND(SUM((GC3-RW3)/7)&gt;=27,SUM((GC3-RW3)/7)&lt;44)),"REGISTRAR EN III TRIMESTRE",IF(AND(GC3="",OR(O3&gt;0,R3&gt;0),AND(BU3&gt;=12,BU3&lt;25),DV3="ACTIVA INGRESO A CPN"),"EN RANGO PARA TOMAR EXAMEN",IF(AND(GC3="",OR(O3&gt;0,R3&gt;0),AND(BU3&gt;=25,BU3&lt;27),DV3="ACTIVA INGRESO A CPN"),"TOMA INMEDIATA DE TAMIZAJE",IF(AND(GC3="",OR(O3&gt;0,R3&gt;0),AND(BS3&gt;=27,BS3&lt;43)),"NO APLICA-INGRESO TARDIO",IF(AND(GC3="",BS3&lt;27),"PIERDE TOMA DE TAMIZAJE",IF(GC3&gt;0,SUM(GC3-RW3)/7,""))))))))))))</f>
        <v/>
      </c>
      <c r="GE3" s="22"/>
      <c r="GF3" s="22"/>
      <c r="GG3" s="29" t="str">
        <f t="shared" ref="GG3:GG34" si="36">IF(AND(BT3="ERROR FUM O INGRESO",GF3&gt;0),"ERROR FUM O INGRESO",IF(AND(GF3="",R3="",O3=""),"",IF(AND(GF3&lt;&gt;"",GF3&lt;RW3), "INCOHERENCIA FUM Y FECHA TAMIZAJE",IF(AND(GF3="",DV3="ACTIVA INGRESO A CPN",AND(BU3&gt;0,BU3&lt;27)),"EN ESPERA-ESTÁ I TRIM O II TRIM", IF(AND(GF3="",AND(BS3&gt;0, BS3&lt;28),OR(O3&gt;0,R3&gt;0),AND(IP3&gt;0,IP3&lt;28)),"NO APLICA-SALIO DEL PROGRAMA I O II TRIM",IF(AND(GF3&lt;&gt;"",AND(SUM((GF3-RW3)/7)&gt;0,SUM((GF3-RW3)/7)&lt;13)),"REGISTAR EN I TRIMESTRE",IF(AND(GF3&lt;&gt;"",AND(SUM((GF3-RW3)/7)&gt;=13,SUM((GF3-RW3)/7)&lt;27)),"REGISTRAR EN II TRIMESTRE",IF(AND(GF3="",OR(O3&gt;0,R3&gt;0),AND(BU3&gt;=28,BU3&lt;35),DV3="ACTIVA INGRESO A CPN"),"EN RANGO PARA TOMAR EXAMEN",IF(AND(GF3="",OR(O3&gt;0,R3&gt;0),BU3&gt;=35, DV3="ACTIVA INGRESO A CPN"),"TOMA INMEDIATA DE TAMIZAJE",IF(AND(GF3="",DV3= "SALE SIN INGRESO CPN"),"NO APLICA-SIN CPN",IF(AND(GF3="",BS3&lt;44),"PIERDE TOMA DE TAMIZAJE",IF(GF3&gt;0,SUM(GF3-RW3)/7,""))))))))))))</f>
        <v/>
      </c>
      <c r="GH3" s="22"/>
      <c r="GI3" s="29"/>
      <c r="GJ3" s="22"/>
      <c r="GK3" s="22"/>
      <c r="GL3" s="22"/>
      <c r="GM3" s="22"/>
      <c r="GN3" s="28"/>
      <c r="GO3" s="22"/>
      <c r="GP3" s="29" t="str">
        <f t="shared" ref="GP3:GP66" si="37">IF(AND(BT3="ERROR FUM O INGRESO",GO3&gt;0),"ERROR FUM O INGRESO",IF(AND(GO3="",R3="",O3=""),"",IF(OR(AND(GO3&lt;&gt;"",GO3&lt;RW3),AND(GO3&lt;&gt;"",SUM((GO3-RW3)/7)&gt;40)),"CORREGIR FECHA RESULTADO",IF(AND(GO3="",OR(O3&gt;0,R3&gt;0)),"TOMAR EXAMEN",IF(GO3&gt;0,SUM(GO3-RW3)/7,"")))))</f>
        <v/>
      </c>
      <c r="GQ3" s="28"/>
      <c r="GR3" s="28"/>
      <c r="GS3" s="22" t="str">
        <f t="shared" ref="GS3:GS34" si="38">IF(GQ3="NEGATIVO","CONTROL Igm",IF(AND(GQ3="POSITIVO",GR3="NEGATIVO"),"SE EXCLUYE INFECCION",IF(AND(GQ3="POSITIVO",GR3="POSITIVO"),"TOXOPLASMOSIS, REMITIR PARA MANEJO","")))</f>
        <v/>
      </c>
      <c r="GT3" s="22"/>
      <c r="GU3" s="29" t="str">
        <f t="shared" ref="GU3:GU66" si="39">IF(AND(BT3="ERROR FUM O INGRESO",GT3&gt;0),"ERROR FUM O INGRESO",IF(AND(GT3="",R3="",O3=""),"",IF(OR(AND(GT3&lt;&gt;"",GT3&lt;BO3),AND(GT3&lt;&gt;"",SUM((GT3-BO3)/7)&gt;40)),"CORREGIR FECHA RESULTADO",IF(AND(GT3="",OR(O3&gt;0,R3&gt;0)),"TOMAR EXAMEN",IF(GT3&gt;0,SUM(GT3-BO3)/7,"")))))</f>
        <v/>
      </c>
      <c r="GV3" s="21" t="str">
        <f t="shared" ref="GV3:GV66" si="40">IF(AND(GU3="",BT3=""),"",IF(AND(GU3&lt;&gt;"",BT3="SIN DATO"),"SIN DATO",IF(AND(GU3="",BT3&lt;&gt;""),"",IF(AND(GU3&lt;0,BT3&gt;0),"ERROR FUM O INGRESO",IF(GU3&lt;=13,"I TRIM",IF(GU3&lt;28,"II TRIM",IF(AND(GU3&gt;27,GU3&lt;45),"III TRIM","POR DEFINIR")))))))</f>
        <v/>
      </c>
      <c r="GW3" s="28"/>
      <c r="GX3" s="30"/>
      <c r="GY3" s="21"/>
      <c r="GZ3" s="21"/>
      <c r="HA3" s="21"/>
      <c r="HB3" s="21"/>
      <c r="HC3" s="21"/>
      <c r="HD3" s="21"/>
      <c r="HE3" s="21"/>
      <c r="HF3" s="22"/>
      <c r="HG3" s="22" t="str">
        <f>IF(OR(O3&gt;0,R3&gt;0),CONCATENATE(IF(Tabla1[[#This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
      </c>
      <c r="HH3" s="22" t="str">
        <f t="shared" ref="HH3:HH66" si="41">IF(OR(O3&gt;0,R3&gt;0),CONCATENATE(IF(AZ3="SI","ANTECEDENTE EMBARAZO MOLAR",""),"*",CONCATENATE(IF(BA3="SI","ANTECEDENTE MUERTE NEONATAL",""),"*",CONCATENATE(IF(AND(BQ3&gt;0,BQ3&lt;13),"PERIODO INTERGENESICO CORTO",""),"*",CONCATENATE(IF(AND(BS3&gt;13,BS3&lt;42),"INGRESO TARDIO A CPN",""),"*",CONCATENATE(IF(CO3="BAJO PESO","BAJO PESO",""),"*",CONCATENATE(IF(CO3="SOBREPESO","SOBREPESO",""),"*",CONCATENATE(IF(CO3="OBESIDAD","OBESIDAD",""),"*",CONCATENATE(IF(GN3="POSITIVO","SEGUIMIENTO INFECCIÓN HEP B",""),"*",CONCATENATE(IF(GS3="TOXOPLASMOSIS, REMITIR PARA MANEJO","INFECCIÓN TOXOPLASMOSIS",""),"*",CONCATENATE(IF(GS3="CONTROL Igm","PREVENCIÓN CONTAGIO TOXOPLASMOSIS",""),"*",CONCATENATE(IF(OR(HF3="COVID19 PRIMER TRIMESTRE",HF3="COVID19 SEGUNDO TRIMESTRE",HF3="COVID19 TERCER TRIMESTRE",HF3="COVID19 PUERPERIO"),"INFECCIÓN SARS-CoV2 CONFIRMADA",""),"*",CONCATENATE(IF(GY3="Esquema vigente – Alterado","DESCARTAR CANCER DE UTERO",""),"*",)))))))))))),"")</f>
        <v/>
      </c>
      <c r="HI3" s="22" t="str">
        <f t="shared" ref="HI3:HI66" si="42">IF(AND(O3="",R3=""),"",IF(AND(OR(O3&lt;&gt;"",R3&lt;&gt;""),OR(HK3="RIESGO ALTO DE COMPLICACIONES HIPERTENSIVAS VER MANEJO GUIA SUMINISTRO ASA Y CALCIO",HK3="RIESGO MODERADO (2 O MAS CRITERIOS) VER MANEJO GUIA SUMINISTRO ASA Y CALCIO")),"ALTO RIESGO",IF(AND(HH3="************",OR(O3&lt;&gt;"",R3&lt;&gt;""),AND(ND3&gt;=0,ND3&lt;3)),"BAJO RIESGO",IF(AND(OR(O3&lt;&gt;"",R3&lt;&gt;""),OR(HF3="COVID19 PRIMER TRIMESTRE",HF3="COVID19 SEGUNDO TRIMESTRE",HF3="COVID19 TERCER TRIMESTRE",HF3="COVID19 PUERPERIO")),"ALTO RIESGO",IF(AND(HH3&lt;&gt;"",OR(O3&lt;&gt;"",R3&lt;&gt;""),AND(ND3&gt;=0,ND3&lt;3)),"CON RIESGO",IF(AND(OR(O3&lt;&gt;"",R3&lt;&gt;""),ND3&gt;2),"ALTO RIESGO",""))))))</f>
        <v/>
      </c>
      <c r="HJ3" s="21" t="str">
        <f t="shared" ref="HJ3:HJ66" si="43">IF(OR(O3&gt;0,R3&gt;0),CONCATENATE(IF(AK3="CON RIESGO","RIESGO PSICOSOCIAL",""),"*",CONCATENATE(IF(AL3="SI","ANTECEDENTE PREECLAMPSIA",""),"*",CONCATENATE(IF(AM3="SI","ANTECEDENTE HEMORRAGIA POSTPARTO O RETENCIÓN DE PLACENTA",""),"*",CONCATENATE(IF(AN3="SI","ANTECEDENTE RN BAJO PESO",""),"*",CONCATENATE(IF(AQ3="SI","ANTECEDENTE TRABAJO DE PARTO PROLONGADO",""),"*",CONCATENATE(IF(AV3="SI","INFERTILIDAD",""),"*",CONCATENATE(IF(BD3="SI","ENFERMERDAD AUTOINMUNE",""),"*",CONCATENATE(IF(BE3="SI","DIABETES PREGESTACIONAL",""),"*",CONCATENATE(IF(BF3="SI","ENFERMEDAD CARDIACA",""),"*",CONCATENATE(IF(BG3="SI","HTA CRÓNICA",""),"*",CONCATENATE(IF(BH3="SI","ENFERMEDAD RENAL CRÓNICA",""),"*",CONCATENATE(IF(BK3="SI","ANOMALIA CONGÉNITA",""),"*",CONCATENATE(IF(OR(BL3="SI",BM3="SI"),"HEMORRAGIA DURANTE LA GESTACIÓN",""),"*",CONCATENATE(IF(CB3="SI","RCIU",""),"*",CONCATENATE(IF(CC3="SI","EMBARAZO GEMELAR",""),"*",CONCATENATE(IF(NA3=3,"PRESENTACIÓN FETAL PODALICA O TRANSVERSA",""),"*",CONCATENATE(IF(CE3="SI","POLIHIDRAMNIOS",""),"*",CONCATENATE(IF(FG3="DIABETES, REMITIR","DIABETES GESTACIONAL",""),"*",CONCATENATE(IF(FU3&lt;&gt;"","SEGUIMIENTO PARA SIFILIS GESTACIONAL",""),"*",CONCATENATE(IF(MZ3=3,"SEGUIMIENTO PARA VIH",""),"*",CONCATENATE(IF(MX3=1,"SEGUIMIENTO PARA ANEMIA",""),"*",CONCATENATE(IF(MU3=2,"MULTIPARIDAD",""),"*",CONCATENATE(IF(MU3=1,"MULTIPARIDAD",""),"*",CONCATENATE(IF(MT3=1,"ANTECEDENTE MUERTE PERINATAL",""),"*",CONCATENATE(IF(OR(MR3=2,MR3=1),"RIESGO POR EDAD",""),"*",CONCATENATE(IF(OR(MV3=1,MV3=2),"CESAREAS PREVIAS",""),"*",CONCATENATE(IF(MW3=1,"ANTECEDENTE ECTOPICO O CX UTERINA",""),"*",CONCATENATE(IF(MY3=1,"EMBARAZO PROLONGADO",""),"*",CONCATENATE(IF(NB3=2,"SEGUIMIENTO PARA CHAGAS",""),"*",CONCATENATE(IF(NC3=3,"SEGUIMIENTO PARA MALARIA",""),"*",CONCATENATE(IF(OR(HF3="COVID19 PRIMER TRIMESTRE",HF3="COVID19 SEGUNDO TRIMESTRE",HF3="COVID19 TERCER TRIMESTRE",HF3="COVID19 PUERPERIO"),"SEGUIMIENTO PARA COVID19",""),"*",CONCATENATE(IF(EZ3="COOMBS C/MES Y RESUMAN SEM 28","RIESGO DE ISOINMUNIZACIÓN RH",""),"*",CONCATENATE(IF(EZ3="TOMAR COOMBS CUANTITATIVO Y REMISIÓN","ISOINMUNIZACIÓN RH",""),"*",CONCATENATE(IF(BC3="SI, CONTROLADA","EPILEPSIA CONTROLADA",""),"*",CONCATENATE(IF(BC3="SI, SIN MANEJO","EPILEPSIA SIN MANEJO",""),"*",CONCATENATE(IF(BC3="SI, NO CONTROLADA","EPILEPSIA NO CONTROLADA",""),"*",CONCATENATE(IF(AP3="SI","AMENAZA PARTO PRETERMINO",""),"*",CONCATENATE(IF(AO3="SI","ANTECEDENTE MACROSOMICO",""),"*",CONCATENATE(IF(AD3="Consumo ActualI","USO SUSTANCIAS PSICOACTIVAS",""),"*"))))))))))))))))))))))))))))))))))))))),"")</f>
        <v/>
      </c>
      <c r="HK3" s="21" t="str">
        <f t="shared" ref="HK3:HK66" si="44">IF(AND(O3="",R3=""),"",IF(AND(OR(O3&gt;0,R3&gt;0),OR(AL3="SI",BG3="SI",BD3="SI",BE3="SI",BH3="SI")),"RIESGO ALTO DE COMPLICACIONES HIPERTENSIVAS VER MANEJO GUIA SUMINISTRO ASA Y CALCIO",IF(AND(OR(O3&gt;0,R3&gt;0),NE3&gt;1),"RIESGO MODERADO (2 O MAS CRITERIOS) VER MANEJO GUIA SUMINISTRO ASA Y CALCIO","SIN ANTECEDENTES DE RIESGO")))</f>
        <v/>
      </c>
      <c r="HL3" s="24" t="str">
        <f t="shared" ref="HL3:HL66" si="45">DC3</f>
        <v/>
      </c>
      <c r="HM3" s="21" t="str">
        <f t="shared" ref="HM3:HM66" ca="1" si="46">IF(NI3="SD","",IF(AND(NI3&lt;=33,NI3&gt;=8),"MES DE CONTROL",IF(AND(NI3&gt;=1,NI3&lt;8),"SEMANA DE CONTROL",IF(NI3=0,"DIA DE CONTROL",IF(NI3&lt;0,"INASISTENTE",IF(NI3="Y","SEGUIMIENTO FUERA MUNICIPIO",IF(NI3="Z","BUSCAR PARA INGRESO A CPN",IF(NI3="W","DEFINIR FECHA CITA",IF(NI3="X","NO REALIZO CPN",IF(NI3="S","DILIGENCIAR FECHA SALIDA PROGRAMA","REVISAR FORMULA"))))))))))</f>
        <v/>
      </c>
      <c r="HN3" s="30" t="str">
        <f t="shared" ref="HN3:HN34" si="47">IF(AND(R3&lt;&gt;"",IK3="CAMBIO DE RESIDENCIA"),"SEGUIMIENTO REPORTE EPS",IF(AND(R3&lt;&gt;"",OR(IK3&lt;&gt;"",IN3&lt;&gt;"")),"SALIO PROGRAMA",IF(AND(AND(R3="",O3&gt;0),OR(IK3&lt;&gt;"",IN3&lt;&gt;"")),"SALE SIN INGRESO CPN",IF(AND(R3="",O3&gt;0,IK3="",IN3=""),"ACTIVA SIN INGRESO CPN",IF(AND(R3&lt;&gt;"",OR(IK3="",IN3="")),"ACTIVA INGRESO A CPN","")))))</f>
        <v/>
      </c>
      <c r="HO3"/>
      <c r="HP3" s="21"/>
      <c r="HQ3" s="349"/>
      <c r="HR3" s="21" t="str">
        <f>IF(R3="","",IF(Tabla1[[#This Row],[ALARMA FACTORES DE RIESGO COMPLICACIONES HIPERTENSIVAS3]]="SIN ANTECEDENTES DE RIESGO","No Aplica para suministro de ASA",IF(AND(Tabla1[[#This Row],[FECHA INICIO DE SUMINISTRO DE ASA]]&gt;0,RV3&lt;12),"Inicia ASA ANTES de Sem 12",IF(AND(RV3&gt;11,RV3&lt;17,OR(HK3="RIESGO ALTO DE COMPLICACIONES HIPERTENSIVAS VER MANEJO GUIA SUMINISTRO ASA Y CALCIO",HK3="RIESGO MODERADO (2 O MAS CRITERIOS) VER MANEJO GUIA SUMINISTRO ASA Y CALCIO")),"Inicio oportuno de ASA",IF(AND(RV3&gt;12,OR(HK3="RIESGO ALTO DE COMPLICACIONES HIPERTENSIVAS VER MANEJO GUIA SUMINISTRO ASA Y CALCIO",HK3="RIESGO MODERADO (2 O MAS CRITERIOS) VER MANEJO GUIA SUMINISTRO ASA Y CALCIO")),"Inicio no oportuno mayor a 16 semanas",IF(AND(BU3&lt;12,OR(HK3="RIESGO ALTO DE COMPLICACIONES HIPERTENSIVAS VER MANEJO GUIA SUMINISTRO ASA Y CALCIO",HK3="RIESGO MODERADO (2 O MAS CRITERIOS) VER MANEJO GUIA SUMINISTRO ASA Y CALCIO")),"Pendiente Inicio de ASA a la semana 12",IF(AND(BU3&gt;11,BU3&lt;17,OR(HK3="RIESGO ALTO DE COMPLICACIONES HIPERTENSIVAS VER MANEJO GUIA SUMINISTRO ASA Y CALCIO",HK3="RIESGO MODERADO (2 O MAS CRITERIOS) VER MANEJO GUIA SUMINISTRO ASA Y CALCIO")),"Iniciar de inmediato ASA",IF(AND(BU3&gt;16,OR(HK3="RIESGO ALTO DE COMPLICACIONES HIPERTENSIVAS VER MANEJO GUIA SUMINISTRO ASA Y CALCIO",HK3="RIESGO MODERADO (2 O MAS CRITERIOS) VER MANEJO GUIA SUMINISTRO ASA Y CALCIO")),"Pierde Oportunidad, Inicio tardío de ASA","XXXXX"))))))))</f>
        <v/>
      </c>
      <c r="HS3" s="22"/>
      <c r="HT3" s="22"/>
      <c r="HU3" s="22"/>
      <c r="HV3" s="22"/>
      <c r="HW3" s="22"/>
      <c r="HX3" s="22"/>
      <c r="HY3" s="22"/>
      <c r="HZ3" s="28" t="str">
        <f t="shared" ref="HZ3:HZ66" si="48">IF(AND(BT3="ERROR FUM O INGRESO",HY3&gt;0),"ERROR FUM O INGRESO",IF(AND(HY3="",R3=""),"",IF(OR(AND(HY3&lt;&gt;"",HY3&lt;RW3),AND(HY3&lt;&gt;"",SUM((HY3-RW3)/7)&gt;40)),"CORREGIR FECHA CONSULTA",IF(AND(HY3="",R3&gt;0),"PENDIENTE CONSULTA",IF(HY3&gt;0,SUM(HY3-RW3)/7,"")))))</f>
        <v/>
      </c>
      <c r="IA3" s="26"/>
      <c r="IB3" s="26"/>
      <c r="IC3" s="111"/>
      <c r="ID3" s="22"/>
      <c r="IE3" s="22" t="str">
        <f t="shared" ref="IE3:IE66" si="49">IF(AND(RW3="",NF3="SD"),"SIN DATO EDAD GESTACIONAL",IF(AND(RW3="",ID3=""),"",IF(AND(AND(BU3&gt;0,BU3&lt;20),ID3=""),"EN ESPERA PARA VACUNAR",IF(AND(AND(BU3&gt;19,BU3&lt;27),ID3=""),"PROGRAMAR APLICACION DE VACUNA",IF(AND(AND(BU3&gt;26,BU3&lt;43),ID3=""),"INASISTENTE",IF(AND(AND(NF3&gt;19,NF3&lt;27),ID3&gt;0),"VACUNA APLICADA ENTRE SEMANA 20 Y SEMANA 26",IF(AND(NF3&lt;20,ID3&gt;0),"VACUNA APLICADA ANTES SEMANA 20",IF(AND(NF3&gt;26,ID3&gt;0),"VACUNA APLICADA ENTRE SEMANA 27 Y EL PARTO",IF(AND(OR(IK3="CESAREA",IK3="PARTO"),II3="POSIBLEMENTE NACIO",ID3=""),"SALE SIN VACUNA","")))))))))</f>
        <v/>
      </c>
      <c r="IF3" s="22"/>
      <c r="IG3" s="22" t="str">
        <f t="shared" ref="IG3:IG66" si="50">IF(OR(BP3="SI",BP3="Corregida",BP3="NO"),(RW3+280),IF(BP3="Sin Dato","DEFINIR FPP POR ECO",""))</f>
        <v/>
      </c>
      <c r="IH3" s="29" t="str">
        <f t="shared" ref="IH3:IH66" ca="1" si="51">IF(OR(IG3="DEFINIR FPP POR ECO",BT3="ERROR FUM O INGRESO"),"SIN DEFINIR",IF(IG3="","",IF(IG3&gt;0,SUM(IG3-TODAY()),"X")))</f>
        <v/>
      </c>
      <c r="II3" s="22" t="str">
        <f t="shared" ref="II3:II66" ca="1" si="52">IF(IH3&lt;0,"POSIBLEMENTE NACIO",IF(IH3="SIN DEFINIR","SIN DATO",IF(AND(IH3&gt;=0,IH3&lt;=7),"SEMANA DE PARTO",IF(AND(IH3&gt;=8,IH3&lt;=28),"MENOS DE 4 SEMANAS",IF(AND(IH3&gt;=29,IH3&lt;=280),"PENDIENTE","")))))</f>
        <v/>
      </c>
      <c r="IJ3" s="22"/>
      <c r="IK3" s="21"/>
      <c r="IL3" s="21"/>
      <c r="IM3" s="34"/>
      <c r="IN3" s="22"/>
      <c r="IO3" s="21"/>
      <c r="IP3" s="29" t="str">
        <f t="shared" ref="IP3:IP34" si="53">IF(AND(IN3&gt;0,IK3&lt;&gt;""),SUM(IN3-RW3)/7,"")</f>
        <v/>
      </c>
      <c r="IQ3" s="35"/>
      <c r="IR3" s="21"/>
      <c r="IS3" s="21"/>
      <c r="IT3" s="21"/>
      <c r="IU3" s="21"/>
      <c r="IV3" s="21"/>
      <c r="IW3" s="21"/>
      <c r="IX3" s="21"/>
      <c r="IY3" s="21"/>
      <c r="IZ3" s="21"/>
      <c r="JA3" s="21"/>
      <c r="JB3" s="30"/>
      <c r="JC3" s="21"/>
      <c r="JD3" s="36"/>
      <c r="JE3" s="21" t="str">
        <f t="shared" ref="JE3:JE34" si="54">IF(AND(JD3&gt;700,JD3&lt;2500,IP3&gt;36),"BAJO PESO AL NACER",IF(AND(JD3&gt;500,JD3&lt;2500,IP3&lt;37),"PREMATURO",IF(AND(JD3&gt;2499,JD3&lt;5000,IP3&lt;37),"ERROR VERIFICAR DATO EDAD GESTACIONAL VS PESO",IF(AND(JD3&gt;2499,JD3&lt;4000,IP3&gt;36),"PESO ADECUADO EDAD GESTACIONAL",IF(AND(JD3&gt;3999,JD3&lt;6000,IP3&gt;36),"PESO GRANDE EDAD GESTACIONAL","")))))</f>
        <v/>
      </c>
      <c r="JF3" s="30"/>
      <c r="JG3" s="21"/>
      <c r="JH3" s="21"/>
      <c r="JI3" s="21"/>
      <c r="JJ3" s="30"/>
      <c r="JK3" s="22"/>
      <c r="JL3" s="22"/>
      <c r="JM3" s="21"/>
      <c r="JN3" s="36"/>
      <c r="JO3" s="21" t="str">
        <f t="shared" ref="JO3:JO34" si="55">IF(AND(JN3&gt;700,JN3&lt;2500,IP3&gt;36,IP3&lt;43),"BAJO PESO AL NACER",IF(AND(JN3&gt;700,JN3&lt;2500,IP3&lt;37),"PREMATURO",IF(AND(JN3&gt;2499,JN3&lt;5000,IP3&lt;37),"ERROR VERIFICAR DATO EDAD GESTACIONAL VS PESO",IF(AND(JN3&gt;2499,JN3&lt;4000,IP3&gt;36,IP3&lt;43),"PESO ADECUADO EDAD GESTACIONAL",IF(AND(JN3&gt;3999,JN3&lt;6000,IP3&gt;36,IP3&lt;43),"PESO GRANDE EDAD GESTACIONAL","")))))</f>
        <v/>
      </c>
      <c r="JP3" s="22"/>
      <c r="JQ3" s="21"/>
      <c r="JR3" s="21"/>
      <c r="JS3" s="21"/>
      <c r="JT3" s="30"/>
      <c r="JU3" s="22"/>
      <c r="JV3" s="22"/>
      <c r="JW3" s="33"/>
      <c r="JX3" s="28" t="str">
        <f t="shared" ref="JX3:JX34" si="56">IF(AND(JW3&lt;&gt;"",JW3&lt;IN3),"INCONSISTENCIA FECHA CONTROL",IF(AND(OR(IK3="Parto",IK3="Cesarea"),JW3&gt;0,IN3&gt;0),SUM(JW3-IN3),IF(AND(OR(IK3="Parto",IK3="Cesarea"),JW3="",IN3&gt;0),"INASISTENTE","")))</f>
        <v/>
      </c>
      <c r="JY3" s="33"/>
      <c r="JZ3" s="28" t="str">
        <f t="shared" ref="JZ3:JZ34" si="57">IF(AND(JY3&lt;&gt;"",JY3&lt;IN3),"INCONSISTENCIA FECHA CONTROL",IF(AND(OR(IK3="Parto",IK3="Cesarea",IK3="Aborto Espontaneo",IK3="Aborto Inducido",IK3="IVE"),JY3&gt;0,IN3&gt;0),SUM(JY3-IN3),IF(AND(JY3&lt;&gt;"",JY3&lt;IN3),"INCONSISTENCIA FECHA CONTROL",IF(AND(OR(IK3="Parto",IK3="Cesarea",IK3="Aborto Espontaneo",IK3="Aborto Inducido",IK3="IVE"),JY3="",IN3&gt;0),"INASISTENTE",""))))</f>
        <v/>
      </c>
      <c r="KA3" s="21"/>
      <c r="KB3" s="21"/>
      <c r="KC3" s="21"/>
      <c r="KD3" s="37"/>
      <c r="KE3" s="28"/>
      <c r="KF3" s="28"/>
      <c r="KG3" s="28"/>
      <c r="KH3" s="39"/>
      <c r="KI3" s="39"/>
      <c r="KJ3" s="66"/>
      <c r="KK3" s="39"/>
      <c r="KL3" s="39"/>
      <c r="KM3" s="66"/>
      <c r="KN3" s="39"/>
      <c r="KO3" s="39"/>
      <c r="KP3" s="39"/>
      <c r="KQ3" s="39"/>
      <c r="KR3" s="39"/>
      <c r="KS3" s="39"/>
      <c r="KT3" s="185"/>
      <c r="KU3" s="186"/>
      <c r="KV3" s="186"/>
      <c r="KW3" s="186"/>
      <c r="KX3" s="185"/>
      <c r="KY3" s="186"/>
      <c r="KZ3" s="186"/>
      <c r="LA3" s="186"/>
      <c r="LB3" s="186"/>
      <c r="LC3" s="186"/>
      <c r="LD3" s="186"/>
      <c r="LE3" s="186"/>
      <c r="LF3" s="186"/>
      <c r="LG3" s="186"/>
      <c r="LH3" s="186"/>
      <c r="LI3" s="186"/>
      <c r="LJ3" s="186"/>
      <c r="LK3" s="186"/>
      <c r="LL3" s="186"/>
      <c r="LM3" s="186"/>
      <c r="LN3" s="186"/>
      <c r="LO3" s="186"/>
      <c r="LP3" s="186"/>
      <c r="LQ3" s="186"/>
      <c r="LR3" s="186"/>
      <c r="LS3" s="186"/>
      <c r="LT3" s="186"/>
      <c r="LU3" s="186"/>
      <c r="LV3" s="186"/>
      <c r="LW3" s="186"/>
      <c r="LX3" s="186"/>
      <c r="LY3" s="186"/>
      <c r="LZ3" s="186"/>
      <c r="MA3" s="186"/>
      <c r="MB3" s="186"/>
      <c r="MC3" s="186"/>
      <c r="MD3" s="186"/>
      <c r="ME3" s="186"/>
      <c r="MF3" s="186"/>
      <c r="MG3" s="186"/>
      <c r="MH3" s="81">
        <f t="shared" ref="MH3:MH34" si="58">SUM(COUNTIF(KU3,"PARTERO (A)"),COUNTIF(KY3,"PARTERO (A)"),COUNTIF(LC3,"PARTERO (A)"),COUNTIF(LG3,"PARTERO (A)"),COUNTIF(LK3,"PARTERO (A)"),COUNTIF(LO3,"PARTERO (A)"),COUNTIF(ME3,"PARTERO (A)"))</f>
        <v>0</v>
      </c>
      <c r="MI3" s="81" t="str">
        <f t="shared" ref="MI3:MI34" si="59">IF(AND(R3="",O3=""),"",IF(AND(OR(O3&gt;0,R3&gt;0),KT3&gt;0),SUM(KT3-RW3)/7,""))</f>
        <v/>
      </c>
      <c r="MJ3" s="81" t="str">
        <f t="shared" ref="MJ3:MJ34" si="60">IF(AND(MI3="",BT3=""),"",IF(AND(MI3&lt;&gt;"",BT3="SIN DATO"),"SIN DATO",IF(AND(MI3="",BT3&lt;&gt;""),"",IF(AND(MI3&lt;0,BT3&gt;0),"ERROR FUM O INGRESO",IF(MI3&lt;=13,"I TRIM",IF(MI3&lt;28,"II TRIM",IF(AND(MI3&gt;27,MI3&lt;45),"III TRIM","POR DEFINIR")))))))</f>
        <v/>
      </c>
      <c r="MK3" s="81">
        <f t="shared" ref="MK3:MK34" si="61">SUM(COUNTIF(KU3,"MEDICO (A) TRADICIONAL"),COUNTIF(KY3,"MEDICO (A) TRADICIONAL"),COUNTIF(LC3,"MEDICO (A) TRADICIONAL"),COUNTIF(LG3,"MEDICO (A) TRADICIONAL"),COUNTIF(LK3,"MEDICO (A) TRADICIONAL"),COUNTIF(LO3,"MEDICO (A) TRADICIONAL"),COUNTIF(ME3,"MEDICO (A) TRADICIONAL"))</f>
        <v>0</v>
      </c>
      <c r="ML3" s="81" t="str">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
      </c>
      <c r="MM3" s="81" t="str">
        <f t="shared" ref="MM3:MM34" si="62">IF(AND(O3&gt;0,RW3&gt;0),SUM(O3-RW3)/7,"")</f>
        <v/>
      </c>
      <c r="MN3" s="81" t="str">
        <f t="shared" ref="MN3:MN34" si="63">IF(R3&gt;0,MONTH(R3),"")</f>
        <v/>
      </c>
      <c r="MO3" s="81" t="str">
        <f t="shared" ref="MO3:MO34" si="64">IF(R3&gt;0,YEAR(R3),"")</f>
        <v/>
      </c>
      <c r="MP3" s="81" t="str">
        <f t="shared" ref="MP3:MP34" si="65">IF(AND(MN3&gt;=1,MN3&lt;=3),"I TRIMESTRE AÑO",IF(AND(MN3&gt;=4,MN3&lt;=6),"II TRIMESTRE AÑO",IF(AND(MN3&gt;=7,MN3&lt;=9),"III TRIMESTRE AÑO",IF(AND(MN3&gt;=10,MN3&lt;=12),"IV TRIMESTRE AÑO",""))))</f>
        <v/>
      </c>
      <c r="MQ3" s="81" t="str">
        <f t="shared" ref="MQ3:MQ34" si="66">IF(AND(M3&gt;0,R3&gt;0),DAYS360(M3,R3)/30.44/12,IF(AND(M3&gt;0,O3&gt;0,R3=""),DAYS360(M3,O3)/30.44/12,""))</f>
        <v/>
      </c>
      <c r="MR3" s="81" t="str">
        <f t="shared" ref="MR3:MR34" si="67">IF(AND(MQ3&gt;7,MQ3&lt;14),2,IF(MQ3&lt;16,1,IF(MQ3&lt;=35,0,IF(AND(MQ3&gt;35,MQ3&lt;50),2,""))))</f>
        <v/>
      </c>
      <c r="MS3" s="81" t="str">
        <f t="shared" ref="MS3:MS34" si="68">+IF(MQ3="","",IF(MQ3&lt;14,"MENOR 14 AÑOS",IF(MQ3&lt;20,"DE 14 A 19AÑOS",IF(MQ3&lt;25," DE 20 A 24 AÑOS",IF(MQ3&lt;30," DE 25 A 29 AÑOS",IF(MQ3&lt;35," DE 30 A 34 AÑOS",IF(MQ3&lt;40," DE 35 A 39 AÑOS"," DE 40 Y MAS")))))))</f>
        <v/>
      </c>
      <c r="MT3" s="81" t="str">
        <f t="shared" ref="MT3:MT34" si="69">IF(OR(AX3="SI",BA3="SI"),1,IF(AND(AX3="NO",BA3="NO"),0,""))</f>
        <v/>
      </c>
      <c r="MU3" s="81" t="str">
        <f t="shared" ref="MU3:MU34" si="70">IF(AT3="","",IF(AT3=0,1,IF(AND(AT3&gt;=1,AT3&lt;=4),0,IF(AT3&gt;=5,2,"X"))))</f>
        <v/>
      </c>
      <c r="MV3" s="81" t="str">
        <f t="shared" ref="MV3:MV34" si="71">IF(AW3="","",IF(AW3=0,0,IF(AW3=1,1,IF(OR(AW3=2,AW3="3 o MAS"),2,"X"))))</f>
        <v/>
      </c>
      <c r="MW3" s="81" t="str">
        <f t="shared" ref="MW3:MW34" si="72">IF(AY3="SI",1,IF(AY3="NO",0,""))</f>
        <v/>
      </c>
      <c r="MX3" s="81" t="str">
        <f t="shared" ref="MX3:MX34" si="73">IF(OR(AND(EM3&gt;0,EM3&lt;11),AND(ER3&gt;0,ER3&lt;10.5)),1,"")</f>
        <v/>
      </c>
      <c r="MY3" s="81" t="str">
        <f t="shared" ref="MY3:MY34" ca="1" si="74">IF(AND(AND(BU3&gt;40.9,BU3&lt;43),IN3=""),1,"")</f>
        <v/>
      </c>
      <c r="MZ3" s="81" t="str">
        <f t="shared" ref="MZ3:MZ34" si="75">IF(AND(GJ3="",GL3="",BB3=""),"",IF(OR(OR(GJ3="P.R REACTIVA",GJ3="ELISA REACTIVA"),OR(BB3="SI",GL3="POSITIVA",GL3="NO CONCLUYENTE")),3,""))</f>
        <v/>
      </c>
      <c r="NA3" s="81" t="str">
        <f t="shared" ref="NA3:NA34" si="76">IF(CD3="","",IF(OR(CD3="CEFÁLICA",CD3="SD"),0,IF(OR(CD3="PODÁLICA",CD3="TRANSVERSA O DE FRENTE",CD3="OBLICUA"),3,"")))</f>
        <v/>
      </c>
      <c r="NB3" s="81" t="str">
        <f t="shared" ref="NB3:NB34" si="77">IF(GZ3="","",IF(GZ3="POSITIVO",2,"0"))</f>
        <v/>
      </c>
      <c r="NC3" s="81" t="str">
        <f t="shared" ref="NC3:NC34" si="78">IF(AND(HB3="",HD3=""),"",IF(OR(HB3="POSITIVO",HD3="POSITIVO"),3,0))</f>
        <v/>
      </c>
      <c r="ND3" s="81" t="str">
        <f t="shared" ref="ND3:ND34" si="79">IF(AND(O3="",R3=""),"",IF(OR(O3&lt;&gt;"",R3&lt;&gt;""),SUM(COUNTIF(AL3:AR3,"SI"),COUNTIF(AV3,"SI"),COUNTIF(BC3,"SI, CONTROLADA"),COUNTIF(BI3,"SI"),COUNTIF(BM3,"SI"),SUM(COUNTIF(BC3,"SI, SIN MANEJO")*3),SUM(COUNTIF(BC3,"SI, NO CONTROLADA")*3),SUM(COUNTIF(BD3:BG3,"SI")*3),SUM(COUNTIF(CB3:CC3,"SI")*3),SUM(COUNTIF(AD3,"Consumo Actual")*3),SUM(COUNTIF(AD3,"Hasta Antes de la Gestación")*2),SUM(COUNTIF(BK3,"SI")*3),SUM(COUNTIF(BL3,"SI")*2),SUM(COUNTIF(CE3,"SI")*2),SUM(COUNTIF(BH3,"SI")*2),SUM(COUNTIF(FG3,"DIABETES, REMITIR")*2),SUM(MT3:NC3),SUM(MR3),SUM(NG3),SUM(COUNTIF(EZ3,"COOMBS C/MES Y RESUMAN SEM 28")*2),SUM(COUNTIF(EZ3,"TOMAR COOMBS CUANTITATIVO Y REMISIÓN")*3),SUM(COUNTIF(FU3,"SIFILIS GESTACIONAL")*3)),""))</f>
        <v/>
      </c>
      <c r="NE3" s="81" t="str">
        <f>IF(OR(O3&gt;0,R3&gt;0),SUM(COUNTIF(Tabla1[[#This Row],[AÑOS AL INICIO5 CPN]],"&gt;=40"),COUNTIF(AS3,"0"),COUNTIF(AR3,"SI"),COUNTIF(CC3,"SI"),COUNTIF(BQ3,"&gt;119"),COUNTIF(CI3,"&gt;=35")),"")</f>
        <v/>
      </c>
      <c r="NF3" s="81" t="str">
        <f t="shared" ref="NF3:NF34" si="80">IF(AND(R3="",O3=""),"",IF(AND(OR(O3&gt;0,R3&gt;0),RW3=""),"SD",IF(AND(OR(O3&gt;0,R3&gt;0),ID3&gt;0),SUM(ID3-RW3)/7,"")))</f>
        <v/>
      </c>
      <c r="NG3" s="81" t="str">
        <f t="shared" ref="NG3:NG34" si="81">IF(AND(AD3="",AE3="",AF3="",AG3="",AH3="",AI3="",AJ3=""),"",SUM(COUNTIF(AD3,"Hasta Antes de la Gestación")/2,SUM(COUNTIF(AE3,"NO")/2),COUNTIF(AF3,"NO"),SUM(COUNTIF(AG3,"SI")/2),COUNTIF(AH3,"SI"),SUM(COUNTIF(AJ3,"SI")*2),COUNTIF(AD3,"Consumo Actual"),COUNTIF(AI3,"HABITANTE DE CALLE"),COUNTIF(AI3,"DESPLAZADA"),COUNTIF(AI3,"MIGRATORIA"),COUNTIF(AI3,"DISCAPACIDAD FISICA"),COUNTIF(AI3,"DISCAPACIDAD CONDUCTUAL"),COUNTIF(AI3,"DISCAPACIDAD VISUAL"),COUNTIF(AI3,"DISCAPACIDAD AUDITIVA"),COUNTIF(AI3,"DISCAPACIDAD MULTIPLE"),COUNTIF(AI3,"DISCAPACIDAD SISTEMICA")))</f>
        <v/>
      </c>
      <c r="NH3" s="81" t="str">
        <f t="shared" ref="NH3:NH34" si="82">IF(BX3&gt;0,BX3*7,"")</f>
        <v/>
      </c>
      <c r="NI3" s="81"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CPN",P3="NO"),"Z",IF(AND(Tabla1[[#This Row],[CITA PROXIMO CONTROL]]="CITA MANUAL",Tabla1[[#This Row],[GESTANTES ACTUALES]]="ACTIVA INGRESO A CPN"),"W",IF(AND(Tabla1[[#This Row],[GESTANTES ACTUALES]]="SALIO PROGRAMA",IN3=""),"S",IF(AND(Tabla1[[#This Row],[CITA PROXIMO CONTROL]]&gt;0,IN3=""),(Tabla1[[#This Row],[CITA PROXIMO CONTROL]]-TODAY()),"SD"))))))))</f>
        <v>SD</v>
      </c>
      <c r="NJ3" s="81">
        <f>MONTH(Tabla1[[#This Row],[FECHA DE SALIDA  DEL PROGRAMA]])</f>
        <v>1</v>
      </c>
      <c r="NK3" s="81">
        <f>YEAR(Tabla1[[#This Row],[FECHA DE SALIDA  DEL PROGRAMA]])</f>
        <v>1900</v>
      </c>
      <c r="NL3" s="81" t="str">
        <f t="shared" ref="NL3:NL34" si="83">IF(AND(O3&gt;0,R3=""),"NO CPN",IF(AND(O3="",R3=""),"",IF(AND(R3&gt;0,EJ3&gt;0,EI3&gt;0),_xlfn.DAYS(EJ3,EI3),IF(AND(R3&gt;0,EJ3&gt;0,EI3=""),"NO CITA","X"))))</f>
        <v/>
      </c>
      <c r="NM3" s="81" t="str">
        <f t="shared" ref="NM3:NM34" si="84">IF(AND(O3&gt;0,R3=""),"NO CPN",IF(AND(O3="",R3=""),"",IF(AND(EN3&lt;&gt;"",EX3&lt;&gt;"",FB3&lt;&gt;"",FK3&lt;&gt;"",FW3&lt;&gt;"",FZ3&lt;&gt;"",GO3&lt;&gt;"",GQ3&lt;&gt;"",GR3&lt;&gt;""),"SI","NO")))</f>
        <v/>
      </c>
      <c r="NN3" s="81" t="str">
        <f>IF(AND(O3&gt;0,R3=""),"NO CPN",IF(AND(O3="",R3=""),"",IF(AND(R3&gt;0,Tabla1[[#This Row],[SEMANAS DE GESTACION ACTUALIZADAS]]&lt;=12),"NO APLICA",IF(AND(FH3&lt;&gt;"",FN3&lt;&gt;""),"SI","NO"))))</f>
        <v/>
      </c>
      <c r="NO3" s="81" t="str">
        <f>IF(AND(O3&gt;0,R3=""),"NO CPN",IF(AND(O3="",R3=""),"",IF(AND(R3&gt;0,Tabla1[[#This Row],[SEMANAS DE GESTACION ACTUALIZADAS]]&lt;=27),"NO APLICA",IF(AND(ES3&lt;&gt;"",FQ3&lt;&gt;"",GF3&lt;&gt;""),"SI","NO"))))</f>
        <v/>
      </c>
      <c r="NP3" s="228" t="str">
        <f t="shared" ref="NP3:NP34" si="85">IF(AND(BS3="",IG3=""),"",IF(AND(BS3="",IG3="DEFINIR FPP POR ECO"),"SIN DATO",IF(BS3&lt;0,"ERROR FUM O INGRESO",IF(BP3="NO","DEFINIR CON ECO",IF(BS3&lt;12,"I TRIM",IF(BS3&lt;27,"II TRIM",IF(AND(BS3&gt;26,BS3&lt;45),"III TRIM","ERROR FUM O INGRESO")))))))</f>
        <v/>
      </c>
      <c r="NQ3" s="216" t="str">
        <f t="shared" ref="NQ3:NQ34" si="86">IF(AND(IP4&gt;0,IP4&lt;37),10,IF(OR(CD4="Transversa",CD4="Oblicua"),9,IF(CC4="SI",8,IF(AND(AT4=0,AW4=0,CC4="NO",CD4="Cefálica",IP4&gt;=37,IT4="INICIO ESPONTÁNEO"),1,IF(AND(AND(AT4=0,AW4=0,CC4="NO",CD4="Cefálica",IP4&gt;=37),OR(IT4="LE HACEN INDUCCIÓN",IT4="LE HACEN CESÁREA SIN INICIO TRABAJO DE PARTO")),2,IF(AND(AT4&gt;=1,AW4=0,CC4="NO",CD4="Cefálica",IP4&gt;=37,IT4="INICIO ESPONTÁNEO"),3,IF(AND(AND(AT4&gt;=1,AW4=0,CC4="NO",CD4="Cefálica",IP4&gt;=37),OR(IT4="LE HACEN INDUCCIÓN",IT4="LE HACEN CESÁREA SIN INICIO TRABAJO DE PARTO")),4,IF(AND(AND(AT4&gt;=1,AW4&gt;=1,CC4="NO",CD4="Cefálica",IP4&gt;=37),OR(IT4="LE HACEN INDUCCIÓN",IT4="LE HACEN CESÁREA SIN INICIO TRABAJO DE PARTO",IT4="INICIO ESPONTÁNEO")),5,IF(AND(AND(AT4=0,AW4=0,CC4="NO",CD4="Podálica",IP4&gt;=1),OR(IT4="LE HACEN INDUCCIÓN",IT4="LE HACEN CESÁREA SIN INICIO TRABAJO DE PARTO",IT4="INICIO ESPONTÁNEO")),6,IF(AND(AND(AT4&gt;=1,CC4="NO",CD4="Podálica",IP4&gt;=1),OR(IT4="LE HACEN INDUCCIÓN",IT4="LE HACEN CESÁREA SIN INICIO TRABAJO DE PARTO",IT4="INICIO ESPONTÁNEO"),OR(AW4=0,AW4&gt;=1)),7,""))))))))))</f>
        <v/>
      </c>
      <c r="NR3" s="216" t="str">
        <f t="shared" ref="NR3:NR34" si="87">IF(AND(O3="",R3=""),"",IF(AND(BS3&gt;0,BS3&lt;12,IP3&gt;28,IP3&lt;44),3, IF(OR(AND(BS3&gt;=12,BS3&lt;28,IP3&gt;=28,IP3&lt;44),AND(BS3&gt;0,BS3&lt;12,IP3&gt;=12,IP3&lt;29)),2,IF(OR(AND(BS3&gt;=28,BS3&lt;44),AND(BS3&gt;0,BS3&lt;12,IP3&gt;0,IP3&lt;12),AND(BS3&gt;=12,BS3&lt;28,IP3&gt;=12,IP3&lt;28)),1,IF(AND(BS3&gt;0,BS3&lt;12,BU3&gt;=28,BU3&lt;44,DV3="ACTIVA INGRESO A CPN"),3,IF(OR(AND(BS3&gt;0,BS3&lt;12,BU3&gt;=12,BU3&lt;28,DV3="ACTIVA INGRESO A CPN"),AND(BS3&gt;=12,BS3&lt;28,BU3&gt;=28,BU3&lt;44,DV3="ACTIVA INGRESO A CPN")),2,IF(OR(AND(BS3&gt;0,BS3&lt;12,BU3&gt;0,BU3&lt;12,DV3="ACTIVA INGRESO A CPN"),AND(BS3&gt;=12,BS3&lt;28,BU3&gt;=12,BU3&lt;28,DV3="ACTIVA INGRESO A CPN")),1,"REVISAR FUM O FECHA SALIDA PROGRAMA")))))))</f>
        <v/>
      </c>
      <c r="NS3" s="229">
        <f t="shared" ref="NS3:NS34" si="88">COUNT(FL3,FO3,FR3,FT3)</f>
        <v>0</v>
      </c>
      <c r="NT3" s="216">
        <f t="shared" ref="NT3:NT34" si="89">COUNT(GA3,GD3,GG3,GI3)</f>
        <v>0</v>
      </c>
      <c r="NU3" s="216" t="str">
        <f t="shared" ref="NU3:NU34" si="90">IF(NR3="","",IF(NR3="REVISAR FUM O FECHA SALIDA PROGRAMA","POR DEFINIR",IF(OR(NR3=NS3,NS3&gt;NR3),"COMPLETO",IF(NS3&lt;NR3,"INCOMPLETO",""))))</f>
        <v/>
      </c>
      <c r="NV3" s="216" t="str">
        <f t="shared" ref="NV3:NV34" si="91">IF(NR3="","",IF(NR3="REVISAR FUM O FECHA SALIDA PROGRAMA","POR DEFINIR",IF(OR(NR3=NT3,NT3&gt;NR3),"COMPLETO",IF(NT3&lt;NR3,"INCOMPLETO",""))))</f>
        <v/>
      </c>
      <c r="NW3" s="230" t="str">
        <f>IF(AND(O3="",R3=""),"",IF(OR(AND(Tabla1[[#This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
      </c>
      <c r="NX3" s="231" t="str">
        <f t="shared" ref="NX3:NX34" si="92">IF(AND(O3="",R3=""),"",IF(OR(IE3="VACUNA APLICADA ENTRE SEMANA 20 Y SEMANA 26",IE3="VACUNA APLICADA ENTRE SEMANA 27 Y EL PARTO",IE3="VACUNA APLICADA ANTES SEMANA 20"),"VACUNADA","SIN VACUNAR"))</f>
        <v/>
      </c>
      <c r="NY3" s="81">
        <f>ROW(Tabla1[[#This Row],['# DE TAMIZAJES SIFILIS TOMADOS ]])</f>
        <v>3</v>
      </c>
      <c r="NZ3" s="81" t="str">
        <f t="shared" ref="NZ3:NZ66" si="93">IF(BS3="","",IF(BS3&lt;10,"Menor",INT(BS3)))</f>
        <v/>
      </c>
      <c r="OA3" s="81" t="str">
        <f t="shared" ref="OA3:OA66" si="94">IF(AND(NZ3=$OA$2,CI3&gt;10,CI3&lt;18.5),"BAJO PESO",IF(AND(NZ3=$OA$2,CI3&gt;18.4,CI3&lt;25),"NORMAL",IF(AND(NZ3=$OA$2,CI3&gt;24,CI3&lt;30),"SOBREPESO",IF(AND(NZ3=$OA$2,CI3&gt;29,CI3&lt;50),"OBESIDAD",""))))</f>
        <v/>
      </c>
      <c r="OB3" s="81" t="str">
        <f t="shared" ref="OB3:OB66" si="95">IF(AND(NZ3=$OB$2,CI3&gt;10,CI3&lt;20.3),"BAJO PESO",IF(AND(NZ3=$OB$2,CI3&gt;20.2,CI3&lt;25.3),"NORMAL",IF(AND(NZ3=$OB$2,CI3&gt;25.2,CI3&lt;30.3),"SOBREPESO",IF(AND(NZ3=$OB$2,CI3&gt;30.2,CI3&lt;50),"OBESIDAD",""))))</f>
        <v/>
      </c>
      <c r="OC3" s="81" t="str">
        <f t="shared" ref="OC3:OC66" si="96">IF(AND(NZ3=$OC$2,CI3&gt;10,CI3&lt;20.4),"BAJO PESO",IF(AND(NZ3=$OC$2,CI3&gt;20.3,CI3&lt;25.4),"NORMAL",IF(AND(NZ3=$OC$2,CI3&gt;25.3,CI3&lt;30.4),"SOBREPESO",IF(AND(NZ3=$OC$2,CI3&gt;30.3,CI3&lt;50),"OBESIDAD",""))))</f>
        <v/>
      </c>
      <c r="OD3" s="81" t="str">
        <f t="shared" ref="OD3:OD66" si="97">IF(AND(NZ3=$OD$2,CI3&gt;10,CI3&lt;20.5),"BAJO PESO",IF(AND(NZ3=$OD$2,CI3&gt;20.4,CI3&lt;25.5),"NORMAL",IF(AND(NZ3=$OD$2,CI3&gt;25.4,CI3&lt;30.4),"SOBREPESO",IF(AND(NZ3=$OD$2,CI3&gt;30.3,CI3&lt;50),"OBESIDAD",""))))</f>
        <v/>
      </c>
      <c r="OE3" s="81" t="str">
        <f t="shared" ref="OE3:OE66" si="98">IF(AND(NZ3=$OE$2,CI3&gt;10,CI3&lt;20.7),"BAJO PESO",IF(AND(NZ3=$OE$2,CI3&gt;20.6,CI3&lt;25.7),"NORMAL",IF(AND(NZ3=$OE$2,CI3&gt;25.7,CI3&lt;30.5),"SOBREPESO",IF(AND(NZ3=$OE$2,CI3&gt;30.4,CI3&lt;50),"OBESIDAD",""))))</f>
        <v/>
      </c>
      <c r="OF3" s="81" t="str">
        <f t="shared" ref="OF3:OF66" si="99">IF(AND(NZ3=$OF$2,CI3&gt;10,CI3&lt;20.8),"BAJO PESO",IF(AND(NZ3=$OF$2,CI3&gt;20.7,CI3&lt;25.8),"NORMAL",IF(AND(NZ3=$OF$2,CI3&gt;25.7,CI3&lt;30.6),"SOBREPESO",IF(AND(NZ3=$OF$2,CI3&gt;30.5,CI3&lt;50),"OBESIDAD",""))))</f>
        <v/>
      </c>
      <c r="OG3" s="81" t="str">
        <f t="shared" ref="OG3:OG66" si="100">IF(AND(NZ3=$OG$2,CI3&gt;10,CI3&lt;20.9),"BAJO PESO",IF(AND(NZ3=$OG$2,CI3&gt;20.8,CI3&lt;25.9),"NORMAL",IF(AND(NZ3=$OG$2,CI3&gt;25.8,CI3&lt;30.7),"SOBREPESO",IF(AND(NZ3=$OG$2,CI3&gt;30.6,CI3&lt;50),"OBESIDAD",""))))</f>
        <v/>
      </c>
      <c r="OH3" s="81" t="str">
        <f t="shared" ref="OH3:OH66" si="101">IF(AND(NZ3=$OH$2,CI3&gt;10,CI3&lt;21.1),"BAJO PESO",IF(AND(NZ3=$OH$2,CI3&gt;21,CI3&lt;26),"NORMAL",IF(AND(NZ3=$OH$2,CI3&gt;25.9,CI3&lt;30.8),"SOBREPESO",IF(AND(NZ3=$OH$2,CI3&gt;30.7,CI3&lt;50),"OBESIDAD",""))))</f>
        <v/>
      </c>
      <c r="OI3" s="81" t="str">
        <f t="shared" ref="OI3:OI66" si="102">IF(AND(NZ3=$OI$2,CI3&gt;10,CI3&lt;21.2),"BAJO PESO",IF(AND(NZ3=$OI$2,CI3&gt;21.1,CI3&lt;26.1),"NORMAL",IF(AND(NZ3=$OI$2,CI3&gt;26,CI3&lt;31.9),"SOBREPESO",IF(AND(NZ3=$OI$2,CI3&gt;30.8,CI3&lt;50),"OBESIDAD",""))))</f>
        <v/>
      </c>
      <c r="OJ3" s="81" t="str">
        <f t="shared" ref="OJ3:OJ66" si="103">IF(AND(NZ3=$OJ$2,CI3&gt;10,CI3&lt;21.3),"BAJO PESO",IF(AND(NZ3=$OJ$2,CI3&gt;21.2,CI3&lt;26.2),"NORMAL",IF(AND(NZ3=$OJ$2,CI3&gt;26.1,CI3&lt;31),"SOBREPESO",IF(AND(NZ3=$OJ$2,CI3&gt;30.9,CI3&lt;50),"OBESIDAD",""))))</f>
        <v/>
      </c>
      <c r="OK3" s="81" t="str">
        <f t="shared" ref="OK3:OK66" si="104">IF(AND(NZ3=$OK$2,CI3&gt;10,CI3&lt;21.5),"BAJO PESO",IF(AND(NZ3=$OK$2,CI3&gt;21.4,CI3&lt;26.3),"NORMAL",IF(AND(NZ3=$OK$2,CI3&gt;26.2,CI3&lt;31),"SOBREPESO",IF(AND(NZ3=$OK$2,CI3&gt;30.9,CI3&lt;50),"OBESIDAD",""))))</f>
        <v/>
      </c>
      <c r="OL3" s="81" t="str">
        <f t="shared" ref="OL3:OL66" si="105">IF(AND(NZ3=$OL$2,CI3&gt;10,CI3&lt;21.6),"BAJO PESO",IF(AND(NZ3=$OL$2,CI3&gt;21.5,CI3&lt;26.4),"NORMAL",IF(AND(NZ3=$OL$2,CI3&gt;26.3,CI3&lt;31.1),"SOBREPESO",IF(AND(NZ3=$OL$2,CI3&gt;31,CI3&lt;50),"OBESIDAD",""))))</f>
        <v/>
      </c>
      <c r="OM3" s="81" t="str">
        <f t="shared" ref="OM3:OM66" si="106">IF(AND(NZ3=$OM$2,CI3&gt;10,CI3&lt;21.8),"BAJO PESO",IF(AND(NZ3=$OM$2,CI3&gt;21.7,CI3&lt;26.5),"NORMAL",IF(AND(NZ3=$OM$2,CI3&gt;26.4,CI3&lt;31.2),"SOBREPESO",IF(AND(NZ3=$OM$2,CI3&gt;31.1,CI3&lt;50),"OBESIDAD",""))))</f>
        <v/>
      </c>
      <c r="ON3" s="81" t="str">
        <f t="shared" ref="ON3:ON66" si="107">IF(AND(NZ3=$ON$2,CI3&gt;10,CI3&lt;21.9),"BAJO PESO",IF(AND(NZ3=$ON$2,CI3&gt;21.8,CI3&lt;26.7),"NORMAL",IF(AND(NZ3=$ON$2,CI3&gt;26.6,CI3&lt;31.3),"SOBREPESO",IF(AND(NZ3=$ON$2,CI3&gt;31.2,CI3&lt;50),"OBESIDAD",""))))</f>
        <v/>
      </c>
      <c r="OO3" s="81" t="str">
        <f t="shared" ref="OO3:OO66" si="108">IF(AND(NZ3=$OO$2,CI3&gt;10,CI3&lt;22.1),"BAJO PESO",IF(AND(NZ3=$OO$2,CI3&gt;22,CI3&lt;26.8),"NORMAL",IF(AND(NZ3=$OO$2,CI3&gt;26.7,CI3&lt;31.4),"SOBREPESO",IF(AND(NZ3=$OO$2,CI3&gt;31.3,CI3&lt;50),"OBESIDAD",""))))</f>
        <v/>
      </c>
      <c r="OP3" s="81" t="str">
        <f t="shared" ref="OP3:OP66" si="109">IF(AND(NZ3=$OP$2,CI3&gt;10,CI3&lt;22.3),"BAJO PESO",IF(AND(NZ3=$OP$2,CI3&gt;22.2,CI3&lt;27),"NORMAL",IF(AND(NZ3=$OP$2,CI3&gt;26.9,CI3&lt;31.6),"SOBREPESO",IF(AND(NZ3=$OP$2,CI3&gt;31.5,CI3&lt;50),"OBESIDAD",""))))</f>
        <v/>
      </c>
      <c r="OQ3" s="81" t="str">
        <f t="shared" ref="OQ3:OQ66" si="110">IF(AND(NZ3=$OQ$2,$CI3&gt;10,CI3&lt;22.5),"BAJO PESO",IF(AND(NZ3=$OQ$2,CI3&gt;22.4,CI3&lt;27.1),"NORMAL",IF(AND(NZ3=$OQ$2,CI3&gt;27,CI3&lt;31.7),"SOBREPESO",IF(AND(NZ3=$OQ$2,CI3&gt;31.6,CI3&lt;50),"OBESIDAD",""))))</f>
        <v/>
      </c>
      <c r="OR3" s="81" t="str">
        <f t="shared" ref="OR3:OR66" si="111">IF(AND(NZ3=$OR$2,CI3&gt;10,CI3&lt;22.7),"BAJO PESO",IF(AND(NZ3=$OR$2,CI3&gt;22.6,CI3&lt;27.3),"NORMAL",IF(AND(NZ3=$OR$2,CI3&gt;27.1,CI3&lt;31.8),"SOBREPESO",IF(AND(NZ3=$OR$2,CI3&gt;31.7,CI3&lt;50),"OBESIDAD",""))))</f>
        <v/>
      </c>
      <c r="OS3" s="81" t="str">
        <f t="shared" ref="OS3:OS66" si="112">IF(AND(NZ3=$OS$2,CI3&gt;10,CI3&lt;22.8),"BAJO PESO",IF(AND(NZ3=$OS$2,CI3&gt;22.7,CI3&lt;27.4),"NORMAL",IF(AND(NZ3=$OS$2,CI3&gt;27.3,CI3&lt;31.9),"SOBREPESO",IF(AND(NZ3=$OS$2,CI3&gt;31.8,CI3&lt;50),"OBESIDAD",""))))</f>
        <v/>
      </c>
      <c r="OT3" s="81" t="str">
        <f t="shared" ref="OT3:OT66" si="113">IF(AND(NZ3=$OT$2,CI3&gt;10,CI3&lt;23),"BAJO PESO",IF(AND(NZ3=$OT$2,CI3&gt;22.9,CI3&lt;27.6),"NORMAL",IF(AND(NZ3=$OT$2,CI3&gt;27.5,CI3&lt;32),"SOBREPESO",IF(AND(NZ3=$OT$2,CI3&gt;31.9,CI3&lt;50),"OBESIDAD",""))))</f>
        <v/>
      </c>
      <c r="OU3" s="81" t="str">
        <f t="shared" ref="OU3:OU66" si="114">IF(AND(NZ3=$OU$2,CI3&gt;10,CI3&lt;23.2),"BAJO PESO",IF(AND(NZ3=$OU$2,CI3&gt;23.1,CI3&lt;27.7),"NORMAL",IF(AND(NZ3=$OU$2,CI3&gt;27.6,CI3&lt;32.1),"SOBREPESO",IF(AND(NZ3=$OU$2,CI3&gt;32,CI3&lt;50),"OBESIDAD",""))))</f>
        <v/>
      </c>
      <c r="OV3" s="210" t="str">
        <f t="shared" ref="OV3:OV66" si="115">IF(AND(NZ3=$OV$2,CI3&gt;10,CI3&lt;23.4),"BAJO PESO",IF(AND(NZ3=$OV$2,CI3&gt;23.3,CI3&lt;27.9),"NORMAL",IF(AND(NZ3=$OV$2,CI3&gt;27.8,CI3&lt;32.2),"SOBREPESO",IF(AND(NZ3=$OV$2,CI3&gt;32.1,CI3&lt;50),"OBESIDAD",""))))</f>
        <v/>
      </c>
      <c r="OW3" s="81" t="str">
        <f t="shared" ref="OW3:OW66" si="116">IF(AND(NZ3=$OW$2,CI3&gt;10,CI3&lt;23.5),"BAJO PESO",IF(AND(NZ3=$OW$2,CI3&gt;23.4,CI3&lt;28),"NORMAL",IF(AND(NZ3=$OW$2,CI3&gt;27.9,CI3&lt;32.1),"SOBREPESO",IF(AND(NZ3=$OW$2,CI3&gt;32.2,CI3&lt;50),"OBESIDAD",""))))</f>
        <v/>
      </c>
      <c r="OX3" s="81" t="str">
        <f t="shared" ref="OX3:OX66" si="117">IF(AND(NZ3=$OX$2,CI3&gt;10,CI3&lt;23.7),"BAJO PESO",IF(AND(NZ3=$OX$2,CI3&gt;23.6,CI3&lt;28.1),"NORMAL",IF(AND(NZ3=$OX$2,CI3&gt;28,CI3&lt;33.4),"SOBREPESO",IF(AND(NZ3=$OX$2,CI3&gt;33.3,CI3&lt;50),"OBESIDAD",""))))</f>
        <v/>
      </c>
      <c r="OY3" s="81" t="str">
        <f t="shared" ref="OY3:OY66" si="118">IF(AND(NZ3=$OY$2,CI3&gt;10,CI3&lt;23.9),"BAJO PESO",IF(AND(NZ3=$OY$2,CI3&gt;23.8,CI3&lt;28.2),"NORMAL",IF(AND(NZ3=$OY$2,CI3&gt;28.1,CI3&lt;33.5),"SOBREPESO",IF(AND(NZ3=$OY$2,CI3&gt;33.4,CI3&lt;50),"OBESIDAD",""))))</f>
        <v/>
      </c>
      <c r="OZ3" s="81" t="str">
        <f t="shared" ref="OZ3:OZ66" si="119">IF(AND(NZ3=$OZ$2,CI3&gt;10,CI3&lt;24),"BAJO PESO",IF(AND(NZ3=$OZ$2,CI3&gt;23.9,CI3&lt;28.4),"NORMAL",IF(AND(NZ3=$OZ$2,CI3&gt;28.3,CI3&lt;33.6),"SOBREPESO",IF(AND(NZ3=$OZ$2,CI3&gt;33.5,CI3&lt;50),"OBESIDAD",""))))</f>
        <v/>
      </c>
      <c r="PA3" s="81" t="str">
        <f t="shared" ref="PA3:PA66" si="120">IF(AND(NZ3=$PA$2,CI3&gt;10,CI3&lt;24.2),"BAJO PESO",IF(AND(NZ3=$PA$2,CI3&gt;24.1,CI3&lt;28.5),"NORMAL",IF(AND(NZ3=$PA$2,CI3&gt;28.4,CI3&lt;33.7),"SOBREPESO",IF(AND(NZ3=$PA$2,CI3&gt;33.6,CI3&lt;50),"OBESIDAD",""))))</f>
        <v/>
      </c>
      <c r="PB3" s="81" t="str">
        <f t="shared" ref="PB3:PB66" si="121">IF(AND(NZ3=$PB$2,CI3&gt;10,CI3&lt;24.3),"BAJO PESO",IF(AND(NZ3=$PB$2,CI3&gt;24.2,CI3&lt;28.6),"NORMAL",IF(AND(NZ3=$PB$2,CI3&gt;28.5,CI3&lt;33.8),"SOBREPESO",IF(AND(NZ3=$PB$2,CI3&gt;33.7,CI3&lt;50),"OBESIDAD",""))))</f>
        <v/>
      </c>
      <c r="PC3" s="81" t="str">
        <f t="shared" ref="PC3:PC66" si="122">IF(AND(NZ3=$PC$2,CI3&gt;10,CI3&lt;24.5),"BAJO PESO",IF(AND(NZ3=$PC$2,CI3&gt;24.4,CI3&lt;28.8),"NORMAL",IF(AND(NZ3=$PC$2,CI3&gt;28.7,CI3&lt;32.9),"SOBREPESO",IF(AND(NZ3=$PC$2,CI3&gt;32.8,CI3&lt;50),"OBESIDAD",""))))</f>
        <v/>
      </c>
      <c r="PD3" s="81" t="str">
        <f t="shared" ref="PD3:PD66" si="123">IF(AND(NZ3=$PD$2,CI3&gt;10,CI3&lt;24.6),"BAJO PESO",IF(AND(NZ3=$PD$2,CI3&gt;24.5,CI3&lt;28.9),"NORMAL",IF(AND(NZ3=$PD$2,CI3&gt;28.8,CI3&lt;33),"SOBREPESO",IF(AND(NZ3=$PD$2,CI3&gt;32.9,CI3&lt;50),"OBESIDAD",""))))</f>
        <v/>
      </c>
      <c r="PE3" s="81" t="str">
        <f t="shared" ref="PE3:PE66" si="124">IF(AND(NZ3=$PE$2,CI3&gt;10,CI3&lt;24.8),"BAJO PESO",IF(AND(NZ3=$PE$2,CI3&gt;24.7,CI3&lt;29),"NORMAL",IF(AND(NZ3=$PE$2,CI3&gt;28.9,CI3&lt;33.1),"SOBREPESO",IF(AND(NZ3=$PE$2,CI3&gt;33,CI3&lt;50),"OBESIDAD",""))))</f>
        <v/>
      </c>
      <c r="PF3" s="81" t="str">
        <f t="shared" ref="PF3:PF66" si="125">IF(AND(NZ3=$PF$2,CI3&gt;10,CI3&lt;25),"BAJO PESO",IF(AND(NZ3=$PF$2,CI3&gt;24.9,CI3&lt;29.2),"NORMAL",IF(AND(NZ3=$PF$2,CI3&gt;29.1,CI3&lt;33.2),"SOBREPESO",IF(AND(NZ3=$PF$2,CI3&gt;33.1,CI3&lt;50),"OBESIDAD",""))))</f>
        <v/>
      </c>
      <c r="PG3" s="81" t="str">
        <f t="shared" ref="PG3:PG66" si="126">IF(AND(NZ3=$PG$2,CI3&gt;10,CI3&lt;25.1),"BAJO PESO",IF(AND(NZ3=$PG$2,CI3&gt;25,CI3&lt;29.3),"NORMAL",IF(AND(NZ3=$PG$2,CI3&gt;29.2,CI3&lt;33.3),"SOBREPESO",IF(AND(NZ3=$PG$2,CI3&gt;33.2,CI3&lt;50),"OBESIDAD",""))))</f>
        <v/>
      </c>
      <c r="PH3" s="81" t="str">
        <f t="shared" ref="PH3:PH66" si="127">IF(AND(NZ3=$PH$2,CI3&gt;10,CI3&lt;25.1),"BAJO PESO",IF(AND(NZ3=$PH$2,CI3&gt;25,CI3&lt;29.4),"NORMAL",IF(AND(NZ3=$PH$2,CI3&gt;29.3,CI3&lt;33.3),"SOBREPESO",IF(AND(NZ3=$PH$2,CI3&gt;33.2,CI3&lt;50),"OBESIDAD",""))))</f>
        <v/>
      </c>
      <c r="PI3" s="81" t="str">
        <f t="shared" ref="PI3:PI66" si="128">IF(DZ3="","",IF(DZ3&lt;10,"Menor",DZ3))</f>
        <v/>
      </c>
      <c r="PJ3" s="81" t="str">
        <f t="shared" ref="PJ3:PJ66" si="129">IF(AND(PI3=$PJ$2,CM3&gt;10,CM3&lt;18.5),"BAJO PESO",IF(AND(PI3=$PJ$2,CM3&gt;18.4,CM3&lt;25),"NORMAL",IF(AND(PI3=$PJ$2,CM3&gt;24,CM3&lt;30),"SOBREPESO",IF(AND(PI3=$PJ$2,CM3&gt;29,CM3&lt;50),"OBESIDAD",""))))</f>
        <v/>
      </c>
      <c r="PK3" s="81" t="str">
        <f t="shared" ref="PK3:PK66" si="130">IF(AND(PI3=$PK$2,CM3&gt;10,CM3&lt;20.3),"BAJO PESO",IF(AND(PI3=$PK$2,CM3&gt;20.2,CM3&lt;25.3),"NORMAL",IF(AND(PI3=$PK$2,CM3&gt;25.2,CM3&lt;30.3),"SOBREPESO",IF(AND(PI3=$PK$2,CM3&gt;30.2,CM3&lt;50),"OBESIDAD",""))))</f>
        <v/>
      </c>
      <c r="PL3" s="81" t="str">
        <f t="shared" ref="PL3:PL66" si="131">IF(AND(PI3=$PL$2,CM3&gt;10,CM3&lt;20.4),"BAJO PESO",IF(AND(PI3=$PL$2,CM3&gt;20.3,CM3&lt;25.4),"NORMAL",IF(AND(PI3=$PL$2,CM3&gt;25.3,CM3&lt;30.4),"SOBREPESO",IF(AND(PI3=$PL$2,CM3&gt;30.3,CM3&lt;50),"OBESIDAD",""))))</f>
        <v/>
      </c>
      <c r="PM3" s="81" t="str">
        <f t="shared" ref="PM3:PM66" si="132">IF(AND(PI3=$PM$2,CM3&gt;10,CM3&lt;20.5),"BAJO PESO",IF(AND(PI3=$PM$2,CM3&gt;20.4,CM3&lt;25.5),"NORMAL",IF(AND(PI3=$PM$2,CM3&gt;25.4,CM3&lt;30.4),"SOBREPESO",IF(AND(PI3=$PM$2,CM3&gt;30.3,CM3&lt;50),"OBESIDAD",""))))</f>
        <v/>
      </c>
      <c r="PN3" s="81" t="str">
        <f t="shared" ref="PN3:PN66" si="133">IF(AND(PI3=$PN$2,CM3&gt;10,CM3&lt;20.7),"BAJO PESO",IF(AND(PI3=$PN$2,CM3&gt;20.6,CM3&lt;25.7),"NORMAL",IF(AND(PI3=$PN$2,CM3&gt;25.7,CM3&lt;30.5),"SOBREPESO",IF(AND(PI3=$PN$2,CM3&gt;30.4,CM3&lt;50),"OBESIDAD",""))))</f>
        <v/>
      </c>
      <c r="PO3" s="81" t="str">
        <f t="shared" ref="PO3:PO66" si="134">IF(AND(PI3=$PO$2,CM3&gt;10,CM3&lt;20.8),"BAJO PESO",IF(AND(PI3=$PO$2,CM3&gt;20.7,CM3&lt;25.8),"NORMAL",IF(AND(PI3=$PO$2,CM3&gt;25.7,CM3&lt;30.6),"SOBREPESO",IF(AND(PI3=$PO$2,CM3&gt;30.5,CM3&lt;50),"OBESIDAD",""))))</f>
        <v/>
      </c>
      <c r="PP3" s="81" t="str">
        <f t="shared" ref="PP3:PP66" si="135">IF(AND(PI3=$PP$2,CM3&gt;10,CM3&lt;20.9),"BAJO PESO",IF(AND(PI3=$PP$2,CM3&gt;20.8,CM3&lt;25.9),"NORMAL",IF(AND(PI3=$PP$2,CM3&gt;25.8,CM3&lt;30.7),"SOBREPESO",IF(AND(PI3=$PP$2,CM3&gt;30.6,CM3&lt;50),"OBESIDAD",""))))</f>
        <v/>
      </c>
      <c r="PQ3" s="81" t="str">
        <f t="shared" ref="PQ3:PQ66" si="136">IF(AND(PI3=$PQ$2,CM3&gt;10,CM3&lt;21.1),"BAJO PESO",IF(AND(PI3=$PQ$2,CM3&gt;21,CM3&lt;26),"NORMAL",IF(AND(PI3=$PQ$2,CM3&gt;25.9,CM3&lt;30.8),"SOBREPESO",IF(AND(PI3=$PQ$2,CM3&gt;30.7,CM3&lt;50),"OBESIDAD",""))))</f>
        <v/>
      </c>
      <c r="PR3" s="81" t="str">
        <f t="shared" ref="PR3:PR66" si="137">IF(AND(PI3=$PR$2,CM3&gt;10,CM3&lt;21.2),"BAJO PESO",IF(AND(PI3=$PR$2,CM3&gt;21.1,CM3&lt;26.1),"NORMAL",IF(AND(PI3=$PR$2,CM3&gt;26,CM3&lt;31.9),"SOBREPESO",IF(AND(PI3=$PR$2,CM3&gt;30.8,CM3&lt;50),"OBESIDAD",""))))</f>
        <v/>
      </c>
      <c r="PS3" s="81" t="str">
        <f t="shared" ref="PS3:PS66" si="138">IF(AND(PI3=$PS$2,CM3&gt;10,CM3&lt;21.3),"BAJO PESO",IF(AND(PI3=$PS$2,CM3&gt;21.2,CM3&lt;26.2),"NORMAL",IF(AND(PI3=$PS$2,CM3&gt;26.1,CM3&lt;31),"SOBREPESO",IF(AND(PI3=$PS$2,CM3&gt;30.9,CM3&lt;50),"OBESIDAD",""))))</f>
        <v/>
      </c>
      <c r="PT3" s="81" t="str">
        <f t="shared" ref="PT3:PT66" si="139">IF(AND(PI3=$PT$2,CM3&gt;10,CM3&lt;21.5),"BAJO PESO",IF(AND(PI3=$PT$2,CM3&gt;21.4,CM3&lt;26.3),"NORMAL",IF(AND(PI3=$PT$2,CM3&gt;26.2,CM3&lt;31),"SOBREPESO",IF(AND(PI3=$PT$2,CM3&gt;30.9,CM3&lt;50),"OBESIDAD",""))))</f>
        <v/>
      </c>
      <c r="PU3" s="81" t="str">
        <f t="shared" ref="PU3:PU66" si="140">IF(AND(PI3=$PU$2,CM3&gt;10,CM3&lt;21.6),"BAJO PESO",IF(AND(PI3=$PU$2,CM3&gt;21.5,CM3&lt;26.4),"NORMAL",IF(AND(PI3=$PU$2,CM3&gt;26.3,CM3&lt;31.1),"SOBREPESO",IF(AND(PI3=$PU$2,CM3&gt;31,CM3&lt;50),"OBESIDAD",""))))</f>
        <v/>
      </c>
      <c r="PV3" s="81" t="str">
        <f t="shared" ref="PV3:PV66" si="141">IF(AND(PI3=$PV$2,CM3&gt;10,CM3&lt;21.8),"BAJO PESO",IF(AND(PI3=$PV$2,CM3&gt;21.7,CM3&lt;26.5),"NORMAL",IF(AND(PI3=$PV$2,CM3&gt;26.4,CM3&lt;31.2),"SOBREPESO",IF(AND(PI3=$PV$2,CM3&gt;31.1,CM3&lt;50),"OBESIDAD",""))))</f>
        <v/>
      </c>
      <c r="PW3" s="81" t="str">
        <f t="shared" ref="PW3:PW66" si="142">IF(AND(PI3=$PW$2,CM3&gt;10,CM3&lt;21.9),"BAJO PESO",IF(AND(PI3=$PW$2,CM3&gt;21.8,CM3&lt;26.7),"NORMAL",IF(AND(PI3=$PW$2,CM3&gt;26.6,CM3&lt;31.3),"SOBREPESO",IF(AND(PI3=$PW$2,CM3&gt;31.2,CM3&lt;50),"OBESIDAD",""))))</f>
        <v/>
      </c>
      <c r="PX3" s="81" t="str">
        <f t="shared" ref="PX3:PX66" si="143">IF(AND(PI3=$PX$2,CM3&gt;10,CM3&lt;22.1),"BAJO PESO",IF(AND(PI3=$PX$2,CM3&gt;22,CM3&lt;26.8),"NORMAL",IF(AND(PI3=$PX$2,CM3&gt;26.7,CM3&lt;31.4),"SOBREPESO",IF(AND(PI3=$PX$2,CM3&gt;31.3,CM3&lt;50),"OBESIDAD",""))))</f>
        <v/>
      </c>
      <c r="PY3" s="81" t="str">
        <f t="shared" ref="PY3:PY66" si="144">IF(AND(PI3=$PY$2,CM3&gt;10,CM3&lt;22.3),"BAJO PESO",IF(AND(PI3=$PY$2,CM3&gt;22.2,CM3&lt;27),"NORMAL",IF(AND(PI3=$PY$2,CM3&gt;26.9,CM3&lt;31.6),"SOBREPESO",IF(AND(PI3=$PY$2,CM3&gt;31.5,CM3&lt;50),"OBESIDAD",""))))</f>
        <v/>
      </c>
      <c r="PZ3" s="81" t="str">
        <f t="shared" ref="PZ3:PZ66" si="145">IF(AND(PI3=$PZ$2,$CM3&gt;10,CM3&lt;22.5),"BAJO PESO",IF(AND(PI3=$PZ$2,CM3&gt;22.4,CM3&lt;27.1),"NORMAL",IF(AND(PI3=$PZ$2,CM3&gt;27,CM3&lt;31.7),"SOBREPESO",IF(AND(PI3=$PZ$2,CM3&gt;31.6,CM3&lt;50),"OBESIDAD",""))))</f>
        <v/>
      </c>
      <c r="QA3" s="81" t="str">
        <f t="shared" ref="QA3:QA66" si="146">IF(AND(PI3=$QA$2,CM3&gt;10,CM3&lt;22.7),"BAJO PESO",IF(AND(PI3=$QA$2,CM3&gt;22.6,CM3&lt;27.3),"NORMAL",IF(AND(PI3=$QA$2,CM3&gt;27.1,CM3&lt;31.8),"SOBREPESO",IF(AND(PI3=$QA$2,CM3&gt;31.7,CM3&lt;50),"OBESIDAD",""))))</f>
        <v/>
      </c>
      <c r="QB3" s="81" t="str">
        <f t="shared" ref="QB3:QB66" si="147">IF(AND(PI3=$QB$2,CM3&gt;10,CM3&lt;22.8),"BAJO PESO",IF(AND(PI3=$QB$2,CM3&gt;22.7,CM3&lt;27.4),"NORMAL",IF(AND(PI3=$QB$2,CM3&gt;27.3,CM3&lt;31.9),"SOBREPESO",IF(AND(PI3=$QB$2,CM3&gt;31.8,CM3&lt;50),"OBESIDAD",""))))</f>
        <v/>
      </c>
      <c r="QC3" s="81" t="str">
        <f t="shared" ref="QC3:QC66" si="148">IF(AND(PI3=$QC$2,CM3&gt;10,CM3&lt;23),"BAJO PESO",IF(AND(PI3=$QC$2,CM3&gt;22.9,CM3&lt;27.6),"NORMAL",IF(AND(PI3=$QC$2,CM3&gt;27.5,CM3&lt;32),"SOBREPESO",IF(AND(PI3=$QC$2,CM3&gt;31.9,CM3&lt;50),"OBESIDAD",""))))</f>
        <v/>
      </c>
      <c r="QD3" s="81" t="str">
        <f t="shared" ref="QD3:QD66" si="149">IF(AND(PI3=$QD$2,CM3&gt;10,CM3&lt;23.2),"BAJO PESO",IF(AND(PI3=$QD$2,CM3&gt;23.1,CM3&lt;27.7),"NORMAL",IF(AND(PI3=$QD$2,CM3&gt;27.6,CM3&lt;32.1),"SOBREPESO",IF(AND(PI3=$QD$2,CM3&gt;32,CM3&lt;50),"OBESIDAD",""))))</f>
        <v/>
      </c>
      <c r="QE3" s="81" t="str">
        <f t="shared" ref="QE3:QE66" si="150">IF(AND(PI3=$QE$2,CM3&gt;10,CM3&lt;23.4),"BAJO PESO",IF(AND(PI3=$QE$2,CM3&gt;23.3,CM3&lt;27.9),"NORMAL",IF(AND(PI3=$QE$2,CM3&gt;27.8,CM3&lt;32.2),"SOBREPESO",IF(AND(PI3=$QE$2,CM3&gt;32.1,CM3&lt;50),"OBESIDAD",""))))</f>
        <v/>
      </c>
      <c r="QF3" s="81" t="str">
        <f t="shared" ref="QF3:QF66" si="151">IF(AND(PI3=$QF$2,CM3&gt;10,CM3&lt;23.5),"BAJO PESO",IF(AND(PI3=$QF$2,CM3&gt;23.4,CM3&lt;28),"NORMAL",IF(AND(PI3=$QF$2,CM3&gt;27.9,CM3&lt;32.1),"SOBREPESO",IF(AND(PI3=$QF$2,CM3&gt;32.2,CM3&lt;50),"OBESIDAD",""))))</f>
        <v/>
      </c>
      <c r="QG3" s="81" t="str">
        <f t="shared" ref="QG3:QG66" si="152">IF(AND(PI3=$QG$2,CM3&gt;10,CM3&lt;23.7),"BAJO PESO",IF(AND(PI3=$QG$2,CM3&gt;23.6,CM3&lt;28.1),"NORMAL",IF(AND(PI3=$QG$2,CM3&gt;28,CM3&lt;33.4),"SOBREPESO",IF(AND(PI3=$QG$2,CM3&gt;33.3,CM3&lt;50),"OBESIDAD",""))))</f>
        <v/>
      </c>
      <c r="QH3" s="81" t="str">
        <f t="shared" ref="QH3:QH66" si="153">IF(AND(PI3=$QH$2,CM3&gt;10,CM3&lt;23.9),"BAJO PESO",IF(AND(PI3=$QH$2,CM3&gt;23.8,CM3&lt;28.2),"NORMAL",IF(AND(PI3=$QH$2,CM3&gt;28.1,CM3&lt;33.5),"SOBREPESO",IF(AND(PI3=$QH$2,CM3&gt;33.4,CM3&lt;50),"OBESIDAD",""))))</f>
        <v/>
      </c>
      <c r="QI3" s="81" t="str">
        <f t="shared" ref="QI3:QI66" si="154">IF(AND(PI3=$QI$2,CM3&gt;10,CM3&lt;24),"BAJO PESO",IF(AND(PI3=$QI$2,CM3&gt;23.9,CM3&lt;28.4),"NORMAL",IF(AND(PI3=$QI$2,CM3&gt;28.3,CM3&lt;33.6),"SOBREPESO",IF(AND(PI3=$QI$2,CM3&gt;33.5,CM3&lt;50),"OBESIDAD",""))))</f>
        <v/>
      </c>
      <c r="QJ3" s="81" t="str">
        <f t="shared" ref="QJ3:QJ66" si="155">IF(AND(PI3=$QJ$2,CM3&gt;10,CM3&lt;24.2),"BAJO PESO",IF(AND(PI3=$QJ$2,CM3&gt;24.1,CM3&lt;28.5),"NORMAL",IF(AND(PI3=$QJ$2,CM3&gt;28.4,CM3&lt;33.7),"SOBREPESO",IF(AND(PI3=$QJ$2,CM3&gt;33.6,CM3&lt;50),"OBESIDAD",""))))</f>
        <v/>
      </c>
      <c r="QK3" s="81" t="str">
        <f t="shared" ref="QK3:QK66" si="156">IF(AND(PI3=$QK$2,CM3&gt;10,CM3&lt;24.3),"BAJO PESO",IF(AND(PI3=$QK$2,CM3&gt;24.2,CM3&lt;28.6),"NORMAL",IF(AND(PI3=$QK$2,CM3&gt;28.5,CM3&lt;33.8),"SOBREPESO",IF(AND(PI3=$QK$2,CM3&gt;33.7,CM3&lt;50),"OBESIDAD",""))))</f>
        <v/>
      </c>
      <c r="QL3" s="81" t="str">
        <f t="shared" ref="QL3:QL66" si="157">IF(AND(PI3=$QL$2,CM3&gt;10,CM3&lt;24.5),"BAJO PESO",IF(AND(PI3=$QL$2,CM3&gt;24.4,CM3&lt;28.8),"NORMAL",IF(AND(PI3=$QL$2,CM3&gt;28.7,CM3&lt;32.9),"SOBREPESO",IF(AND(PI3=$QL$2,CM3&gt;32.8,CM3&lt;50),"OBESIDAD",""))))</f>
        <v/>
      </c>
      <c r="QM3" s="81" t="str">
        <f t="shared" ref="QM3:QM66" si="158">IF(AND(PI3=$QM$2,CM3&gt;10,CM3&lt;24.6),"BAJO PESO",IF(AND(PI3=$QM$2,CM3&gt;24.5,CM3&lt;28.9),"NORMAL",IF(AND(PI3=$QM$2,CM3&gt;28.8,CM3&lt;33),"SOBREPESO",IF(AND(PI3=$QM$2,CM3&gt;32.9,CM3&lt;50),"OBESIDAD",""))))</f>
        <v/>
      </c>
      <c r="QN3" s="81" t="str">
        <f t="shared" ref="QN3:QN66" si="159">IF(AND(PI3=$QN$2,CM3&gt;10,CM3&lt;24.8),"BAJO PESO",IF(AND(PI3=$QN$2,CM3&gt;24.7,CM3&lt;29),"NORMAL",IF(AND(PI3=$QN$2,CM3&gt;28.9,CM3&lt;33.1),"SOBREPESO",IF(AND(PI3=$QN$2,CM3&gt;33,CM3&lt;50),"OBESIDAD",""))))</f>
        <v/>
      </c>
      <c r="QO3" s="81" t="str">
        <f t="shared" ref="QO3:QO66" si="160">IF(AND(PI3=$QO$2,CM3&gt;10,CM3&lt;25),"BAJO PESO",IF(AND(PI3=$QO$2,CM3&gt;24.9,CM3&lt;29.2),"NORMAL",IF(AND(PI3=$QO$2,CM3&gt;29.1,CM3&lt;33.2),"SOBREPESO",IF(AND(PI3=$QO$2,CM3&gt;33.1,CM3&lt;50),"OBESIDAD",""))))</f>
        <v/>
      </c>
      <c r="QP3" s="81" t="str">
        <f t="shared" ref="QP3:QP66" si="161">IF(AND(PI3=$QP$2,CM3&gt;10,CM3&lt;25.1),"BAJO PESO",IF(AND(PI3=$QP$2,CM3&gt;25,CM3&lt;29.3),"NORMAL",IF(AND(PI3=$QP$2,CM3&gt;29.2,CM3&lt;33.3),"SOBREPESO",IF(AND(PI3=$QP$2,CM3&gt;33.2,CM3&lt;50),"OBESIDAD",""))))</f>
        <v/>
      </c>
      <c r="QQ3" s="81" t="str">
        <f t="shared" ref="QQ3:QQ66" si="162">IF(AND(PI3=$QQ$2,CM3&gt;10,CM3&lt;25.1),"BAJO PESO",IF(AND(PI3=$QQ$2,CM3&gt;25,CM3&lt;29.4),"NORMAL",IF(AND(PI3=$QQ$2,CM3&gt;29.3,CM3&lt;33.3),"SOBREPESO",IF(AND(PI3=$QQ$2,CM3&gt;33.2,CM3&lt;50),"OBESIDAD",""))))</f>
        <v/>
      </c>
      <c r="QR3" s="81" t="str">
        <f>IF(DZ3="","",IF(DZ3&lt;13,"Menor",IF(DZ3&gt;=40,"Mayor",DZ3)))</f>
        <v/>
      </c>
      <c r="QS3" s="81"/>
      <c r="QT3" s="216" t="str">
        <f t="shared" ref="QT3:QT66" si="163">IF(AND(QR3=$QT$2,CP3&gt;1,CP3&lt;8),"BAJO PARA EDAD GESTACIONAL",IF(AND(QR3=$QT$2,CP3&gt;=8,CP3&lt;=12),"ADECUADO PARA EDAD GESTACIONAL",IF(AND(QR3=$QT$2,CP3&gt;12,CP3&lt;38),"ALTO PARA EDAD GESTACIONAL","")))</f>
        <v/>
      </c>
      <c r="QU3" s="216" t="str">
        <f t="shared" ref="QU3:QU66" si="164">IF(AND(QR3=$QU$2,CP3&gt;1,CP3&lt;8.5),"BAJO PARA EDAD GESTACIONAL",IF(AND(QR3=$QU$2,CP3&gt;=8.5,CP3&lt;=14.5),"ADECUADO PARA EDAD GESTACIONAL",IF(AND(QR3=$QU$2,CP3&gt;14.5,CP3&lt;38),"ALTO PARA EDAD GESTACIONAL","")))</f>
        <v/>
      </c>
      <c r="QV3" s="216" t="str">
        <f t="shared" ref="QV3:QV66" si="165">IF(AND(QR3=$QV$2,CP3&gt;1,CP3&lt;9.5),"BAJO PARA EDAD GESTACIONAL",IF(AND(QR3=$QV$2,CP3&gt;=9.5,CP3&lt;=15),"ADECUADO PARA EDAD GESTACIONAL",IF(AND(QR3=$QV$2,CP3&gt;15,CP3&lt;38),"ALTO PARA EDAD GESTACIONAL","")))</f>
        <v/>
      </c>
      <c r="QW3" s="216" t="str">
        <f t="shared" ref="QW3:QW66" si="166">IF(AND(QR3=$QW$2,CP3&gt;1,CP3&lt;11.5),"BAJO PARA EDAD GESTACIONAL",IF(AND(QR3=$QW$2,CP3&gt;=11.5,CP3&lt;=18),"ADECUADO PARA EDAD GESTACIONAL",IF(AND(QR3=$QW$2,CP3&gt;18,CP3&lt;38),"ALTO PARA EDAD GESTACIONAL","")))</f>
        <v/>
      </c>
      <c r="QX3" s="216" t="str">
        <f t="shared" ref="QX3:QX66" si="167">IF(AND(QR3=$QX$2,CP3&gt;1,CP3&lt;12.5),"BAJO PARA EDAD GESTACIONAL",IF(AND(QR3=$QX$2,CP3&gt;=12.5,CP3&lt;=18),"ADECUADO PARA EDAD GESTACIONAL",IF(AND(QR3=$QX$2,CP3&gt;18,CP3&lt;38),"ALTO PARA EDAD GESTACIONAL","")))</f>
        <v/>
      </c>
      <c r="QY3" s="216" t="str">
        <f t="shared" ref="QY3:QY66" si="168">IF(AND(QR3=$QY$2,CP3&gt;1,CP3&lt;13.5),"BAJO PARA EDAD GESTACIONAL",IF(AND(QR3=$QY$2,CP3&gt;=13.5,CP3&lt;=19),"ADECUADO PARA EDAD GESTACIONAL",IF(AND(QR3=$QY$2,CP3&gt;19,CP3&lt;38),"ALTO PARA EDAD GESTACIONAL","")))</f>
        <v/>
      </c>
      <c r="QZ3" s="216" t="str">
        <f t="shared" ref="QZ3:QZ66" si="169">IF(AND(QR3=$QZ$2,CP3&gt;1,CP3&lt;14),"BAJO PARA EDAD GESTACIONAL",IF(AND(QR3=$QZ$2,CP3&gt;=14,CP3&lt;=19.5),"ADECUADO PARA EDAD GESTACIONAL",IF(AND(QR3=$QZ$2,CP3&gt;19.5,CP3&lt;38),"ALTO PARA EDAD GESTACIONAL","")))</f>
        <v/>
      </c>
      <c r="RA3" s="216" t="str">
        <f t="shared" ref="RA3:RA66" si="170">IF(AND(QR3=$RA$2,CP3&gt;1,CP3&lt;15),"BAJO PARA EDAD GESTACIONAL",IF(AND(QR3=$RA$2,CP3&gt;=15,CP3&lt;=21),"ADECUADO PARA EDAD GESTACIONAL",IF(AND(QR3=$RA$2,CP3&gt;21,CP3&lt;38),"ALTO PARA EDAD GESTACIONAL","")))</f>
        <v/>
      </c>
      <c r="RB3" s="216" t="str">
        <f t="shared" ref="RB3:RB66" si="171">IF(AND(QR3=$RB$2,CP3&gt;1,CP3&lt;15.5),"BAJO PARA EDAD GESTACIONAL",IF(AND(QR3=$RB$2,CP3&gt;=15.5,CP3&lt;=21.5),"ADECUADO PARA EDAD GESTACIONAL",IF(AND(QR3=$RB$2,CP3&gt;21.5,CP3&lt;38),"ALTO PARA EDAD GESTACIONAL","")))</f>
        <v/>
      </c>
      <c r="RC3" s="216" t="str">
        <f t="shared" ref="RC3:RC66" si="172">IF(AND(QR3=$RC$2,CP3&gt;1,CP3&lt;16.5),"BAJO PARA EDAD GESTACIONAL",IF(AND(QR3=$RC$2,CP3&gt;=16.5,CP3&lt;=22.5),"ADECUADO PARA EDAD GESTACIONAL",IF(AND(QR3=$RC$2,CP3&gt;22.5,CP3&lt;38),"ALTO PARA EDAD GESTACIONAL","")))</f>
        <v/>
      </c>
      <c r="RD3" s="216" t="str">
        <f t="shared" ref="RD3:RD66" si="173">IF(AND(QR3=$RD$2,CP3&gt;1,CP3&lt;17.5),"BAJO PARA EDAD GESTACIONAL",IF(AND(QR3=$RD$2,CP3&gt;=17.5,CP3&lt;=23),"ADECUADO PARA EDAD GESTACIONAL",IF(AND(QR3=$RD$2,CP3&gt;23,CP3&lt;38),"ALTO PARA EDAD GESTACIONAL","")))</f>
        <v/>
      </c>
      <c r="RE3" s="216" t="str">
        <f t="shared" ref="RE3:RE66" si="174">IF(AND(QR3=$RE$2,CP3&gt;1,CP3&lt;18.5),"BAJO PARA EDAD GESTACIONAL",IF(AND(QR3=$RE$2,CP3&gt;=18.5,CP3&lt;=24),"ADECUADO PARA EDAD GESTACIONAL",IF(AND(QR3=$RE$2,CP3&gt;24,CP3&lt;38),"ALTO PARA EDAD GESTACIONAL","")))</f>
        <v/>
      </c>
      <c r="RF3" s="216" t="str">
        <f t="shared" ref="RF3:RF66" si="175">IF(AND(QR3=$RF$2,CP3&gt;1,CP3&lt;19.5),"BAJO PARA EDAD GESTACIONAL",IF(AND(QR3=$RF$2,CP3&gt;=19.5,CP3&lt;=25),"ADECUADO PARA EDAD GESTACIONAL",IF(AND(QR3=$RF$2,CP3&gt;25,CP3&lt;38),"ALTO PARA EDAD GESTACIONAL","")))</f>
        <v/>
      </c>
      <c r="RG3" s="216" t="str">
        <f t="shared" ref="RG3:RG66" si="176">IF(AND(QR3=$RG$2,CP3&gt;1,CP3&lt;20),"BAJO PARA EDAD GESTACIONAL",IF(AND(QR3=$RG$2,CP3&gt;=20,CP3&lt;=25.5),"ADECUADO PARA EDAD GESTACIONAL",IF(AND(QR3=$RG$2,CP3&gt;25.5,CP3&lt;38),"ALTO PARA EDAD GESTACIONAL","")))</f>
        <v/>
      </c>
      <c r="RH3" s="216" t="str">
        <f t="shared" ref="RH3:RH66" si="177">IF(AND(QR3=$RH$2,CP3&gt;1,CP3&lt;20.5),"BAJO PARA EDAD GESTACIONAL",IF(AND(QR3=$RH$2,CP3&gt;=20.5,CP3&lt;=26.5),"ADECUADO PARA EDAD GESTACIONAL",IF(AND(QR3=$RH$2,CP3&gt;26.5,CP3&lt;38),"ALTO PARA EDAD GESTACIONAL","")))</f>
        <v/>
      </c>
      <c r="RI3" s="216" t="str">
        <f t="shared" ref="RI3:RI66" si="178">IF(AND(QR3=$RI$2,CP3&gt;1,CP3&lt;21),"BAJO PARA EDAD GESTACIONAL",IF(AND(QR3=$RI$2,CP3&gt;=21,CP3&lt;=27),"ADECUADO PARA EDAD GESTACIONAL",IF(AND(QR3=$RI$2,CP3&gt;27,CP3&lt;38),"ALTO PARA EDAD GESTACIONAL","")))</f>
        <v/>
      </c>
      <c r="RJ3" s="216" t="str">
        <f t="shared" ref="RJ3:RJ66" si="179">IF(AND(QR3=$RJ$2,CP3&gt;1,CP3&lt;22.5),"BAJO PARA EDAD GESTACIONAL",IF(AND(QR3=$RJ$2,CP3&gt;=22.5,CP3&lt;=28),"ADECUADO PARA EDAD GESTACIONAL",IF(AND(QR3=$RJ$2,CP3&gt;28,CP3&lt;38),"ALTO PARA EDAD GESTACIONAL","")))</f>
        <v/>
      </c>
      <c r="RK3" s="216" t="str">
        <f t="shared" ref="RK3:RK66" si="180">IF(AND(QR3=$RK$2,CP3&gt;1,CP3&lt;23.5),"BAJO PARA EDAD GESTACIONAL",IF(AND(QR3=$RK$2,CP3&gt;=23.5,CP3&lt;=29),"ADECUADO PARA EDAD GESTACIONAL",IF(AND(QR3=$RK$2,CP3&gt;29,CP3&lt;38),"ALTO PARA EDAD GESTACIONAL","")))</f>
        <v/>
      </c>
      <c r="RL3" s="216" t="str">
        <f t="shared" ref="RL3:RL66" si="181">IF(AND(QR3=$RL$2,CP3&gt;1,CP3&lt;24),"BAJO PARA EDAD GESTACIONAL",IF(AND(QR3=$RL$2,CP3&gt;=24,CP3&lt;=29.5),"ADECUADO PARA EDAD GESTACIONAL",IF(AND(QR3=$RL$2,CP3&gt;29.5,CP3&lt;38),"ALTO PARA EDAD GESTACIONAL","")))</f>
        <v/>
      </c>
      <c r="RM3" s="216" t="str">
        <f t="shared" ref="RM3:RM66" si="182">IF(AND(QR3=$RM$2,CP3&gt;1,CP3&lt;25),"BAJO PARA EDAD GESTACIONAL",IF(AND(QR3=$RM$2,CP3&gt;=25,CP3&lt;=30),"ADECUADO PARA EDAD GESTACIONAL",IF(AND(QR3=$RM$2,CP3&gt;30,CP3&lt;38),"ALTO PARA EDAD GESTACIONAL","")))</f>
        <v/>
      </c>
      <c r="RN3" s="216" t="str">
        <f t="shared" ref="RN3:RN66" si="183">IF(AND(QR3=$RN$2,CP3&gt;1,CP3&lt;25.5),"BAJO PARA EDAD GESTACIONAL",IF(AND(QR3=$RN$2,CP3&gt;=25.5,CP3&lt;=31),"ADECUADO PARA EDAD GESTACIONAL",IF(AND(QR3=$RN$2,CP3&gt;31,CP3&lt;38),"ALTO PARA EDAD GESTACIONAL","")))</f>
        <v/>
      </c>
      <c r="RO3" s="216" t="str">
        <f t="shared" ref="RO3:RO66" si="184">IF(AND(QR3=$RO$2,CP3&gt;1,CP3&lt;26),"BAJO PARA EDAD GESTACIONAL",IF(AND(QR3=$RO$2,CP3&gt;=26,CP3&lt;=32),"ADECUADO PARA EDAD GESTACIONAL",IF(AND(QR3=$RO$2,CP3&gt;32,CP3&lt;38),"ALTO PARA EDAD GESTACIONAL","")))</f>
        <v/>
      </c>
      <c r="RP3" s="216" t="str">
        <f t="shared" ref="RP3:RP66" si="185">IF(AND(QR3=$RP$2,CP3&gt;1,CP3&lt;26.5),"BAJO PARA EDAD GESTACIONAL",IF(AND(QR3=$RP$2,CP3&gt;=26.5,CP3&lt;=33),"ADECUADO PARA EDAD GESTACIONAL",IF(AND(QR3=$RP$2,CP3&gt;33,CP3&lt;38),"ALTO PARA EDAD GESTACIONAL","")))</f>
        <v/>
      </c>
      <c r="RQ3" s="216" t="str">
        <f t="shared" ref="RQ3:RQ66" si="186">IF(AND(QR3=$RQ$2,CP3&gt;1,CP3&lt;28),"BAJO PARA EDAD GESTACIONAL",IF(AND(QR3=$RQ$2,CP3&gt;=28,CP3&lt;=33),"ADECUADO PARA EDAD GESTACIONAL",IF(AND(QR3=$RQ$2,CP3&gt;33,CP3&lt;38),"ALTO PARA EDAD GESTACIONAL","")))</f>
        <v/>
      </c>
      <c r="RR3" s="216" t="str">
        <f t="shared" ref="RR3:RR66" si="187">IF(AND(QR3=$RR$2,CP3&gt;1,CP3&lt;28.5),"BAJO PARA EDAD GESTACIONAL",IF(AND(QR3=$RR$2,CP3&gt;=28.5,CP3&lt;=34),"ADECUADO PARA EDAD GESTACIONAL",IF(AND(QR3=$RR$2,CP3&gt;34,CP3&lt;38),"ALTO PARA EDAD GESTACIONAL","")))</f>
        <v/>
      </c>
      <c r="RS3" s="216" t="str">
        <f t="shared" ref="RS3:RS66" si="188">IF(AND(QR3=$RS$2,CP3&gt;1,CP3&lt;29.5),"BAJO PARA EDAD GESTACIONAL",IF(AND(QR3=$RS$2,CP3&gt;=29.5,CP3&lt;=34),"ADECUADO PARA EDAD GESTACIONAL",IF(AND(QR3=$RS$2,CP3&gt;34,CP3&lt;38),"ALTO PARA EDAD GESTACIONAL","")))</f>
        <v/>
      </c>
      <c r="RT3" s="216" t="str">
        <f t="shared" ref="RT3:RT66" si="189">IF(AND(QR3=$RT$2,CP3&gt;1,CP3&lt;30.5),"BAJO PARA EDAD GESTACIONAL",IF(AND(QR3=$RT$2,CP3&gt;=30.5,CP3&lt;=34),"ADECUADO PARA EDAD GESTACIONAL",IF(AND(QR3=$RT$2,CP3&gt;34,CP3&lt;38),"ALTO PARA EDAD GESTACIONAL","")))</f>
        <v/>
      </c>
      <c r="RU3" s="216" t="str">
        <f t="shared" ref="RU3:RU66" si="190">IF(AND(QR3=$RU$2,CP3&gt;1,CP3&lt;31),"BAJO PARA EDAD GESTACIONAL",IF(AND(QR3=$RU$2,CP3&gt;=31,CP3&lt;=34.5),"ADECUADO PARA EDAD GESTACIONAL",IF(AND(QR3=$RU$2,CP3&gt;34.5,CP3&lt;38),"ALTO PARA EDAD GESTACIONAL","")))</f>
        <v/>
      </c>
      <c r="RV3" s="216" t="str">
        <f t="shared" ref="RV3:RV66" si="191">IF(AND(R3="",HQ3=""),"",IF(SUM((HQ3-RW3)/7)&gt;43.1,"",IF(SUM((HQ3-RW3)/7)&lt;0,-1,SUM((HQ3-RW3)/7))))</f>
        <v/>
      </c>
      <c r="RW3" s="283" t="str">
        <f>IF(OR(Tabla1[[#This Row],[FUM FORMULA CONFIABLE]]="",Tabla1[[#This Row],[FUM FORMULA CONFIABLE]]="SD"),"",IF(Tabla1[[#This Row],[FUM FORMULA CONFIABLE]]="CORREGIDA",Tabla1[[#This Row],[FUM X ECO 1]],Tabla1[[#This Row],[FUM x AMENORREA]]))</f>
        <v/>
      </c>
      <c r="RX3" s="21" t="str">
        <f>IF(AND(Tabla1[[#This Row],[FUM X ECO 1]]="",Tabla1[[#This Row],[FUM x AMENORREA]]=""),"",IF(AND(Tabla1[[#This Row],[FUM X ECO 1]]="",Tabla1[[#This Row],[FUM x AMENORREA]]&lt;&gt;""),"X",SUM(Tabla1[[#This Row],[FUM X ECO 1]]-Tabla1[[#This Row],[FUM x AMENORREA]])))</f>
        <v/>
      </c>
      <c r="RY3" s="21" t="str">
        <f>IF(RX3="","",IF(RX3="x","x",IF(OR(RX3&gt;6,RX3&lt;-7),1,0)))</f>
        <v/>
      </c>
    </row>
    <row r="4" spans="1:493" ht="66.599999999999994" customHeight="1" x14ac:dyDescent="0.25">
      <c r="A4" s="109" t="s">
        <v>844</v>
      </c>
      <c r="B4" s="43"/>
      <c r="C4" s="43" t="s">
        <v>845</v>
      </c>
      <c r="D4" s="124" t="s">
        <v>846</v>
      </c>
      <c r="E4" s="43" t="s">
        <v>847</v>
      </c>
      <c r="F4" s="43" t="s">
        <v>848</v>
      </c>
      <c r="G4" s="43" t="s">
        <v>849</v>
      </c>
      <c r="H4" s="43" t="s">
        <v>850</v>
      </c>
      <c r="I4" s="109" t="s">
        <v>851</v>
      </c>
      <c r="J4" s="110">
        <v>1002848782</v>
      </c>
      <c r="K4" s="43" t="s">
        <v>852</v>
      </c>
      <c r="L4" s="175" t="s">
        <v>853</v>
      </c>
      <c r="M4" s="22">
        <v>37086</v>
      </c>
      <c r="N4" s="213">
        <f t="shared" ca="1" si="0"/>
        <v>22.32054794520548</v>
      </c>
      <c r="O4" s="22">
        <v>44911</v>
      </c>
      <c r="P4" s="214" t="str">
        <f t="shared" si="1"/>
        <v>SI</v>
      </c>
      <c r="Q4" s="26" t="s">
        <v>855</v>
      </c>
      <c r="R4" s="22">
        <v>44911</v>
      </c>
      <c r="S4" s="21" t="s">
        <v>856</v>
      </c>
      <c r="T4" s="24" t="s">
        <v>690</v>
      </c>
      <c r="U4" s="21" t="s">
        <v>857</v>
      </c>
      <c r="V4" s="21" t="s">
        <v>858</v>
      </c>
      <c r="W4" s="21" t="s">
        <v>859</v>
      </c>
      <c r="X4" s="21" t="s">
        <v>859</v>
      </c>
      <c r="Y4" s="21" t="s">
        <v>859</v>
      </c>
      <c r="Z4" s="21">
        <v>3113138231</v>
      </c>
      <c r="AA4" s="21" t="s">
        <v>860</v>
      </c>
      <c r="AB4" s="27" t="s">
        <v>861</v>
      </c>
      <c r="AC4" s="26" t="s">
        <v>862</v>
      </c>
      <c r="AD4" s="21" t="s">
        <v>863</v>
      </c>
      <c r="AE4" s="26" t="s">
        <v>854</v>
      </c>
      <c r="AF4" s="26" t="s">
        <v>854</v>
      </c>
      <c r="AG4" s="23" t="s">
        <v>864</v>
      </c>
      <c r="AH4" s="23" t="s">
        <v>864</v>
      </c>
      <c r="AI4" s="24" t="s">
        <v>863</v>
      </c>
      <c r="AJ4" s="23" t="s">
        <v>864</v>
      </c>
      <c r="AK4" s="220" t="str">
        <f>IF(AND(AD4="",AE4="",AF4="",AG4="",AH4="",AI4="",AJ4=""),"",IF(OR(Tabla1[[#This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EVALUACIÓN",IF(AND(O4="",R4=""),"",IF(AND(OR(O4&gt;0,R4&gt;0),NG4&gt;=0,NG4&lt;2),"SIN RIESGO",IF(AND(OR(O4&gt;0,R4&gt;0),NG4&gt;=2),"CON RIESGO","ASD")))))</f>
        <v>SIN RIESGO</v>
      </c>
      <c r="AL4" s="23" t="s">
        <v>864</v>
      </c>
      <c r="AM4" s="26" t="s">
        <v>864</v>
      </c>
      <c r="AN4" s="26" t="s">
        <v>864</v>
      </c>
      <c r="AO4" s="26" t="s">
        <v>864</v>
      </c>
      <c r="AP4" s="26" t="s">
        <v>864</v>
      </c>
      <c r="AQ4" s="26" t="s">
        <v>864</v>
      </c>
      <c r="AR4" s="26" t="s">
        <v>864</v>
      </c>
      <c r="AS4" s="21">
        <v>2</v>
      </c>
      <c r="AT4" s="21">
        <v>1</v>
      </c>
      <c r="AU4" s="21">
        <v>1</v>
      </c>
      <c r="AV4" s="26" t="s">
        <v>864</v>
      </c>
      <c r="AW4" s="21">
        <v>0</v>
      </c>
      <c r="AX4" s="26" t="s">
        <v>864</v>
      </c>
      <c r="AY4" s="26" t="s">
        <v>864</v>
      </c>
      <c r="AZ4" s="26" t="s">
        <v>864</v>
      </c>
      <c r="BA4" s="26" t="s">
        <v>864</v>
      </c>
      <c r="BB4" s="26" t="s">
        <v>864</v>
      </c>
      <c r="BC4" s="26" t="s">
        <v>864</v>
      </c>
      <c r="BD4" s="26" t="s">
        <v>864</v>
      </c>
      <c r="BE4" s="203" t="s">
        <v>864</v>
      </c>
      <c r="BF4" s="26" t="s">
        <v>864</v>
      </c>
      <c r="BG4" s="26" t="s">
        <v>864</v>
      </c>
      <c r="BH4" s="26" t="s">
        <v>864</v>
      </c>
      <c r="BI4" s="26" t="s">
        <v>864</v>
      </c>
      <c r="BJ4" s="26"/>
      <c r="BK4" s="26"/>
      <c r="BL4" s="26" t="s">
        <v>864</v>
      </c>
      <c r="BM4" s="26" t="s">
        <v>864</v>
      </c>
      <c r="BN4" s="22">
        <v>44456</v>
      </c>
      <c r="BO4" s="286">
        <v>44813</v>
      </c>
      <c r="BP4" s="21" t="s">
        <v>854</v>
      </c>
      <c r="BQ4" s="222">
        <f t="shared" si="2"/>
        <v>11.9</v>
      </c>
      <c r="BR4" s="223">
        <f t="shared" si="3"/>
        <v>44813</v>
      </c>
      <c r="BS4" s="224">
        <f t="shared" si="4"/>
        <v>14</v>
      </c>
      <c r="BT4" s="216" t="str">
        <f t="shared" si="5"/>
        <v>II TRIM</v>
      </c>
      <c r="BU4" s="214" t="str">
        <f t="shared" ca="1" si="6"/>
        <v/>
      </c>
      <c r="BV4" s="25"/>
      <c r="BW4" s="22">
        <v>44918</v>
      </c>
      <c r="BX4" s="28">
        <v>15</v>
      </c>
      <c r="BY4" s="28"/>
      <c r="BZ4" s="22">
        <v>45016</v>
      </c>
      <c r="CA4" s="21">
        <v>28.5</v>
      </c>
      <c r="CB4" s="26" t="s">
        <v>864</v>
      </c>
      <c r="CC4" s="26" t="s">
        <v>864</v>
      </c>
      <c r="CD4" s="26" t="s">
        <v>865</v>
      </c>
      <c r="CE4" s="26" t="s">
        <v>864</v>
      </c>
      <c r="CF4" s="22">
        <v>44911</v>
      </c>
      <c r="CG4" s="21">
        <v>1.48</v>
      </c>
      <c r="CH4" s="21">
        <v>46.8</v>
      </c>
      <c r="CI4" s="214">
        <f t="shared" si="7"/>
        <v>21.365960555149744</v>
      </c>
      <c r="CJ4" s="225" t="str">
        <f>IF(AND(CI4&lt;10,CH4="SD"),"SIN DATO PESO PREGESTACION O I TRIM",IF(AND(OR(R4&gt;0,O4&gt;0),CI4="X"),"INGRESAR DATO DE PESO",IF(CI4="SD","INGRESAR DATO DE TALLA Y PESO",IF(AND(OR(Tabla1[[#This Row],[MOMENTO EN QUE SE REALIZA EL PESO AL INGRESO A CPN]]="PREGESTACIÓN",NZ4="Menor"),CI4&lt;18.5),"BAJO PESO",IF(AND(OR(Tabla1[[#This Row],[MOMENTO EN QUE SE REALIZA EL PESO AL INGRESO A CPN]]="PREGESTACIÓN",NZ4="Menor"),CI4&lt;25),"NORMAL",IF(AND(OR(Tabla1[[#This Row],[MOMENTO EN QUE SE REALIZA EL PESO AL INGRESO A CPN]]="PREGESTACIÓN",NZ4="Menor"),CI4&lt;30),"SOBREPESO",IF(AND(OR(Tabla1[[#This Row],[MOMENTO EN QUE SE REALIZA EL PESO AL INGRESO A CPN]]="PREGESTACIÓN",NZ4="Menor"),CI4&gt;=30,CI4&lt;50),"OBESIDAD",IF(AND(BS4&gt;0,Tabla1[[#This Row],[MOMENTO EN QUE SE REALIZA EL PESO AL INGRESO A CPN]]="GESTACIÓN"),HLOOKUP(NZ4,$OA$2:PH4,NY4),""))))))))</f>
        <v/>
      </c>
      <c r="CK4" s="212">
        <f t="shared" si="8"/>
        <v>45070</v>
      </c>
      <c r="CL4" s="21">
        <v>51.9</v>
      </c>
      <c r="CM4" s="214">
        <f t="shared" si="9"/>
        <v>23.694302410518628</v>
      </c>
      <c r="CN4" s="216">
        <f t="shared" si="10"/>
        <v>36</v>
      </c>
      <c r="CO4" s="216" t="e">
        <f>IF(PI4="","",IF(PI4&gt;0,HLOOKUP(PI4,$PJ$2:QQ4,NY4),""))</f>
        <v>#REF!</v>
      </c>
      <c r="CP4" s="21">
        <v>31</v>
      </c>
      <c r="CQ4" s="216" t="e">
        <f>IF(QR4="Menor","NO APLICA-MENOR 13 SEM",IF(AND(CC4="SI",CN4&gt;23),"NO APLICA- GEMELAR",IF(QR4="","",IF(QR4&gt;0,HLOOKUP(QR4,$QS$2:RU4,NY4),""))))</f>
        <v>#REF!</v>
      </c>
      <c r="CR4" s="21">
        <v>100</v>
      </c>
      <c r="CS4" s="21">
        <v>60</v>
      </c>
      <c r="CT4" s="217" t="str">
        <f>IF(R4="","",IF(AND(BS4&gt;1,BS4&lt;12,Tabla1[[#This Row],[T.A. SISTOLICA - ANTES DE SEMANA 12]]="",Tabla1[[#This Row],[T.A. DIASTOLICA - ANTES DE SEMANA 12]]=""),"REGISTRE DATO TA ANTES SEMANA 12",IF(AND(BS4&gt;11,BS4&lt;43,Tabla1[[#This Row],[T.A. SISTOLICA - ANTES DE SEMANA 12]]="",Tabla1[[#This Row],[T.A. DIASTOLICA - ANTES DE SEMANA 12]]=""),"NO APLICA REGISTRO TA-INGRESO TARDIO",IF(AND(OR(O4&gt;0,R4&gt;0),OR(CR4&gt;=140,CS4&gt;=90)),"DEFINIR ESTADIO HTA",IF(AND(OR(O4&gt;0,R4&gt;0),AND(CR4&gt;120,CR4&lt;=139)),"PRE HTA SEGUIMIENTO",IF(AND(OR(O4&gt;0,R4&gt;0),AND(CS4&gt;80,CS4&lt;=89)),"PRE HTA SEGUIMIENTO",IF(AND(OR(O4&gt;0,R4&gt;0),AND(CR4&gt;=80,CR4&lt;=120)),"APARENTEMENTE NORMAL",IF(AND(OR(O4&gt;0,R4&gt;0),AND(CS4&gt;=50,CS4&lt;=80)),"APARENTEMENTE NORMAL",IF(AND(OR(O4&gt;0,R4&gt;0),AND(CR4&gt;1,CR4&lt;=70),AND(CS4&gt;1,CS4&lt;=40)),"HIPOTENSIÓN","")))))))))</f>
        <v>APARENTEMENTE NORMAL</v>
      </c>
      <c r="CU4" s="21"/>
      <c r="CV4" s="21"/>
      <c r="CW4" s="217" t="str">
        <f ca="1">IF(R4="","",IF(AND(CN4&gt;19,CN4&lt;27,Tabla1[[#This Row],[T.A. SISTOLICA (Entre semana 20 y 26)]]="",Tabla1[[#This Row],[T.A. DIATOLICA (Entre semana 20 y 26)]]=""),"ACUDE A CONTROL SEM 20 A 26 REGISTRE TA AHORA",IF(AND(BS4&gt;1,BS4&lt;27,BU4&gt;19,Tabla1[[#This Row],[T.A. SISTOLICA (Entre semana 20 y 26)]]="",Tabla1[[#This Row],[T.A. DIATOLICA (Entre semana 20 y 26)]]=""),"COMPLETE REGISTRO TA CONTROL SEM 20 A26 ",IF(AND(BS4&gt;26,BS4&lt;43,Tabla1[[#This Row],[T.A. SISTOLICA (Entre semana 20 y 26)]]="",Tabla1[[#This Row],[T.A. DIATOLICA (Entre semana 20 y 26)]]=""),"NO APLICA REGISTRO TA-INGRESO TARDIO",IF(AND(OR(O4&gt;0,R4&gt;0),OR(CU4&gt;=140,CV4&gt;=90)),"ALTO RIESGO PREECLAMPSIA,DEFINIR ESTADIO HTA",IF(AND(OR(O4&gt;0,R4&gt;0),AND(CU4&gt;120,CU4&lt;=139)),"PRE HTA SEGUIMIENTO,RIESGO HIPERTENSION INDUCIDA POR EL EMBARAZO",IF(AND(OR(O4&gt;0,R4&gt;0),AND(CV4&gt;80,CV4&lt;=89)),"PRE HTA SEGUIMIENTO, RIESGO HIPERTENSION INDUCIDA POR EL EMBARAZO",IF(AND(OR(O4&lt;&gt;"",R4&lt;&gt;""),CS4&lt;&gt;"",CV4&lt;&gt;"",CS4&lt;=CV4),"VIGILAR CIFRAS PRESION ARTERIAL",IF(AND(OR(O4&gt;0,R4&gt;0),AND(CU4&gt;120,CU4&lt;=139)),"PRE HTA SEGUIMIENTO",IF(AND(OR(O4&gt;0,R4&gt;0),AND(CU4&gt;1,CU4&lt;=70),AND(CV4&gt;1,CV4&lt;=40)),"HIPOTENSIÓN",IF(AND(OR(O4&lt;&gt;"",R4&lt;&gt;""),CS4&lt;&gt;"",CV4&lt;&gt;"",CS4&gt;CV4),"APARENTEMENTE NORMAL",IF(AND(OR(O4&gt;0,R4&gt;0),AND(CU4&gt;=80,CU4&lt;=120)),"APARENTEMENTE NORMAL",IF(AND(OR(O4&gt;0,R4&gt;0),AND(CV4&gt;=50,CV4&lt;=80)),"APARENTEMENTE NORMAL","")))))))))))))</f>
        <v xml:space="preserve">COMPLETE REGISTRO TA CONTROL SEM 20 A26 </v>
      </c>
      <c r="CX4" s="21">
        <v>100</v>
      </c>
      <c r="CY4" s="21">
        <v>40</v>
      </c>
      <c r="CZ4" s="216" t="str">
        <f t="shared" si="11"/>
        <v>APARENTEMENTE NORMAL</v>
      </c>
      <c r="DA4" s="21">
        <v>90</v>
      </c>
      <c r="DB4" s="21">
        <v>60</v>
      </c>
      <c r="DC4" s="217" t="str">
        <f t="shared" si="12"/>
        <v>APARENTEMENTE NORMAL</v>
      </c>
      <c r="DD4" s="22">
        <v>44910</v>
      </c>
      <c r="DE4" s="22">
        <v>44910</v>
      </c>
      <c r="DF4" s="22">
        <v>44957</v>
      </c>
      <c r="DG4" s="22">
        <v>44992</v>
      </c>
      <c r="DH4" s="22">
        <v>45031</v>
      </c>
      <c r="DI4" s="22">
        <v>45070</v>
      </c>
      <c r="DJ4" s="22"/>
      <c r="DK4" s="22"/>
      <c r="DL4" s="22"/>
      <c r="DM4" s="22"/>
      <c r="DN4" s="22"/>
      <c r="DO4" s="22"/>
      <c r="DP4" s="22"/>
      <c r="DQ4" s="22"/>
      <c r="DR4" s="28">
        <v>2</v>
      </c>
      <c r="DS4" s="22"/>
      <c r="DT4" s="22"/>
      <c r="DU4" s="216" t="str">
        <f t="shared" ca="1" si="13"/>
        <v>SALE SIN PLAN DE PARTO</v>
      </c>
      <c r="DV4" s="226" t="str">
        <f t="shared" si="14"/>
        <v>SALIO PROGRAMA</v>
      </c>
      <c r="DW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 s="216" t="str">
        <f t="shared" ca="1" si="15"/>
        <v/>
      </c>
      <c r="DY4" s="212">
        <f>IF(R4="","",IF(R4&gt;0,MAX(Tabla1[[#This Row],[FECHA C2]:[FECHA C13]],Tabla1[[#This Row],[FECHA CONSULTA PRIMERA VEZ PROGRAMA CPN ]])))</f>
        <v>45070</v>
      </c>
      <c r="DZ4" s="216">
        <f t="shared" si="16"/>
        <v>36</v>
      </c>
      <c r="EA4" s="222">
        <f>IF(R4&gt;0,SUM(COUNTA(DF4:DQ4)+COUNTA(Tabla1[[#This Row],[FECHA CONSULTA PRIMERA VEZ PROGRAMA CPN ]])),"")</f>
        <v>5</v>
      </c>
      <c r="EB4" s="222" t="str">
        <f t="shared" si="17"/>
        <v>SI</v>
      </c>
      <c r="EC4" s="214">
        <f t="shared" si="18"/>
        <v>8</v>
      </c>
      <c r="ED4" s="227">
        <f t="shared" si="19"/>
        <v>0.625</v>
      </c>
      <c r="EE4" s="22">
        <v>44910</v>
      </c>
      <c r="EF4" s="22">
        <v>44911</v>
      </c>
      <c r="EG4" s="22">
        <v>44910</v>
      </c>
      <c r="EH4" s="22"/>
      <c r="EI4" s="22">
        <v>44910</v>
      </c>
      <c r="EJ4" s="22"/>
      <c r="EK4" s="22"/>
      <c r="EL4" s="21"/>
      <c r="EM4" s="21">
        <v>13.9</v>
      </c>
      <c r="EN4" s="22">
        <v>44911</v>
      </c>
      <c r="EO4" s="222">
        <f t="shared" si="20"/>
        <v>14</v>
      </c>
      <c r="EP4" s="214" t="str">
        <f t="shared" si="21"/>
        <v>NORMAL- SUMINISTRAR SULFATO FERROSO</v>
      </c>
      <c r="EQ4" s="216" t="str">
        <f t="shared" si="22"/>
        <v>II TRIM</v>
      </c>
      <c r="ER4" s="24">
        <v>13.1</v>
      </c>
      <c r="ES4" s="22">
        <v>44911</v>
      </c>
      <c r="ET4" s="29">
        <f t="shared" ca="1" si="23"/>
        <v>14</v>
      </c>
      <c r="EU4" s="25" t="str">
        <f t="shared" si="24"/>
        <v>NORMAL- SUMINISTRAR SULFATO FERROSO</v>
      </c>
      <c r="EV4" s="24" t="s">
        <v>866</v>
      </c>
      <c r="EW4" s="32">
        <v>44911</v>
      </c>
      <c r="EX4" s="22"/>
      <c r="EY4" s="29">
        <f t="shared" si="25"/>
        <v>14</v>
      </c>
      <c r="EZ4" s="25" t="str">
        <f t="shared" ca="1" si="26"/>
        <v/>
      </c>
      <c r="FA4" s="21">
        <v>73</v>
      </c>
      <c r="FB4" s="22">
        <v>44911</v>
      </c>
      <c r="FC4" s="29">
        <f t="shared" si="27"/>
        <v>14</v>
      </c>
      <c r="FD4" s="29">
        <v>83</v>
      </c>
      <c r="FE4" s="29">
        <v>86</v>
      </c>
      <c r="FF4" s="29">
        <v>91</v>
      </c>
      <c r="FG4" s="21" t="str">
        <f t="shared" ca="1" si="28"/>
        <v>NORMAL</v>
      </c>
      <c r="FH4" s="31">
        <v>45016</v>
      </c>
      <c r="FI4" s="29">
        <f t="shared" si="29"/>
        <v>29</v>
      </c>
      <c r="FJ4" s="22"/>
      <c r="FK4" s="22"/>
      <c r="FL4" s="29" t="str">
        <f t="shared" ca="1" si="30"/>
        <v>NO APLICA-INGRESO TARDIO</v>
      </c>
      <c r="FM4" s="22" t="s">
        <v>867</v>
      </c>
      <c r="FN4" s="32">
        <v>44911</v>
      </c>
      <c r="FO4" s="29">
        <f t="shared" ca="1" si="31"/>
        <v>14</v>
      </c>
      <c r="FP4" s="22" t="s">
        <v>867</v>
      </c>
      <c r="FQ4" s="32">
        <v>45016</v>
      </c>
      <c r="FR4" s="29">
        <f t="shared" ca="1" si="32"/>
        <v>29</v>
      </c>
      <c r="FS4" s="22"/>
      <c r="FT4" s="32"/>
      <c r="FU4" s="29" t="str">
        <f>IF(AND(FJ4="",FM4="",FP4="",FS4=""),"",IF(OR(OR(Tabla1[[#This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 s="28"/>
      <c r="FW4" s="22"/>
      <c r="FX4" s="29" t="str">
        <f t="shared" si="33"/>
        <v>TOMAR EXAMEN</v>
      </c>
      <c r="FY4" s="22">
        <v>44911</v>
      </c>
      <c r="FZ4" s="22">
        <v>44911</v>
      </c>
      <c r="GA4" s="29" t="str">
        <f t="shared" si="34"/>
        <v>REGISTRAR EN II TRIMESTRE</v>
      </c>
      <c r="GB4" s="22" t="s">
        <v>868</v>
      </c>
      <c r="GC4" s="22">
        <v>44911</v>
      </c>
      <c r="GD4" s="29">
        <f t="shared" ca="1" si="35"/>
        <v>14</v>
      </c>
      <c r="GE4" s="22"/>
      <c r="GF4" s="22"/>
      <c r="GG4" s="29" t="str">
        <f t="shared" ca="1" si="36"/>
        <v>PIERDE TOMA DE TAMIZAJE</v>
      </c>
      <c r="GH4" s="22"/>
      <c r="GI4" s="29"/>
      <c r="GJ4" s="22"/>
      <c r="GK4" s="22"/>
      <c r="GL4" s="22"/>
      <c r="GM4" s="22"/>
      <c r="GN4" s="28" t="s">
        <v>869</v>
      </c>
      <c r="GO4" s="22">
        <v>44911</v>
      </c>
      <c r="GP4" s="29">
        <f t="shared" si="37"/>
        <v>14</v>
      </c>
      <c r="GQ4" s="28" t="s">
        <v>869</v>
      </c>
      <c r="GR4" s="28" t="s">
        <v>869</v>
      </c>
      <c r="GS4" s="22" t="str">
        <f t="shared" si="38"/>
        <v>CONTROL Igm</v>
      </c>
      <c r="GT4" s="22">
        <v>44911</v>
      </c>
      <c r="GU4" s="29">
        <f t="shared" si="39"/>
        <v>14</v>
      </c>
      <c r="GV4" s="21" t="str">
        <f t="shared" si="40"/>
        <v>II TRIM</v>
      </c>
      <c r="GW4" s="28" t="s">
        <v>869</v>
      </c>
      <c r="GX4" s="30"/>
      <c r="GY4" s="21"/>
      <c r="GZ4" s="21"/>
      <c r="HA4" s="21"/>
      <c r="HB4" s="21"/>
      <c r="HC4" s="21"/>
      <c r="HD4" s="21"/>
      <c r="HE4" s="21"/>
      <c r="HF4" s="22"/>
      <c r="HG4" s="22" t="str">
        <f>IF(OR(O4&gt;0,R4&gt;0),CONCATENATE(IF(Tabla1[[#This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 s="22" t="e">
        <f t="shared" si="41"/>
        <v>#REF!</v>
      </c>
      <c r="HI4" s="22" t="e">
        <f t="shared" ca="1" si="42"/>
        <v>#REF!</v>
      </c>
      <c r="HJ4" s="21"/>
      <c r="HK4" s="21" t="str">
        <f t="shared" si="44"/>
        <v>SIN ANTECEDENTES DE RIESGO</v>
      </c>
      <c r="HL4" s="24" t="str">
        <f t="shared" si="45"/>
        <v>APARENTEMENTE NORMAL</v>
      </c>
      <c r="HM4" s="21" t="str">
        <f t="shared" ca="1" si="46"/>
        <v/>
      </c>
      <c r="HN4" s="30" t="str">
        <f t="shared" si="47"/>
        <v>SALIO PROGRAMA</v>
      </c>
      <c r="HO4" s="21"/>
      <c r="HP4" s="21"/>
      <c r="HQ4" s="22">
        <v>44992</v>
      </c>
      <c r="HR4" s="21" t="str">
        <f>IF(R4="","",IF(Tabla1[[#This Row],[ALARMA FACTORES DE RIESGO COMPLICACIONES HIPERTENSIVAS3]]="SIN ANTECEDENTES DE RIESGO","No Aplica para suministro de ASA",IF(AND(Tabla1[[#This Row],[FECHA INICIO DE SUMINISTRO DE ASA]]&gt;0,RV4&lt;12),"Inicia ASA ANTES de Sem 12",IF(AND(RV4&gt;11,RV4&lt;17,OR(HK4="RIESGO ALTO DE COMPLICACIONES HIPERTENSIVAS VER MANEJO GUIA SUMINISTRO ASA Y CALCIO",HK4="RIESGO MODERADO (2 O MAS CRITERIOS) VER MANEJO GUIA SUMINISTRO ASA Y CALCIO")),"Inicio oportuno de ASA",IF(AND(RV4&gt;12,OR(HK4="RIESGO ALTO DE COMPLICACIONES HIPERTENSIVAS VER MANEJO GUIA SUMINISTRO ASA Y CALCIO",HK4="RIESGO MODERADO (2 O MAS CRITERIOS) VER MANEJO GUIA SUMINISTRO ASA Y CALCIO")),"Inicio no oportuno mayor a 16 semanas",IF(AND(BU4&lt;12,OR(HK4="RIESGO ALTO DE COMPLICACIONES HIPERTENSIVAS VER MANEJO GUIA SUMINISTRO ASA Y CALCIO",HK4="RIESGO MODERADO (2 O MAS CRITERIOS) VER MANEJO GUIA SUMINISTRO ASA Y CALCIO")),"Pendiente Inicio de ASA a la semana 12",IF(AND(BU4&gt;11,BU4&lt;17,OR(HK4="RIESGO ALTO DE COMPLICACIONES HIPERTENSIVAS VER MANEJO GUIA SUMINISTRO ASA Y CALCIO",HK4="RIESGO MODERADO (2 O MAS CRITERIOS) VER MANEJO GUIA SUMINISTRO ASA Y CALCIO")),"Iniciar de inmediato ASA",IF(AND(BU4&gt;16,OR(HK4="RIESGO ALTO DE COMPLICACIONES HIPERTENSIVAS VER MANEJO GUIA SUMINISTRO ASA Y CALCIO",HK4="RIESGO MODERADO (2 O MAS CRITERIOS) VER MANEJO GUIA SUMINISTRO ASA Y CALCIO")),"Pierde Oportunidad, Inicio tardío de ASA","XXXXX"))))))))</f>
        <v>No Aplica para suministro de ASA</v>
      </c>
      <c r="HS4" s="22">
        <v>44992</v>
      </c>
      <c r="HT4" s="22" t="s">
        <v>870</v>
      </c>
      <c r="HU4" s="22"/>
      <c r="HV4" s="22"/>
      <c r="HW4" s="22">
        <v>44992</v>
      </c>
      <c r="HX4" s="22" t="s">
        <v>870</v>
      </c>
      <c r="HY4" s="22">
        <v>44911</v>
      </c>
      <c r="HZ4" s="28">
        <f t="shared" si="48"/>
        <v>14</v>
      </c>
      <c r="IA4" s="26"/>
      <c r="IB4" s="26"/>
      <c r="IC4" s="111"/>
      <c r="ID4" s="22"/>
      <c r="IE4" s="22" t="str">
        <f t="shared" ca="1" si="49"/>
        <v>SALE SIN VACUNA</v>
      </c>
      <c r="IF4" s="22"/>
      <c r="IG4" s="22">
        <f t="shared" si="50"/>
        <v>45093</v>
      </c>
      <c r="IH4" s="29">
        <f t="shared" ca="1" si="51"/>
        <v>-140</v>
      </c>
      <c r="II4" s="22" t="str">
        <f t="shared" ca="1" si="52"/>
        <v>POSIBLEMENTE NACIO</v>
      </c>
      <c r="IJ4" s="22"/>
      <c r="IK4" s="21" t="s">
        <v>898</v>
      </c>
      <c r="IL4" s="21"/>
      <c r="IM4" s="34"/>
      <c r="IN4" s="349">
        <v>45088</v>
      </c>
      <c r="IO4" s="21" t="s">
        <v>1186</v>
      </c>
      <c r="IP4" s="29">
        <f t="shared" si="53"/>
        <v>39.285714285714285</v>
      </c>
      <c r="IQ4" s="35" t="s">
        <v>1650</v>
      </c>
      <c r="IR4" s="21" t="s">
        <v>1651</v>
      </c>
      <c r="IS4" s="21" t="s">
        <v>1646</v>
      </c>
      <c r="IT4" s="21" t="s">
        <v>1642</v>
      </c>
      <c r="IU4" s="21"/>
      <c r="IV4" s="21"/>
      <c r="IW4" s="21"/>
      <c r="IX4" s="21"/>
      <c r="IY4" s="21"/>
      <c r="IZ4" s="21"/>
      <c r="JA4" s="21"/>
      <c r="JB4" s="30">
        <v>1</v>
      </c>
      <c r="JC4" s="21" t="s">
        <v>1643</v>
      </c>
      <c r="JD4" s="36">
        <v>3300</v>
      </c>
      <c r="JE4" s="21" t="str">
        <f t="shared" si="54"/>
        <v>PESO ADECUADO EDAD GESTACIONAL</v>
      </c>
      <c r="JF4" s="30"/>
      <c r="JG4" s="21"/>
      <c r="JH4" s="21"/>
      <c r="JI4" s="21" t="s">
        <v>854</v>
      </c>
      <c r="JJ4" s="30" t="s">
        <v>1030</v>
      </c>
      <c r="JK4" s="22"/>
      <c r="JL4" s="22"/>
      <c r="JM4" s="21"/>
      <c r="JN4" s="36"/>
      <c r="JO4" s="21" t="str">
        <f t="shared" si="55"/>
        <v/>
      </c>
      <c r="JP4" s="22"/>
      <c r="JQ4" s="21"/>
      <c r="JR4" s="21"/>
      <c r="JS4" s="21"/>
      <c r="JT4" s="30"/>
      <c r="JU4" s="22"/>
      <c r="JV4" s="22"/>
      <c r="JW4" s="33"/>
      <c r="JX4" s="28" t="str">
        <f t="shared" si="56"/>
        <v>INASISTENTE</v>
      </c>
      <c r="JY4" s="33"/>
      <c r="JZ4" s="28" t="str">
        <f t="shared" si="57"/>
        <v>INASISTENTE</v>
      </c>
      <c r="KA4" s="21"/>
      <c r="KB4" s="21"/>
      <c r="KC4" s="21"/>
      <c r="KD4" s="37"/>
      <c r="KE4" s="28"/>
      <c r="KF4" s="28"/>
      <c r="KG4" s="28"/>
      <c r="KH4" s="39"/>
      <c r="KI4" s="39"/>
      <c r="KJ4" s="66"/>
      <c r="KK4" s="39"/>
      <c r="KL4" s="39"/>
      <c r="KM4" s="66"/>
      <c r="KN4" s="39"/>
      <c r="KO4" s="39"/>
      <c r="KP4" s="39"/>
      <c r="KQ4" s="39"/>
      <c r="KR4" s="39"/>
      <c r="KS4" s="39"/>
      <c r="KT4" s="39"/>
      <c r="KU4" s="38"/>
      <c r="KV4" s="38"/>
      <c r="KW4" s="38"/>
      <c r="KX4" s="38"/>
      <c r="KY4" s="38"/>
      <c r="KZ4" s="38"/>
      <c r="LA4" s="38"/>
      <c r="LB4" s="38"/>
      <c r="LC4" s="38"/>
      <c r="LD4" s="38"/>
      <c r="LE4" s="38"/>
      <c r="LF4" s="38"/>
      <c r="LG4" s="38"/>
      <c r="LH4" s="38"/>
      <c r="LI4" s="38"/>
      <c r="LJ4" s="38"/>
      <c r="LK4" s="38"/>
      <c r="LL4" s="38"/>
      <c r="LM4" s="38"/>
      <c r="LN4" s="38"/>
      <c r="LO4" s="38"/>
      <c r="LP4" s="38"/>
      <c r="LQ4" s="38"/>
      <c r="LR4" s="38"/>
      <c r="LS4" s="38"/>
      <c r="LT4" s="38"/>
      <c r="LU4" s="38"/>
      <c r="LV4" s="38"/>
      <c r="LW4" s="38"/>
      <c r="LX4" s="38"/>
      <c r="LY4" s="38"/>
      <c r="LZ4" s="38"/>
      <c r="MA4" s="38"/>
      <c r="MB4" s="38"/>
      <c r="MC4" s="38"/>
      <c r="MD4" s="38"/>
      <c r="ME4" s="38"/>
      <c r="MF4" s="38"/>
      <c r="MG4" s="21" t="s">
        <v>2060</v>
      </c>
      <c r="MH4" s="43">
        <f t="shared" si="58"/>
        <v>0</v>
      </c>
      <c r="MI4" s="43" t="str">
        <f t="shared" si="59"/>
        <v/>
      </c>
      <c r="MJ4" s="43" t="str">
        <f t="shared" si="60"/>
        <v/>
      </c>
      <c r="MK4" s="43">
        <f t="shared" si="61"/>
        <v>0</v>
      </c>
      <c r="ML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 s="43">
        <f t="shared" si="62"/>
        <v>14</v>
      </c>
      <c r="MN4" s="43">
        <f t="shared" si="63"/>
        <v>12</v>
      </c>
      <c r="MO4" s="43">
        <f t="shared" si="64"/>
        <v>2022</v>
      </c>
      <c r="MP4" s="43" t="str">
        <f t="shared" si="65"/>
        <v>IV TRIMESTRE AÑO</v>
      </c>
      <c r="MQ4" s="43">
        <f t="shared" si="66"/>
        <v>21.112571178274198</v>
      </c>
      <c r="MR4" s="43">
        <f t="shared" si="67"/>
        <v>0</v>
      </c>
      <c r="MS4" s="43" t="str">
        <f t="shared" si="68"/>
        <v xml:space="preserve"> DE 20 A 24 AÑOS</v>
      </c>
      <c r="MT4" s="43">
        <f t="shared" si="69"/>
        <v>0</v>
      </c>
      <c r="MU4" s="43">
        <f t="shared" si="70"/>
        <v>0</v>
      </c>
      <c r="MV4" s="43">
        <f t="shared" si="71"/>
        <v>0</v>
      </c>
      <c r="MW4" s="43">
        <f t="shared" si="72"/>
        <v>0</v>
      </c>
      <c r="MX4" s="43" t="str">
        <f t="shared" si="73"/>
        <v/>
      </c>
      <c r="MY4" s="43" t="str">
        <f t="shared" ca="1" si="74"/>
        <v/>
      </c>
      <c r="MZ4" s="43" t="str">
        <f t="shared" si="75"/>
        <v/>
      </c>
      <c r="NA4" s="43">
        <f t="shared" si="76"/>
        <v>0</v>
      </c>
      <c r="NB4" s="43" t="str">
        <f t="shared" si="77"/>
        <v/>
      </c>
      <c r="NC4" s="43" t="str">
        <f t="shared" si="78"/>
        <v/>
      </c>
      <c r="ND4" s="43">
        <f t="shared" ca="1" si="79"/>
        <v>0</v>
      </c>
      <c r="NE4" s="43">
        <f>IF(OR(O4&gt;0,R4&gt;0),SUM(COUNTIF(Tabla1[[#This Row],[AÑOS AL INICIO5 CPN]],"&gt;=40"),COUNTIF(AS4,"0"),COUNTIF(AR4,"SI"),COUNTIF(CC4,"SI"),COUNTIF(BQ4,"&gt;119"),COUNTIF(CI4,"&gt;=35")),"")</f>
        <v>0</v>
      </c>
      <c r="NF4" s="43" t="str">
        <f t="shared" si="80"/>
        <v/>
      </c>
      <c r="NG4" s="43">
        <f t="shared" si="81"/>
        <v>0</v>
      </c>
      <c r="NH4" s="43">
        <f t="shared" si="82"/>
        <v>105</v>
      </c>
      <c r="NI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CPN",P4="NO"),"Z",IF(AND(Tabla1[[#This Row],[CITA PROXIMO CONTROL]]="CITA MANUAL",Tabla1[[#This Row],[GESTANTES ACTUALES]]="ACTIVA INGRESO A CPN"),"W",IF(AND(Tabla1[[#This Row],[GESTANTES ACTUALES]]="SALIO PROGRAMA",IN4=""),"S",IF(AND(Tabla1[[#This Row],[CITA PROXIMO CONTROL]]&gt;0,IN4=""),(Tabla1[[#This Row],[CITA PROXIMO CONTROL]]-TODAY()),"SD"))))))))</f>
        <v>SD</v>
      </c>
      <c r="NJ4" s="43">
        <f>MONTH(Tabla1[[#This Row],[FECHA DE SALIDA  DEL PROGRAMA]])</f>
        <v>6</v>
      </c>
      <c r="NK4" s="43">
        <f>YEAR(Tabla1[[#This Row],[FECHA DE SALIDA  DEL PROGRAMA]])</f>
        <v>2023</v>
      </c>
      <c r="NL4" s="43" t="str">
        <f t="shared" si="83"/>
        <v>X</v>
      </c>
      <c r="NM4" s="43" t="str">
        <f t="shared" si="84"/>
        <v>NO</v>
      </c>
      <c r="NN4" s="43" t="str">
        <f ca="1">IF(AND(O4&gt;0,R4=""),"NO CPN",IF(AND(O4="",R4=""),"",IF(AND(R4&gt;0,Tabla1[[#This Row],[SEMANAS DE GESTACION ACTUALIZADAS]]&lt;=12),"NO APLICA",IF(AND(FH4&lt;&gt;"",FN4&lt;&gt;""),"SI","NO"))))</f>
        <v>SI</v>
      </c>
      <c r="NO4" s="43" t="str">
        <f ca="1">IF(AND(O4&gt;0,R4=""),"NO CPN",IF(AND(O4="",R4=""),"",IF(AND(R4&gt;0,Tabla1[[#This Row],[SEMANAS DE GESTACION ACTUALIZADAS]]&lt;=27),"NO APLICA",IF(AND(ES4&lt;&gt;"",FQ4&lt;&gt;"",GF4&lt;&gt;""),"SI","NO"))))</f>
        <v>NO</v>
      </c>
      <c r="NP4" s="204" t="str">
        <f t="shared" si="85"/>
        <v>II TRIM</v>
      </c>
      <c r="NQ4" s="21">
        <f t="shared" si="86"/>
        <v>1</v>
      </c>
      <c r="NR4" s="21">
        <f t="shared" si="87"/>
        <v>2</v>
      </c>
      <c r="NS4" s="205">
        <f t="shared" ca="1" si="88"/>
        <v>2</v>
      </c>
      <c r="NT4" s="21">
        <f t="shared" ca="1" si="89"/>
        <v>1</v>
      </c>
      <c r="NU4" s="21" t="str">
        <f t="shared" ca="1" si="90"/>
        <v>COMPLETO</v>
      </c>
      <c r="NV4" s="21" t="str">
        <f t="shared" ca="1" si="91"/>
        <v>INCOMPLETO</v>
      </c>
      <c r="NW4" s="206" t="str">
        <f>IF(AND(O4="",R4=""),"",IF(OR(AND(Tabla1[[#This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 s="207" t="str">
        <f t="shared" ca="1" si="92"/>
        <v>SIN VACUNAR</v>
      </c>
      <c r="NY4" s="43">
        <f>ROW(Tabla1[[#This Row],['# DE TAMIZAJES SIFILIS TOMADOS ]])</f>
        <v>4</v>
      </c>
      <c r="NZ4" s="43">
        <f t="shared" si="93"/>
        <v>14</v>
      </c>
      <c r="OA4" s="43" t="str">
        <f t="shared" si="94"/>
        <v/>
      </c>
      <c r="OB4" s="43" t="str">
        <f t="shared" si="95"/>
        <v/>
      </c>
      <c r="OC4" s="43" t="str">
        <f t="shared" si="96"/>
        <v/>
      </c>
      <c r="OD4" s="43" t="str">
        <f t="shared" si="97"/>
        <v/>
      </c>
      <c r="OE4" s="43" t="str">
        <f t="shared" si="98"/>
        <v/>
      </c>
      <c r="OF4" s="43" t="str">
        <f t="shared" si="99"/>
        <v>NORMAL</v>
      </c>
      <c r="OG4" s="43" t="str">
        <f t="shared" si="100"/>
        <v/>
      </c>
      <c r="OH4" s="43" t="str">
        <f t="shared" si="101"/>
        <v/>
      </c>
      <c r="OI4" s="43" t="str">
        <f t="shared" si="102"/>
        <v/>
      </c>
      <c r="OJ4" s="43" t="str">
        <f t="shared" si="103"/>
        <v/>
      </c>
      <c r="OK4" s="43" t="str">
        <f t="shared" si="104"/>
        <v/>
      </c>
      <c r="OL4" s="43" t="str">
        <f t="shared" si="105"/>
        <v/>
      </c>
      <c r="OM4" s="43" t="str">
        <f t="shared" si="106"/>
        <v/>
      </c>
      <c r="ON4" s="43" t="str">
        <f t="shared" si="107"/>
        <v/>
      </c>
      <c r="OO4" s="43" t="str">
        <f t="shared" si="108"/>
        <v/>
      </c>
      <c r="OP4" s="43" t="str">
        <f t="shared" si="109"/>
        <v/>
      </c>
      <c r="OQ4" s="43" t="str">
        <f t="shared" si="110"/>
        <v/>
      </c>
      <c r="OR4" s="43" t="str">
        <f t="shared" si="111"/>
        <v/>
      </c>
      <c r="OS4" s="43" t="str">
        <f t="shared" si="112"/>
        <v/>
      </c>
      <c r="OT4" s="43" t="str">
        <f t="shared" si="113"/>
        <v/>
      </c>
      <c r="OU4" s="43" t="str">
        <f t="shared" si="114"/>
        <v/>
      </c>
      <c r="OV4" s="110" t="str">
        <f t="shared" si="115"/>
        <v/>
      </c>
      <c r="OW4" s="43" t="str">
        <f t="shared" si="116"/>
        <v/>
      </c>
      <c r="OX4" s="43" t="str">
        <f t="shared" si="117"/>
        <v/>
      </c>
      <c r="OY4" s="43" t="str">
        <f t="shared" si="118"/>
        <v/>
      </c>
      <c r="OZ4" s="43" t="str">
        <f t="shared" si="119"/>
        <v/>
      </c>
      <c r="PA4" s="43" t="str">
        <f t="shared" si="120"/>
        <v/>
      </c>
      <c r="PB4" s="43" t="str">
        <f t="shared" si="121"/>
        <v/>
      </c>
      <c r="PC4" s="43" t="str">
        <f t="shared" si="122"/>
        <v/>
      </c>
      <c r="PD4" s="43" t="str">
        <f t="shared" si="123"/>
        <v/>
      </c>
      <c r="PE4" s="43" t="str">
        <f t="shared" si="124"/>
        <v/>
      </c>
      <c r="PF4" s="43" t="str">
        <f t="shared" si="125"/>
        <v/>
      </c>
      <c r="PG4" s="43" t="str">
        <f t="shared" si="126"/>
        <v/>
      </c>
      <c r="PH4" s="43" t="str">
        <f t="shared" si="127"/>
        <v/>
      </c>
      <c r="PI4" s="43">
        <f t="shared" si="128"/>
        <v>36</v>
      </c>
      <c r="PJ4" s="43" t="str">
        <f t="shared" si="129"/>
        <v/>
      </c>
      <c r="PK4" s="43" t="str">
        <f t="shared" si="130"/>
        <v/>
      </c>
      <c r="PL4" s="43" t="str">
        <f t="shared" si="131"/>
        <v/>
      </c>
      <c r="PM4" s="43" t="str">
        <f t="shared" si="132"/>
        <v/>
      </c>
      <c r="PN4" s="43" t="str">
        <f t="shared" si="133"/>
        <v/>
      </c>
      <c r="PO4" s="43" t="str">
        <f t="shared" si="134"/>
        <v/>
      </c>
      <c r="PP4" s="43" t="str">
        <f t="shared" si="135"/>
        <v/>
      </c>
      <c r="PQ4" s="43" t="str">
        <f t="shared" si="136"/>
        <v/>
      </c>
      <c r="PR4" s="43" t="str">
        <f t="shared" si="137"/>
        <v/>
      </c>
      <c r="PS4" s="43" t="str">
        <f t="shared" si="138"/>
        <v/>
      </c>
      <c r="PT4" s="43" t="str">
        <f t="shared" si="139"/>
        <v/>
      </c>
      <c r="PU4" s="43" t="str">
        <f t="shared" si="140"/>
        <v/>
      </c>
      <c r="PV4" s="43" t="str">
        <f t="shared" si="141"/>
        <v/>
      </c>
      <c r="PW4" s="43" t="str">
        <f t="shared" si="142"/>
        <v/>
      </c>
      <c r="PX4" s="43" t="str">
        <f t="shared" si="143"/>
        <v/>
      </c>
      <c r="PY4" s="43" t="str">
        <f t="shared" si="144"/>
        <v/>
      </c>
      <c r="PZ4" s="43" t="str">
        <f t="shared" si="145"/>
        <v/>
      </c>
      <c r="QA4" s="43" t="str">
        <f t="shared" si="146"/>
        <v/>
      </c>
      <c r="QB4" s="43" t="str">
        <f t="shared" si="147"/>
        <v/>
      </c>
      <c r="QC4" s="43" t="str">
        <f t="shared" si="148"/>
        <v/>
      </c>
      <c r="QD4" s="43" t="str">
        <f t="shared" si="149"/>
        <v/>
      </c>
      <c r="QE4" s="43" t="str">
        <f t="shared" si="150"/>
        <v/>
      </c>
      <c r="QF4" s="43" t="str">
        <f t="shared" si="151"/>
        <v/>
      </c>
      <c r="QG4" s="43" t="str">
        <f t="shared" si="152"/>
        <v/>
      </c>
      <c r="QH4" s="43" t="str">
        <f t="shared" si="153"/>
        <v/>
      </c>
      <c r="QI4" s="43" t="str">
        <f t="shared" si="154"/>
        <v/>
      </c>
      <c r="QJ4" s="43" t="str">
        <f t="shared" si="155"/>
        <v/>
      </c>
      <c r="QK4" s="43" t="str">
        <f t="shared" si="156"/>
        <v>BAJO PESO</v>
      </c>
      <c r="QL4" s="43" t="str">
        <f t="shared" si="157"/>
        <v/>
      </c>
      <c r="QM4" s="43" t="str">
        <f t="shared" si="158"/>
        <v/>
      </c>
      <c r="QN4" s="43" t="str">
        <f t="shared" si="159"/>
        <v/>
      </c>
      <c r="QO4" s="43" t="str">
        <f t="shared" si="160"/>
        <v/>
      </c>
      <c r="QP4" s="43" t="str">
        <f t="shared" si="161"/>
        <v/>
      </c>
      <c r="QQ4" s="43" t="str">
        <f t="shared" si="162"/>
        <v/>
      </c>
      <c r="QR4" s="43">
        <f t="shared" ref="QR4:QR67" si="192">IF(DZ4="","",IF(DZ4&lt;13,"Menor",IF(DZ4&gt;40,"Mayor",DZ4)))</f>
        <v>36</v>
      </c>
      <c r="QS4" s="43"/>
      <c r="QT4" s="21" t="str">
        <f t="shared" si="163"/>
        <v/>
      </c>
      <c r="QU4" s="21" t="str">
        <f t="shared" si="164"/>
        <v/>
      </c>
      <c r="QV4" s="21" t="str">
        <f t="shared" si="165"/>
        <v/>
      </c>
      <c r="QW4" s="21" t="str">
        <f t="shared" si="166"/>
        <v/>
      </c>
      <c r="QX4" s="21" t="str">
        <f t="shared" si="167"/>
        <v/>
      </c>
      <c r="QY4" s="21" t="str">
        <f t="shared" si="168"/>
        <v/>
      </c>
      <c r="QZ4" s="21" t="str">
        <f t="shared" si="169"/>
        <v/>
      </c>
      <c r="RA4" s="21" t="str">
        <f t="shared" si="170"/>
        <v/>
      </c>
      <c r="RB4" s="21" t="str">
        <f t="shared" si="171"/>
        <v/>
      </c>
      <c r="RC4" s="21" t="str">
        <f t="shared" si="172"/>
        <v/>
      </c>
      <c r="RD4" s="21" t="str">
        <f t="shared" si="173"/>
        <v/>
      </c>
      <c r="RE4" s="21" t="str">
        <f t="shared" si="174"/>
        <v/>
      </c>
      <c r="RF4" s="21" t="str">
        <f t="shared" si="175"/>
        <v/>
      </c>
      <c r="RG4" s="21" t="str">
        <f t="shared" si="176"/>
        <v/>
      </c>
      <c r="RH4" s="21" t="str">
        <f t="shared" si="177"/>
        <v/>
      </c>
      <c r="RI4" s="21" t="str">
        <f t="shared" si="178"/>
        <v/>
      </c>
      <c r="RJ4" s="21" t="str">
        <f t="shared" si="179"/>
        <v/>
      </c>
      <c r="RK4" s="21" t="str">
        <f t="shared" si="180"/>
        <v/>
      </c>
      <c r="RL4" s="21" t="str">
        <f t="shared" si="181"/>
        <v/>
      </c>
      <c r="RM4" s="21" t="str">
        <f t="shared" si="182"/>
        <v/>
      </c>
      <c r="RN4" s="21" t="str">
        <f t="shared" si="183"/>
        <v/>
      </c>
      <c r="RO4" s="21" t="str">
        <f t="shared" si="184"/>
        <v/>
      </c>
      <c r="RP4" s="21" t="str">
        <f t="shared" si="185"/>
        <v/>
      </c>
      <c r="RQ4" s="21" t="str">
        <f t="shared" si="186"/>
        <v>ADECUADO PARA EDAD GESTACIONAL</v>
      </c>
      <c r="RR4" s="21" t="str">
        <f t="shared" si="187"/>
        <v/>
      </c>
      <c r="RS4" s="21" t="str">
        <f t="shared" si="188"/>
        <v/>
      </c>
      <c r="RT4" s="21" t="str">
        <f t="shared" si="189"/>
        <v/>
      </c>
      <c r="RU4" s="21" t="str">
        <f t="shared" si="190"/>
        <v/>
      </c>
      <c r="RV4" s="21">
        <f t="shared" si="191"/>
        <v>25.571428571428573</v>
      </c>
      <c r="RW4" s="284">
        <f>IF(OR(Tabla1[[#This Row],[FUM FORMULA CONFIABLE]]="",Tabla1[[#This Row],[FUM FORMULA CONFIABLE]]="SD"),"",IF(Tabla1[[#This Row],[FUM FORMULA CONFIABLE]]="CORREGIDA",Tabla1[[#This Row],[FUM X ECO 1]],Tabla1[[#This Row],[FUM x AMENORREA]]))</f>
        <v>44813</v>
      </c>
      <c r="RX4" s="21">
        <f>IF(AND(Tabla1[[#This Row],[FUM X ECO 1]]="",Tabla1[[#This Row],[FUM x AMENORREA]]=""),"",IF(AND(Tabla1[[#This Row],[FUM X ECO 1]]="",Tabla1[[#This Row],[FUM x AMENORREA]]&lt;&gt;""),"X",SUM(Tabla1[[#This Row],[FUM X ECO 1]]-Tabla1[[#This Row],[FUM x AMENORREA]])))</f>
        <v>0</v>
      </c>
      <c r="RY4" s="21">
        <f t="shared" ref="RY4:RY67" si="193">IF(RX4="","",IF(RX4="x","x",IF(OR(RX4&gt;6,RX4&lt;-7),1,0)))</f>
        <v>0</v>
      </c>
    </row>
    <row r="5" spans="1:493" ht="66" customHeight="1" x14ac:dyDescent="0.25">
      <c r="A5" s="109" t="s">
        <v>871</v>
      </c>
      <c r="B5" s="43" t="s">
        <v>872</v>
      </c>
      <c r="C5" s="43" t="s">
        <v>845</v>
      </c>
      <c r="D5" s="124" t="s">
        <v>846</v>
      </c>
      <c r="E5" s="43" t="s">
        <v>873</v>
      </c>
      <c r="F5" s="43" t="s">
        <v>874</v>
      </c>
      <c r="G5" s="43" t="s">
        <v>875</v>
      </c>
      <c r="H5" s="43" t="s">
        <v>850</v>
      </c>
      <c r="I5" s="109" t="s">
        <v>851</v>
      </c>
      <c r="J5" s="110">
        <v>1193574048</v>
      </c>
      <c r="K5" s="43" t="s">
        <v>852</v>
      </c>
      <c r="L5" s="175" t="s">
        <v>853</v>
      </c>
      <c r="M5" s="22">
        <v>37393</v>
      </c>
      <c r="N5" s="213">
        <f t="shared" ca="1" si="0"/>
        <v>21.479452054794521</v>
      </c>
      <c r="O5" s="22">
        <v>44820</v>
      </c>
      <c r="P5" s="214" t="str">
        <f t="shared" si="1"/>
        <v>SI</v>
      </c>
      <c r="Q5" s="26" t="s">
        <v>855</v>
      </c>
      <c r="R5" s="22">
        <v>44820</v>
      </c>
      <c r="S5" s="21" t="s">
        <v>856</v>
      </c>
      <c r="T5" s="24" t="s">
        <v>690</v>
      </c>
      <c r="U5" s="21" t="s">
        <v>857</v>
      </c>
      <c r="V5" s="21" t="s">
        <v>858</v>
      </c>
      <c r="W5" s="21" t="s">
        <v>876</v>
      </c>
      <c r="X5" s="21" t="s">
        <v>876</v>
      </c>
      <c r="Y5" s="21" t="s">
        <v>859</v>
      </c>
      <c r="Z5" s="21">
        <v>3147413365</v>
      </c>
      <c r="AA5" s="21" t="s">
        <v>860</v>
      </c>
      <c r="AB5" s="27" t="s">
        <v>861</v>
      </c>
      <c r="AC5" s="26" t="s">
        <v>877</v>
      </c>
      <c r="AD5" s="38" t="s">
        <v>846</v>
      </c>
      <c r="AE5" s="26" t="s">
        <v>854</v>
      </c>
      <c r="AF5" s="26" t="s">
        <v>854</v>
      </c>
      <c r="AG5" s="23" t="s">
        <v>864</v>
      </c>
      <c r="AH5" s="23" t="s">
        <v>864</v>
      </c>
      <c r="AI5" s="24" t="s">
        <v>863</v>
      </c>
      <c r="AJ5" s="23" t="s">
        <v>864</v>
      </c>
      <c r="AK5" s="220" t="str">
        <f>IF(AND(AD5="",AE5="",AF5="",AG5="",AH5="",AI5="",AJ5=""),"",IF(OR(Tabla1[[#This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EVALUACIÓN",IF(AND(O5="",R5=""),"",IF(AND(OR(O5&gt;0,R5&gt;0),NG5&gt;=0,NG5&lt;2),"SIN RIESGO",IF(AND(OR(O5&gt;0,R5&gt;0),NG5&gt;=2),"CON RIESGO","ASD")))))</f>
        <v>SIN RIESGO</v>
      </c>
      <c r="AL5" s="23" t="s">
        <v>864</v>
      </c>
      <c r="AM5" s="26" t="s">
        <v>864</v>
      </c>
      <c r="AN5" s="26" t="s">
        <v>864</v>
      </c>
      <c r="AO5" s="26" t="s">
        <v>864</v>
      </c>
      <c r="AP5" s="26" t="s">
        <v>864</v>
      </c>
      <c r="AQ5" s="26" t="s">
        <v>864</v>
      </c>
      <c r="AR5" s="26" t="s">
        <v>864</v>
      </c>
      <c r="AS5" s="21">
        <v>1</v>
      </c>
      <c r="AT5" s="21">
        <v>0</v>
      </c>
      <c r="AU5" s="21">
        <v>1</v>
      </c>
      <c r="AV5" s="26" t="s">
        <v>864</v>
      </c>
      <c r="AW5" s="21">
        <v>0</v>
      </c>
      <c r="AX5" s="26" t="s">
        <v>864</v>
      </c>
      <c r="AY5" s="26" t="s">
        <v>864</v>
      </c>
      <c r="AZ5" s="26" t="s">
        <v>864</v>
      </c>
      <c r="BA5" s="26" t="s">
        <v>864</v>
      </c>
      <c r="BB5" s="26" t="s">
        <v>864</v>
      </c>
      <c r="BC5" s="26" t="s">
        <v>864</v>
      </c>
      <c r="BD5" s="26" t="s">
        <v>864</v>
      </c>
      <c r="BE5" s="203" t="s">
        <v>864</v>
      </c>
      <c r="BF5" s="26" t="s">
        <v>864</v>
      </c>
      <c r="BG5" s="26" t="s">
        <v>864</v>
      </c>
      <c r="BH5" s="26" t="s">
        <v>865</v>
      </c>
      <c r="BI5" s="26" t="s">
        <v>864</v>
      </c>
      <c r="BJ5" s="26"/>
      <c r="BK5" s="26"/>
      <c r="BL5" s="26" t="s">
        <v>865</v>
      </c>
      <c r="BM5" s="26" t="s">
        <v>864</v>
      </c>
      <c r="BN5" s="22">
        <v>44589</v>
      </c>
      <c r="BO5" s="286">
        <v>44729</v>
      </c>
      <c r="BP5" s="21" t="s">
        <v>854</v>
      </c>
      <c r="BQ5" s="222">
        <f t="shared" si="2"/>
        <v>4.666666666666667</v>
      </c>
      <c r="BR5" s="223">
        <f t="shared" si="3"/>
        <v>44729</v>
      </c>
      <c r="BS5" s="224">
        <f t="shared" si="4"/>
        <v>13</v>
      </c>
      <c r="BT5" s="216" t="str">
        <f t="shared" si="5"/>
        <v>II TRIM</v>
      </c>
      <c r="BU5" s="214" t="str">
        <f t="shared" ca="1" si="6"/>
        <v/>
      </c>
      <c r="BV5" s="25"/>
      <c r="BW5" s="22">
        <v>44834</v>
      </c>
      <c r="BX5" s="28">
        <v>15</v>
      </c>
      <c r="BY5" s="28"/>
      <c r="BZ5" s="22">
        <v>44960</v>
      </c>
      <c r="CA5" s="21">
        <v>32.200000000000003</v>
      </c>
      <c r="CB5" s="26" t="s">
        <v>864</v>
      </c>
      <c r="CC5" s="26" t="s">
        <v>864</v>
      </c>
      <c r="CD5" s="26" t="s">
        <v>878</v>
      </c>
      <c r="CE5" s="26" t="s">
        <v>864</v>
      </c>
      <c r="CF5" s="22">
        <v>44266</v>
      </c>
      <c r="CG5" s="21">
        <v>1.5</v>
      </c>
      <c r="CH5" s="21">
        <v>66</v>
      </c>
      <c r="CI5" s="214">
        <f t="shared" si="7"/>
        <v>29.333333333333332</v>
      </c>
      <c r="CJ5" s="225" t="str">
        <f>IF(AND(CI5&lt;10,CH5="SD"),"SIN DATO PESO PREGESTACION O I TRIM",IF(AND(OR(R5&gt;0,O5&gt;0),CI5="X"),"INGRESAR DATO DE PESO",IF(CI5="SD","INGRESAR DATO DE TALLA Y PESO",IF(AND(OR(Tabla1[[#This Row],[MOMENTO EN QUE SE REALIZA EL PESO AL INGRESO A CPN]]="PREGESTACIÓN",NZ5="Menor"),CI5&lt;18.5),"BAJO PESO",IF(AND(OR(Tabla1[[#This Row],[MOMENTO EN QUE SE REALIZA EL PESO AL INGRESO A CPN]]="PREGESTACIÓN",NZ5="Menor"),CI5&lt;25),"NORMAL",IF(AND(OR(Tabla1[[#This Row],[MOMENTO EN QUE SE REALIZA EL PESO AL INGRESO A CPN]]="PREGESTACIÓN",NZ5="Menor"),CI5&lt;30),"SOBREPESO",IF(AND(OR(Tabla1[[#This Row],[MOMENTO EN QUE SE REALIZA EL PESO AL INGRESO A CPN]]="PREGESTACIÓN",NZ5="Menor"),CI5&gt;=30,CI5&lt;50),"OBESIDAD",IF(AND(BS5&gt;0,Tabla1[[#This Row],[MOMENTO EN QUE SE REALIZA EL PESO AL INGRESO A CPN]]="GESTACIÓN"),HLOOKUP(NZ5,$OA$2:PH5,NY5),""))))))))</f>
        <v/>
      </c>
      <c r="CK5" s="212">
        <f t="shared" si="8"/>
        <v>45003</v>
      </c>
      <c r="CL5" s="21"/>
      <c r="CM5" s="214">
        <f t="shared" si="9"/>
        <v>0</v>
      </c>
      <c r="CN5" s="216">
        <f t="shared" si="10"/>
        <v>39</v>
      </c>
      <c r="CO5" s="216" t="e">
        <f>IF(PI5="","",IF(PI5&gt;0,HLOOKUP(PI5,$PJ$2:QQ5,NY5),""))</f>
        <v>#REF!</v>
      </c>
      <c r="CP5" s="21"/>
      <c r="CQ5" s="216" t="e">
        <f>IF(QR5="Menor","NO APLICA-MENOR 13 SEM",IF(AND(CC5="SI",CN5&gt;23),"NO APLICA- GEMELAR",IF(QR5="","",IF(QR5&gt;0,HLOOKUP(QR5,$QS$2:RU5,NY5),""))))</f>
        <v>#REF!</v>
      </c>
      <c r="CR5" s="21">
        <v>100</v>
      </c>
      <c r="CS5" s="21">
        <v>60</v>
      </c>
      <c r="CT5" s="217" t="str">
        <f>IF(R5="","",IF(AND(BS5&gt;1,BS5&lt;12,Tabla1[[#This Row],[T.A. SISTOLICA - ANTES DE SEMANA 12]]="",Tabla1[[#This Row],[T.A. DIASTOLICA - ANTES DE SEMANA 12]]=""),"REGISTRE DATO TA ANTES SEMANA 12",IF(AND(BS5&gt;11,BS5&lt;43,Tabla1[[#This Row],[T.A. SISTOLICA - ANTES DE SEMANA 12]]="",Tabla1[[#This Row],[T.A. DIASTOLICA - ANTES DE SEMANA 12]]=""),"NO APLICA REGISTRO TA-INGRESO TARDIO",IF(AND(OR(O5&gt;0,R5&gt;0),OR(CR5&gt;=140,CS5&gt;=90)),"DEFINIR ESTADIO HTA",IF(AND(OR(O5&gt;0,R5&gt;0),AND(CR5&gt;120,CR5&lt;=139)),"PRE HTA SEGUIMIENTO",IF(AND(OR(O5&gt;0,R5&gt;0),AND(CS5&gt;80,CS5&lt;=89)),"PRE HTA SEGUIMIENTO",IF(AND(OR(O5&gt;0,R5&gt;0),AND(CR5&gt;=80,CR5&lt;=120)),"APARENTEMENTE NORMAL",IF(AND(OR(O5&gt;0,R5&gt;0),AND(CS5&gt;=50,CS5&lt;=80)),"APARENTEMENTE NORMAL",IF(AND(OR(O5&gt;0,R5&gt;0),AND(CR5&gt;1,CR5&lt;=70),AND(CS5&gt;1,CS5&lt;=40)),"HIPOTENSIÓN","")))))))))</f>
        <v>APARENTEMENTE NORMAL</v>
      </c>
      <c r="CU5" s="21">
        <v>100</v>
      </c>
      <c r="CV5" s="21">
        <v>70</v>
      </c>
      <c r="CW5" s="217" t="str">
        <f ca="1">IF(R5="","",IF(AND(CN5&gt;19,CN5&lt;27,Tabla1[[#This Row],[T.A. SISTOLICA (Entre semana 20 y 26)]]="",Tabla1[[#This Row],[T.A. DIATOLICA (Entre semana 20 y 26)]]=""),"ACUDE A CONTROL SEM 20 A 26 REGISTRE TA AHORA",IF(AND(BS5&gt;1,BS5&lt;27,BU5&gt;19,Tabla1[[#This Row],[T.A. SISTOLICA (Entre semana 20 y 26)]]="",Tabla1[[#This Row],[T.A. DIATOLICA (Entre semana 20 y 26)]]=""),"COMPLETE REGISTRO TA CONTROL SEM 20 A26 ",IF(AND(BS5&gt;26,BS5&lt;43,Tabla1[[#This Row],[T.A. SISTOLICA (Entre semana 20 y 26)]]="",Tabla1[[#This Row],[T.A. DIATOLICA (Entre semana 20 y 26)]]=""),"NO APLICA REGISTRO TA-INGRESO TARDIO",IF(AND(OR(O5&gt;0,R5&gt;0),OR(CU5&gt;=140,CV5&gt;=90)),"ALTO RIESGO PREECLAMPSIA,DEFINIR ESTADIO HTA",IF(AND(OR(O5&gt;0,R5&gt;0),AND(CU5&gt;120,CU5&lt;=139)),"PRE HTA SEGUIMIENTO,RIESGO HIPERTENSION INDUCIDA POR EL EMBARAZO",IF(AND(OR(O5&gt;0,R5&gt;0),AND(CV5&gt;80,CV5&lt;=89)),"PRE HTA SEGUIMIENTO, RIESGO HIPERTENSION INDUCIDA POR EL EMBARAZO",IF(AND(OR(O5&lt;&gt;"",R5&lt;&gt;""),CS5&lt;&gt;"",CV5&lt;&gt;"",CS5&lt;=CV5),"VIGILAR CIFRAS PRESION ARTERIAL",IF(AND(OR(O5&gt;0,R5&gt;0),AND(CU5&gt;120,CU5&lt;=139)),"PRE HTA SEGUIMIENTO",IF(AND(OR(O5&gt;0,R5&gt;0),AND(CU5&gt;1,CU5&lt;=70),AND(CV5&gt;1,CV5&lt;=40)),"HIPOTENSIÓN",IF(AND(OR(O5&lt;&gt;"",R5&lt;&gt;""),CS5&lt;&gt;"",CV5&lt;&gt;"",CS5&gt;CV5),"APARENTEMENTE NORMAL",IF(AND(OR(O5&gt;0,R5&gt;0),AND(CU5&gt;=80,CU5&lt;=120)),"APARENTEMENTE NORMAL",IF(AND(OR(O5&gt;0,R5&gt;0),AND(CV5&gt;=50,CV5&lt;=80)),"APARENTEMENTE NORMAL","")))))))))))))</f>
        <v>VIGILAR CIFRAS PRESION ARTERIAL</v>
      </c>
      <c r="CX5" s="21">
        <v>100</v>
      </c>
      <c r="CY5" s="21">
        <v>70</v>
      </c>
      <c r="CZ5" s="216" t="str">
        <f t="shared" si="11"/>
        <v>VIGILAR CIFRAS PRESION ARTERIAL</v>
      </c>
      <c r="DA5" s="21"/>
      <c r="DB5" s="21"/>
      <c r="DC5" s="217" t="str">
        <f t="shared" si="12"/>
        <v>REGISTRE DATO PRESIÓN ARTERIAL MENSUAL</v>
      </c>
      <c r="DD5" s="22">
        <v>44820</v>
      </c>
      <c r="DE5" s="22">
        <v>44820</v>
      </c>
      <c r="DF5" s="22">
        <v>44887</v>
      </c>
      <c r="DG5" s="22">
        <v>44939</v>
      </c>
      <c r="DH5" s="22">
        <v>45003</v>
      </c>
      <c r="DI5" s="22"/>
      <c r="DJ5" s="22"/>
      <c r="DK5" s="22"/>
      <c r="DL5" s="22"/>
      <c r="DM5" s="22"/>
      <c r="DN5" s="22"/>
      <c r="DO5" s="22"/>
      <c r="DP5" s="22"/>
      <c r="DQ5" s="22"/>
      <c r="DR5" s="28">
        <v>2</v>
      </c>
      <c r="DS5" s="22"/>
      <c r="DT5" s="22"/>
      <c r="DU5" s="216" t="str">
        <f t="shared" ca="1" si="13"/>
        <v>SALE SIN PLAN DE PARTO</v>
      </c>
      <c r="DV5" s="226" t="str">
        <f t="shared" si="14"/>
        <v>SALIO PROGRAMA</v>
      </c>
      <c r="DW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 s="216" t="str">
        <f t="shared" ca="1" si="15"/>
        <v/>
      </c>
      <c r="DY5" s="212">
        <f>IF(R5="","",IF(R5&gt;0,MAX(Tabla1[[#This Row],[FECHA C2]:[FECHA C13]],Tabla1[[#This Row],[FECHA CONSULTA PRIMERA VEZ PROGRAMA CPN ]])))</f>
        <v>45003</v>
      </c>
      <c r="DZ5" s="216">
        <f t="shared" si="16"/>
        <v>39</v>
      </c>
      <c r="EA5" s="222">
        <f>IF(R5&gt;0,SUM(COUNTA(DF5:DQ5)+COUNTA(Tabla1[[#This Row],[FECHA CONSULTA PRIMERA VEZ PROGRAMA CPN ]])),"")</f>
        <v>4</v>
      </c>
      <c r="EB5" s="222" t="str">
        <f t="shared" si="17"/>
        <v>SI</v>
      </c>
      <c r="EC5" s="214">
        <f t="shared" si="18"/>
        <v>8</v>
      </c>
      <c r="ED5" s="227">
        <f t="shared" si="19"/>
        <v>0.5</v>
      </c>
      <c r="EE5" s="22">
        <v>44751</v>
      </c>
      <c r="EF5" s="22">
        <v>44751</v>
      </c>
      <c r="EG5" s="22">
        <v>44751</v>
      </c>
      <c r="EH5" s="22"/>
      <c r="EI5" s="22">
        <v>44751</v>
      </c>
      <c r="EJ5" s="22"/>
      <c r="EK5" s="22"/>
      <c r="EL5" s="21"/>
      <c r="EM5" s="21"/>
      <c r="EN5" s="22">
        <v>44960</v>
      </c>
      <c r="EO5" s="222">
        <f t="shared" si="20"/>
        <v>33</v>
      </c>
      <c r="EP5" s="214" t="str">
        <f t="shared" si="21"/>
        <v/>
      </c>
      <c r="EQ5" s="216" t="str">
        <f t="shared" si="22"/>
        <v>III TRIM</v>
      </c>
      <c r="ER5" s="24"/>
      <c r="ES5" s="22"/>
      <c r="ET5" s="29" t="str">
        <f t="shared" ca="1" si="23"/>
        <v>SALE SIN TAMIZAJE HEMOGLOBINA SEM 28</v>
      </c>
      <c r="EU5" s="25" t="str">
        <f t="shared" si="24"/>
        <v/>
      </c>
      <c r="EV5" s="24" t="s">
        <v>866</v>
      </c>
      <c r="EW5" s="24">
        <v>44960</v>
      </c>
      <c r="EX5" s="22"/>
      <c r="EY5" s="29">
        <f t="shared" si="25"/>
        <v>33</v>
      </c>
      <c r="EZ5" s="25" t="str">
        <f t="shared" ca="1" si="26"/>
        <v/>
      </c>
      <c r="FA5" s="21">
        <v>67</v>
      </c>
      <c r="FB5" s="22">
        <v>44960</v>
      </c>
      <c r="FC5" s="29" t="str">
        <f t="shared" si="27"/>
        <v>NO APLICA &gt; 23 SEM -TOMAR PTOG</v>
      </c>
      <c r="FD5" s="29"/>
      <c r="FE5" s="29"/>
      <c r="FF5" s="29"/>
      <c r="FG5" s="21" t="str">
        <f t="shared" ca="1" si="28"/>
        <v/>
      </c>
      <c r="FH5" s="31"/>
      <c r="FI5" s="29" t="str">
        <f t="shared" si="29"/>
        <v>TOMAR EXAMEN</v>
      </c>
      <c r="FJ5" s="22"/>
      <c r="FK5" s="22"/>
      <c r="FL5" s="29" t="str">
        <f t="shared" ca="1" si="30"/>
        <v>NO APLICA-INGRESO TARDIO</v>
      </c>
      <c r="FM5" s="22"/>
      <c r="FN5" s="32"/>
      <c r="FO5" s="29" t="str">
        <f t="shared" ca="1" si="31"/>
        <v>PIERDE TOMA DE TAMIZAJE</v>
      </c>
      <c r="FP5" s="22" t="s">
        <v>867</v>
      </c>
      <c r="FQ5" s="32">
        <v>44960</v>
      </c>
      <c r="FR5" s="29">
        <f t="shared" ca="1" si="32"/>
        <v>33</v>
      </c>
      <c r="FS5" s="22"/>
      <c r="FT5" s="32"/>
      <c r="FU5" s="29" t="str">
        <f>IF(AND(FJ5="",FM5="",FP5="",FS5=""),"",IF(OR(OR(Tabla1[[#This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 s="28"/>
      <c r="FW5" s="22"/>
      <c r="FX5" s="29" t="str">
        <f t="shared" si="33"/>
        <v>TOMAR EXAMEN</v>
      </c>
      <c r="FY5" s="22">
        <v>44960</v>
      </c>
      <c r="FZ5" s="22">
        <v>44960</v>
      </c>
      <c r="GA5" s="29" t="str">
        <f t="shared" si="34"/>
        <v>REGISTRAR EN III TRIMESTRE</v>
      </c>
      <c r="GB5" s="22" t="s">
        <v>868</v>
      </c>
      <c r="GC5" s="22">
        <v>44266</v>
      </c>
      <c r="GD5" s="29" t="str">
        <f t="shared" si="35"/>
        <v>INCOHERENCIA FUM Y FECHA TAMIZAJE</v>
      </c>
      <c r="GE5" s="22" t="s">
        <v>868</v>
      </c>
      <c r="GF5" s="22">
        <v>44960</v>
      </c>
      <c r="GG5" s="29">
        <f t="shared" ca="1" si="36"/>
        <v>33</v>
      </c>
      <c r="GH5" s="22" t="s">
        <v>879</v>
      </c>
      <c r="GI5" s="29"/>
      <c r="GJ5" s="22" t="s">
        <v>879</v>
      </c>
      <c r="GK5" s="22"/>
      <c r="GL5" s="22" t="s">
        <v>879</v>
      </c>
      <c r="GM5" s="22"/>
      <c r="GN5" s="28" t="s">
        <v>869</v>
      </c>
      <c r="GO5" s="22">
        <v>44266</v>
      </c>
      <c r="GP5" s="29" t="str">
        <f t="shared" si="37"/>
        <v>CORREGIR FECHA RESULTADO</v>
      </c>
      <c r="GQ5" s="28" t="s">
        <v>880</v>
      </c>
      <c r="GR5" s="28" t="s">
        <v>869</v>
      </c>
      <c r="GS5" s="22" t="str">
        <f t="shared" si="38"/>
        <v>SE EXCLUYE INFECCION</v>
      </c>
      <c r="GT5" s="22">
        <v>44266</v>
      </c>
      <c r="GU5" s="29" t="str">
        <f t="shared" si="39"/>
        <v>CORREGIR FECHA RESULTADO</v>
      </c>
      <c r="GV5" s="21" t="str">
        <f t="shared" si="40"/>
        <v>POR DEFINIR</v>
      </c>
      <c r="GW5" s="28" t="s">
        <v>869</v>
      </c>
      <c r="GX5" s="30"/>
      <c r="GY5" s="21" t="s">
        <v>846</v>
      </c>
      <c r="GZ5" s="21"/>
      <c r="HA5" s="21"/>
      <c r="HB5" s="21"/>
      <c r="HC5" s="21"/>
      <c r="HD5" s="21"/>
      <c r="HE5" s="21"/>
      <c r="HF5" s="22"/>
      <c r="HG5" s="22" t="str">
        <f>IF(OR(O5&gt;0,R5&gt;0),CONCATENATE(IF(Tabla1[[#This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 s="22" t="e">
        <f t="shared" si="41"/>
        <v>#REF!</v>
      </c>
      <c r="HI5" s="22" t="e">
        <f t="shared" ca="1" si="42"/>
        <v>#REF!</v>
      </c>
      <c r="HJ5" s="21"/>
      <c r="HK5" s="21" t="str">
        <f t="shared" si="44"/>
        <v>SIN ANTECEDENTES DE RIESGO</v>
      </c>
      <c r="HL5" s="24" t="str">
        <f t="shared" si="45"/>
        <v>REGISTRE DATO PRESIÓN ARTERIAL MENSUAL</v>
      </c>
      <c r="HM5" s="21" t="str">
        <f t="shared" ca="1" si="46"/>
        <v/>
      </c>
      <c r="HN5" s="30" t="str">
        <f t="shared" si="47"/>
        <v>SALIO PROGRAMA</v>
      </c>
      <c r="HO5" s="21"/>
      <c r="HP5" s="21" t="s">
        <v>879</v>
      </c>
      <c r="HQ5" s="22"/>
      <c r="HR5" s="21" t="str">
        <f>IF(R5="","",IF(Tabla1[[#This Row],[ALARMA FACTORES DE RIESGO COMPLICACIONES HIPERTENSIVAS3]]="SIN ANTECEDENTES DE RIESGO","No Aplica para suministro de ASA",IF(AND(Tabla1[[#This Row],[FECHA INICIO DE SUMINISTRO DE ASA]]&gt;0,RV5&lt;12),"Inicia ASA ANTES de Sem 12",IF(AND(RV5&gt;11,RV5&lt;17,OR(HK5="RIESGO ALTO DE COMPLICACIONES HIPERTENSIVAS VER MANEJO GUIA SUMINISTRO ASA Y CALCIO",HK5="RIESGO MODERADO (2 O MAS CRITERIOS) VER MANEJO GUIA SUMINISTRO ASA Y CALCIO")),"Inicio oportuno de ASA",IF(AND(RV5&gt;12,OR(HK5="RIESGO ALTO DE COMPLICACIONES HIPERTENSIVAS VER MANEJO GUIA SUMINISTRO ASA Y CALCIO",HK5="RIESGO MODERADO (2 O MAS CRITERIOS) VER MANEJO GUIA SUMINISTRO ASA Y CALCIO")),"Inicio no oportuno mayor a 16 semanas",IF(AND(BU5&lt;12,OR(HK5="RIESGO ALTO DE COMPLICACIONES HIPERTENSIVAS VER MANEJO GUIA SUMINISTRO ASA Y CALCIO",HK5="RIESGO MODERADO (2 O MAS CRITERIOS) VER MANEJO GUIA SUMINISTRO ASA Y CALCIO")),"Pendiente Inicio de ASA a la semana 12",IF(AND(BU5&gt;11,BU5&lt;17,OR(HK5="RIESGO ALTO DE COMPLICACIONES HIPERTENSIVAS VER MANEJO GUIA SUMINISTRO ASA Y CALCIO",HK5="RIESGO MODERADO (2 O MAS CRITERIOS) VER MANEJO GUIA SUMINISTRO ASA Y CALCIO")),"Iniciar de inmediato ASA",IF(AND(BU5&gt;16,OR(HK5="RIESGO ALTO DE COMPLICACIONES HIPERTENSIVAS VER MANEJO GUIA SUMINISTRO ASA Y CALCIO",HK5="RIESGO MODERADO (2 O MAS CRITERIOS) VER MANEJO GUIA SUMINISTRO ASA Y CALCIO")),"Pierde Oportunidad, Inicio tardío de ASA","XXXXX"))))))))</f>
        <v>No Aplica para suministro de ASA</v>
      </c>
      <c r="HS5" s="22"/>
      <c r="HT5" s="22" t="s">
        <v>846</v>
      </c>
      <c r="HU5" s="22">
        <v>44406</v>
      </c>
      <c r="HV5" s="22" t="s">
        <v>870</v>
      </c>
      <c r="HW5" s="22">
        <v>44406</v>
      </c>
      <c r="HX5" s="22" t="s">
        <v>870</v>
      </c>
      <c r="HY5" s="22">
        <v>44407</v>
      </c>
      <c r="HZ5" s="28" t="str">
        <f t="shared" si="48"/>
        <v>CORREGIR FECHA CONSULTA</v>
      </c>
      <c r="IA5" s="26" t="s">
        <v>865</v>
      </c>
      <c r="IB5" s="26"/>
      <c r="IC5" s="111"/>
      <c r="ID5" s="22"/>
      <c r="IE5" s="22" t="str">
        <f t="shared" ca="1" si="49"/>
        <v>SALE SIN VACUNA</v>
      </c>
      <c r="IF5" s="22"/>
      <c r="IG5" s="22">
        <f t="shared" si="50"/>
        <v>45009</v>
      </c>
      <c r="IH5" s="29">
        <f t="shared" ca="1" si="51"/>
        <v>-224</v>
      </c>
      <c r="II5" s="22" t="str">
        <f t="shared" ca="1" si="52"/>
        <v>POSIBLEMENTE NACIO</v>
      </c>
      <c r="IJ5" s="22"/>
      <c r="IK5" s="21" t="s">
        <v>898</v>
      </c>
      <c r="IL5" s="21"/>
      <c r="IM5" s="34"/>
      <c r="IN5" s="349">
        <v>45008</v>
      </c>
      <c r="IO5" s="21" t="s">
        <v>1186</v>
      </c>
      <c r="IP5" s="29">
        <f t="shared" si="53"/>
        <v>39.857142857142854</v>
      </c>
      <c r="IQ5" s="35" t="s">
        <v>1650</v>
      </c>
      <c r="IR5" s="21" t="s">
        <v>1651</v>
      </c>
      <c r="IS5" s="21" t="s">
        <v>1646</v>
      </c>
      <c r="IT5" s="21" t="s">
        <v>1642</v>
      </c>
      <c r="IU5" s="21"/>
      <c r="IV5" s="21"/>
      <c r="IW5" s="21"/>
      <c r="IX5" s="21"/>
      <c r="IY5" s="21"/>
      <c r="IZ5" s="21"/>
      <c r="JA5" s="21"/>
      <c r="JB5" s="30">
        <v>1</v>
      </c>
      <c r="JC5" s="21" t="s">
        <v>1643</v>
      </c>
      <c r="JD5" s="36">
        <v>3130</v>
      </c>
      <c r="JE5" s="21" t="str">
        <f t="shared" si="54"/>
        <v>PESO ADECUADO EDAD GESTACIONAL</v>
      </c>
      <c r="JF5" s="30"/>
      <c r="JG5" s="21"/>
      <c r="JH5" s="21"/>
      <c r="JI5" s="21" t="s">
        <v>854</v>
      </c>
      <c r="JJ5" s="30" t="s">
        <v>866</v>
      </c>
      <c r="JK5" s="22"/>
      <c r="JL5" s="22"/>
      <c r="JM5" s="21"/>
      <c r="JN5" s="36"/>
      <c r="JO5" s="21" t="str">
        <f t="shared" si="55"/>
        <v/>
      </c>
      <c r="JP5" s="22"/>
      <c r="JQ5" s="21"/>
      <c r="JR5" s="21"/>
      <c r="JS5" s="21"/>
      <c r="JT5" s="30"/>
      <c r="JU5" s="22"/>
      <c r="JV5" s="22"/>
      <c r="JW5" s="33"/>
      <c r="JX5" s="28" t="str">
        <f t="shared" si="56"/>
        <v>INASISTENTE</v>
      </c>
      <c r="JY5" s="33"/>
      <c r="JZ5" s="28" t="str">
        <f t="shared" si="57"/>
        <v>INASISTENTE</v>
      </c>
      <c r="KA5" s="21"/>
      <c r="KB5" s="21"/>
      <c r="KC5" s="21"/>
      <c r="KD5" s="37"/>
      <c r="KE5" s="28"/>
      <c r="KF5" s="28"/>
      <c r="KG5" s="28"/>
      <c r="KH5" s="39"/>
      <c r="KI5" s="39"/>
      <c r="KJ5" s="66"/>
      <c r="KK5" s="39"/>
      <c r="KL5" s="39"/>
      <c r="KM5" s="66"/>
      <c r="KN5" s="39"/>
      <c r="KO5" s="39"/>
      <c r="KP5" s="39"/>
      <c r="KQ5" s="39"/>
      <c r="KR5" s="39"/>
      <c r="KS5" s="39"/>
      <c r="KT5" s="39"/>
      <c r="KU5" s="38"/>
      <c r="KV5" s="38"/>
      <c r="KW5" s="38"/>
      <c r="KX5" s="38"/>
      <c r="KY5" s="38"/>
      <c r="KZ5" s="38"/>
      <c r="LA5" s="38"/>
      <c r="LB5" s="38"/>
      <c r="LC5" s="38"/>
      <c r="LD5" s="38"/>
      <c r="LE5" s="38"/>
      <c r="LF5" s="38"/>
      <c r="LG5" s="38"/>
      <c r="LH5" s="38"/>
      <c r="LI5" s="38"/>
      <c r="LJ5" s="38"/>
      <c r="LK5" s="38"/>
      <c r="LL5" s="38"/>
      <c r="LM5" s="38"/>
      <c r="LN5" s="38"/>
      <c r="LO5" s="38"/>
      <c r="LP5" s="38"/>
      <c r="LQ5" s="38"/>
      <c r="LR5" s="38"/>
      <c r="LS5" s="38"/>
      <c r="LT5" s="38"/>
      <c r="LU5" s="38"/>
      <c r="LV5" s="38"/>
      <c r="LW5" s="38"/>
      <c r="LX5" s="38"/>
      <c r="LY5" s="38"/>
      <c r="LZ5" s="38"/>
      <c r="MA5" s="38"/>
      <c r="MB5" s="38"/>
      <c r="MC5" s="38"/>
      <c r="MD5" s="38"/>
      <c r="ME5" s="38"/>
      <c r="MF5" s="38"/>
      <c r="MG5" s="38"/>
      <c r="MH5" s="43">
        <f t="shared" si="58"/>
        <v>0</v>
      </c>
      <c r="MI5" s="43" t="str">
        <f t="shared" si="59"/>
        <v/>
      </c>
      <c r="MJ5" s="43" t="str">
        <f t="shared" si="60"/>
        <v/>
      </c>
      <c r="MK5" s="43">
        <f t="shared" si="61"/>
        <v>0</v>
      </c>
      <c r="ML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 s="43">
        <f t="shared" si="62"/>
        <v>13</v>
      </c>
      <c r="MN5" s="43">
        <f t="shared" si="63"/>
        <v>9</v>
      </c>
      <c r="MO5" s="43">
        <f t="shared" si="64"/>
        <v>2022</v>
      </c>
      <c r="MP5" s="43" t="str">
        <f t="shared" si="65"/>
        <v>III TRIMESTRE AÑO</v>
      </c>
      <c r="MQ5" s="43">
        <f t="shared" si="66"/>
        <v>20.036684187472623</v>
      </c>
      <c r="MR5" s="43">
        <f t="shared" si="67"/>
        <v>0</v>
      </c>
      <c r="MS5" s="43" t="str">
        <f t="shared" si="68"/>
        <v xml:space="preserve"> DE 20 A 24 AÑOS</v>
      </c>
      <c r="MT5" s="43">
        <f t="shared" si="69"/>
        <v>0</v>
      </c>
      <c r="MU5" s="43">
        <f t="shared" si="70"/>
        <v>1</v>
      </c>
      <c r="MV5" s="43">
        <f t="shared" si="71"/>
        <v>0</v>
      </c>
      <c r="MW5" s="43">
        <f t="shared" si="72"/>
        <v>0</v>
      </c>
      <c r="MX5" s="43" t="str">
        <f t="shared" si="73"/>
        <v/>
      </c>
      <c r="MY5" s="43" t="str">
        <f t="shared" ca="1" si="74"/>
        <v/>
      </c>
      <c r="MZ5" s="43" t="str">
        <f t="shared" si="75"/>
        <v/>
      </c>
      <c r="NA5" s="43">
        <f t="shared" si="76"/>
        <v>0</v>
      </c>
      <c r="NB5" s="43" t="str">
        <f t="shared" si="77"/>
        <v/>
      </c>
      <c r="NC5" s="43" t="str">
        <f t="shared" si="78"/>
        <v/>
      </c>
      <c r="ND5" s="43">
        <f t="shared" ca="1" si="79"/>
        <v>1</v>
      </c>
      <c r="NE5" s="43">
        <f>IF(OR(O5&gt;0,R5&gt;0),SUM(COUNTIF(Tabla1[[#This Row],[AÑOS AL INICIO5 CPN]],"&gt;=40"),COUNTIF(AS5,"0"),COUNTIF(AR5,"SI"),COUNTIF(CC5,"SI"),COUNTIF(BQ5,"&gt;119"),COUNTIF(CI5,"&gt;=35")),"")</f>
        <v>0</v>
      </c>
      <c r="NF5" s="43" t="str">
        <f t="shared" si="80"/>
        <v/>
      </c>
      <c r="NG5" s="43">
        <f t="shared" si="81"/>
        <v>0</v>
      </c>
      <c r="NH5" s="43">
        <f t="shared" si="82"/>
        <v>105</v>
      </c>
      <c r="NI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CPN",P5="NO"),"Z",IF(AND(Tabla1[[#This Row],[CITA PROXIMO CONTROL]]="CITA MANUAL",Tabla1[[#This Row],[GESTANTES ACTUALES]]="ACTIVA INGRESO A CPN"),"W",IF(AND(Tabla1[[#This Row],[GESTANTES ACTUALES]]="SALIO PROGRAMA",IN5=""),"S",IF(AND(Tabla1[[#This Row],[CITA PROXIMO CONTROL]]&gt;0,IN5=""),(Tabla1[[#This Row],[CITA PROXIMO CONTROL]]-TODAY()),"SD"))))))))</f>
        <v>SD</v>
      </c>
      <c r="NJ5" s="43">
        <f>MONTH(Tabla1[[#This Row],[FECHA DE SALIDA  DEL PROGRAMA]])</f>
        <v>3</v>
      </c>
      <c r="NK5" s="43">
        <f>YEAR(Tabla1[[#This Row],[FECHA DE SALIDA  DEL PROGRAMA]])</f>
        <v>2023</v>
      </c>
      <c r="NL5" s="43" t="str">
        <f t="shared" si="83"/>
        <v>X</v>
      </c>
      <c r="NM5" s="43" t="str">
        <f t="shared" si="84"/>
        <v>NO</v>
      </c>
      <c r="NN5" s="43" t="str">
        <f ca="1">IF(AND(O5&gt;0,R5=""),"NO CPN",IF(AND(O5="",R5=""),"",IF(AND(R5&gt;0,Tabla1[[#This Row],[SEMANAS DE GESTACION ACTUALIZADAS]]&lt;=12),"NO APLICA",IF(AND(FH5&lt;&gt;"",FN5&lt;&gt;""),"SI","NO"))))</f>
        <v>NO</v>
      </c>
      <c r="NO5" s="43" t="str">
        <f ca="1">IF(AND(O5&gt;0,R5=""),"NO CPN",IF(AND(O5="",R5=""),"",IF(AND(R5&gt;0,Tabla1[[#This Row],[SEMANAS DE GESTACION ACTUALIZADAS]]&lt;=27),"NO APLICA",IF(AND(ES5&lt;&gt;"",FQ5&lt;&gt;"",GF5&lt;&gt;""),"SI","NO"))))</f>
        <v>NO</v>
      </c>
      <c r="NP5" s="204" t="str">
        <f t="shared" si="85"/>
        <v>II TRIM</v>
      </c>
      <c r="NQ5" s="21">
        <f t="shared" si="86"/>
        <v>1</v>
      </c>
      <c r="NR5" s="21">
        <f t="shared" si="87"/>
        <v>2</v>
      </c>
      <c r="NS5" s="205">
        <f t="shared" ca="1" si="88"/>
        <v>1</v>
      </c>
      <c r="NT5" s="21">
        <f t="shared" ca="1" si="89"/>
        <v>1</v>
      </c>
      <c r="NU5" s="21" t="str">
        <f t="shared" ca="1" si="90"/>
        <v>INCOMPLETO</v>
      </c>
      <c r="NV5" s="21" t="str">
        <f t="shared" ca="1" si="91"/>
        <v>INCOMPLETO</v>
      </c>
      <c r="NW5" s="206" t="str">
        <f>IF(AND(O5="",R5=""),"",IF(OR(AND(Tabla1[[#This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 s="207" t="str">
        <f t="shared" ca="1" si="92"/>
        <v>SIN VACUNAR</v>
      </c>
      <c r="NY5" s="43">
        <f>ROW(Tabla1[[#This Row],['# DE TAMIZAJES SIFILIS TOMADOS ]])</f>
        <v>5</v>
      </c>
      <c r="NZ5" s="43">
        <f t="shared" si="93"/>
        <v>13</v>
      </c>
      <c r="OA5" s="43" t="str">
        <f t="shared" si="94"/>
        <v/>
      </c>
      <c r="OB5" s="43" t="str">
        <f t="shared" si="95"/>
        <v/>
      </c>
      <c r="OC5" s="43" t="str">
        <f t="shared" si="96"/>
        <v/>
      </c>
      <c r="OD5" s="43" t="str">
        <f t="shared" si="97"/>
        <v/>
      </c>
      <c r="OE5" s="43" t="str">
        <f t="shared" si="98"/>
        <v>SOBREPESO</v>
      </c>
      <c r="OF5" s="43" t="str">
        <f t="shared" si="99"/>
        <v/>
      </c>
      <c r="OG5" s="43" t="str">
        <f t="shared" si="100"/>
        <v/>
      </c>
      <c r="OH5" s="43" t="str">
        <f t="shared" si="101"/>
        <v/>
      </c>
      <c r="OI5" s="43" t="str">
        <f t="shared" si="102"/>
        <v/>
      </c>
      <c r="OJ5" s="43" t="str">
        <f t="shared" si="103"/>
        <v/>
      </c>
      <c r="OK5" s="43" t="str">
        <f t="shared" si="104"/>
        <v/>
      </c>
      <c r="OL5" s="43" t="str">
        <f t="shared" si="105"/>
        <v/>
      </c>
      <c r="OM5" s="43" t="str">
        <f t="shared" si="106"/>
        <v/>
      </c>
      <c r="ON5" s="43" t="str">
        <f t="shared" si="107"/>
        <v/>
      </c>
      <c r="OO5" s="43" t="str">
        <f t="shared" si="108"/>
        <v/>
      </c>
      <c r="OP5" s="43" t="str">
        <f t="shared" si="109"/>
        <v/>
      </c>
      <c r="OQ5" s="43" t="str">
        <f t="shared" si="110"/>
        <v/>
      </c>
      <c r="OR5" s="43" t="str">
        <f t="shared" si="111"/>
        <v/>
      </c>
      <c r="OS5" s="43" t="str">
        <f t="shared" si="112"/>
        <v/>
      </c>
      <c r="OT5" s="43" t="str">
        <f t="shared" si="113"/>
        <v/>
      </c>
      <c r="OU5" s="43" t="str">
        <f t="shared" si="114"/>
        <v/>
      </c>
      <c r="OV5" s="110" t="str">
        <f t="shared" si="115"/>
        <v/>
      </c>
      <c r="OW5" s="43" t="str">
        <f t="shared" si="116"/>
        <v/>
      </c>
      <c r="OX5" s="43" t="str">
        <f t="shared" si="117"/>
        <v/>
      </c>
      <c r="OY5" s="43" t="str">
        <f t="shared" si="118"/>
        <v/>
      </c>
      <c r="OZ5" s="43" t="str">
        <f t="shared" si="119"/>
        <v/>
      </c>
      <c r="PA5" s="43" t="str">
        <f t="shared" si="120"/>
        <v/>
      </c>
      <c r="PB5" s="43" t="str">
        <f t="shared" si="121"/>
        <v/>
      </c>
      <c r="PC5" s="43" t="str">
        <f t="shared" si="122"/>
        <v/>
      </c>
      <c r="PD5" s="43" t="str">
        <f t="shared" si="123"/>
        <v/>
      </c>
      <c r="PE5" s="43" t="str">
        <f t="shared" si="124"/>
        <v/>
      </c>
      <c r="PF5" s="43" t="str">
        <f t="shared" si="125"/>
        <v/>
      </c>
      <c r="PG5" s="43" t="str">
        <f t="shared" si="126"/>
        <v/>
      </c>
      <c r="PH5" s="43" t="str">
        <f t="shared" si="127"/>
        <v/>
      </c>
      <c r="PI5" s="43">
        <f t="shared" si="128"/>
        <v>39</v>
      </c>
      <c r="PJ5" s="43" t="str">
        <f t="shared" si="129"/>
        <v/>
      </c>
      <c r="PK5" s="43" t="str">
        <f t="shared" si="130"/>
        <v/>
      </c>
      <c r="PL5" s="43" t="str">
        <f t="shared" si="131"/>
        <v/>
      </c>
      <c r="PM5" s="43" t="str">
        <f t="shared" si="132"/>
        <v/>
      </c>
      <c r="PN5" s="43" t="str">
        <f t="shared" si="133"/>
        <v/>
      </c>
      <c r="PO5" s="43" t="str">
        <f t="shared" si="134"/>
        <v/>
      </c>
      <c r="PP5" s="43" t="str">
        <f t="shared" si="135"/>
        <v/>
      </c>
      <c r="PQ5" s="43" t="str">
        <f t="shared" si="136"/>
        <v/>
      </c>
      <c r="PR5" s="43" t="str">
        <f t="shared" si="137"/>
        <v/>
      </c>
      <c r="PS5" s="43" t="str">
        <f t="shared" si="138"/>
        <v/>
      </c>
      <c r="PT5" s="43" t="str">
        <f t="shared" si="139"/>
        <v/>
      </c>
      <c r="PU5" s="43" t="str">
        <f t="shared" si="140"/>
        <v/>
      </c>
      <c r="PV5" s="43" t="str">
        <f t="shared" si="141"/>
        <v/>
      </c>
      <c r="PW5" s="43" t="str">
        <f t="shared" si="142"/>
        <v/>
      </c>
      <c r="PX5" s="43" t="str">
        <f t="shared" si="143"/>
        <v/>
      </c>
      <c r="PY5" s="43" t="str">
        <f t="shared" si="144"/>
        <v/>
      </c>
      <c r="PZ5" s="43" t="str">
        <f t="shared" si="145"/>
        <v/>
      </c>
      <c r="QA5" s="43" t="str">
        <f t="shared" si="146"/>
        <v/>
      </c>
      <c r="QB5" s="43" t="str">
        <f t="shared" si="147"/>
        <v/>
      </c>
      <c r="QC5" s="43" t="str">
        <f t="shared" si="148"/>
        <v/>
      </c>
      <c r="QD5" s="43" t="str">
        <f t="shared" si="149"/>
        <v/>
      </c>
      <c r="QE5" s="43" t="str">
        <f t="shared" si="150"/>
        <v/>
      </c>
      <c r="QF5" s="43" t="str">
        <f t="shared" si="151"/>
        <v/>
      </c>
      <c r="QG5" s="43" t="str">
        <f t="shared" si="152"/>
        <v/>
      </c>
      <c r="QH5" s="43" t="str">
        <f t="shared" si="153"/>
        <v/>
      </c>
      <c r="QI5" s="43" t="str">
        <f t="shared" si="154"/>
        <v/>
      </c>
      <c r="QJ5" s="43" t="str">
        <f t="shared" si="155"/>
        <v/>
      </c>
      <c r="QK5" s="43" t="str">
        <f t="shared" si="156"/>
        <v/>
      </c>
      <c r="QL5" s="43" t="str">
        <f t="shared" si="157"/>
        <v/>
      </c>
      <c r="QM5" s="43" t="str">
        <f t="shared" si="158"/>
        <v/>
      </c>
      <c r="QN5" s="43" t="str">
        <f t="shared" si="159"/>
        <v/>
      </c>
      <c r="QO5" s="43" t="str">
        <f t="shared" si="160"/>
        <v/>
      </c>
      <c r="QP5" s="43" t="str">
        <f t="shared" si="161"/>
        <v/>
      </c>
      <c r="QQ5" s="43" t="str">
        <f t="shared" si="162"/>
        <v/>
      </c>
      <c r="QR5" s="43">
        <f t="shared" si="192"/>
        <v>39</v>
      </c>
      <c r="QS5" s="43"/>
      <c r="QT5" s="21" t="str">
        <f t="shared" si="163"/>
        <v/>
      </c>
      <c r="QU5" s="21" t="str">
        <f t="shared" si="164"/>
        <v/>
      </c>
      <c r="QV5" s="21" t="str">
        <f t="shared" si="165"/>
        <v/>
      </c>
      <c r="QW5" s="21" t="str">
        <f t="shared" si="166"/>
        <v/>
      </c>
      <c r="QX5" s="21" t="str">
        <f t="shared" si="167"/>
        <v/>
      </c>
      <c r="QY5" s="21" t="str">
        <f t="shared" si="168"/>
        <v/>
      </c>
      <c r="QZ5" s="21" t="str">
        <f t="shared" si="169"/>
        <v/>
      </c>
      <c r="RA5" s="21" t="str">
        <f t="shared" si="170"/>
        <v/>
      </c>
      <c r="RB5" s="21" t="str">
        <f t="shared" si="171"/>
        <v/>
      </c>
      <c r="RC5" s="21" t="str">
        <f t="shared" si="172"/>
        <v/>
      </c>
      <c r="RD5" s="21" t="str">
        <f t="shared" si="173"/>
        <v/>
      </c>
      <c r="RE5" s="21" t="str">
        <f t="shared" si="174"/>
        <v/>
      </c>
      <c r="RF5" s="21" t="str">
        <f t="shared" si="175"/>
        <v/>
      </c>
      <c r="RG5" s="21" t="str">
        <f t="shared" si="176"/>
        <v/>
      </c>
      <c r="RH5" s="21" t="str">
        <f t="shared" si="177"/>
        <v/>
      </c>
      <c r="RI5" s="21" t="str">
        <f t="shared" si="178"/>
        <v/>
      </c>
      <c r="RJ5" s="21" t="str">
        <f t="shared" si="179"/>
        <v/>
      </c>
      <c r="RK5" s="21" t="str">
        <f t="shared" si="180"/>
        <v/>
      </c>
      <c r="RL5" s="21" t="str">
        <f t="shared" si="181"/>
        <v/>
      </c>
      <c r="RM5" s="21" t="str">
        <f t="shared" si="182"/>
        <v/>
      </c>
      <c r="RN5" s="21" t="str">
        <f t="shared" si="183"/>
        <v/>
      </c>
      <c r="RO5" s="21" t="str">
        <f t="shared" si="184"/>
        <v/>
      </c>
      <c r="RP5" s="21" t="str">
        <f t="shared" si="185"/>
        <v/>
      </c>
      <c r="RQ5" s="21" t="str">
        <f t="shared" si="186"/>
        <v/>
      </c>
      <c r="RR5" s="21" t="str">
        <f t="shared" si="187"/>
        <v/>
      </c>
      <c r="RS5" s="21" t="str">
        <f t="shared" si="188"/>
        <v/>
      </c>
      <c r="RT5" s="21" t="str">
        <f t="shared" si="189"/>
        <v/>
      </c>
      <c r="RU5" s="21" t="str">
        <f t="shared" si="190"/>
        <v/>
      </c>
      <c r="RV5" s="21">
        <f t="shared" si="191"/>
        <v>-1</v>
      </c>
      <c r="RW5" s="284">
        <f>IF(OR(Tabla1[[#This Row],[FUM FORMULA CONFIABLE]]="",Tabla1[[#This Row],[FUM FORMULA CONFIABLE]]="SD"),"",IF(Tabla1[[#This Row],[FUM FORMULA CONFIABLE]]="CORREGIDA",Tabla1[[#This Row],[FUM X ECO 1]],Tabla1[[#This Row],[FUM x AMENORREA]]))</f>
        <v>44729</v>
      </c>
      <c r="RX5" s="21">
        <f>IF(AND(Tabla1[[#This Row],[FUM X ECO 1]]="",Tabla1[[#This Row],[FUM x AMENORREA]]=""),"",IF(AND(Tabla1[[#This Row],[FUM X ECO 1]]="",Tabla1[[#This Row],[FUM x AMENORREA]]&lt;&gt;""),"X",SUM(Tabla1[[#This Row],[FUM X ECO 1]]-Tabla1[[#This Row],[FUM x AMENORREA]])))</f>
        <v>0</v>
      </c>
      <c r="RY5" s="21">
        <f t="shared" si="193"/>
        <v>0</v>
      </c>
    </row>
    <row r="6" spans="1:493" ht="45" customHeight="1" x14ac:dyDescent="0.25">
      <c r="A6" s="109" t="s">
        <v>881</v>
      </c>
      <c r="B6" s="43" t="s">
        <v>882</v>
      </c>
      <c r="C6" s="43" t="s">
        <v>845</v>
      </c>
      <c r="D6" s="124" t="s">
        <v>846</v>
      </c>
      <c r="E6" s="43" t="s">
        <v>883</v>
      </c>
      <c r="F6" s="43" t="s">
        <v>884</v>
      </c>
      <c r="G6" s="43" t="s">
        <v>885</v>
      </c>
      <c r="H6" s="43" t="s">
        <v>850</v>
      </c>
      <c r="I6" s="109" t="s">
        <v>851</v>
      </c>
      <c r="J6" s="110">
        <v>1059594099</v>
      </c>
      <c r="K6" s="43" t="s">
        <v>852</v>
      </c>
      <c r="L6" s="175" t="s">
        <v>886</v>
      </c>
      <c r="M6" s="22">
        <v>37916</v>
      </c>
      <c r="N6" s="213">
        <f t="shared" ca="1" si="0"/>
        <v>20.046575342465754</v>
      </c>
      <c r="O6" s="22">
        <v>44768</v>
      </c>
      <c r="P6" s="214" t="str">
        <f t="shared" si="1"/>
        <v>SI</v>
      </c>
      <c r="Q6" s="26" t="s">
        <v>855</v>
      </c>
      <c r="R6" s="22">
        <v>44771</v>
      </c>
      <c r="S6" s="21" t="s">
        <v>856</v>
      </c>
      <c r="T6" s="24" t="s">
        <v>690</v>
      </c>
      <c r="U6" s="21" t="s">
        <v>857</v>
      </c>
      <c r="V6" s="21" t="s">
        <v>858</v>
      </c>
      <c r="W6" s="21" t="s">
        <v>887</v>
      </c>
      <c r="X6" s="21" t="s">
        <v>887</v>
      </c>
      <c r="Y6" s="21" t="s">
        <v>859</v>
      </c>
      <c r="Z6" s="21" t="s">
        <v>846</v>
      </c>
      <c r="AA6" s="21" t="s">
        <v>860</v>
      </c>
      <c r="AB6" s="27" t="s">
        <v>861</v>
      </c>
      <c r="AC6" s="26" t="s">
        <v>888</v>
      </c>
      <c r="AD6" s="21" t="s">
        <v>846</v>
      </c>
      <c r="AE6" s="26" t="s">
        <v>864</v>
      </c>
      <c r="AF6" s="26" t="s">
        <v>854</v>
      </c>
      <c r="AG6" s="23" t="s">
        <v>864</v>
      </c>
      <c r="AH6" s="23" t="s">
        <v>864</v>
      </c>
      <c r="AI6" s="24" t="s">
        <v>863</v>
      </c>
      <c r="AJ6" s="23" t="s">
        <v>864</v>
      </c>
      <c r="AK6" s="220" t="str">
        <f>IF(AND(AD6="",AE6="",AF6="",AG6="",AH6="",AI6="",AJ6=""),"",IF(OR(Tabla1[[#This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EVALUACIÓN",IF(AND(O6="",R6=""),"",IF(AND(OR(O6&gt;0,R6&gt;0),NG6&gt;=0,NG6&lt;2),"SIN RIESGO",IF(AND(OR(O6&gt;0,R6&gt;0),NG6&gt;=2),"CON RIESGO","ASD")))))</f>
        <v>SIN RIESGO</v>
      </c>
      <c r="AL6" s="23" t="s">
        <v>864</v>
      </c>
      <c r="AM6" s="26" t="s">
        <v>864</v>
      </c>
      <c r="AN6" s="26" t="s">
        <v>864</v>
      </c>
      <c r="AO6" s="26" t="s">
        <v>864</v>
      </c>
      <c r="AP6" s="26" t="s">
        <v>864</v>
      </c>
      <c r="AQ6" s="26" t="s">
        <v>864</v>
      </c>
      <c r="AR6" s="26" t="s">
        <v>864</v>
      </c>
      <c r="AS6" s="21">
        <v>0</v>
      </c>
      <c r="AT6" s="21">
        <v>0</v>
      </c>
      <c r="AU6" s="21">
        <v>0</v>
      </c>
      <c r="AV6" s="26" t="s">
        <v>864</v>
      </c>
      <c r="AW6" s="21">
        <v>0</v>
      </c>
      <c r="AX6" s="26" t="s">
        <v>864</v>
      </c>
      <c r="AY6" s="26" t="s">
        <v>864</v>
      </c>
      <c r="AZ6" s="26" t="s">
        <v>864</v>
      </c>
      <c r="BA6" s="26" t="s">
        <v>864</v>
      </c>
      <c r="BB6" s="26" t="s">
        <v>864</v>
      </c>
      <c r="BC6" s="26" t="s">
        <v>864</v>
      </c>
      <c r="BD6" s="26" t="s">
        <v>864</v>
      </c>
      <c r="BE6" s="203" t="s">
        <v>864</v>
      </c>
      <c r="BF6" s="26" t="s">
        <v>864</v>
      </c>
      <c r="BG6" s="26" t="s">
        <v>864</v>
      </c>
      <c r="BH6" s="26"/>
      <c r="BI6" s="26" t="s">
        <v>864</v>
      </c>
      <c r="BJ6" s="26"/>
      <c r="BK6" s="26"/>
      <c r="BL6" s="26"/>
      <c r="BM6" s="26" t="s">
        <v>864</v>
      </c>
      <c r="BN6" s="22"/>
      <c r="BO6" s="286">
        <v>44721</v>
      </c>
      <c r="BP6" s="21" t="s">
        <v>854</v>
      </c>
      <c r="BQ6" s="222">
        <f t="shared" si="2"/>
        <v>0</v>
      </c>
      <c r="BR6" s="223">
        <f t="shared" si="3"/>
        <v>44721.3</v>
      </c>
      <c r="BS6" s="224">
        <f t="shared" si="4"/>
        <v>7.1428571428571432</v>
      </c>
      <c r="BT6" s="216" t="str">
        <f t="shared" si="5"/>
        <v>I TRIM</v>
      </c>
      <c r="BU6" s="214" t="str">
        <f t="shared" ca="1" si="6"/>
        <v/>
      </c>
      <c r="BV6" s="25"/>
      <c r="BW6" s="22">
        <v>44771</v>
      </c>
      <c r="BX6" s="28">
        <v>7.1</v>
      </c>
      <c r="BY6" s="28"/>
      <c r="BZ6" s="22">
        <v>44960</v>
      </c>
      <c r="CA6" s="21">
        <v>33.4</v>
      </c>
      <c r="CB6" s="26" t="s">
        <v>864</v>
      </c>
      <c r="CC6" s="26" t="s">
        <v>864</v>
      </c>
      <c r="CD6" s="26" t="s">
        <v>878</v>
      </c>
      <c r="CE6" s="26" t="s">
        <v>864</v>
      </c>
      <c r="CF6" s="22">
        <v>44771</v>
      </c>
      <c r="CG6" s="21">
        <v>1.46</v>
      </c>
      <c r="CH6" s="21">
        <v>45</v>
      </c>
      <c r="CI6" s="214">
        <f t="shared" si="7"/>
        <v>21.110902608369305</v>
      </c>
      <c r="CJ6" s="225" t="str">
        <f>IF(AND(CI6&lt;10,CH6="SD"),"SIN DATO PESO PREGESTACION O I TRIM",IF(AND(OR(R6&gt;0,O6&gt;0),CI6="X"),"INGRESAR DATO DE PESO",IF(CI6="SD","INGRESAR DATO DE TALLA Y PESO",IF(AND(OR(Tabla1[[#This Row],[MOMENTO EN QUE SE REALIZA EL PESO AL INGRESO A CPN]]="PREGESTACIÓN",NZ6="Menor"),CI6&lt;18.5),"BAJO PESO",IF(AND(OR(Tabla1[[#This Row],[MOMENTO EN QUE SE REALIZA EL PESO AL INGRESO A CPN]]="PREGESTACIÓN",NZ6="Menor"),CI6&lt;25),"NORMAL",IF(AND(OR(Tabla1[[#This Row],[MOMENTO EN QUE SE REALIZA EL PESO AL INGRESO A CPN]]="PREGESTACIÓN",NZ6="Menor"),CI6&lt;30),"SOBREPESO",IF(AND(OR(Tabla1[[#This Row],[MOMENTO EN QUE SE REALIZA EL PESO AL INGRESO A CPN]]="PREGESTACIÓN",NZ6="Menor"),CI6&gt;=30,CI6&lt;50),"OBESIDAD",IF(AND(BS6&gt;0,Tabla1[[#This Row],[MOMENTO EN QUE SE REALIZA EL PESO AL INGRESO A CPN]]="GESTACIÓN"),HLOOKUP(NZ6,$OA$2:PH6,NY6),""))))))))</f>
        <v>NORMAL</v>
      </c>
      <c r="CK6" s="212">
        <f t="shared" si="8"/>
        <v>44960</v>
      </c>
      <c r="CL6" s="21"/>
      <c r="CM6" s="214">
        <f t="shared" si="9"/>
        <v>0</v>
      </c>
      <c r="CN6" s="216">
        <f t="shared" si="10"/>
        <v>34</v>
      </c>
      <c r="CO6" s="216" t="e">
        <f>IF(PI6="","",IF(PI6&gt;0,HLOOKUP(PI6,$PJ$2:QQ6,NY6),""))</f>
        <v>#REF!</v>
      </c>
      <c r="CP6" s="21"/>
      <c r="CQ6" s="216" t="e">
        <f>IF(QR6="Menor","NO APLICA-MENOR 13 SEM",IF(AND(CC6="SI",CN6&gt;23),"NO APLICA- GEMELAR",IF(QR6="","",IF(QR6&gt;0,HLOOKUP(QR6,$QS$2:RU6,NY6),""))))</f>
        <v>#REF!</v>
      </c>
      <c r="CR6" s="21">
        <v>100</v>
      </c>
      <c r="CS6" s="21">
        <v>60</v>
      </c>
      <c r="CT6" s="217" t="str">
        <f>IF(R6="","",IF(AND(BS6&gt;1,BS6&lt;12,Tabla1[[#This Row],[T.A. SISTOLICA - ANTES DE SEMANA 12]]="",Tabla1[[#This Row],[T.A. DIASTOLICA - ANTES DE SEMANA 12]]=""),"REGISTRE DATO TA ANTES SEMANA 12",IF(AND(BS6&gt;11,BS6&lt;43,Tabla1[[#This Row],[T.A. SISTOLICA - ANTES DE SEMANA 12]]="",Tabla1[[#This Row],[T.A. DIASTOLICA - ANTES DE SEMANA 12]]=""),"NO APLICA REGISTRO TA-INGRESO TARDIO",IF(AND(OR(O6&gt;0,R6&gt;0),OR(CR6&gt;=140,CS6&gt;=90)),"DEFINIR ESTADIO HTA",IF(AND(OR(O6&gt;0,R6&gt;0),AND(CR6&gt;120,CR6&lt;=139)),"PRE HTA SEGUIMIENTO",IF(AND(OR(O6&gt;0,R6&gt;0),AND(CS6&gt;80,CS6&lt;=89)),"PRE HTA SEGUIMIENTO",IF(AND(OR(O6&gt;0,R6&gt;0),AND(CR6&gt;=80,CR6&lt;=120)),"APARENTEMENTE NORMAL",IF(AND(OR(O6&gt;0,R6&gt;0),AND(CS6&gt;=50,CS6&lt;=80)),"APARENTEMENTE NORMAL",IF(AND(OR(O6&gt;0,R6&gt;0),AND(CR6&gt;1,CR6&lt;=70),AND(CS6&gt;1,CS6&lt;=40)),"HIPOTENSIÓN","")))))))))</f>
        <v>APARENTEMENTE NORMAL</v>
      </c>
      <c r="CU6" s="21">
        <v>120</v>
      </c>
      <c r="CV6" s="21">
        <v>60</v>
      </c>
      <c r="CW6" s="217" t="str">
        <f ca="1">IF(R6="","",IF(AND(CN6&gt;19,CN6&lt;27,Tabla1[[#This Row],[T.A. SISTOLICA (Entre semana 20 y 26)]]="",Tabla1[[#This Row],[T.A. DIATOLICA (Entre semana 20 y 26)]]=""),"ACUDE A CONTROL SEM 20 A 26 REGISTRE TA AHORA",IF(AND(BS6&gt;1,BS6&lt;27,BU6&gt;19,Tabla1[[#This Row],[T.A. SISTOLICA (Entre semana 20 y 26)]]="",Tabla1[[#This Row],[T.A. DIATOLICA (Entre semana 20 y 26)]]=""),"COMPLETE REGISTRO TA CONTROL SEM 20 A26 ",IF(AND(BS6&gt;26,BS6&lt;43,Tabla1[[#This Row],[T.A. SISTOLICA (Entre semana 20 y 26)]]="",Tabla1[[#This Row],[T.A. DIATOLICA (Entre semana 20 y 26)]]=""),"NO APLICA REGISTRO TA-INGRESO TARDIO",IF(AND(OR(O6&gt;0,R6&gt;0),OR(CU6&gt;=140,CV6&gt;=90)),"ALTO RIESGO PREECLAMPSIA,DEFINIR ESTADIO HTA",IF(AND(OR(O6&gt;0,R6&gt;0),AND(CU6&gt;120,CU6&lt;=139)),"PRE HTA SEGUIMIENTO,RIESGO HIPERTENSION INDUCIDA POR EL EMBARAZO",IF(AND(OR(O6&gt;0,R6&gt;0),AND(CV6&gt;80,CV6&lt;=89)),"PRE HTA SEGUIMIENTO, RIESGO HIPERTENSION INDUCIDA POR EL EMBARAZO",IF(AND(OR(O6&lt;&gt;"",R6&lt;&gt;""),CS6&lt;&gt;"",CV6&lt;&gt;"",CS6&lt;=CV6),"VIGILAR CIFRAS PRESION ARTERIAL",IF(AND(OR(O6&gt;0,R6&gt;0),AND(CU6&gt;120,CU6&lt;=139)),"PRE HTA SEGUIMIENTO",IF(AND(OR(O6&gt;0,R6&gt;0),AND(CU6&gt;1,CU6&lt;=70),AND(CV6&gt;1,CV6&lt;=40)),"HIPOTENSIÓN",IF(AND(OR(O6&lt;&gt;"",R6&lt;&gt;""),CS6&lt;&gt;"",CV6&lt;&gt;"",CS6&gt;CV6),"APARENTEMENTE NORMAL",IF(AND(OR(O6&gt;0,R6&gt;0),AND(CU6&gt;=80,CU6&lt;=120)),"APARENTEMENTE NORMAL",IF(AND(OR(O6&gt;0,R6&gt;0),AND(CV6&gt;=50,CV6&lt;=80)),"APARENTEMENTE NORMAL","")))))))))))))</f>
        <v>VIGILAR CIFRAS PRESION ARTERIAL</v>
      </c>
      <c r="CX6" s="21">
        <v>100</v>
      </c>
      <c r="CY6" s="21">
        <v>60</v>
      </c>
      <c r="CZ6" s="216" t="str">
        <f t="shared" si="11"/>
        <v>APARENTEMENTE NORMAL</v>
      </c>
      <c r="DA6" s="21"/>
      <c r="DB6" s="21"/>
      <c r="DC6" s="217" t="str">
        <f t="shared" si="12"/>
        <v>REGISTRE DATO PRESIÓN ARTERIAL MENSUAL</v>
      </c>
      <c r="DD6" s="22">
        <v>44771</v>
      </c>
      <c r="DE6" s="22">
        <v>44771</v>
      </c>
      <c r="DF6" s="22">
        <v>44819</v>
      </c>
      <c r="DG6" s="22">
        <v>44862</v>
      </c>
      <c r="DH6" s="22">
        <v>44922</v>
      </c>
      <c r="DI6" s="22">
        <v>44960</v>
      </c>
      <c r="DJ6" s="22"/>
      <c r="DK6" s="22"/>
      <c r="DL6" s="22"/>
      <c r="DM6" s="22"/>
      <c r="DN6" s="22"/>
      <c r="DO6" s="22"/>
      <c r="DP6" s="22"/>
      <c r="DQ6" s="22"/>
      <c r="DR6" s="28">
        <v>2</v>
      </c>
      <c r="DS6" s="22"/>
      <c r="DT6" s="22"/>
      <c r="DU6" s="216" t="str">
        <f t="shared" ca="1" si="13"/>
        <v>SALE SIN PLAN DE PARTO</v>
      </c>
      <c r="DV6" s="226" t="str">
        <f t="shared" si="14"/>
        <v>SALIO PROGRAMA</v>
      </c>
      <c r="DW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 s="216" t="str">
        <f t="shared" ca="1" si="15"/>
        <v/>
      </c>
      <c r="DY6" s="212">
        <f>IF(R6="","",IF(R6&gt;0,MAX(Tabla1[[#This Row],[FECHA C2]:[FECHA C13]],Tabla1[[#This Row],[FECHA CONSULTA PRIMERA VEZ PROGRAMA CPN ]])))</f>
        <v>44960</v>
      </c>
      <c r="DZ6" s="216">
        <f t="shared" si="16"/>
        <v>34</v>
      </c>
      <c r="EA6" s="222">
        <f>IF(R6&gt;0,SUM(COUNTA(DF6:DQ6)+COUNTA(Tabla1[[#This Row],[FECHA CONSULTA PRIMERA VEZ PROGRAMA CPN ]])),"")</f>
        <v>5</v>
      </c>
      <c r="EB6" s="222" t="str">
        <f t="shared" si="17"/>
        <v>SI</v>
      </c>
      <c r="EC6" s="214">
        <f t="shared" si="18"/>
        <v>10</v>
      </c>
      <c r="ED6" s="227">
        <f t="shared" si="19"/>
        <v>0.5</v>
      </c>
      <c r="EE6" s="22">
        <v>44771</v>
      </c>
      <c r="EF6" s="22">
        <v>44775</v>
      </c>
      <c r="EG6" s="22" t="s">
        <v>889</v>
      </c>
      <c r="EH6" s="22"/>
      <c r="EI6" s="22">
        <v>44771</v>
      </c>
      <c r="EJ6" s="22"/>
      <c r="EK6" s="22"/>
      <c r="EL6" s="21"/>
      <c r="EM6" s="21">
        <v>12.9</v>
      </c>
      <c r="EN6" s="22">
        <v>44774</v>
      </c>
      <c r="EO6" s="222">
        <f t="shared" si="20"/>
        <v>7.5714285714285712</v>
      </c>
      <c r="EP6" s="214" t="str">
        <f t="shared" si="21"/>
        <v>NORMAL- SUMINISTRAR SULFATO FERROSO</v>
      </c>
      <c r="EQ6" s="216" t="str">
        <f t="shared" si="22"/>
        <v>I TRIM</v>
      </c>
      <c r="ER6" s="24"/>
      <c r="ES6" s="22"/>
      <c r="ET6" s="29" t="str">
        <f t="shared" ca="1" si="23"/>
        <v>SALE SIN TAMIZAJE HEMOGLOBINA SEM 28</v>
      </c>
      <c r="EU6" s="25" t="str">
        <f t="shared" si="24"/>
        <v/>
      </c>
      <c r="EV6" s="24" t="s">
        <v>866</v>
      </c>
      <c r="EW6" s="24">
        <v>44774</v>
      </c>
      <c r="EX6" s="22"/>
      <c r="EY6" s="29">
        <f t="shared" si="25"/>
        <v>7.5714285714285712</v>
      </c>
      <c r="EZ6" s="25" t="str">
        <f t="shared" ca="1" si="26"/>
        <v/>
      </c>
      <c r="FA6" s="21">
        <v>96</v>
      </c>
      <c r="FB6" s="22">
        <v>44774</v>
      </c>
      <c r="FC6" s="29">
        <f t="shared" si="27"/>
        <v>7.5714285714285712</v>
      </c>
      <c r="FD6" s="29"/>
      <c r="FE6" s="29"/>
      <c r="FF6" s="29"/>
      <c r="FG6" s="21" t="str">
        <f t="shared" ca="1" si="28"/>
        <v/>
      </c>
      <c r="FH6" s="31"/>
      <c r="FI6" s="29" t="str">
        <f t="shared" si="29"/>
        <v>TOMAR EXAMEN</v>
      </c>
      <c r="FJ6" s="22" t="s">
        <v>867</v>
      </c>
      <c r="FK6" s="22">
        <v>44774</v>
      </c>
      <c r="FL6" s="29">
        <f t="shared" ca="1" si="30"/>
        <v>7.5714285714285712</v>
      </c>
      <c r="FM6" s="22"/>
      <c r="FN6" s="32"/>
      <c r="FO6" s="29" t="str">
        <f t="shared" ca="1" si="31"/>
        <v>PIERDE TOMA DE TAMIZAJE</v>
      </c>
      <c r="FP6" s="22"/>
      <c r="FQ6" s="32"/>
      <c r="FR6" s="29" t="str">
        <f t="shared" ca="1" si="32"/>
        <v>PIERDE TOMA DE TAMIZAJE</v>
      </c>
      <c r="FS6" s="22"/>
      <c r="FT6" s="32"/>
      <c r="FU6" s="29" t="str">
        <f>IF(AND(FJ6="",FM6="",FP6="",FS6=""),"",IF(OR(OR(Tabla1[[#This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 s="28"/>
      <c r="FW6" s="22"/>
      <c r="FX6" s="29" t="str">
        <f t="shared" si="33"/>
        <v>TOMAR EXAMEN</v>
      </c>
      <c r="FY6" s="22">
        <v>44771</v>
      </c>
      <c r="FZ6" s="22">
        <v>44771</v>
      </c>
      <c r="GA6" s="29">
        <f t="shared" ca="1" si="34"/>
        <v>7.1428571428571432</v>
      </c>
      <c r="GB6" s="22"/>
      <c r="GC6" s="22"/>
      <c r="GD6" s="29" t="str">
        <f t="shared" ca="1" si="35"/>
        <v>PIERDE TOMA DE TAMIZAJE</v>
      </c>
      <c r="GE6" s="22"/>
      <c r="GF6" s="22"/>
      <c r="GG6" s="29" t="str">
        <f t="shared" ca="1" si="36"/>
        <v>PIERDE TOMA DE TAMIZAJE</v>
      </c>
      <c r="GH6" s="22"/>
      <c r="GI6" s="29"/>
      <c r="GJ6" s="22"/>
      <c r="GK6" s="22"/>
      <c r="GL6" s="22" t="s">
        <v>879</v>
      </c>
      <c r="GM6" s="22"/>
      <c r="GN6" s="28" t="s">
        <v>869</v>
      </c>
      <c r="GO6" s="22">
        <v>44774</v>
      </c>
      <c r="GP6" s="29">
        <f t="shared" si="37"/>
        <v>7.5714285714285712</v>
      </c>
      <c r="GQ6" s="28" t="s">
        <v>869</v>
      </c>
      <c r="GR6" s="28" t="s">
        <v>869</v>
      </c>
      <c r="GS6" s="22" t="str">
        <f t="shared" si="38"/>
        <v>CONTROL Igm</v>
      </c>
      <c r="GT6" s="22">
        <v>44774</v>
      </c>
      <c r="GU6" s="29">
        <f t="shared" si="39"/>
        <v>7.5714285714285712</v>
      </c>
      <c r="GV6" s="21" t="str">
        <f t="shared" si="40"/>
        <v>I TRIM</v>
      </c>
      <c r="GW6" s="28" t="s">
        <v>869</v>
      </c>
      <c r="GX6" s="30"/>
      <c r="GY6" s="21"/>
      <c r="GZ6" s="21"/>
      <c r="HA6" s="21"/>
      <c r="HB6" s="21"/>
      <c r="HC6" s="21"/>
      <c r="HD6" s="21"/>
      <c r="HE6" s="21"/>
      <c r="HF6" s="22"/>
      <c r="HG6" s="22" t="str">
        <f>IF(OR(O6&gt;0,R6&gt;0),CONCATENATE(IF(Tabla1[[#This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 s="22" t="e">
        <f t="shared" si="41"/>
        <v>#REF!</v>
      </c>
      <c r="HI6" s="22" t="e">
        <f t="shared" ca="1" si="42"/>
        <v>#REF!</v>
      </c>
      <c r="HJ6" s="21"/>
      <c r="HK6" s="21" t="str">
        <f t="shared" si="44"/>
        <v>SIN ANTECEDENTES DE RIESGO</v>
      </c>
      <c r="HL6" s="24" t="str">
        <f t="shared" si="45"/>
        <v>REGISTRE DATO PRESIÓN ARTERIAL MENSUAL</v>
      </c>
      <c r="HM6" s="21" t="str">
        <f t="shared" ca="1" si="46"/>
        <v/>
      </c>
      <c r="HN6" s="30" t="str">
        <f t="shared" si="47"/>
        <v>SALIO PROGRAMA</v>
      </c>
      <c r="HO6" s="21"/>
      <c r="HP6" s="21"/>
      <c r="HQ6" s="22">
        <v>44771</v>
      </c>
      <c r="HR6" s="21" t="str">
        <f>IF(R6="","",IF(Tabla1[[#This Row],[ALARMA FACTORES DE RIESGO COMPLICACIONES HIPERTENSIVAS3]]="SIN ANTECEDENTES DE RIESGO","No Aplica para suministro de ASA",IF(AND(Tabla1[[#This Row],[FECHA INICIO DE SUMINISTRO DE ASA]]&gt;0,RV6&lt;12),"Inicia ASA ANTES de Sem 12",IF(AND(RV6&gt;11,RV6&lt;17,OR(HK6="RIESGO ALTO DE COMPLICACIONES HIPERTENSIVAS VER MANEJO GUIA SUMINISTRO ASA Y CALCIO",HK6="RIESGO MODERADO (2 O MAS CRITERIOS) VER MANEJO GUIA SUMINISTRO ASA Y CALCIO")),"Inicio oportuno de ASA",IF(AND(RV6&gt;12,OR(HK6="RIESGO ALTO DE COMPLICACIONES HIPERTENSIVAS VER MANEJO GUIA SUMINISTRO ASA Y CALCIO",HK6="RIESGO MODERADO (2 O MAS CRITERIOS) VER MANEJO GUIA SUMINISTRO ASA Y CALCIO")),"Inicio no oportuno mayor a 16 semanas",IF(AND(BU6&lt;12,OR(HK6="RIESGO ALTO DE COMPLICACIONES HIPERTENSIVAS VER MANEJO GUIA SUMINISTRO ASA Y CALCIO",HK6="RIESGO MODERADO (2 O MAS CRITERIOS) VER MANEJO GUIA SUMINISTRO ASA Y CALCIO")),"Pendiente Inicio de ASA a la semana 12",IF(AND(BU6&gt;11,BU6&lt;17,OR(HK6="RIESGO ALTO DE COMPLICACIONES HIPERTENSIVAS VER MANEJO GUIA SUMINISTRO ASA Y CALCIO",HK6="RIESGO MODERADO (2 O MAS CRITERIOS) VER MANEJO GUIA SUMINISTRO ASA Y CALCIO")),"Iniciar de inmediato ASA",IF(AND(BU6&gt;16,OR(HK6="RIESGO ALTO DE COMPLICACIONES HIPERTENSIVAS VER MANEJO GUIA SUMINISTRO ASA Y CALCIO",HK6="RIESGO MODERADO (2 O MAS CRITERIOS) VER MANEJO GUIA SUMINISTRO ASA Y CALCIO")),"Pierde Oportunidad, Inicio tardío de ASA","XXXXX"))))))))</f>
        <v>No Aplica para suministro de ASA</v>
      </c>
      <c r="HS6" s="22">
        <v>44771</v>
      </c>
      <c r="HT6" s="22" t="s">
        <v>870</v>
      </c>
      <c r="HU6" s="22"/>
      <c r="HV6" s="22"/>
      <c r="HW6" s="22">
        <v>44771</v>
      </c>
      <c r="HX6" s="22" t="s">
        <v>870</v>
      </c>
      <c r="HY6" s="22">
        <v>44771</v>
      </c>
      <c r="HZ6" s="28">
        <f t="shared" si="48"/>
        <v>7.1428571428571432</v>
      </c>
      <c r="IA6" s="26"/>
      <c r="IB6" s="26"/>
      <c r="IC6" s="111"/>
      <c r="ID6" s="22"/>
      <c r="IE6" s="22" t="str">
        <f t="shared" ca="1" si="49"/>
        <v>SALE SIN VACUNA</v>
      </c>
      <c r="IF6" s="22"/>
      <c r="IG6" s="22">
        <f t="shared" si="50"/>
        <v>45001</v>
      </c>
      <c r="IH6" s="29">
        <f t="shared" ca="1" si="51"/>
        <v>-232</v>
      </c>
      <c r="II6" s="22" t="str">
        <f t="shared" ca="1" si="52"/>
        <v>POSIBLEMENTE NACIO</v>
      </c>
      <c r="IJ6" s="22"/>
      <c r="IK6" s="21" t="s">
        <v>898</v>
      </c>
      <c r="IL6" s="21"/>
      <c r="IM6" s="34"/>
      <c r="IN6" s="349">
        <v>45011</v>
      </c>
      <c r="IO6" s="21" t="s">
        <v>1640</v>
      </c>
      <c r="IP6" s="29">
        <f t="shared" si="53"/>
        <v>41.428571428571431</v>
      </c>
      <c r="IQ6" s="35"/>
      <c r="IR6" s="21" t="s">
        <v>879</v>
      </c>
      <c r="IS6" s="21" t="s">
        <v>1648</v>
      </c>
      <c r="IT6" s="21" t="s">
        <v>1642</v>
      </c>
      <c r="IU6" s="21"/>
      <c r="IV6" s="21"/>
      <c r="IW6" s="21"/>
      <c r="IX6" s="21"/>
      <c r="IY6" s="21"/>
      <c r="IZ6" s="21"/>
      <c r="JA6" s="21"/>
      <c r="JB6" s="30">
        <v>1</v>
      </c>
      <c r="JC6" s="21" t="s">
        <v>1643</v>
      </c>
      <c r="JD6" s="36">
        <v>3500</v>
      </c>
      <c r="JE6" s="21" t="str">
        <f t="shared" si="54"/>
        <v>PESO ADECUADO EDAD GESTACIONAL</v>
      </c>
      <c r="JF6" s="30"/>
      <c r="JG6" s="21"/>
      <c r="JH6" s="21"/>
      <c r="JI6" s="21"/>
      <c r="JJ6" s="30"/>
      <c r="JK6" s="22"/>
      <c r="JL6" s="22"/>
      <c r="JM6" s="21"/>
      <c r="JN6" s="36"/>
      <c r="JO6" s="21" t="str">
        <f t="shared" si="55"/>
        <v/>
      </c>
      <c r="JP6" s="22"/>
      <c r="JQ6" s="21"/>
      <c r="JR6" s="21"/>
      <c r="JS6" s="21"/>
      <c r="JT6" s="30"/>
      <c r="JU6" s="22"/>
      <c r="JV6" s="22"/>
      <c r="JW6" s="33"/>
      <c r="JX6" s="28" t="str">
        <f t="shared" si="56"/>
        <v>INASISTENTE</v>
      </c>
      <c r="JY6" s="33"/>
      <c r="JZ6" s="28" t="str">
        <f t="shared" si="57"/>
        <v>INASISTENTE</v>
      </c>
      <c r="KA6" s="21"/>
      <c r="KB6" s="21"/>
      <c r="KC6" s="21"/>
      <c r="KD6" s="37"/>
      <c r="KE6" s="28"/>
      <c r="KF6" s="28"/>
      <c r="KG6" s="28"/>
      <c r="KH6" s="39"/>
      <c r="KI6" s="39"/>
      <c r="KJ6" s="66"/>
      <c r="KK6" s="39"/>
      <c r="KL6" s="39"/>
      <c r="KM6" s="66"/>
      <c r="KN6" s="39"/>
      <c r="KO6" s="39"/>
      <c r="KP6" s="39"/>
      <c r="KQ6" s="39"/>
      <c r="KR6" s="39"/>
      <c r="KS6" s="39"/>
      <c r="KT6" s="39"/>
      <c r="KU6" s="38"/>
      <c r="KV6" s="38"/>
      <c r="KW6" s="38"/>
      <c r="KX6" s="38"/>
      <c r="KY6" s="38"/>
      <c r="KZ6" s="38"/>
      <c r="LA6" s="38"/>
      <c r="LB6" s="38"/>
      <c r="LC6" s="38"/>
      <c r="LD6" s="38"/>
      <c r="LE6" s="38"/>
      <c r="LF6" s="38"/>
      <c r="LG6" s="38"/>
      <c r="LH6" s="38"/>
      <c r="LI6" s="38"/>
      <c r="LJ6" s="38"/>
      <c r="LK6" s="38"/>
      <c r="LL6" s="38"/>
      <c r="LM6" s="38"/>
      <c r="LN6" s="38"/>
      <c r="LO6" s="38"/>
      <c r="LP6" s="38"/>
      <c r="LQ6" s="38"/>
      <c r="LR6" s="38"/>
      <c r="LS6" s="38"/>
      <c r="LT6" s="38"/>
      <c r="LU6" s="38"/>
      <c r="LV6" s="38"/>
      <c r="LW6" s="38"/>
      <c r="LX6" s="38"/>
      <c r="LY6" s="38"/>
      <c r="LZ6" s="38"/>
      <c r="MA6" s="38"/>
      <c r="MB6" s="38"/>
      <c r="MC6" s="38"/>
      <c r="MD6" s="38"/>
      <c r="ME6" s="38"/>
      <c r="MF6" s="38"/>
      <c r="MG6" s="38"/>
      <c r="MH6" s="43">
        <f t="shared" si="58"/>
        <v>0</v>
      </c>
      <c r="MI6" s="43" t="str">
        <f t="shared" si="59"/>
        <v/>
      </c>
      <c r="MJ6" s="43" t="str">
        <f t="shared" si="60"/>
        <v/>
      </c>
      <c r="MK6" s="43">
        <f t="shared" si="61"/>
        <v>0</v>
      </c>
      <c r="ML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3</v>
      </c>
      <c r="MM6" s="43">
        <f t="shared" si="62"/>
        <v>6.7142857142857144</v>
      </c>
      <c r="MN6" s="43">
        <f t="shared" si="63"/>
        <v>7</v>
      </c>
      <c r="MO6" s="43">
        <f t="shared" si="64"/>
        <v>2022</v>
      </c>
      <c r="MP6" s="43" t="str">
        <f t="shared" si="65"/>
        <v>III TRIMESTRE AÑO</v>
      </c>
      <c r="MQ6" s="43">
        <f t="shared" si="66"/>
        <v>18.498138414367059</v>
      </c>
      <c r="MR6" s="43">
        <f t="shared" si="67"/>
        <v>0</v>
      </c>
      <c r="MS6" s="43" t="str">
        <f t="shared" si="68"/>
        <v>DE 14 A 19AÑOS</v>
      </c>
      <c r="MT6" s="43">
        <f t="shared" si="69"/>
        <v>0</v>
      </c>
      <c r="MU6" s="43">
        <f t="shared" si="70"/>
        <v>1</v>
      </c>
      <c r="MV6" s="43">
        <f t="shared" si="71"/>
        <v>0</v>
      </c>
      <c r="MW6" s="43">
        <f t="shared" si="72"/>
        <v>0</v>
      </c>
      <c r="MX6" s="43" t="str">
        <f t="shared" si="73"/>
        <v/>
      </c>
      <c r="MY6" s="43" t="str">
        <f t="shared" ca="1" si="74"/>
        <v/>
      </c>
      <c r="MZ6" s="43" t="str">
        <f t="shared" si="75"/>
        <v/>
      </c>
      <c r="NA6" s="43">
        <f t="shared" si="76"/>
        <v>0</v>
      </c>
      <c r="NB6" s="43" t="str">
        <f t="shared" si="77"/>
        <v/>
      </c>
      <c r="NC6" s="43" t="str">
        <f t="shared" si="78"/>
        <v/>
      </c>
      <c r="ND6" s="43">
        <f t="shared" ca="1" si="79"/>
        <v>1.5</v>
      </c>
      <c r="NE6" s="43">
        <f>IF(OR(O6&gt;0,R6&gt;0),SUM(COUNTIF(Tabla1[[#This Row],[AÑOS AL INICIO5 CPN]],"&gt;=40"),COUNTIF(AS6,"0"),COUNTIF(AR6,"SI"),COUNTIF(CC6,"SI"),COUNTIF(BQ6,"&gt;119"),COUNTIF(CI6,"&gt;=35")),"")</f>
        <v>1</v>
      </c>
      <c r="NF6" s="43" t="str">
        <f t="shared" si="80"/>
        <v/>
      </c>
      <c r="NG6" s="43">
        <f t="shared" si="81"/>
        <v>0.5</v>
      </c>
      <c r="NH6" s="43">
        <f t="shared" si="82"/>
        <v>49.699999999999996</v>
      </c>
      <c r="NI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CPN",P6="NO"),"Z",IF(AND(Tabla1[[#This Row],[CITA PROXIMO CONTROL]]="CITA MANUAL",Tabla1[[#This Row],[GESTANTES ACTUALES]]="ACTIVA INGRESO A CPN"),"W",IF(AND(Tabla1[[#This Row],[GESTANTES ACTUALES]]="SALIO PROGRAMA",IN6=""),"S",IF(AND(Tabla1[[#This Row],[CITA PROXIMO CONTROL]]&gt;0,IN6=""),(Tabla1[[#This Row],[CITA PROXIMO CONTROL]]-TODAY()),"SD"))))))))</f>
        <v>SD</v>
      </c>
      <c r="NJ6" s="43">
        <f>MONTH(Tabla1[[#This Row],[FECHA DE SALIDA  DEL PROGRAMA]])</f>
        <v>3</v>
      </c>
      <c r="NK6" s="43">
        <f>YEAR(Tabla1[[#This Row],[FECHA DE SALIDA  DEL PROGRAMA]])</f>
        <v>2023</v>
      </c>
      <c r="NL6" s="43" t="str">
        <f t="shared" si="83"/>
        <v>X</v>
      </c>
      <c r="NM6" s="43" t="str">
        <f t="shared" si="84"/>
        <v>NO</v>
      </c>
      <c r="NN6" s="43" t="str">
        <f ca="1">IF(AND(O6&gt;0,R6=""),"NO CPN",IF(AND(O6="",R6=""),"",IF(AND(R6&gt;0,Tabla1[[#This Row],[SEMANAS DE GESTACION ACTUALIZADAS]]&lt;=12),"NO APLICA",IF(AND(FH6&lt;&gt;"",FN6&lt;&gt;""),"SI","NO"))))</f>
        <v>NO</v>
      </c>
      <c r="NO6" s="43" t="str">
        <f ca="1">IF(AND(O6&gt;0,R6=""),"NO CPN",IF(AND(O6="",R6=""),"",IF(AND(R6&gt;0,Tabla1[[#This Row],[SEMANAS DE GESTACION ACTUALIZADAS]]&lt;=27),"NO APLICA",IF(AND(ES6&lt;&gt;"",FQ6&lt;&gt;"",GF6&lt;&gt;""),"SI","NO"))))</f>
        <v>NO</v>
      </c>
      <c r="NP6" s="204" t="str">
        <f t="shared" si="85"/>
        <v>I TRIM</v>
      </c>
      <c r="NQ6" s="21">
        <f t="shared" si="86"/>
        <v>3</v>
      </c>
      <c r="NR6" s="21">
        <f t="shared" si="87"/>
        <v>3</v>
      </c>
      <c r="NS6" s="205">
        <f t="shared" ca="1" si="88"/>
        <v>1</v>
      </c>
      <c r="NT6" s="21">
        <f t="shared" ca="1" si="89"/>
        <v>1</v>
      </c>
      <c r="NU6" s="21" t="str">
        <f t="shared" ca="1" si="90"/>
        <v>INCOMPLETO</v>
      </c>
      <c r="NV6" s="21" t="str">
        <f t="shared" ca="1" si="91"/>
        <v>INCOMPLETO</v>
      </c>
      <c r="NW6" s="206" t="str">
        <f>IF(AND(O6="",R6=""),"",IF(OR(AND(Tabla1[[#This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 s="207" t="str">
        <f t="shared" ca="1" si="92"/>
        <v>SIN VACUNAR</v>
      </c>
      <c r="NY6" s="43">
        <f>ROW(Tabla1[[#This Row],['# DE TAMIZAJES SIFILIS TOMADOS ]])</f>
        <v>6</v>
      </c>
      <c r="NZ6" s="43" t="str">
        <f t="shared" si="93"/>
        <v>Menor</v>
      </c>
      <c r="OA6" s="43" t="str">
        <f t="shared" si="94"/>
        <v>NORMAL</v>
      </c>
      <c r="OB6" s="43" t="str">
        <f t="shared" si="95"/>
        <v/>
      </c>
      <c r="OC6" s="43" t="str">
        <f t="shared" si="96"/>
        <v/>
      </c>
      <c r="OD6" s="43" t="str">
        <f t="shared" si="97"/>
        <v/>
      </c>
      <c r="OE6" s="43" t="str">
        <f t="shared" si="98"/>
        <v/>
      </c>
      <c r="OF6" s="43" t="str">
        <f t="shared" si="99"/>
        <v/>
      </c>
      <c r="OG6" s="43" t="str">
        <f t="shared" si="100"/>
        <v/>
      </c>
      <c r="OH6" s="43" t="str">
        <f t="shared" si="101"/>
        <v/>
      </c>
      <c r="OI6" s="43" t="str">
        <f t="shared" si="102"/>
        <v/>
      </c>
      <c r="OJ6" s="43" t="str">
        <f t="shared" si="103"/>
        <v/>
      </c>
      <c r="OK6" s="43" t="str">
        <f t="shared" si="104"/>
        <v/>
      </c>
      <c r="OL6" s="43" t="str">
        <f t="shared" si="105"/>
        <v/>
      </c>
      <c r="OM6" s="43" t="str">
        <f t="shared" si="106"/>
        <v/>
      </c>
      <c r="ON6" s="43" t="str">
        <f t="shared" si="107"/>
        <v/>
      </c>
      <c r="OO6" s="43" t="str">
        <f t="shared" si="108"/>
        <v/>
      </c>
      <c r="OP6" s="43" t="str">
        <f t="shared" si="109"/>
        <v/>
      </c>
      <c r="OQ6" s="43" t="str">
        <f t="shared" si="110"/>
        <v/>
      </c>
      <c r="OR6" s="43" t="str">
        <f t="shared" si="111"/>
        <v/>
      </c>
      <c r="OS6" s="43" t="str">
        <f t="shared" si="112"/>
        <v/>
      </c>
      <c r="OT6" s="43" t="str">
        <f t="shared" si="113"/>
        <v/>
      </c>
      <c r="OU6" s="43" t="str">
        <f t="shared" si="114"/>
        <v/>
      </c>
      <c r="OV6" s="110" t="str">
        <f t="shared" si="115"/>
        <v/>
      </c>
      <c r="OW6" s="43" t="str">
        <f t="shared" si="116"/>
        <v/>
      </c>
      <c r="OX6" s="43" t="str">
        <f t="shared" si="117"/>
        <v/>
      </c>
      <c r="OY6" s="43" t="str">
        <f t="shared" si="118"/>
        <v/>
      </c>
      <c r="OZ6" s="43" t="str">
        <f t="shared" si="119"/>
        <v/>
      </c>
      <c r="PA6" s="43" t="str">
        <f t="shared" si="120"/>
        <v/>
      </c>
      <c r="PB6" s="43" t="str">
        <f t="shared" si="121"/>
        <v/>
      </c>
      <c r="PC6" s="43" t="str">
        <f t="shared" si="122"/>
        <v/>
      </c>
      <c r="PD6" s="43" t="str">
        <f t="shared" si="123"/>
        <v/>
      </c>
      <c r="PE6" s="43" t="str">
        <f t="shared" si="124"/>
        <v/>
      </c>
      <c r="PF6" s="43" t="str">
        <f t="shared" si="125"/>
        <v/>
      </c>
      <c r="PG6" s="43" t="str">
        <f t="shared" si="126"/>
        <v/>
      </c>
      <c r="PH6" s="43" t="str">
        <f t="shared" si="127"/>
        <v/>
      </c>
      <c r="PI6" s="43">
        <f t="shared" si="128"/>
        <v>34</v>
      </c>
      <c r="PJ6" s="43" t="str">
        <f t="shared" si="129"/>
        <v/>
      </c>
      <c r="PK6" s="43" t="str">
        <f t="shared" si="130"/>
        <v/>
      </c>
      <c r="PL6" s="43" t="str">
        <f t="shared" si="131"/>
        <v/>
      </c>
      <c r="PM6" s="43" t="str">
        <f t="shared" si="132"/>
        <v/>
      </c>
      <c r="PN6" s="43" t="str">
        <f t="shared" si="133"/>
        <v/>
      </c>
      <c r="PO6" s="43" t="str">
        <f t="shared" si="134"/>
        <v/>
      </c>
      <c r="PP6" s="43" t="str">
        <f t="shared" si="135"/>
        <v/>
      </c>
      <c r="PQ6" s="43" t="str">
        <f t="shared" si="136"/>
        <v/>
      </c>
      <c r="PR6" s="43" t="str">
        <f t="shared" si="137"/>
        <v/>
      </c>
      <c r="PS6" s="43" t="str">
        <f t="shared" si="138"/>
        <v/>
      </c>
      <c r="PT6" s="43" t="str">
        <f t="shared" si="139"/>
        <v/>
      </c>
      <c r="PU6" s="43" t="str">
        <f t="shared" si="140"/>
        <v/>
      </c>
      <c r="PV6" s="43" t="str">
        <f t="shared" si="141"/>
        <v/>
      </c>
      <c r="PW6" s="43" t="str">
        <f t="shared" si="142"/>
        <v/>
      </c>
      <c r="PX6" s="43" t="str">
        <f t="shared" si="143"/>
        <v/>
      </c>
      <c r="PY6" s="43" t="str">
        <f t="shared" si="144"/>
        <v/>
      </c>
      <c r="PZ6" s="43" t="str">
        <f t="shared" si="145"/>
        <v/>
      </c>
      <c r="QA6" s="43" t="str">
        <f t="shared" si="146"/>
        <v/>
      </c>
      <c r="QB6" s="43" t="str">
        <f t="shared" si="147"/>
        <v/>
      </c>
      <c r="QC6" s="43" t="str">
        <f t="shared" si="148"/>
        <v/>
      </c>
      <c r="QD6" s="43" t="str">
        <f t="shared" si="149"/>
        <v/>
      </c>
      <c r="QE6" s="43" t="str">
        <f t="shared" si="150"/>
        <v/>
      </c>
      <c r="QF6" s="43" t="str">
        <f t="shared" si="151"/>
        <v/>
      </c>
      <c r="QG6" s="43" t="str">
        <f t="shared" si="152"/>
        <v/>
      </c>
      <c r="QH6" s="43" t="str">
        <f t="shared" si="153"/>
        <v/>
      </c>
      <c r="QI6" s="43" t="str">
        <f t="shared" si="154"/>
        <v/>
      </c>
      <c r="QJ6" s="43" t="str">
        <f t="shared" si="155"/>
        <v/>
      </c>
      <c r="QK6" s="43" t="str">
        <f t="shared" si="156"/>
        <v/>
      </c>
      <c r="QL6" s="43" t="str">
        <f t="shared" si="157"/>
        <v/>
      </c>
      <c r="QM6" s="43" t="str">
        <f t="shared" si="158"/>
        <v/>
      </c>
      <c r="QN6" s="43" t="str">
        <f t="shared" si="159"/>
        <v/>
      </c>
      <c r="QO6" s="43" t="str">
        <f t="shared" si="160"/>
        <v/>
      </c>
      <c r="QP6" s="43" t="str">
        <f t="shared" si="161"/>
        <v/>
      </c>
      <c r="QQ6" s="43" t="str">
        <f t="shared" si="162"/>
        <v/>
      </c>
      <c r="QR6" s="43">
        <f t="shared" si="192"/>
        <v>34</v>
      </c>
      <c r="QS6" s="43"/>
      <c r="QT6" s="21" t="str">
        <f t="shared" si="163"/>
        <v/>
      </c>
      <c r="QU6" s="21" t="str">
        <f t="shared" si="164"/>
        <v/>
      </c>
      <c r="QV6" s="21" t="str">
        <f t="shared" si="165"/>
        <v/>
      </c>
      <c r="QW6" s="21" t="str">
        <f t="shared" si="166"/>
        <v/>
      </c>
      <c r="QX6" s="21" t="str">
        <f t="shared" si="167"/>
        <v/>
      </c>
      <c r="QY6" s="21" t="str">
        <f t="shared" si="168"/>
        <v/>
      </c>
      <c r="QZ6" s="21" t="str">
        <f t="shared" si="169"/>
        <v/>
      </c>
      <c r="RA6" s="21" t="str">
        <f t="shared" si="170"/>
        <v/>
      </c>
      <c r="RB6" s="21" t="str">
        <f t="shared" si="171"/>
        <v/>
      </c>
      <c r="RC6" s="21" t="str">
        <f t="shared" si="172"/>
        <v/>
      </c>
      <c r="RD6" s="21" t="str">
        <f t="shared" si="173"/>
        <v/>
      </c>
      <c r="RE6" s="21" t="str">
        <f t="shared" si="174"/>
        <v/>
      </c>
      <c r="RF6" s="21" t="str">
        <f t="shared" si="175"/>
        <v/>
      </c>
      <c r="RG6" s="21" t="str">
        <f t="shared" si="176"/>
        <v/>
      </c>
      <c r="RH6" s="21" t="str">
        <f t="shared" si="177"/>
        <v/>
      </c>
      <c r="RI6" s="21" t="str">
        <f t="shared" si="178"/>
        <v/>
      </c>
      <c r="RJ6" s="21" t="str">
        <f t="shared" si="179"/>
        <v/>
      </c>
      <c r="RK6" s="21" t="str">
        <f t="shared" si="180"/>
        <v/>
      </c>
      <c r="RL6" s="21" t="str">
        <f t="shared" si="181"/>
        <v/>
      </c>
      <c r="RM6" s="21" t="str">
        <f t="shared" si="182"/>
        <v/>
      </c>
      <c r="RN6" s="21" t="str">
        <f t="shared" si="183"/>
        <v/>
      </c>
      <c r="RO6" s="21" t="str">
        <f t="shared" si="184"/>
        <v/>
      </c>
      <c r="RP6" s="21" t="str">
        <f t="shared" si="185"/>
        <v/>
      </c>
      <c r="RQ6" s="21" t="str">
        <f t="shared" si="186"/>
        <v/>
      </c>
      <c r="RR6" s="21" t="str">
        <f t="shared" si="187"/>
        <v/>
      </c>
      <c r="RS6" s="21" t="str">
        <f t="shared" si="188"/>
        <v/>
      </c>
      <c r="RT6" s="21" t="str">
        <f t="shared" si="189"/>
        <v/>
      </c>
      <c r="RU6" s="21" t="str">
        <f t="shared" si="190"/>
        <v/>
      </c>
      <c r="RV6" s="21">
        <f t="shared" si="191"/>
        <v>7.1428571428571432</v>
      </c>
      <c r="RW6" s="284">
        <f>IF(OR(Tabla1[[#This Row],[FUM FORMULA CONFIABLE]]="",Tabla1[[#This Row],[FUM FORMULA CONFIABLE]]="SD"),"",IF(Tabla1[[#This Row],[FUM FORMULA CONFIABLE]]="CORREGIDA",Tabla1[[#This Row],[FUM X ECO 1]],Tabla1[[#This Row],[FUM x AMENORREA]]))</f>
        <v>44721</v>
      </c>
      <c r="RX6" s="21">
        <f>IF(AND(Tabla1[[#This Row],[FUM X ECO 1]]="",Tabla1[[#This Row],[FUM x AMENORREA]]=""),"",IF(AND(Tabla1[[#This Row],[FUM X ECO 1]]="",Tabla1[[#This Row],[FUM x AMENORREA]]&lt;&gt;""),"X",SUM(Tabla1[[#This Row],[FUM X ECO 1]]-Tabla1[[#This Row],[FUM x AMENORREA]])))</f>
        <v>0.30000000000291038</v>
      </c>
      <c r="RY6" s="21">
        <f t="shared" si="193"/>
        <v>0</v>
      </c>
    </row>
    <row r="7" spans="1:493" ht="45" customHeight="1" x14ac:dyDescent="0.25">
      <c r="A7" s="109"/>
      <c r="B7" s="43" t="s">
        <v>890</v>
      </c>
      <c r="C7" s="43" t="s">
        <v>845</v>
      </c>
      <c r="D7" s="124" t="s">
        <v>846</v>
      </c>
      <c r="E7" s="43" t="s">
        <v>874</v>
      </c>
      <c r="F7" s="43" t="s">
        <v>891</v>
      </c>
      <c r="G7" s="43" t="s">
        <v>892</v>
      </c>
      <c r="H7" s="43"/>
      <c r="I7" s="109" t="s">
        <v>851</v>
      </c>
      <c r="J7" s="110">
        <v>1059597797</v>
      </c>
      <c r="K7" s="43" t="s">
        <v>852</v>
      </c>
      <c r="L7" s="175" t="s">
        <v>853</v>
      </c>
      <c r="M7" s="22">
        <v>32040</v>
      </c>
      <c r="N7" s="213">
        <f t="shared" ca="1" si="0"/>
        <v>36.145205479452052</v>
      </c>
      <c r="O7" s="22">
        <v>44778</v>
      </c>
      <c r="P7" s="214" t="str">
        <f t="shared" si="1"/>
        <v>SI</v>
      </c>
      <c r="Q7" s="26" t="s">
        <v>855</v>
      </c>
      <c r="R7" s="22">
        <v>44778</v>
      </c>
      <c r="S7" s="21" t="s">
        <v>856</v>
      </c>
      <c r="T7" s="24" t="s">
        <v>690</v>
      </c>
      <c r="U7" s="21" t="s">
        <v>857</v>
      </c>
      <c r="V7" s="21" t="s">
        <v>858</v>
      </c>
      <c r="W7" s="21" t="s">
        <v>893</v>
      </c>
      <c r="X7" s="21" t="s">
        <v>893</v>
      </c>
      <c r="Y7" s="21" t="s">
        <v>859</v>
      </c>
      <c r="Z7" s="21" t="s">
        <v>894</v>
      </c>
      <c r="AA7" s="21" t="s">
        <v>860</v>
      </c>
      <c r="AB7" s="27" t="s">
        <v>861</v>
      </c>
      <c r="AC7" s="26" t="s">
        <v>862</v>
      </c>
      <c r="AD7" s="38" t="s">
        <v>846</v>
      </c>
      <c r="AE7" s="26" t="s">
        <v>864</v>
      </c>
      <c r="AF7" s="26" t="s">
        <v>854</v>
      </c>
      <c r="AG7" s="23" t="s">
        <v>864</v>
      </c>
      <c r="AH7" s="23" t="s">
        <v>864</v>
      </c>
      <c r="AI7" s="24" t="s">
        <v>863</v>
      </c>
      <c r="AJ7" s="23" t="s">
        <v>864</v>
      </c>
      <c r="AK7" s="220" t="str">
        <f>IF(AND(AD7="",AE7="",AF7="",AG7="",AH7="",AI7="",AJ7=""),"",IF(OR(Tabla1[[#This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EVALUACIÓN",IF(AND(O7="",R7=""),"",IF(AND(OR(O7&gt;0,R7&gt;0),NG7&gt;=0,NG7&lt;2),"SIN RIESGO",IF(AND(OR(O7&gt;0,R7&gt;0),NG7&gt;=2),"CON RIESGO","ASD")))))</f>
        <v>SIN RIESGO</v>
      </c>
      <c r="AL7" s="23" t="s">
        <v>864</v>
      </c>
      <c r="AM7" s="26" t="s">
        <v>864</v>
      </c>
      <c r="AN7" s="26" t="s">
        <v>864</v>
      </c>
      <c r="AO7" s="26" t="s">
        <v>864</v>
      </c>
      <c r="AP7" s="26" t="s">
        <v>864</v>
      </c>
      <c r="AQ7" s="26" t="s">
        <v>864</v>
      </c>
      <c r="AR7" s="26" t="s">
        <v>864</v>
      </c>
      <c r="AS7" s="21">
        <v>7</v>
      </c>
      <c r="AT7" s="21">
        <v>7</v>
      </c>
      <c r="AU7" s="21">
        <v>0</v>
      </c>
      <c r="AV7" s="26" t="s">
        <v>864</v>
      </c>
      <c r="AW7" s="21">
        <v>0</v>
      </c>
      <c r="AX7" s="26" t="s">
        <v>864</v>
      </c>
      <c r="AY7" s="26" t="s">
        <v>864</v>
      </c>
      <c r="AZ7" s="26" t="s">
        <v>854</v>
      </c>
      <c r="BA7" s="26" t="s">
        <v>864</v>
      </c>
      <c r="BB7" s="26" t="s">
        <v>864</v>
      </c>
      <c r="BC7" s="26" t="s">
        <v>864</v>
      </c>
      <c r="BD7" s="26" t="s">
        <v>864</v>
      </c>
      <c r="BE7" s="26" t="s">
        <v>864</v>
      </c>
      <c r="BF7" s="26" t="s">
        <v>864</v>
      </c>
      <c r="BG7" s="26" t="s">
        <v>864</v>
      </c>
      <c r="BH7" s="26" t="s">
        <v>864</v>
      </c>
      <c r="BI7" s="26" t="s">
        <v>864</v>
      </c>
      <c r="BJ7" s="26"/>
      <c r="BK7" s="26"/>
      <c r="BL7" s="26" t="s">
        <v>864</v>
      </c>
      <c r="BM7" s="26" t="s">
        <v>864</v>
      </c>
      <c r="BN7" s="22"/>
      <c r="BO7" s="286">
        <v>44740</v>
      </c>
      <c r="BP7" s="21" t="s">
        <v>854</v>
      </c>
      <c r="BQ7" s="222">
        <f t="shared" si="2"/>
        <v>0</v>
      </c>
      <c r="BR7" s="223">
        <f t="shared" si="3"/>
        <v>44740.9</v>
      </c>
      <c r="BS7" s="224">
        <f t="shared" si="4"/>
        <v>5.4285714285714288</v>
      </c>
      <c r="BT7" s="216" t="str">
        <f t="shared" si="5"/>
        <v>I TRIM</v>
      </c>
      <c r="BU7" s="214" t="str">
        <f t="shared" ca="1" si="6"/>
        <v/>
      </c>
      <c r="BV7" s="25"/>
      <c r="BW7" s="22">
        <v>44960</v>
      </c>
      <c r="BX7" s="28">
        <v>31.3</v>
      </c>
      <c r="BY7" s="28"/>
      <c r="BZ7" s="22"/>
      <c r="CA7" s="21"/>
      <c r="CB7" s="26" t="s">
        <v>864</v>
      </c>
      <c r="CC7" s="26" t="s">
        <v>864</v>
      </c>
      <c r="CD7" s="26" t="s">
        <v>878</v>
      </c>
      <c r="CE7" s="26" t="s">
        <v>864</v>
      </c>
      <c r="CF7" s="22">
        <v>44778</v>
      </c>
      <c r="CG7" s="21">
        <v>1.64</v>
      </c>
      <c r="CH7" s="21">
        <v>59</v>
      </c>
      <c r="CI7" s="214">
        <f t="shared" si="7"/>
        <v>21.936347412254616</v>
      </c>
      <c r="CJ7" s="225" t="str">
        <f>IF(AND(CI7&lt;10,CH7="SD"),"SIN DATO PESO PREGESTACION O I TRIM",IF(AND(OR(R7&gt;0,O7&gt;0),CI7="X"),"INGRESAR DATO DE PESO",IF(CI7="SD","INGRESAR DATO DE TALLA Y PESO",IF(AND(OR(Tabla1[[#This Row],[MOMENTO EN QUE SE REALIZA EL PESO AL INGRESO A CPN]]="PREGESTACIÓN",NZ7="Menor"),CI7&lt;18.5),"BAJO PESO",IF(AND(OR(Tabla1[[#This Row],[MOMENTO EN QUE SE REALIZA EL PESO AL INGRESO A CPN]]="PREGESTACIÓN",NZ7="Menor"),CI7&lt;25),"NORMAL",IF(AND(OR(Tabla1[[#This Row],[MOMENTO EN QUE SE REALIZA EL PESO AL INGRESO A CPN]]="PREGESTACIÓN",NZ7="Menor"),CI7&lt;30),"SOBREPESO",IF(AND(OR(Tabla1[[#This Row],[MOMENTO EN QUE SE REALIZA EL PESO AL INGRESO A CPN]]="PREGESTACIÓN",NZ7="Menor"),CI7&gt;=30,CI7&lt;50),"OBESIDAD",IF(AND(BS7&gt;0,Tabla1[[#This Row],[MOMENTO EN QUE SE REALIZA EL PESO AL INGRESO A CPN]]="GESTACIÓN"),HLOOKUP(NZ7,$OA$2:PH7,NY7),""))))))))</f>
        <v>NORMAL</v>
      </c>
      <c r="CK7" s="212">
        <f t="shared" si="8"/>
        <v>44960</v>
      </c>
      <c r="CL7" s="21"/>
      <c r="CM7" s="214">
        <f t="shared" si="9"/>
        <v>0</v>
      </c>
      <c r="CN7" s="216">
        <f t="shared" si="10"/>
        <v>31</v>
      </c>
      <c r="CO7" s="216" t="e">
        <f>IF(PI7="","",IF(PI7&gt;0,HLOOKUP(PI7,$PJ$2:QQ7,NY7),""))</f>
        <v>#REF!</v>
      </c>
      <c r="CP7" s="21"/>
      <c r="CQ7" s="216" t="e">
        <f>IF(QR7="Menor","NO APLICA-MENOR 13 SEM",IF(AND(CC7="SI",CN7&gt;23),"NO APLICA- GEMELAR",IF(QR7="","",IF(QR7&gt;0,HLOOKUP(QR7,$QS$2:RU7,NY7),""))))</f>
        <v>#REF!</v>
      </c>
      <c r="CR7" s="21">
        <v>120</v>
      </c>
      <c r="CS7" s="21">
        <v>60</v>
      </c>
      <c r="CT7" s="217" t="str">
        <f>IF(R7="","",IF(AND(BS7&gt;1,BS7&lt;12,Tabla1[[#This Row],[T.A. SISTOLICA - ANTES DE SEMANA 12]]="",Tabla1[[#This Row],[T.A. DIASTOLICA - ANTES DE SEMANA 12]]=""),"REGISTRE DATO TA ANTES SEMANA 12",IF(AND(BS7&gt;11,BS7&lt;43,Tabla1[[#This Row],[T.A. SISTOLICA - ANTES DE SEMANA 12]]="",Tabla1[[#This Row],[T.A. DIASTOLICA - ANTES DE SEMANA 12]]=""),"NO APLICA REGISTRO TA-INGRESO TARDIO",IF(AND(OR(O7&gt;0,R7&gt;0),OR(CR7&gt;=140,CS7&gt;=90)),"DEFINIR ESTADIO HTA",IF(AND(OR(O7&gt;0,R7&gt;0),AND(CR7&gt;120,CR7&lt;=139)),"PRE HTA SEGUIMIENTO",IF(AND(OR(O7&gt;0,R7&gt;0),AND(CS7&gt;80,CS7&lt;=89)),"PRE HTA SEGUIMIENTO",IF(AND(OR(O7&gt;0,R7&gt;0),AND(CR7&gt;=80,CR7&lt;=120)),"APARENTEMENTE NORMAL",IF(AND(OR(O7&gt;0,R7&gt;0),AND(CS7&gt;=50,CS7&lt;=80)),"APARENTEMENTE NORMAL",IF(AND(OR(O7&gt;0,R7&gt;0),AND(CR7&gt;1,CR7&lt;=70),AND(CS7&gt;1,CS7&lt;=40)),"HIPOTENSIÓN","")))))))))</f>
        <v>APARENTEMENTE NORMAL</v>
      </c>
      <c r="CU7" s="21">
        <v>100</v>
      </c>
      <c r="CV7" s="21">
        <v>70</v>
      </c>
      <c r="CW7" s="217" t="str">
        <f ca="1">IF(R7="","",IF(AND(CN7&gt;19,CN7&lt;27,Tabla1[[#This Row],[T.A. SISTOLICA (Entre semana 20 y 26)]]="",Tabla1[[#This Row],[T.A. DIATOLICA (Entre semana 20 y 26)]]=""),"ACUDE A CONTROL SEM 20 A 26 REGISTRE TA AHORA",IF(AND(BS7&gt;1,BS7&lt;27,BU7&gt;19,Tabla1[[#This Row],[T.A. SISTOLICA (Entre semana 20 y 26)]]="",Tabla1[[#This Row],[T.A. DIATOLICA (Entre semana 20 y 26)]]=""),"COMPLETE REGISTRO TA CONTROL SEM 20 A26 ",IF(AND(BS7&gt;26,BS7&lt;43,Tabla1[[#This Row],[T.A. SISTOLICA (Entre semana 20 y 26)]]="",Tabla1[[#This Row],[T.A. DIATOLICA (Entre semana 20 y 26)]]=""),"NO APLICA REGISTRO TA-INGRESO TARDIO",IF(AND(OR(O7&gt;0,R7&gt;0),OR(CU7&gt;=140,CV7&gt;=90)),"ALTO RIESGO PREECLAMPSIA,DEFINIR ESTADIO HTA",IF(AND(OR(O7&gt;0,R7&gt;0),AND(CU7&gt;120,CU7&lt;=139)),"PRE HTA SEGUIMIENTO,RIESGO HIPERTENSION INDUCIDA POR EL EMBARAZO",IF(AND(OR(O7&gt;0,R7&gt;0),AND(CV7&gt;80,CV7&lt;=89)),"PRE HTA SEGUIMIENTO, RIESGO HIPERTENSION INDUCIDA POR EL EMBARAZO",IF(AND(OR(O7&lt;&gt;"",R7&lt;&gt;""),CS7&lt;&gt;"",CV7&lt;&gt;"",CS7&lt;=CV7),"VIGILAR CIFRAS PRESION ARTERIAL",IF(AND(OR(O7&gt;0,R7&gt;0),AND(CU7&gt;120,CU7&lt;=139)),"PRE HTA SEGUIMIENTO",IF(AND(OR(O7&gt;0,R7&gt;0),AND(CU7&gt;1,CU7&lt;=70),AND(CV7&gt;1,CV7&lt;=40)),"HIPOTENSIÓN",IF(AND(OR(O7&lt;&gt;"",R7&lt;&gt;""),CS7&lt;&gt;"",CV7&lt;&gt;"",CS7&gt;CV7),"APARENTEMENTE NORMAL",IF(AND(OR(O7&gt;0,R7&gt;0),AND(CU7&gt;=80,CU7&lt;=120)),"APARENTEMENTE NORMAL",IF(AND(OR(O7&gt;0,R7&gt;0),AND(CV7&gt;=50,CV7&lt;=80)),"APARENTEMENTE NORMAL","")))))))))))))</f>
        <v>VIGILAR CIFRAS PRESION ARTERIAL</v>
      </c>
      <c r="CX7" s="21">
        <v>100</v>
      </c>
      <c r="CY7" s="21">
        <v>60</v>
      </c>
      <c r="CZ7" s="216" t="str">
        <f t="shared" si="11"/>
        <v>APARENTEMENTE NORMAL</v>
      </c>
      <c r="DA7" s="21"/>
      <c r="DB7" s="21"/>
      <c r="DC7" s="217" t="str">
        <f t="shared" si="12"/>
        <v>REGISTRE DATO PRESIÓN ARTERIAL MENSUAL</v>
      </c>
      <c r="DD7" s="22">
        <v>44778</v>
      </c>
      <c r="DE7" s="22">
        <v>44778</v>
      </c>
      <c r="DF7" s="22">
        <v>44852</v>
      </c>
      <c r="DG7" s="22">
        <v>44897</v>
      </c>
      <c r="DH7" s="22">
        <v>44960</v>
      </c>
      <c r="DI7" s="22"/>
      <c r="DJ7" s="22"/>
      <c r="DK7" s="22"/>
      <c r="DL7" s="22"/>
      <c r="DM7" s="22"/>
      <c r="DN7" s="22"/>
      <c r="DO7" s="22"/>
      <c r="DP7" s="22"/>
      <c r="DQ7" s="22"/>
      <c r="DR7" s="28">
        <v>2</v>
      </c>
      <c r="DS7" s="22"/>
      <c r="DT7" s="22"/>
      <c r="DU7" s="216" t="str">
        <f t="shared" ca="1" si="13"/>
        <v>SALE SIN PLAN DE PARTO</v>
      </c>
      <c r="DV7" s="226" t="str">
        <f t="shared" si="14"/>
        <v>SALIO PROGRAMA</v>
      </c>
      <c r="DW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 s="216" t="str">
        <f t="shared" ca="1" si="15"/>
        <v/>
      </c>
      <c r="DY7" s="212">
        <f>IF(R7="","",IF(R7&gt;0,MAX(Tabla1[[#This Row],[FECHA C2]:[FECHA C13]],Tabla1[[#This Row],[FECHA CONSULTA PRIMERA VEZ PROGRAMA CPN ]])))</f>
        <v>44960</v>
      </c>
      <c r="DZ7" s="216">
        <f t="shared" si="16"/>
        <v>31</v>
      </c>
      <c r="EA7" s="222">
        <f>IF(R7&gt;0,SUM(COUNTA(DF7:DQ7)+COUNTA(Tabla1[[#This Row],[FECHA CONSULTA PRIMERA VEZ PROGRAMA CPN ]])),"")</f>
        <v>4</v>
      </c>
      <c r="EB7" s="222" t="str">
        <f t="shared" si="17"/>
        <v>SI</v>
      </c>
      <c r="EC7" s="214">
        <f t="shared" si="18"/>
        <v>10</v>
      </c>
      <c r="ED7" s="227">
        <f t="shared" si="19"/>
        <v>0.4</v>
      </c>
      <c r="EE7" s="22">
        <v>44778</v>
      </c>
      <c r="EF7" s="22">
        <v>44897</v>
      </c>
      <c r="EG7" s="22">
        <v>44778</v>
      </c>
      <c r="EH7" s="22"/>
      <c r="EI7" s="22">
        <v>44778</v>
      </c>
      <c r="EJ7" s="22"/>
      <c r="EK7" s="22"/>
      <c r="EL7" s="21"/>
      <c r="EM7" s="21">
        <v>12.6</v>
      </c>
      <c r="EN7" s="22">
        <v>44778</v>
      </c>
      <c r="EO7" s="222">
        <f t="shared" si="20"/>
        <v>5.4285714285714288</v>
      </c>
      <c r="EP7" s="214" t="str">
        <f t="shared" si="21"/>
        <v>NORMAL- SUMINISTRAR SULFATO FERROSO</v>
      </c>
      <c r="EQ7" s="216" t="str">
        <f t="shared" si="22"/>
        <v>I TRIM</v>
      </c>
      <c r="ER7" s="24">
        <v>12.6</v>
      </c>
      <c r="ES7" s="22">
        <v>44778</v>
      </c>
      <c r="ET7" s="29">
        <f t="shared" ca="1" si="23"/>
        <v>5.4285714285714288</v>
      </c>
      <c r="EU7" s="25" t="str">
        <f t="shared" si="24"/>
        <v>NORMAL- SUMINISTRAR SULFATO FERROSO</v>
      </c>
      <c r="EV7" s="24" t="s">
        <v>866</v>
      </c>
      <c r="EW7" s="24">
        <v>44778</v>
      </c>
      <c r="EX7" s="22"/>
      <c r="EY7" s="29">
        <f t="shared" si="25"/>
        <v>5.4285714285714288</v>
      </c>
      <c r="EZ7" s="25" t="str">
        <f t="shared" ca="1" si="26"/>
        <v/>
      </c>
      <c r="FA7" s="21">
        <v>80</v>
      </c>
      <c r="FB7" s="22">
        <v>44778</v>
      </c>
      <c r="FC7" s="29">
        <f t="shared" si="27"/>
        <v>5.4285714285714288</v>
      </c>
      <c r="FD7" s="29"/>
      <c r="FE7" s="29"/>
      <c r="FF7" s="29"/>
      <c r="FG7" s="21" t="str">
        <f t="shared" ca="1" si="28"/>
        <v/>
      </c>
      <c r="FH7" s="31"/>
      <c r="FI7" s="29" t="str">
        <f t="shared" si="29"/>
        <v>TOMAR EXAMEN</v>
      </c>
      <c r="FJ7" s="22" t="s">
        <v>867</v>
      </c>
      <c r="FK7" s="22">
        <v>44778</v>
      </c>
      <c r="FL7" s="29">
        <f t="shared" ca="1" si="30"/>
        <v>5.4285714285714288</v>
      </c>
      <c r="FM7" s="22"/>
      <c r="FN7" s="32"/>
      <c r="FO7" s="29" t="str">
        <f t="shared" ca="1" si="31"/>
        <v>PIERDE TOMA DE TAMIZAJE</v>
      </c>
      <c r="FP7" s="22"/>
      <c r="FQ7" s="32"/>
      <c r="FR7" s="29" t="str">
        <f t="shared" ca="1" si="32"/>
        <v>PIERDE TOMA DE TAMIZAJE</v>
      </c>
      <c r="FS7" s="22"/>
      <c r="FT7" s="32"/>
      <c r="FU7" s="29" t="str">
        <f>IF(AND(FJ7="",FM7="",FP7="",FS7=""),"",IF(OR(OR(Tabla1[[#This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 s="28"/>
      <c r="FW7" s="22"/>
      <c r="FX7" s="29" t="str">
        <f t="shared" si="33"/>
        <v>TOMAR EXAMEN</v>
      </c>
      <c r="FY7" s="22">
        <v>44778</v>
      </c>
      <c r="FZ7" s="22">
        <v>44778</v>
      </c>
      <c r="GA7" s="29">
        <f t="shared" ca="1" si="34"/>
        <v>5.4285714285714288</v>
      </c>
      <c r="GB7" s="22"/>
      <c r="GC7" s="22"/>
      <c r="GD7" s="29" t="str">
        <f t="shared" ca="1" si="35"/>
        <v>PIERDE TOMA DE TAMIZAJE</v>
      </c>
      <c r="GE7" s="22"/>
      <c r="GF7" s="22"/>
      <c r="GG7" s="29" t="str">
        <f t="shared" ca="1" si="36"/>
        <v>PIERDE TOMA DE TAMIZAJE</v>
      </c>
      <c r="GH7" s="22"/>
      <c r="GI7" s="29"/>
      <c r="GJ7" s="22"/>
      <c r="GK7" s="22"/>
      <c r="GL7" s="22" t="s">
        <v>879</v>
      </c>
      <c r="GM7" s="22"/>
      <c r="GN7" s="28" t="s">
        <v>869</v>
      </c>
      <c r="GO7" s="22">
        <v>44778</v>
      </c>
      <c r="GP7" s="29">
        <f t="shared" si="37"/>
        <v>5.4285714285714288</v>
      </c>
      <c r="GQ7" s="28" t="s">
        <v>880</v>
      </c>
      <c r="GR7" s="28" t="s">
        <v>869</v>
      </c>
      <c r="GS7" s="22" t="str">
        <f t="shared" si="38"/>
        <v>SE EXCLUYE INFECCION</v>
      </c>
      <c r="GT7" s="22">
        <v>44778</v>
      </c>
      <c r="GU7" s="29">
        <f t="shared" si="39"/>
        <v>5.4285714285714288</v>
      </c>
      <c r="GV7" s="21" t="str">
        <f t="shared" si="40"/>
        <v>I TRIM</v>
      </c>
      <c r="GW7" s="28" t="s">
        <v>869</v>
      </c>
      <c r="GX7" s="30"/>
      <c r="GY7" s="21"/>
      <c r="GZ7" s="21"/>
      <c r="HA7" s="21"/>
      <c r="HB7" s="21"/>
      <c r="HC7" s="21"/>
      <c r="HD7" s="21"/>
      <c r="HE7" s="21"/>
      <c r="HF7" s="22"/>
      <c r="HG7" s="22" t="str">
        <f>IF(OR(O7&gt;0,R7&gt;0),CONCATENATE(IF(Tabla1[[#This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 s="22" t="e">
        <f t="shared" si="41"/>
        <v>#REF!</v>
      </c>
      <c r="HI7" s="22" t="e">
        <f t="shared" ca="1" si="42"/>
        <v>#REF!</v>
      </c>
      <c r="HJ7" s="21"/>
      <c r="HK7" s="21" t="str">
        <f t="shared" si="44"/>
        <v>SIN ANTECEDENTES DE RIESGO</v>
      </c>
      <c r="HL7" s="24" t="str">
        <f t="shared" si="45"/>
        <v>REGISTRE DATO PRESIÓN ARTERIAL MENSUAL</v>
      </c>
      <c r="HM7" s="21" t="str">
        <f t="shared" ca="1" si="46"/>
        <v/>
      </c>
      <c r="HN7" s="30" t="str">
        <f t="shared" si="47"/>
        <v>SALIO PROGRAMA</v>
      </c>
      <c r="HO7" s="21"/>
      <c r="HP7" s="21"/>
      <c r="HQ7" s="21"/>
      <c r="HR7" s="21" t="str">
        <f>IF(R7="","",IF(Tabla1[[#This Row],[ALARMA FACTORES DE RIESGO COMPLICACIONES HIPERTENSIVAS3]]="SIN ANTECEDENTES DE RIESGO","No Aplica para suministro de ASA",IF(AND(Tabla1[[#This Row],[FECHA INICIO DE SUMINISTRO DE ASA]]&gt;0,RV7&lt;12),"Inicia ASA ANTES de Sem 12",IF(AND(RV7&gt;11,RV7&lt;17,OR(HK7="RIESGO ALTO DE COMPLICACIONES HIPERTENSIVAS VER MANEJO GUIA SUMINISTRO ASA Y CALCIO",HK7="RIESGO MODERADO (2 O MAS CRITERIOS) VER MANEJO GUIA SUMINISTRO ASA Y CALCIO")),"Inicio oportuno de ASA",IF(AND(RV7&gt;12,OR(HK7="RIESGO ALTO DE COMPLICACIONES HIPERTENSIVAS VER MANEJO GUIA SUMINISTRO ASA Y CALCIO",HK7="RIESGO MODERADO (2 O MAS CRITERIOS) VER MANEJO GUIA SUMINISTRO ASA Y CALCIO")),"Inicio no oportuno mayor a 16 semanas",IF(AND(BU7&lt;12,OR(HK7="RIESGO ALTO DE COMPLICACIONES HIPERTENSIVAS VER MANEJO GUIA SUMINISTRO ASA Y CALCIO",HK7="RIESGO MODERADO (2 O MAS CRITERIOS) VER MANEJO GUIA SUMINISTRO ASA Y CALCIO")),"Pendiente Inicio de ASA a la semana 12",IF(AND(BU7&gt;11,BU7&lt;17,OR(HK7="RIESGO ALTO DE COMPLICACIONES HIPERTENSIVAS VER MANEJO GUIA SUMINISTRO ASA Y CALCIO",HK7="RIESGO MODERADO (2 O MAS CRITERIOS) VER MANEJO GUIA SUMINISTRO ASA Y CALCIO")),"Iniciar de inmediato ASA",IF(AND(BU7&gt;16,OR(HK7="RIESGO ALTO DE COMPLICACIONES HIPERTENSIVAS VER MANEJO GUIA SUMINISTRO ASA Y CALCIO",HK7="RIESGO MODERADO (2 O MAS CRITERIOS) VER MANEJO GUIA SUMINISTRO ASA Y CALCIO")),"Pierde Oportunidad, Inicio tardío de ASA","XXXXX"))))))))</f>
        <v>No Aplica para suministro de ASA</v>
      </c>
      <c r="HS7" s="22"/>
      <c r="HT7" s="22"/>
      <c r="HU7" s="22">
        <v>44778</v>
      </c>
      <c r="HV7" s="22" t="s">
        <v>870</v>
      </c>
      <c r="HW7" s="22">
        <v>44778</v>
      </c>
      <c r="HX7" s="22" t="s">
        <v>870</v>
      </c>
      <c r="HY7" s="22"/>
      <c r="HZ7" s="28" t="str">
        <f t="shared" si="48"/>
        <v>PENDIENTE CONSULTA</v>
      </c>
      <c r="IA7" s="26"/>
      <c r="IB7" s="26"/>
      <c r="IC7" s="111">
        <v>44960</v>
      </c>
      <c r="ID7" s="22">
        <v>44960</v>
      </c>
      <c r="IE7" s="22" t="str">
        <f t="shared" ca="1" si="49"/>
        <v>VACUNA APLICADA ENTRE SEMANA 27 Y EL PARTO</v>
      </c>
      <c r="IF7" s="22"/>
      <c r="IG7" s="22">
        <f t="shared" si="50"/>
        <v>45020</v>
      </c>
      <c r="IH7" s="29">
        <f t="shared" ca="1" si="51"/>
        <v>-213</v>
      </c>
      <c r="II7" s="22" t="str">
        <f t="shared" ca="1" si="52"/>
        <v>POSIBLEMENTE NACIO</v>
      </c>
      <c r="IJ7" s="22"/>
      <c r="IK7" s="21" t="s">
        <v>898</v>
      </c>
      <c r="IL7" s="21"/>
      <c r="IM7" s="34"/>
      <c r="IN7" s="349">
        <v>45024</v>
      </c>
      <c r="IO7" s="21" t="s">
        <v>1640</v>
      </c>
      <c r="IP7" s="29">
        <f t="shared" si="53"/>
        <v>40.571428571428569</v>
      </c>
      <c r="IQ7" s="35"/>
      <c r="IR7" s="21" t="s">
        <v>879</v>
      </c>
      <c r="IS7" s="21" t="s">
        <v>1648</v>
      </c>
      <c r="IT7" s="21" t="s">
        <v>1642</v>
      </c>
      <c r="IU7" s="21"/>
      <c r="IV7" s="21"/>
      <c r="IW7" s="21"/>
      <c r="IX7" s="21"/>
      <c r="IY7" s="21"/>
      <c r="IZ7" s="21"/>
      <c r="JA7" s="21"/>
      <c r="JB7" s="30">
        <v>1</v>
      </c>
      <c r="JC7" s="21" t="s">
        <v>1647</v>
      </c>
      <c r="JD7" s="36">
        <v>3600</v>
      </c>
      <c r="JE7" s="21" t="str">
        <f t="shared" si="54"/>
        <v>PESO ADECUADO EDAD GESTACIONAL</v>
      </c>
      <c r="JF7" s="30"/>
      <c r="JG7" s="21"/>
      <c r="JH7" s="21"/>
      <c r="JI7" s="21"/>
      <c r="JJ7" s="30"/>
      <c r="JK7" s="22"/>
      <c r="JL7" s="22"/>
      <c r="JM7" s="21"/>
      <c r="JN7" s="36"/>
      <c r="JO7" s="21" t="str">
        <f t="shared" si="55"/>
        <v/>
      </c>
      <c r="JP7" s="22"/>
      <c r="JQ7" s="21"/>
      <c r="JR7" s="21"/>
      <c r="JS7" s="21"/>
      <c r="JT7" s="30"/>
      <c r="JU7" s="22"/>
      <c r="JV7" s="22"/>
      <c r="JW7" s="33"/>
      <c r="JX7" s="28" t="str">
        <f t="shared" si="56"/>
        <v>INASISTENTE</v>
      </c>
      <c r="JY7" s="33"/>
      <c r="JZ7" s="28" t="str">
        <f t="shared" si="57"/>
        <v>INASISTENTE</v>
      </c>
      <c r="KA7" s="21"/>
      <c r="KB7" s="21"/>
      <c r="KC7" s="21"/>
      <c r="KD7" s="37"/>
      <c r="KE7" s="28"/>
      <c r="KF7" s="28"/>
      <c r="KG7" s="28"/>
      <c r="KH7" s="39"/>
      <c r="KI7" s="39"/>
      <c r="KJ7" s="66"/>
      <c r="KK7" s="39"/>
      <c r="KL7" s="39"/>
      <c r="KM7" s="66"/>
      <c r="KN7" s="39"/>
      <c r="KO7" s="39"/>
      <c r="KP7" s="39"/>
      <c r="KQ7" s="39"/>
      <c r="KR7" s="39"/>
      <c r="KS7" s="39"/>
      <c r="KT7" s="39"/>
      <c r="KU7" s="38"/>
      <c r="KV7" s="38"/>
      <c r="KW7" s="38"/>
      <c r="KX7" s="38"/>
      <c r="KY7" s="38"/>
      <c r="KZ7" s="38"/>
      <c r="LA7" s="38"/>
      <c r="LB7" s="38"/>
      <c r="LC7" s="38"/>
      <c r="LD7" s="38"/>
      <c r="LE7" s="38"/>
      <c r="LF7" s="38"/>
      <c r="LG7" s="38"/>
      <c r="LH7" s="38"/>
      <c r="LI7" s="38"/>
      <c r="LJ7" s="38"/>
      <c r="LK7" s="38"/>
      <c r="LL7" s="38"/>
      <c r="LM7" s="38"/>
      <c r="LN7" s="38"/>
      <c r="LO7" s="38"/>
      <c r="LP7" s="38"/>
      <c r="LQ7" s="38"/>
      <c r="LR7" s="38"/>
      <c r="LS7" s="38"/>
      <c r="LT7" s="38"/>
      <c r="LU7" s="38"/>
      <c r="LV7" s="38"/>
      <c r="LW7" s="38"/>
      <c r="LX7" s="38"/>
      <c r="LY7" s="38"/>
      <c r="LZ7" s="38"/>
      <c r="MA7" s="38"/>
      <c r="MB7" s="38"/>
      <c r="MC7" s="38"/>
      <c r="MD7" s="38"/>
      <c r="ME7" s="38"/>
      <c r="MF7" s="38"/>
      <c r="MG7" s="38"/>
      <c r="MH7" s="43">
        <f t="shared" si="58"/>
        <v>0</v>
      </c>
      <c r="MI7" s="43" t="str">
        <f t="shared" si="59"/>
        <v/>
      </c>
      <c r="MJ7" s="43" t="str">
        <f t="shared" si="60"/>
        <v/>
      </c>
      <c r="MK7" s="43">
        <f t="shared" si="61"/>
        <v>0</v>
      </c>
      <c r="ML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 s="43">
        <f t="shared" si="62"/>
        <v>5.4285714285714288</v>
      </c>
      <c r="MN7" s="43">
        <f t="shared" si="63"/>
        <v>8</v>
      </c>
      <c r="MO7" s="43">
        <f t="shared" si="64"/>
        <v>2022</v>
      </c>
      <c r="MP7" s="43" t="str">
        <f t="shared" si="65"/>
        <v>III TRIMESTRE AÑO</v>
      </c>
      <c r="MQ7" s="43">
        <f t="shared" si="66"/>
        <v>34.370893561103806</v>
      </c>
      <c r="MR7" s="43">
        <f t="shared" si="67"/>
        <v>0</v>
      </c>
      <c r="MS7" s="43" t="str">
        <f t="shared" si="68"/>
        <v xml:space="preserve"> DE 30 A 34 AÑOS</v>
      </c>
      <c r="MT7" s="43">
        <f t="shared" si="69"/>
        <v>0</v>
      </c>
      <c r="MU7" s="43">
        <f t="shared" si="70"/>
        <v>2</v>
      </c>
      <c r="MV7" s="43">
        <f t="shared" si="71"/>
        <v>0</v>
      </c>
      <c r="MW7" s="43">
        <f t="shared" si="72"/>
        <v>0</v>
      </c>
      <c r="MX7" s="43" t="str">
        <f t="shared" si="73"/>
        <v/>
      </c>
      <c r="MY7" s="43" t="str">
        <f t="shared" ca="1" si="74"/>
        <v/>
      </c>
      <c r="MZ7" s="43" t="str">
        <f t="shared" si="75"/>
        <v/>
      </c>
      <c r="NA7" s="43">
        <f t="shared" si="76"/>
        <v>0</v>
      </c>
      <c r="NB7" s="43" t="str">
        <f t="shared" si="77"/>
        <v/>
      </c>
      <c r="NC7" s="43" t="str">
        <f t="shared" si="78"/>
        <v/>
      </c>
      <c r="ND7" s="43">
        <f t="shared" ca="1" si="79"/>
        <v>2.5</v>
      </c>
      <c r="NE7" s="43">
        <f>IF(OR(O7&gt;0,R7&gt;0),SUM(COUNTIF(Tabla1[[#This Row],[AÑOS AL INICIO5 CPN]],"&gt;=40"),COUNTIF(AS7,"0"),COUNTIF(AR7,"SI"),COUNTIF(CC7,"SI"),COUNTIF(BQ7,"&gt;119"),COUNTIF(CI7,"&gt;=35")),"")</f>
        <v>0</v>
      </c>
      <c r="NF7" s="43">
        <f t="shared" si="80"/>
        <v>31.428571428571427</v>
      </c>
      <c r="NG7" s="43">
        <f t="shared" si="81"/>
        <v>0.5</v>
      </c>
      <c r="NH7" s="43">
        <f t="shared" si="82"/>
        <v>219.1</v>
      </c>
      <c r="NI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CPN",P7="NO"),"Z",IF(AND(Tabla1[[#This Row],[CITA PROXIMO CONTROL]]="CITA MANUAL",Tabla1[[#This Row],[GESTANTES ACTUALES]]="ACTIVA INGRESO A CPN"),"W",IF(AND(Tabla1[[#This Row],[GESTANTES ACTUALES]]="SALIO PROGRAMA",IN7=""),"S",IF(AND(Tabla1[[#This Row],[CITA PROXIMO CONTROL]]&gt;0,IN7=""),(Tabla1[[#This Row],[CITA PROXIMO CONTROL]]-TODAY()),"SD"))))))))</f>
        <v>SD</v>
      </c>
      <c r="NJ7" s="43">
        <f>MONTH(Tabla1[[#This Row],[FECHA DE SALIDA  DEL PROGRAMA]])</f>
        <v>4</v>
      </c>
      <c r="NK7" s="43">
        <f>YEAR(Tabla1[[#This Row],[FECHA DE SALIDA  DEL PROGRAMA]])</f>
        <v>2023</v>
      </c>
      <c r="NL7" s="43" t="str">
        <f t="shared" si="83"/>
        <v>X</v>
      </c>
      <c r="NM7" s="43" t="str">
        <f t="shared" si="84"/>
        <v>NO</v>
      </c>
      <c r="NN7" s="43" t="str">
        <f ca="1">IF(AND(O7&gt;0,R7=""),"NO CPN",IF(AND(O7="",R7=""),"",IF(AND(R7&gt;0,Tabla1[[#This Row],[SEMANAS DE GESTACION ACTUALIZADAS]]&lt;=12),"NO APLICA",IF(AND(FH7&lt;&gt;"",FN7&lt;&gt;""),"SI","NO"))))</f>
        <v>NO</v>
      </c>
      <c r="NO7" s="43" t="str">
        <f ca="1">IF(AND(O7&gt;0,R7=""),"NO CPN",IF(AND(O7="",R7=""),"",IF(AND(R7&gt;0,Tabla1[[#This Row],[SEMANAS DE GESTACION ACTUALIZADAS]]&lt;=27),"NO APLICA",IF(AND(ES7&lt;&gt;"",FQ7&lt;&gt;"",GF7&lt;&gt;""),"SI","NO"))))</f>
        <v>NO</v>
      </c>
      <c r="NP7" s="204" t="str">
        <f t="shared" si="85"/>
        <v>I TRIM</v>
      </c>
      <c r="NQ7" s="21">
        <f t="shared" si="86"/>
        <v>3</v>
      </c>
      <c r="NR7" s="21">
        <f t="shared" si="87"/>
        <v>3</v>
      </c>
      <c r="NS7" s="205">
        <f t="shared" ca="1" si="88"/>
        <v>1</v>
      </c>
      <c r="NT7" s="21">
        <f t="shared" ca="1" si="89"/>
        <v>1</v>
      </c>
      <c r="NU7" s="21" t="str">
        <f t="shared" ca="1" si="90"/>
        <v>INCOMPLETO</v>
      </c>
      <c r="NV7" s="21" t="str">
        <f t="shared" ca="1" si="91"/>
        <v>INCOMPLETO</v>
      </c>
      <c r="NW7" s="206" t="str">
        <f>IF(AND(O7="",R7=""),"",IF(OR(AND(Tabla1[[#This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 s="207" t="str">
        <f t="shared" ca="1" si="92"/>
        <v>VACUNADA</v>
      </c>
      <c r="NY7" s="43">
        <f>ROW(Tabla1[[#This Row],['# DE TAMIZAJES SIFILIS TOMADOS ]])</f>
        <v>7</v>
      </c>
      <c r="NZ7" s="43" t="str">
        <f t="shared" si="93"/>
        <v>Menor</v>
      </c>
      <c r="OA7" s="43" t="str">
        <f t="shared" si="94"/>
        <v>NORMAL</v>
      </c>
      <c r="OB7" s="43" t="str">
        <f t="shared" si="95"/>
        <v/>
      </c>
      <c r="OC7" s="43" t="str">
        <f t="shared" si="96"/>
        <v/>
      </c>
      <c r="OD7" s="43" t="str">
        <f t="shared" si="97"/>
        <v/>
      </c>
      <c r="OE7" s="43" t="str">
        <f t="shared" si="98"/>
        <v/>
      </c>
      <c r="OF7" s="43" t="str">
        <f t="shared" si="99"/>
        <v/>
      </c>
      <c r="OG7" s="43" t="str">
        <f t="shared" si="100"/>
        <v/>
      </c>
      <c r="OH7" s="43" t="str">
        <f t="shared" si="101"/>
        <v/>
      </c>
      <c r="OI7" s="43" t="str">
        <f t="shared" si="102"/>
        <v/>
      </c>
      <c r="OJ7" s="43" t="str">
        <f t="shared" si="103"/>
        <v/>
      </c>
      <c r="OK7" s="43" t="str">
        <f t="shared" si="104"/>
        <v/>
      </c>
      <c r="OL7" s="43" t="str">
        <f t="shared" si="105"/>
        <v/>
      </c>
      <c r="OM7" s="43" t="str">
        <f t="shared" si="106"/>
        <v/>
      </c>
      <c r="ON7" s="43" t="str">
        <f t="shared" si="107"/>
        <v/>
      </c>
      <c r="OO7" s="43" t="str">
        <f t="shared" si="108"/>
        <v/>
      </c>
      <c r="OP7" s="43" t="str">
        <f t="shared" si="109"/>
        <v/>
      </c>
      <c r="OQ7" s="43" t="str">
        <f t="shared" si="110"/>
        <v/>
      </c>
      <c r="OR7" s="43" t="str">
        <f t="shared" si="111"/>
        <v/>
      </c>
      <c r="OS7" s="43" t="str">
        <f t="shared" si="112"/>
        <v/>
      </c>
      <c r="OT7" s="43" t="str">
        <f t="shared" si="113"/>
        <v/>
      </c>
      <c r="OU7" s="43" t="str">
        <f t="shared" si="114"/>
        <v/>
      </c>
      <c r="OV7" s="110" t="str">
        <f t="shared" si="115"/>
        <v/>
      </c>
      <c r="OW7" s="43" t="str">
        <f t="shared" si="116"/>
        <v/>
      </c>
      <c r="OX7" s="43" t="str">
        <f t="shared" si="117"/>
        <v/>
      </c>
      <c r="OY7" s="43" t="str">
        <f t="shared" si="118"/>
        <v/>
      </c>
      <c r="OZ7" s="43" t="str">
        <f t="shared" si="119"/>
        <v/>
      </c>
      <c r="PA7" s="43" t="str">
        <f t="shared" si="120"/>
        <v/>
      </c>
      <c r="PB7" s="43" t="str">
        <f t="shared" si="121"/>
        <v/>
      </c>
      <c r="PC7" s="43" t="str">
        <f t="shared" si="122"/>
        <v/>
      </c>
      <c r="PD7" s="43" t="str">
        <f t="shared" si="123"/>
        <v/>
      </c>
      <c r="PE7" s="43" t="str">
        <f t="shared" si="124"/>
        <v/>
      </c>
      <c r="PF7" s="43" t="str">
        <f t="shared" si="125"/>
        <v/>
      </c>
      <c r="PG7" s="43" t="str">
        <f t="shared" si="126"/>
        <v/>
      </c>
      <c r="PH7" s="43" t="str">
        <f t="shared" si="127"/>
        <v/>
      </c>
      <c r="PI7" s="43">
        <f t="shared" si="128"/>
        <v>31</v>
      </c>
      <c r="PJ7" s="43" t="str">
        <f t="shared" si="129"/>
        <v/>
      </c>
      <c r="PK7" s="43" t="str">
        <f t="shared" si="130"/>
        <v/>
      </c>
      <c r="PL7" s="43" t="str">
        <f t="shared" si="131"/>
        <v/>
      </c>
      <c r="PM7" s="43" t="str">
        <f t="shared" si="132"/>
        <v/>
      </c>
      <c r="PN7" s="43" t="str">
        <f t="shared" si="133"/>
        <v/>
      </c>
      <c r="PO7" s="43" t="str">
        <f t="shared" si="134"/>
        <v/>
      </c>
      <c r="PP7" s="43" t="str">
        <f t="shared" si="135"/>
        <v/>
      </c>
      <c r="PQ7" s="43" t="str">
        <f t="shared" si="136"/>
        <v/>
      </c>
      <c r="PR7" s="43" t="str">
        <f t="shared" si="137"/>
        <v/>
      </c>
      <c r="PS7" s="43" t="str">
        <f t="shared" si="138"/>
        <v/>
      </c>
      <c r="PT7" s="43" t="str">
        <f t="shared" si="139"/>
        <v/>
      </c>
      <c r="PU7" s="43" t="str">
        <f t="shared" si="140"/>
        <v/>
      </c>
      <c r="PV7" s="43" t="str">
        <f t="shared" si="141"/>
        <v/>
      </c>
      <c r="PW7" s="43" t="str">
        <f t="shared" si="142"/>
        <v/>
      </c>
      <c r="PX7" s="43" t="str">
        <f t="shared" si="143"/>
        <v/>
      </c>
      <c r="PY7" s="43" t="str">
        <f t="shared" si="144"/>
        <v/>
      </c>
      <c r="PZ7" s="43" t="str">
        <f t="shared" si="145"/>
        <v/>
      </c>
      <c r="QA7" s="43" t="str">
        <f t="shared" si="146"/>
        <v/>
      </c>
      <c r="QB7" s="43" t="str">
        <f t="shared" si="147"/>
        <v/>
      </c>
      <c r="QC7" s="43" t="str">
        <f t="shared" si="148"/>
        <v/>
      </c>
      <c r="QD7" s="43" t="str">
        <f t="shared" si="149"/>
        <v/>
      </c>
      <c r="QE7" s="43" t="str">
        <f t="shared" si="150"/>
        <v/>
      </c>
      <c r="QF7" s="43" t="str">
        <f t="shared" si="151"/>
        <v/>
      </c>
      <c r="QG7" s="43" t="str">
        <f t="shared" si="152"/>
        <v/>
      </c>
      <c r="QH7" s="43" t="str">
        <f t="shared" si="153"/>
        <v/>
      </c>
      <c r="QI7" s="43" t="str">
        <f t="shared" si="154"/>
        <v/>
      </c>
      <c r="QJ7" s="43" t="str">
        <f t="shared" si="155"/>
        <v/>
      </c>
      <c r="QK7" s="43" t="str">
        <f t="shared" si="156"/>
        <v/>
      </c>
      <c r="QL7" s="43" t="str">
        <f t="shared" si="157"/>
        <v/>
      </c>
      <c r="QM7" s="43" t="str">
        <f t="shared" si="158"/>
        <v/>
      </c>
      <c r="QN7" s="43" t="str">
        <f t="shared" si="159"/>
        <v/>
      </c>
      <c r="QO7" s="43" t="str">
        <f t="shared" si="160"/>
        <v/>
      </c>
      <c r="QP7" s="43" t="str">
        <f t="shared" si="161"/>
        <v/>
      </c>
      <c r="QQ7" s="43" t="str">
        <f t="shared" si="162"/>
        <v/>
      </c>
      <c r="QR7" s="43">
        <f t="shared" si="192"/>
        <v>31</v>
      </c>
      <c r="QS7" s="43"/>
      <c r="QT7" s="21" t="str">
        <f t="shared" si="163"/>
        <v/>
      </c>
      <c r="QU7" s="21" t="str">
        <f t="shared" si="164"/>
        <v/>
      </c>
      <c r="QV7" s="21" t="str">
        <f t="shared" si="165"/>
        <v/>
      </c>
      <c r="QW7" s="21" t="str">
        <f t="shared" si="166"/>
        <v/>
      </c>
      <c r="QX7" s="21" t="str">
        <f t="shared" si="167"/>
        <v/>
      </c>
      <c r="QY7" s="21" t="str">
        <f t="shared" si="168"/>
        <v/>
      </c>
      <c r="QZ7" s="21" t="str">
        <f t="shared" si="169"/>
        <v/>
      </c>
      <c r="RA7" s="21" t="str">
        <f t="shared" si="170"/>
        <v/>
      </c>
      <c r="RB7" s="21" t="str">
        <f t="shared" si="171"/>
        <v/>
      </c>
      <c r="RC7" s="21" t="str">
        <f t="shared" si="172"/>
        <v/>
      </c>
      <c r="RD7" s="21" t="str">
        <f t="shared" si="173"/>
        <v/>
      </c>
      <c r="RE7" s="21" t="str">
        <f t="shared" si="174"/>
        <v/>
      </c>
      <c r="RF7" s="21" t="str">
        <f t="shared" si="175"/>
        <v/>
      </c>
      <c r="RG7" s="21" t="str">
        <f t="shared" si="176"/>
        <v/>
      </c>
      <c r="RH7" s="21" t="str">
        <f t="shared" si="177"/>
        <v/>
      </c>
      <c r="RI7" s="21" t="str">
        <f t="shared" si="178"/>
        <v/>
      </c>
      <c r="RJ7" s="21" t="str">
        <f t="shared" si="179"/>
        <v/>
      </c>
      <c r="RK7" s="21" t="str">
        <f t="shared" si="180"/>
        <v/>
      </c>
      <c r="RL7" s="21" t="str">
        <f t="shared" si="181"/>
        <v/>
      </c>
      <c r="RM7" s="21" t="str">
        <f t="shared" si="182"/>
        <v/>
      </c>
      <c r="RN7" s="21" t="str">
        <f t="shared" si="183"/>
        <v/>
      </c>
      <c r="RO7" s="21" t="str">
        <f t="shared" si="184"/>
        <v/>
      </c>
      <c r="RP7" s="21" t="str">
        <f t="shared" si="185"/>
        <v/>
      </c>
      <c r="RQ7" s="21" t="str">
        <f t="shared" si="186"/>
        <v/>
      </c>
      <c r="RR7" s="21" t="str">
        <f t="shared" si="187"/>
        <v/>
      </c>
      <c r="RS7" s="21" t="str">
        <f t="shared" si="188"/>
        <v/>
      </c>
      <c r="RT7" s="21" t="str">
        <f t="shared" si="189"/>
        <v/>
      </c>
      <c r="RU7" s="21" t="str">
        <f t="shared" si="190"/>
        <v/>
      </c>
      <c r="RV7" s="21">
        <f t="shared" si="191"/>
        <v>-1</v>
      </c>
      <c r="RW7" s="284">
        <f>IF(OR(Tabla1[[#This Row],[FUM FORMULA CONFIABLE]]="",Tabla1[[#This Row],[FUM FORMULA CONFIABLE]]="SD"),"",IF(Tabla1[[#This Row],[FUM FORMULA CONFIABLE]]="CORREGIDA",Tabla1[[#This Row],[FUM X ECO 1]],Tabla1[[#This Row],[FUM x AMENORREA]]))</f>
        <v>44740</v>
      </c>
      <c r="RX7" s="21">
        <f>IF(AND(Tabla1[[#This Row],[FUM X ECO 1]]="",Tabla1[[#This Row],[FUM x AMENORREA]]=""),"",IF(AND(Tabla1[[#This Row],[FUM X ECO 1]]="",Tabla1[[#This Row],[FUM x AMENORREA]]&lt;&gt;""),"X",SUM(Tabla1[[#This Row],[FUM X ECO 1]]-Tabla1[[#This Row],[FUM x AMENORREA]])))</f>
        <v>0.90000000000145519</v>
      </c>
      <c r="RY7" s="21">
        <f t="shared" si="193"/>
        <v>0</v>
      </c>
    </row>
    <row r="8" spans="1:493" ht="45" customHeight="1" x14ac:dyDescent="0.25">
      <c r="A8" s="109"/>
      <c r="B8" s="43" t="s">
        <v>895</v>
      </c>
      <c r="C8" s="43" t="s">
        <v>845</v>
      </c>
      <c r="D8" s="124" t="s">
        <v>846</v>
      </c>
      <c r="E8" s="43" t="s">
        <v>896</v>
      </c>
      <c r="F8" s="43" t="s">
        <v>873</v>
      </c>
      <c r="G8" s="43"/>
      <c r="H8" s="43"/>
      <c r="I8" s="109" t="s">
        <v>851</v>
      </c>
      <c r="J8" s="110">
        <v>1002847560</v>
      </c>
      <c r="K8" s="43" t="s">
        <v>852</v>
      </c>
      <c r="L8" s="175" t="s">
        <v>853</v>
      </c>
      <c r="M8" s="22">
        <v>37461</v>
      </c>
      <c r="N8" s="213">
        <f t="shared" ca="1" si="0"/>
        <v>21.293150684931508</v>
      </c>
      <c r="O8" s="22">
        <v>44778</v>
      </c>
      <c r="P8" s="214" t="str">
        <f t="shared" si="1"/>
        <v>SI</v>
      </c>
      <c r="Q8" s="26" t="s">
        <v>855</v>
      </c>
      <c r="R8" s="22">
        <v>44778</v>
      </c>
      <c r="S8" s="21" t="s">
        <v>856</v>
      </c>
      <c r="T8" s="24" t="s">
        <v>690</v>
      </c>
      <c r="U8" s="21" t="s">
        <v>857</v>
      </c>
      <c r="V8" s="21" t="s">
        <v>858</v>
      </c>
      <c r="W8" s="21" t="s">
        <v>859</v>
      </c>
      <c r="X8" s="21" t="s">
        <v>859</v>
      </c>
      <c r="Y8" s="21" t="s">
        <v>859</v>
      </c>
      <c r="Z8" s="21" t="s">
        <v>894</v>
      </c>
      <c r="AA8" s="21" t="s">
        <v>860</v>
      </c>
      <c r="AB8" s="27" t="s">
        <v>861</v>
      </c>
      <c r="AC8" s="26" t="s">
        <v>897</v>
      </c>
      <c r="AD8" s="38" t="s">
        <v>846</v>
      </c>
      <c r="AE8" s="26" t="s">
        <v>864</v>
      </c>
      <c r="AF8" s="26" t="s">
        <v>854</v>
      </c>
      <c r="AG8" s="23" t="s">
        <v>864</v>
      </c>
      <c r="AH8" s="23" t="s">
        <v>864</v>
      </c>
      <c r="AI8" s="24" t="s">
        <v>863</v>
      </c>
      <c r="AJ8" s="23" t="s">
        <v>864</v>
      </c>
      <c r="AK8" s="220" t="str">
        <f>IF(AND(AD8="",AE8="",AF8="",AG8="",AH8="",AI8="",AJ8=""),"",IF(OR(Tabla1[[#This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EVALUACIÓN",IF(AND(O8="",R8=""),"",IF(AND(OR(O8&gt;0,R8&gt;0),NG8&gt;=0,NG8&lt;2),"SIN RIESGO",IF(AND(OR(O8&gt;0,R8&gt;0),NG8&gt;=2),"CON RIESGO","ASD")))))</f>
        <v>SIN RIESGO</v>
      </c>
      <c r="AL8" s="23" t="s">
        <v>864</v>
      </c>
      <c r="AM8" s="26" t="s">
        <v>864</v>
      </c>
      <c r="AN8" s="26" t="s">
        <v>864</v>
      </c>
      <c r="AO8" s="26" t="s">
        <v>864</v>
      </c>
      <c r="AP8" s="26" t="s">
        <v>864</v>
      </c>
      <c r="AQ8" s="26" t="s">
        <v>864</v>
      </c>
      <c r="AR8" s="26" t="s">
        <v>864</v>
      </c>
      <c r="AS8" s="21">
        <v>2</v>
      </c>
      <c r="AT8" s="21">
        <v>2</v>
      </c>
      <c r="AU8" s="21">
        <v>0</v>
      </c>
      <c r="AV8" s="26" t="s">
        <v>864</v>
      </c>
      <c r="AW8" s="21">
        <v>0</v>
      </c>
      <c r="AX8" s="26" t="s">
        <v>864</v>
      </c>
      <c r="AY8" s="26" t="s">
        <v>864</v>
      </c>
      <c r="AZ8" s="26" t="s">
        <v>864</v>
      </c>
      <c r="BA8" s="26" t="s">
        <v>864</v>
      </c>
      <c r="BB8" s="26" t="s">
        <v>864</v>
      </c>
      <c r="BC8" s="26" t="s">
        <v>864</v>
      </c>
      <c r="BD8" s="26" t="s">
        <v>864</v>
      </c>
      <c r="BE8" s="26" t="s">
        <v>864</v>
      </c>
      <c r="BF8" s="26" t="s">
        <v>864</v>
      </c>
      <c r="BG8" s="26" t="s">
        <v>864</v>
      </c>
      <c r="BH8" s="26" t="s">
        <v>864</v>
      </c>
      <c r="BI8" s="26" t="s">
        <v>864</v>
      </c>
      <c r="BJ8" s="26"/>
      <c r="BK8" s="26"/>
      <c r="BL8" s="26" t="s">
        <v>864</v>
      </c>
      <c r="BM8" s="26" t="s">
        <v>864</v>
      </c>
      <c r="BN8" s="22"/>
      <c r="BO8" s="286">
        <v>44726</v>
      </c>
      <c r="BP8" s="21" t="s">
        <v>854</v>
      </c>
      <c r="BQ8" s="222">
        <f t="shared" si="2"/>
        <v>0</v>
      </c>
      <c r="BR8" s="223">
        <f t="shared" si="3"/>
        <v>44726.2</v>
      </c>
      <c r="BS8" s="224">
        <f t="shared" si="4"/>
        <v>7.4285714285714288</v>
      </c>
      <c r="BT8" s="216" t="str">
        <f t="shared" si="5"/>
        <v>I TRIM</v>
      </c>
      <c r="BU8" s="214" t="str">
        <f t="shared" ca="1" si="6"/>
        <v/>
      </c>
      <c r="BV8" s="25"/>
      <c r="BW8" s="22">
        <v>44862</v>
      </c>
      <c r="BX8" s="28">
        <v>19.399999999999999</v>
      </c>
      <c r="BY8" s="28"/>
      <c r="BZ8" s="22">
        <v>44960</v>
      </c>
      <c r="CA8" s="21">
        <v>34</v>
      </c>
      <c r="CB8" s="26" t="s">
        <v>864</v>
      </c>
      <c r="CC8" s="26" t="s">
        <v>864</v>
      </c>
      <c r="CD8" s="26" t="s">
        <v>878</v>
      </c>
      <c r="CE8" s="26" t="s">
        <v>864</v>
      </c>
      <c r="CF8" s="22">
        <v>44778</v>
      </c>
      <c r="CG8" s="21">
        <v>1.52</v>
      </c>
      <c r="CH8" s="21">
        <v>55</v>
      </c>
      <c r="CI8" s="214">
        <f t="shared" si="7"/>
        <v>23.80540166204986</v>
      </c>
      <c r="CJ8" s="225" t="str">
        <f>IF(AND(CI8&lt;10,CH8="SD"),"SIN DATO PESO PREGESTACION O I TRIM",IF(AND(OR(R8&gt;0,O8&gt;0),CI8="X"),"INGRESAR DATO DE PESO",IF(CI8="SD","INGRESAR DATO DE TALLA Y PESO",IF(AND(OR(Tabla1[[#This Row],[MOMENTO EN QUE SE REALIZA EL PESO AL INGRESO A CPN]]="PREGESTACIÓN",NZ8="Menor"),CI8&lt;18.5),"BAJO PESO",IF(AND(OR(Tabla1[[#This Row],[MOMENTO EN QUE SE REALIZA EL PESO AL INGRESO A CPN]]="PREGESTACIÓN",NZ8="Menor"),CI8&lt;25),"NORMAL",IF(AND(OR(Tabla1[[#This Row],[MOMENTO EN QUE SE REALIZA EL PESO AL INGRESO A CPN]]="PREGESTACIÓN",NZ8="Menor"),CI8&lt;30),"SOBREPESO",IF(AND(OR(Tabla1[[#This Row],[MOMENTO EN QUE SE REALIZA EL PESO AL INGRESO A CPN]]="PREGESTACIÓN",NZ8="Menor"),CI8&gt;=30,CI8&lt;50),"OBESIDAD",IF(AND(BS8&gt;0,Tabla1[[#This Row],[MOMENTO EN QUE SE REALIZA EL PESO AL INGRESO A CPN]]="GESTACIÓN"),HLOOKUP(NZ8,$OA$2:PH8,NY8),""))))))))</f>
        <v>NORMAL</v>
      </c>
      <c r="CK8" s="212">
        <f t="shared" si="8"/>
        <v>44940</v>
      </c>
      <c r="CL8" s="21"/>
      <c r="CM8" s="214">
        <f t="shared" si="9"/>
        <v>0</v>
      </c>
      <c r="CN8" s="216">
        <f t="shared" si="10"/>
        <v>30</v>
      </c>
      <c r="CO8" s="216" t="e">
        <f>IF(PI8="","",IF(PI8&gt;0,HLOOKUP(PI8,$PJ$2:QQ8,NY8),""))</f>
        <v>#REF!</v>
      </c>
      <c r="CP8" s="21"/>
      <c r="CQ8" s="216" t="e">
        <f>IF(QR8="Menor","NO APLICA-MENOR 13 SEM",IF(AND(CC8="SI",CN8&gt;23),"NO APLICA- GEMELAR",IF(QR8="","",IF(QR8&gt;0,HLOOKUP(QR8,$QS$2:RU8,NY8),""))))</f>
        <v>#REF!</v>
      </c>
      <c r="CR8" s="21">
        <v>100</v>
      </c>
      <c r="CS8" s="21">
        <v>60</v>
      </c>
      <c r="CT8" s="217" t="str">
        <f>IF(R8="","",IF(AND(BS8&gt;1,BS8&lt;12,Tabla1[[#This Row],[T.A. SISTOLICA - ANTES DE SEMANA 12]]="",Tabla1[[#This Row],[T.A. DIASTOLICA - ANTES DE SEMANA 12]]=""),"REGISTRE DATO TA ANTES SEMANA 12",IF(AND(BS8&gt;11,BS8&lt;43,Tabla1[[#This Row],[T.A. SISTOLICA - ANTES DE SEMANA 12]]="",Tabla1[[#This Row],[T.A. DIASTOLICA - ANTES DE SEMANA 12]]=""),"NO APLICA REGISTRO TA-INGRESO TARDIO",IF(AND(OR(O8&gt;0,R8&gt;0),OR(CR8&gt;=140,CS8&gt;=90)),"DEFINIR ESTADIO HTA",IF(AND(OR(O8&gt;0,R8&gt;0),AND(CR8&gt;120,CR8&lt;=139)),"PRE HTA SEGUIMIENTO",IF(AND(OR(O8&gt;0,R8&gt;0),AND(CS8&gt;80,CS8&lt;=89)),"PRE HTA SEGUIMIENTO",IF(AND(OR(O8&gt;0,R8&gt;0),AND(CR8&gt;=80,CR8&lt;=120)),"APARENTEMENTE NORMAL",IF(AND(OR(O8&gt;0,R8&gt;0),AND(CS8&gt;=50,CS8&lt;=80)),"APARENTEMENTE NORMAL",IF(AND(OR(O8&gt;0,R8&gt;0),AND(CR8&gt;1,CR8&lt;=70),AND(CS8&gt;1,CS8&lt;=40)),"HIPOTENSIÓN","")))))))))</f>
        <v>APARENTEMENTE NORMAL</v>
      </c>
      <c r="CU8" s="21"/>
      <c r="CV8" s="21"/>
      <c r="CW8" s="217" t="str">
        <f ca="1">IF(R8="","",IF(AND(CN8&gt;19,CN8&lt;27,Tabla1[[#This Row],[T.A. SISTOLICA (Entre semana 20 y 26)]]="",Tabla1[[#This Row],[T.A. DIATOLICA (Entre semana 20 y 26)]]=""),"ACUDE A CONTROL SEM 20 A 26 REGISTRE TA AHORA",IF(AND(BS8&gt;1,BS8&lt;27,BU8&gt;19,Tabla1[[#This Row],[T.A. SISTOLICA (Entre semana 20 y 26)]]="",Tabla1[[#This Row],[T.A. DIATOLICA (Entre semana 20 y 26)]]=""),"COMPLETE REGISTRO TA CONTROL SEM 20 A26 ",IF(AND(BS8&gt;26,BS8&lt;43,Tabla1[[#This Row],[T.A. SISTOLICA (Entre semana 20 y 26)]]="",Tabla1[[#This Row],[T.A. DIATOLICA (Entre semana 20 y 26)]]=""),"NO APLICA REGISTRO TA-INGRESO TARDIO",IF(AND(OR(O8&gt;0,R8&gt;0),OR(CU8&gt;=140,CV8&gt;=90)),"ALTO RIESGO PREECLAMPSIA,DEFINIR ESTADIO HTA",IF(AND(OR(O8&gt;0,R8&gt;0),AND(CU8&gt;120,CU8&lt;=139)),"PRE HTA SEGUIMIENTO,RIESGO HIPERTENSION INDUCIDA POR EL EMBARAZO",IF(AND(OR(O8&gt;0,R8&gt;0),AND(CV8&gt;80,CV8&lt;=89)),"PRE HTA SEGUIMIENTO, RIESGO HIPERTENSION INDUCIDA POR EL EMBARAZO",IF(AND(OR(O8&lt;&gt;"",R8&lt;&gt;""),CS8&lt;&gt;"",CV8&lt;&gt;"",CS8&lt;=CV8),"VIGILAR CIFRAS PRESION ARTERIAL",IF(AND(OR(O8&gt;0,R8&gt;0),AND(CU8&gt;120,CU8&lt;=139)),"PRE HTA SEGUIMIENTO",IF(AND(OR(O8&gt;0,R8&gt;0),AND(CU8&gt;1,CU8&lt;=70),AND(CV8&gt;1,CV8&lt;=40)),"HIPOTENSIÓN",IF(AND(OR(O8&lt;&gt;"",R8&lt;&gt;""),CS8&lt;&gt;"",CV8&lt;&gt;"",CS8&gt;CV8),"APARENTEMENTE NORMAL",IF(AND(OR(O8&gt;0,R8&gt;0),AND(CU8&gt;=80,CU8&lt;=120)),"APARENTEMENTE NORMAL",IF(AND(OR(O8&gt;0,R8&gt;0),AND(CV8&gt;=50,CV8&lt;=80)),"APARENTEMENTE NORMAL","")))))))))))))</f>
        <v xml:space="preserve">COMPLETE REGISTRO TA CONTROL SEM 20 A26 </v>
      </c>
      <c r="CX8" s="21">
        <v>100</v>
      </c>
      <c r="CY8" s="21">
        <v>60</v>
      </c>
      <c r="CZ8" s="216" t="str">
        <f t="shared" si="11"/>
        <v>APARENTEMENTE NORMAL</v>
      </c>
      <c r="DA8" s="21"/>
      <c r="DB8" s="21"/>
      <c r="DC8" s="217" t="str">
        <f t="shared" si="12"/>
        <v>REGISTRE DATO PRESIÓN ARTERIAL MENSUAL</v>
      </c>
      <c r="DD8" s="22">
        <v>44778</v>
      </c>
      <c r="DE8" s="22">
        <v>44778</v>
      </c>
      <c r="DF8" s="22">
        <v>44837</v>
      </c>
      <c r="DG8" s="22">
        <v>44886</v>
      </c>
      <c r="DH8" s="22">
        <v>44940</v>
      </c>
      <c r="DI8" s="22"/>
      <c r="DJ8" s="22"/>
      <c r="DK8" s="22"/>
      <c r="DL8" s="22"/>
      <c r="DM8" s="22"/>
      <c r="DN8" s="22"/>
      <c r="DO8" s="22"/>
      <c r="DP8" s="22"/>
      <c r="DQ8" s="22"/>
      <c r="DR8" s="28">
        <v>2</v>
      </c>
      <c r="DS8" s="22"/>
      <c r="DT8" s="22"/>
      <c r="DU8" s="216" t="str">
        <f t="shared" ca="1" si="13"/>
        <v>SALE SIN PLAN DE PARTO</v>
      </c>
      <c r="DV8" s="226" t="str">
        <f t="shared" si="14"/>
        <v>SALIO PROGRAMA</v>
      </c>
      <c r="DW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 s="216" t="str">
        <f t="shared" ca="1" si="15"/>
        <v/>
      </c>
      <c r="DY8" s="212">
        <f>IF(R8="","",IF(R8&gt;0,MAX(Tabla1[[#This Row],[FECHA C2]:[FECHA C13]],Tabla1[[#This Row],[FECHA CONSULTA PRIMERA VEZ PROGRAMA CPN ]])))</f>
        <v>44940</v>
      </c>
      <c r="DZ8" s="216">
        <f t="shared" si="16"/>
        <v>30</v>
      </c>
      <c r="EA8" s="222">
        <f>IF(R8&gt;0,SUM(COUNTA(DF8:DQ8)+COUNTA(Tabla1[[#This Row],[FECHA CONSULTA PRIMERA VEZ PROGRAMA CPN ]])),"")</f>
        <v>4</v>
      </c>
      <c r="EB8" s="222" t="str">
        <f t="shared" si="17"/>
        <v>SI</v>
      </c>
      <c r="EC8" s="214">
        <f t="shared" si="18"/>
        <v>10</v>
      </c>
      <c r="ED8" s="227">
        <f t="shared" si="19"/>
        <v>0.4</v>
      </c>
      <c r="EE8" s="22">
        <v>44778</v>
      </c>
      <c r="EF8" s="22">
        <v>44859</v>
      </c>
      <c r="EG8" s="22">
        <v>44837</v>
      </c>
      <c r="EH8" s="22"/>
      <c r="EI8" s="22">
        <v>44837</v>
      </c>
      <c r="EJ8" s="22"/>
      <c r="EK8" s="22"/>
      <c r="EL8" s="21"/>
      <c r="EM8" s="21">
        <v>12.9</v>
      </c>
      <c r="EN8" s="22">
        <v>44862</v>
      </c>
      <c r="EO8" s="222">
        <f t="shared" si="20"/>
        <v>19.428571428571427</v>
      </c>
      <c r="EP8" s="214" t="str">
        <f t="shared" si="21"/>
        <v>NORMAL- SUMINISTRAR SULFATO FERROSO</v>
      </c>
      <c r="EQ8" s="216" t="str">
        <f t="shared" si="22"/>
        <v>II TRIM</v>
      </c>
      <c r="ER8" s="24"/>
      <c r="ES8" s="22"/>
      <c r="ET8" s="29" t="str">
        <f t="shared" ca="1" si="23"/>
        <v>SALE SIN TAMIZAJE HEMOGLOBINA SEM 28</v>
      </c>
      <c r="EU8" s="25" t="str">
        <f t="shared" si="24"/>
        <v/>
      </c>
      <c r="EV8" s="24" t="s">
        <v>866</v>
      </c>
      <c r="EW8" s="24">
        <v>44862</v>
      </c>
      <c r="EX8" s="22"/>
      <c r="EY8" s="29">
        <f t="shared" si="25"/>
        <v>19.428571428571427</v>
      </c>
      <c r="EZ8" s="25" t="str">
        <f t="shared" ca="1" si="26"/>
        <v/>
      </c>
      <c r="FA8" s="21">
        <v>69</v>
      </c>
      <c r="FB8" s="22">
        <v>44862</v>
      </c>
      <c r="FC8" s="29">
        <f t="shared" si="27"/>
        <v>19.428571428571427</v>
      </c>
      <c r="FD8" s="29"/>
      <c r="FE8" s="29"/>
      <c r="FF8" s="29"/>
      <c r="FG8" s="21" t="str">
        <f t="shared" ca="1" si="28"/>
        <v/>
      </c>
      <c r="FH8" s="31"/>
      <c r="FI8" s="29" t="str">
        <f t="shared" si="29"/>
        <v>TOMAR EXAMEN</v>
      </c>
      <c r="FJ8" s="22"/>
      <c r="FK8" s="22"/>
      <c r="FL8" s="29" t="str">
        <f t="shared" ca="1" si="30"/>
        <v>PIERDE TOMA DE TAMIZAJE</v>
      </c>
      <c r="FM8" s="22" t="s">
        <v>867</v>
      </c>
      <c r="FN8" s="32">
        <v>44862</v>
      </c>
      <c r="FO8" s="29">
        <f t="shared" ca="1" si="31"/>
        <v>19.428571428571427</v>
      </c>
      <c r="FP8" s="22"/>
      <c r="FQ8" s="32"/>
      <c r="FR8" s="29" t="str">
        <f t="shared" ca="1" si="32"/>
        <v>PIERDE TOMA DE TAMIZAJE</v>
      </c>
      <c r="FS8" s="22"/>
      <c r="FT8" s="32"/>
      <c r="FU8" s="29" t="str">
        <f>IF(AND(FJ8="",FM8="",FP8="",FS8=""),"",IF(OR(OR(Tabla1[[#This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 s="28"/>
      <c r="FW8" s="22"/>
      <c r="FX8" s="29" t="str">
        <f t="shared" si="33"/>
        <v>TOMAR EXAMEN</v>
      </c>
      <c r="FY8" s="22">
        <v>44862</v>
      </c>
      <c r="FZ8" s="22">
        <v>44862</v>
      </c>
      <c r="GA8" s="29" t="str">
        <f t="shared" si="34"/>
        <v>REGISTRAR EN II TRIMESTRE</v>
      </c>
      <c r="GB8" s="22" t="s">
        <v>868</v>
      </c>
      <c r="GC8" s="22">
        <v>44862</v>
      </c>
      <c r="GD8" s="29">
        <f t="shared" ca="1" si="35"/>
        <v>19.428571428571427</v>
      </c>
      <c r="GE8" s="22"/>
      <c r="GF8" s="22"/>
      <c r="GG8" s="29" t="str">
        <f t="shared" ca="1" si="36"/>
        <v>PIERDE TOMA DE TAMIZAJE</v>
      </c>
      <c r="GH8" s="22"/>
      <c r="GI8" s="29"/>
      <c r="GJ8" s="22"/>
      <c r="GK8" s="22"/>
      <c r="GL8" s="22" t="s">
        <v>879</v>
      </c>
      <c r="GM8" s="22"/>
      <c r="GN8" s="28" t="s">
        <v>869</v>
      </c>
      <c r="GO8" s="22">
        <v>44862</v>
      </c>
      <c r="GP8" s="29">
        <f t="shared" si="37"/>
        <v>19.428571428571427</v>
      </c>
      <c r="GQ8" s="28" t="s">
        <v>869</v>
      </c>
      <c r="GR8" s="28" t="s">
        <v>869</v>
      </c>
      <c r="GS8" s="22" t="str">
        <f t="shared" si="38"/>
        <v>CONTROL Igm</v>
      </c>
      <c r="GT8" s="22">
        <v>44862</v>
      </c>
      <c r="GU8" s="29">
        <f t="shared" si="39"/>
        <v>19.428571428571427</v>
      </c>
      <c r="GV8" s="21" t="str">
        <f t="shared" si="40"/>
        <v>II TRIM</v>
      </c>
      <c r="GW8" s="28" t="s">
        <v>869</v>
      </c>
      <c r="GX8" s="30"/>
      <c r="GY8" s="21"/>
      <c r="GZ8" s="21"/>
      <c r="HA8" s="21"/>
      <c r="HB8" s="21"/>
      <c r="HC8" s="21"/>
      <c r="HD8" s="21"/>
      <c r="HE8" s="21"/>
      <c r="HF8" s="22"/>
      <c r="HG8" s="22" t="str">
        <f>IF(OR(O8&gt;0,R8&gt;0),CONCATENATE(IF(Tabla1[[#This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 s="22" t="e">
        <f t="shared" si="41"/>
        <v>#REF!</v>
      </c>
      <c r="HI8" s="22" t="e">
        <f t="shared" ca="1" si="42"/>
        <v>#REF!</v>
      </c>
      <c r="HJ8" s="21"/>
      <c r="HK8" s="21" t="str">
        <f t="shared" si="44"/>
        <v>SIN ANTECEDENTES DE RIESGO</v>
      </c>
      <c r="HL8" s="24" t="str">
        <f t="shared" si="45"/>
        <v>REGISTRE DATO PRESIÓN ARTERIAL MENSUAL</v>
      </c>
      <c r="HM8" s="21" t="str">
        <f t="shared" ca="1" si="46"/>
        <v/>
      </c>
      <c r="HN8" s="30" t="str">
        <f t="shared" si="47"/>
        <v>SALIO PROGRAMA</v>
      </c>
      <c r="HO8" s="21"/>
      <c r="HP8" s="21"/>
      <c r="HQ8" s="21">
        <v>44837</v>
      </c>
      <c r="HR8" s="21" t="str">
        <f>IF(R8="","",IF(Tabla1[[#This Row],[ALARMA FACTORES DE RIESGO COMPLICACIONES HIPERTENSIVAS3]]="SIN ANTECEDENTES DE RIESGO","No Aplica para suministro de ASA",IF(AND(Tabla1[[#This Row],[FECHA INICIO DE SUMINISTRO DE ASA]]&gt;0,RV8&lt;12),"Inicia ASA ANTES de Sem 12",IF(AND(RV8&gt;11,RV8&lt;17,OR(HK8="RIESGO ALTO DE COMPLICACIONES HIPERTENSIVAS VER MANEJO GUIA SUMINISTRO ASA Y CALCIO",HK8="RIESGO MODERADO (2 O MAS CRITERIOS) VER MANEJO GUIA SUMINISTRO ASA Y CALCIO")),"Inicio oportuno de ASA",IF(AND(RV8&gt;12,OR(HK8="RIESGO ALTO DE COMPLICACIONES HIPERTENSIVAS VER MANEJO GUIA SUMINISTRO ASA Y CALCIO",HK8="RIESGO MODERADO (2 O MAS CRITERIOS) VER MANEJO GUIA SUMINISTRO ASA Y CALCIO")),"Inicio no oportuno mayor a 16 semanas",IF(AND(BU8&lt;12,OR(HK8="RIESGO ALTO DE COMPLICACIONES HIPERTENSIVAS VER MANEJO GUIA SUMINISTRO ASA Y CALCIO",HK8="RIESGO MODERADO (2 O MAS CRITERIOS) VER MANEJO GUIA SUMINISTRO ASA Y CALCIO")),"Pendiente Inicio de ASA a la semana 12",IF(AND(BU8&gt;11,BU8&lt;17,OR(HK8="RIESGO ALTO DE COMPLICACIONES HIPERTENSIVAS VER MANEJO GUIA SUMINISTRO ASA Y CALCIO",HK8="RIESGO MODERADO (2 O MAS CRITERIOS) VER MANEJO GUIA SUMINISTRO ASA Y CALCIO")),"Iniciar de inmediato ASA",IF(AND(BU8&gt;16,OR(HK8="RIESGO ALTO DE COMPLICACIONES HIPERTENSIVAS VER MANEJO GUIA SUMINISTRO ASA Y CALCIO",HK8="RIESGO MODERADO (2 O MAS CRITERIOS) VER MANEJO GUIA SUMINISTRO ASA Y CALCIO")),"Pierde Oportunidad, Inicio tardío de ASA","XXXXX"))))))))</f>
        <v>No Aplica para suministro de ASA</v>
      </c>
      <c r="HS8" s="22">
        <v>44837</v>
      </c>
      <c r="HT8" s="22" t="s">
        <v>870</v>
      </c>
      <c r="HU8" s="22">
        <v>44837</v>
      </c>
      <c r="HV8" s="22" t="s">
        <v>870</v>
      </c>
      <c r="HW8" s="22">
        <v>44837</v>
      </c>
      <c r="HX8" s="22" t="s">
        <v>870</v>
      </c>
      <c r="HY8" s="22">
        <v>44837</v>
      </c>
      <c r="HZ8" s="28">
        <f t="shared" si="48"/>
        <v>15.857142857142858</v>
      </c>
      <c r="IA8" s="26" t="s">
        <v>864</v>
      </c>
      <c r="IB8" s="26"/>
      <c r="IC8" s="111">
        <v>44862</v>
      </c>
      <c r="ID8" s="22"/>
      <c r="IE8" s="22" t="str">
        <f t="shared" ca="1" si="49"/>
        <v>SALE SIN VACUNA</v>
      </c>
      <c r="IF8" s="22"/>
      <c r="IG8" s="22">
        <f t="shared" si="50"/>
        <v>45006</v>
      </c>
      <c r="IH8" s="29">
        <f t="shared" ca="1" si="51"/>
        <v>-227</v>
      </c>
      <c r="II8" s="22" t="str">
        <f t="shared" ca="1" si="52"/>
        <v>POSIBLEMENTE NACIO</v>
      </c>
      <c r="IJ8" s="22"/>
      <c r="IK8" s="21" t="s">
        <v>898</v>
      </c>
      <c r="IL8" s="21"/>
      <c r="IM8" s="34"/>
      <c r="IN8" s="349">
        <v>44986</v>
      </c>
      <c r="IO8" s="21" t="s">
        <v>1640</v>
      </c>
      <c r="IP8" s="29">
        <f t="shared" si="53"/>
        <v>37.142857142857146</v>
      </c>
      <c r="IQ8" s="35"/>
      <c r="IR8" s="21" t="s">
        <v>879</v>
      </c>
      <c r="IS8" s="21" t="s">
        <v>1648</v>
      </c>
      <c r="IT8" s="21" t="s">
        <v>1642</v>
      </c>
      <c r="IU8" s="21"/>
      <c r="IV8" s="21"/>
      <c r="IW8" s="21"/>
      <c r="IX8" s="21"/>
      <c r="IY8" s="21"/>
      <c r="IZ8" s="21"/>
      <c r="JA8" s="21"/>
      <c r="JB8" s="30">
        <v>1</v>
      </c>
      <c r="JC8" s="21" t="s">
        <v>1643</v>
      </c>
      <c r="JD8" s="36">
        <v>3400</v>
      </c>
      <c r="JE8" s="21" t="str">
        <f t="shared" si="54"/>
        <v>PESO ADECUADO EDAD GESTACIONAL</v>
      </c>
      <c r="JF8" s="30"/>
      <c r="JG8" s="21"/>
      <c r="JH8" s="21"/>
      <c r="JI8" s="21"/>
      <c r="JJ8" s="30"/>
      <c r="JK8" s="22"/>
      <c r="JL8" s="22"/>
      <c r="JM8" s="21"/>
      <c r="JN8" s="36"/>
      <c r="JO8" s="21" t="str">
        <f t="shared" si="55"/>
        <v/>
      </c>
      <c r="JP8" s="22"/>
      <c r="JQ8" s="21"/>
      <c r="JR8" s="21"/>
      <c r="JS8" s="21"/>
      <c r="JT8" s="30"/>
      <c r="JU8" s="22"/>
      <c r="JV8" s="22"/>
      <c r="JW8" s="33"/>
      <c r="JX8" s="28" t="str">
        <f t="shared" si="56"/>
        <v>INASISTENTE</v>
      </c>
      <c r="JY8" s="33"/>
      <c r="JZ8" s="28" t="str">
        <f t="shared" si="57"/>
        <v>INASISTENTE</v>
      </c>
      <c r="KA8" s="21"/>
      <c r="KB8" s="21"/>
      <c r="KC8" s="21"/>
      <c r="KD8" s="37"/>
      <c r="KE8" s="28"/>
      <c r="KF8" s="28"/>
      <c r="KG8" s="28"/>
      <c r="KH8" s="39"/>
      <c r="KI8" s="39"/>
      <c r="KJ8" s="66"/>
      <c r="KK8" s="39"/>
      <c r="KL8" s="39"/>
      <c r="KM8" s="66"/>
      <c r="KN8" s="39"/>
      <c r="KO8" s="39"/>
      <c r="KP8" s="39"/>
      <c r="KQ8" s="39"/>
      <c r="KR8" s="39"/>
      <c r="KS8" s="39"/>
      <c r="KT8" s="39"/>
      <c r="KU8" s="38"/>
      <c r="KV8" s="38"/>
      <c r="KW8" s="38"/>
      <c r="KX8" s="38"/>
      <c r="KY8" s="38"/>
      <c r="KZ8" s="38"/>
      <c r="LA8" s="38"/>
      <c r="LB8" s="38"/>
      <c r="LC8" s="38"/>
      <c r="LD8" s="38"/>
      <c r="LE8" s="38"/>
      <c r="LF8" s="38"/>
      <c r="LG8" s="38"/>
      <c r="LH8" s="38"/>
      <c r="LI8" s="38"/>
      <c r="LJ8" s="38"/>
      <c r="LK8" s="38"/>
      <c r="LL8" s="38"/>
      <c r="LM8" s="38"/>
      <c r="LN8" s="38"/>
      <c r="LO8" s="38"/>
      <c r="LP8" s="38"/>
      <c r="LQ8" s="38"/>
      <c r="LR8" s="38"/>
      <c r="LS8" s="38"/>
      <c r="LT8" s="38"/>
      <c r="LU8" s="38"/>
      <c r="LV8" s="38"/>
      <c r="LW8" s="38"/>
      <c r="LX8" s="38"/>
      <c r="LY8" s="38"/>
      <c r="LZ8" s="38"/>
      <c r="MA8" s="38"/>
      <c r="MB8" s="38"/>
      <c r="MC8" s="38"/>
      <c r="MD8" s="38"/>
      <c r="ME8" s="38"/>
      <c r="MF8" s="38"/>
      <c r="MG8" s="38"/>
      <c r="MH8" s="43">
        <f t="shared" si="58"/>
        <v>0</v>
      </c>
      <c r="MI8" s="43" t="str">
        <f t="shared" si="59"/>
        <v/>
      </c>
      <c r="MJ8" s="43" t="str">
        <f t="shared" si="60"/>
        <v/>
      </c>
      <c r="MK8" s="43">
        <f t="shared" si="61"/>
        <v>0</v>
      </c>
      <c r="ML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 s="43">
        <f t="shared" si="62"/>
        <v>7.4285714285714288</v>
      </c>
      <c r="MN8" s="43">
        <f t="shared" si="63"/>
        <v>8</v>
      </c>
      <c r="MO8" s="43">
        <f t="shared" si="64"/>
        <v>2022</v>
      </c>
      <c r="MP8" s="43" t="str">
        <f t="shared" si="65"/>
        <v>III TRIMESTRE AÑO</v>
      </c>
      <c r="MQ8" s="43">
        <f t="shared" si="66"/>
        <v>19.741020586946998</v>
      </c>
      <c r="MR8" s="43">
        <f t="shared" si="67"/>
        <v>0</v>
      </c>
      <c r="MS8" s="43" t="str">
        <f t="shared" si="68"/>
        <v>DE 14 A 19AÑOS</v>
      </c>
      <c r="MT8" s="43">
        <f t="shared" si="69"/>
        <v>0</v>
      </c>
      <c r="MU8" s="43">
        <f t="shared" si="70"/>
        <v>0</v>
      </c>
      <c r="MV8" s="43">
        <f t="shared" si="71"/>
        <v>0</v>
      </c>
      <c r="MW8" s="43">
        <f t="shared" si="72"/>
        <v>0</v>
      </c>
      <c r="MX8" s="43" t="str">
        <f t="shared" si="73"/>
        <v/>
      </c>
      <c r="MY8" s="43" t="str">
        <f t="shared" ca="1" si="74"/>
        <v/>
      </c>
      <c r="MZ8" s="43" t="str">
        <f t="shared" si="75"/>
        <v/>
      </c>
      <c r="NA8" s="43">
        <f t="shared" si="76"/>
        <v>0</v>
      </c>
      <c r="NB8" s="43" t="str">
        <f t="shared" si="77"/>
        <v/>
      </c>
      <c r="NC8" s="43" t="str">
        <f t="shared" si="78"/>
        <v/>
      </c>
      <c r="ND8" s="43">
        <f t="shared" ca="1" si="79"/>
        <v>0.5</v>
      </c>
      <c r="NE8" s="43">
        <f>IF(OR(O8&gt;0,R8&gt;0),SUM(COUNTIF(Tabla1[[#This Row],[AÑOS AL INICIO5 CPN]],"&gt;=40"),COUNTIF(AS8,"0"),COUNTIF(AR8,"SI"),COUNTIF(CC8,"SI"),COUNTIF(BQ8,"&gt;119"),COUNTIF(CI8,"&gt;=35")),"")</f>
        <v>0</v>
      </c>
      <c r="NF8" s="43" t="str">
        <f t="shared" si="80"/>
        <v/>
      </c>
      <c r="NG8" s="43">
        <f t="shared" si="81"/>
        <v>0.5</v>
      </c>
      <c r="NH8" s="43">
        <f t="shared" si="82"/>
        <v>135.79999999999998</v>
      </c>
      <c r="NI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CPN",P8="NO"),"Z",IF(AND(Tabla1[[#This Row],[CITA PROXIMO CONTROL]]="CITA MANUAL",Tabla1[[#This Row],[GESTANTES ACTUALES]]="ACTIVA INGRESO A CPN"),"W",IF(AND(Tabla1[[#This Row],[GESTANTES ACTUALES]]="SALIO PROGRAMA",IN8=""),"S",IF(AND(Tabla1[[#This Row],[CITA PROXIMO CONTROL]]&gt;0,IN8=""),(Tabla1[[#This Row],[CITA PROXIMO CONTROL]]-TODAY()),"SD"))))))))</f>
        <v>SD</v>
      </c>
      <c r="NJ8" s="43">
        <f>MONTH(Tabla1[[#This Row],[FECHA DE SALIDA  DEL PROGRAMA]])</f>
        <v>3</v>
      </c>
      <c r="NK8" s="43">
        <f>YEAR(Tabla1[[#This Row],[FECHA DE SALIDA  DEL PROGRAMA]])</f>
        <v>2023</v>
      </c>
      <c r="NL8" s="43" t="str">
        <f t="shared" si="83"/>
        <v>X</v>
      </c>
      <c r="NM8" s="43" t="str">
        <f t="shared" si="84"/>
        <v>NO</v>
      </c>
      <c r="NN8" s="43" t="str">
        <f ca="1">IF(AND(O8&gt;0,R8=""),"NO CPN",IF(AND(O8="",R8=""),"",IF(AND(R8&gt;0,Tabla1[[#This Row],[SEMANAS DE GESTACION ACTUALIZADAS]]&lt;=12),"NO APLICA",IF(AND(FH8&lt;&gt;"",FN8&lt;&gt;""),"SI","NO"))))</f>
        <v>NO</v>
      </c>
      <c r="NO8" s="43" t="str">
        <f ca="1">IF(AND(O8&gt;0,R8=""),"NO CPN",IF(AND(O8="",R8=""),"",IF(AND(R8&gt;0,Tabla1[[#This Row],[SEMANAS DE GESTACION ACTUALIZADAS]]&lt;=27),"NO APLICA",IF(AND(ES8&lt;&gt;"",FQ8&lt;&gt;"",GF8&lt;&gt;""),"SI","NO"))))</f>
        <v>NO</v>
      </c>
      <c r="NP8" s="204" t="str">
        <f t="shared" si="85"/>
        <v>I TRIM</v>
      </c>
      <c r="NQ8" s="21" t="str">
        <f t="shared" si="86"/>
        <v/>
      </c>
      <c r="NR8" s="21">
        <f t="shared" si="87"/>
        <v>3</v>
      </c>
      <c r="NS8" s="205">
        <f t="shared" ca="1" si="88"/>
        <v>1</v>
      </c>
      <c r="NT8" s="21">
        <f t="shared" ca="1" si="89"/>
        <v>1</v>
      </c>
      <c r="NU8" s="21" t="str">
        <f t="shared" ca="1" si="90"/>
        <v>INCOMPLETO</v>
      </c>
      <c r="NV8" s="21" t="str">
        <f t="shared" ca="1" si="91"/>
        <v>INCOMPLETO</v>
      </c>
      <c r="NW8" s="206" t="str">
        <f>IF(AND(O8="",R8=""),"",IF(OR(AND(Tabla1[[#This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 s="207" t="str">
        <f t="shared" ca="1" si="92"/>
        <v>SIN VACUNAR</v>
      </c>
      <c r="NY8" s="43">
        <f>ROW(Tabla1[[#This Row],['# DE TAMIZAJES SIFILIS TOMADOS ]])</f>
        <v>8</v>
      </c>
      <c r="NZ8" s="43" t="str">
        <f t="shared" si="93"/>
        <v>Menor</v>
      </c>
      <c r="OA8" s="43" t="str">
        <f t="shared" si="94"/>
        <v>NORMAL</v>
      </c>
      <c r="OB8" s="43" t="str">
        <f t="shared" si="95"/>
        <v/>
      </c>
      <c r="OC8" s="43" t="str">
        <f t="shared" si="96"/>
        <v/>
      </c>
      <c r="OD8" s="43" t="str">
        <f t="shared" si="97"/>
        <v/>
      </c>
      <c r="OE8" s="43" t="str">
        <f t="shared" si="98"/>
        <v/>
      </c>
      <c r="OF8" s="43" t="str">
        <f t="shared" si="99"/>
        <v/>
      </c>
      <c r="OG8" s="43" t="str">
        <f t="shared" si="100"/>
        <v/>
      </c>
      <c r="OH8" s="43" t="str">
        <f t="shared" si="101"/>
        <v/>
      </c>
      <c r="OI8" s="43" t="str">
        <f t="shared" si="102"/>
        <v/>
      </c>
      <c r="OJ8" s="43" t="str">
        <f t="shared" si="103"/>
        <v/>
      </c>
      <c r="OK8" s="43" t="str">
        <f t="shared" si="104"/>
        <v/>
      </c>
      <c r="OL8" s="43" t="str">
        <f t="shared" si="105"/>
        <v/>
      </c>
      <c r="OM8" s="43" t="str">
        <f t="shared" si="106"/>
        <v/>
      </c>
      <c r="ON8" s="43" t="str">
        <f t="shared" si="107"/>
        <v/>
      </c>
      <c r="OO8" s="43" t="str">
        <f t="shared" si="108"/>
        <v/>
      </c>
      <c r="OP8" s="43" t="str">
        <f t="shared" si="109"/>
        <v/>
      </c>
      <c r="OQ8" s="43" t="str">
        <f t="shared" si="110"/>
        <v/>
      </c>
      <c r="OR8" s="43" t="str">
        <f t="shared" si="111"/>
        <v/>
      </c>
      <c r="OS8" s="43" t="str">
        <f t="shared" si="112"/>
        <v/>
      </c>
      <c r="OT8" s="43" t="str">
        <f t="shared" si="113"/>
        <v/>
      </c>
      <c r="OU8" s="43" t="str">
        <f t="shared" si="114"/>
        <v/>
      </c>
      <c r="OV8" s="110" t="str">
        <f t="shared" si="115"/>
        <v/>
      </c>
      <c r="OW8" s="43" t="str">
        <f t="shared" si="116"/>
        <v/>
      </c>
      <c r="OX8" s="43" t="str">
        <f t="shared" si="117"/>
        <v/>
      </c>
      <c r="OY8" s="43" t="str">
        <f t="shared" si="118"/>
        <v/>
      </c>
      <c r="OZ8" s="43" t="str">
        <f t="shared" si="119"/>
        <v/>
      </c>
      <c r="PA8" s="43" t="str">
        <f t="shared" si="120"/>
        <v/>
      </c>
      <c r="PB8" s="43" t="str">
        <f t="shared" si="121"/>
        <v/>
      </c>
      <c r="PC8" s="43" t="str">
        <f t="shared" si="122"/>
        <v/>
      </c>
      <c r="PD8" s="43" t="str">
        <f t="shared" si="123"/>
        <v/>
      </c>
      <c r="PE8" s="43" t="str">
        <f t="shared" si="124"/>
        <v/>
      </c>
      <c r="PF8" s="43" t="str">
        <f t="shared" si="125"/>
        <v/>
      </c>
      <c r="PG8" s="43" t="str">
        <f t="shared" si="126"/>
        <v/>
      </c>
      <c r="PH8" s="43" t="str">
        <f t="shared" si="127"/>
        <v/>
      </c>
      <c r="PI8" s="43">
        <f t="shared" si="128"/>
        <v>30</v>
      </c>
      <c r="PJ8" s="43" t="str">
        <f t="shared" si="129"/>
        <v/>
      </c>
      <c r="PK8" s="43" t="str">
        <f t="shared" si="130"/>
        <v/>
      </c>
      <c r="PL8" s="43" t="str">
        <f t="shared" si="131"/>
        <v/>
      </c>
      <c r="PM8" s="43" t="str">
        <f t="shared" si="132"/>
        <v/>
      </c>
      <c r="PN8" s="43" t="str">
        <f t="shared" si="133"/>
        <v/>
      </c>
      <c r="PO8" s="43" t="str">
        <f t="shared" si="134"/>
        <v/>
      </c>
      <c r="PP8" s="43" t="str">
        <f t="shared" si="135"/>
        <v/>
      </c>
      <c r="PQ8" s="43" t="str">
        <f t="shared" si="136"/>
        <v/>
      </c>
      <c r="PR8" s="43" t="str">
        <f t="shared" si="137"/>
        <v/>
      </c>
      <c r="PS8" s="43" t="str">
        <f t="shared" si="138"/>
        <v/>
      </c>
      <c r="PT8" s="43" t="str">
        <f t="shared" si="139"/>
        <v/>
      </c>
      <c r="PU8" s="43" t="str">
        <f t="shared" si="140"/>
        <v/>
      </c>
      <c r="PV8" s="43" t="str">
        <f t="shared" si="141"/>
        <v/>
      </c>
      <c r="PW8" s="43" t="str">
        <f t="shared" si="142"/>
        <v/>
      </c>
      <c r="PX8" s="43" t="str">
        <f t="shared" si="143"/>
        <v/>
      </c>
      <c r="PY8" s="43" t="str">
        <f t="shared" si="144"/>
        <v/>
      </c>
      <c r="PZ8" s="43" t="str">
        <f t="shared" si="145"/>
        <v/>
      </c>
      <c r="QA8" s="43" t="str">
        <f t="shared" si="146"/>
        <v/>
      </c>
      <c r="QB8" s="43" t="str">
        <f t="shared" si="147"/>
        <v/>
      </c>
      <c r="QC8" s="43" t="str">
        <f t="shared" si="148"/>
        <v/>
      </c>
      <c r="QD8" s="43" t="str">
        <f t="shared" si="149"/>
        <v/>
      </c>
      <c r="QE8" s="43" t="str">
        <f t="shared" si="150"/>
        <v/>
      </c>
      <c r="QF8" s="43" t="str">
        <f t="shared" si="151"/>
        <v/>
      </c>
      <c r="QG8" s="43" t="str">
        <f t="shared" si="152"/>
        <v/>
      </c>
      <c r="QH8" s="43" t="str">
        <f t="shared" si="153"/>
        <v/>
      </c>
      <c r="QI8" s="43" t="str">
        <f t="shared" si="154"/>
        <v/>
      </c>
      <c r="QJ8" s="43" t="str">
        <f t="shared" si="155"/>
        <v/>
      </c>
      <c r="QK8" s="43" t="str">
        <f t="shared" si="156"/>
        <v/>
      </c>
      <c r="QL8" s="43" t="str">
        <f t="shared" si="157"/>
        <v/>
      </c>
      <c r="QM8" s="43" t="str">
        <f t="shared" si="158"/>
        <v/>
      </c>
      <c r="QN8" s="43" t="str">
        <f t="shared" si="159"/>
        <v/>
      </c>
      <c r="QO8" s="43" t="str">
        <f t="shared" si="160"/>
        <v/>
      </c>
      <c r="QP8" s="43" t="str">
        <f t="shared" si="161"/>
        <v/>
      </c>
      <c r="QQ8" s="43" t="str">
        <f t="shared" si="162"/>
        <v/>
      </c>
      <c r="QR8" s="43">
        <f t="shared" si="192"/>
        <v>30</v>
      </c>
      <c r="QS8" s="43"/>
      <c r="QT8" s="21" t="str">
        <f t="shared" si="163"/>
        <v/>
      </c>
      <c r="QU8" s="21" t="str">
        <f t="shared" si="164"/>
        <v/>
      </c>
      <c r="QV8" s="21" t="str">
        <f t="shared" si="165"/>
        <v/>
      </c>
      <c r="QW8" s="21" t="str">
        <f t="shared" si="166"/>
        <v/>
      </c>
      <c r="QX8" s="21" t="str">
        <f t="shared" si="167"/>
        <v/>
      </c>
      <c r="QY8" s="21" t="str">
        <f t="shared" si="168"/>
        <v/>
      </c>
      <c r="QZ8" s="21" t="str">
        <f t="shared" si="169"/>
        <v/>
      </c>
      <c r="RA8" s="21" t="str">
        <f t="shared" si="170"/>
        <v/>
      </c>
      <c r="RB8" s="21" t="str">
        <f t="shared" si="171"/>
        <v/>
      </c>
      <c r="RC8" s="21" t="str">
        <f t="shared" si="172"/>
        <v/>
      </c>
      <c r="RD8" s="21" t="str">
        <f t="shared" si="173"/>
        <v/>
      </c>
      <c r="RE8" s="21" t="str">
        <f t="shared" si="174"/>
        <v/>
      </c>
      <c r="RF8" s="21" t="str">
        <f t="shared" si="175"/>
        <v/>
      </c>
      <c r="RG8" s="21" t="str">
        <f t="shared" si="176"/>
        <v/>
      </c>
      <c r="RH8" s="21" t="str">
        <f t="shared" si="177"/>
        <v/>
      </c>
      <c r="RI8" s="21" t="str">
        <f t="shared" si="178"/>
        <v/>
      </c>
      <c r="RJ8" s="21" t="str">
        <f t="shared" si="179"/>
        <v/>
      </c>
      <c r="RK8" s="21" t="str">
        <f t="shared" si="180"/>
        <v/>
      </c>
      <c r="RL8" s="21" t="str">
        <f t="shared" si="181"/>
        <v/>
      </c>
      <c r="RM8" s="21" t="str">
        <f t="shared" si="182"/>
        <v/>
      </c>
      <c r="RN8" s="21" t="str">
        <f t="shared" si="183"/>
        <v/>
      </c>
      <c r="RO8" s="21" t="str">
        <f t="shared" si="184"/>
        <v/>
      </c>
      <c r="RP8" s="21" t="str">
        <f t="shared" si="185"/>
        <v/>
      </c>
      <c r="RQ8" s="21" t="str">
        <f t="shared" si="186"/>
        <v/>
      </c>
      <c r="RR8" s="21" t="str">
        <f t="shared" si="187"/>
        <v/>
      </c>
      <c r="RS8" s="21" t="str">
        <f t="shared" si="188"/>
        <v/>
      </c>
      <c r="RT8" s="21" t="str">
        <f t="shared" si="189"/>
        <v/>
      </c>
      <c r="RU8" s="21" t="str">
        <f t="shared" si="190"/>
        <v/>
      </c>
      <c r="RV8" s="21">
        <f t="shared" si="191"/>
        <v>15.857142857142858</v>
      </c>
      <c r="RW8" s="284">
        <f>IF(OR(Tabla1[[#This Row],[FUM FORMULA CONFIABLE]]="",Tabla1[[#This Row],[FUM FORMULA CONFIABLE]]="SD"),"",IF(Tabla1[[#This Row],[FUM FORMULA CONFIABLE]]="CORREGIDA",Tabla1[[#This Row],[FUM X ECO 1]],Tabla1[[#This Row],[FUM x AMENORREA]]))</f>
        <v>44726</v>
      </c>
      <c r="RX8" s="21">
        <f>IF(AND(Tabla1[[#This Row],[FUM X ECO 1]]="",Tabla1[[#This Row],[FUM x AMENORREA]]=""),"",IF(AND(Tabla1[[#This Row],[FUM X ECO 1]]="",Tabla1[[#This Row],[FUM x AMENORREA]]&lt;&gt;""),"X",SUM(Tabla1[[#This Row],[FUM X ECO 1]]-Tabla1[[#This Row],[FUM x AMENORREA]])))</f>
        <v>0.19999999999708962</v>
      </c>
      <c r="RY8" s="21">
        <f t="shared" si="193"/>
        <v>0</v>
      </c>
    </row>
    <row r="9" spans="1:493" ht="45" customHeight="1" x14ac:dyDescent="0.25">
      <c r="A9" s="109" t="s">
        <v>899</v>
      </c>
      <c r="B9" s="43" t="s">
        <v>900</v>
      </c>
      <c r="C9" s="43" t="s">
        <v>845</v>
      </c>
      <c r="D9" s="124" t="s">
        <v>846</v>
      </c>
      <c r="E9" s="43" t="s">
        <v>901</v>
      </c>
      <c r="F9" s="43" t="s">
        <v>902</v>
      </c>
      <c r="G9" s="43" t="s">
        <v>903</v>
      </c>
      <c r="H9" s="43" t="s">
        <v>850</v>
      </c>
      <c r="I9" s="109" t="s">
        <v>851</v>
      </c>
      <c r="J9" s="110">
        <v>1002950264</v>
      </c>
      <c r="K9" s="43" t="s">
        <v>904</v>
      </c>
      <c r="L9" s="175" t="s">
        <v>853</v>
      </c>
      <c r="M9" s="22">
        <v>37963</v>
      </c>
      <c r="N9" s="213">
        <f t="shared" ca="1" si="0"/>
        <v>19.917808219178081</v>
      </c>
      <c r="O9" s="22">
        <v>44792</v>
      </c>
      <c r="P9" s="214" t="str">
        <f t="shared" si="1"/>
        <v>SI</v>
      </c>
      <c r="Q9" s="26" t="s">
        <v>855</v>
      </c>
      <c r="R9" s="22">
        <v>44792</v>
      </c>
      <c r="S9" s="21" t="s">
        <v>856</v>
      </c>
      <c r="T9" s="24" t="s">
        <v>690</v>
      </c>
      <c r="U9" s="21" t="s">
        <v>857</v>
      </c>
      <c r="V9" s="21" t="s">
        <v>858</v>
      </c>
      <c r="W9" s="21" t="s">
        <v>905</v>
      </c>
      <c r="X9" s="21" t="s">
        <v>905</v>
      </c>
      <c r="Y9" s="21" t="s">
        <v>859</v>
      </c>
      <c r="Z9" s="21">
        <v>3135389403</v>
      </c>
      <c r="AA9" s="21" t="s">
        <v>860</v>
      </c>
      <c r="AB9" s="27" t="s">
        <v>861</v>
      </c>
      <c r="AC9" s="26" t="s">
        <v>888</v>
      </c>
      <c r="AD9" s="38" t="s">
        <v>846</v>
      </c>
      <c r="AE9" s="26" t="s">
        <v>864</v>
      </c>
      <c r="AF9" s="26" t="s">
        <v>854</v>
      </c>
      <c r="AG9" s="23" t="s">
        <v>864</v>
      </c>
      <c r="AH9" s="23" t="s">
        <v>864</v>
      </c>
      <c r="AI9" s="24" t="s">
        <v>863</v>
      </c>
      <c r="AJ9" s="23" t="s">
        <v>864</v>
      </c>
      <c r="AK9" s="220" t="str">
        <f>IF(AND(AD9="",AE9="",AF9="",AG9="",AH9="",AI9="",AJ9=""),"",IF(OR(Tabla1[[#This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EVALUACIÓN",IF(AND(O9="",R9=""),"",IF(AND(OR(O9&gt;0,R9&gt;0),NG9&gt;=0,NG9&lt;2),"SIN RIESGO",IF(AND(OR(O9&gt;0,R9&gt;0),NG9&gt;=2),"CON RIESGO","ASD")))))</f>
        <v>SIN RIESGO</v>
      </c>
      <c r="AL9" s="23" t="s">
        <v>864</v>
      </c>
      <c r="AM9" s="26" t="s">
        <v>864</v>
      </c>
      <c r="AN9" s="26" t="s">
        <v>864</v>
      </c>
      <c r="AO9" s="26" t="s">
        <v>864</v>
      </c>
      <c r="AP9" s="26" t="s">
        <v>864</v>
      </c>
      <c r="AQ9" s="26" t="s">
        <v>864</v>
      </c>
      <c r="AR9" s="26" t="s">
        <v>864</v>
      </c>
      <c r="AS9" s="21">
        <v>0</v>
      </c>
      <c r="AT9" s="21">
        <v>0</v>
      </c>
      <c r="AU9" s="21">
        <v>0</v>
      </c>
      <c r="AV9" s="26" t="s">
        <v>864</v>
      </c>
      <c r="AW9" s="21">
        <v>0</v>
      </c>
      <c r="AX9" s="26" t="s">
        <v>864</v>
      </c>
      <c r="AY9" s="26" t="s">
        <v>864</v>
      </c>
      <c r="AZ9" s="26" t="s">
        <v>864</v>
      </c>
      <c r="BA9" s="26" t="s">
        <v>864</v>
      </c>
      <c r="BB9" s="26" t="s">
        <v>864</v>
      </c>
      <c r="BC9" s="26" t="s">
        <v>864</v>
      </c>
      <c r="BD9" s="26" t="s">
        <v>864</v>
      </c>
      <c r="BE9" s="26" t="s">
        <v>864</v>
      </c>
      <c r="BF9" s="26" t="s">
        <v>864</v>
      </c>
      <c r="BG9" s="26" t="s">
        <v>864</v>
      </c>
      <c r="BH9" s="26"/>
      <c r="BI9" s="26" t="s">
        <v>864</v>
      </c>
      <c r="BJ9" s="26"/>
      <c r="BK9" s="26"/>
      <c r="BL9" s="26"/>
      <c r="BM9" s="26" t="s">
        <v>864</v>
      </c>
      <c r="BN9" s="22"/>
      <c r="BO9" s="22">
        <v>44761</v>
      </c>
      <c r="BP9" s="21" t="s">
        <v>1380</v>
      </c>
      <c r="BQ9" s="222">
        <f t="shared" si="2"/>
        <v>0</v>
      </c>
      <c r="BR9" s="223">
        <f t="shared" si="3"/>
        <v>44725.5</v>
      </c>
      <c r="BS9" s="224">
        <f t="shared" si="4"/>
        <v>9.5</v>
      </c>
      <c r="BT9" s="216" t="str">
        <f t="shared" si="5"/>
        <v>I TRIM</v>
      </c>
      <c r="BU9" s="214" t="str">
        <f t="shared" ca="1" si="6"/>
        <v/>
      </c>
      <c r="BV9" s="25"/>
      <c r="BW9" s="22">
        <v>44799</v>
      </c>
      <c r="BX9" s="28">
        <v>10.5</v>
      </c>
      <c r="BY9" s="28"/>
      <c r="BZ9" s="22"/>
      <c r="CA9" s="21"/>
      <c r="CB9" s="26" t="s">
        <v>865</v>
      </c>
      <c r="CC9" s="26" t="s">
        <v>864</v>
      </c>
      <c r="CD9" s="26" t="s">
        <v>865</v>
      </c>
      <c r="CE9" s="26" t="s">
        <v>865</v>
      </c>
      <c r="CF9" s="22">
        <v>44792</v>
      </c>
      <c r="CG9" s="21">
        <v>1.63</v>
      </c>
      <c r="CH9" s="21">
        <v>61.4</v>
      </c>
      <c r="CI9" s="214">
        <f t="shared" si="7"/>
        <v>23.109639053031731</v>
      </c>
      <c r="CJ9" s="225" t="str">
        <f>IF(AND(CI9&lt;10,CH9="SD"),"SIN DATO PESO PREGESTACION O I TRIM",IF(AND(OR(R9&gt;0,O9&gt;0),CI9="X"),"INGRESAR DATO DE PESO",IF(CI9="SD","INGRESAR DATO DE TALLA Y PESO",IF(AND(OR(Tabla1[[#This Row],[MOMENTO EN QUE SE REALIZA EL PESO AL INGRESO A CPN]]="PREGESTACIÓN",NZ9="Menor"),CI9&lt;18.5),"BAJO PESO",IF(AND(OR(Tabla1[[#This Row],[MOMENTO EN QUE SE REALIZA EL PESO AL INGRESO A CPN]]="PREGESTACIÓN",NZ9="Menor"),CI9&lt;25),"NORMAL",IF(AND(OR(Tabla1[[#This Row],[MOMENTO EN QUE SE REALIZA EL PESO AL INGRESO A CPN]]="PREGESTACIÓN",NZ9="Menor"),CI9&lt;30),"SOBREPESO",IF(AND(OR(Tabla1[[#This Row],[MOMENTO EN QUE SE REALIZA EL PESO AL INGRESO A CPN]]="PREGESTACIÓN",NZ9="Menor"),CI9&gt;=30,CI9&lt;50),"OBESIDAD",IF(AND(BS9&gt;0,Tabla1[[#This Row],[MOMENTO EN QUE SE REALIZA EL PESO AL INGRESO A CPN]]="GESTACIÓN"),HLOOKUP(NZ9,$OA$2:PH9,NY9),""))))))))</f>
        <v>NORMAL</v>
      </c>
      <c r="CK9" s="212">
        <f t="shared" si="8"/>
        <v>44971</v>
      </c>
      <c r="CL9" s="21"/>
      <c r="CM9" s="214">
        <f t="shared" si="9"/>
        <v>0</v>
      </c>
      <c r="CN9" s="216">
        <f t="shared" si="10"/>
        <v>35</v>
      </c>
      <c r="CO9" s="216" t="e">
        <f>IF(PI9="","",IF(PI9&gt;0,HLOOKUP(PI9,$PJ$2:QQ9,NY9),""))</f>
        <v>#REF!</v>
      </c>
      <c r="CP9" s="21"/>
      <c r="CQ9" s="216" t="e">
        <f>IF(QR9="Menor","NO APLICA-MENOR 13 SEM",IF(AND(CC9="SI",CN9&gt;23),"NO APLICA- GEMELAR",IF(QR9="","",IF(QR9&gt;0,HLOOKUP(QR9,$QS$2:RU9,NY9),""))))</f>
        <v>#REF!</v>
      </c>
      <c r="CR9" s="21">
        <v>100</v>
      </c>
      <c r="CS9" s="21">
        <v>60</v>
      </c>
      <c r="CT9" s="217" t="str">
        <f>IF(R9="","",IF(AND(BS9&gt;1,BS9&lt;12,Tabla1[[#This Row],[T.A. SISTOLICA - ANTES DE SEMANA 12]]="",Tabla1[[#This Row],[T.A. DIASTOLICA - ANTES DE SEMANA 12]]=""),"REGISTRE DATO TA ANTES SEMANA 12",IF(AND(BS9&gt;11,BS9&lt;43,Tabla1[[#This Row],[T.A. SISTOLICA - ANTES DE SEMANA 12]]="",Tabla1[[#This Row],[T.A. DIASTOLICA - ANTES DE SEMANA 12]]=""),"NO APLICA REGISTRO TA-INGRESO TARDIO",IF(AND(OR(O9&gt;0,R9&gt;0),OR(CR9&gt;=140,CS9&gt;=90)),"DEFINIR ESTADIO HTA",IF(AND(OR(O9&gt;0,R9&gt;0),AND(CR9&gt;120,CR9&lt;=139)),"PRE HTA SEGUIMIENTO",IF(AND(OR(O9&gt;0,R9&gt;0),AND(CS9&gt;80,CS9&lt;=89)),"PRE HTA SEGUIMIENTO",IF(AND(OR(O9&gt;0,R9&gt;0),AND(CR9&gt;=80,CR9&lt;=120)),"APARENTEMENTE NORMAL",IF(AND(OR(O9&gt;0,R9&gt;0),AND(CS9&gt;=50,CS9&lt;=80)),"APARENTEMENTE NORMAL",IF(AND(OR(O9&gt;0,R9&gt;0),AND(CR9&gt;1,CR9&lt;=70),AND(CS9&gt;1,CS9&lt;=40)),"HIPOTENSIÓN","")))))))))</f>
        <v>APARENTEMENTE NORMAL</v>
      </c>
      <c r="CU9" s="21"/>
      <c r="CV9" s="21"/>
      <c r="CW9" s="217" t="str">
        <f ca="1">IF(R9="","",IF(AND(CN9&gt;19,CN9&lt;27,Tabla1[[#This Row],[T.A. SISTOLICA (Entre semana 20 y 26)]]="",Tabla1[[#This Row],[T.A. DIATOLICA (Entre semana 20 y 26)]]=""),"ACUDE A CONTROL SEM 20 A 26 REGISTRE TA AHORA",IF(AND(BS9&gt;1,BS9&lt;27,BU9&gt;19,Tabla1[[#This Row],[T.A. SISTOLICA (Entre semana 20 y 26)]]="",Tabla1[[#This Row],[T.A. DIATOLICA (Entre semana 20 y 26)]]=""),"COMPLETE REGISTRO TA CONTROL SEM 20 A26 ",IF(AND(BS9&gt;26,BS9&lt;43,Tabla1[[#This Row],[T.A. SISTOLICA (Entre semana 20 y 26)]]="",Tabla1[[#This Row],[T.A. DIATOLICA (Entre semana 20 y 26)]]=""),"NO APLICA REGISTRO TA-INGRESO TARDIO",IF(AND(OR(O9&gt;0,R9&gt;0),OR(CU9&gt;=140,CV9&gt;=90)),"ALTO RIESGO PREECLAMPSIA,DEFINIR ESTADIO HTA",IF(AND(OR(O9&gt;0,R9&gt;0),AND(CU9&gt;120,CU9&lt;=139)),"PRE HTA SEGUIMIENTO,RIESGO HIPERTENSION INDUCIDA POR EL EMBARAZO",IF(AND(OR(O9&gt;0,R9&gt;0),AND(CV9&gt;80,CV9&lt;=89)),"PRE HTA SEGUIMIENTO, RIESGO HIPERTENSION INDUCIDA POR EL EMBARAZO",IF(AND(OR(O9&lt;&gt;"",R9&lt;&gt;""),CS9&lt;&gt;"",CV9&lt;&gt;"",CS9&lt;=CV9),"VIGILAR CIFRAS PRESION ARTERIAL",IF(AND(OR(O9&gt;0,R9&gt;0),AND(CU9&gt;120,CU9&lt;=139)),"PRE HTA SEGUIMIENTO",IF(AND(OR(O9&gt;0,R9&gt;0),AND(CU9&gt;1,CU9&lt;=70),AND(CV9&gt;1,CV9&lt;=40)),"HIPOTENSIÓN",IF(AND(OR(O9&lt;&gt;"",R9&lt;&gt;""),CS9&lt;&gt;"",CV9&lt;&gt;"",CS9&gt;CV9),"APARENTEMENTE NORMAL",IF(AND(OR(O9&gt;0,R9&gt;0),AND(CU9&gt;=80,CU9&lt;=120)),"APARENTEMENTE NORMAL",IF(AND(OR(O9&gt;0,R9&gt;0),AND(CV9&gt;=50,CV9&lt;=80)),"APARENTEMENTE NORMAL","")))))))))))))</f>
        <v xml:space="preserve">COMPLETE REGISTRO TA CONTROL SEM 20 A26 </v>
      </c>
      <c r="CX9" s="21">
        <v>100</v>
      </c>
      <c r="CY9" s="21">
        <v>60</v>
      </c>
      <c r="CZ9" s="216" t="str">
        <f t="shared" si="11"/>
        <v>APARENTEMENTE NORMAL</v>
      </c>
      <c r="DA9" s="21"/>
      <c r="DB9" s="21"/>
      <c r="DC9" s="217" t="str">
        <f t="shared" si="12"/>
        <v>REGISTRE DATO PRESIÓN ARTERIAL MENSUAL</v>
      </c>
      <c r="DD9" s="22">
        <v>44792</v>
      </c>
      <c r="DE9" s="22">
        <v>44792</v>
      </c>
      <c r="DF9" s="22">
        <v>44971</v>
      </c>
      <c r="DG9" s="22"/>
      <c r="DH9" s="22"/>
      <c r="DI9" s="22"/>
      <c r="DJ9" s="22"/>
      <c r="DK9" s="22"/>
      <c r="DL9" s="22"/>
      <c r="DM9" s="22"/>
      <c r="DN9" s="22"/>
      <c r="DO9" s="22"/>
      <c r="DP9" s="22"/>
      <c r="DQ9" s="22"/>
      <c r="DR9" s="28">
        <v>1</v>
      </c>
      <c r="DS9" s="22"/>
      <c r="DT9" s="22"/>
      <c r="DU9" s="216" t="str">
        <f t="shared" ca="1" si="13"/>
        <v>SALE SIN PLAN DE PARTO</v>
      </c>
      <c r="DV9" s="226" t="str">
        <f t="shared" si="14"/>
        <v>SALIO PROGRAMA</v>
      </c>
      <c r="DW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 s="216" t="str">
        <f t="shared" ca="1" si="15"/>
        <v/>
      </c>
      <c r="DY9" s="212">
        <f>IF(R9="","",IF(R9&gt;0,MAX(Tabla1[[#This Row],[FECHA C2]:[FECHA C13]],Tabla1[[#This Row],[FECHA CONSULTA PRIMERA VEZ PROGRAMA CPN ]])))</f>
        <v>44971</v>
      </c>
      <c r="DZ9" s="216">
        <f t="shared" si="16"/>
        <v>35</v>
      </c>
      <c r="EA9" s="222">
        <f>IF(R9&gt;0,SUM(COUNTA(DF9:DQ9)+COUNTA(Tabla1[[#This Row],[FECHA CONSULTA PRIMERA VEZ PROGRAMA CPN ]])),"")</f>
        <v>2</v>
      </c>
      <c r="EB9" s="222" t="str">
        <f t="shared" si="17"/>
        <v>NO</v>
      </c>
      <c r="EC9" s="214">
        <f t="shared" si="18"/>
        <v>9</v>
      </c>
      <c r="ED9" s="227">
        <f t="shared" si="19"/>
        <v>0.22222222222222221</v>
      </c>
      <c r="EE9" s="22">
        <v>44792</v>
      </c>
      <c r="EF9" s="22">
        <v>44792</v>
      </c>
      <c r="EG9" s="22">
        <v>44792</v>
      </c>
      <c r="EH9" s="22"/>
      <c r="EI9" s="22">
        <v>44792</v>
      </c>
      <c r="EJ9" s="22"/>
      <c r="EK9" s="22"/>
      <c r="EL9" s="21"/>
      <c r="EM9" s="21">
        <v>13.5</v>
      </c>
      <c r="EN9" s="22">
        <v>44793</v>
      </c>
      <c r="EO9" s="222">
        <f t="shared" si="20"/>
        <v>9.6428571428571423</v>
      </c>
      <c r="EP9" s="214" t="str">
        <f t="shared" si="21"/>
        <v>NORMAL- SUMINISTRAR SULFATO FERROSO</v>
      </c>
      <c r="EQ9" s="216" t="str">
        <f t="shared" si="22"/>
        <v>I TRIM</v>
      </c>
      <c r="ER9" s="24"/>
      <c r="ES9" s="22"/>
      <c r="ET9" s="29" t="str">
        <f t="shared" ca="1" si="23"/>
        <v>SALE SIN TAMIZAJE HEMOGLOBINA SEM 28</v>
      </c>
      <c r="EU9" s="25" t="str">
        <f t="shared" si="24"/>
        <v/>
      </c>
      <c r="EV9" s="24" t="s">
        <v>866</v>
      </c>
      <c r="EW9" s="24">
        <v>44793</v>
      </c>
      <c r="EX9" s="22"/>
      <c r="EY9" s="29">
        <f t="shared" si="25"/>
        <v>9.6428571428571423</v>
      </c>
      <c r="EZ9" s="25" t="str">
        <f t="shared" ca="1" si="26"/>
        <v/>
      </c>
      <c r="FA9" s="21">
        <v>77</v>
      </c>
      <c r="FB9" s="22">
        <v>44793</v>
      </c>
      <c r="FC9" s="29">
        <f t="shared" si="27"/>
        <v>9.6428571428571423</v>
      </c>
      <c r="FD9" s="29"/>
      <c r="FE9" s="29"/>
      <c r="FF9" s="29"/>
      <c r="FG9" s="21" t="str">
        <f t="shared" ca="1" si="28"/>
        <v/>
      </c>
      <c r="FH9" s="31"/>
      <c r="FI9" s="29" t="str">
        <f t="shared" si="29"/>
        <v>TOMAR EXAMEN</v>
      </c>
      <c r="FJ9" s="22" t="s">
        <v>867</v>
      </c>
      <c r="FK9" s="22"/>
      <c r="FL9" s="29" t="str">
        <f t="shared" ca="1" si="30"/>
        <v>PIERDE TOMA DE TAMIZAJE</v>
      </c>
      <c r="FM9" s="22"/>
      <c r="FN9" s="32"/>
      <c r="FO9" s="29" t="str">
        <f t="shared" ca="1" si="31"/>
        <v>PIERDE TOMA DE TAMIZAJE</v>
      </c>
      <c r="FP9" s="22" t="s">
        <v>867</v>
      </c>
      <c r="FQ9" s="32">
        <v>44971</v>
      </c>
      <c r="FR9" s="29">
        <f t="shared" ca="1" si="32"/>
        <v>35.071428571428569</v>
      </c>
      <c r="FS9" s="22"/>
      <c r="FT9" s="32"/>
      <c r="FU9" s="29" t="str">
        <f>IF(AND(FJ9="",FM9="",FP9="",FS9=""),"",IF(OR(OR(Tabla1[[#This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 s="28"/>
      <c r="FW9" s="22"/>
      <c r="FX9" s="29" t="str">
        <f t="shared" si="33"/>
        <v>TOMAR EXAMEN</v>
      </c>
      <c r="FY9" s="22">
        <v>44792</v>
      </c>
      <c r="FZ9" s="22">
        <v>44782</v>
      </c>
      <c r="GA9" s="29">
        <f t="shared" ca="1" si="34"/>
        <v>8.0714285714285712</v>
      </c>
      <c r="GB9" s="22"/>
      <c r="GC9" s="22"/>
      <c r="GD9" s="29" t="str">
        <f t="shared" ca="1" si="35"/>
        <v>PIERDE TOMA DE TAMIZAJE</v>
      </c>
      <c r="GE9" s="22" t="s">
        <v>868</v>
      </c>
      <c r="GF9" s="22">
        <v>44971</v>
      </c>
      <c r="GG9" s="29">
        <f t="shared" ca="1" si="36"/>
        <v>35.071428571428569</v>
      </c>
      <c r="GH9" s="22"/>
      <c r="GI9" s="29"/>
      <c r="GJ9" s="22"/>
      <c r="GK9" s="22"/>
      <c r="GL9" s="22" t="s">
        <v>879</v>
      </c>
      <c r="GM9" s="22"/>
      <c r="GN9" s="28" t="s">
        <v>869</v>
      </c>
      <c r="GO9" s="22">
        <v>44793</v>
      </c>
      <c r="GP9" s="29">
        <f t="shared" si="37"/>
        <v>9.6428571428571423</v>
      </c>
      <c r="GQ9" s="28" t="s">
        <v>869</v>
      </c>
      <c r="GR9" s="28" t="s">
        <v>869</v>
      </c>
      <c r="GS9" s="22" t="str">
        <f t="shared" si="38"/>
        <v>CONTROL Igm</v>
      </c>
      <c r="GT9" s="22">
        <v>44793</v>
      </c>
      <c r="GU9" s="29">
        <f t="shared" si="39"/>
        <v>4.5714285714285712</v>
      </c>
      <c r="GV9" s="21" t="str">
        <f t="shared" si="40"/>
        <v>I TRIM</v>
      </c>
      <c r="GW9" s="28" t="s">
        <v>869</v>
      </c>
      <c r="GX9" s="30"/>
      <c r="GY9" s="21" t="s">
        <v>906</v>
      </c>
      <c r="GZ9" s="21"/>
      <c r="HA9" s="21"/>
      <c r="HB9" s="21"/>
      <c r="HC9" s="21"/>
      <c r="HD9" s="21"/>
      <c r="HE9" s="21"/>
      <c r="HF9" s="22"/>
      <c r="HG9" s="22" t="str">
        <f>IF(OR(O9&gt;0,R9&gt;0),CONCATENATE(IF(Tabla1[[#This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 s="22" t="e">
        <f t="shared" si="41"/>
        <v>#REF!</v>
      </c>
      <c r="HI9" s="22" t="e">
        <f t="shared" ca="1" si="42"/>
        <v>#REF!</v>
      </c>
      <c r="HJ9" s="21"/>
      <c r="HK9" s="21" t="str">
        <f t="shared" si="44"/>
        <v>SIN ANTECEDENTES DE RIESGO</v>
      </c>
      <c r="HL9" s="24" t="str">
        <f t="shared" si="45"/>
        <v>REGISTRE DATO PRESIÓN ARTERIAL MENSUAL</v>
      </c>
      <c r="HM9" s="21" t="str">
        <f t="shared" ca="1" si="46"/>
        <v/>
      </c>
      <c r="HN9" s="30" t="str">
        <f t="shared" si="47"/>
        <v>SALIO PROGRAMA</v>
      </c>
      <c r="HO9" s="21"/>
      <c r="HP9" s="21"/>
      <c r="HQ9" s="21">
        <v>44792</v>
      </c>
      <c r="HR9" s="21" t="str">
        <f>IF(R9="","",IF(Tabla1[[#This Row],[ALARMA FACTORES DE RIESGO COMPLICACIONES HIPERTENSIVAS3]]="SIN ANTECEDENTES DE RIESGO","No Aplica para suministro de ASA",IF(AND(Tabla1[[#This Row],[FECHA INICIO DE SUMINISTRO DE ASA]]&gt;0,RV9&lt;12),"Inicia ASA ANTES de Sem 12",IF(AND(RV9&gt;11,RV9&lt;17,OR(HK9="RIESGO ALTO DE COMPLICACIONES HIPERTENSIVAS VER MANEJO GUIA SUMINISTRO ASA Y CALCIO",HK9="RIESGO MODERADO (2 O MAS CRITERIOS) VER MANEJO GUIA SUMINISTRO ASA Y CALCIO")),"Inicio oportuno de ASA",IF(AND(RV9&gt;12,OR(HK9="RIESGO ALTO DE COMPLICACIONES HIPERTENSIVAS VER MANEJO GUIA SUMINISTRO ASA Y CALCIO",HK9="RIESGO MODERADO (2 O MAS CRITERIOS) VER MANEJO GUIA SUMINISTRO ASA Y CALCIO")),"Inicio no oportuno mayor a 16 semanas",IF(AND(BU9&lt;12,OR(HK9="RIESGO ALTO DE COMPLICACIONES HIPERTENSIVAS VER MANEJO GUIA SUMINISTRO ASA Y CALCIO",HK9="RIESGO MODERADO (2 O MAS CRITERIOS) VER MANEJO GUIA SUMINISTRO ASA Y CALCIO")),"Pendiente Inicio de ASA a la semana 12",IF(AND(BU9&gt;11,BU9&lt;17,OR(HK9="RIESGO ALTO DE COMPLICACIONES HIPERTENSIVAS VER MANEJO GUIA SUMINISTRO ASA Y CALCIO",HK9="RIESGO MODERADO (2 O MAS CRITERIOS) VER MANEJO GUIA SUMINISTRO ASA Y CALCIO")),"Iniciar de inmediato ASA",IF(AND(BU9&gt;16,OR(HK9="RIESGO ALTO DE COMPLICACIONES HIPERTENSIVAS VER MANEJO GUIA SUMINISTRO ASA Y CALCIO",HK9="RIESGO MODERADO (2 O MAS CRITERIOS) VER MANEJO GUIA SUMINISTRO ASA Y CALCIO")),"Pierde Oportunidad, Inicio tardío de ASA","XXXXX"))))))))</f>
        <v>No Aplica para suministro de ASA</v>
      </c>
      <c r="HS9" s="22">
        <v>44792</v>
      </c>
      <c r="HT9" s="22" t="s">
        <v>870</v>
      </c>
      <c r="HU9" s="22">
        <v>44792</v>
      </c>
      <c r="HV9" s="22" t="s">
        <v>870</v>
      </c>
      <c r="HW9" s="22">
        <v>44792</v>
      </c>
      <c r="HX9" s="22" t="s">
        <v>870</v>
      </c>
      <c r="HY9" s="22">
        <v>44792</v>
      </c>
      <c r="HZ9" s="28">
        <f t="shared" si="48"/>
        <v>9.5</v>
      </c>
      <c r="IA9" s="26"/>
      <c r="IB9" s="26"/>
      <c r="IC9" s="111"/>
      <c r="ID9" s="22"/>
      <c r="IE9" s="22" t="str">
        <f t="shared" ca="1" si="49"/>
        <v>SALE SIN VACUNA</v>
      </c>
      <c r="IF9" s="22"/>
      <c r="IG9" s="22">
        <f t="shared" si="50"/>
        <v>45005.5</v>
      </c>
      <c r="IH9" s="29">
        <f t="shared" ca="1" si="51"/>
        <v>-227.5</v>
      </c>
      <c r="II9" s="22" t="str">
        <f t="shared" ca="1" si="52"/>
        <v>POSIBLEMENTE NACIO</v>
      </c>
      <c r="IJ9" s="22"/>
      <c r="IK9" s="21" t="s">
        <v>898</v>
      </c>
      <c r="IL9" s="21"/>
      <c r="IM9" s="34"/>
      <c r="IN9" s="349">
        <v>45002</v>
      </c>
      <c r="IO9" s="21" t="s">
        <v>1186</v>
      </c>
      <c r="IP9" s="29">
        <f t="shared" si="53"/>
        <v>39.5</v>
      </c>
      <c r="IQ9" s="35" t="s">
        <v>1644</v>
      </c>
      <c r="IR9" s="21" t="s">
        <v>1645</v>
      </c>
      <c r="IS9" s="21" t="s">
        <v>1646</v>
      </c>
      <c r="IT9" s="21" t="s">
        <v>1642</v>
      </c>
      <c r="IU9" s="21"/>
      <c r="IV9" s="21"/>
      <c r="IW9" s="21"/>
      <c r="IX9" s="21"/>
      <c r="IY9" s="21"/>
      <c r="IZ9" s="21"/>
      <c r="JA9" s="21"/>
      <c r="JB9" s="30">
        <v>1</v>
      </c>
      <c r="JC9" s="21" t="s">
        <v>1643</v>
      </c>
      <c r="JD9" s="36">
        <v>3000</v>
      </c>
      <c r="JE9" s="21" t="str">
        <f t="shared" si="54"/>
        <v>PESO ADECUADO EDAD GESTACIONAL</v>
      </c>
      <c r="JF9" s="30"/>
      <c r="JG9" s="21"/>
      <c r="JH9" s="21"/>
      <c r="JI9" s="21" t="s">
        <v>854</v>
      </c>
      <c r="JJ9" s="30" t="s">
        <v>866</v>
      </c>
      <c r="JK9" s="22"/>
      <c r="JL9" s="22"/>
      <c r="JM9" s="21"/>
      <c r="JN9" s="36"/>
      <c r="JO9" s="21" t="str">
        <f t="shared" si="55"/>
        <v/>
      </c>
      <c r="JP9" s="22"/>
      <c r="JQ9" s="21"/>
      <c r="JR9" s="21"/>
      <c r="JS9" s="21"/>
      <c r="JT9" s="30"/>
      <c r="JU9" s="22"/>
      <c r="JV9" s="22"/>
      <c r="JW9" s="33"/>
      <c r="JX9" s="28" t="str">
        <f t="shared" si="56"/>
        <v>INASISTENTE</v>
      </c>
      <c r="JY9" s="33"/>
      <c r="JZ9" s="28" t="str">
        <f t="shared" si="57"/>
        <v>INASISTENTE</v>
      </c>
      <c r="KA9" s="21"/>
      <c r="KB9" s="21"/>
      <c r="KC9" s="21"/>
      <c r="KD9" s="37"/>
      <c r="KE9" s="28"/>
      <c r="KF9" s="28"/>
      <c r="KG9" s="28"/>
      <c r="KH9" s="39"/>
      <c r="KI9" s="39"/>
      <c r="KJ9" s="66"/>
      <c r="KK9" s="39"/>
      <c r="KL9" s="39"/>
      <c r="KM9" s="66"/>
      <c r="KN9" s="39"/>
      <c r="KO9" s="39"/>
      <c r="KP9" s="39"/>
      <c r="KQ9" s="39"/>
      <c r="KR9" s="39"/>
      <c r="KS9" s="39"/>
      <c r="KT9" s="39"/>
      <c r="KU9" s="38"/>
      <c r="KV9" s="38"/>
      <c r="KW9" s="38"/>
      <c r="KX9" s="38"/>
      <c r="KY9" s="38"/>
      <c r="KZ9" s="38"/>
      <c r="LA9" s="38"/>
      <c r="LB9" s="38"/>
      <c r="LC9" s="38"/>
      <c r="LD9" s="38"/>
      <c r="LE9" s="38"/>
      <c r="LF9" s="38"/>
      <c r="LG9" s="38"/>
      <c r="LH9" s="38"/>
      <c r="LI9" s="38"/>
      <c r="LJ9" s="38"/>
      <c r="LK9" s="38"/>
      <c r="LL9" s="38"/>
      <c r="LM9" s="38"/>
      <c r="LN9" s="38"/>
      <c r="LO9" s="38"/>
      <c r="LP9" s="38"/>
      <c r="LQ9" s="38"/>
      <c r="LR9" s="38"/>
      <c r="LS9" s="38"/>
      <c r="LT9" s="38"/>
      <c r="LU9" s="38"/>
      <c r="LV9" s="38"/>
      <c r="LW9" s="38"/>
      <c r="LX9" s="38"/>
      <c r="LY9" s="38"/>
      <c r="LZ9" s="38"/>
      <c r="MA9" s="38"/>
      <c r="MB9" s="38"/>
      <c r="MC9" s="38"/>
      <c r="MD9" s="38"/>
      <c r="ME9" s="38"/>
      <c r="MF9" s="38"/>
      <c r="MG9" s="38"/>
      <c r="MH9" s="43">
        <f t="shared" si="58"/>
        <v>0</v>
      </c>
      <c r="MI9" s="43" t="str">
        <f t="shared" si="59"/>
        <v/>
      </c>
      <c r="MJ9" s="43" t="str">
        <f t="shared" si="60"/>
        <v/>
      </c>
      <c r="MK9" s="43">
        <f t="shared" si="61"/>
        <v>0</v>
      </c>
      <c r="ML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 s="43">
        <f t="shared" si="62"/>
        <v>9.5</v>
      </c>
      <c r="MN9" s="43">
        <f t="shared" si="63"/>
        <v>8</v>
      </c>
      <c r="MO9" s="43">
        <f t="shared" si="64"/>
        <v>2022</v>
      </c>
      <c r="MP9" s="43" t="str">
        <f t="shared" si="65"/>
        <v>III TRIMESTRE AÑO</v>
      </c>
      <c r="MQ9" s="43">
        <f t="shared" si="66"/>
        <v>18.426960140166447</v>
      </c>
      <c r="MR9" s="43">
        <f t="shared" si="67"/>
        <v>0</v>
      </c>
      <c r="MS9" s="43" t="str">
        <f t="shared" si="68"/>
        <v>DE 14 A 19AÑOS</v>
      </c>
      <c r="MT9" s="43">
        <f t="shared" si="69"/>
        <v>0</v>
      </c>
      <c r="MU9" s="43">
        <f t="shared" si="70"/>
        <v>1</v>
      </c>
      <c r="MV9" s="43">
        <f t="shared" si="71"/>
        <v>0</v>
      </c>
      <c r="MW9" s="43">
        <f t="shared" si="72"/>
        <v>0</v>
      </c>
      <c r="MX9" s="43" t="str">
        <f t="shared" si="73"/>
        <v/>
      </c>
      <c r="MY9" s="43" t="str">
        <f t="shared" ca="1" si="74"/>
        <v/>
      </c>
      <c r="MZ9" s="43" t="str">
        <f t="shared" si="75"/>
        <v/>
      </c>
      <c r="NA9" s="43">
        <f t="shared" si="76"/>
        <v>0</v>
      </c>
      <c r="NB9" s="43" t="str">
        <f t="shared" si="77"/>
        <v/>
      </c>
      <c r="NC9" s="43" t="str">
        <f t="shared" si="78"/>
        <v/>
      </c>
      <c r="ND9" s="43">
        <f t="shared" ca="1" si="79"/>
        <v>1.5</v>
      </c>
      <c r="NE9" s="43">
        <f>IF(OR(O9&gt;0,R9&gt;0),SUM(COUNTIF(Tabla1[[#This Row],[AÑOS AL INICIO5 CPN]],"&gt;=40"),COUNTIF(AS9,"0"),COUNTIF(AR9,"SI"),COUNTIF(CC9,"SI"),COUNTIF(BQ9,"&gt;119"),COUNTIF(CI9,"&gt;=35")),"")</f>
        <v>1</v>
      </c>
      <c r="NF9" s="43" t="str">
        <f t="shared" si="80"/>
        <v/>
      </c>
      <c r="NG9" s="43">
        <f t="shared" si="81"/>
        <v>0.5</v>
      </c>
      <c r="NH9" s="43">
        <f t="shared" si="82"/>
        <v>73.5</v>
      </c>
      <c r="NI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CPN",P9="NO"),"Z",IF(AND(Tabla1[[#This Row],[CITA PROXIMO CONTROL]]="CITA MANUAL",Tabla1[[#This Row],[GESTANTES ACTUALES]]="ACTIVA INGRESO A CPN"),"W",IF(AND(Tabla1[[#This Row],[GESTANTES ACTUALES]]="SALIO PROGRAMA",IN9=""),"S",IF(AND(Tabla1[[#This Row],[CITA PROXIMO CONTROL]]&gt;0,IN9=""),(Tabla1[[#This Row],[CITA PROXIMO CONTROL]]-TODAY()),"SD"))))))))</f>
        <v>SD</v>
      </c>
      <c r="NJ9" s="43">
        <f>MONTH(Tabla1[[#This Row],[FECHA DE SALIDA  DEL PROGRAMA]])</f>
        <v>3</v>
      </c>
      <c r="NK9" s="43">
        <f>YEAR(Tabla1[[#This Row],[FECHA DE SALIDA  DEL PROGRAMA]])</f>
        <v>2023</v>
      </c>
      <c r="NL9" s="43" t="str">
        <f t="shared" si="83"/>
        <v>X</v>
      </c>
      <c r="NM9" s="43" t="str">
        <f t="shared" si="84"/>
        <v>NO</v>
      </c>
      <c r="NN9" s="43" t="str">
        <f ca="1">IF(AND(O9&gt;0,R9=""),"NO CPN",IF(AND(O9="",R9=""),"",IF(AND(R9&gt;0,Tabla1[[#This Row],[SEMANAS DE GESTACION ACTUALIZADAS]]&lt;=12),"NO APLICA",IF(AND(FH9&lt;&gt;"",FN9&lt;&gt;""),"SI","NO"))))</f>
        <v>NO</v>
      </c>
      <c r="NO9" s="43" t="str">
        <f ca="1">IF(AND(O9&gt;0,R9=""),"NO CPN",IF(AND(O9="",R9=""),"",IF(AND(R9&gt;0,Tabla1[[#This Row],[SEMANAS DE GESTACION ACTUALIZADAS]]&lt;=27),"NO APLICA",IF(AND(ES9&lt;&gt;"",FQ9&lt;&gt;"",GF9&lt;&gt;""),"SI","NO"))))</f>
        <v>NO</v>
      </c>
      <c r="NP9" s="204" t="str">
        <f t="shared" si="85"/>
        <v>I TRIM</v>
      </c>
      <c r="NQ9" s="21">
        <f t="shared" si="86"/>
        <v>3</v>
      </c>
      <c r="NR9" s="21">
        <f t="shared" si="87"/>
        <v>3</v>
      </c>
      <c r="NS9" s="205">
        <f t="shared" ca="1" si="88"/>
        <v>1</v>
      </c>
      <c r="NT9" s="21">
        <f t="shared" ca="1" si="89"/>
        <v>2</v>
      </c>
      <c r="NU9" s="21" t="str">
        <f t="shared" ca="1" si="90"/>
        <v>INCOMPLETO</v>
      </c>
      <c r="NV9" s="21" t="str">
        <f t="shared" ca="1" si="91"/>
        <v>INCOMPLETO</v>
      </c>
      <c r="NW9" s="206" t="str">
        <f>IF(AND(O9="",R9=""),"",IF(OR(AND(Tabla1[[#This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 s="207" t="str">
        <f t="shared" ca="1" si="92"/>
        <v>SIN VACUNAR</v>
      </c>
      <c r="NY9" s="43">
        <f>ROW(Tabla1[[#This Row],['# DE TAMIZAJES SIFILIS TOMADOS ]])</f>
        <v>9</v>
      </c>
      <c r="NZ9" s="43" t="str">
        <f t="shared" si="93"/>
        <v>Menor</v>
      </c>
      <c r="OA9" s="43" t="str">
        <f t="shared" si="94"/>
        <v>NORMAL</v>
      </c>
      <c r="OB9" s="43" t="str">
        <f t="shared" si="95"/>
        <v/>
      </c>
      <c r="OC9" s="43" t="str">
        <f t="shared" si="96"/>
        <v/>
      </c>
      <c r="OD9" s="43" t="str">
        <f t="shared" si="97"/>
        <v/>
      </c>
      <c r="OE9" s="43" t="str">
        <f t="shared" si="98"/>
        <v/>
      </c>
      <c r="OF9" s="43" t="str">
        <f t="shared" si="99"/>
        <v/>
      </c>
      <c r="OG9" s="43" t="str">
        <f t="shared" si="100"/>
        <v/>
      </c>
      <c r="OH9" s="43" t="str">
        <f t="shared" si="101"/>
        <v/>
      </c>
      <c r="OI9" s="43" t="str">
        <f t="shared" si="102"/>
        <v/>
      </c>
      <c r="OJ9" s="43" t="str">
        <f t="shared" si="103"/>
        <v/>
      </c>
      <c r="OK9" s="43" t="str">
        <f t="shared" si="104"/>
        <v/>
      </c>
      <c r="OL9" s="43" t="str">
        <f t="shared" si="105"/>
        <v/>
      </c>
      <c r="OM9" s="43" t="str">
        <f t="shared" si="106"/>
        <v/>
      </c>
      <c r="ON9" s="43" t="str">
        <f t="shared" si="107"/>
        <v/>
      </c>
      <c r="OO9" s="43" t="str">
        <f t="shared" si="108"/>
        <v/>
      </c>
      <c r="OP9" s="43" t="str">
        <f t="shared" si="109"/>
        <v/>
      </c>
      <c r="OQ9" s="43" t="str">
        <f t="shared" si="110"/>
        <v/>
      </c>
      <c r="OR9" s="43" t="str">
        <f t="shared" si="111"/>
        <v/>
      </c>
      <c r="OS9" s="43" t="str">
        <f t="shared" si="112"/>
        <v/>
      </c>
      <c r="OT9" s="43" t="str">
        <f t="shared" si="113"/>
        <v/>
      </c>
      <c r="OU9" s="43" t="str">
        <f t="shared" si="114"/>
        <v/>
      </c>
      <c r="OV9" s="110" t="str">
        <f t="shared" si="115"/>
        <v/>
      </c>
      <c r="OW9" s="43" t="str">
        <f t="shared" si="116"/>
        <v/>
      </c>
      <c r="OX9" s="43" t="str">
        <f t="shared" si="117"/>
        <v/>
      </c>
      <c r="OY9" s="43" t="str">
        <f t="shared" si="118"/>
        <v/>
      </c>
      <c r="OZ9" s="43" t="str">
        <f t="shared" si="119"/>
        <v/>
      </c>
      <c r="PA9" s="43" t="str">
        <f t="shared" si="120"/>
        <v/>
      </c>
      <c r="PB9" s="43" t="str">
        <f t="shared" si="121"/>
        <v/>
      </c>
      <c r="PC9" s="43" t="str">
        <f t="shared" si="122"/>
        <v/>
      </c>
      <c r="PD9" s="43" t="str">
        <f t="shared" si="123"/>
        <v/>
      </c>
      <c r="PE9" s="43" t="str">
        <f t="shared" si="124"/>
        <v/>
      </c>
      <c r="PF9" s="43" t="str">
        <f t="shared" si="125"/>
        <v/>
      </c>
      <c r="PG9" s="43" t="str">
        <f t="shared" si="126"/>
        <v/>
      </c>
      <c r="PH9" s="43" t="str">
        <f t="shared" si="127"/>
        <v/>
      </c>
      <c r="PI9" s="43">
        <f t="shared" si="128"/>
        <v>35</v>
      </c>
      <c r="PJ9" s="43" t="str">
        <f t="shared" si="129"/>
        <v/>
      </c>
      <c r="PK9" s="43" t="str">
        <f t="shared" si="130"/>
        <v/>
      </c>
      <c r="PL9" s="43" t="str">
        <f t="shared" si="131"/>
        <v/>
      </c>
      <c r="PM9" s="43" t="str">
        <f t="shared" si="132"/>
        <v/>
      </c>
      <c r="PN9" s="43" t="str">
        <f t="shared" si="133"/>
        <v/>
      </c>
      <c r="PO9" s="43" t="str">
        <f t="shared" si="134"/>
        <v/>
      </c>
      <c r="PP9" s="43" t="str">
        <f t="shared" si="135"/>
        <v/>
      </c>
      <c r="PQ9" s="43" t="str">
        <f t="shared" si="136"/>
        <v/>
      </c>
      <c r="PR9" s="43" t="str">
        <f t="shared" si="137"/>
        <v/>
      </c>
      <c r="PS9" s="43" t="str">
        <f t="shared" si="138"/>
        <v/>
      </c>
      <c r="PT9" s="43" t="str">
        <f t="shared" si="139"/>
        <v/>
      </c>
      <c r="PU9" s="43" t="str">
        <f t="shared" si="140"/>
        <v/>
      </c>
      <c r="PV9" s="43" t="str">
        <f t="shared" si="141"/>
        <v/>
      </c>
      <c r="PW9" s="43" t="str">
        <f t="shared" si="142"/>
        <v/>
      </c>
      <c r="PX9" s="43" t="str">
        <f t="shared" si="143"/>
        <v/>
      </c>
      <c r="PY9" s="43" t="str">
        <f t="shared" si="144"/>
        <v/>
      </c>
      <c r="PZ9" s="43" t="str">
        <f t="shared" si="145"/>
        <v/>
      </c>
      <c r="QA9" s="43" t="str">
        <f t="shared" si="146"/>
        <v/>
      </c>
      <c r="QB9" s="43" t="str">
        <f t="shared" si="147"/>
        <v/>
      </c>
      <c r="QC9" s="43" t="str">
        <f t="shared" si="148"/>
        <v/>
      </c>
      <c r="QD9" s="43" t="str">
        <f t="shared" si="149"/>
        <v/>
      </c>
      <c r="QE9" s="43" t="str">
        <f t="shared" si="150"/>
        <v/>
      </c>
      <c r="QF9" s="43" t="str">
        <f t="shared" si="151"/>
        <v/>
      </c>
      <c r="QG9" s="43" t="str">
        <f t="shared" si="152"/>
        <v/>
      </c>
      <c r="QH9" s="43" t="str">
        <f t="shared" si="153"/>
        <v/>
      </c>
      <c r="QI9" s="43" t="str">
        <f t="shared" si="154"/>
        <v/>
      </c>
      <c r="QJ9" s="43" t="str">
        <f t="shared" si="155"/>
        <v/>
      </c>
      <c r="QK9" s="43" t="str">
        <f t="shared" si="156"/>
        <v/>
      </c>
      <c r="QL9" s="43" t="str">
        <f t="shared" si="157"/>
        <v/>
      </c>
      <c r="QM9" s="43" t="str">
        <f t="shared" si="158"/>
        <v/>
      </c>
      <c r="QN9" s="43" t="str">
        <f t="shared" si="159"/>
        <v/>
      </c>
      <c r="QO9" s="43" t="str">
        <f t="shared" si="160"/>
        <v/>
      </c>
      <c r="QP9" s="43" t="str">
        <f t="shared" si="161"/>
        <v/>
      </c>
      <c r="QQ9" s="43" t="str">
        <f t="shared" si="162"/>
        <v/>
      </c>
      <c r="QR9" s="43">
        <f t="shared" si="192"/>
        <v>35</v>
      </c>
      <c r="QS9" s="43"/>
      <c r="QT9" s="21" t="str">
        <f t="shared" si="163"/>
        <v/>
      </c>
      <c r="QU9" s="21" t="str">
        <f t="shared" si="164"/>
        <v/>
      </c>
      <c r="QV9" s="21" t="str">
        <f t="shared" si="165"/>
        <v/>
      </c>
      <c r="QW9" s="21" t="str">
        <f t="shared" si="166"/>
        <v/>
      </c>
      <c r="QX9" s="21" t="str">
        <f t="shared" si="167"/>
        <v/>
      </c>
      <c r="QY9" s="21" t="str">
        <f t="shared" si="168"/>
        <v/>
      </c>
      <c r="QZ9" s="21" t="str">
        <f t="shared" si="169"/>
        <v/>
      </c>
      <c r="RA9" s="21" t="str">
        <f t="shared" si="170"/>
        <v/>
      </c>
      <c r="RB9" s="21" t="str">
        <f t="shared" si="171"/>
        <v/>
      </c>
      <c r="RC9" s="21" t="str">
        <f t="shared" si="172"/>
        <v/>
      </c>
      <c r="RD9" s="21" t="str">
        <f t="shared" si="173"/>
        <v/>
      </c>
      <c r="RE9" s="21" t="str">
        <f t="shared" si="174"/>
        <v/>
      </c>
      <c r="RF9" s="21" t="str">
        <f t="shared" si="175"/>
        <v/>
      </c>
      <c r="RG9" s="21" t="str">
        <f t="shared" si="176"/>
        <v/>
      </c>
      <c r="RH9" s="21" t="str">
        <f t="shared" si="177"/>
        <v/>
      </c>
      <c r="RI9" s="21" t="str">
        <f t="shared" si="178"/>
        <v/>
      </c>
      <c r="RJ9" s="21" t="str">
        <f t="shared" si="179"/>
        <v/>
      </c>
      <c r="RK9" s="21" t="str">
        <f t="shared" si="180"/>
        <v/>
      </c>
      <c r="RL9" s="21" t="str">
        <f t="shared" si="181"/>
        <v/>
      </c>
      <c r="RM9" s="21" t="str">
        <f t="shared" si="182"/>
        <v/>
      </c>
      <c r="RN9" s="21" t="str">
        <f t="shared" si="183"/>
        <v/>
      </c>
      <c r="RO9" s="21" t="str">
        <f t="shared" si="184"/>
        <v/>
      </c>
      <c r="RP9" s="21" t="str">
        <f t="shared" si="185"/>
        <v/>
      </c>
      <c r="RQ9" s="21" t="str">
        <f t="shared" si="186"/>
        <v/>
      </c>
      <c r="RR9" s="21" t="str">
        <f t="shared" si="187"/>
        <v/>
      </c>
      <c r="RS9" s="21" t="str">
        <f t="shared" si="188"/>
        <v/>
      </c>
      <c r="RT9" s="21" t="str">
        <f t="shared" si="189"/>
        <v/>
      </c>
      <c r="RU9" s="21" t="str">
        <f t="shared" si="190"/>
        <v/>
      </c>
      <c r="RV9" s="21">
        <f t="shared" si="191"/>
        <v>9.5</v>
      </c>
      <c r="RW9" s="284">
        <f>IF(OR(Tabla1[[#This Row],[FUM FORMULA CONFIABLE]]="",Tabla1[[#This Row],[FUM FORMULA CONFIABLE]]="SD"),"",IF(Tabla1[[#This Row],[FUM FORMULA CONFIABLE]]="CORREGIDA",Tabla1[[#This Row],[FUM X ECO 1]],Tabla1[[#This Row],[FUM x AMENORREA]]))</f>
        <v>44725.5</v>
      </c>
      <c r="RX9" s="21">
        <f>IF(AND(Tabla1[[#This Row],[FUM X ECO 1]]="",Tabla1[[#This Row],[FUM x AMENORREA]]=""),"",IF(AND(Tabla1[[#This Row],[FUM X ECO 1]]="",Tabla1[[#This Row],[FUM x AMENORREA]]&lt;&gt;""),"X",SUM(Tabla1[[#This Row],[FUM X ECO 1]]-Tabla1[[#This Row],[FUM x AMENORREA]])))</f>
        <v>-35.5</v>
      </c>
      <c r="RY9" s="21">
        <f t="shared" si="193"/>
        <v>1</v>
      </c>
    </row>
    <row r="10" spans="1:493" ht="45" customHeight="1" x14ac:dyDescent="0.25">
      <c r="A10" s="109" t="s">
        <v>907</v>
      </c>
      <c r="B10" s="43">
        <v>1113541820</v>
      </c>
      <c r="C10" s="43" t="s">
        <v>845</v>
      </c>
      <c r="D10" s="124" t="s">
        <v>846</v>
      </c>
      <c r="E10" s="43" t="s">
        <v>908</v>
      </c>
      <c r="F10" s="43" t="s">
        <v>909</v>
      </c>
      <c r="G10" s="43" t="s">
        <v>910</v>
      </c>
      <c r="H10" s="43" t="s">
        <v>850</v>
      </c>
      <c r="I10" s="109" t="s">
        <v>851</v>
      </c>
      <c r="J10" s="110">
        <v>1002846321</v>
      </c>
      <c r="K10" s="43" t="s">
        <v>852</v>
      </c>
      <c r="L10" s="175" t="s">
        <v>886</v>
      </c>
      <c r="M10" s="22">
        <v>35911</v>
      </c>
      <c r="N10" s="213">
        <f t="shared" ca="1" si="0"/>
        <v>25.539726027397261</v>
      </c>
      <c r="O10" s="22">
        <v>44799</v>
      </c>
      <c r="P10" s="214" t="str">
        <f t="shared" si="1"/>
        <v>SI</v>
      </c>
      <c r="Q10" s="26" t="s">
        <v>855</v>
      </c>
      <c r="R10" s="22">
        <v>44799</v>
      </c>
      <c r="S10" s="21" t="s">
        <v>856</v>
      </c>
      <c r="T10" s="24" t="s">
        <v>690</v>
      </c>
      <c r="U10" s="21" t="s">
        <v>857</v>
      </c>
      <c r="V10" s="21" t="s">
        <v>858</v>
      </c>
      <c r="W10" s="21" t="s">
        <v>911</v>
      </c>
      <c r="X10" s="21" t="s">
        <v>912</v>
      </c>
      <c r="Y10" s="21" t="s">
        <v>859</v>
      </c>
      <c r="Z10" s="21">
        <v>3126069889</v>
      </c>
      <c r="AA10" s="21" t="s">
        <v>860</v>
      </c>
      <c r="AB10" s="27" t="s">
        <v>861</v>
      </c>
      <c r="AC10" s="26" t="s">
        <v>897</v>
      </c>
      <c r="AD10" s="38" t="s">
        <v>846</v>
      </c>
      <c r="AE10" s="26" t="s">
        <v>864</v>
      </c>
      <c r="AF10" s="26" t="s">
        <v>854</v>
      </c>
      <c r="AG10" s="23" t="s">
        <v>864</v>
      </c>
      <c r="AH10" s="23" t="s">
        <v>864</v>
      </c>
      <c r="AI10" s="24" t="s">
        <v>863</v>
      </c>
      <c r="AJ10" s="23" t="s">
        <v>864</v>
      </c>
      <c r="AK10" s="220" t="str">
        <f>IF(AND(AD10="",AE10="",AF10="",AG10="",AH10="",AI10="",AJ10=""),"",IF(OR(Tabla1[[#This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EVALUACIÓN",IF(AND(O10="",R10=""),"",IF(AND(OR(O10&gt;0,R10&gt;0),NG10&gt;=0,NG10&lt;2),"SIN RIESGO",IF(AND(OR(O10&gt;0,R10&gt;0),NG10&gt;=2),"CON RIESGO","ASD")))))</f>
        <v>SIN RIESGO</v>
      </c>
      <c r="AL10" s="23" t="s">
        <v>864</v>
      </c>
      <c r="AM10" s="26" t="s">
        <v>864</v>
      </c>
      <c r="AN10" s="26" t="s">
        <v>864</v>
      </c>
      <c r="AO10" s="26" t="s">
        <v>864</v>
      </c>
      <c r="AP10" s="26" t="s">
        <v>864</v>
      </c>
      <c r="AQ10" s="26" t="s">
        <v>864</v>
      </c>
      <c r="AR10" s="26" t="s">
        <v>864</v>
      </c>
      <c r="AS10" s="21">
        <v>1</v>
      </c>
      <c r="AT10" s="21">
        <v>1</v>
      </c>
      <c r="AU10" s="21">
        <v>0</v>
      </c>
      <c r="AV10" s="26" t="s">
        <v>864</v>
      </c>
      <c r="AW10" s="21">
        <v>0</v>
      </c>
      <c r="AX10" s="26" t="s">
        <v>864</v>
      </c>
      <c r="AY10" s="26" t="s">
        <v>864</v>
      </c>
      <c r="AZ10" s="26" t="s">
        <v>864</v>
      </c>
      <c r="BA10" s="26" t="s">
        <v>864</v>
      </c>
      <c r="BB10" s="26" t="s">
        <v>864</v>
      </c>
      <c r="BC10" s="26" t="s">
        <v>864</v>
      </c>
      <c r="BD10" s="26" t="s">
        <v>864</v>
      </c>
      <c r="BE10" s="26" t="s">
        <v>864</v>
      </c>
      <c r="BF10" s="26" t="s">
        <v>864</v>
      </c>
      <c r="BG10" s="26" t="s">
        <v>864</v>
      </c>
      <c r="BH10" s="26"/>
      <c r="BI10" s="26" t="s">
        <v>864</v>
      </c>
      <c r="BJ10" s="26"/>
      <c r="BK10" s="26"/>
      <c r="BL10" s="26"/>
      <c r="BM10" s="26" t="s">
        <v>864</v>
      </c>
      <c r="BN10" s="22">
        <v>44370</v>
      </c>
      <c r="BO10" s="22">
        <v>44731</v>
      </c>
      <c r="BP10" s="21" t="s">
        <v>854</v>
      </c>
      <c r="BQ10" s="222">
        <f t="shared" si="2"/>
        <v>12.033333333333333</v>
      </c>
      <c r="BR10" s="223">
        <f t="shared" si="3"/>
        <v>44731.8</v>
      </c>
      <c r="BS10" s="224">
        <f t="shared" si="4"/>
        <v>9.7142857142857135</v>
      </c>
      <c r="BT10" s="216" t="str">
        <f t="shared" si="5"/>
        <v>I TRIM</v>
      </c>
      <c r="BU10" s="214" t="str">
        <f t="shared" ca="1" si="6"/>
        <v/>
      </c>
      <c r="BV10" s="25"/>
      <c r="BW10" s="22">
        <v>44799</v>
      </c>
      <c r="BX10" s="28">
        <v>9.6</v>
      </c>
      <c r="BY10" s="28"/>
      <c r="BZ10" s="22"/>
      <c r="CA10" s="21"/>
      <c r="CB10" s="26" t="s">
        <v>864</v>
      </c>
      <c r="CC10" s="26" t="s">
        <v>864</v>
      </c>
      <c r="CD10" s="26" t="s">
        <v>878</v>
      </c>
      <c r="CE10" s="26" t="s">
        <v>864</v>
      </c>
      <c r="CF10" s="22">
        <v>44799</v>
      </c>
      <c r="CG10" s="21">
        <v>1.5</v>
      </c>
      <c r="CH10" s="21">
        <v>53.5</v>
      </c>
      <c r="CI10" s="214">
        <f t="shared" si="7"/>
        <v>23.777777777777779</v>
      </c>
      <c r="CJ10" s="225" t="str">
        <f>IF(AND(CI10&lt;10,CH10="SD"),"SIN DATO PESO PREGESTACION O I TRIM",IF(AND(OR(R10&gt;0,O10&gt;0),CI10="X"),"INGRESAR DATO DE PESO",IF(CI10="SD","INGRESAR DATO DE TALLA Y PESO",IF(AND(OR(Tabla1[[#This Row],[MOMENTO EN QUE SE REALIZA EL PESO AL INGRESO A CPN]]="PREGESTACIÓN",NZ10="Menor"),CI10&lt;18.5),"BAJO PESO",IF(AND(OR(Tabla1[[#This Row],[MOMENTO EN QUE SE REALIZA EL PESO AL INGRESO A CPN]]="PREGESTACIÓN",NZ10="Menor"),CI10&lt;25),"NORMAL",IF(AND(OR(Tabla1[[#This Row],[MOMENTO EN QUE SE REALIZA EL PESO AL INGRESO A CPN]]="PREGESTACIÓN",NZ10="Menor"),CI10&lt;30),"SOBREPESO",IF(AND(OR(Tabla1[[#This Row],[MOMENTO EN QUE SE REALIZA EL PESO AL INGRESO A CPN]]="PREGESTACIÓN",NZ10="Menor"),CI10&gt;=30,CI10&lt;50),"OBESIDAD",IF(AND(BS10&gt;0,Tabla1[[#This Row],[MOMENTO EN QUE SE REALIZA EL PESO AL INGRESO A CPN]]="GESTACIÓN"),HLOOKUP(NZ10,$OA$2:PH10,NY10),""))))))))</f>
        <v>NORMAL</v>
      </c>
      <c r="CK10" s="212">
        <f t="shared" si="8"/>
        <v>44978</v>
      </c>
      <c r="CL10" s="21"/>
      <c r="CM10" s="214">
        <f t="shared" si="9"/>
        <v>0</v>
      </c>
      <c r="CN10" s="216">
        <f t="shared" si="10"/>
        <v>35</v>
      </c>
      <c r="CO10" s="216" t="e">
        <f>IF(PI10="","",IF(PI10&gt;0,HLOOKUP(PI10,$PJ$2:QQ10,NY10),""))</f>
        <v>#REF!</v>
      </c>
      <c r="CP10" s="21"/>
      <c r="CQ10" s="216" t="e">
        <f>IF(QR10="Menor","NO APLICA-MENOR 13 SEM",IF(AND(CC10="SI",CN10&gt;23),"NO APLICA- GEMELAR",IF(QR10="","",IF(QR10&gt;0,HLOOKUP(QR10,$QS$2:RU10,NY10),""))))</f>
        <v>#REF!</v>
      </c>
      <c r="CR10" s="21">
        <v>120</v>
      </c>
      <c r="CS10" s="21">
        <v>60</v>
      </c>
      <c r="CT10" s="217" t="str">
        <f>IF(R10="","",IF(AND(BS10&gt;1,BS10&lt;12,Tabla1[[#This Row],[T.A. SISTOLICA - ANTES DE SEMANA 12]]="",Tabla1[[#This Row],[T.A. DIASTOLICA - ANTES DE SEMANA 12]]=""),"REGISTRE DATO TA ANTES SEMANA 12",IF(AND(BS10&gt;11,BS10&lt;43,Tabla1[[#This Row],[T.A. SISTOLICA - ANTES DE SEMANA 12]]="",Tabla1[[#This Row],[T.A. DIASTOLICA - ANTES DE SEMANA 12]]=""),"NO APLICA REGISTRO TA-INGRESO TARDIO",IF(AND(OR(O10&gt;0,R10&gt;0),OR(CR10&gt;=140,CS10&gt;=90)),"DEFINIR ESTADIO HTA",IF(AND(OR(O10&gt;0,R10&gt;0),AND(CR10&gt;120,CR10&lt;=139)),"PRE HTA SEGUIMIENTO",IF(AND(OR(O10&gt;0,R10&gt;0),AND(CS10&gt;80,CS10&lt;=89)),"PRE HTA SEGUIMIENTO",IF(AND(OR(O10&gt;0,R10&gt;0),AND(CR10&gt;=80,CR10&lt;=120)),"APARENTEMENTE NORMAL",IF(AND(OR(O10&gt;0,R10&gt;0),AND(CS10&gt;=50,CS10&lt;=80)),"APARENTEMENTE NORMAL",IF(AND(OR(O10&gt;0,R10&gt;0),AND(CR10&gt;1,CR10&lt;=70),AND(CS10&gt;1,CS10&lt;=40)),"HIPOTENSIÓN","")))))))))</f>
        <v>APARENTEMENTE NORMAL</v>
      </c>
      <c r="CU10" s="21">
        <v>100</v>
      </c>
      <c r="CV10" s="21">
        <v>60</v>
      </c>
      <c r="CW10" s="217" t="str">
        <f ca="1">IF(R10="","",IF(AND(CN10&gt;19,CN10&lt;27,Tabla1[[#This Row],[T.A. SISTOLICA (Entre semana 20 y 26)]]="",Tabla1[[#This Row],[T.A. DIATOLICA (Entre semana 20 y 26)]]=""),"ACUDE A CONTROL SEM 20 A 26 REGISTRE TA AHORA",IF(AND(BS10&gt;1,BS10&lt;27,BU10&gt;19,Tabla1[[#This Row],[T.A. SISTOLICA (Entre semana 20 y 26)]]="",Tabla1[[#This Row],[T.A. DIATOLICA (Entre semana 20 y 26)]]=""),"COMPLETE REGISTRO TA CONTROL SEM 20 A26 ",IF(AND(BS10&gt;26,BS10&lt;43,Tabla1[[#This Row],[T.A. SISTOLICA (Entre semana 20 y 26)]]="",Tabla1[[#This Row],[T.A. DIATOLICA (Entre semana 20 y 26)]]=""),"NO APLICA REGISTRO TA-INGRESO TARDIO",IF(AND(OR(O10&gt;0,R10&gt;0),OR(CU10&gt;=140,CV10&gt;=90)),"ALTO RIESGO PREECLAMPSIA,DEFINIR ESTADIO HTA",IF(AND(OR(O10&gt;0,R10&gt;0),AND(CU10&gt;120,CU10&lt;=139)),"PRE HTA SEGUIMIENTO,RIESGO HIPERTENSION INDUCIDA POR EL EMBARAZO",IF(AND(OR(O10&gt;0,R10&gt;0),AND(CV10&gt;80,CV10&lt;=89)),"PRE HTA SEGUIMIENTO, RIESGO HIPERTENSION INDUCIDA POR EL EMBARAZO",IF(AND(OR(O10&lt;&gt;"",R10&lt;&gt;""),CS10&lt;&gt;"",CV10&lt;&gt;"",CS10&lt;=CV10),"VIGILAR CIFRAS PRESION ARTERIAL",IF(AND(OR(O10&gt;0,R10&gt;0),AND(CU10&gt;120,CU10&lt;=139)),"PRE HTA SEGUIMIENTO",IF(AND(OR(O10&gt;0,R10&gt;0),AND(CU10&gt;1,CU10&lt;=70),AND(CV10&gt;1,CV10&lt;=40)),"HIPOTENSIÓN",IF(AND(OR(O10&lt;&gt;"",R10&lt;&gt;""),CS10&lt;&gt;"",CV10&lt;&gt;"",CS10&gt;CV10),"APARENTEMENTE NORMAL",IF(AND(OR(O10&gt;0,R10&gt;0),AND(CU10&gt;=80,CU10&lt;=120)),"APARENTEMENTE NORMAL",IF(AND(OR(O10&gt;0,R10&gt;0),AND(CV10&gt;=50,CV10&lt;=80)),"APARENTEMENTE NORMAL","")))))))))))))</f>
        <v>VIGILAR CIFRAS PRESION ARTERIAL</v>
      </c>
      <c r="CX10" s="21"/>
      <c r="CY10" s="21"/>
      <c r="CZ10" s="216" t="str">
        <f t="shared" si="11"/>
        <v/>
      </c>
      <c r="DA10" s="21"/>
      <c r="DB10" s="21"/>
      <c r="DC10" s="217" t="str">
        <f t="shared" si="12"/>
        <v>REGISTRE DATO PRESIÓN ARTERIAL MENSUAL</v>
      </c>
      <c r="DD10" s="22">
        <v>44799</v>
      </c>
      <c r="DE10" s="22">
        <v>44799</v>
      </c>
      <c r="DF10" s="22">
        <v>44884</v>
      </c>
      <c r="DG10" s="22">
        <v>44918</v>
      </c>
      <c r="DH10" s="22">
        <v>44978</v>
      </c>
      <c r="DI10" s="22"/>
      <c r="DJ10" s="22"/>
      <c r="DK10" s="22"/>
      <c r="DL10" s="22"/>
      <c r="DM10" s="22"/>
      <c r="DN10" s="22"/>
      <c r="DO10" s="22"/>
      <c r="DP10" s="22"/>
      <c r="DQ10" s="22"/>
      <c r="DR10" s="28">
        <v>2</v>
      </c>
      <c r="DS10" s="22"/>
      <c r="DT10" s="22"/>
      <c r="DU10" s="216" t="str">
        <f t="shared" ca="1" si="13"/>
        <v>SALE SIN PLAN DE PARTO</v>
      </c>
      <c r="DV10" s="226" t="str">
        <f t="shared" si="14"/>
        <v>SALIO PROGRAMA</v>
      </c>
      <c r="DW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 s="216" t="str">
        <f t="shared" ca="1" si="15"/>
        <v/>
      </c>
      <c r="DY10" s="212">
        <f>IF(R10="","",IF(R10&gt;0,MAX(Tabla1[[#This Row],[FECHA C2]:[FECHA C13]],Tabla1[[#This Row],[FECHA CONSULTA PRIMERA VEZ PROGRAMA CPN ]])))</f>
        <v>44978</v>
      </c>
      <c r="DZ10" s="216">
        <f t="shared" si="16"/>
        <v>35</v>
      </c>
      <c r="EA10" s="222">
        <f>IF(R10&gt;0,SUM(COUNTA(DF10:DQ10)+COUNTA(Tabla1[[#This Row],[FECHA CONSULTA PRIMERA VEZ PROGRAMA CPN ]])),"")</f>
        <v>4</v>
      </c>
      <c r="EB10" s="222" t="str">
        <f t="shared" si="17"/>
        <v>SI</v>
      </c>
      <c r="EC10" s="214">
        <f t="shared" si="18"/>
        <v>9</v>
      </c>
      <c r="ED10" s="227">
        <f t="shared" si="19"/>
        <v>0.44444444444444442</v>
      </c>
      <c r="EE10" s="22">
        <v>44799</v>
      </c>
      <c r="EF10" s="22">
        <v>44799</v>
      </c>
      <c r="EG10" s="22">
        <v>44799</v>
      </c>
      <c r="EH10" s="22"/>
      <c r="EI10" s="22">
        <v>44799</v>
      </c>
      <c r="EJ10" s="22">
        <v>45001</v>
      </c>
      <c r="EK10" s="22">
        <v>45001</v>
      </c>
      <c r="EL10" s="21"/>
      <c r="EM10" s="21">
        <v>12.5</v>
      </c>
      <c r="EN10" s="22">
        <v>44799</v>
      </c>
      <c r="EO10" s="222">
        <f t="shared" si="20"/>
        <v>9.7142857142857135</v>
      </c>
      <c r="EP10" s="214" t="str">
        <f t="shared" si="21"/>
        <v>NORMAL- SUMINISTRAR SULFATO FERROSO</v>
      </c>
      <c r="EQ10" s="216" t="str">
        <f t="shared" si="22"/>
        <v>I TRIM</v>
      </c>
      <c r="ER10" s="24"/>
      <c r="ES10" s="22"/>
      <c r="ET10" s="29" t="str">
        <f t="shared" ca="1" si="23"/>
        <v>SALE SIN TAMIZAJE HEMOGLOBINA SEM 28</v>
      </c>
      <c r="EU10" s="25" t="str">
        <f t="shared" si="24"/>
        <v/>
      </c>
      <c r="EV10" s="24" t="s">
        <v>866</v>
      </c>
      <c r="EW10" s="24">
        <v>44799</v>
      </c>
      <c r="EX10" s="22"/>
      <c r="EY10" s="29">
        <f t="shared" si="25"/>
        <v>9.7142857142857135</v>
      </c>
      <c r="EZ10" s="25" t="str">
        <f t="shared" ca="1" si="26"/>
        <v/>
      </c>
      <c r="FA10" s="21">
        <v>74</v>
      </c>
      <c r="FB10" s="22">
        <v>44799</v>
      </c>
      <c r="FC10" s="29">
        <f t="shared" si="27"/>
        <v>9.7142857142857135</v>
      </c>
      <c r="FD10" s="29">
        <v>76</v>
      </c>
      <c r="FE10" s="29">
        <v>109</v>
      </c>
      <c r="FF10" s="29">
        <v>105</v>
      </c>
      <c r="FG10" s="21" t="str">
        <f t="shared" si="28"/>
        <v xml:space="preserve">NORMAL, NO DESCARTA DIABETES POR REALIZARLO ANTES DE  SEMANA 24, </v>
      </c>
      <c r="FH10" s="31">
        <v>44896</v>
      </c>
      <c r="FI10" s="29">
        <f t="shared" si="29"/>
        <v>23.571428571428573</v>
      </c>
      <c r="FJ10" s="22" t="s">
        <v>867</v>
      </c>
      <c r="FK10" s="22">
        <v>44799</v>
      </c>
      <c r="FL10" s="29">
        <f t="shared" ca="1" si="30"/>
        <v>9.7142857142857135</v>
      </c>
      <c r="FM10" s="22" t="s">
        <v>867</v>
      </c>
      <c r="FN10" s="32">
        <v>44896</v>
      </c>
      <c r="FO10" s="29">
        <f t="shared" ca="1" si="31"/>
        <v>23.571428571428573</v>
      </c>
      <c r="FP10" s="22" t="s">
        <v>867</v>
      </c>
      <c r="FQ10" s="32"/>
      <c r="FR10" s="29" t="str">
        <f t="shared" ca="1" si="32"/>
        <v>PIERDE TOMA DE TAMIZAJE</v>
      </c>
      <c r="FS10" s="22"/>
      <c r="FT10" s="32"/>
      <c r="FU10" s="29" t="str">
        <f>IF(AND(FJ10="",FM10="",FP10="",FS10=""),"",IF(OR(OR(Tabla1[[#This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 s="28"/>
      <c r="FW10" s="22"/>
      <c r="FX10" s="29" t="str">
        <f t="shared" si="33"/>
        <v>TOMAR EXAMEN</v>
      </c>
      <c r="FY10" s="22">
        <v>44799</v>
      </c>
      <c r="FZ10" s="22">
        <v>44799</v>
      </c>
      <c r="GA10" s="29">
        <f t="shared" ca="1" si="34"/>
        <v>9.7142857142857135</v>
      </c>
      <c r="GB10" s="22" t="s">
        <v>868</v>
      </c>
      <c r="GC10" s="22">
        <v>44896</v>
      </c>
      <c r="GD10" s="29">
        <f t="shared" ca="1" si="35"/>
        <v>23.571428571428573</v>
      </c>
      <c r="GE10" s="22"/>
      <c r="GF10" s="22"/>
      <c r="GG10" s="29" t="str">
        <f t="shared" ca="1" si="36"/>
        <v>PIERDE TOMA DE TAMIZAJE</v>
      </c>
      <c r="GH10" s="22"/>
      <c r="GI10" s="29"/>
      <c r="GJ10" s="22"/>
      <c r="GK10" s="22"/>
      <c r="GL10" s="22" t="s">
        <v>879</v>
      </c>
      <c r="GM10" s="22"/>
      <c r="GN10" s="28" t="s">
        <v>869</v>
      </c>
      <c r="GO10" s="22">
        <v>44799</v>
      </c>
      <c r="GP10" s="29">
        <f t="shared" si="37"/>
        <v>9.7142857142857135</v>
      </c>
      <c r="GQ10" s="28" t="s">
        <v>880</v>
      </c>
      <c r="GR10" s="28" t="s">
        <v>869</v>
      </c>
      <c r="GS10" s="22" t="str">
        <f t="shared" si="38"/>
        <v>SE EXCLUYE INFECCION</v>
      </c>
      <c r="GT10" s="22">
        <v>44799</v>
      </c>
      <c r="GU10" s="29">
        <f t="shared" si="39"/>
        <v>9.7142857142857135</v>
      </c>
      <c r="GV10" s="21" t="str">
        <f t="shared" si="40"/>
        <v>I TRIM</v>
      </c>
      <c r="GW10" s="28" t="s">
        <v>869</v>
      </c>
      <c r="GX10" s="30"/>
      <c r="GY10" s="21" t="s">
        <v>906</v>
      </c>
      <c r="GZ10" s="21"/>
      <c r="HA10" s="21"/>
      <c r="HB10" s="21"/>
      <c r="HC10" s="21"/>
      <c r="HD10" s="21"/>
      <c r="HE10" s="21"/>
      <c r="HF10" s="22"/>
      <c r="HG10" s="22" t="str">
        <f>IF(OR(O10&gt;0,R10&gt;0),CONCATENATE(IF(Tabla1[[#This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 s="22" t="e">
        <f t="shared" si="41"/>
        <v>#REF!</v>
      </c>
      <c r="HI10" s="22" t="e">
        <f t="shared" ca="1" si="42"/>
        <v>#REF!</v>
      </c>
      <c r="HJ10" s="21"/>
      <c r="HK10" s="21" t="str">
        <f t="shared" si="44"/>
        <v>SIN ANTECEDENTES DE RIESGO</v>
      </c>
      <c r="HL10" s="24" t="str">
        <f t="shared" si="45"/>
        <v>REGISTRE DATO PRESIÓN ARTERIAL MENSUAL</v>
      </c>
      <c r="HM10" s="21" t="str">
        <f t="shared" ca="1" si="46"/>
        <v/>
      </c>
      <c r="HN10" s="30" t="str">
        <f t="shared" si="47"/>
        <v>SALIO PROGRAMA</v>
      </c>
      <c r="HO10" s="21"/>
      <c r="HP10" s="21"/>
      <c r="HQ10" s="21"/>
      <c r="HR10" s="21" t="str">
        <f>IF(R10="","",IF(Tabla1[[#This Row],[ALARMA FACTORES DE RIESGO COMPLICACIONES HIPERTENSIVAS3]]="SIN ANTECEDENTES DE RIESGO","No Aplica para suministro de ASA",IF(AND(Tabla1[[#This Row],[FECHA INICIO DE SUMINISTRO DE ASA]]&gt;0,RV10&lt;12),"Inicia ASA ANTES de Sem 12",IF(AND(RV10&gt;11,RV10&lt;17,OR(HK10="RIESGO ALTO DE COMPLICACIONES HIPERTENSIVAS VER MANEJO GUIA SUMINISTRO ASA Y CALCIO",HK10="RIESGO MODERADO (2 O MAS CRITERIOS) VER MANEJO GUIA SUMINISTRO ASA Y CALCIO")),"Inicio oportuno de ASA",IF(AND(RV10&gt;12,OR(HK10="RIESGO ALTO DE COMPLICACIONES HIPERTENSIVAS VER MANEJO GUIA SUMINISTRO ASA Y CALCIO",HK10="RIESGO MODERADO (2 O MAS CRITERIOS) VER MANEJO GUIA SUMINISTRO ASA Y CALCIO")),"Inicio no oportuno mayor a 16 semanas",IF(AND(BU10&lt;12,OR(HK10="RIESGO ALTO DE COMPLICACIONES HIPERTENSIVAS VER MANEJO GUIA SUMINISTRO ASA Y CALCIO",HK10="RIESGO MODERADO (2 O MAS CRITERIOS) VER MANEJO GUIA SUMINISTRO ASA Y CALCIO")),"Pendiente Inicio de ASA a la semana 12",IF(AND(BU10&gt;11,BU10&lt;17,OR(HK10="RIESGO ALTO DE COMPLICACIONES HIPERTENSIVAS VER MANEJO GUIA SUMINISTRO ASA Y CALCIO",HK10="RIESGO MODERADO (2 O MAS CRITERIOS) VER MANEJO GUIA SUMINISTRO ASA Y CALCIO")),"Iniciar de inmediato ASA",IF(AND(BU10&gt;16,OR(HK10="RIESGO ALTO DE COMPLICACIONES HIPERTENSIVAS VER MANEJO GUIA SUMINISTRO ASA Y CALCIO",HK10="RIESGO MODERADO (2 O MAS CRITERIOS) VER MANEJO GUIA SUMINISTRO ASA Y CALCIO")),"Pierde Oportunidad, Inicio tardío de ASA","XXXXX"))))))))</f>
        <v>No Aplica para suministro de ASA</v>
      </c>
      <c r="HS10" s="22"/>
      <c r="HT10" s="22"/>
      <c r="HU10" s="22">
        <v>44799</v>
      </c>
      <c r="HV10" s="22" t="s">
        <v>870</v>
      </c>
      <c r="HW10" s="22">
        <v>44799</v>
      </c>
      <c r="HX10" s="22" t="s">
        <v>870</v>
      </c>
      <c r="HY10" s="22">
        <v>44799</v>
      </c>
      <c r="HZ10" s="28">
        <f t="shared" si="48"/>
        <v>9.7142857142857135</v>
      </c>
      <c r="IA10" s="26"/>
      <c r="IB10" s="26"/>
      <c r="IC10" s="111"/>
      <c r="ID10" s="22"/>
      <c r="IE10" s="22" t="str">
        <f t="shared" ca="1" si="49"/>
        <v>SALE SIN VACUNA</v>
      </c>
      <c r="IF10" s="22"/>
      <c r="IG10" s="22">
        <f t="shared" si="50"/>
        <v>45011</v>
      </c>
      <c r="IH10" s="29">
        <f t="shared" ca="1" si="51"/>
        <v>-222</v>
      </c>
      <c r="II10" s="22" t="str">
        <f t="shared" ca="1" si="52"/>
        <v>POSIBLEMENTE NACIO</v>
      </c>
      <c r="IJ10" s="22"/>
      <c r="IK10" s="21" t="s">
        <v>1652</v>
      </c>
      <c r="IL10" s="21"/>
      <c r="IM10" s="34"/>
      <c r="IN10" s="349">
        <v>45013</v>
      </c>
      <c r="IO10" s="21" t="s">
        <v>1186</v>
      </c>
      <c r="IP10" s="29">
        <f t="shared" si="53"/>
        <v>40.285714285714285</v>
      </c>
      <c r="IQ10" s="35" t="s">
        <v>1650</v>
      </c>
      <c r="IR10" s="21" t="s">
        <v>1651</v>
      </c>
      <c r="IS10" s="21" t="s">
        <v>1646</v>
      </c>
      <c r="IT10" s="21" t="s">
        <v>1642</v>
      </c>
      <c r="IU10" s="21"/>
      <c r="IV10" s="21"/>
      <c r="IW10" s="21"/>
      <c r="IX10" s="21"/>
      <c r="IY10" s="21"/>
      <c r="IZ10" s="21"/>
      <c r="JA10" s="21"/>
      <c r="JB10" s="30">
        <v>1</v>
      </c>
      <c r="JC10" s="21" t="s">
        <v>1643</v>
      </c>
      <c r="JD10" s="36">
        <v>3430</v>
      </c>
      <c r="JE10" s="21" t="str">
        <f t="shared" si="54"/>
        <v>PESO ADECUADO EDAD GESTACIONAL</v>
      </c>
      <c r="JF10" s="30"/>
      <c r="JG10" s="21"/>
      <c r="JH10" s="21"/>
      <c r="JI10" s="21" t="s">
        <v>854</v>
      </c>
      <c r="JJ10" s="30" t="s">
        <v>866</v>
      </c>
      <c r="JK10" s="22"/>
      <c r="JL10" s="22"/>
      <c r="JM10" s="21"/>
      <c r="JN10" s="36"/>
      <c r="JO10" s="21" t="str">
        <f t="shared" si="55"/>
        <v/>
      </c>
      <c r="JP10" s="22"/>
      <c r="JQ10" s="21"/>
      <c r="JR10" s="21"/>
      <c r="JS10" s="21"/>
      <c r="JT10" s="30"/>
      <c r="JU10" s="22"/>
      <c r="JV10" s="22"/>
      <c r="JW10" s="33"/>
      <c r="JX10" s="28" t="str">
        <f t="shared" si="56"/>
        <v>INASISTENTE</v>
      </c>
      <c r="JY10" s="33"/>
      <c r="JZ10" s="28" t="str">
        <f t="shared" si="57"/>
        <v>INASISTENTE</v>
      </c>
      <c r="KA10" s="21"/>
      <c r="KB10" s="21"/>
      <c r="KC10" s="21"/>
      <c r="KD10" s="37"/>
      <c r="KE10" s="28"/>
      <c r="KF10" s="28"/>
      <c r="KG10" s="28"/>
      <c r="KH10" s="39"/>
      <c r="KI10" s="39"/>
      <c r="KJ10" s="66"/>
      <c r="KK10" s="39"/>
      <c r="KL10" s="39"/>
      <c r="KM10" s="66"/>
      <c r="KN10" s="39"/>
      <c r="KO10" s="39"/>
      <c r="KP10" s="39"/>
      <c r="KQ10" s="39"/>
      <c r="KR10" s="39"/>
      <c r="KS10" s="39"/>
      <c r="KT10" s="39"/>
      <c r="KU10" s="38"/>
      <c r="KV10" s="38"/>
      <c r="KW10" s="38"/>
      <c r="KX10" s="38"/>
      <c r="KY10" s="38"/>
      <c r="KZ10" s="38"/>
      <c r="LA10" s="38"/>
      <c r="LB10" s="38"/>
      <c r="LC10" s="38"/>
      <c r="LD10" s="38"/>
      <c r="LE10" s="38"/>
      <c r="LF10" s="38"/>
      <c r="LG10" s="38"/>
      <c r="LH10" s="38"/>
      <c r="LI10" s="38"/>
      <c r="LJ10" s="38"/>
      <c r="LK10" s="38"/>
      <c r="LL10" s="38"/>
      <c r="LM10" s="38"/>
      <c r="LN10" s="38"/>
      <c r="LO10" s="38"/>
      <c r="LP10" s="38"/>
      <c r="LQ10" s="38"/>
      <c r="LR10" s="38"/>
      <c r="LS10" s="38"/>
      <c r="LT10" s="38"/>
      <c r="LU10" s="38"/>
      <c r="LV10" s="38"/>
      <c r="LW10" s="38"/>
      <c r="LX10" s="38"/>
      <c r="LY10" s="38"/>
      <c r="LZ10" s="38"/>
      <c r="MA10" s="38"/>
      <c r="MB10" s="38"/>
      <c r="MC10" s="38"/>
      <c r="MD10" s="38"/>
      <c r="ME10" s="38"/>
      <c r="MF10" s="38"/>
      <c r="MG10" s="38"/>
      <c r="MH10" s="43">
        <f t="shared" si="58"/>
        <v>0</v>
      </c>
      <c r="MI10" s="43" t="str">
        <f t="shared" si="59"/>
        <v/>
      </c>
      <c r="MJ10" s="43" t="str">
        <f t="shared" si="60"/>
        <v/>
      </c>
      <c r="MK10" s="43">
        <f t="shared" si="61"/>
        <v>0</v>
      </c>
      <c r="ML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 s="43">
        <f t="shared" si="62"/>
        <v>9.7142857142857135</v>
      </c>
      <c r="MN10" s="43">
        <f t="shared" si="63"/>
        <v>8</v>
      </c>
      <c r="MO10" s="43">
        <f t="shared" si="64"/>
        <v>2022</v>
      </c>
      <c r="MP10" s="43" t="str">
        <f t="shared" si="65"/>
        <v>III TRIMESTRE AÑO</v>
      </c>
      <c r="MQ10" s="43">
        <f t="shared" si="66"/>
        <v>23.98160315374507</v>
      </c>
      <c r="MR10" s="43">
        <f t="shared" si="67"/>
        <v>0</v>
      </c>
      <c r="MS10" s="43" t="str">
        <f t="shared" si="68"/>
        <v xml:space="preserve"> DE 20 A 24 AÑOS</v>
      </c>
      <c r="MT10" s="43">
        <f t="shared" si="69"/>
        <v>0</v>
      </c>
      <c r="MU10" s="43">
        <f t="shared" si="70"/>
        <v>0</v>
      </c>
      <c r="MV10" s="43">
        <f t="shared" si="71"/>
        <v>0</v>
      </c>
      <c r="MW10" s="43">
        <f t="shared" si="72"/>
        <v>0</v>
      </c>
      <c r="MX10" s="43" t="str">
        <f t="shared" si="73"/>
        <v/>
      </c>
      <c r="MY10" s="43" t="str">
        <f t="shared" ca="1" si="74"/>
        <v/>
      </c>
      <c r="MZ10" s="43" t="str">
        <f t="shared" si="75"/>
        <v/>
      </c>
      <c r="NA10" s="43">
        <f t="shared" si="76"/>
        <v>0</v>
      </c>
      <c r="NB10" s="43" t="str">
        <f t="shared" si="77"/>
        <v/>
      </c>
      <c r="NC10" s="43" t="str">
        <f t="shared" si="78"/>
        <v/>
      </c>
      <c r="ND10" s="43">
        <f t="shared" ca="1" si="79"/>
        <v>0.5</v>
      </c>
      <c r="NE10" s="43">
        <f>IF(OR(O10&gt;0,R10&gt;0),SUM(COUNTIF(Tabla1[[#This Row],[AÑOS AL INICIO5 CPN]],"&gt;=40"),COUNTIF(AS10,"0"),COUNTIF(AR10,"SI"),COUNTIF(CC10,"SI"),COUNTIF(BQ10,"&gt;119"),COUNTIF(CI10,"&gt;=35")),"")</f>
        <v>0</v>
      </c>
      <c r="NF10" s="43" t="str">
        <f t="shared" si="80"/>
        <v/>
      </c>
      <c r="NG10" s="43">
        <f t="shared" si="81"/>
        <v>0.5</v>
      </c>
      <c r="NH10" s="43">
        <f t="shared" si="82"/>
        <v>67.2</v>
      </c>
      <c r="NI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CPN",P10="NO"),"Z",IF(AND(Tabla1[[#This Row],[CITA PROXIMO CONTROL]]="CITA MANUAL",Tabla1[[#This Row],[GESTANTES ACTUALES]]="ACTIVA INGRESO A CPN"),"W",IF(AND(Tabla1[[#This Row],[GESTANTES ACTUALES]]="SALIO PROGRAMA",IN10=""),"S",IF(AND(Tabla1[[#This Row],[CITA PROXIMO CONTROL]]&gt;0,IN10=""),(Tabla1[[#This Row],[CITA PROXIMO CONTROL]]-TODAY()),"SD"))))))))</f>
        <v>SD</v>
      </c>
      <c r="NJ10" s="43">
        <f>MONTH(Tabla1[[#This Row],[FECHA DE SALIDA  DEL PROGRAMA]])</f>
        <v>3</v>
      </c>
      <c r="NK10" s="43">
        <f>YEAR(Tabla1[[#This Row],[FECHA DE SALIDA  DEL PROGRAMA]])</f>
        <v>2023</v>
      </c>
      <c r="NL10" s="43">
        <f t="shared" si="83"/>
        <v>202</v>
      </c>
      <c r="NM10" s="43" t="str">
        <f t="shared" si="84"/>
        <v>NO</v>
      </c>
      <c r="NN10" s="43" t="str">
        <f ca="1">IF(AND(O10&gt;0,R10=""),"NO CPN",IF(AND(O10="",R10=""),"",IF(AND(R10&gt;0,Tabla1[[#This Row],[SEMANAS DE GESTACION ACTUALIZADAS]]&lt;=12),"NO APLICA",IF(AND(FH10&lt;&gt;"",FN10&lt;&gt;""),"SI","NO"))))</f>
        <v>SI</v>
      </c>
      <c r="NO10" s="43" t="str">
        <f ca="1">IF(AND(O10&gt;0,R10=""),"NO CPN",IF(AND(O10="",R10=""),"",IF(AND(R10&gt;0,Tabla1[[#This Row],[SEMANAS DE GESTACION ACTUALIZADAS]]&lt;=27),"NO APLICA",IF(AND(ES10&lt;&gt;"",FQ10&lt;&gt;"",GF10&lt;&gt;""),"SI","NO"))))</f>
        <v>NO</v>
      </c>
      <c r="NP10" s="204" t="str">
        <f t="shared" si="85"/>
        <v>I TRIM</v>
      </c>
      <c r="NQ10" s="21">
        <f t="shared" si="86"/>
        <v>1</v>
      </c>
      <c r="NR10" s="21">
        <f t="shared" si="87"/>
        <v>3</v>
      </c>
      <c r="NS10" s="205">
        <f t="shared" ca="1" si="88"/>
        <v>2</v>
      </c>
      <c r="NT10" s="21">
        <f t="shared" ca="1" si="89"/>
        <v>2</v>
      </c>
      <c r="NU10" s="21" t="str">
        <f t="shared" ca="1" si="90"/>
        <v>INCOMPLETO</v>
      </c>
      <c r="NV10" s="21" t="str">
        <f t="shared" ca="1" si="91"/>
        <v>INCOMPLETO</v>
      </c>
      <c r="NW10" s="206" t="str">
        <f>IF(AND(O10="",R10=""),"",IF(OR(AND(Tabla1[[#This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 s="207" t="str">
        <f t="shared" ca="1" si="92"/>
        <v>SIN VACUNAR</v>
      </c>
      <c r="NY10" s="43">
        <f>ROW(Tabla1[[#This Row],['# DE TAMIZAJES SIFILIS TOMADOS ]])</f>
        <v>10</v>
      </c>
      <c r="NZ10" s="43" t="str">
        <f t="shared" si="93"/>
        <v>Menor</v>
      </c>
      <c r="OA10" s="43" t="str">
        <f t="shared" si="94"/>
        <v>NORMAL</v>
      </c>
      <c r="OB10" s="43" t="str">
        <f t="shared" si="95"/>
        <v/>
      </c>
      <c r="OC10" s="43" t="str">
        <f t="shared" si="96"/>
        <v/>
      </c>
      <c r="OD10" s="43" t="str">
        <f t="shared" si="97"/>
        <v/>
      </c>
      <c r="OE10" s="43" t="str">
        <f t="shared" si="98"/>
        <v/>
      </c>
      <c r="OF10" s="43" t="str">
        <f t="shared" si="99"/>
        <v/>
      </c>
      <c r="OG10" s="43" t="str">
        <f t="shared" si="100"/>
        <v/>
      </c>
      <c r="OH10" s="43" t="str">
        <f t="shared" si="101"/>
        <v/>
      </c>
      <c r="OI10" s="43" t="str">
        <f t="shared" si="102"/>
        <v/>
      </c>
      <c r="OJ10" s="43" t="str">
        <f t="shared" si="103"/>
        <v/>
      </c>
      <c r="OK10" s="43" t="str">
        <f t="shared" si="104"/>
        <v/>
      </c>
      <c r="OL10" s="43" t="str">
        <f t="shared" si="105"/>
        <v/>
      </c>
      <c r="OM10" s="43" t="str">
        <f t="shared" si="106"/>
        <v/>
      </c>
      <c r="ON10" s="43" t="str">
        <f t="shared" si="107"/>
        <v/>
      </c>
      <c r="OO10" s="43" t="str">
        <f t="shared" si="108"/>
        <v/>
      </c>
      <c r="OP10" s="43" t="str">
        <f t="shared" si="109"/>
        <v/>
      </c>
      <c r="OQ10" s="43" t="str">
        <f t="shared" si="110"/>
        <v/>
      </c>
      <c r="OR10" s="43" t="str">
        <f t="shared" si="111"/>
        <v/>
      </c>
      <c r="OS10" s="43" t="str">
        <f t="shared" si="112"/>
        <v/>
      </c>
      <c r="OT10" s="43" t="str">
        <f t="shared" si="113"/>
        <v/>
      </c>
      <c r="OU10" s="43" t="str">
        <f t="shared" si="114"/>
        <v/>
      </c>
      <c r="OV10" s="110" t="str">
        <f t="shared" si="115"/>
        <v/>
      </c>
      <c r="OW10" s="43" t="str">
        <f t="shared" si="116"/>
        <v/>
      </c>
      <c r="OX10" s="43" t="str">
        <f t="shared" si="117"/>
        <v/>
      </c>
      <c r="OY10" s="43" t="str">
        <f t="shared" si="118"/>
        <v/>
      </c>
      <c r="OZ10" s="43" t="str">
        <f t="shared" si="119"/>
        <v/>
      </c>
      <c r="PA10" s="43" t="str">
        <f t="shared" si="120"/>
        <v/>
      </c>
      <c r="PB10" s="43" t="str">
        <f t="shared" si="121"/>
        <v/>
      </c>
      <c r="PC10" s="43" t="str">
        <f t="shared" si="122"/>
        <v/>
      </c>
      <c r="PD10" s="43" t="str">
        <f t="shared" si="123"/>
        <v/>
      </c>
      <c r="PE10" s="43" t="str">
        <f t="shared" si="124"/>
        <v/>
      </c>
      <c r="PF10" s="43" t="str">
        <f t="shared" si="125"/>
        <v/>
      </c>
      <c r="PG10" s="43" t="str">
        <f t="shared" si="126"/>
        <v/>
      </c>
      <c r="PH10" s="43" t="str">
        <f t="shared" si="127"/>
        <v/>
      </c>
      <c r="PI10" s="43">
        <f t="shared" si="128"/>
        <v>35</v>
      </c>
      <c r="PJ10" s="43" t="str">
        <f t="shared" si="129"/>
        <v/>
      </c>
      <c r="PK10" s="43" t="str">
        <f t="shared" si="130"/>
        <v/>
      </c>
      <c r="PL10" s="43" t="str">
        <f t="shared" si="131"/>
        <v/>
      </c>
      <c r="PM10" s="43" t="str">
        <f t="shared" si="132"/>
        <v/>
      </c>
      <c r="PN10" s="43" t="str">
        <f t="shared" si="133"/>
        <v/>
      </c>
      <c r="PO10" s="43" t="str">
        <f t="shared" si="134"/>
        <v/>
      </c>
      <c r="PP10" s="43" t="str">
        <f t="shared" si="135"/>
        <v/>
      </c>
      <c r="PQ10" s="43" t="str">
        <f t="shared" si="136"/>
        <v/>
      </c>
      <c r="PR10" s="43" t="str">
        <f t="shared" si="137"/>
        <v/>
      </c>
      <c r="PS10" s="43" t="str">
        <f t="shared" si="138"/>
        <v/>
      </c>
      <c r="PT10" s="43" t="str">
        <f t="shared" si="139"/>
        <v/>
      </c>
      <c r="PU10" s="43" t="str">
        <f t="shared" si="140"/>
        <v/>
      </c>
      <c r="PV10" s="43" t="str">
        <f t="shared" si="141"/>
        <v/>
      </c>
      <c r="PW10" s="43" t="str">
        <f t="shared" si="142"/>
        <v/>
      </c>
      <c r="PX10" s="43" t="str">
        <f t="shared" si="143"/>
        <v/>
      </c>
      <c r="PY10" s="43" t="str">
        <f t="shared" si="144"/>
        <v/>
      </c>
      <c r="PZ10" s="43" t="str">
        <f t="shared" si="145"/>
        <v/>
      </c>
      <c r="QA10" s="43" t="str">
        <f t="shared" si="146"/>
        <v/>
      </c>
      <c r="QB10" s="43" t="str">
        <f t="shared" si="147"/>
        <v/>
      </c>
      <c r="QC10" s="43" t="str">
        <f t="shared" si="148"/>
        <v/>
      </c>
      <c r="QD10" s="43" t="str">
        <f t="shared" si="149"/>
        <v/>
      </c>
      <c r="QE10" s="43" t="str">
        <f t="shared" si="150"/>
        <v/>
      </c>
      <c r="QF10" s="43" t="str">
        <f t="shared" si="151"/>
        <v/>
      </c>
      <c r="QG10" s="43" t="str">
        <f t="shared" si="152"/>
        <v/>
      </c>
      <c r="QH10" s="43" t="str">
        <f t="shared" si="153"/>
        <v/>
      </c>
      <c r="QI10" s="43" t="str">
        <f t="shared" si="154"/>
        <v/>
      </c>
      <c r="QJ10" s="43" t="str">
        <f t="shared" si="155"/>
        <v/>
      </c>
      <c r="QK10" s="43" t="str">
        <f t="shared" si="156"/>
        <v/>
      </c>
      <c r="QL10" s="43" t="str">
        <f t="shared" si="157"/>
        <v/>
      </c>
      <c r="QM10" s="43" t="str">
        <f t="shared" si="158"/>
        <v/>
      </c>
      <c r="QN10" s="43" t="str">
        <f t="shared" si="159"/>
        <v/>
      </c>
      <c r="QO10" s="43" t="str">
        <f t="shared" si="160"/>
        <v/>
      </c>
      <c r="QP10" s="43" t="str">
        <f t="shared" si="161"/>
        <v/>
      </c>
      <c r="QQ10" s="43" t="str">
        <f t="shared" si="162"/>
        <v/>
      </c>
      <c r="QR10" s="43">
        <f t="shared" si="192"/>
        <v>35</v>
      </c>
      <c r="QS10" s="43"/>
      <c r="QT10" s="21" t="str">
        <f t="shared" si="163"/>
        <v/>
      </c>
      <c r="QU10" s="21" t="str">
        <f t="shared" si="164"/>
        <v/>
      </c>
      <c r="QV10" s="21" t="str">
        <f t="shared" si="165"/>
        <v/>
      </c>
      <c r="QW10" s="21" t="str">
        <f t="shared" si="166"/>
        <v/>
      </c>
      <c r="QX10" s="21" t="str">
        <f t="shared" si="167"/>
        <v/>
      </c>
      <c r="QY10" s="21" t="str">
        <f t="shared" si="168"/>
        <v/>
      </c>
      <c r="QZ10" s="21" t="str">
        <f t="shared" si="169"/>
        <v/>
      </c>
      <c r="RA10" s="21" t="str">
        <f t="shared" si="170"/>
        <v/>
      </c>
      <c r="RB10" s="21" t="str">
        <f t="shared" si="171"/>
        <v/>
      </c>
      <c r="RC10" s="21" t="str">
        <f t="shared" si="172"/>
        <v/>
      </c>
      <c r="RD10" s="21" t="str">
        <f t="shared" si="173"/>
        <v/>
      </c>
      <c r="RE10" s="21" t="str">
        <f t="shared" si="174"/>
        <v/>
      </c>
      <c r="RF10" s="21" t="str">
        <f t="shared" si="175"/>
        <v/>
      </c>
      <c r="RG10" s="21" t="str">
        <f t="shared" si="176"/>
        <v/>
      </c>
      <c r="RH10" s="21" t="str">
        <f t="shared" si="177"/>
        <v/>
      </c>
      <c r="RI10" s="21" t="str">
        <f t="shared" si="178"/>
        <v/>
      </c>
      <c r="RJ10" s="21" t="str">
        <f t="shared" si="179"/>
        <v/>
      </c>
      <c r="RK10" s="21" t="str">
        <f t="shared" si="180"/>
        <v/>
      </c>
      <c r="RL10" s="21" t="str">
        <f t="shared" si="181"/>
        <v/>
      </c>
      <c r="RM10" s="21" t="str">
        <f t="shared" si="182"/>
        <v/>
      </c>
      <c r="RN10" s="21" t="str">
        <f t="shared" si="183"/>
        <v/>
      </c>
      <c r="RO10" s="21" t="str">
        <f t="shared" si="184"/>
        <v/>
      </c>
      <c r="RP10" s="21" t="str">
        <f t="shared" si="185"/>
        <v/>
      </c>
      <c r="RQ10" s="21" t="str">
        <f t="shared" si="186"/>
        <v/>
      </c>
      <c r="RR10" s="21" t="str">
        <f t="shared" si="187"/>
        <v/>
      </c>
      <c r="RS10" s="21" t="str">
        <f t="shared" si="188"/>
        <v/>
      </c>
      <c r="RT10" s="21" t="str">
        <f t="shared" si="189"/>
        <v/>
      </c>
      <c r="RU10" s="21" t="str">
        <f t="shared" si="190"/>
        <v/>
      </c>
      <c r="RV10" s="21">
        <f t="shared" si="191"/>
        <v>-1</v>
      </c>
      <c r="RW10" s="284">
        <f>IF(OR(Tabla1[[#This Row],[FUM FORMULA CONFIABLE]]="",Tabla1[[#This Row],[FUM FORMULA CONFIABLE]]="SD"),"",IF(Tabla1[[#This Row],[FUM FORMULA CONFIABLE]]="CORREGIDA",Tabla1[[#This Row],[FUM X ECO 1]],Tabla1[[#This Row],[FUM x AMENORREA]]))</f>
        <v>44731</v>
      </c>
      <c r="RX10" s="21">
        <f>IF(AND(Tabla1[[#This Row],[FUM X ECO 1]]="",Tabla1[[#This Row],[FUM x AMENORREA]]=""),"",IF(AND(Tabla1[[#This Row],[FUM X ECO 1]]="",Tabla1[[#This Row],[FUM x AMENORREA]]&lt;&gt;""),"X",SUM(Tabla1[[#This Row],[FUM X ECO 1]]-Tabla1[[#This Row],[FUM x AMENORREA]])))</f>
        <v>0.80000000000291038</v>
      </c>
      <c r="RY10" s="21">
        <f t="shared" si="193"/>
        <v>0</v>
      </c>
    </row>
    <row r="11" spans="1:493" ht="45" customHeight="1" x14ac:dyDescent="0.25">
      <c r="A11" s="109"/>
      <c r="B11" s="43" t="s">
        <v>913</v>
      </c>
      <c r="C11" s="43" t="s">
        <v>914</v>
      </c>
      <c r="D11" s="124" t="s">
        <v>915</v>
      </c>
      <c r="E11" s="43" t="s">
        <v>916</v>
      </c>
      <c r="F11" s="43" t="s">
        <v>917</v>
      </c>
      <c r="G11" s="43" t="s">
        <v>918</v>
      </c>
      <c r="H11" s="43" t="s">
        <v>919</v>
      </c>
      <c r="I11" s="109" t="s">
        <v>851</v>
      </c>
      <c r="J11" s="110">
        <v>1059595527</v>
      </c>
      <c r="K11" s="43" t="s">
        <v>904</v>
      </c>
      <c r="L11" s="175" t="s">
        <v>846</v>
      </c>
      <c r="M11" s="22">
        <v>37918</v>
      </c>
      <c r="N11" s="213">
        <f t="shared" ca="1" si="0"/>
        <v>20.041095890410958</v>
      </c>
      <c r="O11" s="22">
        <v>44810</v>
      </c>
      <c r="P11" s="214" t="str">
        <f t="shared" si="1"/>
        <v>SI</v>
      </c>
      <c r="Q11" s="26" t="s">
        <v>855</v>
      </c>
      <c r="R11" s="22">
        <v>44810</v>
      </c>
      <c r="S11" s="21" t="s">
        <v>856</v>
      </c>
      <c r="T11" s="24" t="s">
        <v>690</v>
      </c>
      <c r="U11" s="21" t="s">
        <v>857</v>
      </c>
      <c r="V11" s="21" t="s">
        <v>858</v>
      </c>
      <c r="W11" s="21" t="s">
        <v>920</v>
      </c>
      <c r="X11" s="21" t="s">
        <v>920</v>
      </c>
      <c r="Y11" s="21" t="s">
        <v>859</v>
      </c>
      <c r="Z11" s="21" t="s">
        <v>894</v>
      </c>
      <c r="AA11" s="21" t="s">
        <v>860</v>
      </c>
      <c r="AB11" s="27" t="s">
        <v>861</v>
      </c>
      <c r="AC11" s="26" t="s">
        <v>877</v>
      </c>
      <c r="AD11" s="38" t="s">
        <v>846</v>
      </c>
      <c r="AE11" s="26" t="s">
        <v>864</v>
      </c>
      <c r="AF11" s="26" t="s">
        <v>854</v>
      </c>
      <c r="AG11" s="23" t="s">
        <v>864</v>
      </c>
      <c r="AH11" s="23" t="s">
        <v>864</v>
      </c>
      <c r="AI11" s="24" t="s">
        <v>863</v>
      </c>
      <c r="AJ11" s="23" t="s">
        <v>864</v>
      </c>
      <c r="AK11" s="220" t="str">
        <f>IF(AND(AD11="",AE11="",AF11="",AG11="",AH11="",AI11="",AJ11=""),"",IF(OR(Tabla1[[#This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EVALUACIÓN",IF(AND(O11="",R11=""),"",IF(AND(OR(O11&gt;0,R11&gt;0),NG11&gt;=0,NG11&lt;2),"SIN RIESGO",IF(AND(OR(O11&gt;0,R11&gt;0),NG11&gt;=2),"CON RIESGO","ASD")))))</f>
        <v>SIN RIESGO</v>
      </c>
      <c r="AL11" s="23" t="s">
        <v>864</v>
      </c>
      <c r="AM11" s="26" t="s">
        <v>864</v>
      </c>
      <c r="AN11" s="26" t="s">
        <v>864</v>
      </c>
      <c r="AO11" s="26" t="s">
        <v>864</v>
      </c>
      <c r="AP11" s="26" t="s">
        <v>864</v>
      </c>
      <c r="AQ11" s="26" t="s">
        <v>864</v>
      </c>
      <c r="AR11" s="26" t="s">
        <v>864</v>
      </c>
      <c r="AS11" s="21">
        <v>0</v>
      </c>
      <c r="AT11" s="21">
        <v>0</v>
      </c>
      <c r="AU11" s="21">
        <v>0</v>
      </c>
      <c r="AV11" s="26" t="s">
        <v>864</v>
      </c>
      <c r="AW11" s="21">
        <v>0</v>
      </c>
      <c r="AX11" s="26" t="s">
        <v>864</v>
      </c>
      <c r="AY11" s="26" t="s">
        <v>864</v>
      </c>
      <c r="AZ11" s="26" t="s">
        <v>864</v>
      </c>
      <c r="BA11" s="26" t="s">
        <v>864</v>
      </c>
      <c r="BB11" s="26" t="s">
        <v>864</v>
      </c>
      <c r="BC11" s="26" t="s">
        <v>864</v>
      </c>
      <c r="BD11" s="26" t="s">
        <v>864</v>
      </c>
      <c r="BE11" s="26" t="s">
        <v>864</v>
      </c>
      <c r="BF11" s="26" t="s">
        <v>864</v>
      </c>
      <c r="BG11" s="26" t="s">
        <v>864</v>
      </c>
      <c r="BH11" s="26" t="s">
        <v>864</v>
      </c>
      <c r="BI11" s="26" t="s">
        <v>864</v>
      </c>
      <c r="BJ11" s="26"/>
      <c r="BK11" s="26"/>
      <c r="BL11" s="26" t="s">
        <v>864</v>
      </c>
      <c r="BM11" s="26" t="s">
        <v>864</v>
      </c>
      <c r="BN11" s="22"/>
      <c r="BO11" s="22">
        <v>44773</v>
      </c>
      <c r="BP11" s="21" t="s">
        <v>854</v>
      </c>
      <c r="BQ11" s="222">
        <f t="shared" si="2"/>
        <v>0</v>
      </c>
      <c r="BR11" s="223">
        <f t="shared" si="3"/>
        <v>44754.5</v>
      </c>
      <c r="BS11" s="224">
        <f t="shared" si="4"/>
        <v>5.2857142857142856</v>
      </c>
      <c r="BT11" s="216" t="str">
        <f t="shared" si="5"/>
        <v>I TRIM</v>
      </c>
      <c r="BU11" s="214" t="str">
        <f t="shared" ca="1" si="6"/>
        <v/>
      </c>
      <c r="BV11" s="25"/>
      <c r="BW11" s="22">
        <v>44898</v>
      </c>
      <c r="BX11" s="28">
        <v>20.5</v>
      </c>
      <c r="BY11" s="28"/>
      <c r="BZ11" s="22">
        <v>44960</v>
      </c>
      <c r="CA11" s="21">
        <v>29.2</v>
      </c>
      <c r="CB11" s="26" t="s">
        <v>864</v>
      </c>
      <c r="CC11" s="26" t="s">
        <v>864</v>
      </c>
      <c r="CD11" s="26" t="s">
        <v>878</v>
      </c>
      <c r="CE11" s="26" t="s">
        <v>864</v>
      </c>
      <c r="CF11" s="22">
        <v>44810</v>
      </c>
      <c r="CG11" s="21">
        <v>1.43</v>
      </c>
      <c r="CH11" s="21">
        <v>43</v>
      </c>
      <c r="CI11" s="214">
        <f t="shared" si="7"/>
        <v>21.027923125825225</v>
      </c>
      <c r="CJ11" s="225" t="str">
        <f>IF(AND(CI11&lt;10,CH11="SD"),"SIN DATO PESO PREGESTACION O I TRIM",IF(AND(OR(R11&gt;0,O11&gt;0),CI11="X"),"INGRESAR DATO DE PESO",IF(CI11="SD","INGRESAR DATO DE TALLA Y PESO",IF(AND(OR(Tabla1[[#This Row],[MOMENTO EN QUE SE REALIZA EL PESO AL INGRESO A CPN]]="PREGESTACIÓN",NZ11="Menor"),CI11&lt;18.5),"BAJO PESO",IF(AND(OR(Tabla1[[#This Row],[MOMENTO EN QUE SE REALIZA EL PESO AL INGRESO A CPN]]="PREGESTACIÓN",NZ11="Menor"),CI11&lt;25),"NORMAL",IF(AND(OR(Tabla1[[#This Row],[MOMENTO EN QUE SE REALIZA EL PESO AL INGRESO A CPN]]="PREGESTACIÓN",NZ11="Menor"),CI11&lt;30),"SOBREPESO",IF(AND(OR(Tabla1[[#This Row],[MOMENTO EN QUE SE REALIZA EL PESO AL INGRESO A CPN]]="PREGESTACIÓN",NZ11="Menor"),CI11&gt;=30,CI11&lt;50),"OBESIDAD",IF(AND(BS11&gt;0,Tabla1[[#This Row],[MOMENTO EN QUE SE REALIZA EL PESO AL INGRESO A CPN]]="GESTACIÓN"),HLOOKUP(NZ11,$OA$2:PH11,NY11),""))))))))</f>
        <v>NORMAL</v>
      </c>
      <c r="CK11" s="212">
        <f t="shared" si="8"/>
        <v>45028</v>
      </c>
      <c r="CL11" s="21"/>
      <c r="CM11" s="214">
        <f t="shared" si="9"/>
        <v>0</v>
      </c>
      <c r="CN11" s="216">
        <f t="shared" si="10"/>
        <v>36</v>
      </c>
      <c r="CO11" s="216" t="e">
        <f>IF(PI11="","",IF(PI11&gt;0,HLOOKUP(PI11,$PJ$2:QQ11,NY11),""))</f>
        <v>#REF!</v>
      </c>
      <c r="CP11" s="21"/>
      <c r="CQ11" s="216" t="e">
        <f>IF(QR11="Menor","NO APLICA-MENOR 13 SEM",IF(AND(CC11="SI",CN11&gt;23),"NO APLICA- GEMELAR",IF(QR11="","",IF(QR11&gt;0,HLOOKUP(QR11,$QS$2:RU11,NY11),""))))</f>
        <v>#REF!</v>
      </c>
      <c r="CR11" s="21">
        <v>120</v>
      </c>
      <c r="CS11" s="21">
        <v>60</v>
      </c>
      <c r="CT11" s="217" t="str">
        <f>IF(R11="","",IF(AND(BS11&gt;1,BS11&lt;12,Tabla1[[#This Row],[T.A. SISTOLICA - ANTES DE SEMANA 12]]="",Tabla1[[#This Row],[T.A. DIASTOLICA - ANTES DE SEMANA 12]]=""),"REGISTRE DATO TA ANTES SEMANA 12",IF(AND(BS11&gt;11,BS11&lt;43,Tabla1[[#This Row],[T.A. SISTOLICA - ANTES DE SEMANA 12]]="",Tabla1[[#This Row],[T.A. DIASTOLICA - ANTES DE SEMANA 12]]=""),"NO APLICA REGISTRO TA-INGRESO TARDIO",IF(AND(OR(O11&gt;0,R11&gt;0),OR(CR11&gt;=140,CS11&gt;=90)),"DEFINIR ESTADIO HTA",IF(AND(OR(O11&gt;0,R11&gt;0),AND(CR11&gt;120,CR11&lt;=139)),"PRE HTA SEGUIMIENTO",IF(AND(OR(O11&gt;0,R11&gt;0),AND(CS11&gt;80,CS11&lt;=89)),"PRE HTA SEGUIMIENTO",IF(AND(OR(O11&gt;0,R11&gt;0),AND(CR11&gt;=80,CR11&lt;=120)),"APARENTEMENTE NORMAL",IF(AND(OR(O11&gt;0,R11&gt;0),AND(CS11&gt;=50,CS11&lt;=80)),"APARENTEMENTE NORMAL",IF(AND(OR(O11&gt;0,R11&gt;0),AND(CR11&gt;1,CR11&lt;=70),AND(CS11&gt;1,CS11&lt;=40)),"HIPOTENSIÓN","")))))))))</f>
        <v>APARENTEMENTE NORMAL</v>
      </c>
      <c r="CU11" s="21">
        <v>90</v>
      </c>
      <c r="CV11" s="21">
        <v>60</v>
      </c>
      <c r="CW11" s="217" t="str">
        <f ca="1">IF(R11="","",IF(AND(CN11&gt;19,CN11&lt;27,Tabla1[[#This Row],[T.A. SISTOLICA (Entre semana 20 y 26)]]="",Tabla1[[#This Row],[T.A. DIATOLICA (Entre semana 20 y 26)]]=""),"ACUDE A CONTROL SEM 20 A 26 REGISTRE TA AHORA",IF(AND(BS11&gt;1,BS11&lt;27,BU11&gt;19,Tabla1[[#This Row],[T.A. SISTOLICA (Entre semana 20 y 26)]]="",Tabla1[[#This Row],[T.A. DIATOLICA (Entre semana 20 y 26)]]=""),"COMPLETE REGISTRO TA CONTROL SEM 20 A26 ",IF(AND(BS11&gt;26,BS11&lt;43,Tabla1[[#This Row],[T.A. SISTOLICA (Entre semana 20 y 26)]]="",Tabla1[[#This Row],[T.A. DIATOLICA (Entre semana 20 y 26)]]=""),"NO APLICA REGISTRO TA-INGRESO TARDIO",IF(AND(OR(O11&gt;0,R11&gt;0),OR(CU11&gt;=140,CV11&gt;=90)),"ALTO RIESGO PREECLAMPSIA,DEFINIR ESTADIO HTA",IF(AND(OR(O11&gt;0,R11&gt;0),AND(CU11&gt;120,CU11&lt;=139)),"PRE HTA SEGUIMIENTO,RIESGO HIPERTENSION INDUCIDA POR EL EMBARAZO",IF(AND(OR(O11&gt;0,R11&gt;0),AND(CV11&gt;80,CV11&lt;=89)),"PRE HTA SEGUIMIENTO, RIESGO HIPERTENSION INDUCIDA POR EL EMBARAZO",IF(AND(OR(O11&lt;&gt;"",R11&lt;&gt;""),CS11&lt;&gt;"",CV11&lt;&gt;"",CS11&lt;=CV11),"VIGILAR CIFRAS PRESION ARTERIAL",IF(AND(OR(O11&gt;0,R11&gt;0),AND(CU11&gt;120,CU11&lt;=139)),"PRE HTA SEGUIMIENTO",IF(AND(OR(O11&gt;0,R11&gt;0),AND(CU11&gt;1,CU11&lt;=70),AND(CV11&gt;1,CV11&lt;=40)),"HIPOTENSIÓN",IF(AND(OR(O11&lt;&gt;"",R11&lt;&gt;""),CS11&lt;&gt;"",CV11&lt;&gt;"",CS11&gt;CV11),"APARENTEMENTE NORMAL",IF(AND(OR(O11&gt;0,R11&gt;0),AND(CU11&gt;=80,CU11&lt;=120)),"APARENTEMENTE NORMAL",IF(AND(OR(O11&gt;0,R11&gt;0),AND(CV11&gt;=50,CV11&lt;=80)),"APARENTEMENTE NORMAL","")))))))))))))</f>
        <v>VIGILAR CIFRAS PRESION ARTERIAL</v>
      </c>
      <c r="CX11" s="21">
        <v>90</v>
      </c>
      <c r="CY11" s="21">
        <v>60</v>
      </c>
      <c r="CZ11" s="216" t="str">
        <f t="shared" si="11"/>
        <v>APARENTEMENTE NORMAL</v>
      </c>
      <c r="DA11" s="21"/>
      <c r="DB11" s="21"/>
      <c r="DC11" s="217" t="str">
        <f t="shared" si="12"/>
        <v>REGISTRE DATO PRESIÓN ARTERIAL MENSUAL</v>
      </c>
      <c r="DD11" s="22">
        <v>44810</v>
      </c>
      <c r="DE11" s="22">
        <v>44810</v>
      </c>
      <c r="DF11" s="22">
        <v>44897</v>
      </c>
      <c r="DG11" s="22">
        <v>44939</v>
      </c>
      <c r="DH11" s="22">
        <v>44960</v>
      </c>
      <c r="DI11" s="22">
        <v>45028</v>
      </c>
      <c r="DJ11" s="22"/>
      <c r="DK11" s="22"/>
      <c r="DL11" s="22"/>
      <c r="DM11" s="22"/>
      <c r="DN11" s="22"/>
      <c r="DO11" s="22"/>
      <c r="DP11" s="22"/>
      <c r="DQ11" s="22"/>
      <c r="DR11" s="28">
        <v>1</v>
      </c>
      <c r="DS11" s="22"/>
      <c r="DT11" s="22"/>
      <c r="DU11" s="216" t="str">
        <f t="shared" ca="1" si="13"/>
        <v>SALE SIN PLAN DE PARTO</v>
      </c>
      <c r="DV11" s="226" t="str">
        <f t="shared" si="14"/>
        <v>SALIO PROGRAMA</v>
      </c>
      <c r="DW1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 s="216" t="str">
        <f t="shared" ca="1" si="15"/>
        <v/>
      </c>
      <c r="DY11" s="212">
        <f>IF(R11="","",IF(R11&gt;0,MAX(Tabla1[[#This Row],[FECHA C2]:[FECHA C13]],Tabla1[[#This Row],[FECHA CONSULTA PRIMERA VEZ PROGRAMA CPN ]])))</f>
        <v>45028</v>
      </c>
      <c r="DZ11" s="216">
        <f t="shared" si="16"/>
        <v>36</v>
      </c>
      <c r="EA11" s="222">
        <f>IF(R11&gt;0,SUM(COUNTA(DF11:DQ11)+COUNTA(Tabla1[[#This Row],[FECHA CONSULTA PRIMERA VEZ PROGRAMA CPN ]])),"")</f>
        <v>5</v>
      </c>
      <c r="EB11" s="222" t="str">
        <f t="shared" si="17"/>
        <v>SI</v>
      </c>
      <c r="EC11" s="214">
        <f t="shared" si="18"/>
        <v>10</v>
      </c>
      <c r="ED11" s="227">
        <f t="shared" si="19"/>
        <v>0.5</v>
      </c>
      <c r="EE11" s="22">
        <v>44810</v>
      </c>
      <c r="EF11" s="22">
        <v>44810</v>
      </c>
      <c r="EG11" s="22">
        <v>44810</v>
      </c>
      <c r="EH11" s="22"/>
      <c r="EI11" s="22">
        <v>44810</v>
      </c>
      <c r="EJ11" s="22"/>
      <c r="EK11" s="22"/>
      <c r="EL11" s="21"/>
      <c r="EM11" s="21">
        <v>14</v>
      </c>
      <c r="EN11" s="22">
        <v>44810</v>
      </c>
      <c r="EO11" s="222">
        <f t="shared" si="20"/>
        <v>5.2857142857142856</v>
      </c>
      <c r="EP11" s="214" t="str">
        <f t="shared" si="21"/>
        <v>NORMAL- SUMINISTRAR SULFATO FERROSO</v>
      </c>
      <c r="EQ11" s="216" t="str">
        <f t="shared" si="22"/>
        <v>I TRIM</v>
      </c>
      <c r="ER11" s="24">
        <v>12.5</v>
      </c>
      <c r="ES11" s="22">
        <v>44960</v>
      </c>
      <c r="ET11" s="29">
        <f t="shared" ca="1" si="23"/>
        <v>26.714285714285715</v>
      </c>
      <c r="EU11" s="25" t="str">
        <f t="shared" si="24"/>
        <v>NORMAL- SUMINISTRAR SULFATO FERROSO</v>
      </c>
      <c r="EV11" s="24" t="s">
        <v>866</v>
      </c>
      <c r="EW11" s="24">
        <v>44810</v>
      </c>
      <c r="EX11" s="22"/>
      <c r="EY11" s="29">
        <f t="shared" si="25"/>
        <v>5.2857142857142856</v>
      </c>
      <c r="EZ11" s="25" t="str">
        <f t="shared" ca="1" si="26"/>
        <v/>
      </c>
      <c r="FA11" s="21">
        <v>76</v>
      </c>
      <c r="FB11" s="22">
        <v>44810</v>
      </c>
      <c r="FC11" s="29">
        <f t="shared" si="27"/>
        <v>5.2857142857142856</v>
      </c>
      <c r="FD11" s="29">
        <v>62</v>
      </c>
      <c r="FE11" s="29">
        <v>141</v>
      </c>
      <c r="FF11" s="29">
        <v>89</v>
      </c>
      <c r="FG11" s="21" t="str">
        <f t="shared" si="28"/>
        <v xml:space="preserve">NORMAL, NO DESCARTA DIABETES POR REALIZARLO ANTES DE  SEMANA 24, </v>
      </c>
      <c r="FH11" s="31">
        <v>44898</v>
      </c>
      <c r="FI11" s="29">
        <f t="shared" si="29"/>
        <v>17.857142857142858</v>
      </c>
      <c r="FJ11" s="22" t="s">
        <v>867</v>
      </c>
      <c r="FK11" s="22">
        <v>44810</v>
      </c>
      <c r="FL11" s="29">
        <f t="shared" ca="1" si="30"/>
        <v>5.2857142857142856</v>
      </c>
      <c r="FM11" s="22"/>
      <c r="FN11" s="32"/>
      <c r="FO11" s="29" t="str">
        <f t="shared" ca="1" si="31"/>
        <v>PIERDE TOMA DE TAMIZAJE</v>
      </c>
      <c r="FP11" s="22"/>
      <c r="FQ11" s="32"/>
      <c r="FR11" s="29" t="str">
        <f t="shared" ca="1" si="32"/>
        <v>PIERDE TOMA DE TAMIZAJE</v>
      </c>
      <c r="FS11" s="22"/>
      <c r="FT11" s="32"/>
      <c r="FU11" s="29" t="str">
        <f>IF(AND(FJ11="",FM11="",FP11="",FS11=""),"",IF(OR(OR(Tabla1[[#This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 s="28"/>
      <c r="FW11" s="22"/>
      <c r="FX11" s="29" t="str">
        <f t="shared" si="33"/>
        <v>TOMAR EXAMEN</v>
      </c>
      <c r="FY11" s="22">
        <v>44810</v>
      </c>
      <c r="FZ11" s="22">
        <v>44810</v>
      </c>
      <c r="GA11" s="29">
        <f t="shared" ca="1" si="34"/>
        <v>5.2857142857142856</v>
      </c>
      <c r="GB11" s="22" t="s">
        <v>868</v>
      </c>
      <c r="GC11" s="22">
        <v>44960</v>
      </c>
      <c r="GD11" s="29">
        <f t="shared" ca="1" si="35"/>
        <v>26.714285714285715</v>
      </c>
      <c r="GE11" s="22"/>
      <c r="GF11" s="22"/>
      <c r="GG11" s="29" t="str">
        <f t="shared" ca="1" si="36"/>
        <v>PIERDE TOMA DE TAMIZAJE</v>
      </c>
      <c r="GH11" s="22"/>
      <c r="GI11" s="29"/>
      <c r="GJ11" s="22"/>
      <c r="GK11" s="22"/>
      <c r="GL11" s="22" t="s">
        <v>879</v>
      </c>
      <c r="GM11" s="22"/>
      <c r="GN11" s="28" t="s">
        <v>869</v>
      </c>
      <c r="GO11" s="22">
        <v>44810</v>
      </c>
      <c r="GP11" s="29">
        <f t="shared" si="37"/>
        <v>5.2857142857142856</v>
      </c>
      <c r="GQ11" s="28" t="s">
        <v>869</v>
      </c>
      <c r="GR11" s="28" t="s">
        <v>869</v>
      </c>
      <c r="GS11" s="22" t="str">
        <f t="shared" si="38"/>
        <v>CONTROL Igm</v>
      </c>
      <c r="GT11" s="22">
        <v>44810</v>
      </c>
      <c r="GU11" s="29">
        <f t="shared" si="39"/>
        <v>5.2857142857142856</v>
      </c>
      <c r="GV11" s="21" t="str">
        <f t="shared" si="40"/>
        <v>I TRIM</v>
      </c>
      <c r="GW11" s="28" t="s">
        <v>869</v>
      </c>
      <c r="GX11" s="30"/>
      <c r="GY11" s="21"/>
      <c r="GZ11" s="21"/>
      <c r="HA11" s="21"/>
      <c r="HB11" s="21"/>
      <c r="HC11" s="21"/>
      <c r="HD11" s="21"/>
      <c r="HE11" s="21"/>
      <c r="HF11" s="22"/>
      <c r="HG11" s="22" t="str">
        <f>IF(OR(O11&gt;0,R11&gt;0),CONCATENATE(IF(Tabla1[[#This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 s="22" t="e">
        <f t="shared" si="41"/>
        <v>#REF!</v>
      </c>
      <c r="HI11" s="22" t="e">
        <f t="shared" ca="1" si="42"/>
        <v>#REF!</v>
      </c>
      <c r="HJ11" s="21"/>
      <c r="HK11" s="21" t="str">
        <f t="shared" si="44"/>
        <v>SIN ANTECEDENTES DE RIESGO</v>
      </c>
      <c r="HL11" s="24" t="str">
        <f t="shared" si="45"/>
        <v>REGISTRE DATO PRESIÓN ARTERIAL MENSUAL</v>
      </c>
      <c r="HM11" s="21" t="str">
        <f t="shared" ca="1" si="46"/>
        <v/>
      </c>
      <c r="HN11" s="30" t="str">
        <f t="shared" si="47"/>
        <v>SALIO PROGRAMA</v>
      </c>
      <c r="HO11" s="21"/>
      <c r="HP11" s="21" t="s">
        <v>864</v>
      </c>
      <c r="HQ11" s="21">
        <v>44897</v>
      </c>
      <c r="HR11" s="21" t="str">
        <f>IF(R11="","",IF(Tabla1[[#This Row],[ALARMA FACTORES DE RIESGO COMPLICACIONES HIPERTENSIVAS3]]="SIN ANTECEDENTES DE RIESGO","No Aplica para suministro de ASA",IF(AND(Tabla1[[#This Row],[FECHA INICIO DE SUMINISTRO DE ASA]]&gt;0,RV11&lt;12),"Inicia ASA ANTES de Sem 12",IF(AND(RV11&gt;11,RV11&lt;17,OR(HK11="RIESGO ALTO DE COMPLICACIONES HIPERTENSIVAS VER MANEJO GUIA SUMINISTRO ASA Y CALCIO",HK11="RIESGO MODERADO (2 O MAS CRITERIOS) VER MANEJO GUIA SUMINISTRO ASA Y CALCIO")),"Inicio oportuno de ASA",IF(AND(RV11&gt;12,OR(HK11="RIESGO ALTO DE COMPLICACIONES HIPERTENSIVAS VER MANEJO GUIA SUMINISTRO ASA Y CALCIO",HK11="RIESGO MODERADO (2 O MAS CRITERIOS) VER MANEJO GUIA SUMINISTRO ASA Y CALCIO")),"Inicio no oportuno mayor a 16 semanas",IF(AND(BU11&lt;12,OR(HK11="RIESGO ALTO DE COMPLICACIONES HIPERTENSIVAS VER MANEJO GUIA SUMINISTRO ASA Y CALCIO",HK11="RIESGO MODERADO (2 O MAS CRITERIOS) VER MANEJO GUIA SUMINISTRO ASA Y CALCIO")),"Pendiente Inicio de ASA a la semana 12",IF(AND(BU11&gt;11,BU11&lt;17,OR(HK11="RIESGO ALTO DE COMPLICACIONES HIPERTENSIVAS VER MANEJO GUIA SUMINISTRO ASA Y CALCIO",HK11="RIESGO MODERADO (2 O MAS CRITERIOS) VER MANEJO GUIA SUMINISTRO ASA Y CALCIO")),"Iniciar de inmediato ASA",IF(AND(BU11&gt;16,OR(HK11="RIESGO ALTO DE COMPLICACIONES HIPERTENSIVAS VER MANEJO GUIA SUMINISTRO ASA Y CALCIO",HK11="RIESGO MODERADO (2 O MAS CRITERIOS) VER MANEJO GUIA SUMINISTRO ASA Y CALCIO")),"Pierde Oportunidad, Inicio tardío de ASA","XXXXX"))))))))</f>
        <v>No Aplica para suministro de ASA</v>
      </c>
      <c r="HS11" s="22">
        <v>44897</v>
      </c>
      <c r="HT11" s="22" t="s">
        <v>870</v>
      </c>
      <c r="HU11" s="22">
        <v>44810</v>
      </c>
      <c r="HV11" s="22" t="s">
        <v>870</v>
      </c>
      <c r="HW11" s="22">
        <v>44810</v>
      </c>
      <c r="HX11" s="22" t="s">
        <v>870</v>
      </c>
      <c r="HY11" s="22">
        <v>44810</v>
      </c>
      <c r="HZ11" s="28">
        <f t="shared" si="48"/>
        <v>5.2857142857142856</v>
      </c>
      <c r="IA11" s="26"/>
      <c r="IB11" s="26"/>
      <c r="IC11" s="111">
        <v>44897</v>
      </c>
      <c r="ID11" s="22">
        <v>44897</v>
      </c>
      <c r="IE11" s="22" t="str">
        <f t="shared" ca="1" si="49"/>
        <v>VACUNA APLICADA ANTES SEMANA 20</v>
      </c>
      <c r="IF11" s="22"/>
      <c r="IG11" s="22">
        <f t="shared" si="50"/>
        <v>45053</v>
      </c>
      <c r="IH11" s="29">
        <f t="shared" ca="1" si="51"/>
        <v>-180</v>
      </c>
      <c r="II11" s="22" t="str">
        <f t="shared" ca="1" si="52"/>
        <v>POSIBLEMENTE NACIO</v>
      </c>
      <c r="IJ11" s="22"/>
      <c r="IK11" s="21" t="s">
        <v>1652</v>
      </c>
      <c r="IL11" s="21"/>
      <c r="IM11" s="34"/>
      <c r="IN11" s="349">
        <v>45034</v>
      </c>
      <c r="IO11" s="21" t="s">
        <v>1186</v>
      </c>
      <c r="IP11" s="29">
        <f t="shared" si="53"/>
        <v>37.285714285714285</v>
      </c>
      <c r="IQ11" s="35" t="s">
        <v>1650</v>
      </c>
      <c r="IR11" s="21" t="s">
        <v>1651</v>
      </c>
      <c r="IS11" s="21" t="s">
        <v>1646</v>
      </c>
      <c r="IT11" s="21" t="s">
        <v>1642</v>
      </c>
      <c r="IU11" s="21"/>
      <c r="IV11" s="21"/>
      <c r="IW11" s="21"/>
      <c r="IX11" s="21"/>
      <c r="IY11" s="21"/>
      <c r="IZ11" s="21"/>
      <c r="JA11" s="21"/>
      <c r="JB11" s="30">
        <v>1</v>
      </c>
      <c r="JC11" s="21" t="s">
        <v>1643</v>
      </c>
      <c r="JD11" s="36">
        <v>3160</v>
      </c>
      <c r="JE11" s="21" t="str">
        <f t="shared" si="54"/>
        <v>PESO ADECUADO EDAD GESTACIONAL</v>
      </c>
      <c r="JF11" s="30"/>
      <c r="JG11" s="21"/>
      <c r="JH11" s="21"/>
      <c r="JI11" s="21" t="s">
        <v>854</v>
      </c>
      <c r="JJ11" s="30" t="s">
        <v>866</v>
      </c>
      <c r="JK11" s="22"/>
      <c r="JL11" s="22"/>
      <c r="JM11" s="21"/>
      <c r="JN11" s="36"/>
      <c r="JO11" s="21" t="str">
        <f t="shared" si="55"/>
        <v/>
      </c>
      <c r="JP11" s="22"/>
      <c r="JQ11" s="21"/>
      <c r="JR11" s="21"/>
      <c r="JS11" s="21"/>
      <c r="JT11" s="30"/>
      <c r="JU11" s="22"/>
      <c r="JV11" s="22"/>
      <c r="JW11" s="33"/>
      <c r="JX11" s="28" t="str">
        <f t="shared" si="56"/>
        <v>INASISTENTE</v>
      </c>
      <c r="JY11" s="33"/>
      <c r="JZ11" s="28" t="str">
        <f t="shared" si="57"/>
        <v>INASISTENTE</v>
      </c>
      <c r="KA11" s="21"/>
      <c r="KB11" s="21"/>
      <c r="KC11" s="21"/>
      <c r="KD11" s="37"/>
      <c r="KE11" s="28"/>
      <c r="KF11" s="28"/>
      <c r="KG11" s="28"/>
      <c r="KH11" s="39"/>
      <c r="KI11" s="39"/>
      <c r="KJ11" s="66"/>
      <c r="KK11" s="39"/>
      <c r="KL11" s="39"/>
      <c r="KM11" s="66"/>
      <c r="KN11" s="39"/>
      <c r="KO11" s="39"/>
      <c r="KP11" s="39"/>
      <c r="KQ11" s="39"/>
      <c r="KR11" s="39"/>
      <c r="KS11" s="39"/>
      <c r="KT11" s="39"/>
      <c r="KU11" s="38"/>
      <c r="KV11" s="38"/>
      <c r="KW11" s="38"/>
      <c r="KX11" s="38"/>
      <c r="KY11" s="38"/>
      <c r="KZ11" s="38"/>
      <c r="LA11" s="38"/>
      <c r="LB11" s="38"/>
      <c r="LC11" s="38"/>
      <c r="LD11" s="38"/>
      <c r="LE11" s="38"/>
      <c r="LF11" s="38"/>
      <c r="LG11" s="38"/>
      <c r="LH11" s="38"/>
      <c r="LI11" s="38"/>
      <c r="LJ11" s="38"/>
      <c r="LK11" s="38"/>
      <c r="LL11" s="38"/>
      <c r="LM11" s="38"/>
      <c r="LN11" s="38"/>
      <c r="LO11" s="38"/>
      <c r="LP11" s="38"/>
      <c r="LQ11" s="38"/>
      <c r="LR11" s="38"/>
      <c r="LS11" s="38"/>
      <c r="LT11" s="38"/>
      <c r="LU11" s="38"/>
      <c r="LV11" s="38"/>
      <c r="LW11" s="38"/>
      <c r="LX11" s="38"/>
      <c r="LY11" s="38"/>
      <c r="LZ11" s="38"/>
      <c r="MA11" s="38"/>
      <c r="MB11" s="38"/>
      <c r="MC11" s="38"/>
      <c r="MD11" s="38"/>
      <c r="ME11" s="38"/>
      <c r="MF11" s="38"/>
      <c r="MG11" s="38"/>
      <c r="MH11" s="43">
        <f t="shared" si="58"/>
        <v>0</v>
      </c>
      <c r="MI11" s="43" t="str">
        <f t="shared" si="59"/>
        <v/>
      </c>
      <c r="MJ11" s="43" t="str">
        <f t="shared" si="60"/>
        <v/>
      </c>
      <c r="MK11" s="43">
        <f t="shared" si="61"/>
        <v>0</v>
      </c>
      <c r="ML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 s="43">
        <f t="shared" si="62"/>
        <v>5.2857142857142856</v>
      </c>
      <c r="MN11" s="43">
        <f t="shared" si="63"/>
        <v>9</v>
      </c>
      <c r="MO11" s="43">
        <f t="shared" si="64"/>
        <v>2022</v>
      </c>
      <c r="MP11" s="43" t="str">
        <f t="shared" si="65"/>
        <v>III TRIMESTRE AÑO</v>
      </c>
      <c r="MQ11" s="43">
        <f t="shared" si="66"/>
        <v>18.593955321944808</v>
      </c>
      <c r="MR11" s="43">
        <f t="shared" si="67"/>
        <v>0</v>
      </c>
      <c r="MS11" s="43" t="str">
        <f t="shared" si="68"/>
        <v>DE 14 A 19AÑOS</v>
      </c>
      <c r="MT11" s="43">
        <f t="shared" si="69"/>
        <v>0</v>
      </c>
      <c r="MU11" s="43">
        <f t="shared" si="70"/>
        <v>1</v>
      </c>
      <c r="MV11" s="43">
        <f t="shared" si="71"/>
        <v>0</v>
      </c>
      <c r="MW11" s="43">
        <f t="shared" si="72"/>
        <v>0</v>
      </c>
      <c r="MX11" s="43" t="str">
        <f t="shared" si="73"/>
        <v/>
      </c>
      <c r="MY11" s="43" t="str">
        <f t="shared" ca="1" si="74"/>
        <v/>
      </c>
      <c r="MZ11" s="43" t="str">
        <f t="shared" si="75"/>
        <v/>
      </c>
      <c r="NA11" s="43">
        <f t="shared" si="76"/>
        <v>0</v>
      </c>
      <c r="NB11" s="43" t="str">
        <f t="shared" si="77"/>
        <v/>
      </c>
      <c r="NC11" s="43" t="str">
        <f t="shared" si="78"/>
        <v/>
      </c>
      <c r="ND11" s="43">
        <f t="shared" ca="1" si="79"/>
        <v>1.5</v>
      </c>
      <c r="NE11" s="43">
        <f>IF(OR(O11&gt;0,R11&gt;0),SUM(COUNTIF(Tabla1[[#This Row],[AÑOS AL INICIO5 CPN]],"&gt;=40"),COUNTIF(AS11,"0"),COUNTIF(AR11,"SI"),COUNTIF(CC11,"SI"),COUNTIF(BQ11,"&gt;119"),COUNTIF(CI11,"&gt;=35")),"")</f>
        <v>1</v>
      </c>
      <c r="NF11" s="43">
        <f t="shared" si="80"/>
        <v>17.714285714285715</v>
      </c>
      <c r="NG11" s="43">
        <f t="shared" si="81"/>
        <v>0.5</v>
      </c>
      <c r="NH11" s="43">
        <f t="shared" si="82"/>
        <v>143.5</v>
      </c>
      <c r="NI1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CPN",P11="NO"),"Z",IF(AND(Tabla1[[#This Row],[CITA PROXIMO CONTROL]]="CITA MANUAL",Tabla1[[#This Row],[GESTANTES ACTUALES]]="ACTIVA INGRESO A CPN"),"W",IF(AND(Tabla1[[#This Row],[GESTANTES ACTUALES]]="SALIO PROGRAMA",IN11=""),"S",IF(AND(Tabla1[[#This Row],[CITA PROXIMO CONTROL]]&gt;0,IN11=""),(Tabla1[[#This Row],[CITA PROXIMO CONTROL]]-TODAY()),"SD"))))))))</f>
        <v>SD</v>
      </c>
      <c r="NJ11" s="43">
        <f>MONTH(Tabla1[[#This Row],[FECHA DE SALIDA  DEL PROGRAMA]])</f>
        <v>4</v>
      </c>
      <c r="NK11" s="43">
        <f>YEAR(Tabla1[[#This Row],[FECHA DE SALIDA  DEL PROGRAMA]])</f>
        <v>2023</v>
      </c>
      <c r="NL11" s="43" t="str">
        <f t="shared" si="83"/>
        <v>X</v>
      </c>
      <c r="NM11" s="43" t="str">
        <f t="shared" si="84"/>
        <v>NO</v>
      </c>
      <c r="NN11" s="43" t="str">
        <f ca="1">IF(AND(O11&gt;0,R11=""),"NO CPN",IF(AND(O11="",R11=""),"",IF(AND(R11&gt;0,Tabla1[[#This Row],[SEMANAS DE GESTACION ACTUALIZADAS]]&lt;=12),"NO APLICA",IF(AND(FH11&lt;&gt;"",FN11&lt;&gt;""),"SI","NO"))))</f>
        <v>NO</v>
      </c>
      <c r="NO11" s="43" t="str">
        <f ca="1">IF(AND(O11&gt;0,R11=""),"NO CPN",IF(AND(O11="",R11=""),"",IF(AND(R11&gt;0,Tabla1[[#This Row],[SEMANAS DE GESTACION ACTUALIZADAS]]&lt;=27),"NO APLICA",IF(AND(ES11&lt;&gt;"",FQ11&lt;&gt;"",GF11&lt;&gt;""),"SI","NO"))))</f>
        <v>NO</v>
      </c>
      <c r="NP11" s="204" t="str">
        <f t="shared" si="85"/>
        <v>I TRIM</v>
      </c>
      <c r="NQ11" s="21">
        <f t="shared" si="86"/>
        <v>3</v>
      </c>
      <c r="NR11" s="21">
        <f t="shared" si="87"/>
        <v>3</v>
      </c>
      <c r="NS11" s="205">
        <f t="shared" ca="1" si="88"/>
        <v>1</v>
      </c>
      <c r="NT11" s="21">
        <f t="shared" ca="1" si="89"/>
        <v>2</v>
      </c>
      <c r="NU11" s="21" t="str">
        <f t="shared" ca="1" si="90"/>
        <v>INCOMPLETO</v>
      </c>
      <c r="NV11" s="21" t="str">
        <f t="shared" ca="1" si="91"/>
        <v>INCOMPLETO</v>
      </c>
      <c r="NW11" s="206" t="str">
        <f>IF(AND(O11="",R11=""),"",IF(OR(AND(Tabla1[[#This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 s="207" t="str">
        <f t="shared" ca="1" si="92"/>
        <v>VACUNADA</v>
      </c>
      <c r="NY11" s="43">
        <f>ROW(Tabla1[[#This Row],['# DE TAMIZAJES SIFILIS TOMADOS ]])</f>
        <v>11</v>
      </c>
      <c r="NZ11" s="43" t="str">
        <f t="shared" si="93"/>
        <v>Menor</v>
      </c>
      <c r="OA11" s="43" t="str">
        <f t="shared" si="94"/>
        <v>NORMAL</v>
      </c>
      <c r="OB11" s="43" t="str">
        <f t="shared" si="95"/>
        <v/>
      </c>
      <c r="OC11" s="43" t="str">
        <f t="shared" si="96"/>
        <v/>
      </c>
      <c r="OD11" s="43" t="str">
        <f t="shared" si="97"/>
        <v/>
      </c>
      <c r="OE11" s="43" t="str">
        <f t="shared" si="98"/>
        <v/>
      </c>
      <c r="OF11" s="43" t="str">
        <f t="shared" si="99"/>
        <v/>
      </c>
      <c r="OG11" s="43" t="str">
        <f t="shared" si="100"/>
        <v/>
      </c>
      <c r="OH11" s="43" t="str">
        <f t="shared" si="101"/>
        <v/>
      </c>
      <c r="OI11" s="43" t="str">
        <f t="shared" si="102"/>
        <v/>
      </c>
      <c r="OJ11" s="43" t="str">
        <f t="shared" si="103"/>
        <v/>
      </c>
      <c r="OK11" s="43" t="str">
        <f t="shared" si="104"/>
        <v/>
      </c>
      <c r="OL11" s="43" t="str">
        <f t="shared" si="105"/>
        <v/>
      </c>
      <c r="OM11" s="43" t="str">
        <f t="shared" si="106"/>
        <v/>
      </c>
      <c r="ON11" s="43" t="str">
        <f t="shared" si="107"/>
        <v/>
      </c>
      <c r="OO11" s="43" t="str">
        <f t="shared" si="108"/>
        <v/>
      </c>
      <c r="OP11" s="43" t="str">
        <f t="shared" si="109"/>
        <v/>
      </c>
      <c r="OQ11" s="43" t="str">
        <f t="shared" si="110"/>
        <v/>
      </c>
      <c r="OR11" s="43" t="str">
        <f t="shared" si="111"/>
        <v/>
      </c>
      <c r="OS11" s="43" t="str">
        <f t="shared" si="112"/>
        <v/>
      </c>
      <c r="OT11" s="43" t="str">
        <f t="shared" si="113"/>
        <v/>
      </c>
      <c r="OU11" s="43" t="str">
        <f t="shared" si="114"/>
        <v/>
      </c>
      <c r="OV11" s="110" t="str">
        <f t="shared" si="115"/>
        <v/>
      </c>
      <c r="OW11" s="43" t="str">
        <f t="shared" si="116"/>
        <v/>
      </c>
      <c r="OX11" s="43" t="str">
        <f t="shared" si="117"/>
        <v/>
      </c>
      <c r="OY11" s="43" t="str">
        <f t="shared" si="118"/>
        <v/>
      </c>
      <c r="OZ11" s="43" t="str">
        <f t="shared" si="119"/>
        <v/>
      </c>
      <c r="PA11" s="43" t="str">
        <f t="shared" si="120"/>
        <v/>
      </c>
      <c r="PB11" s="43" t="str">
        <f t="shared" si="121"/>
        <v/>
      </c>
      <c r="PC11" s="43" t="str">
        <f t="shared" si="122"/>
        <v/>
      </c>
      <c r="PD11" s="43" t="str">
        <f t="shared" si="123"/>
        <v/>
      </c>
      <c r="PE11" s="43" t="str">
        <f t="shared" si="124"/>
        <v/>
      </c>
      <c r="PF11" s="43" t="str">
        <f t="shared" si="125"/>
        <v/>
      </c>
      <c r="PG11" s="43" t="str">
        <f t="shared" si="126"/>
        <v/>
      </c>
      <c r="PH11" s="43" t="str">
        <f t="shared" si="127"/>
        <v/>
      </c>
      <c r="PI11" s="43">
        <f t="shared" si="128"/>
        <v>36</v>
      </c>
      <c r="PJ11" s="43" t="str">
        <f t="shared" si="129"/>
        <v/>
      </c>
      <c r="PK11" s="43" t="str">
        <f t="shared" si="130"/>
        <v/>
      </c>
      <c r="PL11" s="43" t="str">
        <f t="shared" si="131"/>
        <v/>
      </c>
      <c r="PM11" s="43" t="str">
        <f t="shared" si="132"/>
        <v/>
      </c>
      <c r="PN11" s="43" t="str">
        <f t="shared" si="133"/>
        <v/>
      </c>
      <c r="PO11" s="43" t="str">
        <f t="shared" si="134"/>
        <v/>
      </c>
      <c r="PP11" s="43" t="str">
        <f t="shared" si="135"/>
        <v/>
      </c>
      <c r="PQ11" s="43" t="str">
        <f t="shared" si="136"/>
        <v/>
      </c>
      <c r="PR11" s="43" t="str">
        <f t="shared" si="137"/>
        <v/>
      </c>
      <c r="PS11" s="43" t="str">
        <f t="shared" si="138"/>
        <v/>
      </c>
      <c r="PT11" s="43" t="str">
        <f t="shared" si="139"/>
        <v/>
      </c>
      <c r="PU11" s="43" t="str">
        <f t="shared" si="140"/>
        <v/>
      </c>
      <c r="PV11" s="43" t="str">
        <f t="shared" si="141"/>
        <v/>
      </c>
      <c r="PW11" s="43" t="str">
        <f t="shared" si="142"/>
        <v/>
      </c>
      <c r="PX11" s="43" t="str">
        <f t="shared" si="143"/>
        <v/>
      </c>
      <c r="PY11" s="43" t="str">
        <f t="shared" si="144"/>
        <v/>
      </c>
      <c r="PZ11" s="43" t="str">
        <f t="shared" si="145"/>
        <v/>
      </c>
      <c r="QA11" s="43" t="str">
        <f t="shared" si="146"/>
        <v/>
      </c>
      <c r="QB11" s="43" t="str">
        <f t="shared" si="147"/>
        <v/>
      </c>
      <c r="QC11" s="43" t="str">
        <f t="shared" si="148"/>
        <v/>
      </c>
      <c r="QD11" s="43" t="str">
        <f t="shared" si="149"/>
        <v/>
      </c>
      <c r="QE11" s="43" t="str">
        <f t="shared" si="150"/>
        <v/>
      </c>
      <c r="QF11" s="43" t="str">
        <f t="shared" si="151"/>
        <v/>
      </c>
      <c r="QG11" s="43" t="str">
        <f t="shared" si="152"/>
        <v/>
      </c>
      <c r="QH11" s="43" t="str">
        <f t="shared" si="153"/>
        <v/>
      </c>
      <c r="QI11" s="43" t="str">
        <f t="shared" si="154"/>
        <v/>
      </c>
      <c r="QJ11" s="43" t="str">
        <f t="shared" si="155"/>
        <v/>
      </c>
      <c r="QK11" s="43" t="str">
        <f t="shared" si="156"/>
        <v/>
      </c>
      <c r="QL11" s="43" t="str">
        <f t="shared" si="157"/>
        <v/>
      </c>
      <c r="QM11" s="43" t="str">
        <f t="shared" si="158"/>
        <v/>
      </c>
      <c r="QN11" s="43" t="str">
        <f t="shared" si="159"/>
        <v/>
      </c>
      <c r="QO11" s="43" t="str">
        <f t="shared" si="160"/>
        <v/>
      </c>
      <c r="QP11" s="43" t="str">
        <f t="shared" si="161"/>
        <v/>
      </c>
      <c r="QQ11" s="43" t="str">
        <f t="shared" si="162"/>
        <v/>
      </c>
      <c r="QR11" s="43">
        <f t="shared" si="192"/>
        <v>36</v>
      </c>
      <c r="QS11" s="43"/>
      <c r="QT11" s="21" t="str">
        <f t="shared" si="163"/>
        <v/>
      </c>
      <c r="QU11" s="21" t="str">
        <f t="shared" si="164"/>
        <v/>
      </c>
      <c r="QV11" s="21" t="str">
        <f t="shared" si="165"/>
        <v/>
      </c>
      <c r="QW11" s="21" t="str">
        <f t="shared" si="166"/>
        <v/>
      </c>
      <c r="QX11" s="21" t="str">
        <f t="shared" si="167"/>
        <v/>
      </c>
      <c r="QY11" s="21" t="str">
        <f t="shared" si="168"/>
        <v/>
      </c>
      <c r="QZ11" s="21" t="str">
        <f t="shared" si="169"/>
        <v/>
      </c>
      <c r="RA11" s="21" t="str">
        <f t="shared" si="170"/>
        <v/>
      </c>
      <c r="RB11" s="21" t="str">
        <f t="shared" si="171"/>
        <v/>
      </c>
      <c r="RC11" s="21" t="str">
        <f t="shared" si="172"/>
        <v/>
      </c>
      <c r="RD11" s="21" t="str">
        <f t="shared" si="173"/>
        <v/>
      </c>
      <c r="RE11" s="21" t="str">
        <f t="shared" si="174"/>
        <v/>
      </c>
      <c r="RF11" s="21" t="str">
        <f t="shared" si="175"/>
        <v/>
      </c>
      <c r="RG11" s="21" t="str">
        <f t="shared" si="176"/>
        <v/>
      </c>
      <c r="RH11" s="21" t="str">
        <f t="shared" si="177"/>
        <v/>
      </c>
      <c r="RI11" s="21" t="str">
        <f t="shared" si="178"/>
        <v/>
      </c>
      <c r="RJ11" s="21" t="str">
        <f t="shared" si="179"/>
        <v/>
      </c>
      <c r="RK11" s="21" t="str">
        <f t="shared" si="180"/>
        <v/>
      </c>
      <c r="RL11" s="21" t="str">
        <f t="shared" si="181"/>
        <v/>
      </c>
      <c r="RM11" s="21" t="str">
        <f t="shared" si="182"/>
        <v/>
      </c>
      <c r="RN11" s="21" t="str">
        <f t="shared" si="183"/>
        <v/>
      </c>
      <c r="RO11" s="21" t="str">
        <f t="shared" si="184"/>
        <v/>
      </c>
      <c r="RP11" s="21" t="str">
        <f t="shared" si="185"/>
        <v/>
      </c>
      <c r="RQ11" s="21" t="str">
        <f t="shared" si="186"/>
        <v/>
      </c>
      <c r="RR11" s="21" t="str">
        <f t="shared" si="187"/>
        <v/>
      </c>
      <c r="RS11" s="21" t="str">
        <f t="shared" si="188"/>
        <v/>
      </c>
      <c r="RT11" s="21" t="str">
        <f t="shared" si="189"/>
        <v/>
      </c>
      <c r="RU11" s="21" t="str">
        <f t="shared" si="190"/>
        <v/>
      </c>
      <c r="RV11" s="21">
        <f t="shared" si="191"/>
        <v>17.714285714285715</v>
      </c>
      <c r="RW11" s="284">
        <f>IF(OR(Tabla1[[#This Row],[FUM FORMULA CONFIABLE]]="",Tabla1[[#This Row],[FUM FORMULA CONFIABLE]]="SD"),"",IF(Tabla1[[#This Row],[FUM FORMULA CONFIABLE]]="CORREGIDA",Tabla1[[#This Row],[FUM X ECO 1]],Tabla1[[#This Row],[FUM x AMENORREA]]))</f>
        <v>44773</v>
      </c>
      <c r="RX11" s="21">
        <f>IF(AND(Tabla1[[#This Row],[FUM X ECO 1]]="",Tabla1[[#This Row],[FUM x AMENORREA]]=""),"",IF(AND(Tabla1[[#This Row],[FUM X ECO 1]]="",Tabla1[[#This Row],[FUM x AMENORREA]]&lt;&gt;""),"X",SUM(Tabla1[[#This Row],[FUM X ECO 1]]-Tabla1[[#This Row],[FUM x AMENORREA]])))</f>
        <v>-18.5</v>
      </c>
      <c r="RY11" s="21">
        <f t="shared" si="193"/>
        <v>1</v>
      </c>
    </row>
    <row r="12" spans="1:493" ht="45" customHeight="1" x14ac:dyDescent="0.25">
      <c r="A12" s="109"/>
      <c r="B12" s="43" t="s">
        <v>921</v>
      </c>
      <c r="C12" s="43" t="s">
        <v>845</v>
      </c>
      <c r="D12" s="124" t="s">
        <v>846</v>
      </c>
      <c r="E12" s="43" t="s">
        <v>922</v>
      </c>
      <c r="F12" s="43" t="s">
        <v>923</v>
      </c>
      <c r="G12" s="43" t="s">
        <v>924</v>
      </c>
      <c r="H12" s="43"/>
      <c r="I12" s="109" t="s">
        <v>851</v>
      </c>
      <c r="J12" s="110">
        <v>25546638</v>
      </c>
      <c r="K12" s="43" t="s">
        <v>852</v>
      </c>
      <c r="L12" s="175" t="s">
        <v>853</v>
      </c>
      <c r="M12" s="22">
        <v>29393</v>
      </c>
      <c r="N12" s="213">
        <f t="shared" ca="1" si="0"/>
        <v>43.397260273972606</v>
      </c>
      <c r="O12" s="22">
        <v>44806</v>
      </c>
      <c r="P12" s="214" t="str">
        <f t="shared" si="1"/>
        <v>SI</v>
      </c>
      <c r="Q12" s="26" t="s">
        <v>855</v>
      </c>
      <c r="R12" s="22">
        <v>44810</v>
      </c>
      <c r="S12" s="21" t="s">
        <v>856</v>
      </c>
      <c r="T12" s="24" t="s">
        <v>690</v>
      </c>
      <c r="U12" s="21" t="s">
        <v>857</v>
      </c>
      <c r="V12" s="21" t="s">
        <v>858</v>
      </c>
      <c r="W12" s="21" t="s">
        <v>925</v>
      </c>
      <c r="X12" s="21" t="s">
        <v>925</v>
      </c>
      <c r="Y12" s="21" t="s">
        <v>859</v>
      </c>
      <c r="Z12" s="21">
        <v>3132605017</v>
      </c>
      <c r="AA12" s="21" t="s">
        <v>860</v>
      </c>
      <c r="AB12" s="27" t="s">
        <v>861</v>
      </c>
      <c r="AC12" s="26" t="s">
        <v>877</v>
      </c>
      <c r="AD12" s="38" t="s">
        <v>846</v>
      </c>
      <c r="AE12" s="26" t="s">
        <v>854</v>
      </c>
      <c r="AF12" s="26" t="s">
        <v>854</v>
      </c>
      <c r="AG12" s="23" t="s">
        <v>864</v>
      </c>
      <c r="AH12" s="23" t="s">
        <v>864</v>
      </c>
      <c r="AI12" s="24" t="s">
        <v>863</v>
      </c>
      <c r="AJ12" s="23" t="s">
        <v>864</v>
      </c>
      <c r="AK12" s="220" t="str">
        <f>IF(AND(AD12="",AE12="",AF12="",AG12="",AH12="",AI12="",AJ12=""),"",IF(OR(Tabla1[[#This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EVALUACIÓN",IF(AND(O12="",R12=""),"",IF(AND(OR(O12&gt;0,R12&gt;0),NG12&gt;=0,NG12&lt;2),"SIN RIESGO",IF(AND(OR(O12&gt;0,R12&gt;0),NG12&gt;=2),"CON RIESGO","ASD")))))</f>
        <v>SIN RIESGO</v>
      </c>
      <c r="AL12" s="23" t="s">
        <v>864</v>
      </c>
      <c r="AM12" s="26" t="s">
        <v>864</v>
      </c>
      <c r="AN12" s="26" t="s">
        <v>864</v>
      </c>
      <c r="AO12" s="26" t="s">
        <v>865</v>
      </c>
      <c r="AP12" s="26" t="s">
        <v>865</v>
      </c>
      <c r="AQ12" s="26" t="s">
        <v>865</v>
      </c>
      <c r="AR12" s="26" t="s">
        <v>865</v>
      </c>
      <c r="AS12" s="21">
        <v>1</v>
      </c>
      <c r="AT12" s="21">
        <v>1</v>
      </c>
      <c r="AU12" s="21">
        <v>0</v>
      </c>
      <c r="AV12" s="26" t="s">
        <v>864</v>
      </c>
      <c r="AW12" s="21">
        <v>0</v>
      </c>
      <c r="AX12" s="26" t="s">
        <v>864</v>
      </c>
      <c r="AY12" s="26" t="s">
        <v>864</v>
      </c>
      <c r="AZ12" s="26" t="s">
        <v>864</v>
      </c>
      <c r="BA12" s="26" t="s">
        <v>864</v>
      </c>
      <c r="BB12" s="26" t="s">
        <v>864</v>
      </c>
      <c r="BC12" s="26" t="s">
        <v>864</v>
      </c>
      <c r="BD12" s="26" t="s">
        <v>864</v>
      </c>
      <c r="BE12" s="26" t="s">
        <v>864</v>
      </c>
      <c r="BF12" s="26" t="s">
        <v>864</v>
      </c>
      <c r="BG12" s="26" t="s">
        <v>864</v>
      </c>
      <c r="BH12" s="26"/>
      <c r="BI12" s="26" t="s">
        <v>864</v>
      </c>
      <c r="BJ12" s="26"/>
      <c r="BK12" s="26"/>
      <c r="BL12" s="26"/>
      <c r="BM12" s="26" t="s">
        <v>864</v>
      </c>
      <c r="BN12" s="22">
        <v>37909</v>
      </c>
      <c r="BO12" s="22">
        <v>44750</v>
      </c>
      <c r="BP12" s="21" t="s">
        <v>1380</v>
      </c>
      <c r="BQ12" s="222">
        <f t="shared" si="2"/>
        <v>227.73000000000005</v>
      </c>
      <c r="BR12" s="223">
        <f t="shared" si="3"/>
        <v>44740.9</v>
      </c>
      <c r="BS12" s="224">
        <f t="shared" si="4"/>
        <v>9.8714285714283641</v>
      </c>
      <c r="BT12" s="216" t="str">
        <f t="shared" si="5"/>
        <v>I TRIM</v>
      </c>
      <c r="BU12" s="214" t="str">
        <f t="shared" ca="1" si="6"/>
        <v/>
      </c>
      <c r="BV12" s="25"/>
      <c r="BW12" s="22">
        <v>44834</v>
      </c>
      <c r="BX12" s="28">
        <v>13.3</v>
      </c>
      <c r="BY12" s="28"/>
      <c r="BZ12" s="22">
        <v>44846</v>
      </c>
      <c r="CA12" s="21">
        <v>22</v>
      </c>
      <c r="CB12" s="26" t="s">
        <v>864</v>
      </c>
      <c r="CC12" s="26" t="s">
        <v>864</v>
      </c>
      <c r="CD12" s="26" t="s">
        <v>878</v>
      </c>
      <c r="CE12" s="26" t="s">
        <v>864</v>
      </c>
      <c r="CF12" s="22">
        <v>44845</v>
      </c>
      <c r="CG12" s="21">
        <v>1.44</v>
      </c>
      <c r="CH12" s="21">
        <v>54</v>
      </c>
      <c r="CI12" s="214">
        <f t="shared" si="7"/>
        <v>26.041666666666668</v>
      </c>
      <c r="CJ12" s="225" t="str">
        <f>IF(AND(CI12&lt;10,CH12="SD"),"SIN DATO PESO PREGESTACION O I TRIM",IF(AND(OR(R12&gt;0,O12&gt;0),CI12="X"),"INGRESAR DATO DE PESO",IF(CI12="SD","INGRESAR DATO DE TALLA Y PESO",IF(AND(OR(Tabla1[[#This Row],[MOMENTO EN QUE SE REALIZA EL PESO AL INGRESO A CPN]]="PREGESTACIÓN",NZ12="Menor"),CI12&lt;18.5),"BAJO PESO",IF(AND(OR(Tabla1[[#This Row],[MOMENTO EN QUE SE REALIZA EL PESO AL INGRESO A CPN]]="PREGESTACIÓN",NZ12="Menor"),CI12&lt;25),"NORMAL",IF(AND(OR(Tabla1[[#This Row],[MOMENTO EN QUE SE REALIZA EL PESO AL INGRESO A CPN]]="PREGESTACIÓN",NZ12="Menor"),CI12&lt;30),"SOBREPESO",IF(AND(OR(Tabla1[[#This Row],[MOMENTO EN QUE SE REALIZA EL PESO AL INGRESO A CPN]]="PREGESTACIÓN",NZ12="Menor"),CI12&gt;=30,CI12&lt;50),"OBESIDAD",IF(AND(BS12&gt;0,Tabla1[[#This Row],[MOMENTO EN QUE SE REALIZA EL PESO AL INGRESO A CPN]]="GESTACIÓN"),HLOOKUP(NZ12,$OA$2:PH12,NY12),""))))))))</f>
        <v>SOBREPESO</v>
      </c>
      <c r="CK12" s="212">
        <f t="shared" si="8"/>
        <v>44933</v>
      </c>
      <c r="CL12" s="21"/>
      <c r="CM12" s="214">
        <f t="shared" si="9"/>
        <v>0</v>
      </c>
      <c r="CN12" s="216">
        <f t="shared" si="10"/>
        <v>27</v>
      </c>
      <c r="CO12" s="216" t="e">
        <f>IF(PI12="","",IF(PI12&gt;0,HLOOKUP(PI12,$PJ$2:QQ12,NY12),""))</f>
        <v>#REF!</v>
      </c>
      <c r="CP12" s="21"/>
      <c r="CQ12" s="216" t="e">
        <f>IF(QR12="Menor","NO APLICA-MENOR 13 SEM",IF(AND(CC12="SI",CN12&gt;23),"NO APLICA- GEMELAR",IF(QR12="","",IF(QR12&gt;0,HLOOKUP(QR12,$QS$2:RU12,NY12),""))))</f>
        <v>#REF!</v>
      </c>
      <c r="CR12" s="21">
        <v>120</v>
      </c>
      <c r="CS12" s="21">
        <v>70</v>
      </c>
      <c r="CT12" s="217" t="str">
        <f>IF(R12="","",IF(AND(BS12&gt;1,BS12&lt;12,Tabla1[[#This Row],[T.A. SISTOLICA - ANTES DE SEMANA 12]]="",Tabla1[[#This Row],[T.A. DIASTOLICA - ANTES DE SEMANA 12]]=""),"REGISTRE DATO TA ANTES SEMANA 12",IF(AND(BS12&gt;11,BS12&lt;43,Tabla1[[#This Row],[T.A. SISTOLICA - ANTES DE SEMANA 12]]="",Tabla1[[#This Row],[T.A. DIASTOLICA - ANTES DE SEMANA 12]]=""),"NO APLICA REGISTRO TA-INGRESO TARDIO",IF(AND(OR(O12&gt;0,R12&gt;0),OR(CR12&gt;=140,CS12&gt;=90)),"DEFINIR ESTADIO HTA",IF(AND(OR(O12&gt;0,R12&gt;0),AND(CR12&gt;120,CR12&lt;=139)),"PRE HTA SEGUIMIENTO",IF(AND(OR(O12&gt;0,R12&gt;0),AND(CS12&gt;80,CS12&lt;=89)),"PRE HTA SEGUIMIENTO",IF(AND(OR(O12&gt;0,R12&gt;0),AND(CR12&gt;=80,CR12&lt;=120)),"APARENTEMENTE NORMAL",IF(AND(OR(O12&gt;0,R12&gt;0),AND(CS12&gt;=50,CS12&lt;=80)),"APARENTEMENTE NORMAL",IF(AND(OR(O12&gt;0,R12&gt;0),AND(CR12&gt;1,CR12&lt;=70),AND(CS12&gt;1,CS12&lt;=40)),"HIPOTENSIÓN","")))))))))</f>
        <v>APARENTEMENTE NORMAL</v>
      </c>
      <c r="CU12" s="21">
        <v>100</v>
      </c>
      <c r="CV12" s="21">
        <v>60</v>
      </c>
      <c r="CW12" s="217" t="str">
        <f ca="1">IF(R12="","",IF(AND(CN12&gt;19,CN12&lt;27,Tabla1[[#This Row],[T.A. SISTOLICA (Entre semana 20 y 26)]]="",Tabla1[[#This Row],[T.A. DIATOLICA (Entre semana 20 y 26)]]=""),"ACUDE A CONTROL SEM 20 A 26 REGISTRE TA AHORA",IF(AND(BS12&gt;1,BS12&lt;27,BU12&gt;19,Tabla1[[#This Row],[T.A. SISTOLICA (Entre semana 20 y 26)]]="",Tabla1[[#This Row],[T.A. DIATOLICA (Entre semana 20 y 26)]]=""),"COMPLETE REGISTRO TA CONTROL SEM 20 A26 ",IF(AND(BS12&gt;26,BS12&lt;43,Tabla1[[#This Row],[T.A. SISTOLICA (Entre semana 20 y 26)]]="",Tabla1[[#This Row],[T.A. DIATOLICA (Entre semana 20 y 26)]]=""),"NO APLICA REGISTRO TA-INGRESO TARDIO",IF(AND(OR(O12&gt;0,R12&gt;0),OR(CU12&gt;=140,CV12&gt;=90)),"ALTO RIESGO PREECLAMPSIA,DEFINIR ESTADIO HTA",IF(AND(OR(O12&gt;0,R12&gt;0),AND(CU12&gt;120,CU12&lt;=139)),"PRE HTA SEGUIMIENTO,RIESGO HIPERTENSION INDUCIDA POR EL EMBARAZO",IF(AND(OR(O12&gt;0,R12&gt;0),AND(CV12&gt;80,CV12&lt;=89)),"PRE HTA SEGUIMIENTO, RIESGO HIPERTENSION INDUCIDA POR EL EMBARAZO",IF(AND(OR(O12&lt;&gt;"",R12&lt;&gt;""),CS12&lt;&gt;"",CV12&lt;&gt;"",CS12&lt;=CV12),"VIGILAR CIFRAS PRESION ARTERIAL",IF(AND(OR(O12&gt;0,R12&gt;0),AND(CU12&gt;120,CU12&lt;=139)),"PRE HTA SEGUIMIENTO",IF(AND(OR(O12&gt;0,R12&gt;0),AND(CU12&gt;1,CU12&lt;=70),AND(CV12&gt;1,CV12&lt;=40)),"HIPOTENSIÓN",IF(AND(OR(O12&lt;&gt;"",R12&lt;&gt;""),CS12&lt;&gt;"",CV12&lt;&gt;"",CS12&gt;CV12),"APARENTEMENTE NORMAL",IF(AND(OR(O12&gt;0,R12&gt;0),AND(CU12&gt;=80,CU12&lt;=120)),"APARENTEMENTE NORMAL",IF(AND(OR(O12&gt;0,R12&gt;0),AND(CV12&gt;=50,CV12&lt;=80)),"APARENTEMENTE NORMAL","")))))))))))))</f>
        <v>APARENTEMENTE NORMAL</v>
      </c>
      <c r="CX12" s="21"/>
      <c r="CY12" s="21"/>
      <c r="CZ12" s="216" t="str">
        <f t="shared" si="11"/>
        <v/>
      </c>
      <c r="DA12" s="21"/>
      <c r="DB12" s="21"/>
      <c r="DC12" s="217" t="str">
        <f t="shared" si="12"/>
        <v>REGISTRE DATO PRESIÓN ARTERIAL MENSUAL</v>
      </c>
      <c r="DD12" s="22">
        <v>44810</v>
      </c>
      <c r="DE12" s="22">
        <v>44810</v>
      </c>
      <c r="DF12" s="22">
        <v>44845</v>
      </c>
      <c r="DG12" s="22">
        <v>44884</v>
      </c>
      <c r="DH12" s="22">
        <v>44933</v>
      </c>
      <c r="DI12" s="22"/>
      <c r="DJ12" s="22"/>
      <c r="DK12" s="22"/>
      <c r="DL12" s="22"/>
      <c r="DM12" s="22"/>
      <c r="DN12" s="22"/>
      <c r="DO12" s="22"/>
      <c r="DP12" s="22"/>
      <c r="DQ12" s="22"/>
      <c r="DR12" s="28">
        <v>1</v>
      </c>
      <c r="DS12" s="22"/>
      <c r="DT12" s="22"/>
      <c r="DU12" s="216" t="str">
        <f t="shared" ca="1" si="13"/>
        <v>SALE SIN PLAN DE PARTO</v>
      </c>
      <c r="DV12" s="226" t="str">
        <f t="shared" si="14"/>
        <v>SALIO PROGRAMA</v>
      </c>
      <c r="DW1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 s="216" t="str">
        <f t="shared" ca="1" si="15"/>
        <v/>
      </c>
      <c r="DY12" s="212">
        <f>IF(R12="","",IF(R12&gt;0,MAX(Tabla1[[#This Row],[FECHA C2]:[FECHA C13]],Tabla1[[#This Row],[FECHA CONSULTA PRIMERA VEZ PROGRAMA CPN ]])))</f>
        <v>44933</v>
      </c>
      <c r="DZ12" s="216">
        <f t="shared" si="16"/>
        <v>27</v>
      </c>
      <c r="EA12" s="222">
        <f>IF(R12&gt;0,SUM(COUNTA(DF12:DQ12)+COUNTA(Tabla1[[#This Row],[FECHA CONSULTA PRIMERA VEZ PROGRAMA CPN ]])),"")</f>
        <v>4</v>
      </c>
      <c r="EB12" s="222" t="str">
        <f t="shared" si="17"/>
        <v>SI</v>
      </c>
      <c r="EC12" s="214">
        <f t="shared" si="18"/>
        <v>9</v>
      </c>
      <c r="ED12" s="227">
        <f t="shared" si="19"/>
        <v>0.44444444444444442</v>
      </c>
      <c r="EE12" s="22">
        <v>44810</v>
      </c>
      <c r="EF12" s="22">
        <v>44810</v>
      </c>
      <c r="EG12" s="22">
        <v>44810</v>
      </c>
      <c r="EH12" s="22">
        <v>44832</v>
      </c>
      <c r="EI12" s="22">
        <v>44810</v>
      </c>
      <c r="EJ12" s="22">
        <v>44832</v>
      </c>
      <c r="EK12" s="22">
        <v>44832</v>
      </c>
      <c r="EL12" s="21">
        <v>1</v>
      </c>
      <c r="EM12" s="21">
        <v>13</v>
      </c>
      <c r="EN12" s="22">
        <v>44804</v>
      </c>
      <c r="EO12" s="222">
        <f t="shared" si="20"/>
        <v>9.0142857142855064</v>
      </c>
      <c r="EP12" s="214" t="str">
        <f t="shared" si="21"/>
        <v>NORMAL- SUMINISTRAR SULFATO FERROSO</v>
      </c>
      <c r="EQ12" s="216" t="str">
        <f t="shared" si="22"/>
        <v>I TRIM</v>
      </c>
      <c r="ER12" s="24"/>
      <c r="ES12" s="22"/>
      <c r="ET12" s="29" t="str">
        <f t="shared" ca="1" si="23"/>
        <v>SALE SIN TAMIZAJE HEMOGLOBINA SEM 28</v>
      </c>
      <c r="EU12" s="25" t="str">
        <f t="shared" si="24"/>
        <v/>
      </c>
      <c r="EV12" s="24" t="s">
        <v>926</v>
      </c>
      <c r="EW12" s="24">
        <v>44804</v>
      </c>
      <c r="EX12" s="22"/>
      <c r="EY12" s="29">
        <f t="shared" si="25"/>
        <v>9.0142857142855064</v>
      </c>
      <c r="EZ12" s="25" t="str">
        <f t="shared" ca="1" si="26"/>
        <v/>
      </c>
      <c r="FA12" s="21">
        <v>67</v>
      </c>
      <c r="FB12" s="22">
        <v>44804</v>
      </c>
      <c r="FC12" s="29">
        <f t="shared" si="27"/>
        <v>9.0142857142855064</v>
      </c>
      <c r="FD12" s="29"/>
      <c r="FE12" s="29"/>
      <c r="FF12" s="29"/>
      <c r="FG12" s="21" t="str">
        <f t="shared" ca="1" si="28"/>
        <v/>
      </c>
      <c r="FH12" s="31"/>
      <c r="FI12" s="29" t="str">
        <f t="shared" si="29"/>
        <v>TOMAR EXAMEN</v>
      </c>
      <c r="FJ12" s="22" t="s">
        <v>867</v>
      </c>
      <c r="FK12" s="22">
        <v>44804</v>
      </c>
      <c r="FL12" s="29">
        <f t="shared" ca="1" si="30"/>
        <v>9.0142857142855064</v>
      </c>
      <c r="FM12" s="22" t="s">
        <v>867</v>
      </c>
      <c r="FN12" s="32">
        <v>44898</v>
      </c>
      <c r="FO12" s="29">
        <f t="shared" ca="1" si="31"/>
        <v>22.442857142856933</v>
      </c>
      <c r="FP12" s="22"/>
      <c r="FQ12" s="32"/>
      <c r="FR12" s="29" t="str">
        <f t="shared" ca="1" si="32"/>
        <v>PIERDE TOMA DE TAMIZAJE</v>
      </c>
      <c r="FS12" s="22"/>
      <c r="FT12" s="32"/>
      <c r="FU12" s="29" t="str">
        <f>IF(AND(FJ12="",FM12="",FP12="",FS12=""),"",IF(OR(OR(Tabla1[[#This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 s="28"/>
      <c r="FW12" s="22"/>
      <c r="FX12" s="29" t="str">
        <f t="shared" si="33"/>
        <v>TOMAR EXAMEN</v>
      </c>
      <c r="FY12" s="22">
        <v>44804</v>
      </c>
      <c r="FZ12" s="22">
        <v>44804</v>
      </c>
      <c r="GA12" s="29">
        <f t="shared" ca="1" si="34"/>
        <v>9.0142857142855064</v>
      </c>
      <c r="GB12" s="22" t="s">
        <v>868</v>
      </c>
      <c r="GC12" s="22">
        <v>44898</v>
      </c>
      <c r="GD12" s="29">
        <f t="shared" ca="1" si="35"/>
        <v>22.442857142856933</v>
      </c>
      <c r="GE12" s="22"/>
      <c r="GF12" s="22"/>
      <c r="GG12" s="29" t="str">
        <f t="shared" ca="1" si="36"/>
        <v>PIERDE TOMA DE TAMIZAJE</v>
      </c>
      <c r="GH12" s="22"/>
      <c r="GI12" s="29"/>
      <c r="GJ12" s="22"/>
      <c r="GK12" s="22"/>
      <c r="GL12" s="22" t="s">
        <v>879</v>
      </c>
      <c r="GM12" s="22"/>
      <c r="GN12" s="28" t="s">
        <v>869</v>
      </c>
      <c r="GO12" s="22">
        <v>44804</v>
      </c>
      <c r="GP12" s="29">
        <f t="shared" si="37"/>
        <v>9.0142857142855064</v>
      </c>
      <c r="GQ12" s="28" t="s">
        <v>880</v>
      </c>
      <c r="GR12" s="28" t="s">
        <v>869</v>
      </c>
      <c r="GS12" s="22" t="str">
        <f t="shared" si="38"/>
        <v>SE EXCLUYE INFECCION</v>
      </c>
      <c r="GT12" s="22">
        <v>44804</v>
      </c>
      <c r="GU12" s="29">
        <f t="shared" si="39"/>
        <v>7.7142857142857144</v>
      </c>
      <c r="GV12" s="21" t="str">
        <f t="shared" si="40"/>
        <v>I TRIM</v>
      </c>
      <c r="GW12" s="28" t="s">
        <v>869</v>
      </c>
      <c r="GX12" s="30"/>
      <c r="GY12" s="21"/>
      <c r="GZ12" s="21"/>
      <c r="HA12" s="21"/>
      <c r="HB12" s="21"/>
      <c r="HC12" s="21"/>
      <c r="HD12" s="21"/>
      <c r="HE12" s="21"/>
      <c r="HF12" s="22"/>
      <c r="HG12" s="22" t="str">
        <f>IF(OR(O12&gt;0,R12&gt;0),CONCATENATE(IF(Tabla1[[#This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 s="22" t="e">
        <f t="shared" si="41"/>
        <v>#REF!</v>
      </c>
      <c r="HI12" s="22" t="str">
        <f t="shared" si="42"/>
        <v>ALTO RIESGO</v>
      </c>
      <c r="HJ12" s="21"/>
      <c r="HK12" s="21" t="str">
        <f t="shared" si="44"/>
        <v>RIESGO MODERADO (2 O MAS CRITERIOS) VER MANEJO GUIA SUMINISTRO ASA Y CALCIO</v>
      </c>
      <c r="HL12" s="24" t="str">
        <f t="shared" si="45"/>
        <v>REGISTRE DATO PRESIÓN ARTERIAL MENSUAL</v>
      </c>
      <c r="HM12" s="21" t="str">
        <f t="shared" ca="1" si="46"/>
        <v/>
      </c>
      <c r="HN12" s="30" t="str">
        <f t="shared" si="47"/>
        <v>SALIO PROGRAMA</v>
      </c>
      <c r="HO12" s="21"/>
      <c r="HP12" s="21"/>
      <c r="HQ12" s="21">
        <v>44845</v>
      </c>
      <c r="HR12" s="21" t="str">
        <f>IF(R12="","",IF(Tabla1[[#This Row],[ALARMA FACTORES DE RIESGO COMPLICACIONES HIPERTENSIVAS3]]="SIN ANTECEDENTES DE RIESGO","No Aplica para suministro de ASA",IF(AND(Tabla1[[#This Row],[FECHA INICIO DE SUMINISTRO DE ASA]]&gt;0,RV12&lt;12),"Inicia ASA ANTES de Sem 12",IF(AND(RV12&gt;11,RV12&lt;17,OR(HK12="RIESGO ALTO DE COMPLICACIONES HIPERTENSIVAS VER MANEJO GUIA SUMINISTRO ASA Y CALCIO",HK12="RIESGO MODERADO (2 O MAS CRITERIOS) VER MANEJO GUIA SUMINISTRO ASA Y CALCIO")),"Inicio oportuno de ASA",IF(AND(RV12&gt;12,OR(HK12="RIESGO ALTO DE COMPLICACIONES HIPERTENSIVAS VER MANEJO GUIA SUMINISTRO ASA Y CALCIO",HK12="RIESGO MODERADO (2 O MAS CRITERIOS) VER MANEJO GUIA SUMINISTRO ASA Y CALCIO")),"Inicio no oportuno mayor a 16 semanas",IF(AND(BU12&lt;12,OR(HK12="RIESGO ALTO DE COMPLICACIONES HIPERTENSIVAS VER MANEJO GUIA SUMINISTRO ASA Y CALCIO",HK12="RIESGO MODERADO (2 O MAS CRITERIOS) VER MANEJO GUIA SUMINISTRO ASA Y CALCIO")),"Pendiente Inicio de ASA a la semana 12",IF(AND(BU12&gt;11,BU12&lt;17,OR(HK12="RIESGO ALTO DE COMPLICACIONES HIPERTENSIVAS VER MANEJO GUIA SUMINISTRO ASA Y CALCIO",HK12="RIESGO MODERADO (2 O MAS CRITERIOS) VER MANEJO GUIA SUMINISTRO ASA Y CALCIO")),"Iniciar de inmediato ASA",IF(AND(BU12&gt;16,OR(HK12="RIESGO ALTO DE COMPLICACIONES HIPERTENSIVAS VER MANEJO GUIA SUMINISTRO ASA Y CALCIO",HK12="RIESGO MODERADO (2 O MAS CRITERIOS) VER MANEJO GUIA SUMINISTRO ASA Y CALCIO")),"Pierde Oportunidad, Inicio tardío de ASA","XXXXX"))))))))</f>
        <v>Inicio oportuno de ASA</v>
      </c>
      <c r="HS12" s="22">
        <v>44845</v>
      </c>
      <c r="HT12" s="22" t="s">
        <v>870</v>
      </c>
      <c r="HU12" s="22">
        <v>44845</v>
      </c>
      <c r="HV12" s="22" t="s">
        <v>870</v>
      </c>
      <c r="HW12" s="22">
        <v>44845</v>
      </c>
      <c r="HX12" s="22" t="s">
        <v>870</v>
      </c>
      <c r="HY12" s="22">
        <v>44812</v>
      </c>
      <c r="HZ12" s="28">
        <f t="shared" si="48"/>
        <v>10.157142857142649</v>
      </c>
      <c r="IA12" s="26"/>
      <c r="IB12" s="26"/>
      <c r="IC12" s="111">
        <v>44856</v>
      </c>
      <c r="ID12" s="22">
        <v>44891</v>
      </c>
      <c r="IE12" s="22" t="str">
        <f t="shared" ca="1" si="49"/>
        <v>VACUNA APLICADA ENTRE SEMANA 20 Y SEMANA 26</v>
      </c>
      <c r="IF12" s="22"/>
      <c r="IG12" s="22">
        <f t="shared" si="50"/>
        <v>45020.9</v>
      </c>
      <c r="IH12" s="29">
        <f t="shared" ca="1" si="51"/>
        <v>-212.09999999999854</v>
      </c>
      <c r="II12" s="22" t="str">
        <f t="shared" ca="1" si="52"/>
        <v>POSIBLEMENTE NACIO</v>
      </c>
      <c r="IJ12" s="22"/>
      <c r="IK12" s="21" t="s">
        <v>1652</v>
      </c>
      <c r="IL12" s="21"/>
      <c r="IM12" s="34"/>
      <c r="IN12" s="349">
        <v>45025</v>
      </c>
      <c r="IO12" s="21" t="s">
        <v>1186</v>
      </c>
      <c r="IP12" s="29">
        <f t="shared" si="53"/>
        <v>40.585714285714076</v>
      </c>
      <c r="IQ12" s="35" t="s">
        <v>1650</v>
      </c>
      <c r="IR12" s="21" t="s">
        <v>1651</v>
      </c>
      <c r="IS12" s="21" t="s">
        <v>1646</v>
      </c>
      <c r="IT12" s="21" t="s">
        <v>1642</v>
      </c>
      <c r="IU12" s="21"/>
      <c r="IV12" s="21"/>
      <c r="IW12" s="21"/>
      <c r="IX12" s="21"/>
      <c r="IY12" s="21"/>
      <c r="IZ12" s="21"/>
      <c r="JA12" s="21"/>
      <c r="JB12" s="30">
        <v>1</v>
      </c>
      <c r="JC12" s="21" t="s">
        <v>1647</v>
      </c>
      <c r="JD12" s="36">
        <v>3350</v>
      </c>
      <c r="JE12" s="21" t="str">
        <f t="shared" si="54"/>
        <v>PESO ADECUADO EDAD GESTACIONAL</v>
      </c>
      <c r="JF12" s="30"/>
      <c r="JG12" s="21"/>
      <c r="JH12" s="21"/>
      <c r="JI12" s="21" t="s">
        <v>854</v>
      </c>
      <c r="JJ12" s="30" t="s">
        <v>926</v>
      </c>
      <c r="JK12" s="22"/>
      <c r="JL12" s="22"/>
      <c r="JM12" s="21"/>
      <c r="JN12" s="36"/>
      <c r="JO12" s="21" t="str">
        <f t="shared" si="55"/>
        <v/>
      </c>
      <c r="JP12" s="22"/>
      <c r="JQ12" s="21"/>
      <c r="JR12" s="21"/>
      <c r="JS12" s="21"/>
      <c r="JT12" s="30"/>
      <c r="JU12" s="22"/>
      <c r="JV12" s="22"/>
      <c r="JW12" s="33"/>
      <c r="JX12" s="28" t="str">
        <f t="shared" si="56"/>
        <v>INASISTENTE</v>
      </c>
      <c r="JY12" s="33"/>
      <c r="JZ12" s="28" t="str">
        <f t="shared" si="57"/>
        <v>INASISTENTE</v>
      </c>
      <c r="KA12" s="21"/>
      <c r="KB12" s="21"/>
      <c r="KC12" s="21"/>
      <c r="KD12" s="37"/>
      <c r="KE12" s="28"/>
      <c r="KF12" s="28"/>
      <c r="KG12" s="28"/>
      <c r="KH12" s="39"/>
      <c r="KI12" s="39"/>
      <c r="KJ12" s="66"/>
      <c r="KK12" s="39"/>
      <c r="KL12" s="39"/>
      <c r="KM12" s="66"/>
      <c r="KN12" s="39"/>
      <c r="KO12" s="39"/>
      <c r="KP12" s="39"/>
      <c r="KQ12" s="39"/>
      <c r="KR12" s="39"/>
      <c r="KS12" s="39"/>
      <c r="KT12" s="39"/>
      <c r="KU12" s="38"/>
      <c r="KV12" s="38"/>
      <c r="KW12" s="38"/>
      <c r="KX12" s="38"/>
      <c r="KY12" s="38"/>
      <c r="KZ12" s="38"/>
      <c r="LA12" s="38"/>
      <c r="LB12" s="38"/>
      <c r="LC12" s="38"/>
      <c r="LD12" s="38"/>
      <c r="LE12" s="38"/>
      <c r="LF12" s="38"/>
      <c r="LG12" s="38"/>
      <c r="LH12" s="38"/>
      <c r="LI12" s="38"/>
      <c r="LJ12" s="38"/>
      <c r="LK12" s="38"/>
      <c r="LL12" s="38"/>
      <c r="LM12" s="38"/>
      <c r="LN12" s="38"/>
      <c r="LO12" s="38"/>
      <c r="LP12" s="38"/>
      <c r="LQ12" s="38"/>
      <c r="LR12" s="38"/>
      <c r="LS12" s="38"/>
      <c r="LT12" s="38"/>
      <c r="LU12" s="38"/>
      <c r="LV12" s="38"/>
      <c r="LW12" s="38"/>
      <c r="LX12" s="38"/>
      <c r="LY12" s="38"/>
      <c r="LZ12" s="38"/>
      <c r="MA12" s="38"/>
      <c r="MB12" s="38"/>
      <c r="MC12" s="38"/>
      <c r="MD12" s="38"/>
      <c r="ME12" s="38"/>
      <c r="MF12" s="38"/>
      <c r="MG12" s="38"/>
      <c r="MH12" s="43">
        <f t="shared" si="58"/>
        <v>0</v>
      </c>
      <c r="MI12" s="43" t="str">
        <f t="shared" si="59"/>
        <v/>
      </c>
      <c r="MJ12" s="43" t="str">
        <f t="shared" si="60"/>
        <v/>
      </c>
      <c r="MK12" s="43">
        <f t="shared" si="61"/>
        <v>0</v>
      </c>
      <c r="ML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12" s="43">
        <f t="shared" si="62"/>
        <v>9.2999999999997929</v>
      </c>
      <c r="MN12" s="43">
        <f t="shared" si="63"/>
        <v>9</v>
      </c>
      <c r="MO12" s="43">
        <f t="shared" si="64"/>
        <v>2022</v>
      </c>
      <c r="MP12" s="43" t="str">
        <f t="shared" si="65"/>
        <v>III TRIMESTRE AÑO</v>
      </c>
      <c r="MQ12" s="43">
        <f t="shared" si="66"/>
        <v>41.598226018396844</v>
      </c>
      <c r="MR12" s="43">
        <f t="shared" si="67"/>
        <v>2</v>
      </c>
      <c r="MS12" s="43" t="str">
        <f t="shared" si="68"/>
        <v xml:space="preserve"> DE 40 Y MAS</v>
      </c>
      <c r="MT12" s="43">
        <f t="shared" si="69"/>
        <v>0</v>
      </c>
      <c r="MU12" s="43">
        <f t="shared" si="70"/>
        <v>0</v>
      </c>
      <c r="MV12" s="43">
        <f t="shared" si="71"/>
        <v>0</v>
      </c>
      <c r="MW12" s="43">
        <f t="shared" si="72"/>
        <v>0</v>
      </c>
      <c r="MX12" s="43" t="str">
        <f t="shared" si="73"/>
        <v/>
      </c>
      <c r="MY12" s="43" t="str">
        <f t="shared" ca="1" si="74"/>
        <v/>
      </c>
      <c r="MZ12" s="43" t="str">
        <f t="shared" si="75"/>
        <v/>
      </c>
      <c r="NA12" s="43">
        <f t="shared" si="76"/>
        <v>0</v>
      </c>
      <c r="NB12" s="43" t="str">
        <f t="shared" si="77"/>
        <v/>
      </c>
      <c r="NC12" s="43" t="str">
        <f t="shared" si="78"/>
        <v/>
      </c>
      <c r="ND12" s="43">
        <f t="shared" ca="1" si="79"/>
        <v>2</v>
      </c>
      <c r="NE12" s="43">
        <f>IF(OR(O12&gt;0,R12&gt;0),SUM(COUNTIF(Tabla1[[#This Row],[AÑOS AL INICIO5 CPN]],"&gt;=40"),COUNTIF(AS12,"0"),COUNTIF(AR12,"SI"),COUNTIF(CC12,"SI"),COUNTIF(BQ12,"&gt;119"),COUNTIF(CI12,"&gt;=35")),"")</f>
        <v>2</v>
      </c>
      <c r="NF12" s="43">
        <f t="shared" si="80"/>
        <v>21.442857142856933</v>
      </c>
      <c r="NG12" s="43">
        <f t="shared" si="81"/>
        <v>0</v>
      </c>
      <c r="NH12" s="43">
        <f t="shared" si="82"/>
        <v>93.100000000000009</v>
      </c>
      <c r="NI1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CPN",P12="NO"),"Z",IF(AND(Tabla1[[#This Row],[CITA PROXIMO CONTROL]]="CITA MANUAL",Tabla1[[#This Row],[GESTANTES ACTUALES]]="ACTIVA INGRESO A CPN"),"W",IF(AND(Tabla1[[#This Row],[GESTANTES ACTUALES]]="SALIO PROGRAMA",IN12=""),"S",IF(AND(Tabla1[[#This Row],[CITA PROXIMO CONTROL]]&gt;0,IN12=""),(Tabla1[[#This Row],[CITA PROXIMO CONTROL]]-TODAY()),"SD"))))))))</f>
        <v>SD</v>
      </c>
      <c r="NJ12" s="43">
        <f>MONTH(Tabla1[[#This Row],[FECHA DE SALIDA  DEL PROGRAMA]])</f>
        <v>4</v>
      </c>
      <c r="NK12" s="43">
        <f>YEAR(Tabla1[[#This Row],[FECHA DE SALIDA  DEL PROGRAMA]])</f>
        <v>2023</v>
      </c>
      <c r="NL12" s="43">
        <f t="shared" si="83"/>
        <v>22</v>
      </c>
      <c r="NM12" s="43" t="str">
        <f t="shared" si="84"/>
        <v>NO</v>
      </c>
      <c r="NN12" s="43" t="str">
        <f ca="1">IF(AND(O12&gt;0,R12=""),"NO CPN",IF(AND(O12="",R12=""),"",IF(AND(R12&gt;0,Tabla1[[#This Row],[SEMANAS DE GESTACION ACTUALIZADAS]]&lt;=12),"NO APLICA",IF(AND(FH12&lt;&gt;"",FN12&lt;&gt;""),"SI","NO"))))</f>
        <v>NO</v>
      </c>
      <c r="NO12" s="43" t="str">
        <f ca="1">IF(AND(O12&gt;0,R12=""),"NO CPN",IF(AND(O12="",R12=""),"",IF(AND(R12&gt;0,Tabla1[[#This Row],[SEMANAS DE GESTACION ACTUALIZADAS]]&lt;=27),"NO APLICA",IF(AND(ES12&lt;&gt;"",FQ12&lt;&gt;"",GF12&lt;&gt;""),"SI","NO"))))</f>
        <v>NO</v>
      </c>
      <c r="NP12" s="204" t="str">
        <f t="shared" si="85"/>
        <v>I TRIM</v>
      </c>
      <c r="NQ12" s="21">
        <f t="shared" si="86"/>
        <v>8</v>
      </c>
      <c r="NR12" s="21">
        <f t="shared" si="87"/>
        <v>3</v>
      </c>
      <c r="NS12" s="205">
        <f t="shared" ca="1" si="88"/>
        <v>2</v>
      </c>
      <c r="NT12" s="21">
        <f t="shared" ca="1" si="89"/>
        <v>2</v>
      </c>
      <c r="NU12" s="21" t="str">
        <f t="shared" ca="1" si="90"/>
        <v>INCOMPLETO</v>
      </c>
      <c r="NV12" s="21" t="str">
        <f t="shared" ca="1" si="91"/>
        <v>INCOMPLETO</v>
      </c>
      <c r="NW12" s="206" t="str">
        <f>IF(AND(O12="",R12=""),"",IF(OR(AND(Tabla1[[#This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 s="207" t="str">
        <f t="shared" ca="1" si="92"/>
        <v>VACUNADA</v>
      </c>
      <c r="NY12" s="43">
        <f>ROW(Tabla1[[#This Row],['# DE TAMIZAJES SIFILIS TOMADOS ]])</f>
        <v>12</v>
      </c>
      <c r="NZ12" s="43" t="str">
        <f t="shared" si="93"/>
        <v>Menor</v>
      </c>
      <c r="OA12" s="43" t="str">
        <f t="shared" si="94"/>
        <v>SOBREPESO</v>
      </c>
      <c r="OB12" s="43" t="str">
        <f t="shared" si="95"/>
        <v/>
      </c>
      <c r="OC12" s="43" t="str">
        <f t="shared" si="96"/>
        <v/>
      </c>
      <c r="OD12" s="43" t="str">
        <f t="shared" si="97"/>
        <v/>
      </c>
      <c r="OE12" s="43" t="str">
        <f t="shared" si="98"/>
        <v/>
      </c>
      <c r="OF12" s="43" t="str">
        <f t="shared" si="99"/>
        <v/>
      </c>
      <c r="OG12" s="43" t="str">
        <f t="shared" si="100"/>
        <v/>
      </c>
      <c r="OH12" s="43" t="str">
        <f t="shared" si="101"/>
        <v/>
      </c>
      <c r="OI12" s="43" t="str">
        <f t="shared" si="102"/>
        <v/>
      </c>
      <c r="OJ12" s="43" t="str">
        <f t="shared" si="103"/>
        <v/>
      </c>
      <c r="OK12" s="43" t="str">
        <f t="shared" si="104"/>
        <v/>
      </c>
      <c r="OL12" s="43" t="str">
        <f t="shared" si="105"/>
        <v/>
      </c>
      <c r="OM12" s="43" t="str">
        <f t="shared" si="106"/>
        <v/>
      </c>
      <c r="ON12" s="43" t="str">
        <f t="shared" si="107"/>
        <v/>
      </c>
      <c r="OO12" s="43" t="str">
        <f t="shared" si="108"/>
        <v/>
      </c>
      <c r="OP12" s="43" t="str">
        <f t="shared" si="109"/>
        <v/>
      </c>
      <c r="OQ12" s="43" t="str">
        <f t="shared" si="110"/>
        <v/>
      </c>
      <c r="OR12" s="43" t="str">
        <f t="shared" si="111"/>
        <v/>
      </c>
      <c r="OS12" s="43" t="str">
        <f t="shared" si="112"/>
        <v/>
      </c>
      <c r="OT12" s="43" t="str">
        <f t="shared" si="113"/>
        <v/>
      </c>
      <c r="OU12" s="43" t="str">
        <f t="shared" si="114"/>
        <v/>
      </c>
      <c r="OV12" s="110" t="str">
        <f t="shared" si="115"/>
        <v/>
      </c>
      <c r="OW12" s="43" t="str">
        <f t="shared" si="116"/>
        <v/>
      </c>
      <c r="OX12" s="43" t="str">
        <f t="shared" si="117"/>
        <v/>
      </c>
      <c r="OY12" s="43" t="str">
        <f t="shared" si="118"/>
        <v/>
      </c>
      <c r="OZ12" s="43" t="str">
        <f t="shared" si="119"/>
        <v/>
      </c>
      <c r="PA12" s="43" t="str">
        <f t="shared" si="120"/>
        <v/>
      </c>
      <c r="PB12" s="43" t="str">
        <f t="shared" si="121"/>
        <v/>
      </c>
      <c r="PC12" s="43" t="str">
        <f t="shared" si="122"/>
        <v/>
      </c>
      <c r="PD12" s="43" t="str">
        <f t="shared" si="123"/>
        <v/>
      </c>
      <c r="PE12" s="43" t="str">
        <f t="shared" si="124"/>
        <v/>
      </c>
      <c r="PF12" s="43" t="str">
        <f t="shared" si="125"/>
        <v/>
      </c>
      <c r="PG12" s="43" t="str">
        <f t="shared" si="126"/>
        <v/>
      </c>
      <c r="PH12" s="43" t="str">
        <f t="shared" si="127"/>
        <v/>
      </c>
      <c r="PI12" s="43">
        <f t="shared" si="128"/>
        <v>27</v>
      </c>
      <c r="PJ12" s="43" t="str">
        <f t="shared" si="129"/>
        <v/>
      </c>
      <c r="PK12" s="43" t="str">
        <f t="shared" si="130"/>
        <v/>
      </c>
      <c r="PL12" s="43" t="str">
        <f t="shared" si="131"/>
        <v/>
      </c>
      <c r="PM12" s="43" t="str">
        <f t="shared" si="132"/>
        <v/>
      </c>
      <c r="PN12" s="43" t="str">
        <f t="shared" si="133"/>
        <v/>
      </c>
      <c r="PO12" s="43" t="str">
        <f t="shared" si="134"/>
        <v/>
      </c>
      <c r="PP12" s="43" t="str">
        <f t="shared" si="135"/>
        <v/>
      </c>
      <c r="PQ12" s="43" t="str">
        <f t="shared" si="136"/>
        <v/>
      </c>
      <c r="PR12" s="43" t="str">
        <f t="shared" si="137"/>
        <v/>
      </c>
      <c r="PS12" s="43" t="str">
        <f t="shared" si="138"/>
        <v/>
      </c>
      <c r="PT12" s="43" t="str">
        <f t="shared" si="139"/>
        <v/>
      </c>
      <c r="PU12" s="43" t="str">
        <f t="shared" si="140"/>
        <v/>
      </c>
      <c r="PV12" s="43" t="str">
        <f t="shared" si="141"/>
        <v/>
      </c>
      <c r="PW12" s="43" t="str">
        <f t="shared" si="142"/>
        <v/>
      </c>
      <c r="PX12" s="43" t="str">
        <f t="shared" si="143"/>
        <v/>
      </c>
      <c r="PY12" s="43" t="str">
        <f t="shared" si="144"/>
        <v/>
      </c>
      <c r="PZ12" s="43" t="str">
        <f t="shared" si="145"/>
        <v/>
      </c>
      <c r="QA12" s="43" t="str">
        <f t="shared" si="146"/>
        <v/>
      </c>
      <c r="QB12" s="43" t="str">
        <f t="shared" si="147"/>
        <v/>
      </c>
      <c r="QC12" s="43" t="str">
        <f t="shared" si="148"/>
        <v/>
      </c>
      <c r="QD12" s="43" t="str">
        <f t="shared" si="149"/>
        <v/>
      </c>
      <c r="QE12" s="43" t="str">
        <f t="shared" si="150"/>
        <v/>
      </c>
      <c r="QF12" s="43" t="str">
        <f t="shared" si="151"/>
        <v/>
      </c>
      <c r="QG12" s="43" t="str">
        <f t="shared" si="152"/>
        <v/>
      </c>
      <c r="QH12" s="43" t="str">
        <f t="shared" si="153"/>
        <v/>
      </c>
      <c r="QI12" s="43" t="str">
        <f t="shared" si="154"/>
        <v/>
      </c>
      <c r="QJ12" s="43" t="str">
        <f t="shared" si="155"/>
        <v/>
      </c>
      <c r="QK12" s="43" t="str">
        <f t="shared" si="156"/>
        <v/>
      </c>
      <c r="QL12" s="43" t="str">
        <f t="shared" si="157"/>
        <v/>
      </c>
      <c r="QM12" s="43" t="str">
        <f t="shared" si="158"/>
        <v/>
      </c>
      <c r="QN12" s="43" t="str">
        <f t="shared" si="159"/>
        <v/>
      </c>
      <c r="QO12" s="43" t="str">
        <f t="shared" si="160"/>
        <v/>
      </c>
      <c r="QP12" s="43" t="str">
        <f t="shared" si="161"/>
        <v/>
      </c>
      <c r="QQ12" s="43" t="str">
        <f t="shared" si="162"/>
        <v/>
      </c>
      <c r="QR12" s="43">
        <f t="shared" si="192"/>
        <v>27</v>
      </c>
      <c r="QS12" s="43"/>
      <c r="QT12" s="21" t="str">
        <f t="shared" si="163"/>
        <v/>
      </c>
      <c r="QU12" s="21" t="str">
        <f t="shared" si="164"/>
        <v/>
      </c>
      <c r="QV12" s="21" t="str">
        <f t="shared" si="165"/>
        <v/>
      </c>
      <c r="QW12" s="21" t="str">
        <f t="shared" si="166"/>
        <v/>
      </c>
      <c r="QX12" s="21" t="str">
        <f t="shared" si="167"/>
        <v/>
      </c>
      <c r="QY12" s="21" t="str">
        <f t="shared" si="168"/>
        <v/>
      </c>
      <c r="QZ12" s="21" t="str">
        <f t="shared" si="169"/>
        <v/>
      </c>
      <c r="RA12" s="21" t="str">
        <f t="shared" si="170"/>
        <v/>
      </c>
      <c r="RB12" s="21" t="str">
        <f t="shared" si="171"/>
        <v/>
      </c>
      <c r="RC12" s="21" t="str">
        <f t="shared" si="172"/>
        <v/>
      </c>
      <c r="RD12" s="21" t="str">
        <f t="shared" si="173"/>
        <v/>
      </c>
      <c r="RE12" s="21" t="str">
        <f t="shared" si="174"/>
        <v/>
      </c>
      <c r="RF12" s="21" t="str">
        <f t="shared" si="175"/>
        <v/>
      </c>
      <c r="RG12" s="21" t="str">
        <f t="shared" si="176"/>
        <v/>
      </c>
      <c r="RH12" s="21" t="str">
        <f t="shared" si="177"/>
        <v/>
      </c>
      <c r="RI12" s="21" t="str">
        <f t="shared" si="178"/>
        <v/>
      </c>
      <c r="RJ12" s="21" t="str">
        <f t="shared" si="179"/>
        <v/>
      </c>
      <c r="RK12" s="21" t="str">
        <f t="shared" si="180"/>
        <v/>
      </c>
      <c r="RL12" s="21" t="str">
        <f t="shared" si="181"/>
        <v/>
      </c>
      <c r="RM12" s="21" t="str">
        <f t="shared" si="182"/>
        <v/>
      </c>
      <c r="RN12" s="21" t="str">
        <f t="shared" si="183"/>
        <v/>
      </c>
      <c r="RO12" s="21" t="str">
        <f t="shared" si="184"/>
        <v/>
      </c>
      <c r="RP12" s="21" t="str">
        <f t="shared" si="185"/>
        <v/>
      </c>
      <c r="RQ12" s="21" t="str">
        <f t="shared" si="186"/>
        <v/>
      </c>
      <c r="RR12" s="21" t="str">
        <f t="shared" si="187"/>
        <v/>
      </c>
      <c r="RS12" s="21" t="str">
        <f t="shared" si="188"/>
        <v/>
      </c>
      <c r="RT12" s="21" t="str">
        <f t="shared" si="189"/>
        <v/>
      </c>
      <c r="RU12" s="21" t="str">
        <f t="shared" si="190"/>
        <v/>
      </c>
      <c r="RV12" s="21">
        <f t="shared" si="191"/>
        <v>14.871428571428364</v>
      </c>
      <c r="RW12" s="284">
        <f>IF(OR(Tabla1[[#This Row],[FUM FORMULA CONFIABLE]]="",Tabla1[[#This Row],[FUM FORMULA CONFIABLE]]="SD"),"",IF(Tabla1[[#This Row],[FUM FORMULA CONFIABLE]]="CORREGIDA",Tabla1[[#This Row],[FUM X ECO 1]],Tabla1[[#This Row],[FUM x AMENORREA]]))</f>
        <v>44740.9</v>
      </c>
      <c r="RX12" s="21">
        <f>IF(AND(Tabla1[[#This Row],[FUM X ECO 1]]="",Tabla1[[#This Row],[FUM x AMENORREA]]=""),"",IF(AND(Tabla1[[#This Row],[FUM X ECO 1]]="",Tabla1[[#This Row],[FUM x AMENORREA]]&lt;&gt;""),"X",SUM(Tabla1[[#This Row],[FUM X ECO 1]]-Tabla1[[#This Row],[FUM x AMENORREA]])))</f>
        <v>-9.0999999999985448</v>
      </c>
      <c r="RY12" s="21">
        <f t="shared" si="193"/>
        <v>1</v>
      </c>
    </row>
    <row r="13" spans="1:493" ht="45" customHeight="1" x14ac:dyDescent="0.25">
      <c r="A13" s="109"/>
      <c r="B13" s="43" t="s">
        <v>927</v>
      </c>
      <c r="C13" s="43" t="s">
        <v>845</v>
      </c>
      <c r="D13" s="124" t="s">
        <v>846</v>
      </c>
      <c r="E13" s="43" t="s">
        <v>928</v>
      </c>
      <c r="F13" s="43" t="s">
        <v>929</v>
      </c>
      <c r="G13" s="43" t="s">
        <v>930</v>
      </c>
      <c r="H13" s="43" t="s">
        <v>931</v>
      </c>
      <c r="I13" s="109" t="s">
        <v>851</v>
      </c>
      <c r="J13" s="110">
        <v>1002847209</v>
      </c>
      <c r="K13" s="43" t="s">
        <v>932</v>
      </c>
      <c r="L13" s="175" t="s">
        <v>853</v>
      </c>
      <c r="M13" s="22">
        <v>35188</v>
      </c>
      <c r="N13" s="213">
        <f t="shared" ca="1" si="0"/>
        <v>27.520547945205479</v>
      </c>
      <c r="O13" s="22">
        <v>44796</v>
      </c>
      <c r="P13" s="214" t="str">
        <f t="shared" si="1"/>
        <v>SI</v>
      </c>
      <c r="Q13" s="26" t="s">
        <v>855</v>
      </c>
      <c r="R13" s="22">
        <v>44814</v>
      </c>
      <c r="S13" s="21" t="s">
        <v>856</v>
      </c>
      <c r="T13" s="24" t="s">
        <v>690</v>
      </c>
      <c r="U13" s="21" t="s">
        <v>857</v>
      </c>
      <c r="V13" s="21" t="s">
        <v>858</v>
      </c>
      <c r="W13" s="21" t="s">
        <v>933</v>
      </c>
      <c r="X13" s="21" t="s">
        <v>933</v>
      </c>
      <c r="Y13" s="21" t="s">
        <v>859</v>
      </c>
      <c r="Z13" s="21" t="s">
        <v>894</v>
      </c>
      <c r="AA13" s="21" t="s">
        <v>860</v>
      </c>
      <c r="AB13" s="27" t="s">
        <v>861</v>
      </c>
      <c r="AC13" s="26" t="s">
        <v>888</v>
      </c>
      <c r="AD13" s="38" t="s">
        <v>846</v>
      </c>
      <c r="AE13" s="26" t="s">
        <v>864</v>
      </c>
      <c r="AF13" s="26" t="s">
        <v>854</v>
      </c>
      <c r="AG13" s="23" t="s">
        <v>864</v>
      </c>
      <c r="AH13" s="23" t="s">
        <v>864</v>
      </c>
      <c r="AI13" s="24" t="s">
        <v>863</v>
      </c>
      <c r="AJ13" s="23" t="s">
        <v>864</v>
      </c>
      <c r="AK13" s="220" t="str">
        <f>IF(AND(AD13="",AE13="",AF13="",AG13="",AH13="",AI13="",AJ13=""),"",IF(OR(Tabla1[[#This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EVALUACIÓN",IF(AND(O13="",R13=""),"",IF(AND(OR(O13&gt;0,R13&gt;0),NG13&gt;=0,NG13&lt;2),"SIN RIESGO",IF(AND(OR(O13&gt;0,R13&gt;0),NG13&gt;=2),"CON RIESGO","ASD")))))</f>
        <v>SIN RIESGO</v>
      </c>
      <c r="AL13" s="23" t="s">
        <v>864</v>
      </c>
      <c r="AM13" s="26" t="s">
        <v>864</v>
      </c>
      <c r="AN13" s="26" t="s">
        <v>864</v>
      </c>
      <c r="AO13" s="26" t="s">
        <v>864</v>
      </c>
      <c r="AP13" s="26" t="s">
        <v>864</v>
      </c>
      <c r="AQ13" s="26" t="s">
        <v>864</v>
      </c>
      <c r="AR13" s="26" t="s">
        <v>864</v>
      </c>
      <c r="AS13" s="21">
        <v>2</v>
      </c>
      <c r="AT13" s="21">
        <v>2</v>
      </c>
      <c r="AU13" s="21">
        <v>0</v>
      </c>
      <c r="AV13" s="26" t="s">
        <v>864</v>
      </c>
      <c r="AW13" s="21">
        <v>0</v>
      </c>
      <c r="AX13" s="26" t="s">
        <v>864</v>
      </c>
      <c r="AY13" s="26" t="s">
        <v>864</v>
      </c>
      <c r="AZ13" s="26" t="s">
        <v>864</v>
      </c>
      <c r="BA13" s="26" t="s">
        <v>864</v>
      </c>
      <c r="BB13" s="26" t="s">
        <v>864</v>
      </c>
      <c r="BC13" s="26" t="s">
        <v>864</v>
      </c>
      <c r="BD13" s="26" t="s">
        <v>864</v>
      </c>
      <c r="BE13" s="26" t="s">
        <v>864</v>
      </c>
      <c r="BF13" s="26" t="s">
        <v>864</v>
      </c>
      <c r="BG13" s="26" t="s">
        <v>864</v>
      </c>
      <c r="BH13" s="26"/>
      <c r="BI13" s="26" t="s">
        <v>864</v>
      </c>
      <c r="BJ13" s="26"/>
      <c r="BK13" s="26"/>
      <c r="BL13" s="26"/>
      <c r="BM13" s="26" t="s">
        <v>864</v>
      </c>
      <c r="BN13" s="22">
        <v>44144</v>
      </c>
      <c r="BO13" s="22">
        <v>44719</v>
      </c>
      <c r="BP13" s="21" t="s">
        <v>854</v>
      </c>
      <c r="BQ13" s="222">
        <f t="shared" si="2"/>
        <v>19.166666666666668</v>
      </c>
      <c r="BR13" s="223">
        <f t="shared" si="3"/>
        <v>44719.9</v>
      </c>
      <c r="BS13" s="224">
        <f t="shared" si="4"/>
        <v>13.571428571428571</v>
      </c>
      <c r="BT13" s="216" t="str">
        <f t="shared" si="5"/>
        <v>II TRIM</v>
      </c>
      <c r="BU13" s="214" t="str">
        <f t="shared" ca="1" si="6"/>
        <v/>
      </c>
      <c r="BV13" s="25"/>
      <c r="BW13" s="22">
        <v>44834</v>
      </c>
      <c r="BX13" s="28">
        <v>16.3</v>
      </c>
      <c r="BY13" s="28"/>
      <c r="BZ13" s="22">
        <v>44995</v>
      </c>
      <c r="CA13" s="21"/>
      <c r="CB13" s="26"/>
      <c r="CC13" s="26" t="s">
        <v>854</v>
      </c>
      <c r="CD13" s="26" t="s">
        <v>878</v>
      </c>
      <c r="CE13" s="26" t="s">
        <v>864</v>
      </c>
      <c r="CF13" s="22">
        <v>44814</v>
      </c>
      <c r="CG13" s="21">
        <v>1.57</v>
      </c>
      <c r="CH13" s="21" t="s">
        <v>934</v>
      </c>
      <c r="CI13" s="214">
        <f t="shared" si="7"/>
        <v>0</v>
      </c>
      <c r="CJ13" s="225" t="str">
        <f>IF(AND(CI13&lt;10,CH13="SD"),"SIN DATO PESO PREGESTACION O I TRIM",IF(AND(OR(R13&gt;0,O13&gt;0),CI13="X"),"INGRESAR DATO DE PESO",IF(CI13="SD","INGRESAR DATO DE TALLA Y PESO",IF(AND(OR(Tabla1[[#This Row],[MOMENTO EN QUE SE REALIZA EL PESO AL INGRESO A CPN]]="PREGESTACIÓN",NZ13="Menor"),CI13&lt;18.5),"BAJO PESO",IF(AND(OR(Tabla1[[#This Row],[MOMENTO EN QUE SE REALIZA EL PESO AL INGRESO A CPN]]="PREGESTACIÓN",NZ13="Menor"),CI13&lt;25),"NORMAL",IF(AND(OR(Tabla1[[#This Row],[MOMENTO EN QUE SE REALIZA EL PESO AL INGRESO A CPN]]="PREGESTACIÓN",NZ13="Menor"),CI13&lt;30),"SOBREPESO",IF(AND(OR(Tabla1[[#This Row],[MOMENTO EN QUE SE REALIZA EL PESO AL INGRESO A CPN]]="PREGESTACIÓN",NZ13="Menor"),CI13&gt;=30,CI13&lt;50),"OBESIDAD",IF(AND(BS13&gt;0,Tabla1[[#This Row],[MOMENTO EN QUE SE REALIZA EL PESO AL INGRESO A CPN]]="GESTACIÓN"),HLOOKUP(NZ13,$OA$2:PH13,NY13),""))))))))</f>
        <v/>
      </c>
      <c r="CK13" s="212">
        <f t="shared" si="8"/>
        <v>44980</v>
      </c>
      <c r="CL13" s="21"/>
      <c r="CM13" s="214">
        <f t="shared" si="9"/>
        <v>0</v>
      </c>
      <c r="CN13" s="216">
        <f t="shared" si="10"/>
        <v>37</v>
      </c>
      <c r="CO13" s="216" t="e">
        <f>IF(PI13="","",IF(PI13&gt;0,HLOOKUP(PI13,$PJ$2:QQ13,NY13),""))</f>
        <v>#REF!</v>
      </c>
      <c r="CP13" s="21"/>
      <c r="CQ13" s="216" t="str">
        <f>IF(QR13="Menor","NO APLICA-MENOR 13 SEM",IF(AND(CC13="SI",CN13&gt;23),"NO APLICA- GEMELAR",IF(QR13="","",IF(QR13&gt;0,HLOOKUP(QR13,$QS$2:RU13,NY13),""))))</f>
        <v>NO APLICA- GEMELAR</v>
      </c>
      <c r="CR13" s="21">
        <v>120</v>
      </c>
      <c r="CS13" s="21">
        <v>60</v>
      </c>
      <c r="CT13" s="217" t="str">
        <f>IF(R13="","",IF(AND(BS13&gt;1,BS13&lt;12,Tabla1[[#This Row],[T.A. SISTOLICA - ANTES DE SEMANA 12]]="",Tabla1[[#This Row],[T.A. DIASTOLICA - ANTES DE SEMANA 12]]=""),"REGISTRE DATO TA ANTES SEMANA 12",IF(AND(BS13&gt;11,BS13&lt;43,Tabla1[[#This Row],[T.A. SISTOLICA - ANTES DE SEMANA 12]]="",Tabla1[[#This Row],[T.A. DIASTOLICA - ANTES DE SEMANA 12]]=""),"NO APLICA REGISTRO TA-INGRESO TARDIO",IF(AND(OR(O13&gt;0,R13&gt;0),OR(CR13&gt;=140,CS13&gt;=90)),"DEFINIR ESTADIO HTA",IF(AND(OR(O13&gt;0,R13&gt;0),AND(CR13&gt;120,CR13&lt;=139)),"PRE HTA SEGUIMIENTO",IF(AND(OR(O13&gt;0,R13&gt;0),AND(CS13&gt;80,CS13&lt;=89)),"PRE HTA SEGUIMIENTO",IF(AND(OR(O13&gt;0,R13&gt;0),AND(CR13&gt;=80,CR13&lt;=120)),"APARENTEMENTE NORMAL",IF(AND(OR(O13&gt;0,R13&gt;0),AND(CS13&gt;=50,CS13&lt;=80)),"APARENTEMENTE NORMAL",IF(AND(OR(O13&gt;0,R13&gt;0),AND(CR13&gt;1,CR13&lt;=70),AND(CS13&gt;1,CS13&lt;=40)),"HIPOTENSIÓN","")))))))))</f>
        <v>APARENTEMENTE NORMAL</v>
      </c>
      <c r="CU13" s="21">
        <v>90</v>
      </c>
      <c r="CV13" s="21">
        <v>60</v>
      </c>
      <c r="CW13" s="217" t="str">
        <f ca="1">IF(R13="","",IF(AND(CN13&gt;19,CN13&lt;27,Tabla1[[#This Row],[T.A. SISTOLICA (Entre semana 20 y 26)]]="",Tabla1[[#This Row],[T.A. DIATOLICA (Entre semana 20 y 26)]]=""),"ACUDE A CONTROL SEM 20 A 26 REGISTRE TA AHORA",IF(AND(BS13&gt;1,BS13&lt;27,BU13&gt;19,Tabla1[[#This Row],[T.A. SISTOLICA (Entre semana 20 y 26)]]="",Tabla1[[#This Row],[T.A. DIATOLICA (Entre semana 20 y 26)]]=""),"COMPLETE REGISTRO TA CONTROL SEM 20 A26 ",IF(AND(BS13&gt;26,BS13&lt;43,Tabla1[[#This Row],[T.A. SISTOLICA (Entre semana 20 y 26)]]="",Tabla1[[#This Row],[T.A. DIATOLICA (Entre semana 20 y 26)]]=""),"NO APLICA REGISTRO TA-INGRESO TARDIO",IF(AND(OR(O13&gt;0,R13&gt;0),OR(CU13&gt;=140,CV13&gt;=90)),"ALTO RIESGO PREECLAMPSIA,DEFINIR ESTADIO HTA",IF(AND(OR(O13&gt;0,R13&gt;0),AND(CU13&gt;120,CU13&lt;=139)),"PRE HTA SEGUIMIENTO,RIESGO HIPERTENSION INDUCIDA POR EL EMBARAZO",IF(AND(OR(O13&gt;0,R13&gt;0),AND(CV13&gt;80,CV13&lt;=89)),"PRE HTA SEGUIMIENTO, RIESGO HIPERTENSION INDUCIDA POR EL EMBARAZO",IF(AND(OR(O13&lt;&gt;"",R13&lt;&gt;""),CS13&lt;&gt;"",CV13&lt;&gt;"",CS13&lt;=CV13),"VIGILAR CIFRAS PRESION ARTERIAL",IF(AND(OR(O13&gt;0,R13&gt;0),AND(CU13&gt;120,CU13&lt;=139)),"PRE HTA SEGUIMIENTO",IF(AND(OR(O13&gt;0,R13&gt;0),AND(CU13&gt;1,CU13&lt;=70),AND(CV13&gt;1,CV13&lt;=40)),"HIPOTENSIÓN",IF(AND(OR(O13&lt;&gt;"",R13&lt;&gt;""),CS13&lt;&gt;"",CV13&lt;&gt;"",CS13&gt;CV13),"APARENTEMENTE NORMAL",IF(AND(OR(O13&gt;0,R13&gt;0),AND(CU13&gt;=80,CU13&lt;=120)),"APARENTEMENTE NORMAL",IF(AND(OR(O13&gt;0,R13&gt;0),AND(CV13&gt;=50,CV13&lt;=80)),"APARENTEMENTE NORMAL","")))))))))))))</f>
        <v>VIGILAR CIFRAS PRESION ARTERIAL</v>
      </c>
      <c r="CX13" s="21"/>
      <c r="CY13" s="21"/>
      <c r="CZ13" s="216" t="str">
        <f t="shared" si="11"/>
        <v/>
      </c>
      <c r="DA13" s="21"/>
      <c r="DB13" s="21"/>
      <c r="DC13" s="217" t="str">
        <f t="shared" si="12"/>
        <v>REGISTRE DATO PRESIÓN ARTERIAL MENSUAL</v>
      </c>
      <c r="DD13" s="22">
        <v>44814</v>
      </c>
      <c r="DE13" s="22">
        <v>44814</v>
      </c>
      <c r="DF13" s="22">
        <v>44879</v>
      </c>
      <c r="DG13" s="22">
        <v>44911</v>
      </c>
      <c r="DH13" s="22">
        <v>44980</v>
      </c>
      <c r="DI13" s="22"/>
      <c r="DJ13" s="22"/>
      <c r="DK13" s="22"/>
      <c r="DL13" s="22"/>
      <c r="DM13" s="22"/>
      <c r="DN13" s="22"/>
      <c r="DO13" s="22"/>
      <c r="DP13" s="22"/>
      <c r="DQ13" s="22"/>
      <c r="DR13" s="28">
        <v>1</v>
      </c>
      <c r="DS13" s="22"/>
      <c r="DT13" s="22"/>
      <c r="DU13" s="216" t="str">
        <f t="shared" ca="1" si="13"/>
        <v>SALE SIN PLAN DE PARTO</v>
      </c>
      <c r="DV13" s="226" t="str">
        <f t="shared" si="14"/>
        <v>SALIO PROGRAMA</v>
      </c>
      <c r="DW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 s="216" t="str">
        <f t="shared" ca="1" si="15"/>
        <v/>
      </c>
      <c r="DY13" s="212">
        <f>IF(R13="","",IF(R13&gt;0,MAX(Tabla1[[#This Row],[FECHA C2]:[FECHA C13]],Tabla1[[#This Row],[FECHA CONSULTA PRIMERA VEZ PROGRAMA CPN ]])))</f>
        <v>44980</v>
      </c>
      <c r="DZ13" s="216">
        <f t="shared" si="16"/>
        <v>37</v>
      </c>
      <c r="EA13" s="222">
        <f>IF(R13&gt;0,SUM(COUNTA(DF13:DQ13)+COUNTA(Tabla1[[#This Row],[FECHA CONSULTA PRIMERA VEZ PROGRAMA CPN ]])),"")</f>
        <v>4</v>
      </c>
      <c r="EB13" s="222" t="str">
        <f t="shared" si="17"/>
        <v>SI</v>
      </c>
      <c r="EC13" s="214">
        <f t="shared" si="18"/>
        <v>8</v>
      </c>
      <c r="ED13" s="227">
        <f t="shared" si="19"/>
        <v>0.5</v>
      </c>
      <c r="EE13" s="22">
        <v>44813</v>
      </c>
      <c r="EF13" s="22">
        <v>44813</v>
      </c>
      <c r="EG13" s="22">
        <v>44813</v>
      </c>
      <c r="EH13" s="22">
        <v>44814</v>
      </c>
      <c r="EI13" s="22">
        <v>44813</v>
      </c>
      <c r="EJ13" s="22">
        <v>44814</v>
      </c>
      <c r="EK13" s="22">
        <v>44814</v>
      </c>
      <c r="EL13" s="21">
        <v>1</v>
      </c>
      <c r="EM13" s="21">
        <v>16.3</v>
      </c>
      <c r="EN13" s="22">
        <v>44814</v>
      </c>
      <c r="EO13" s="222">
        <f t="shared" si="20"/>
        <v>13.571428571428571</v>
      </c>
      <c r="EP13" s="214" t="str">
        <f t="shared" si="21"/>
        <v>NO DAR SULFATO FERROSO</v>
      </c>
      <c r="EQ13" s="216" t="str">
        <f t="shared" si="22"/>
        <v>II TRIM</v>
      </c>
      <c r="ER13" s="24"/>
      <c r="ES13" s="22"/>
      <c r="ET13" s="29" t="str">
        <f t="shared" ca="1" si="23"/>
        <v>SALE SIN TAMIZAJE HEMOGLOBINA SEM 28</v>
      </c>
      <c r="EU13" s="25" t="str">
        <f t="shared" si="24"/>
        <v/>
      </c>
      <c r="EV13" s="24" t="s">
        <v>866</v>
      </c>
      <c r="EW13" s="24">
        <v>44812</v>
      </c>
      <c r="EX13" s="22"/>
      <c r="EY13" s="29">
        <f t="shared" si="25"/>
        <v>13.285714285714286</v>
      </c>
      <c r="EZ13" s="25" t="str">
        <f t="shared" ca="1" si="26"/>
        <v/>
      </c>
      <c r="FA13" s="21">
        <v>81</v>
      </c>
      <c r="FB13" s="22">
        <v>44812</v>
      </c>
      <c r="FC13" s="29">
        <f t="shared" si="27"/>
        <v>13.285714285714286</v>
      </c>
      <c r="FD13" s="29"/>
      <c r="FE13" s="29"/>
      <c r="FF13" s="29"/>
      <c r="FG13" s="21" t="str">
        <f t="shared" ca="1" si="28"/>
        <v/>
      </c>
      <c r="FH13" s="31"/>
      <c r="FI13" s="29" t="str">
        <f t="shared" si="29"/>
        <v>TOMAR EXAMEN</v>
      </c>
      <c r="FJ13" s="22" t="s">
        <v>867</v>
      </c>
      <c r="FK13" s="22"/>
      <c r="FL13" s="29" t="str">
        <f t="shared" ca="1" si="30"/>
        <v>NO APLICA-INGRESO TARDIO</v>
      </c>
      <c r="FM13" s="22" t="s">
        <v>867</v>
      </c>
      <c r="FN13" s="32">
        <v>44812</v>
      </c>
      <c r="FO13" s="29">
        <f t="shared" ca="1" si="31"/>
        <v>13.285714285714286</v>
      </c>
      <c r="FP13" s="22" t="s">
        <v>867</v>
      </c>
      <c r="FQ13" s="32">
        <v>44981</v>
      </c>
      <c r="FR13" s="29">
        <f t="shared" ca="1" si="32"/>
        <v>37.428571428571431</v>
      </c>
      <c r="FS13" s="22"/>
      <c r="FT13" s="32"/>
      <c r="FU13" s="29" t="str">
        <f>IF(AND(FJ13="",FM13="",FP13="",FS13=""),"",IF(OR(OR(Tabla1[[#This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 s="28"/>
      <c r="FW13" s="22"/>
      <c r="FX13" s="29" t="str">
        <f t="shared" si="33"/>
        <v>TOMAR EXAMEN</v>
      </c>
      <c r="FY13" s="22">
        <v>44812</v>
      </c>
      <c r="FZ13" s="22">
        <v>44812</v>
      </c>
      <c r="GA13" s="29" t="str">
        <f t="shared" si="34"/>
        <v>REGISTRAR EN II TRIMESTRE</v>
      </c>
      <c r="GB13" s="22">
        <v>44812</v>
      </c>
      <c r="GC13" s="22">
        <v>44812</v>
      </c>
      <c r="GD13" s="29">
        <f t="shared" ca="1" si="35"/>
        <v>13.285714285714286</v>
      </c>
      <c r="GE13" s="22"/>
      <c r="GF13" s="22">
        <v>44981</v>
      </c>
      <c r="GG13" s="29">
        <f t="shared" ca="1" si="36"/>
        <v>37.428571428571431</v>
      </c>
      <c r="GH13" s="22"/>
      <c r="GI13" s="29"/>
      <c r="GJ13" s="22"/>
      <c r="GK13" s="22"/>
      <c r="GL13" s="22" t="s">
        <v>879</v>
      </c>
      <c r="GM13" s="22"/>
      <c r="GN13" s="28" t="s">
        <v>869</v>
      </c>
      <c r="GO13" s="22">
        <v>44814</v>
      </c>
      <c r="GP13" s="29">
        <f t="shared" si="37"/>
        <v>13.571428571428571</v>
      </c>
      <c r="GQ13" s="28" t="s">
        <v>880</v>
      </c>
      <c r="GR13" s="28" t="s">
        <v>869</v>
      </c>
      <c r="GS13" s="22" t="str">
        <f t="shared" si="38"/>
        <v>SE EXCLUYE INFECCION</v>
      </c>
      <c r="GT13" s="22">
        <v>44814</v>
      </c>
      <c r="GU13" s="29">
        <f t="shared" si="39"/>
        <v>13.571428571428571</v>
      </c>
      <c r="GV13" s="21" t="str">
        <f t="shared" si="40"/>
        <v>II TRIM</v>
      </c>
      <c r="GW13" s="28" t="s">
        <v>869</v>
      </c>
      <c r="GX13" s="30"/>
      <c r="GY13" s="21" t="s">
        <v>906</v>
      </c>
      <c r="GZ13" s="21"/>
      <c r="HA13" s="21"/>
      <c r="HB13" s="21"/>
      <c r="HC13" s="21"/>
      <c r="HD13" s="21"/>
      <c r="HE13" s="21"/>
      <c r="HF13" s="22"/>
      <c r="HG13" s="22" t="str">
        <f>IF(OR(O13&gt;0,R13&gt;0),CONCATENATE(IF(Tabla1[[#This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 s="22" t="e">
        <f t="shared" si="41"/>
        <v>#REF!</v>
      </c>
      <c r="HI13" s="22" t="e">
        <f t="shared" ca="1" si="42"/>
        <v>#REF!</v>
      </c>
      <c r="HJ13" s="21"/>
      <c r="HK13" s="21" t="str">
        <f t="shared" si="44"/>
        <v>SIN ANTECEDENTES DE RIESGO</v>
      </c>
      <c r="HL13" s="24" t="str">
        <f t="shared" si="45"/>
        <v>REGISTRE DATO PRESIÓN ARTERIAL MENSUAL</v>
      </c>
      <c r="HM13" s="21" t="str">
        <f t="shared" ca="1" si="46"/>
        <v/>
      </c>
      <c r="HN13" s="30" t="str">
        <f t="shared" si="47"/>
        <v>SALIO PROGRAMA</v>
      </c>
      <c r="HO13" s="21"/>
      <c r="HP13" s="21"/>
      <c r="HQ13" s="21">
        <v>44814</v>
      </c>
      <c r="HR13" s="21" t="str">
        <f>IF(R13="","",IF(Tabla1[[#This Row],[ALARMA FACTORES DE RIESGO COMPLICACIONES HIPERTENSIVAS3]]="SIN ANTECEDENTES DE RIESGO","No Aplica para suministro de ASA",IF(AND(Tabla1[[#This Row],[FECHA INICIO DE SUMINISTRO DE ASA]]&gt;0,RV13&lt;12),"Inicia ASA ANTES de Sem 12",IF(AND(RV13&gt;11,RV13&lt;17,OR(HK13="RIESGO ALTO DE COMPLICACIONES HIPERTENSIVAS VER MANEJO GUIA SUMINISTRO ASA Y CALCIO",HK13="RIESGO MODERADO (2 O MAS CRITERIOS) VER MANEJO GUIA SUMINISTRO ASA Y CALCIO")),"Inicio oportuno de ASA",IF(AND(RV13&gt;12,OR(HK13="RIESGO ALTO DE COMPLICACIONES HIPERTENSIVAS VER MANEJO GUIA SUMINISTRO ASA Y CALCIO",HK13="RIESGO MODERADO (2 O MAS CRITERIOS) VER MANEJO GUIA SUMINISTRO ASA Y CALCIO")),"Inicio no oportuno mayor a 16 semanas",IF(AND(BU13&lt;12,OR(HK13="RIESGO ALTO DE COMPLICACIONES HIPERTENSIVAS VER MANEJO GUIA SUMINISTRO ASA Y CALCIO",HK13="RIESGO MODERADO (2 O MAS CRITERIOS) VER MANEJO GUIA SUMINISTRO ASA Y CALCIO")),"Pendiente Inicio de ASA a la semana 12",IF(AND(BU13&gt;11,BU13&lt;17,OR(HK13="RIESGO ALTO DE COMPLICACIONES HIPERTENSIVAS VER MANEJO GUIA SUMINISTRO ASA Y CALCIO",HK13="RIESGO MODERADO (2 O MAS CRITERIOS) VER MANEJO GUIA SUMINISTRO ASA Y CALCIO")),"Iniciar de inmediato ASA",IF(AND(BU13&gt;16,OR(HK13="RIESGO ALTO DE COMPLICACIONES HIPERTENSIVAS VER MANEJO GUIA SUMINISTRO ASA Y CALCIO",HK13="RIESGO MODERADO (2 O MAS CRITERIOS) VER MANEJO GUIA SUMINISTRO ASA Y CALCIO")),"Pierde Oportunidad, Inicio tardío de ASA","XXXXX"))))))))</f>
        <v>No Aplica para suministro de ASA</v>
      </c>
      <c r="HS13" s="22">
        <v>44814</v>
      </c>
      <c r="HT13" s="22" t="s">
        <v>870</v>
      </c>
      <c r="HU13" s="22">
        <v>44814</v>
      </c>
      <c r="HV13" s="22" t="s">
        <v>935</v>
      </c>
      <c r="HW13" s="22">
        <v>44814</v>
      </c>
      <c r="HX13" s="22" t="s">
        <v>935</v>
      </c>
      <c r="HY13" s="22"/>
      <c r="HZ13" s="28" t="str">
        <f t="shared" si="48"/>
        <v>PENDIENTE CONSULTA</v>
      </c>
      <c r="IA13" s="26"/>
      <c r="IB13" s="26"/>
      <c r="IC13" s="111"/>
      <c r="ID13" s="22"/>
      <c r="IE13" s="22" t="str">
        <f t="shared" ca="1" si="49"/>
        <v>SALE SIN VACUNA</v>
      </c>
      <c r="IF13" s="22"/>
      <c r="IG13" s="22">
        <f t="shared" si="50"/>
        <v>44999</v>
      </c>
      <c r="IH13" s="29">
        <f t="shared" ca="1" si="51"/>
        <v>-234</v>
      </c>
      <c r="II13" s="22" t="str">
        <f t="shared" ca="1" si="52"/>
        <v>POSIBLEMENTE NACIO</v>
      </c>
      <c r="IJ13" s="22"/>
      <c r="IK13" s="21" t="s">
        <v>898</v>
      </c>
      <c r="IL13" s="21"/>
      <c r="IM13" s="34"/>
      <c r="IN13" s="349">
        <v>44996</v>
      </c>
      <c r="IO13" s="21" t="s">
        <v>1186</v>
      </c>
      <c r="IP13" s="29">
        <f t="shared" si="53"/>
        <v>39.571428571428569</v>
      </c>
      <c r="IQ13" s="35" t="s">
        <v>1650</v>
      </c>
      <c r="IR13" s="21" t="s">
        <v>1651</v>
      </c>
      <c r="IS13" s="21" t="s">
        <v>1646</v>
      </c>
      <c r="IT13" s="21" t="s">
        <v>1642</v>
      </c>
      <c r="IU13" s="21"/>
      <c r="IV13" s="21"/>
      <c r="IW13" s="21"/>
      <c r="IX13" s="21"/>
      <c r="IY13" s="21"/>
      <c r="IZ13" s="21"/>
      <c r="JA13" s="21"/>
      <c r="JB13" s="30">
        <v>1</v>
      </c>
      <c r="JC13" s="21" t="s">
        <v>1647</v>
      </c>
      <c r="JD13" s="36">
        <v>2740</v>
      </c>
      <c r="JE13" s="21" t="str">
        <f t="shared" si="54"/>
        <v>PESO ADECUADO EDAD GESTACIONAL</v>
      </c>
      <c r="JF13" s="30"/>
      <c r="JG13" s="21"/>
      <c r="JH13" s="21"/>
      <c r="JI13" s="21" t="s">
        <v>854</v>
      </c>
      <c r="JJ13" s="30" t="s">
        <v>866</v>
      </c>
      <c r="JK13" s="22"/>
      <c r="JL13" s="22"/>
      <c r="JM13" s="21"/>
      <c r="JN13" s="36"/>
      <c r="JO13" s="21" t="str">
        <f t="shared" si="55"/>
        <v/>
      </c>
      <c r="JP13" s="22"/>
      <c r="JQ13" s="21"/>
      <c r="JR13" s="21"/>
      <c r="JS13" s="21"/>
      <c r="JT13" s="30"/>
      <c r="JU13" s="22"/>
      <c r="JV13" s="22"/>
      <c r="JW13" s="33"/>
      <c r="JX13" s="28" t="str">
        <f t="shared" si="56"/>
        <v>INASISTENTE</v>
      </c>
      <c r="JY13" s="33"/>
      <c r="JZ13" s="28" t="str">
        <f t="shared" si="57"/>
        <v>INASISTENTE</v>
      </c>
      <c r="KA13" s="21"/>
      <c r="KB13" s="21"/>
      <c r="KC13" s="21"/>
      <c r="KD13" s="37"/>
      <c r="KE13" s="28"/>
      <c r="KF13" s="28"/>
      <c r="KG13" s="28"/>
      <c r="KH13" s="39"/>
      <c r="KI13" s="39"/>
      <c r="KJ13" s="66"/>
      <c r="KK13" s="39"/>
      <c r="KL13" s="39"/>
      <c r="KM13" s="66"/>
      <c r="KN13" s="39"/>
      <c r="KO13" s="39"/>
      <c r="KP13" s="39"/>
      <c r="KQ13" s="39"/>
      <c r="KR13" s="39"/>
      <c r="KS13" s="39"/>
      <c r="KT13" s="39"/>
      <c r="KU13" s="38"/>
      <c r="KV13" s="38"/>
      <c r="KW13" s="38"/>
      <c r="KX13" s="38"/>
      <c r="KY13" s="38"/>
      <c r="KZ13" s="38"/>
      <c r="LA13" s="38"/>
      <c r="LB13" s="38"/>
      <c r="LC13" s="38"/>
      <c r="LD13" s="38"/>
      <c r="LE13" s="38"/>
      <c r="LF13" s="38"/>
      <c r="LG13" s="38"/>
      <c r="LH13" s="38"/>
      <c r="LI13" s="38"/>
      <c r="LJ13" s="38"/>
      <c r="LK13" s="38"/>
      <c r="LL13" s="38"/>
      <c r="LM13" s="38"/>
      <c r="LN13" s="38"/>
      <c r="LO13" s="38"/>
      <c r="LP13" s="38"/>
      <c r="LQ13" s="38"/>
      <c r="LR13" s="38"/>
      <c r="LS13" s="38"/>
      <c r="LT13" s="38"/>
      <c r="LU13" s="38"/>
      <c r="LV13" s="38"/>
      <c r="LW13" s="38"/>
      <c r="LX13" s="38"/>
      <c r="LY13" s="38"/>
      <c r="LZ13" s="38"/>
      <c r="MA13" s="38"/>
      <c r="MB13" s="38"/>
      <c r="MC13" s="38"/>
      <c r="MD13" s="38"/>
      <c r="ME13" s="38"/>
      <c r="MF13" s="38"/>
      <c r="MG13" s="38"/>
      <c r="MH13" s="43">
        <f t="shared" si="58"/>
        <v>0</v>
      </c>
      <c r="MI13" s="43" t="str">
        <f t="shared" si="59"/>
        <v/>
      </c>
      <c r="MJ13" s="43" t="str">
        <f t="shared" si="60"/>
        <v/>
      </c>
      <c r="MK13" s="43">
        <f t="shared" si="61"/>
        <v>0</v>
      </c>
      <c r="ML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18</v>
      </c>
      <c r="MM13" s="43">
        <f t="shared" si="62"/>
        <v>11</v>
      </c>
      <c r="MN13" s="43">
        <f t="shared" si="63"/>
        <v>9</v>
      </c>
      <c r="MO13" s="43">
        <f t="shared" si="64"/>
        <v>2022</v>
      </c>
      <c r="MP13" s="43" t="str">
        <f t="shared" si="65"/>
        <v>III TRIMESTRE AÑO</v>
      </c>
      <c r="MQ13" s="43">
        <f t="shared" si="66"/>
        <v>25.971857205431448</v>
      </c>
      <c r="MR13" s="43">
        <f t="shared" si="67"/>
        <v>0</v>
      </c>
      <c r="MS13" s="43" t="str">
        <f t="shared" si="68"/>
        <v xml:space="preserve"> DE 25 A 29 AÑOS</v>
      </c>
      <c r="MT13" s="43">
        <f t="shared" si="69"/>
        <v>0</v>
      </c>
      <c r="MU13" s="43">
        <f t="shared" si="70"/>
        <v>0</v>
      </c>
      <c r="MV13" s="43">
        <f t="shared" si="71"/>
        <v>0</v>
      </c>
      <c r="MW13" s="43">
        <f t="shared" si="72"/>
        <v>0</v>
      </c>
      <c r="MX13" s="43" t="str">
        <f t="shared" si="73"/>
        <v/>
      </c>
      <c r="MY13" s="43" t="str">
        <f t="shared" ca="1" si="74"/>
        <v/>
      </c>
      <c r="MZ13" s="43" t="str">
        <f t="shared" si="75"/>
        <v/>
      </c>
      <c r="NA13" s="43">
        <f t="shared" si="76"/>
        <v>0</v>
      </c>
      <c r="NB13" s="43" t="str">
        <f t="shared" si="77"/>
        <v/>
      </c>
      <c r="NC13" s="43" t="str">
        <f t="shared" si="78"/>
        <v/>
      </c>
      <c r="ND13" s="43">
        <f t="shared" ca="1" si="79"/>
        <v>3.5</v>
      </c>
      <c r="NE13" s="43">
        <f>IF(OR(O13&gt;0,R13&gt;0),SUM(COUNTIF(Tabla1[[#This Row],[AÑOS AL INICIO5 CPN]],"&gt;=40"),COUNTIF(AS13,"0"),COUNTIF(AR13,"SI"),COUNTIF(CC13,"SI"),COUNTIF(BQ13,"&gt;119"),COUNTIF(CI13,"&gt;=35")),"")</f>
        <v>1</v>
      </c>
      <c r="NF13" s="43" t="str">
        <f t="shared" si="80"/>
        <v/>
      </c>
      <c r="NG13" s="43">
        <f t="shared" si="81"/>
        <v>0.5</v>
      </c>
      <c r="NH13" s="43">
        <f t="shared" si="82"/>
        <v>114.10000000000001</v>
      </c>
      <c r="NI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CPN",P13="NO"),"Z",IF(AND(Tabla1[[#This Row],[CITA PROXIMO CONTROL]]="CITA MANUAL",Tabla1[[#This Row],[GESTANTES ACTUALES]]="ACTIVA INGRESO A CPN"),"W",IF(AND(Tabla1[[#This Row],[GESTANTES ACTUALES]]="SALIO PROGRAMA",IN13=""),"S",IF(AND(Tabla1[[#This Row],[CITA PROXIMO CONTROL]]&gt;0,IN13=""),(Tabla1[[#This Row],[CITA PROXIMO CONTROL]]-TODAY()),"SD"))))))))</f>
        <v>SD</v>
      </c>
      <c r="NJ13" s="43">
        <f>MONTH(Tabla1[[#This Row],[FECHA DE SALIDA  DEL PROGRAMA]])</f>
        <v>3</v>
      </c>
      <c r="NK13" s="43">
        <f>YEAR(Tabla1[[#This Row],[FECHA DE SALIDA  DEL PROGRAMA]])</f>
        <v>2023</v>
      </c>
      <c r="NL13" s="43">
        <f t="shared" si="83"/>
        <v>1</v>
      </c>
      <c r="NM13" s="43" t="str">
        <f t="shared" si="84"/>
        <v>NO</v>
      </c>
      <c r="NN13" s="43" t="str">
        <f ca="1">IF(AND(O13&gt;0,R13=""),"NO CPN",IF(AND(O13="",R13=""),"",IF(AND(R13&gt;0,Tabla1[[#This Row],[SEMANAS DE GESTACION ACTUALIZADAS]]&lt;=12),"NO APLICA",IF(AND(FH13&lt;&gt;"",FN13&lt;&gt;""),"SI","NO"))))</f>
        <v>NO</v>
      </c>
      <c r="NO13" s="43" t="str">
        <f ca="1">IF(AND(O13&gt;0,R13=""),"NO CPN",IF(AND(O13="",R13=""),"",IF(AND(R13&gt;0,Tabla1[[#This Row],[SEMANAS DE GESTACION ACTUALIZADAS]]&lt;=27),"NO APLICA",IF(AND(ES13&lt;&gt;"",FQ13&lt;&gt;"",GF13&lt;&gt;""),"SI","NO"))))</f>
        <v>NO</v>
      </c>
      <c r="NP13" s="204" t="str">
        <f t="shared" si="85"/>
        <v>II TRIM</v>
      </c>
      <c r="NQ13" s="21" t="str">
        <f t="shared" si="86"/>
        <v/>
      </c>
      <c r="NR13" s="21">
        <f t="shared" si="87"/>
        <v>2</v>
      </c>
      <c r="NS13" s="205">
        <f t="shared" ca="1" si="88"/>
        <v>2</v>
      </c>
      <c r="NT13" s="21">
        <f t="shared" ca="1" si="89"/>
        <v>2</v>
      </c>
      <c r="NU13" s="21" t="str">
        <f t="shared" ca="1" si="90"/>
        <v>COMPLETO</v>
      </c>
      <c r="NV13" s="21" t="str">
        <f t="shared" ca="1" si="91"/>
        <v>COMPLETO</v>
      </c>
      <c r="NW13" s="206" t="str">
        <f>IF(AND(O13="",R13=""),"",IF(OR(AND(Tabla1[[#This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 s="207" t="str">
        <f t="shared" ca="1" si="92"/>
        <v>SIN VACUNAR</v>
      </c>
      <c r="NY13" s="43">
        <f>ROW(Tabla1[[#This Row],['# DE TAMIZAJES SIFILIS TOMADOS ]])</f>
        <v>13</v>
      </c>
      <c r="NZ13" s="43">
        <f t="shared" si="93"/>
        <v>13</v>
      </c>
      <c r="OA13" s="43" t="str">
        <f t="shared" si="94"/>
        <v/>
      </c>
      <c r="OB13" s="43" t="str">
        <f t="shared" si="95"/>
        <v/>
      </c>
      <c r="OC13" s="43" t="str">
        <f t="shared" si="96"/>
        <v/>
      </c>
      <c r="OD13" s="43" t="str">
        <f t="shared" si="97"/>
        <v/>
      </c>
      <c r="OE13" s="43" t="str">
        <f t="shared" si="98"/>
        <v/>
      </c>
      <c r="OF13" s="43" t="str">
        <f t="shared" si="99"/>
        <v/>
      </c>
      <c r="OG13" s="43" t="str">
        <f t="shared" si="100"/>
        <v/>
      </c>
      <c r="OH13" s="43" t="str">
        <f t="shared" si="101"/>
        <v/>
      </c>
      <c r="OI13" s="43" t="str">
        <f t="shared" si="102"/>
        <v/>
      </c>
      <c r="OJ13" s="43" t="str">
        <f t="shared" si="103"/>
        <v/>
      </c>
      <c r="OK13" s="43" t="str">
        <f t="shared" si="104"/>
        <v/>
      </c>
      <c r="OL13" s="43" t="str">
        <f t="shared" si="105"/>
        <v/>
      </c>
      <c r="OM13" s="43" t="str">
        <f t="shared" si="106"/>
        <v/>
      </c>
      <c r="ON13" s="43" t="str">
        <f t="shared" si="107"/>
        <v/>
      </c>
      <c r="OO13" s="43" t="str">
        <f t="shared" si="108"/>
        <v/>
      </c>
      <c r="OP13" s="43" t="str">
        <f t="shared" si="109"/>
        <v/>
      </c>
      <c r="OQ13" s="43" t="str">
        <f t="shared" si="110"/>
        <v/>
      </c>
      <c r="OR13" s="43" t="str">
        <f t="shared" si="111"/>
        <v/>
      </c>
      <c r="OS13" s="43" t="str">
        <f t="shared" si="112"/>
        <v/>
      </c>
      <c r="OT13" s="43" t="str">
        <f t="shared" si="113"/>
        <v/>
      </c>
      <c r="OU13" s="43" t="str">
        <f t="shared" si="114"/>
        <v/>
      </c>
      <c r="OV13" s="110" t="str">
        <f t="shared" si="115"/>
        <v/>
      </c>
      <c r="OW13" s="43" t="str">
        <f t="shared" si="116"/>
        <v/>
      </c>
      <c r="OX13" s="43" t="str">
        <f t="shared" si="117"/>
        <v/>
      </c>
      <c r="OY13" s="43" t="str">
        <f t="shared" si="118"/>
        <v/>
      </c>
      <c r="OZ13" s="43" t="str">
        <f t="shared" si="119"/>
        <v/>
      </c>
      <c r="PA13" s="43" t="str">
        <f t="shared" si="120"/>
        <v/>
      </c>
      <c r="PB13" s="43" t="str">
        <f t="shared" si="121"/>
        <v/>
      </c>
      <c r="PC13" s="43" t="str">
        <f t="shared" si="122"/>
        <v/>
      </c>
      <c r="PD13" s="43" t="str">
        <f t="shared" si="123"/>
        <v/>
      </c>
      <c r="PE13" s="43" t="str">
        <f t="shared" si="124"/>
        <v/>
      </c>
      <c r="PF13" s="43" t="str">
        <f t="shared" si="125"/>
        <v/>
      </c>
      <c r="PG13" s="43" t="str">
        <f t="shared" si="126"/>
        <v/>
      </c>
      <c r="PH13" s="43" t="str">
        <f t="shared" si="127"/>
        <v/>
      </c>
      <c r="PI13" s="43">
        <f t="shared" si="128"/>
        <v>37</v>
      </c>
      <c r="PJ13" s="43" t="str">
        <f t="shared" si="129"/>
        <v/>
      </c>
      <c r="PK13" s="43" t="str">
        <f t="shared" si="130"/>
        <v/>
      </c>
      <c r="PL13" s="43" t="str">
        <f t="shared" si="131"/>
        <v/>
      </c>
      <c r="PM13" s="43" t="str">
        <f t="shared" si="132"/>
        <v/>
      </c>
      <c r="PN13" s="43" t="str">
        <f t="shared" si="133"/>
        <v/>
      </c>
      <c r="PO13" s="43" t="str">
        <f t="shared" si="134"/>
        <v/>
      </c>
      <c r="PP13" s="43" t="str">
        <f t="shared" si="135"/>
        <v/>
      </c>
      <c r="PQ13" s="43" t="str">
        <f t="shared" si="136"/>
        <v/>
      </c>
      <c r="PR13" s="43" t="str">
        <f t="shared" si="137"/>
        <v/>
      </c>
      <c r="PS13" s="43" t="str">
        <f t="shared" si="138"/>
        <v/>
      </c>
      <c r="PT13" s="43" t="str">
        <f t="shared" si="139"/>
        <v/>
      </c>
      <c r="PU13" s="43" t="str">
        <f t="shared" si="140"/>
        <v/>
      </c>
      <c r="PV13" s="43" t="str">
        <f t="shared" si="141"/>
        <v/>
      </c>
      <c r="PW13" s="43" t="str">
        <f t="shared" si="142"/>
        <v/>
      </c>
      <c r="PX13" s="43" t="str">
        <f t="shared" si="143"/>
        <v/>
      </c>
      <c r="PY13" s="43" t="str">
        <f t="shared" si="144"/>
        <v/>
      </c>
      <c r="PZ13" s="43" t="str">
        <f t="shared" si="145"/>
        <v/>
      </c>
      <c r="QA13" s="43" t="str">
        <f t="shared" si="146"/>
        <v/>
      </c>
      <c r="QB13" s="43" t="str">
        <f t="shared" si="147"/>
        <v/>
      </c>
      <c r="QC13" s="43" t="str">
        <f t="shared" si="148"/>
        <v/>
      </c>
      <c r="QD13" s="43" t="str">
        <f t="shared" si="149"/>
        <v/>
      </c>
      <c r="QE13" s="43" t="str">
        <f t="shared" si="150"/>
        <v/>
      </c>
      <c r="QF13" s="43" t="str">
        <f t="shared" si="151"/>
        <v/>
      </c>
      <c r="QG13" s="43" t="str">
        <f t="shared" si="152"/>
        <v/>
      </c>
      <c r="QH13" s="43" t="str">
        <f t="shared" si="153"/>
        <v/>
      </c>
      <c r="QI13" s="43" t="str">
        <f t="shared" si="154"/>
        <v/>
      </c>
      <c r="QJ13" s="43" t="str">
        <f t="shared" si="155"/>
        <v/>
      </c>
      <c r="QK13" s="43" t="str">
        <f t="shared" si="156"/>
        <v/>
      </c>
      <c r="QL13" s="43" t="str">
        <f t="shared" si="157"/>
        <v/>
      </c>
      <c r="QM13" s="43" t="str">
        <f t="shared" si="158"/>
        <v/>
      </c>
      <c r="QN13" s="43" t="str">
        <f t="shared" si="159"/>
        <v/>
      </c>
      <c r="QO13" s="43" t="str">
        <f t="shared" si="160"/>
        <v/>
      </c>
      <c r="QP13" s="43" t="str">
        <f t="shared" si="161"/>
        <v/>
      </c>
      <c r="QQ13" s="43" t="str">
        <f t="shared" si="162"/>
        <v/>
      </c>
      <c r="QR13" s="43">
        <f t="shared" si="192"/>
        <v>37</v>
      </c>
      <c r="QS13" s="43"/>
      <c r="QT13" s="21" t="str">
        <f t="shared" si="163"/>
        <v/>
      </c>
      <c r="QU13" s="21" t="str">
        <f t="shared" si="164"/>
        <v/>
      </c>
      <c r="QV13" s="21" t="str">
        <f t="shared" si="165"/>
        <v/>
      </c>
      <c r="QW13" s="21" t="str">
        <f t="shared" si="166"/>
        <v/>
      </c>
      <c r="QX13" s="21" t="str">
        <f t="shared" si="167"/>
        <v/>
      </c>
      <c r="QY13" s="21" t="str">
        <f t="shared" si="168"/>
        <v/>
      </c>
      <c r="QZ13" s="21" t="str">
        <f t="shared" si="169"/>
        <v/>
      </c>
      <c r="RA13" s="21" t="str">
        <f t="shared" si="170"/>
        <v/>
      </c>
      <c r="RB13" s="21" t="str">
        <f t="shared" si="171"/>
        <v/>
      </c>
      <c r="RC13" s="21" t="str">
        <f t="shared" si="172"/>
        <v/>
      </c>
      <c r="RD13" s="21" t="str">
        <f t="shared" si="173"/>
        <v/>
      </c>
      <c r="RE13" s="21" t="str">
        <f t="shared" si="174"/>
        <v/>
      </c>
      <c r="RF13" s="21" t="str">
        <f t="shared" si="175"/>
        <v/>
      </c>
      <c r="RG13" s="21" t="str">
        <f t="shared" si="176"/>
        <v/>
      </c>
      <c r="RH13" s="21" t="str">
        <f t="shared" si="177"/>
        <v/>
      </c>
      <c r="RI13" s="21" t="str">
        <f t="shared" si="178"/>
        <v/>
      </c>
      <c r="RJ13" s="21" t="str">
        <f t="shared" si="179"/>
        <v/>
      </c>
      <c r="RK13" s="21" t="str">
        <f t="shared" si="180"/>
        <v/>
      </c>
      <c r="RL13" s="21" t="str">
        <f t="shared" si="181"/>
        <v/>
      </c>
      <c r="RM13" s="21" t="str">
        <f t="shared" si="182"/>
        <v/>
      </c>
      <c r="RN13" s="21" t="str">
        <f t="shared" si="183"/>
        <v/>
      </c>
      <c r="RO13" s="21" t="str">
        <f t="shared" si="184"/>
        <v/>
      </c>
      <c r="RP13" s="21" t="str">
        <f t="shared" si="185"/>
        <v/>
      </c>
      <c r="RQ13" s="21" t="str">
        <f t="shared" si="186"/>
        <v/>
      </c>
      <c r="RR13" s="21" t="str">
        <f t="shared" si="187"/>
        <v/>
      </c>
      <c r="RS13" s="21" t="str">
        <f t="shared" si="188"/>
        <v/>
      </c>
      <c r="RT13" s="21" t="str">
        <f t="shared" si="189"/>
        <v/>
      </c>
      <c r="RU13" s="21" t="str">
        <f t="shared" si="190"/>
        <v/>
      </c>
      <c r="RV13" s="21">
        <f t="shared" si="191"/>
        <v>13.571428571428571</v>
      </c>
      <c r="RW13" s="284">
        <f>IF(OR(Tabla1[[#This Row],[FUM FORMULA CONFIABLE]]="",Tabla1[[#This Row],[FUM FORMULA CONFIABLE]]="SD"),"",IF(Tabla1[[#This Row],[FUM FORMULA CONFIABLE]]="CORREGIDA",Tabla1[[#This Row],[FUM X ECO 1]],Tabla1[[#This Row],[FUM x AMENORREA]]))</f>
        <v>44719</v>
      </c>
      <c r="RX13" s="21">
        <f>IF(AND(Tabla1[[#This Row],[FUM X ECO 1]]="",Tabla1[[#This Row],[FUM x AMENORREA]]=""),"",IF(AND(Tabla1[[#This Row],[FUM X ECO 1]]="",Tabla1[[#This Row],[FUM x AMENORREA]]&lt;&gt;""),"X",SUM(Tabla1[[#This Row],[FUM X ECO 1]]-Tabla1[[#This Row],[FUM x AMENORREA]])))</f>
        <v>0.90000000000145519</v>
      </c>
      <c r="RY13" s="21">
        <f t="shared" si="193"/>
        <v>0</v>
      </c>
    </row>
    <row r="14" spans="1:493" ht="45" customHeight="1" x14ac:dyDescent="0.25">
      <c r="A14" s="109"/>
      <c r="B14" s="43" t="s">
        <v>936</v>
      </c>
      <c r="C14" s="43" t="s">
        <v>845</v>
      </c>
      <c r="D14" s="124" t="s">
        <v>846</v>
      </c>
      <c r="E14" s="43" t="s">
        <v>937</v>
      </c>
      <c r="F14" s="43" t="s">
        <v>909</v>
      </c>
      <c r="G14" s="43" t="s">
        <v>938</v>
      </c>
      <c r="H14" s="43" t="s">
        <v>939</v>
      </c>
      <c r="I14" s="109" t="s">
        <v>851</v>
      </c>
      <c r="J14" s="110">
        <v>1002846328</v>
      </c>
      <c r="K14" s="43" t="s">
        <v>904</v>
      </c>
      <c r="L14" s="175" t="s">
        <v>853</v>
      </c>
      <c r="M14" s="22">
        <v>35167</v>
      </c>
      <c r="N14" s="213">
        <f t="shared" ca="1" si="0"/>
        <v>27.578082191780823</v>
      </c>
      <c r="O14" s="22">
        <v>44814</v>
      </c>
      <c r="P14" s="214" t="str">
        <f t="shared" si="1"/>
        <v>SI</v>
      </c>
      <c r="Q14" s="26" t="s">
        <v>855</v>
      </c>
      <c r="R14" s="22">
        <v>44814</v>
      </c>
      <c r="S14" s="21" t="s">
        <v>856</v>
      </c>
      <c r="T14" s="24" t="s">
        <v>690</v>
      </c>
      <c r="U14" s="21" t="s">
        <v>857</v>
      </c>
      <c r="V14" s="21" t="s">
        <v>858</v>
      </c>
      <c r="W14" s="21" t="s">
        <v>940</v>
      </c>
      <c r="X14" s="21" t="s">
        <v>941</v>
      </c>
      <c r="Y14" s="21" t="s">
        <v>859</v>
      </c>
      <c r="Z14" s="21">
        <v>3147785676</v>
      </c>
      <c r="AA14" s="21" t="s">
        <v>860</v>
      </c>
      <c r="AB14" s="27" t="s">
        <v>861</v>
      </c>
      <c r="AC14" s="26" t="s">
        <v>888</v>
      </c>
      <c r="AD14" s="38" t="s">
        <v>846</v>
      </c>
      <c r="AE14" s="26" t="s">
        <v>854</v>
      </c>
      <c r="AF14" s="26" t="s">
        <v>854</v>
      </c>
      <c r="AG14" s="23" t="s">
        <v>864</v>
      </c>
      <c r="AH14" s="23" t="s">
        <v>864</v>
      </c>
      <c r="AI14" s="24" t="s">
        <v>863</v>
      </c>
      <c r="AJ14" s="23" t="s">
        <v>864</v>
      </c>
      <c r="AK14" s="220" t="str">
        <f>IF(AND(AD14="",AE14="",AF14="",AG14="",AH14="",AI14="",AJ14=""),"",IF(OR(Tabla1[[#This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EVALUACIÓN",IF(AND(O14="",R14=""),"",IF(AND(OR(O14&gt;0,R14&gt;0),NG14&gt;=0,NG14&lt;2),"SIN RIESGO",IF(AND(OR(O14&gt;0,R14&gt;0),NG14&gt;=2),"CON RIESGO","ASD")))))</f>
        <v>SIN RIESGO</v>
      </c>
      <c r="AL14" s="23" t="s">
        <v>864</v>
      </c>
      <c r="AM14" s="26" t="s">
        <v>864</v>
      </c>
      <c r="AN14" s="26" t="s">
        <v>864</v>
      </c>
      <c r="AO14" s="26" t="s">
        <v>864</v>
      </c>
      <c r="AP14" s="26" t="s">
        <v>864</v>
      </c>
      <c r="AQ14" s="26" t="s">
        <v>864</v>
      </c>
      <c r="AR14" s="26" t="s">
        <v>864</v>
      </c>
      <c r="AS14" s="21">
        <v>0</v>
      </c>
      <c r="AT14" s="21">
        <v>0</v>
      </c>
      <c r="AU14" s="21">
        <v>0</v>
      </c>
      <c r="AV14" s="26" t="s">
        <v>864</v>
      </c>
      <c r="AW14" s="21">
        <v>0</v>
      </c>
      <c r="AX14" s="26" t="s">
        <v>864</v>
      </c>
      <c r="AY14" s="26" t="s">
        <v>864</v>
      </c>
      <c r="AZ14" s="26" t="s">
        <v>864</v>
      </c>
      <c r="BA14" s="26" t="s">
        <v>864</v>
      </c>
      <c r="BB14" s="26" t="s">
        <v>864</v>
      </c>
      <c r="BC14" s="26" t="s">
        <v>864</v>
      </c>
      <c r="BD14" s="26" t="s">
        <v>864</v>
      </c>
      <c r="BE14" s="26" t="s">
        <v>864</v>
      </c>
      <c r="BF14" s="26" t="s">
        <v>864</v>
      </c>
      <c r="BG14" s="26" t="s">
        <v>864</v>
      </c>
      <c r="BH14" s="26"/>
      <c r="BI14" s="26" t="s">
        <v>864</v>
      </c>
      <c r="BJ14" s="26"/>
      <c r="BK14" s="26"/>
      <c r="BL14" s="26"/>
      <c r="BM14" s="26" t="s">
        <v>864</v>
      </c>
      <c r="BN14" s="22"/>
      <c r="BO14" s="22">
        <v>44758</v>
      </c>
      <c r="BP14" s="21" t="s">
        <v>854</v>
      </c>
      <c r="BQ14" s="222">
        <f t="shared" si="2"/>
        <v>0</v>
      </c>
      <c r="BR14" s="223" t="str">
        <f t="shared" si="3"/>
        <v/>
      </c>
      <c r="BS14" s="224">
        <f t="shared" si="4"/>
        <v>8</v>
      </c>
      <c r="BT14" s="216" t="str">
        <f t="shared" si="5"/>
        <v>I TRIM</v>
      </c>
      <c r="BU14" s="214" t="str">
        <f t="shared" ca="1" si="6"/>
        <v/>
      </c>
      <c r="BV14" s="25"/>
      <c r="BW14" s="22"/>
      <c r="BX14" s="28"/>
      <c r="BY14" s="28"/>
      <c r="BZ14" s="22"/>
      <c r="CA14" s="21"/>
      <c r="CB14" s="26"/>
      <c r="CC14" s="26"/>
      <c r="CD14" s="26"/>
      <c r="CE14" s="26"/>
      <c r="CF14" s="22">
        <v>44814</v>
      </c>
      <c r="CG14" s="21">
        <v>1.6</v>
      </c>
      <c r="CH14" s="21">
        <v>80.5</v>
      </c>
      <c r="CI14" s="214">
        <f t="shared" si="7"/>
        <v>31.445312499999993</v>
      </c>
      <c r="CJ14" s="225" t="str">
        <f>IF(AND(CI14&lt;10,CH14="SD"),"SIN DATO PESO PREGESTACION O I TRIM",IF(AND(OR(R14&gt;0,O14&gt;0),CI14="X"),"INGRESAR DATO DE PESO",IF(CI14="SD","INGRESAR DATO DE TALLA Y PESO",IF(AND(OR(Tabla1[[#This Row],[MOMENTO EN QUE SE REALIZA EL PESO AL INGRESO A CPN]]="PREGESTACIÓN",NZ14="Menor"),CI14&lt;18.5),"BAJO PESO",IF(AND(OR(Tabla1[[#This Row],[MOMENTO EN QUE SE REALIZA EL PESO AL INGRESO A CPN]]="PREGESTACIÓN",NZ14="Menor"),CI14&lt;25),"NORMAL",IF(AND(OR(Tabla1[[#This Row],[MOMENTO EN QUE SE REALIZA EL PESO AL INGRESO A CPN]]="PREGESTACIÓN",NZ14="Menor"),CI14&lt;30),"SOBREPESO",IF(AND(OR(Tabla1[[#This Row],[MOMENTO EN QUE SE REALIZA EL PESO AL INGRESO A CPN]]="PREGESTACIÓN",NZ14="Menor"),CI14&gt;=30,CI14&lt;50),"OBESIDAD",IF(AND(BS14&gt;0,Tabla1[[#This Row],[MOMENTO EN QUE SE REALIZA EL PESO AL INGRESO A CPN]]="GESTACIÓN"),HLOOKUP(NZ14,$OA$2:PH14,NY14),""))))))))</f>
        <v>OBESIDAD</v>
      </c>
      <c r="CK14" s="212">
        <f t="shared" si="8"/>
        <v>44814</v>
      </c>
      <c r="CL14" s="21"/>
      <c r="CM14" s="214">
        <f t="shared" si="9"/>
        <v>0</v>
      </c>
      <c r="CN14" s="216">
        <f t="shared" si="10"/>
        <v>8</v>
      </c>
      <c r="CO14" s="216" t="e">
        <f>IF(PI14="","",IF(PI14&gt;0,HLOOKUP(PI14,$PJ$2:QQ14,NY14),""))</f>
        <v>#REF!</v>
      </c>
      <c r="CP14" s="21"/>
      <c r="CQ14" s="216" t="str">
        <f>IF(QR14="Menor","NO APLICA-MENOR 13 SEM",IF(AND(CC14="SI",CN14&gt;23),"NO APLICA- GEMELAR",IF(QR14="","",IF(QR14&gt;0,HLOOKUP(QR14,$QS$2:RU14,NY14),""))))</f>
        <v>NO APLICA-MENOR 13 SEM</v>
      </c>
      <c r="CR14" s="21">
        <v>130</v>
      </c>
      <c r="CS14" s="21">
        <v>90</v>
      </c>
      <c r="CT14" s="217" t="str">
        <f>IF(R14="","",IF(AND(BS14&gt;1,BS14&lt;12,Tabla1[[#This Row],[T.A. SISTOLICA - ANTES DE SEMANA 12]]="",Tabla1[[#This Row],[T.A. DIASTOLICA - ANTES DE SEMANA 12]]=""),"REGISTRE DATO TA ANTES SEMANA 12",IF(AND(BS14&gt;11,BS14&lt;43,Tabla1[[#This Row],[T.A. SISTOLICA - ANTES DE SEMANA 12]]="",Tabla1[[#This Row],[T.A. DIASTOLICA - ANTES DE SEMANA 12]]=""),"NO APLICA REGISTRO TA-INGRESO TARDIO",IF(AND(OR(O14&gt;0,R14&gt;0),OR(CR14&gt;=140,CS14&gt;=90)),"DEFINIR ESTADIO HTA",IF(AND(OR(O14&gt;0,R14&gt;0),AND(CR14&gt;120,CR14&lt;=139)),"PRE HTA SEGUIMIENTO",IF(AND(OR(O14&gt;0,R14&gt;0),AND(CS14&gt;80,CS14&lt;=89)),"PRE HTA SEGUIMIENTO",IF(AND(OR(O14&gt;0,R14&gt;0),AND(CR14&gt;=80,CR14&lt;=120)),"APARENTEMENTE NORMAL",IF(AND(OR(O14&gt;0,R14&gt;0),AND(CS14&gt;=50,CS14&lt;=80)),"APARENTEMENTE NORMAL",IF(AND(OR(O14&gt;0,R14&gt;0),AND(CR14&gt;1,CR14&lt;=70),AND(CS14&gt;1,CS14&lt;=40)),"HIPOTENSIÓN","")))))))))</f>
        <v>DEFINIR ESTADIO HTA</v>
      </c>
      <c r="CU14" s="21"/>
      <c r="CV14" s="21"/>
      <c r="CW14" s="217" t="str">
        <f ca="1">IF(R14="","",IF(AND(CN14&gt;19,CN14&lt;27,Tabla1[[#This Row],[T.A. SISTOLICA (Entre semana 20 y 26)]]="",Tabla1[[#This Row],[T.A. DIATOLICA (Entre semana 20 y 26)]]=""),"ACUDE A CONTROL SEM 20 A 26 REGISTRE TA AHORA",IF(AND(BS14&gt;1,BS14&lt;27,BU14&gt;19,Tabla1[[#This Row],[T.A. SISTOLICA (Entre semana 20 y 26)]]="",Tabla1[[#This Row],[T.A. DIATOLICA (Entre semana 20 y 26)]]=""),"COMPLETE REGISTRO TA CONTROL SEM 20 A26 ",IF(AND(BS14&gt;26,BS14&lt;43,Tabla1[[#This Row],[T.A. SISTOLICA (Entre semana 20 y 26)]]="",Tabla1[[#This Row],[T.A. DIATOLICA (Entre semana 20 y 26)]]=""),"NO APLICA REGISTRO TA-INGRESO TARDIO",IF(AND(OR(O14&gt;0,R14&gt;0),OR(CU14&gt;=140,CV14&gt;=90)),"ALTO RIESGO PREECLAMPSIA,DEFINIR ESTADIO HTA",IF(AND(OR(O14&gt;0,R14&gt;0),AND(CU14&gt;120,CU14&lt;=139)),"PRE HTA SEGUIMIENTO,RIESGO HIPERTENSION INDUCIDA POR EL EMBARAZO",IF(AND(OR(O14&gt;0,R14&gt;0),AND(CV14&gt;80,CV14&lt;=89)),"PRE HTA SEGUIMIENTO, RIESGO HIPERTENSION INDUCIDA POR EL EMBARAZO",IF(AND(OR(O14&lt;&gt;"",R14&lt;&gt;""),CS14&lt;&gt;"",CV14&lt;&gt;"",CS14&lt;=CV14),"VIGILAR CIFRAS PRESION ARTERIAL",IF(AND(OR(O14&gt;0,R14&gt;0),AND(CU14&gt;120,CU14&lt;=139)),"PRE HTA SEGUIMIENTO",IF(AND(OR(O14&gt;0,R14&gt;0),AND(CU14&gt;1,CU14&lt;=70),AND(CV14&gt;1,CV14&lt;=40)),"HIPOTENSIÓN",IF(AND(OR(O14&lt;&gt;"",R14&lt;&gt;""),CS14&lt;&gt;"",CV14&lt;&gt;"",CS14&gt;CV14),"APARENTEMENTE NORMAL",IF(AND(OR(O14&gt;0,R14&gt;0),AND(CU14&gt;=80,CU14&lt;=120)),"APARENTEMENTE NORMAL",IF(AND(OR(O14&gt;0,R14&gt;0),AND(CV14&gt;=50,CV14&lt;=80)),"APARENTEMENTE NORMAL","")))))))))))))</f>
        <v xml:space="preserve">COMPLETE REGISTRO TA CONTROL SEM 20 A26 </v>
      </c>
      <c r="CX14" s="21"/>
      <c r="CY14" s="21"/>
      <c r="CZ14" s="216" t="str">
        <f t="shared" si="11"/>
        <v/>
      </c>
      <c r="DA14" s="21"/>
      <c r="DB14" s="21"/>
      <c r="DC14" s="217" t="str">
        <f t="shared" si="12"/>
        <v>REGISTRE DATO PRESIÓN ARTERIAL MENSUAL</v>
      </c>
      <c r="DD14" s="22">
        <v>44814</v>
      </c>
      <c r="DE14" s="22">
        <v>44814</v>
      </c>
      <c r="DF14" s="22"/>
      <c r="DG14" s="22"/>
      <c r="DH14" s="22"/>
      <c r="DI14" s="22"/>
      <c r="DJ14" s="22"/>
      <c r="DK14" s="22"/>
      <c r="DL14" s="22"/>
      <c r="DM14" s="22"/>
      <c r="DN14" s="22"/>
      <c r="DO14" s="22"/>
      <c r="DP14" s="22"/>
      <c r="DQ14" s="22"/>
      <c r="DR14" s="28"/>
      <c r="DS14" s="22"/>
      <c r="DT14" s="22"/>
      <c r="DU14" s="216" t="str">
        <f t="shared" ca="1" si="13"/>
        <v>CONCERTAR PLAN DE PARTO INMEDIATO</v>
      </c>
      <c r="DV14" s="226" t="str">
        <f t="shared" si="14"/>
        <v>ACTIVA INGRESO A CPN</v>
      </c>
      <c r="DW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 s="216" t="e">
        <f t="shared" ca="1" si="15"/>
        <v>#REF!</v>
      </c>
      <c r="DY14" s="212">
        <f>IF(R14="","",IF(R14&gt;0,MAX(Tabla1[[#This Row],[FECHA C2]:[FECHA C13]],Tabla1[[#This Row],[FECHA CONSULTA PRIMERA VEZ PROGRAMA CPN ]])))</f>
        <v>44814</v>
      </c>
      <c r="DZ14" s="216">
        <f t="shared" si="16"/>
        <v>8</v>
      </c>
      <c r="EA14" s="222">
        <f>IF(R14&gt;0,SUM(COUNTA(DF14:DQ14)+COUNTA(Tabla1[[#This Row],[FECHA CONSULTA PRIMERA VEZ PROGRAMA CPN ]])),"")</f>
        <v>1</v>
      </c>
      <c r="EB14" s="222" t="str">
        <f t="shared" si="17"/>
        <v>NO</v>
      </c>
      <c r="EC14" s="214">
        <f t="shared" si="18"/>
        <v>10</v>
      </c>
      <c r="ED14" s="227">
        <f t="shared" si="19"/>
        <v>0.1</v>
      </c>
      <c r="EE14" s="22">
        <v>44814</v>
      </c>
      <c r="EF14" s="22"/>
      <c r="EG14" s="22">
        <v>44814</v>
      </c>
      <c r="EH14" s="22"/>
      <c r="EI14" s="22">
        <v>44814</v>
      </c>
      <c r="EJ14" s="22"/>
      <c r="EK14" s="22"/>
      <c r="EL14" s="21"/>
      <c r="EM14" s="21"/>
      <c r="EN14" s="22"/>
      <c r="EO14" s="222" t="str">
        <f t="shared" si="20"/>
        <v>TOMAR EXAMEN</v>
      </c>
      <c r="EP14" s="214" t="str">
        <f t="shared" si="21"/>
        <v/>
      </c>
      <c r="EQ14" s="216" t="str">
        <f t="shared" si="22"/>
        <v>POR DEFINIR</v>
      </c>
      <c r="ER14" s="24"/>
      <c r="ES14" s="22"/>
      <c r="ET14" s="29" t="str">
        <f t="shared" ca="1" si="23"/>
        <v>TOMA DE HEMOGLOBINA TARDÍA</v>
      </c>
      <c r="EU14" s="25" t="str">
        <f t="shared" si="24"/>
        <v/>
      </c>
      <c r="EV14" s="24"/>
      <c r="EW14" s="24"/>
      <c r="EX14" s="22"/>
      <c r="EY14" s="29" t="str">
        <f t="shared" si="25"/>
        <v>TOMAR EXAMEN</v>
      </c>
      <c r="EZ14" s="25" t="str">
        <f t="shared" ca="1" si="26"/>
        <v/>
      </c>
      <c r="FA14" s="21"/>
      <c r="FB14" s="22"/>
      <c r="FC14" s="29" t="str">
        <f t="shared" si="27"/>
        <v>TOMAR EXAMEN</v>
      </c>
      <c r="FD14" s="29"/>
      <c r="FE14" s="29"/>
      <c r="FF14" s="29"/>
      <c r="FG14" s="21" t="str">
        <f t="shared" ca="1" si="28"/>
        <v/>
      </c>
      <c r="FH14" s="31"/>
      <c r="FI14" s="29" t="str">
        <f t="shared" si="29"/>
        <v>TOMAR EXAMEN</v>
      </c>
      <c r="FJ14" s="22" t="s">
        <v>867</v>
      </c>
      <c r="FK14" s="22">
        <v>44792</v>
      </c>
      <c r="FL14" s="29">
        <f t="shared" ca="1" si="30"/>
        <v>4.8571428571428568</v>
      </c>
      <c r="FM14" s="22"/>
      <c r="FN14" s="32"/>
      <c r="FO14" s="29" t="str">
        <f t="shared" ca="1" si="31"/>
        <v>PIERDE TOMA DE TAMIZAJE</v>
      </c>
      <c r="FP14" s="22"/>
      <c r="FQ14" s="32"/>
      <c r="FR14" s="29" t="str">
        <f t="shared" ca="1" si="32"/>
        <v>TOMA INMEDIATA DE TAMIZAJE</v>
      </c>
      <c r="FS14" s="22"/>
      <c r="FT14" s="32"/>
      <c r="FU14" s="29" t="str">
        <f>IF(AND(FJ14="",FM14="",FP14="",FS14=""),"",IF(OR(OR(Tabla1[[#This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 s="28"/>
      <c r="FW14" s="22"/>
      <c r="FX14" s="29" t="str">
        <f t="shared" si="33"/>
        <v>TOMAR EXAMEN</v>
      </c>
      <c r="FY14" s="22">
        <v>44792</v>
      </c>
      <c r="FZ14" s="22">
        <v>44792</v>
      </c>
      <c r="GA14" s="29">
        <f t="shared" ca="1" si="34"/>
        <v>4.8571428571428568</v>
      </c>
      <c r="GB14" s="22"/>
      <c r="GC14" s="22"/>
      <c r="GD14" s="29" t="str">
        <f t="shared" ca="1" si="35"/>
        <v>PIERDE TOMA DE TAMIZAJE</v>
      </c>
      <c r="GE14" s="22"/>
      <c r="GF14" s="22"/>
      <c r="GG14" s="29" t="str">
        <f t="shared" ca="1" si="36"/>
        <v>TOMA INMEDIATA DE TAMIZAJE</v>
      </c>
      <c r="GH14" s="22"/>
      <c r="GI14" s="29"/>
      <c r="GJ14" s="22"/>
      <c r="GK14" s="22"/>
      <c r="GL14" s="22" t="s">
        <v>879</v>
      </c>
      <c r="GM14" s="22"/>
      <c r="GN14" s="28"/>
      <c r="GO14" s="22"/>
      <c r="GP14" s="29" t="str">
        <f t="shared" si="37"/>
        <v>TOMAR EXAMEN</v>
      </c>
      <c r="GQ14" s="28"/>
      <c r="GR14" s="28"/>
      <c r="GS14" s="22" t="str">
        <f t="shared" si="38"/>
        <v/>
      </c>
      <c r="GT14" s="22"/>
      <c r="GU14" s="29" t="str">
        <f t="shared" si="39"/>
        <v>TOMAR EXAMEN</v>
      </c>
      <c r="GV14" s="21" t="str">
        <f t="shared" si="40"/>
        <v>POR DEFINIR</v>
      </c>
      <c r="GW14" s="28"/>
      <c r="GX14" s="30"/>
      <c r="GY14" s="21"/>
      <c r="GZ14" s="21"/>
      <c r="HA14" s="21"/>
      <c r="HB14" s="21"/>
      <c r="HC14" s="21"/>
      <c r="HD14" s="21"/>
      <c r="HE14" s="21"/>
      <c r="HF14" s="22"/>
      <c r="HG14" s="22" t="str">
        <f>IF(OR(O14&gt;0,R14&gt;0),CONCATENATE(IF(Tabla1[[#This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 s="22" t="e">
        <f t="shared" si="41"/>
        <v>#REF!</v>
      </c>
      <c r="HI14" s="22" t="e">
        <f t="shared" ca="1" si="42"/>
        <v>#REF!</v>
      </c>
      <c r="HJ14" s="21"/>
      <c r="HK14" s="21" t="str">
        <f t="shared" si="44"/>
        <v>SIN ANTECEDENTES DE RIESGO</v>
      </c>
      <c r="HL14" s="24" t="str">
        <f t="shared" si="45"/>
        <v>REGISTRE DATO PRESIÓN ARTERIAL MENSUAL</v>
      </c>
      <c r="HM14" s="21" t="e">
        <f t="shared" ca="1" si="46"/>
        <v>#REF!</v>
      </c>
      <c r="HN14" s="30" t="str">
        <f t="shared" si="47"/>
        <v>ACTIVA INGRESO A CPN</v>
      </c>
      <c r="HO14" s="21"/>
      <c r="HP14" s="21"/>
      <c r="HQ14" s="21">
        <v>44814</v>
      </c>
      <c r="HR14" s="21" t="str">
        <f>IF(R14="","",IF(Tabla1[[#This Row],[ALARMA FACTORES DE RIESGO COMPLICACIONES HIPERTENSIVAS3]]="SIN ANTECEDENTES DE RIESGO","No Aplica para suministro de ASA",IF(AND(Tabla1[[#This Row],[FECHA INICIO DE SUMINISTRO DE ASA]]&gt;0,RV14&lt;12),"Inicia ASA ANTES de Sem 12",IF(AND(RV14&gt;11,RV14&lt;17,OR(HK14="RIESGO ALTO DE COMPLICACIONES HIPERTENSIVAS VER MANEJO GUIA SUMINISTRO ASA Y CALCIO",HK14="RIESGO MODERADO (2 O MAS CRITERIOS) VER MANEJO GUIA SUMINISTRO ASA Y CALCIO")),"Inicio oportuno de ASA",IF(AND(RV14&gt;12,OR(HK14="RIESGO ALTO DE COMPLICACIONES HIPERTENSIVAS VER MANEJO GUIA SUMINISTRO ASA Y CALCIO",HK14="RIESGO MODERADO (2 O MAS CRITERIOS) VER MANEJO GUIA SUMINISTRO ASA Y CALCIO")),"Inicio no oportuno mayor a 16 semanas",IF(AND(BU14&lt;12,OR(HK14="RIESGO ALTO DE COMPLICACIONES HIPERTENSIVAS VER MANEJO GUIA SUMINISTRO ASA Y CALCIO",HK14="RIESGO MODERADO (2 O MAS CRITERIOS) VER MANEJO GUIA SUMINISTRO ASA Y CALCIO")),"Pendiente Inicio de ASA a la semana 12",IF(AND(BU14&gt;11,BU14&lt;17,OR(HK14="RIESGO ALTO DE COMPLICACIONES HIPERTENSIVAS VER MANEJO GUIA SUMINISTRO ASA Y CALCIO",HK14="RIESGO MODERADO (2 O MAS CRITERIOS) VER MANEJO GUIA SUMINISTRO ASA Y CALCIO")),"Iniciar de inmediato ASA",IF(AND(BU14&gt;16,OR(HK14="RIESGO ALTO DE COMPLICACIONES HIPERTENSIVAS VER MANEJO GUIA SUMINISTRO ASA Y CALCIO",HK14="RIESGO MODERADO (2 O MAS CRITERIOS) VER MANEJO GUIA SUMINISTRO ASA Y CALCIO")),"Pierde Oportunidad, Inicio tardío de ASA","XXXXX"))))))))</f>
        <v>No Aplica para suministro de ASA</v>
      </c>
      <c r="HS14" s="22">
        <v>44814</v>
      </c>
      <c r="HT14" s="22" t="s">
        <v>935</v>
      </c>
      <c r="HU14" s="22">
        <v>44814</v>
      </c>
      <c r="HV14" s="22" t="s">
        <v>870</v>
      </c>
      <c r="HW14" s="22">
        <v>44814</v>
      </c>
      <c r="HX14" s="22" t="s">
        <v>870</v>
      </c>
      <c r="HY14" s="22">
        <v>44814</v>
      </c>
      <c r="HZ14" s="28">
        <f t="shared" si="48"/>
        <v>8</v>
      </c>
      <c r="IA14" s="26"/>
      <c r="IB14" s="26"/>
      <c r="IC14" s="111"/>
      <c r="ID14" s="22"/>
      <c r="IE14" s="22" t="str">
        <f t="shared" ca="1" si="49"/>
        <v/>
      </c>
      <c r="IF14" s="22"/>
      <c r="IG14" s="22">
        <f t="shared" si="50"/>
        <v>45038</v>
      </c>
      <c r="IH14" s="29">
        <f t="shared" ca="1" si="51"/>
        <v>-195</v>
      </c>
      <c r="II14" s="22" t="str">
        <f t="shared" ca="1" si="52"/>
        <v>POSIBLEMENTE NACIO</v>
      </c>
      <c r="IJ14" s="22">
        <v>44814</v>
      </c>
      <c r="IK14" s="21"/>
      <c r="IL14" s="21"/>
      <c r="IM14" s="34"/>
      <c r="IN14" s="349"/>
      <c r="IO14" s="21"/>
      <c r="IP14" s="29" t="str">
        <f t="shared" si="53"/>
        <v/>
      </c>
      <c r="IQ14" s="35"/>
      <c r="IR14" s="21"/>
      <c r="IS14" s="21"/>
      <c r="IT14" s="21"/>
      <c r="IU14" s="21"/>
      <c r="IV14" s="21"/>
      <c r="IW14" s="21"/>
      <c r="IX14" s="21"/>
      <c r="IY14" s="21"/>
      <c r="IZ14" s="21"/>
      <c r="JA14" s="21"/>
      <c r="JB14" s="30"/>
      <c r="JC14" s="21"/>
      <c r="JD14" s="36"/>
      <c r="JE14" s="21" t="str">
        <f t="shared" si="54"/>
        <v/>
      </c>
      <c r="JF14" s="30"/>
      <c r="JG14" s="21"/>
      <c r="JH14" s="21"/>
      <c r="JI14" s="21"/>
      <c r="JJ14" s="30"/>
      <c r="JK14" s="22"/>
      <c r="JL14" s="22"/>
      <c r="JM14" s="21"/>
      <c r="JN14" s="36"/>
      <c r="JO14" s="21" t="str">
        <f t="shared" si="55"/>
        <v/>
      </c>
      <c r="JP14" s="22"/>
      <c r="JQ14" s="21"/>
      <c r="JR14" s="21"/>
      <c r="JS14" s="21"/>
      <c r="JT14" s="30"/>
      <c r="JU14" s="22"/>
      <c r="JV14" s="22"/>
      <c r="JW14" s="33"/>
      <c r="JX14" s="28" t="str">
        <f t="shared" si="56"/>
        <v/>
      </c>
      <c r="JY14" s="33"/>
      <c r="JZ14" s="28" t="str">
        <f t="shared" si="57"/>
        <v/>
      </c>
      <c r="KA14" s="21"/>
      <c r="KB14" s="21"/>
      <c r="KC14" s="21"/>
      <c r="KD14" s="37"/>
      <c r="KE14" s="28"/>
      <c r="KF14" s="28"/>
      <c r="KG14" s="28"/>
      <c r="KH14" s="39"/>
      <c r="KI14" s="39"/>
      <c r="KJ14" s="66"/>
      <c r="KK14" s="39"/>
      <c r="KL14" s="39"/>
      <c r="KM14" s="66"/>
      <c r="KN14" s="39"/>
      <c r="KO14" s="39"/>
      <c r="KP14" s="39"/>
      <c r="KQ14" s="39"/>
      <c r="KR14" s="39"/>
      <c r="KS14" s="39"/>
      <c r="KT14" s="39"/>
      <c r="KU14" s="38"/>
      <c r="KV14" s="38"/>
      <c r="KW14" s="38"/>
      <c r="KX14" s="38"/>
      <c r="KY14" s="38"/>
      <c r="KZ14" s="38"/>
      <c r="LA14" s="38"/>
      <c r="LB14" s="38"/>
      <c r="LC14" s="38"/>
      <c r="LD14" s="38"/>
      <c r="LE14" s="38"/>
      <c r="LF14" s="38"/>
      <c r="LG14" s="38"/>
      <c r="LH14" s="38"/>
      <c r="LI14" s="38"/>
      <c r="LJ14" s="38"/>
      <c r="LK14" s="38"/>
      <c r="LL14" s="38"/>
      <c r="LM14" s="38"/>
      <c r="LN14" s="38"/>
      <c r="LO14" s="38"/>
      <c r="LP14" s="38"/>
      <c r="LQ14" s="38"/>
      <c r="LR14" s="38"/>
      <c r="LS14" s="38"/>
      <c r="LT14" s="38"/>
      <c r="LU14" s="38"/>
      <c r="LV14" s="38"/>
      <c r="LW14" s="38"/>
      <c r="LX14" s="38"/>
      <c r="LY14" s="38"/>
      <c r="LZ14" s="38"/>
      <c r="MA14" s="38"/>
      <c r="MB14" s="38"/>
      <c r="MC14" s="38"/>
      <c r="MD14" s="38"/>
      <c r="ME14" s="38"/>
      <c r="MF14" s="38"/>
      <c r="MG14" s="38"/>
      <c r="MH14" s="43">
        <f t="shared" si="58"/>
        <v>0</v>
      </c>
      <c r="MI14" s="43" t="str">
        <f t="shared" si="59"/>
        <v/>
      </c>
      <c r="MJ14" s="43" t="str">
        <f t="shared" si="60"/>
        <v/>
      </c>
      <c r="MK14" s="43">
        <f t="shared" si="61"/>
        <v>0</v>
      </c>
      <c r="ML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 s="43">
        <f t="shared" si="62"/>
        <v>8</v>
      </c>
      <c r="MN14" s="43">
        <f t="shared" si="63"/>
        <v>9</v>
      </c>
      <c r="MO14" s="43">
        <f t="shared" si="64"/>
        <v>2022</v>
      </c>
      <c r="MP14" s="43" t="str">
        <f t="shared" si="65"/>
        <v>III TRIMESTRE AÑO</v>
      </c>
      <c r="MQ14" s="43">
        <f t="shared" si="66"/>
        <v>26.029347349978096</v>
      </c>
      <c r="MR14" s="43">
        <f t="shared" si="67"/>
        <v>0</v>
      </c>
      <c r="MS14" s="43" t="str">
        <f t="shared" si="68"/>
        <v xml:space="preserve"> DE 25 A 29 AÑOS</v>
      </c>
      <c r="MT14" s="43">
        <f t="shared" si="69"/>
        <v>0</v>
      </c>
      <c r="MU14" s="43">
        <f t="shared" si="70"/>
        <v>1</v>
      </c>
      <c r="MV14" s="43">
        <f t="shared" si="71"/>
        <v>0</v>
      </c>
      <c r="MW14" s="43">
        <f t="shared" si="72"/>
        <v>0</v>
      </c>
      <c r="MX14" s="43" t="str">
        <f t="shared" si="73"/>
        <v/>
      </c>
      <c r="MY14" s="43" t="str">
        <f t="shared" ca="1" si="74"/>
        <v/>
      </c>
      <c r="MZ14" s="43" t="str">
        <f t="shared" si="75"/>
        <v/>
      </c>
      <c r="NA14" s="43" t="str">
        <f t="shared" si="76"/>
        <v/>
      </c>
      <c r="NB14" s="43" t="str">
        <f t="shared" si="77"/>
        <v/>
      </c>
      <c r="NC14" s="43" t="str">
        <f t="shared" si="78"/>
        <v/>
      </c>
      <c r="ND14" s="43">
        <f t="shared" ca="1" si="79"/>
        <v>1</v>
      </c>
      <c r="NE14" s="43">
        <f>IF(OR(O14&gt;0,R14&gt;0),SUM(COUNTIF(Tabla1[[#This Row],[AÑOS AL INICIO5 CPN]],"&gt;=40"),COUNTIF(AS14,"0"),COUNTIF(AR14,"SI"),COUNTIF(CC14,"SI"),COUNTIF(BQ14,"&gt;119"),COUNTIF(CI14,"&gt;=35")),"")</f>
        <v>1</v>
      </c>
      <c r="NF14" s="43" t="str">
        <f t="shared" si="80"/>
        <v/>
      </c>
      <c r="NG14" s="43">
        <f t="shared" si="81"/>
        <v>0</v>
      </c>
      <c r="NH14" s="43" t="str">
        <f t="shared" si="82"/>
        <v/>
      </c>
      <c r="NI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CPN",P14="NO"),"Z",IF(AND(Tabla1[[#This Row],[CITA PROXIMO CONTROL]]="CITA MANUAL",Tabla1[[#This Row],[GESTANTES ACTUALES]]="ACTIVA INGRESO A CPN"),"W",IF(AND(Tabla1[[#This Row],[GESTANTES ACTUALES]]="SALIO PROGRAMA",IN14=""),"S",IF(AND(Tabla1[[#This Row],[CITA PROXIMO CONTROL]]&gt;0,IN14=""),(Tabla1[[#This Row],[CITA PROXIMO CONTROL]]-TODAY()),"SD"))))))))</f>
        <v>#REF!</v>
      </c>
      <c r="NJ14" s="43">
        <f>MONTH(Tabla1[[#This Row],[FECHA DE SALIDA  DEL PROGRAMA]])</f>
        <v>1</v>
      </c>
      <c r="NK14" s="43">
        <f>YEAR(Tabla1[[#This Row],[FECHA DE SALIDA  DEL PROGRAMA]])</f>
        <v>1900</v>
      </c>
      <c r="NL14" s="43" t="str">
        <f t="shared" si="83"/>
        <v>X</v>
      </c>
      <c r="NM14" s="43" t="str">
        <f t="shared" si="84"/>
        <v>NO</v>
      </c>
      <c r="NN14" s="43" t="str">
        <f ca="1">IF(AND(O14&gt;0,R14=""),"NO CPN",IF(AND(O14="",R14=""),"",IF(AND(R14&gt;0,Tabla1[[#This Row],[SEMANAS DE GESTACION ACTUALIZADAS]]&lt;=12),"NO APLICA",IF(AND(FH14&lt;&gt;"",FN14&lt;&gt;""),"SI","NO"))))</f>
        <v>NO</v>
      </c>
      <c r="NO14" s="43" t="str">
        <f ca="1">IF(AND(O14&gt;0,R14=""),"NO CPN",IF(AND(O14="",R14=""),"",IF(AND(R14&gt;0,Tabla1[[#This Row],[SEMANAS DE GESTACION ACTUALIZADAS]]&lt;=27),"NO APLICA",IF(AND(ES14&lt;&gt;"",FQ14&lt;&gt;"",GF14&lt;&gt;""),"SI","NO"))))</f>
        <v>NO</v>
      </c>
      <c r="NP14" s="21" t="str">
        <f t="shared" si="85"/>
        <v>I TRIM</v>
      </c>
      <c r="NQ14" s="21">
        <f t="shared" si="86"/>
        <v>1</v>
      </c>
      <c r="NR14" s="21" t="str">
        <f t="shared" ca="1" si="87"/>
        <v>REVISAR FUM O FECHA SALIDA PROGRAMA</v>
      </c>
      <c r="NS14" s="205">
        <f t="shared" ca="1" si="88"/>
        <v>1</v>
      </c>
      <c r="NT14" s="21">
        <f t="shared" ca="1" si="89"/>
        <v>1</v>
      </c>
      <c r="NU14" s="21" t="str">
        <f t="shared" ca="1" si="90"/>
        <v>POR DEFINIR</v>
      </c>
      <c r="NV14" s="21" t="str">
        <f t="shared" ca="1" si="91"/>
        <v>POR DEFINIR</v>
      </c>
      <c r="NW14" s="206" t="str">
        <f>IF(AND(O14="",R14=""),"",IF(OR(AND(Tabla1[[#This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 s="207" t="str">
        <f t="shared" ca="1" si="92"/>
        <v>SIN VACUNAR</v>
      </c>
      <c r="NY14" s="43">
        <f>ROW(Tabla1[[#This Row],['# DE TAMIZAJES SIFILIS TOMADOS ]])</f>
        <v>14</v>
      </c>
      <c r="NZ14" s="43" t="str">
        <f t="shared" si="93"/>
        <v>Menor</v>
      </c>
      <c r="OA14" s="43" t="str">
        <f t="shared" si="94"/>
        <v>OBESIDAD</v>
      </c>
      <c r="OB14" s="43" t="str">
        <f t="shared" si="95"/>
        <v/>
      </c>
      <c r="OC14" s="43" t="str">
        <f t="shared" si="96"/>
        <v/>
      </c>
      <c r="OD14" s="43" t="str">
        <f t="shared" si="97"/>
        <v/>
      </c>
      <c r="OE14" s="43" t="str">
        <f t="shared" si="98"/>
        <v/>
      </c>
      <c r="OF14" s="43" t="str">
        <f t="shared" si="99"/>
        <v/>
      </c>
      <c r="OG14" s="43" t="str">
        <f t="shared" si="100"/>
        <v/>
      </c>
      <c r="OH14" s="43" t="str">
        <f t="shared" si="101"/>
        <v/>
      </c>
      <c r="OI14" s="43" t="str">
        <f t="shared" si="102"/>
        <v/>
      </c>
      <c r="OJ14" s="43" t="str">
        <f t="shared" si="103"/>
        <v/>
      </c>
      <c r="OK14" s="43" t="str">
        <f t="shared" si="104"/>
        <v/>
      </c>
      <c r="OL14" s="43" t="str">
        <f t="shared" si="105"/>
        <v/>
      </c>
      <c r="OM14" s="43" t="str">
        <f t="shared" si="106"/>
        <v/>
      </c>
      <c r="ON14" s="43" t="str">
        <f t="shared" si="107"/>
        <v/>
      </c>
      <c r="OO14" s="43" t="str">
        <f t="shared" si="108"/>
        <v/>
      </c>
      <c r="OP14" s="43" t="str">
        <f t="shared" si="109"/>
        <v/>
      </c>
      <c r="OQ14" s="43" t="str">
        <f t="shared" si="110"/>
        <v/>
      </c>
      <c r="OR14" s="43" t="str">
        <f t="shared" si="111"/>
        <v/>
      </c>
      <c r="OS14" s="43" t="str">
        <f t="shared" si="112"/>
        <v/>
      </c>
      <c r="OT14" s="43" t="str">
        <f t="shared" si="113"/>
        <v/>
      </c>
      <c r="OU14" s="43" t="str">
        <f t="shared" si="114"/>
        <v/>
      </c>
      <c r="OV14" s="110" t="str">
        <f t="shared" si="115"/>
        <v/>
      </c>
      <c r="OW14" s="43" t="str">
        <f t="shared" si="116"/>
        <v/>
      </c>
      <c r="OX14" s="43" t="str">
        <f t="shared" si="117"/>
        <v/>
      </c>
      <c r="OY14" s="43" t="str">
        <f t="shared" si="118"/>
        <v/>
      </c>
      <c r="OZ14" s="43" t="str">
        <f t="shared" si="119"/>
        <v/>
      </c>
      <c r="PA14" s="43" t="str">
        <f t="shared" si="120"/>
        <v/>
      </c>
      <c r="PB14" s="43" t="str">
        <f t="shared" si="121"/>
        <v/>
      </c>
      <c r="PC14" s="43" t="str">
        <f t="shared" si="122"/>
        <v/>
      </c>
      <c r="PD14" s="43" t="str">
        <f t="shared" si="123"/>
        <v/>
      </c>
      <c r="PE14" s="43" t="str">
        <f t="shared" si="124"/>
        <v/>
      </c>
      <c r="PF14" s="43" t="str">
        <f t="shared" si="125"/>
        <v/>
      </c>
      <c r="PG14" s="43" t="str">
        <f t="shared" si="126"/>
        <v/>
      </c>
      <c r="PH14" s="43" t="str">
        <f t="shared" si="127"/>
        <v/>
      </c>
      <c r="PI14" s="43" t="str">
        <f t="shared" si="128"/>
        <v>Menor</v>
      </c>
      <c r="PJ14" s="43" t="str">
        <f t="shared" si="129"/>
        <v/>
      </c>
      <c r="PK14" s="43" t="str">
        <f t="shared" si="130"/>
        <v/>
      </c>
      <c r="PL14" s="43" t="str">
        <f t="shared" si="131"/>
        <v/>
      </c>
      <c r="PM14" s="43" t="str">
        <f t="shared" si="132"/>
        <v/>
      </c>
      <c r="PN14" s="43" t="str">
        <f t="shared" si="133"/>
        <v/>
      </c>
      <c r="PO14" s="43" t="str">
        <f t="shared" si="134"/>
        <v/>
      </c>
      <c r="PP14" s="43" t="str">
        <f t="shared" si="135"/>
        <v/>
      </c>
      <c r="PQ14" s="43" t="str">
        <f t="shared" si="136"/>
        <v/>
      </c>
      <c r="PR14" s="43" t="str">
        <f t="shared" si="137"/>
        <v/>
      </c>
      <c r="PS14" s="43" t="str">
        <f t="shared" si="138"/>
        <v/>
      </c>
      <c r="PT14" s="43" t="str">
        <f t="shared" si="139"/>
        <v/>
      </c>
      <c r="PU14" s="43" t="str">
        <f t="shared" si="140"/>
        <v/>
      </c>
      <c r="PV14" s="43" t="str">
        <f t="shared" si="141"/>
        <v/>
      </c>
      <c r="PW14" s="43" t="str">
        <f t="shared" si="142"/>
        <v/>
      </c>
      <c r="PX14" s="43" t="str">
        <f t="shared" si="143"/>
        <v/>
      </c>
      <c r="PY14" s="43" t="str">
        <f t="shared" si="144"/>
        <v/>
      </c>
      <c r="PZ14" s="43" t="str">
        <f t="shared" si="145"/>
        <v/>
      </c>
      <c r="QA14" s="43" t="str">
        <f t="shared" si="146"/>
        <v/>
      </c>
      <c r="QB14" s="43" t="str">
        <f t="shared" si="147"/>
        <v/>
      </c>
      <c r="QC14" s="43" t="str">
        <f t="shared" si="148"/>
        <v/>
      </c>
      <c r="QD14" s="43" t="str">
        <f t="shared" si="149"/>
        <v/>
      </c>
      <c r="QE14" s="43" t="str">
        <f t="shared" si="150"/>
        <v/>
      </c>
      <c r="QF14" s="43" t="str">
        <f t="shared" si="151"/>
        <v/>
      </c>
      <c r="QG14" s="43" t="str">
        <f t="shared" si="152"/>
        <v/>
      </c>
      <c r="QH14" s="43" t="str">
        <f t="shared" si="153"/>
        <v/>
      </c>
      <c r="QI14" s="43" t="str">
        <f t="shared" si="154"/>
        <v/>
      </c>
      <c r="QJ14" s="43" t="str">
        <f t="shared" si="155"/>
        <v/>
      </c>
      <c r="QK14" s="43" t="str">
        <f t="shared" si="156"/>
        <v/>
      </c>
      <c r="QL14" s="43" t="str">
        <f t="shared" si="157"/>
        <v/>
      </c>
      <c r="QM14" s="43" t="str">
        <f t="shared" si="158"/>
        <v/>
      </c>
      <c r="QN14" s="43" t="str">
        <f t="shared" si="159"/>
        <v/>
      </c>
      <c r="QO14" s="43" t="str">
        <f t="shared" si="160"/>
        <v/>
      </c>
      <c r="QP14" s="43" t="str">
        <f t="shared" si="161"/>
        <v/>
      </c>
      <c r="QQ14" s="43" t="str">
        <f t="shared" si="162"/>
        <v/>
      </c>
      <c r="QR14" s="43" t="str">
        <f t="shared" si="192"/>
        <v>Menor</v>
      </c>
      <c r="QS14" s="43"/>
      <c r="QT14" s="21" t="str">
        <f t="shared" si="163"/>
        <v/>
      </c>
      <c r="QU14" s="21" t="str">
        <f t="shared" si="164"/>
        <v/>
      </c>
      <c r="QV14" s="21" t="str">
        <f t="shared" si="165"/>
        <v/>
      </c>
      <c r="QW14" s="21" t="str">
        <f t="shared" si="166"/>
        <v/>
      </c>
      <c r="QX14" s="21" t="str">
        <f t="shared" si="167"/>
        <v/>
      </c>
      <c r="QY14" s="21" t="str">
        <f t="shared" si="168"/>
        <v/>
      </c>
      <c r="QZ14" s="21" t="str">
        <f t="shared" si="169"/>
        <v/>
      </c>
      <c r="RA14" s="21" t="str">
        <f t="shared" si="170"/>
        <v/>
      </c>
      <c r="RB14" s="21" t="str">
        <f t="shared" si="171"/>
        <v/>
      </c>
      <c r="RC14" s="21" t="str">
        <f t="shared" si="172"/>
        <v/>
      </c>
      <c r="RD14" s="21" t="str">
        <f t="shared" si="173"/>
        <v/>
      </c>
      <c r="RE14" s="21" t="str">
        <f t="shared" si="174"/>
        <v/>
      </c>
      <c r="RF14" s="21" t="str">
        <f t="shared" si="175"/>
        <v/>
      </c>
      <c r="RG14" s="21" t="str">
        <f t="shared" si="176"/>
        <v/>
      </c>
      <c r="RH14" s="21" t="str">
        <f t="shared" si="177"/>
        <v/>
      </c>
      <c r="RI14" s="21" t="str">
        <f t="shared" si="178"/>
        <v/>
      </c>
      <c r="RJ14" s="21" t="str">
        <f t="shared" si="179"/>
        <v/>
      </c>
      <c r="RK14" s="21" t="str">
        <f t="shared" si="180"/>
        <v/>
      </c>
      <c r="RL14" s="21" t="str">
        <f t="shared" si="181"/>
        <v/>
      </c>
      <c r="RM14" s="21" t="str">
        <f t="shared" si="182"/>
        <v/>
      </c>
      <c r="RN14" s="21" t="str">
        <f t="shared" si="183"/>
        <v/>
      </c>
      <c r="RO14" s="21" t="str">
        <f t="shared" si="184"/>
        <v/>
      </c>
      <c r="RP14" s="21" t="str">
        <f t="shared" si="185"/>
        <v/>
      </c>
      <c r="RQ14" s="21" t="str">
        <f t="shared" si="186"/>
        <v/>
      </c>
      <c r="RR14" s="21" t="str">
        <f t="shared" si="187"/>
        <v/>
      </c>
      <c r="RS14" s="21" t="str">
        <f t="shared" si="188"/>
        <v/>
      </c>
      <c r="RT14" s="21" t="str">
        <f t="shared" si="189"/>
        <v/>
      </c>
      <c r="RU14" s="21" t="str">
        <f t="shared" si="190"/>
        <v/>
      </c>
      <c r="RV14" s="21">
        <f t="shared" si="191"/>
        <v>8</v>
      </c>
      <c r="RW14" s="284">
        <f>IF(OR(Tabla1[[#This Row],[FUM FORMULA CONFIABLE]]="",Tabla1[[#This Row],[FUM FORMULA CONFIABLE]]="SD"),"",IF(Tabla1[[#This Row],[FUM FORMULA CONFIABLE]]="CORREGIDA",Tabla1[[#This Row],[FUM X ECO 1]],Tabla1[[#This Row],[FUM x AMENORREA]]))</f>
        <v>44758</v>
      </c>
      <c r="RX14" s="21" t="str">
        <f>IF(AND(Tabla1[[#This Row],[FUM X ECO 1]]="",Tabla1[[#This Row],[FUM x AMENORREA]]=""),"",IF(AND(Tabla1[[#This Row],[FUM X ECO 1]]="",Tabla1[[#This Row],[FUM x AMENORREA]]&lt;&gt;""),"X",SUM(Tabla1[[#This Row],[FUM X ECO 1]]-Tabla1[[#This Row],[FUM x AMENORREA]])))</f>
        <v>X</v>
      </c>
      <c r="RY14" s="21" t="str">
        <f t="shared" si="193"/>
        <v>x</v>
      </c>
    </row>
    <row r="15" spans="1:493" ht="45" customHeight="1" x14ac:dyDescent="0.25">
      <c r="A15" s="109"/>
      <c r="B15" s="43" t="s">
        <v>942</v>
      </c>
      <c r="C15" s="43" t="s">
        <v>845</v>
      </c>
      <c r="D15" s="124" t="s">
        <v>846</v>
      </c>
      <c r="E15" s="43" t="s">
        <v>943</v>
      </c>
      <c r="F15" s="43" t="s">
        <v>944</v>
      </c>
      <c r="G15" s="43" t="s">
        <v>945</v>
      </c>
      <c r="H15" s="43" t="s">
        <v>919</v>
      </c>
      <c r="I15" s="109" t="s">
        <v>851</v>
      </c>
      <c r="J15" s="110">
        <v>1002847740</v>
      </c>
      <c r="K15" s="43" t="s">
        <v>852</v>
      </c>
      <c r="L15" s="175" t="s">
        <v>853</v>
      </c>
      <c r="M15" s="22">
        <v>37227</v>
      </c>
      <c r="N15" s="213">
        <f t="shared" ca="1" si="0"/>
        <v>21.934246575342467</v>
      </c>
      <c r="O15" s="22">
        <v>44814</v>
      </c>
      <c r="P15" s="214" t="str">
        <f t="shared" si="1"/>
        <v>SI</v>
      </c>
      <c r="Q15" s="26" t="s">
        <v>855</v>
      </c>
      <c r="R15" s="22">
        <v>44813</v>
      </c>
      <c r="S15" s="21" t="s">
        <v>856</v>
      </c>
      <c r="T15" s="24" t="s">
        <v>690</v>
      </c>
      <c r="U15" s="21" t="s">
        <v>857</v>
      </c>
      <c r="V15" s="21" t="s">
        <v>858</v>
      </c>
      <c r="W15" s="21" t="s">
        <v>859</v>
      </c>
      <c r="X15" s="21" t="s">
        <v>859</v>
      </c>
      <c r="Y15" s="21" t="s">
        <v>859</v>
      </c>
      <c r="Z15" s="21">
        <v>3157904530</v>
      </c>
      <c r="AA15" s="21" t="s">
        <v>860</v>
      </c>
      <c r="AB15" s="27" t="s">
        <v>861</v>
      </c>
      <c r="AC15" s="26" t="s">
        <v>897</v>
      </c>
      <c r="AD15" s="38" t="s">
        <v>846</v>
      </c>
      <c r="AE15" s="26" t="s">
        <v>854</v>
      </c>
      <c r="AF15" s="26" t="s">
        <v>854</v>
      </c>
      <c r="AG15" s="23" t="s">
        <v>864</v>
      </c>
      <c r="AH15" s="23" t="s">
        <v>864</v>
      </c>
      <c r="AI15" s="24" t="s">
        <v>863</v>
      </c>
      <c r="AJ15" s="23" t="s">
        <v>864</v>
      </c>
      <c r="AK15" s="220" t="str">
        <f>IF(AND(AD15="",AE15="",AF15="",AG15="",AH15="",AI15="",AJ15=""),"",IF(OR(Tabla1[[#This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EVALUACIÓN",IF(AND(O15="",R15=""),"",IF(AND(OR(O15&gt;0,R15&gt;0),NG15&gt;=0,NG15&lt;2),"SIN RIESGO",IF(AND(OR(O15&gt;0,R15&gt;0),NG15&gt;=2),"CON RIESGO","ASD")))))</f>
        <v>SIN RIESGO</v>
      </c>
      <c r="AL15" s="23" t="s">
        <v>864</v>
      </c>
      <c r="AM15" s="26" t="s">
        <v>864</v>
      </c>
      <c r="AN15" s="26" t="s">
        <v>864</v>
      </c>
      <c r="AO15" s="26" t="s">
        <v>864</v>
      </c>
      <c r="AP15" s="26" t="s">
        <v>864</v>
      </c>
      <c r="AQ15" s="26" t="s">
        <v>864</v>
      </c>
      <c r="AR15" s="26" t="s">
        <v>864</v>
      </c>
      <c r="AS15" s="21">
        <v>1</v>
      </c>
      <c r="AT15" s="21">
        <v>0</v>
      </c>
      <c r="AU15" s="21">
        <v>0</v>
      </c>
      <c r="AV15" s="26" t="s">
        <v>864</v>
      </c>
      <c r="AW15" s="21">
        <v>0</v>
      </c>
      <c r="AX15" s="26" t="s">
        <v>864</v>
      </c>
      <c r="AY15" s="26" t="s">
        <v>864</v>
      </c>
      <c r="AZ15" s="26" t="s">
        <v>864</v>
      </c>
      <c r="BA15" s="26" t="s">
        <v>864</v>
      </c>
      <c r="BB15" s="26" t="s">
        <v>864</v>
      </c>
      <c r="BC15" s="26" t="s">
        <v>864</v>
      </c>
      <c r="BD15" s="26" t="s">
        <v>864</v>
      </c>
      <c r="BE15" s="26" t="s">
        <v>864</v>
      </c>
      <c r="BF15" s="26" t="s">
        <v>864</v>
      </c>
      <c r="BG15" s="26" t="s">
        <v>864</v>
      </c>
      <c r="BH15" s="26"/>
      <c r="BI15" s="26" t="s">
        <v>864</v>
      </c>
      <c r="BJ15" s="26"/>
      <c r="BK15" s="26"/>
      <c r="BL15" s="26"/>
      <c r="BM15" s="26" t="s">
        <v>864</v>
      </c>
      <c r="BN15" s="22">
        <v>44448</v>
      </c>
      <c r="BO15" s="22">
        <v>44760</v>
      </c>
      <c r="BP15" s="21" t="s">
        <v>854</v>
      </c>
      <c r="BQ15" s="222">
        <f t="shared" si="2"/>
        <v>10.4</v>
      </c>
      <c r="BR15" s="223">
        <f t="shared" si="3"/>
        <v>44761.2</v>
      </c>
      <c r="BS15" s="224">
        <f t="shared" si="4"/>
        <v>7.5714285714285712</v>
      </c>
      <c r="BT15" s="216" t="str">
        <f t="shared" si="5"/>
        <v>I TRIM</v>
      </c>
      <c r="BU15" s="214" t="str">
        <f t="shared" ca="1" si="6"/>
        <v/>
      </c>
      <c r="BV15" s="25"/>
      <c r="BW15" s="22">
        <v>44834</v>
      </c>
      <c r="BX15" s="28">
        <v>10.4</v>
      </c>
      <c r="BY15" s="28"/>
      <c r="BZ15" s="22">
        <v>44858</v>
      </c>
      <c r="CA15" s="21">
        <v>14</v>
      </c>
      <c r="CB15" s="26" t="s">
        <v>864</v>
      </c>
      <c r="CC15" s="26" t="s">
        <v>864</v>
      </c>
      <c r="CD15" s="26" t="s">
        <v>878</v>
      </c>
      <c r="CE15" s="26" t="s">
        <v>864</v>
      </c>
      <c r="CF15" s="22">
        <v>44814</v>
      </c>
      <c r="CG15" s="21">
        <v>1.43</v>
      </c>
      <c r="CH15" s="21">
        <v>49</v>
      </c>
      <c r="CI15" s="214">
        <f t="shared" si="7"/>
        <v>23.962051934079909</v>
      </c>
      <c r="CJ15" s="225" t="str">
        <f>IF(AND(CI15&lt;10,CH15="SD"),"SIN DATO PESO PREGESTACION O I TRIM",IF(AND(OR(R15&gt;0,O15&gt;0),CI15="X"),"INGRESAR DATO DE PESO",IF(CI15="SD","INGRESAR DATO DE TALLA Y PESO",IF(AND(OR(Tabla1[[#This Row],[MOMENTO EN QUE SE REALIZA EL PESO AL INGRESO A CPN]]="PREGESTACIÓN",NZ15="Menor"),CI15&lt;18.5),"BAJO PESO",IF(AND(OR(Tabla1[[#This Row],[MOMENTO EN QUE SE REALIZA EL PESO AL INGRESO A CPN]]="PREGESTACIÓN",NZ15="Menor"),CI15&lt;25),"NORMAL",IF(AND(OR(Tabla1[[#This Row],[MOMENTO EN QUE SE REALIZA EL PESO AL INGRESO A CPN]]="PREGESTACIÓN",NZ15="Menor"),CI15&lt;30),"SOBREPESO",IF(AND(OR(Tabla1[[#This Row],[MOMENTO EN QUE SE REALIZA EL PESO AL INGRESO A CPN]]="PREGESTACIÓN",NZ15="Menor"),CI15&gt;=30,CI15&lt;50),"OBESIDAD",IF(AND(BS15&gt;0,Tabla1[[#This Row],[MOMENTO EN QUE SE REALIZA EL PESO AL INGRESO A CPN]]="GESTACIÓN"),HLOOKUP(NZ15,$OA$2:PH15,NY15),""))))))))</f>
        <v>NORMAL</v>
      </c>
      <c r="CK15" s="212">
        <f t="shared" si="8"/>
        <v>44939</v>
      </c>
      <c r="CL15" s="21"/>
      <c r="CM15" s="214">
        <f t="shared" si="9"/>
        <v>0</v>
      </c>
      <c r="CN15" s="216">
        <f t="shared" si="10"/>
        <v>25</v>
      </c>
      <c r="CO15" s="216" t="e">
        <f>IF(PI15="","",IF(PI15&gt;0,HLOOKUP(PI15,$PJ$2:QQ15,NY15),""))</f>
        <v>#REF!</v>
      </c>
      <c r="CP15" s="21"/>
      <c r="CQ15" s="216" t="e">
        <f>IF(QR15="Menor","NO APLICA-MENOR 13 SEM",IF(AND(CC15="SI",CN15&gt;23),"NO APLICA- GEMELAR",IF(QR15="","",IF(QR15&gt;0,HLOOKUP(QR15,$QS$2:RU15,NY15),""))))</f>
        <v>#REF!</v>
      </c>
      <c r="CR15" s="21">
        <v>120</v>
      </c>
      <c r="CS15" s="21">
        <v>60</v>
      </c>
      <c r="CT15" s="217" t="str">
        <f>IF(R15="","",IF(AND(BS15&gt;1,BS15&lt;12,Tabla1[[#This Row],[T.A. SISTOLICA - ANTES DE SEMANA 12]]="",Tabla1[[#This Row],[T.A. DIASTOLICA - ANTES DE SEMANA 12]]=""),"REGISTRE DATO TA ANTES SEMANA 12",IF(AND(BS15&gt;11,BS15&lt;43,Tabla1[[#This Row],[T.A. SISTOLICA - ANTES DE SEMANA 12]]="",Tabla1[[#This Row],[T.A. DIASTOLICA - ANTES DE SEMANA 12]]=""),"NO APLICA REGISTRO TA-INGRESO TARDIO",IF(AND(OR(O15&gt;0,R15&gt;0),OR(CR15&gt;=140,CS15&gt;=90)),"DEFINIR ESTADIO HTA",IF(AND(OR(O15&gt;0,R15&gt;0),AND(CR15&gt;120,CR15&lt;=139)),"PRE HTA SEGUIMIENTO",IF(AND(OR(O15&gt;0,R15&gt;0),AND(CS15&gt;80,CS15&lt;=89)),"PRE HTA SEGUIMIENTO",IF(AND(OR(O15&gt;0,R15&gt;0),AND(CR15&gt;=80,CR15&lt;=120)),"APARENTEMENTE NORMAL",IF(AND(OR(O15&gt;0,R15&gt;0),AND(CS15&gt;=50,CS15&lt;=80)),"APARENTEMENTE NORMAL",IF(AND(OR(O15&gt;0,R15&gt;0),AND(CR15&gt;1,CR15&lt;=70),AND(CS15&gt;1,CS15&lt;=40)),"HIPOTENSIÓN","")))))))))</f>
        <v>APARENTEMENTE NORMAL</v>
      </c>
      <c r="CU15" s="21">
        <v>90</v>
      </c>
      <c r="CV15" s="21">
        <v>60</v>
      </c>
      <c r="CW15" s="217" t="str">
        <f ca="1">IF(R15="","",IF(AND(CN15&gt;19,CN15&lt;27,Tabla1[[#This Row],[T.A. SISTOLICA (Entre semana 20 y 26)]]="",Tabla1[[#This Row],[T.A. DIATOLICA (Entre semana 20 y 26)]]=""),"ACUDE A CONTROL SEM 20 A 26 REGISTRE TA AHORA",IF(AND(BS15&gt;1,BS15&lt;27,BU15&gt;19,Tabla1[[#This Row],[T.A. SISTOLICA (Entre semana 20 y 26)]]="",Tabla1[[#This Row],[T.A. DIATOLICA (Entre semana 20 y 26)]]=""),"COMPLETE REGISTRO TA CONTROL SEM 20 A26 ",IF(AND(BS15&gt;26,BS15&lt;43,Tabla1[[#This Row],[T.A. SISTOLICA (Entre semana 20 y 26)]]="",Tabla1[[#This Row],[T.A. DIATOLICA (Entre semana 20 y 26)]]=""),"NO APLICA REGISTRO TA-INGRESO TARDIO",IF(AND(OR(O15&gt;0,R15&gt;0),OR(CU15&gt;=140,CV15&gt;=90)),"ALTO RIESGO PREECLAMPSIA,DEFINIR ESTADIO HTA",IF(AND(OR(O15&gt;0,R15&gt;0),AND(CU15&gt;120,CU15&lt;=139)),"PRE HTA SEGUIMIENTO,RIESGO HIPERTENSION INDUCIDA POR EL EMBARAZO",IF(AND(OR(O15&gt;0,R15&gt;0),AND(CV15&gt;80,CV15&lt;=89)),"PRE HTA SEGUIMIENTO, RIESGO HIPERTENSION INDUCIDA POR EL EMBARAZO",IF(AND(OR(O15&lt;&gt;"",R15&lt;&gt;""),CS15&lt;&gt;"",CV15&lt;&gt;"",CS15&lt;=CV15),"VIGILAR CIFRAS PRESION ARTERIAL",IF(AND(OR(O15&gt;0,R15&gt;0),AND(CU15&gt;120,CU15&lt;=139)),"PRE HTA SEGUIMIENTO",IF(AND(OR(O15&gt;0,R15&gt;0),AND(CU15&gt;1,CU15&lt;=70),AND(CV15&gt;1,CV15&lt;=40)),"HIPOTENSIÓN",IF(AND(OR(O15&lt;&gt;"",R15&lt;&gt;""),CS15&lt;&gt;"",CV15&lt;&gt;"",CS15&gt;CV15),"APARENTEMENTE NORMAL",IF(AND(OR(O15&gt;0,R15&gt;0),AND(CU15&gt;=80,CU15&lt;=120)),"APARENTEMENTE NORMAL",IF(AND(OR(O15&gt;0,R15&gt;0),AND(CV15&gt;=50,CV15&lt;=80)),"APARENTEMENTE NORMAL","")))))))))))))</f>
        <v>VIGILAR CIFRAS PRESION ARTERIAL</v>
      </c>
      <c r="CX15" s="21"/>
      <c r="CY15" s="21"/>
      <c r="CZ15" s="216" t="str">
        <f t="shared" si="11"/>
        <v/>
      </c>
      <c r="DA15" s="21"/>
      <c r="DB15" s="21"/>
      <c r="DC15" s="217" t="str">
        <f t="shared" si="12"/>
        <v>REGISTRE DATO PRESIÓN ARTERIAL MENSUAL</v>
      </c>
      <c r="DD15" s="22">
        <v>44814</v>
      </c>
      <c r="DE15" s="22">
        <v>44814</v>
      </c>
      <c r="DF15" s="22">
        <v>44840</v>
      </c>
      <c r="DG15" s="22">
        <v>44886</v>
      </c>
      <c r="DH15" s="22">
        <v>44939</v>
      </c>
      <c r="DI15" s="22"/>
      <c r="DJ15" s="22"/>
      <c r="DK15" s="22"/>
      <c r="DL15" s="22"/>
      <c r="DM15" s="22"/>
      <c r="DN15" s="22"/>
      <c r="DO15" s="22"/>
      <c r="DP15" s="22"/>
      <c r="DQ15" s="22"/>
      <c r="DR15" s="28">
        <v>2</v>
      </c>
      <c r="DS15" s="22"/>
      <c r="DT15" s="22"/>
      <c r="DU15" s="216" t="str">
        <f t="shared" ca="1" si="13"/>
        <v>SALE SIN PLAN DE PARTO</v>
      </c>
      <c r="DV15" s="226" t="str">
        <f t="shared" si="14"/>
        <v>SALIO PROGRAMA</v>
      </c>
      <c r="DW1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 s="216" t="str">
        <f t="shared" ca="1" si="15"/>
        <v/>
      </c>
      <c r="DY15" s="212">
        <f>IF(R15="","",IF(R15&gt;0,MAX(Tabla1[[#This Row],[FECHA C2]:[FECHA C13]],Tabla1[[#This Row],[FECHA CONSULTA PRIMERA VEZ PROGRAMA CPN ]])))</f>
        <v>44939</v>
      </c>
      <c r="DZ15" s="216">
        <f t="shared" si="16"/>
        <v>25</v>
      </c>
      <c r="EA15" s="222">
        <f>IF(R15&gt;0,SUM(COUNTA(DF15:DQ15)+COUNTA(Tabla1[[#This Row],[FECHA CONSULTA PRIMERA VEZ PROGRAMA CPN ]])),"")</f>
        <v>4</v>
      </c>
      <c r="EB15" s="222" t="str">
        <f t="shared" si="17"/>
        <v>SI</v>
      </c>
      <c r="EC15" s="214">
        <f t="shared" si="18"/>
        <v>10</v>
      </c>
      <c r="ED15" s="227">
        <f t="shared" si="19"/>
        <v>0.4</v>
      </c>
      <c r="EE15" s="22">
        <v>44814</v>
      </c>
      <c r="EF15" s="22">
        <v>44811</v>
      </c>
      <c r="EG15" s="22">
        <v>44814</v>
      </c>
      <c r="EH15" s="22">
        <v>44847</v>
      </c>
      <c r="EI15" s="22">
        <v>44814</v>
      </c>
      <c r="EJ15" s="22">
        <v>44846</v>
      </c>
      <c r="EK15" s="22">
        <v>44846</v>
      </c>
      <c r="EL15" s="21">
        <v>1</v>
      </c>
      <c r="EM15" s="21">
        <v>15.2</v>
      </c>
      <c r="EN15" s="22">
        <v>44814</v>
      </c>
      <c r="EO15" s="222">
        <f t="shared" si="20"/>
        <v>7.7142857142857144</v>
      </c>
      <c r="EP15" s="214" t="str">
        <f t="shared" si="21"/>
        <v>NO DAR SULFATO FERROSO</v>
      </c>
      <c r="EQ15" s="216" t="str">
        <f t="shared" si="22"/>
        <v>I TRIM</v>
      </c>
      <c r="ER15" s="24"/>
      <c r="ES15" s="22"/>
      <c r="ET15" s="29" t="str">
        <f t="shared" ca="1" si="23"/>
        <v>SALE SIN TAMIZAJE HEMOGLOBINA SEM 28</v>
      </c>
      <c r="EU15" s="25" t="str">
        <f t="shared" si="24"/>
        <v/>
      </c>
      <c r="EV15" s="24" t="s">
        <v>866</v>
      </c>
      <c r="EW15" s="24">
        <v>44814</v>
      </c>
      <c r="EX15" s="22"/>
      <c r="EY15" s="29">
        <f t="shared" si="25"/>
        <v>7.7142857142857144</v>
      </c>
      <c r="EZ15" s="25" t="str">
        <f t="shared" ca="1" si="26"/>
        <v/>
      </c>
      <c r="FA15" s="21">
        <v>88</v>
      </c>
      <c r="FB15" s="22">
        <v>44814</v>
      </c>
      <c r="FC15" s="29">
        <f t="shared" si="27"/>
        <v>7.7142857142857144</v>
      </c>
      <c r="FD15" s="29"/>
      <c r="FE15" s="29"/>
      <c r="FF15" s="29"/>
      <c r="FG15" s="21" t="str">
        <f t="shared" ca="1" si="28"/>
        <v/>
      </c>
      <c r="FH15" s="31"/>
      <c r="FI15" s="29" t="str">
        <f t="shared" si="29"/>
        <v>TOMAR EXAMEN</v>
      </c>
      <c r="FJ15" s="22" t="s">
        <v>867</v>
      </c>
      <c r="FK15" s="22">
        <v>44814</v>
      </c>
      <c r="FL15" s="29">
        <f t="shared" ca="1" si="30"/>
        <v>7.7142857142857144</v>
      </c>
      <c r="FM15" s="22"/>
      <c r="FN15" s="32"/>
      <c r="FO15" s="29" t="str">
        <f t="shared" ca="1" si="31"/>
        <v>PIERDE TOMA DE TAMIZAJE</v>
      </c>
      <c r="FP15" s="22"/>
      <c r="FQ15" s="32"/>
      <c r="FR15" s="29" t="str">
        <f t="shared" ca="1" si="32"/>
        <v>PIERDE TOMA DE TAMIZAJE</v>
      </c>
      <c r="FS15" s="22"/>
      <c r="FT15" s="32"/>
      <c r="FU15" s="29" t="str">
        <f>IF(AND(FJ15="",FM15="",FP15="",FS15=""),"",IF(OR(OR(Tabla1[[#This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 s="28"/>
      <c r="FW15" s="22"/>
      <c r="FX15" s="29" t="str">
        <f t="shared" si="33"/>
        <v>TOMAR EXAMEN</v>
      </c>
      <c r="FY15" s="22">
        <v>44814</v>
      </c>
      <c r="FZ15" s="22">
        <v>44814</v>
      </c>
      <c r="GA15" s="29">
        <f t="shared" ca="1" si="34"/>
        <v>7.7142857142857144</v>
      </c>
      <c r="GB15" s="22"/>
      <c r="GC15" s="22"/>
      <c r="GD15" s="29" t="str">
        <f t="shared" ca="1" si="35"/>
        <v>PIERDE TOMA DE TAMIZAJE</v>
      </c>
      <c r="GE15" s="22"/>
      <c r="GF15" s="22"/>
      <c r="GG15" s="29" t="str">
        <f t="shared" ca="1" si="36"/>
        <v>PIERDE TOMA DE TAMIZAJE</v>
      </c>
      <c r="GH15" s="22"/>
      <c r="GI15" s="29"/>
      <c r="GJ15" s="22"/>
      <c r="GK15" s="22"/>
      <c r="GL15" s="22" t="s">
        <v>879</v>
      </c>
      <c r="GM15" s="22"/>
      <c r="GN15" s="28" t="s">
        <v>869</v>
      </c>
      <c r="GO15" s="22">
        <v>44814</v>
      </c>
      <c r="GP15" s="29">
        <f t="shared" si="37"/>
        <v>7.7142857142857144</v>
      </c>
      <c r="GQ15" s="28" t="s">
        <v>869</v>
      </c>
      <c r="GR15" s="28" t="s">
        <v>869</v>
      </c>
      <c r="GS15" s="22" t="str">
        <f t="shared" si="38"/>
        <v>CONTROL Igm</v>
      </c>
      <c r="GT15" s="22">
        <v>44814</v>
      </c>
      <c r="GU15" s="29">
        <f t="shared" si="39"/>
        <v>7.7142857142857144</v>
      </c>
      <c r="GV15" s="21" t="str">
        <f t="shared" si="40"/>
        <v>I TRIM</v>
      </c>
      <c r="GW15" s="28" t="s">
        <v>869</v>
      </c>
      <c r="GX15" s="30"/>
      <c r="GY15" s="21"/>
      <c r="GZ15" s="21"/>
      <c r="HA15" s="21"/>
      <c r="HB15" s="21"/>
      <c r="HC15" s="21"/>
      <c r="HD15" s="21"/>
      <c r="HE15" s="21"/>
      <c r="HF15" s="22"/>
      <c r="HG15" s="22" t="str">
        <f>IF(OR(O15&gt;0,R15&gt;0),CONCATENATE(IF(Tabla1[[#This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 s="22" t="e">
        <f t="shared" si="41"/>
        <v>#REF!</v>
      </c>
      <c r="HI15" s="22" t="e">
        <f t="shared" ca="1" si="42"/>
        <v>#REF!</v>
      </c>
      <c r="HJ15" s="21"/>
      <c r="HK15" s="21" t="str">
        <f t="shared" si="44"/>
        <v>SIN ANTECEDENTES DE RIESGO</v>
      </c>
      <c r="HL15" s="24" t="str">
        <f t="shared" si="45"/>
        <v>REGISTRE DATO PRESIÓN ARTERIAL MENSUAL</v>
      </c>
      <c r="HM15" s="21" t="str">
        <f t="shared" ca="1" si="46"/>
        <v/>
      </c>
      <c r="HN15" s="30" t="str">
        <f t="shared" si="47"/>
        <v>SALIO PROGRAMA</v>
      </c>
      <c r="HO15" s="21"/>
      <c r="HP15" s="21"/>
      <c r="HQ15" s="21">
        <v>44814</v>
      </c>
      <c r="HR15" s="21" t="str">
        <f>IF(R15="","",IF(Tabla1[[#This Row],[ALARMA FACTORES DE RIESGO COMPLICACIONES HIPERTENSIVAS3]]="SIN ANTECEDENTES DE RIESGO","No Aplica para suministro de ASA",IF(AND(Tabla1[[#This Row],[FECHA INICIO DE SUMINISTRO DE ASA]]&gt;0,RV15&lt;12),"Inicia ASA ANTES de Sem 12",IF(AND(RV15&gt;11,RV15&lt;17,OR(HK15="RIESGO ALTO DE COMPLICACIONES HIPERTENSIVAS VER MANEJO GUIA SUMINISTRO ASA Y CALCIO",HK15="RIESGO MODERADO (2 O MAS CRITERIOS) VER MANEJO GUIA SUMINISTRO ASA Y CALCIO")),"Inicio oportuno de ASA",IF(AND(RV15&gt;12,OR(HK15="RIESGO ALTO DE COMPLICACIONES HIPERTENSIVAS VER MANEJO GUIA SUMINISTRO ASA Y CALCIO",HK15="RIESGO MODERADO (2 O MAS CRITERIOS) VER MANEJO GUIA SUMINISTRO ASA Y CALCIO")),"Inicio no oportuno mayor a 16 semanas",IF(AND(BU15&lt;12,OR(HK15="RIESGO ALTO DE COMPLICACIONES HIPERTENSIVAS VER MANEJO GUIA SUMINISTRO ASA Y CALCIO",HK15="RIESGO MODERADO (2 O MAS CRITERIOS) VER MANEJO GUIA SUMINISTRO ASA Y CALCIO")),"Pendiente Inicio de ASA a la semana 12",IF(AND(BU15&gt;11,BU15&lt;17,OR(HK15="RIESGO ALTO DE COMPLICACIONES HIPERTENSIVAS VER MANEJO GUIA SUMINISTRO ASA Y CALCIO",HK15="RIESGO MODERADO (2 O MAS CRITERIOS) VER MANEJO GUIA SUMINISTRO ASA Y CALCIO")),"Iniciar de inmediato ASA",IF(AND(BU15&gt;16,OR(HK15="RIESGO ALTO DE COMPLICACIONES HIPERTENSIVAS VER MANEJO GUIA SUMINISTRO ASA Y CALCIO",HK15="RIESGO MODERADO (2 O MAS CRITERIOS) VER MANEJO GUIA SUMINISTRO ASA Y CALCIO")),"Pierde Oportunidad, Inicio tardío de ASA","XXXXX"))))))))</f>
        <v>No Aplica para suministro de ASA</v>
      </c>
      <c r="HS15" s="22">
        <v>44814</v>
      </c>
      <c r="HT15" s="22" t="s">
        <v>870</v>
      </c>
      <c r="HU15" s="22">
        <v>44814</v>
      </c>
      <c r="HV15" s="22" t="s">
        <v>870</v>
      </c>
      <c r="HW15" s="22">
        <v>44814</v>
      </c>
      <c r="HX15" s="22" t="s">
        <v>870</v>
      </c>
      <c r="HY15" s="22">
        <v>44814</v>
      </c>
      <c r="HZ15" s="28">
        <f t="shared" si="48"/>
        <v>7.7142857142857144</v>
      </c>
      <c r="IA15" s="26"/>
      <c r="IB15" s="26"/>
      <c r="IC15" s="111"/>
      <c r="ID15" s="22"/>
      <c r="IE15" s="22" t="str">
        <f t="shared" ca="1" si="49"/>
        <v>SALE SIN VACUNA</v>
      </c>
      <c r="IF15" s="22"/>
      <c r="IG15" s="22">
        <f t="shared" si="50"/>
        <v>45040</v>
      </c>
      <c r="IH15" s="29">
        <f t="shared" ca="1" si="51"/>
        <v>-193</v>
      </c>
      <c r="II15" s="22" t="str">
        <f t="shared" ca="1" si="52"/>
        <v>POSIBLEMENTE NACIO</v>
      </c>
      <c r="IJ15" s="22"/>
      <c r="IK15" s="21" t="s">
        <v>1652</v>
      </c>
      <c r="IL15" s="21"/>
      <c r="IM15" s="34"/>
      <c r="IN15" s="349">
        <v>45039</v>
      </c>
      <c r="IO15" s="21" t="s">
        <v>1186</v>
      </c>
      <c r="IP15" s="29">
        <f t="shared" si="53"/>
        <v>39.857142857142854</v>
      </c>
      <c r="IQ15" s="35" t="s">
        <v>1650</v>
      </c>
      <c r="IR15" s="21" t="s">
        <v>1651</v>
      </c>
      <c r="IS15" s="21" t="s">
        <v>1646</v>
      </c>
      <c r="IT15" s="21" t="s">
        <v>1642</v>
      </c>
      <c r="IU15" s="21"/>
      <c r="IV15" s="21"/>
      <c r="IW15" s="21"/>
      <c r="IX15" s="21"/>
      <c r="IY15" s="21"/>
      <c r="IZ15" s="21"/>
      <c r="JA15" s="21"/>
      <c r="JB15" s="30">
        <v>1</v>
      </c>
      <c r="JC15" s="21" t="s">
        <v>1647</v>
      </c>
      <c r="JD15" s="36">
        <v>2880</v>
      </c>
      <c r="JE15" s="21" t="str">
        <f t="shared" si="54"/>
        <v>PESO ADECUADO EDAD GESTACIONAL</v>
      </c>
      <c r="JF15" s="30"/>
      <c r="JG15" s="21"/>
      <c r="JH15" s="21"/>
      <c r="JI15" s="21" t="s">
        <v>854</v>
      </c>
      <c r="JJ15" s="30" t="s">
        <v>866</v>
      </c>
      <c r="JK15" s="22"/>
      <c r="JL15" s="22"/>
      <c r="JM15" s="21"/>
      <c r="JN15" s="36"/>
      <c r="JO15" s="21" t="str">
        <f t="shared" si="55"/>
        <v/>
      </c>
      <c r="JP15" s="22"/>
      <c r="JQ15" s="21"/>
      <c r="JR15" s="21"/>
      <c r="JS15" s="21"/>
      <c r="JT15" s="30"/>
      <c r="JU15" s="22"/>
      <c r="JV15" s="22"/>
      <c r="JW15" s="33"/>
      <c r="JX15" s="28" t="str">
        <f t="shared" si="56"/>
        <v>INASISTENTE</v>
      </c>
      <c r="JY15" s="33"/>
      <c r="JZ15" s="28" t="str">
        <f t="shared" si="57"/>
        <v>INASISTENTE</v>
      </c>
      <c r="KA15" s="21"/>
      <c r="KB15" s="21"/>
      <c r="KC15" s="21"/>
      <c r="KD15" s="37"/>
      <c r="KE15" s="28"/>
      <c r="KF15" s="28"/>
      <c r="KG15" s="28"/>
      <c r="KH15" s="39"/>
      <c r="KI15" s="39"/>
      <c r="KJ15" s="66"/>
      <c r="KK15" s="39"/>
      <c r="KL15" s="39"/>
      <c r="KM15" s="66"/>
      <c r="KN15" s="39"/>
      <c r="KO15" s="39"/>
      <c r="KP15" s="39"/>
      <c r="KQ15" s="39"/>
      <c r="KR15" s="39"/>
      <c r="KS15" s="39"/>
      <c r="KT15" s="39"/>
      <c r="KU15" s="38"/>
      <c r="KV15" s="38"/>
      <c r="KW15" s="38"/>
      <c r="KX15" s="38"/>
      <c r="KY15" s="38"/>
      <c r="KZ15" s="38"/>
      <c r="LA15" s="38"/>
      <c r="LB15" s="38"/>
      <c r="LC15" s="38"/>
      <c r="LD15" s="38"/>
      <c r="LE15" s="38"/>
      <c r="LF15" s="38"/>
      <c r="LG15" s="38"/>
      <c r="LH15" s="38"/>
      <c r="LI15" s="38"/>
      <c r="LJ15" s="38"/>
      <c r="LK15" s="38"/>
      <c r="LL15" s="38"/>
      <c r="LM15" s="38"/>
      <c r="LN15" s="38"/>
      <c r="LO15" s="38"/>
      <c r="LP15" s="38"/>
      <c r="LQ15" s="38"/>
      <c r="LR15" s="38"/>
      <c r="LS15" s="38"/>
      <c r="LT15" s="38"/>
      <c r="LU15" s="38"/>
      <c r="LV15" s="38"/>
      <c r="LW15" s="38"/>
      <c r="LX15" s="38"/>
      <c r="LY15" s="38"/>
      <c r="LZ15" s="38"/>
      <c r="MA15" s="38"/>
      <c r="MB15" s="38"/>
      <c r="MC15" s="38"/>
      <c r="MD15" s="38"/>
      <c r="ME15" s="38"/>
      <c r="MF15" s="38"/>
      <c r="MG15" s="38"/>
      <c r="MH15" s="43">
        <f t="shared" si="58"/>
        <v>0</v>
      </c>
      <c r="MI15" s="43" t="str">
        <f t="shared" si="59"/>
        <v/>
      </c>
      <c r="MJ15" s="43" t="str">
        <f t="shared" si="60"/>
        <v/>
      </c>
      <c r="MK15" s="43">
        <f t="shared" si="61"/>
        <v>0</v>
      </c>
      <c r="ML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v>
      </c>
      <c r="MM15" s="43">
        <f t="shared" si="62"/>
        <v>7.7142857142857144</v>
      </c>
      <c r="MN15" s="43">
        <f t="shared" si="63"/>
        <v>9</v>
      </c>
      <c r="MO15" s="43">
        <f t="shared" si="64"/>
        <v>2022</v>
      </c>
      <c r="MP15" s="43" t="str">
        <f t="shared" si="65"/>
        <v>III TRIMESTRE AÑO</v>
      </c>
      <c r="MQ15" s="43">
        <f t="shared" si="66"/>
        <v>20.46922908453789</v>
      </c>
      <c r="MR15" s="43">
        <f t="shared" si="67"/>
        <v>0</v>
      </c>
      <c r="MS15" s="43" t="str">
        <f t="shared" si="68"/>
        <v xml:space="preserve"> DE 20 A 24 AÑOS</v>
      </c>
      <c r="MT15" s="43">
        <f t="shared" si="69"/>
        <v>0</v>
      </c>
      <c r="MU15" s="43">
        <f t="shared" si="70"/>
        <v>1</v>
      </c>
      <c r="MV15" s="43">
        <f t="shared" si="71"/>
        <v>0</v>
      </c>
      <c r="MW15" s="43">
        <f t="shared" si="72"/>
        <v>0</v>
      </c>
      <c r="MX15" s="43" t="str">
        <f t="shared" si="73"/>
        <v/>
      </c>
      <c r="MY15" s="43" t="str">
        <f t="shared" ca="1" si="74"/>
        <v/>
      </c>
      <c r="MZ15" s="43" t="str">
        <f t="shared" si="75"/>
        <v/>
      </c>
      <c r="NA15" s="43">
        <f t="shared" si="76"/>
        <v>0</v>
      </c>
      <c r="NB15" s="43" t="str">
        <f t="shared" si="77"/>
        <v/>
      </c>
      <c r="NC15" s="43" t="str">
        <f t="shared" si="78"/>
        <v/>
      </c>
      <c r="ND15" s="43">
        <f t="shared" ca="1" si="79"/>
        <v>1</v>
      </c>
      <c r="NE15" s="43">
        <f>IF(OR(O15&gt;0,R15&gt;0),SUM(COUNTIF(Tabla1[[#This Row],[AÑOS AL INICIO5 CPN]],"&gt;=40"),COUNTIF(AS15,"0"),COUNTIF(AR15,"SI"),COUNTIF(CC15,"SI"),COUNTIF(BQ15,"&gt;119"),COUNTIF(CI15,"&gt;=35")),"")</f>
        <v>0</v>
      </c>
      <c r="NF15" s="43" t="str">
        <f t="shared" si="80"/>
        <v/>
      </c>
      <c r="NG15" s="43">
        <f t="shared" si="81"/>
        <v>0</v>
      </c>
      <c r="NH15" s="43">
        <f t="shared" si="82"/>
        <v>72.8</v>
      </c>
      <c r="NI1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CPN",P15="NO"),"Z",IF(AND(Tabla1[[#This Row],[CITA PROXIMO CONTROL]]="CITA MANUAL",Tabla1[[#This Row],[GESTANTES ACTUALES]]="ACTIVA INGRESO A CPN"),"W",IF(AND(Tabla1[[#This Row],[GESTANTES ACTUALES]]="SALIO PROGRAMA",IN15=""),"S",IF(AND(Tabla1[[#This Row],[CITA PROXIMO CONTROL]]&gt;0,IN15=""),(Tabla1[[#This Row],[CITA PROXIMO CONTROL]]-TODAY()),"SD"))))))))</f>
        <v>SD</v>
      </c>
      <c r="NJ15" s="43">
        <f>MONTH(Tabla1[[#This Row],[FECHA DE SALIDA  DEL PROGRAMA]])</f>
        <v>4</v>
      </c>
      <c r="NK15" s="43">
        <f>YEAR(Tabla1[[#This Row],[FECHA DE SALIDA  DEL PROGRAMA]])</f>
        <v>2023</v>
      </c>
      <c r="NL15" s="43">
        <f t="shared" si="83"/>
        <v>32</v>
      </c>
      <c r="NM15" s="43" t="str">
        <f t="shared" si="84"/>
        <v>NO</v>
      </c>
      <c r="NN15" s="43" t="str">
        <f ca="1">IF(AND(O15&gt;0,R15=""),"NO CPN",IF(AND(O15="",R15=""),"",IF(AND(R15&gt;0,Tabla1[[#This Row],[SEMANAS DE GESTACION ACTUALIZADAS]]&lt;=12),"NO APLICA",IF(AND(FH15&lt;&gt;"",FN15&lt;&gt;""),"SI","NO"))))</f>
        <v>NO</v>
      </c>
      <c r="NO15" s="43" t="str">
        <f ca="1">IF(AND(O15&gt;0,R15=""),"NO CPN",IF(AND(O15="",R15=""),"",IF(AND(R15&gt;0,Tabla1[[#This Row],[SEMANAS DE GESTACION ACTUALIZADAS]]&lt;=27),"NO APLICA",IF(AND(ES15&lt;&gt;"",FQ15&lt;&gt;"",GF15&lt;&gt;""),"SI","NO"))))</f>
        <v>NO</v>
      </c>
      <c r="NP15" s="204" t="str">
        <f t="shared" si="85"/>
        <v>I TRIM</v>
      </c>
      <c r="NQ15" s="21" t="str">
        <f t="shared" si="86"/>
        <v/>
      </c>
      <c r="NR15" s="21">
        <f t="shared" si="87"/>
        <v>3</v>
      </c>
      <c r="NS15" s="205">
        <f t="shared" ca="1" si="88"/>
        <v>1</v>
      </c>
      <c r="NT15" s="21">
        <f t="shared" ca="1" si="89"/>
        <v>1</v>
      </c>
      <c r="NU15" s="21" t="str">
        <f t="shared" ca="1" si="90"/>
        <v>INCOMPLETO</v>
      </c>
      <c r="NV15" s="21" t="str">
        <f t="shared" ca="1" si="91"/>
        <v>INCOMPLETO</v>
      </c>
      <c r="NW15" s="206" t="str">
        <f>IF(AND(O15="",R15=""),"",IF(OR(AND(Tabla1[[#This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 s="207" t="str">
        <f t="shared" ca="1" si="92"/>
        <v>SIN VACUNAR</v>
      </c>
      <c r="NY15" s="43">
        <f>ROW(Tabla1[[#This Row],['# DE TAMIZAJES SIFILIS TOMADOS ]])</f>
        <v>15</v>
      </c>
      <c r="NZ15" s="43" t="str">
        <f t="shared" si="93"/>
        <v>Menor</v>
      </c>
      <c r="OA15" s="43" t="str">
        <f t="shared" si="94"/>
        <v>NORMAL</v>
      </c>
      <c r="OB15" s="43" t="str">
        <f t="shared" si="95"/>
        <v/>
      </c>
      <c r="OC15" s="43" t="str">
        <f t="shared" si="96"/>
        <v/>
      </c>
      <c r="OD15" s="43" t="str">
        <f t="shared" si="97"/>
        <v/>
      </c>
      <c r="OE15" s="43" t="str">
        <f t="shared" si="98"/>
        <v/>
      </c>
      <c r="OF15" s="43" t="str">
        <f t="shared" si="99"/>
        <v/>
      </c>
      <c r="OG15" s="43" t="str">
        <f t="shared" si="100"/>
        <v/>
      </c>
      <c r="OH15" s="43" t="str">
        <f t="shared" si="101"/>
        <v/>
      </c>
      <c r="OI15" s="43" t="str">
        <f t="shared" si="102"/>
        <v/>
      </c>
      <c r="OJ15" s="43" t="str">
        <f t="shared" si="103"/>
        <v/>
      </c>
      <c r="OK15" s="43" t="str">
        <f t="shared" si="104"/>
        <v/>
      </c>
      <c r="OL15" s="43" t="str">
        <f t="shared" si="105"/>
        <v/>
      </c>
      <c r="OM15" s="43" t="str">
        <f t="shared" si="106"/>
        <v/>
      </c>
      <c r="ON15" s="43" t="str">
        <f t="shared" si="107"/>
        <v/>
      </c>
      <c r="OO15" s="43" t="str">
        <f t="shared" si="108"/>
        <v/>
      </c>
      <c r="OP15" s="43" t="str">
        <f t="shared" si="109"/>
        <v/>
      </c>
      <c r="OQ15" s="43" t="str">
        <f t="shared" si="110"/>
        <v/>
      </c>
      <c r="OR15" s="43" t="str">
        <f t="shared" si="111"/>
        <v/>
      </c>
      <c r="OS15" s="43" t="str">
        <f t="shared" si="112"/>
        <v/>
      </c>
      <c r="OT15" s="43" t="str">
        <f t="shared" si="113"/>
        <v/>
      </c>
      <c r="OU15" s="43" t="str">
        <f t="shared" si="114"/>
        <v/>
      </c>
      <c r="OV15" s="110" t="str">
        <f t="shared" si="115"/>
        <v/>
      </c>
      <c r="OW15" s="43" t="str">
        <f t="shared" si="116"/>
        <v/>
      </c>
      <c r="OX15" s="43" t="str">
        <f t="shared" si="117"/>
        <v/>
      </c>
      <c r="OY15" s="43" t="str">
        <f t="shared" si="118"/>
        <v/>
      </c>
      <c r="OZ15" s="43" t="str">
        <f t="shared" si="119"/>
        <v/>
      </c>
      <c r="PA15" s="43" t="str">
        <f t="shared" si="120"/>
        <v/>
      </c>
      <c r="PB15" s="43" t="str">
        <f t="shared" si="121"/>
        <v/>
      </c>
      <c r="PC15" s="43" t="str">
        <f t="shared" si="122"/>
        <v/>
      </c>
      <c r="PD15" s="43" t="str">
        <f t="shared" si="123"/>
        <v/>
      </c>
      <c r="PE15" s="43" t="str">
        <f t="shared" si="124"/>
        <v/>
      </c>
      <c r="PF15" s="43" t="str">
        <f t="shared" si="125"/>
        <v/>
      </c>
      <c r="PG15" s="43" t="str">
        <f t="shared" si="126"/>
        <v/>
      </c>
      <c r="PH15" s="43" t="str">
        <f t="shared" si="127"/>
        <v/>
      </c>
      <c r="PI15" s="43">
        <f t="shared" si="128"/>
        <v>25</v>
      </c>
      <c r="PJ15" s="43" t="str">
        <f t="shared" si="129"/>
        <v/>
      </c>
      <c r="PK15" s="43" t="str">
        <f t="shared" si="130"/>
        <v/>
      </c>
      <c r="PL15" s="43" t="str">
        <f t="shared" si="131"/>
        <v/>
      </c>
      <c r="PM15" s="43" t="str">
        <f t="shared" si="132"/>
        <v/>
      </c>
      <c r="PN15" s="43" t="str">
        <f t="shared" si="133"/>
        <v/>
      </c>
      <c r="PO15" s="43" t="str">
        <f t="shared" si="134"/>
        <v/>
      </c>
      <c r="PP15" s="43" t="str">
        <f t="shared" si="135"/>
        <v/>
      </c>
      <c r="PQ15" s="43" t="str">
        <f t="shared" si="136"/>
        <v/>
      </c>
      <c r="PR15" s="43" t="str">
        <f t="shared" si="137"/>
        <v/>
      </c>
      <c r="PS15" s="43" t="str">
        <f t="shared" si="138"/>
        <v/>
      </c>
      <c r="PT15" s="43" t="str">
        <f t="shared" si="139"/>
        <v/>
      </c>
      <c r="PU15" s="43" t="str">
        <f t="shared" si="140"/>
        <v/>
      </c>
      <c r="PV15" s="43" t="str">
        <f t="shared" si="141"/>
        <v/>
      </c>
      <c r="PW15" s="43" t="str">
        <f t="shared" si="142"/>
        <v/>
      </c>
      <c r="PX15" s="43" t="str">
        <f t="shared" si="143"/>
        <v/>
      </c>
      <c r="PY15" s="43" t="str">
        <f t="shared" si="144"/>
        <v/>
      </c>
      <c r="PZ15" s="43" t="str">
        <f t="shared" si="145"/>
        <v/>
      </c>
      <c r="QA15" s="43" t="str">
        <f t="shared" si="146"/>
        <v/>
      </c>
      <c r="QB15" s="43" t="str">
        <f t="shared" si="147"/>
        <v/>
      </c>
      <c r="QC15" s="43" t="str">
        <f t="shared" si="148"/>
        <v/>
      </c>
      <c r="QD15" s="43" t="str">
        <f t="shared" si="149"/>
        <v/>
      </c>
      <c r="QE15" s="43" t="str">
        <f t="shared" si="150"/>
        <v/>
      </c>
      <c r="QF15" s="43" t="str">
        <f t="shared" si="151"/>
        <v/>
      </c>
      <c r="QG15" s="43" t="str">
        <f t="shared" si="152"/>
        <v/>
      </c>
      <c r="QH15" s="43" t="str">
        <f t="shared" si="153"/>
        <v/>
      </c>
      <c r="QI15" s="43" t="str">
        <f t="shared" si="154"/>
        <v/>
      </c>
      <c r="QJ15" s="43" t="str">
        <f t="shared" si="155"/>
        <v/>
      </c>
      <c r="QK15" s="43" t="str">
        <f t="shared" si="156"/>
        <v/>
      </c>
      <c r="QL15" s="43" t="str">
        <f t="shared" si="157"/>
        <v/>
      </c>
      <c r="QM15" s="43" t="str">
        <f t="shared" si="158"/>
        <v/>
      </c>
      <c r="QN15" s="43" t="str">
        <f t="shared" si="159"/>
        <v/>
      </c>
      <c r="QO15" s="43" t="str">
        <f t="shared" si="160"/>
        <v/>
      </c>
      <c r="QP15" s="43" t="str">
        <f t="shared" si="161"/>
        <v/>
      </c>
      <c r="QQ15" s="43" t="str">
        <f t="shared" si="162"/>
        <v/>
      </c>
      <c r="QR15" s="43">
        <f t="shared" si="192"/>
        <v>25</v>
      </c>
      <c r="QS15" s="43"/>
      <c r="QT15" s="21" t="str">
        <f t="shared" si="163"/>
        <v/>
      </c>
      <c r="QU15" s="21" t="str">
        <f t="shared" si="164"/>
        <v/>
      </c>
      <c r="QV15" s="21" t="str">
        <f t="shared" si="165"/>
        <v/>
      </c>
      <c r="QW15" s="21" t="str">
        <f t="shared" si="166"/>
        <v/>
      </c>
      <c r="QX15" s="21" t="str">
        <f t="shared" si="167"/>
        <v/>
      </c>
      <c r="QY15" s="21" t="str">
        <f t="shared" si="168"/>
        <v/>
      </c>
      <c r="QZ15" s="21" t="str">
        <f t="shared" si="169"/>
        <v/>
      </c>
      <c r="RA15" s="21" t="str">
        <f t="shared" si="170"/>
        <v/>
      </c>
      <c r="RB15" s="21" t="str">
        <f t="shared" si="171"/>
        <v/>
      </c>
      <c r="RC15" s="21" t="str">
        <f t="shared" si="172"/>
        <v/>
      </c>
      <c r="RD15" s="21" t="str">
        <f t="shared" si="173"/>
        <v/>
      </c>
      <c r="RE15" s="21" t="str">
        <f t="shared" si="174"/>
        <v/>
      </c>
      <c r="RF15" s="21" t="str">
        <f t="shared" si="175"/>
        <v/>
      </c>
      <c r="RG15" s="21" t="str">
        <f t="shared" si="176"/>
        <v/>
      </c>
      <c r="RH15" s="21" t="str">
        <f t="shared" si="177"/>
        <v/>
      </c>
      <c r="RI15" s="21" t="str">
        <f t="shared" si="178"/>
        <v/>
      </c>
      <c r="RJ15" s="21" t="str">
        <f t="shared" si="179"/>
        <v/>
      </c>
      <c r="RK15" s="21" t="str">
        <f t="shared" si="180"/>
        <v/>
      </c>
      <c r="RL15" s="21" t="str">
        <f t="shared" si="181"/>
        <v/>
      </c>
      <c r="RM15" s="21" t="str">
        <f t="shared" si="182"/>
        <v/>
      </c>
      <c r="RN15" s="21" t="str">
        <f t="shared" si="183"/>
        <v/>
      </c>
      <c r="RO15" s="21" t="str">
        <f t="shared" si="184"/>
        <v/>
      </c>
      <c r="RP15" s="21" t="str">
        <f t="shared" si="185"/>
        <v/>
      </c>
      <c r="RQ15" s="21" t="str">
        <f t="shared" si="186"/>
        <v/>
      </c>
      <c r="RR15" s="21" t="str">
        <f t="shared" si="187"/>
        <v/>
      </c>
      <c r="RS15" s="21" t="str">
        <f t="shared" si="188"/>
        <v/>
      </c>
      <c r="RT15" s="21" t="str">
        <f t="shared" si="189"/>
        <v/>
      </c>
      <c r="RU15" s="21" t="str">
        <f t="shared" si="190"/>
        <v/>
      </c>
      <c r="RV15" s="21">
        <f t="shared" si="191"/>
        <v>7.7142857142857144</v>
      </c>
      <c r="RW15" s="284">
        <f>IF(OR(Tabla1[[#This Row],[FUM FORMULA CONFIABLE]]="",Tabla1[[#This Row],[FUM FORMULA CONFIABLE]]="SD"),"",IF(Tabla1[[#This Row],[FUM FORMULA CONFIABLE]]="CORREGIDA",Tabla1[[#This Row],[FUM X ECO 1]],Tabla1[[#This Row],[FUM x AMENORREA]]))</f>
        <v>44760</v>
      </c>
      <c r="RX15" s="21">
        <f>IF(AND(Tabla1[[#This Row],[FUM X ECO 1]]="",Tabla1[[#This Row],[FUM x AMENORREA]]=""),"",IF(AND(Tabla1[[#This Row],[FUM X ECO 1]]="",Tabla1[[#This Row],[FUM x AMENORREA]]&lt;&gt;""),"X",SUM(Tabla1[[#This Row],[FUM X ECO 1]]-Tabla1[[#This Row],[FUM x AMENORREA]])))</f>
        <v>1.1999999999970896</v>
      </c>
      <c r="RY15" s="21">
        <f t="shared" si="193"/>
        <v>0</v>
      </c>
    </row>
    <row r="16" spans="1:493" ht="45" customHeight="1" x14ac:dyDescent="0.25">
      <c r="A16" s="109"/>
      <c r="B16" s="43" t="s">
        <v>946</v>
      </c>
      <c r="C16" s="43" t="s">
        <v>845</v>
      </c>
      <c r="D16" s="124" t="s">
        <v>846</v>
      </c>
      <c r="E16" s="43" t="s">
        <v>947</v>
      </c>
      <c r="F16" s="43" t="s">
        <v>948</v>
      </c>
      <c r="G16" s="43" t="s">
        <v>949</v>
      </c>
      <c r="H16" s="43" t="s">
        <v>950</v>
      </c>
      <c r="I16" s="109" t="s">
        <v>851</v>
      </c>
      <c r="J16" s="110">
        <v>1002971041</v>
      </c>
      <c r="K16" s="43" t="s">
        <v>852</v>
      </c>
      <c r="L16" s="175" t="s">
        <v>886</v>
      </c>
      <c r="M16" s="22">
        <v>36473</v>
      </c>
      <c r="N16" s="213">
        <f t="shared" ca="1" si="0"/>
        <v>24</v>
      </c>
      <c r="O16" s="22">
        <v>44824</v>
      </c>
      <c r="P16" s="214" t="str">
        <f t="shared" si="1"/>
        <v>SI</v>
      </c>
      <c r="Q16" s="26" t="s">
        <v>855</v>
      </c>
      <c r="R16" s="22">
        <v>44824</v>
      </c>
      <c r="S16" s="21" t="s">
        <v>856</v>
      </c>
      <c r="T16" s="24" t="s">
        <v>690</v>
      </c>
      <c r="U16" s="21" t="s">
        <v>857</v>
      </c>
      <c r="V16" s="21" t="s">
        <v>858</v>
      </c>
      <c r="W16" s="21" t="s">
        <v>951</v>
      </c>
      <c r="X16" s="21" t="s">
        <v>951</v>
      </c>
      <c r="Y16" s="21" t="s">
        <v>859</v>
      </c>
      <c r="Z16" s="21" t="s">
        <v>894</v>
      </c>
      <c r="AA16" s="21" t="s">
        <v>860</v>
      </c>
      <c r="AB16" s="27" t="s">
        <v>861</v>
      </c>
      <c r="AC16" s="26" t="s">
        <v>897</v>
      </c>
      <c r="AD16" s="38" t="s">
        <v>846</v>
      </c>
      <c r="AE16" s="26" t="s">
        <v>854</v>
      </c>
      <c r="AF16" s="26" t="s">
        <v>854</v>
      </c>
      <c r="AG16" s="23" t="s">
        <v>864</v>
      </c>
      <c r="AH16" s="23" t="s">
        <v>864</v>
      </c>
      <c r="AI16" s="24" t="s">
        <v>863</v>
      </c>
      <c r="AJ16" s="23" t="s">
        <v>864</v>
      </c>
      <c r="AK16" s="220" t="str">
        <f>IF(AND(AD16="",AE16="",AF16="",AG16="",AH16="",AI16="",AJ16=""),"",IF(OR(Tabla1[[#This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EVALUACIÓN",IF(AND(O16="",R16=""),"",IF(AND(OR(O16&gt;0,R16&gt;0),NG16&gt;=0,NG16&lt;2),"SIN RIESGO",IF(AND(OR(O16&gt;0,R16&gt;0),NG16&gt;=2),"CON RIESGO","ASD")))))</f>
        <v>SIN RIESGO</v>
      </c>
      <c r="AL16" s="23" t="s">
        <v>864</v>
      </c>
      <c r="AM16" s="26" t="s">
        <v>864</v>
      </c>
      <c r="AN16" s="26" t="s">
        <v>864</v>
      </c>
      <c r="AO16" s="26" t="s">
        <v>864</v>
      </c>
      <c r="AP16" s="26" t="s">
        <v>864</v>
      </c>
      <c r="AQ16" s="26" t="s">
        <v>864</v>
      </c>
      <c r="AR16" s="26" t="s">
        <v>864</v>
      </c>
      <c r="AS16" s="21">
        <v>1</v>
      </c>
      <c r="AT16" s="21">
        <v>0</v>
      </c>
      <c r="AU16" s="21">
        <v>0</v>
      </c>
      <c r="AV16" s="26" t="s">
        <v>864</v>
      </c>
      <c r="AW16" s="21">
        <v>0</v>
      </c>
      <c r="AX16" s="26" t="s">
        <v>864</v>
      </c>
      <c r="AY16" s="26" t="s">
        <v>864</v>
      </c>
      <c r="AZ16" s="26" t="s">
        <v>864</v>
      </c>
      <c r="BA16" s="26" t="s">
        <v>864</v>
      </c>
      <c r="BB16" s="26" t="s">
        <v>864</v>
      </c>
      <c r="BC16" s="26" t="s">
        <v>864</v>
      </c>
      <c r="BD16" s="26" t="s">
        <v>864</v>
      </c>
      <c r="BE16" s="26" t="s">
        <v>864</v>
      </c>
      <c r="BF16" s="26" t="s">
        <v>864</v>
      </c>
      <c r="BG16" s="26" t="s">
        <v>864</v>
      </c>
      <c r="BH16" s="26"/>
      <c r="BI16" s="26" t="s">
        <v>864</v>
      </c>
      <c r="BJ16" s="26"/>
      <c r="BK16" s="26"/>
      <c r="BL16" s="26"/>
      <c r="BM16" s="26" t="s">
        <v>864</v>
      </c>
      <c r="BN16" s="22"/>
      <c r="BO16" s="22">
        <v>44717</v>
      </c>
      <c r="BP16" s="21" t="s">
        <v>854</v>
      </c>
      <c r="BQ16" s="222">
        <f t="shared" si="2"/>
        <v>0</v>
      </c>
      <c r="BR16" s="223">
        <f t="shared" si="3"/>
        <v>44742</v>
      </c>
      <c r="BS16" s="224">
        <f t="shared" si="4"/>
        <v>15.285714285714286</v>
      </c>
      <c r="BT16" s="216" t="str">
        <f t="shared" si="5"/>
        <v>II TRIM</v>
      </c>
      <c r="BU16" s="214" t="str">
        <f t="shared" ca="1" si="6"/>
        <v/>
      </c>
      <c r="BV16" s="25"/>
      <c r="BW16" s="22">
        <v>44798</v>
      </c>
      <c r="BX16" s="28">
        <v>8</v>
      </c>
      <c r="BY16" s="28"/>
      <c r="BZ16" s="22">
        <v>44841</v>
      </c>
      <c r="CA16" s="21">
        <v>14</v>
      </c>
      <c r="CB16" s="26" t="s">
        <v>864</v>
      </c>
      <c r="CC16" s="26" t="s">
        <v>864</v>
      </c>
      <c r="CD16" s="26" t="s">
        <v>878</v>
      </c>
      <c r="CE16" s="26" t="s">
        <v>864</v>
      </c>
      <c r="CF16" s="22">
        <v>44824</v>
      </c>
      <c r="CG16" s="21">
        <v>1.5</v>
      </c>
      <c r="CH16" s="21">
        <v>43.7</v>
      </c>
      <c r="CI16" s="214">
        <f t="shared" si="7"/>
        <v>19.422222222222224</v>
      </c>
      <c r="CJ16" s="225" t="str">
        <f>IF(AND(CI16&lt;10,CH16="SD"),"SIN DATO PESO PREGESTACION O I TRIM",IF(AND(OR(R16&gt;0,O16&gt;0),CI16="X"),"INGRESAR DATO DE PESO",IF(CI16="SD","INGRESAR DATO DE TALLA Y PESO",IF(AND(OR(Tabla1[[#This Row],[MOMENTO EN QUE SE REALIZA EL PESO AL INGRESO A CPN]]="PREGESTACIÓN",NZ16="Menor"),CI16&lt;18.5),"BAJO PESO",IF(AND(OR(Tabla1[[#This Row],[MOMENTO EN QUE SE REALIZA EL PESO AL INGRESO A CPN]]="PREGESTACIÓN",NZ16="Menor"),CI16&lt;25),"NORMAL",IF(AND(OR(Tabla1[[#This Row],[MOMENTO EN QUE SE REALIZA EL PESO AL INGRESO A CPN]]="PREGESTACIÓN",NZ16="Menor"),CI16&lt;30),"SOBREPESO",IF(AND(OR(Tabla1[[#This Row],[MOMENTO EN QUE SE REALIZA EL PESO AL INGRESO A CPN]]="PREGESTACIÓN",NZ16="Menor"),CI16&gt;=30,CI16&lt;50),"OBESIDAD",IF(AND(BS16&gt;0,Tabla1[[#This Row],[MOMENTO EN QUE SE REALIZA EL PESO AL INGRESO A CPN]]="GESTACIÓN"),HLOOKUP(NZ16,$OA$2:PH16,NY16),""))))))))</f>
        <v/>
      </c>
      <c r="CK16" s="212">
        <f t="shared" si="8"/>
        <v>44993</v>
      </c>
      <c r="CL16" s="21"/>
      <c r="CM16" s="214">
        <f t="shared" si="9"/>
        <v>0</v>
      </c>
      <c r="CN16" s="216">
        <f t="shared" si="10"/>
        <v>39</v>
      </c>
      <c r="CO16" s="216" t="e">
        <f>IF(PI16="","",IF(PI16&gt;0,HLOOKUP(PI16,$PJ$2:QQ16,NY16),""))</f>
        <v>#REF!</v>
      </c>
      <c r="CP16" s="21"/>
      <c r="CQ16" s="216" t="e">
        <f>IF(QR16="Menor","NO APLICA-MENOR 13 SEM",IF(AND(CC16="SI",CN16&gt;23),"NO APLICA- GEMELAR",IF(QR16="","",IF(QR16&gt;0,HLOOKUP(QR16,$QS$2:RU16,NY16),""))))</f>
        <v>#REF!</v>
      </c>
      <c r="CR16" s="21">
        <v>90</v>
      </c>
      <c r="CS16" s="21">
        <v>60</v>
      </c>
      <c r="CT16" s="217" t="str">
        <f>IF(R16="","",IF(AND(BS16&gt;1,BS16&lt;12,Tabla1[[#This Row],[T.A. SISTOLICA - ANTES DE SEMANA 12]]="",Tabla1[[#This Row],[T.A. DIASTOLICA - ANTES DE SEMANA 12]]=""),"REGISTRE DATO TA ANTES SEMANA 12",IF(AND(BS16&gt;11,BS16&lt;43,Tabla1[[#This Row],[T.A. SISTOLICA - ANTES DE SEMANA 12]]="",Tabla1[[#This Row],[T.A. DIASTOLICA - ANTES DE SEMANA 12]]=""),"NO APLICA REGISTRO TA-INGRESO TARDIO",IF(AND(OR(O16&gt;0,R16&gt;0),OR(CR16&gt;=140,CS16&gt;=90)),"DEFINIR ESTADIO HTA",IF(AND(OR(O16&gt;0,R16&gt;0),AND(CR16&gt;120,CR16&lt;=139)),"PRE HTA SEGUIMIENTO",IF(AND(OR(O16&gt;0,R16&gt;0),AND(CS16&gt;80,CS16&lt;=89)),"PRE HTA SEGUIMIENTO",IF(AND(OR(O16&gt;0,R16&gt;0),AND(CR16&gt;=80,CR16&lt;=120)),"APARENTEMENTE NORMAL",IF(AND(OR(O16&gt;0,R16&gt;0),AND(CS16&gt;=50,CS16&lt;=80)),"APARENTEMENTE NORMAL",IF(AND(OR(O16&gt;0,R16&gt;0),AND(CR16&gt;1,CR16&lt;=70),AND(CS16&gt;1,CS16&lt;=40)),"HIPOTENSIÓN","")))))))))</f>
        <v>APARENTEMENTE NORMAL</v>
      </c>
      <c r="CU16" s="21">
        <v>100</v>
      </c>
      <c r="CV16" s="21">
        <v>60</v>
      </c>
      <c r="CW16" s="217" t="str">
        <f ca="1">IF(R16="","",IF(AND(CN16&gt;19,CN16&lt;27,Tabla1[[#This Row],[T.A. SISTOLICA (Entre semana 20 y 26)]]="",Tabla1[[#This Row],[T.A. DIATOLICA (Entre semana 20 y 26)]]=""),"ACUDE A CONTROL SEM 20 A 26 REGISTRE TA AHORA",IF(AND(BS16&gt;1,BS16&lt;27,BU16&gt;19,Tabla1[[#This Row],[T.A. SISTOLICA (Entre semana 20 y 26)]]="",Tabla1[[#This Row],[T.A. DIATOLICA (Entre semana 20 y 26)]]=""),"COMPLETE REGISTRO TA CONTROL SEM 20 A26 ",IF(AND(BS16&gt;26,BS16&lt;43,Tabla1[[#This Row],[T.A. SISTOLICA (Entre semana 20 y 26)]]="",Tabla1[[#This Row],[T.A. DIATOLICA (Entre semana 20 y 26)]]=""),"NO APLICA REGISTRO TA-INGRESO TARDIO",IF(AND(OR(O16&gt;0,R16&gt;0),OR(CU16&gt;=140,CV16&gt;=90)),"ALTO RIESGO PREECLAMPSIA,DEFINIR ESTADIO HTA",IF(AND(OR(O16&gt;0,R16&gt;0),AND(CU16&gt;120,CU16&lt;=139)),"PRE HTA SEGUIMIENTO,RIESGO HIPERTENSION INDUCIDA POR EL EMBARAZO",IF(AND(OR(O16&gt;0,R16&gt;0),AND(CV16&gt;80,CV16&lt;=89)),"PRE HTA SEGUIMIENTO, RIESGO HIPERTENSION INDUCIDA POR EL EMBARAZO",IF(AND(OR(O16&lt;&gt;"",R16&lt;&gt;""),CS16&lt;&gt;"",CV16&lt;&gt;"",CS16&lt;=CV16),"VIGILAR CIFRAS PRESION ARTERIAL",IF(AND(OR(O16&gt;0,R16&gt;0),AND(CU16&gt;120,CU16&lt;=139)),"PRE HTA SEGUIMIENTO",IF(AND(OR(O16&gt;0,R16&gt;0),AND(CU16&gt;1,CU16&lt;=70),AND(CV16&gt;1,CV16&lt;=40)),"HIPOTENSIÓN",IF(AND(OR(O16&lt;&gt;"",R16&lt;&gt;""),CS16&lt;&gt;"",CV16&lt;&gt;"",CS16&gt;CV16),"APARENTEMENTE NORMAL",IF(AND(OR(O16&gt;0,R16&gt;0),AND(CU16&gt;=80,CU16&lt;=120)),"APARENTEMENTE NORMAL",IF(AND(OR(O16&gt;0,R16&gt;0),AND(CV16&gt;=50,CV16&lt;=80)),"APARENTEMENTE NORMAL","")))))))))))))</f>
        <v>VIGILAR CIFRAS PRESION ARTERIAL</v>
      </c>
      <c r="CX16" s="21">
        <v>100</v>
      </c>
      <c r="CY16" s="21">
        <v>60</v>
      </c>
      <c r="CZ16" s="216" t="str">
        <f t="shared" si="11"/>
        <v>APARENTEMENTE NORMAL</v>
      </c>
      <c r="DA16" s="21"/>
      <c r="DB16" s="21"/>
      <c r="DC16" s="217" t="str">
        <f t="shared" si="12"/>
        <v>REGISTRE DATO PRESIÓN ARTERIAL MENSUAL</v>
      </c>
      <c r="DD16" s="22">
        <v>44824</v>
      </c>
      <c r="DE16" s="22">
        <v>44824</v>
      </c>
      <c r="DF16" s="22">
        <v>44860</v>
      </c>
      <c r="DG16" s="22">
        <v>44909</v>
      </c>
      <c r="DH16" s="22">
        <v>44959</v>
      </c>
      <c r="DI16" s="22">
        <v>44993</v>
      </c>
      <c r="DJ16" s="22"/>
      <c r="DK16" s="22"/>
      <c r="DL16" s="22"/>
      <c r="DM16" s="22"/>
      <c r="DN16" s="22"/>
      <c r="DO16" s="22"/>
      <c r="DP16" s="22"/>
      <c r="DQ16" s="22"/>
      <c r="DR16" s="28">
        <v>1</v>
      </c>
      <c r="DS16" s="22"/>
      <c r="DT16" s="22"/>
      <c r="DU16" s="216" t="str">
        <f t="shared" ca="1" si="13"/>
        <v>CONCERTAR PLAN DE PARTO INMEDIATO</v>
      </c>
      <c r="DV16" s="226" t="str">
        <f t="shared" si="14"/>
        <v>ACTIVA INGRESO A CPN</v>
      </c>
      <c r="DW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 s="216" t="e">
        <f t="shared" ca="1" si="15"/>
        <v>#REF!</v>
      </c>
      <c r="DY16" s="212">
        <f>IF(R16="","",IF(R16&gt;0,MAX(Tabla1[[#This Row],[FECHA C2]:[FECHA C13]],Tabla1[[#This Row],[FECHA CONSULTA PRIMERA VEZ PROGRAMA CPN ]])))</f>
        <v>44993</v>
      </c>
      <c r="DZ16" s="216">
        <f t="shared" si="16"/>
        <v>39</v>
      </c>
      <c r="EA16" s="222">
        <f>IF(R16&gt;0,SUM(COUNTA(DF16:DQ16)+COUNTA(Tabla1[[#This Row],[FECHA CONSULTA PRIMERA VEZ PROGRAMA CPN ]])),"")</f>
        <v>5</v>
      </c>
      <c r="EB16" s="222" t="str">
        <f t="shared" si="17"/>
        <v>SI</v>
      </c>
      <c r="EC16" s="214">
        <f t="shared" si="18"/>
        <v>8</v>
      </c>
      <c r="ED16" s="227">
        <f t="shared" si="19"/>
        <v>0.625</v>
      </c>
      <c r="EE16" s="22">
        <v>44824</v>
      </c>
      <c r="EF16" s="22"/>
      <c r="EG16" s="22">
        <v>44824</v>
      </c>
      <c r="EH16" s="22"/>
      <c r="EI16" s="22">
        <v>44824</v>
      </c>
      <c r="EJ16" s="22"/>
      <c r="EK16" s="22"/>
      <c r="EL16" s="21"/>
      <c r="EM16" s="21">
        <v>11.6</v>
      </c>
      <c r="EN16" s="22">
        <v>44828</v>
      </c>
      <c r="EO16" s="222">
        <f t="shared" si="20"/>
        <v>15.857142857142858</v>
      </c>
      <c r="EP16" s="214" t="str">
        <f t="shared" si="21"/>
        <v>NORMAL- SUMINISTRAR SULFATO FERROSO</v>
      </c>
      <c r="EQ16" s="216" t="str">
        <f t="shared" si="22"/>
        <v>II TRIM</v>
      </c>
      <c r="ER16" s="24"/>
      <c r="ES16" s="22"/>
      <c r="ET16" s="29" t="str">
        <f t="shared" ca="1" si="23"/>
        <v>TOMA DE HEMOGLOBINA TARDÍA</v>
      </c>
      <c r="EU16" s="25" t="str">
        <f t="shared" si="24"/>
        <v/>
      </c>
      <c r="EV16" s="24" t="s">
        <v>866</v>
      </c>
      <c r="EW16" s="24">
        <v>44828</v>
      </c>
      <c r="EX16" s="22"/>
      <c r="EY16" s="29">
        <f t="shared" si="25"/>
        <v>15.857142857142858</v>
      </c>
      <c r="EZ16" s="25" t="str">
        <f t="shared" ca="1" si="26"/>
        <v/>
      </c>
      <c r="FA16" s="21">
        <v>72</v>
      </c>
      <c r="FB16" s="22">
        <v>44828</v>
      </c>
      <c r="FC16" s="29">
        <f t="shared" si="27"/>
        <v>15.857142857142858</v>
      </c>
      <c r="FD16" s="29"/>
      <c r="FE16" s="29"/>
      <c r="FF16" s="29"/>
      <c r="FG16" s="21" t="str">
        <f t="shared" ca="1" si="28"/>
        <v/>
      </c>
      <c r="FH16" s="31"/>
      <c r="FI16" s="29" t="str">
        <f t="shared" si="29"/>
        <v>TOMAR EXAMEN</v>
      </c>
      <c r="FJ16" s="22" t="s">
        <v>867</v>
      </c>
      <c r="FK16" s="22"/>
      <c r="FL16" s="29" t="str">
        <f t="shared" ca="1" si="30"/>
        <v>NO APLICA-INGRESO TARDIO</v>
      </c>
      <c r="FM16" s="22"/>
      <c r="FN16" s="32"/>
      <c r="FO16" s="29" t="str">
        <f t="shared" ca="1" si="31"/>
        <v>PIERDE TOMA DE TAMIZAJE</v>
      </c>
      <c r="FP16" s="22"/>
      <c r="FQ16" s="32"/>
      <c r="FR16" s="29" t="str">
        <f t="shared" ca="1" si="32"/>
        <v>TOMA INMEDIATA DE TAMIZAJE</v>
      </c>
      <c r="FS16" s="22"/>
      <c r="FT16" s="32"/>
      <c r="FU16" s="29" t="str">
        <f>IF(AND(FJ16="",FM16="",FP16="",FS16=""),"",IF(OR(OR(Tabla1[[#This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 s="28"/>
      <c r="FW16" s="22"/>
      <c r="FX16" s="29" t="str">
        <f t="shared" si="33"/>
        <v>TOMAR EXAMEN</v>
      </c>
      <c r="FY16" s="22">
        <v>44824</v>
      </c>
      <c r="FZ16" s="22">
        <v>44824</v>
      </c>
      <c r="GA16" s="29" t="str">
        <f t="shared" si="34"/>
        <v>REGISTRAR EN II TRIMESTRE</v>
      </c>
      <c r="GB16" s="22"/>
      <c r="GC16" s="22">
        <v>44828</v>
      </c>
      <c r="GD16" s="29">
        <f t="shared" ca="1" si="35"/>
        <v>15.857142857142858</v>
      </c>
      <c r="GE16" s="22"/>
      <c r="GF16" s="22"/>
      <c r="GG16" s="29" t="str">
        <f t="shared" ca="1" si="36"/>
        <v>TOMA INMEDIATA DE TAMIZAJE</v>
      </c>
      <c r="GH16" s="22"/>
      <c r="GI16" s="29"/>
      <c r="GJ16" s="22"/>
      <c r="GK16" s="22"/>
      <c r="GL16" s="22" t="s">
        <v>879</v>
      </c>
      <c r="GM16" s="22"/>
      <c r="GN16" s="28" t="s">
        <v>869</v>
      </c>
      <c r="GO16" s="22">
        <v>44828</v>
      </c>
      <c r="GP16" s="29">
        <f t="shared" si="37"/>
        <v>15.857142857142858</v>
      </c>
      <c r="GQ16" s="28" t="s">
        <v>880</v>
      </c>
      <c r="GR16" s="28" t="s">
        <v>869</v>
      </c>
      <c r="GS16" s="22" t="str">
        <f t="shared" si="38"/>
        <v>SE EXCLUYE INFECCION</v>
      </c>
      <c r="GT16" s="22">
        <v>44828</v>
      </c>
      <c r="GU16" s="29">
        <f t="shared" si="39"/>
        <v>15.857142857142858</v>
      </c>
      <c r="GV16" s="21" t="str">
        <f t="shared" si="40"/>
        <v>II TRIM</v>
      </c>
      <c r="GW16" s="28" t="s">
        <v>869</v>
      </c>
      <c r="GX16" s="30"/>
      <c r="GY16" s="21"/>
      <c r="GZ16" s="21"/>
      <c r="HA16" s="21"/>
      <c r="HB16" s="21"/>
      <c r="HC16" s="21"/>
      <c r="HD16" s="21"/>
      <c r="HE16" s="21"/>
      <c r="HF16" s="22"/>
      <c r="HG16" s="22" t="str">
        <f>IF(OR(O16&gt;0,R16&gt;0),CONCATENATE(IF(Tabla1[[#This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 s="22" t="e">
        <f t="shared" si="41"/>
        <v>#REF!</v>
      </c>
      <c r="HI16" s="22" t="e">
        <f t="shared" ca="1" si="42"/>
        <v>#REF!</v>
      </c>
      <c r="HJ16" s="21"/>
      <c r="HK16" s="21" t="str">
        <f t="shared" si="44"/>
        <v>SIN ANTECEDENTES DE RIESGO</v>
      </c>
      <c r="HL16" s="24" t="str">
        <f t="shared" si="45"/>
        <v>REGISTRE DATO PRESIÓN ARTERIAL MENSUAL</v>
      </c>
      <c r="HM16" s="21" t="e">
        <f t="shared" ca="1" si="46"/>
        <v>#REF!</v>
      </c>
      <c r="HN16" s="30" t="str">
        <f t="shared" si="47"/>
        <v>ACTIVA INGRESO A CPN</v>
      </c>
      <c r="HO16" s="21"/>
      <c r="HP16" s="21"/>
      <c r="HQ16" s="21">
        <v>44824</v>
      </c>
      <c r="HR16" s="21" t="str">
        <f>IF(R16="","",IF(Tabla1[[#This Row],[ALARMA FACTORES DE RIESGO COMPLICACIONES HIPERTENSIVAS3]]="SIN ANTECEDENTES DE RIESGO","No Aplica para suministro de ASA",IF(AND(Tabla1[[#This Row],[FECHA INICIO DE SUMINISTRO DE ASA]]&gt;0,RV16&lt;12),"Inicia ASA ANTES de Sem 12",IF(AND(RV16&gt;11,RV16&lt;17,OR(HK16="RIESGO ALTO DE COMPLICACIONES HIPERTENSIVAS VER MANEJO GUIA SUMINISTRO ASA Y CALCIO",HK16="RIESGO MODERADO (2 O MAS CRITERIOS) VER MANEJO GUIA SUMINISTRO ASA Y CALCIO")),"Inicio oportuno de ASA",IF(AND(RV16&gt;12,OR(HK16="RIESGO ALTO DE COMPLICACIONES HIPERTENSIVAS VER MANEJO GUIA SUMINISTRO ASA Y CALCIO",HK16="RIESGO MODERADO (2 O MAS CRITERIOS) VER MANEJO GUIA SUMINISTRO ASA Y CALCIO")),"Inicio no oportuno mayor a 16 semanas",IF(AND(BU16&lt;12,OR(HK16="RIESGO ALTO DE COMPLICACIONES HIPERTENSIVAS VER MANEJO GUIA SUMINISTRO ASA Y CALCIO",HK16="RIESGO MODERADO (2 O MAS CRITERIOS) VER MANEJO GUIA SUMINISTRO ASA Y CALCIO")),"Pendiente Inicio de ASA a la semana 12",IF(AND(BU16&gt;11,BU16&lt;17,OR(HK16="RIESGO ALTO DE COMPLICACIONES HIPERTENSIVAS VER MANEJO GUIA SUMINISTRO ASA Y CALCIO",HK16="RIESGO MODERADO (2 O MAS CRITERIOS) VER MANEJO GUIA SUMINISTRO ASA Y CALCIO")),"Iniciar de inmediato ASA",IF(AND(BU16&gt;16,OR(HK16="RIESGO ALTO DE COMPLICACIONES HIPERTENSIVAS VER MANEJO GUIA SUMINISTRO ASA Y CALCIO",HK16="RIESGO MODERADO (2 O MAS CRITERIOS) VER MANEJO GUIA SUMINISTRO ASA Y CALCIO")),"Pierde Oportunidad, Inicio tardío de ASA","XXXXX"))))))))</f>
        <v>No Aplica para suministro de ASA</v>
      </c>
      <c r="HS16" s="22">
        <v>44824</v>
      </c>
      <c r="HT16" s="22" t="s">
        <v>870</v>
      </c>
      <c r="HU16" s="22">
        <v>44824</v>
      </c>
      <c r="HV16" s="22" t="s">
        <v>935</v>
      </c>
      <c r="HW16" s="22">
        <v>44828</v>
      </c>
      <c r="HX16" s="22" t="s">
        <v>870</v>
      </c>
      <c r="HY16" s="22">
        <v>44824</v>
      </c>
      <c r="HZ16" s="28">
        <f t="shared" si="48"/>
        <v>15.285714285714286</v>
      </c>
      <c r="IA16" s="26"/>
      <c r="IB16" s="26"/>
      <c r="IC16" s="111"/>
      <c r="ID16" s="22"/>
      <c r="IE16" s="22" t="str">
        <f t="shared" ca="1" si="49"/>
        <v/>
      </c>
      <c r="IF16" s="22"/>
      <c r="IG16" s="22">
        <f t="shared" si="50"/>
        <v>44997</v>
      </c>
      <c r="IH16" s="29">
        <f t="shared" ca="1" si="51"/>
        <v>-236</v>
      </c>
      <c r="II16" s="22" t="str">
        <f t="shared" ca="1" si="52"/>
        <v>POSIBLEMENTE NACIO</v>
      </c>
      <c r="IJ16" s="22"/>
      <c r="IK16" s="21"/>
      <c r="IL16" s="21"/>
      <c r="IM16" s="34"/>
      <c r="IN16" s="349"/>
      <c r="IO16" s="21"/>
      <c r="IP16" s="29" t="str">
        <f t="shared" si="53"/>
        <v/>
      </c>
      <c r="IQ16" s="35"/>
      <c r="IR16" s="21"/>
      <c r="IS16" s="21"/>
      <c r="IT16" s="21"/>
      <c r="IU16" s="21"/>
      <c r="IV16" s="21"/>
      <c r="IW16" s="21"/>
      <c r="IX16" s="21"/>
      <c r="IY16" s="21"/>
      <c r="IZ16" s="21"/>
      <c r="JA16" s="21"/>
      <c r="JB16" s="30"/>
      <c r="JC16" s="21"/>
      <c r="JD16" s="36"/>
      <c r="JE16" s="21" t="str">
        <f t="shared" si="54"/>
        <v/>
      </c>
      <c r="JF16" s="30"/>
      <c r="JG16" s="21"/>
      <c r="JH16" s="21"/>
      <c r="JI16" s="21"/>
      <c r="JJ16" s="30"/>
      <c r="JK16" s="22"/>
      <c r="JL16" s="22"/>
      <c r="JM16" s="21"/>
      <c r="JN16" s="36"/>
      <c r="JO16" s="21" t="str">
        <f t="shared" si="55"/>
        <v/>
      </c>
      <c r="JP16" s="22"/>
      <c r="JQ16" s="21"/>
      <c r="JR16" s="21"/>
      <c r="JS16" s="21"/>
      <c r="JT16" s="30"/>
      <c r="JU16" s="22"/>
      <c r="JV16" s="22"/>
      <c r="JW16" s="33"/>
      <c r="JX16" s="28" t="str">
        <f t="shared" si="56"/>
        <v/>
      </c>
      <c r="JY16" s="33"/>
      <c r="JZ16" s="28" t="str">
        <f t="shared" si="57"/>
        <v/>
      </c>
      <c r="KA16" s="21"/>
      <c r="KB16" s="21"/>
      <c r="KC16" s="21"/>
      <c r="KD16" s="37"/>
      <c r="KE16" s="28"/>
      <c r="KF16" s="28"/>
      <c r="KG16" s="28"/>
      <c r="KH16" s="39"/>
      <c r="KI16" s="39"/>
      <c r="KJ16" s="66"/>
      <c r="KK16" s="39"/>
      <c r="KL16" s="39"/>
      <c r="KM16" s="66"/>
      <c r="KN16" s="39"/>
      <c r="KO16" s="39"/>
      <c r="KP16" s="39"/>
      <c r="KQ16" s="39"/>
      <c r="KR16" s="39"/>
      <c r="KS16" s="39"/>
      <c r="KT16" s="39"/>
      <c r="KU16" s="38"/>
      <c r="KV16" s="38"/>
      <c r="KW16" s="38"/>
      <c r="KX16" s="38"/>
      <c r="KY16" s="38"/>
      <c r="KZ16" s="38"/>
      <c r="LA16" s="38"/>
      <c r="LB16" s="38"/>
      <c r="LC16" s="38"/>
      <c r="LD16" s="38"/>
      <c r="LE16" s="38"/>
      <c r="LF16" s="38"/>
      <c r="LG16" s="38"/>
      <c r="LH16" s="38"/>
      <c r="LI16" s="38"/>
      <c r="LJ16" s="38"/>
      <c r="LK16" s="38"/>
      <c r="LL16" s="38"/>
      <c r="LM16" s="38"/>
      <c r="LN16" s="38"/>
      <c r="LO16" s="38"/>
      <c r="LP16" s="38"/>
      <c r="LQ16" s="38"/>
      <c r="LR16" s="38"/>
      <c r="LS16" s="38"/>
      <c r="LT16" s="38"/>
      <c r="LU16" s="38"/>
      <c r="LV16" s="38"/>
      <c r="LW16" s="38"/>
      <c r="LX16" s="38"/>
      <c r="LY16" s="38"/>
      <c r="LZ16" s="38"/>
      <c r="MA16" s="38"/>
      <c r="MB16" s="38"/>
      <c r="MC16" s="38"/>
      <c r="MD16" s="38"/>
      <c r="ME16" s="38"/>
      <c r="MF16" s="38"/>
      <c r="MG16" s="38"/>
      <c r="MH16" s="43">
        <f t="shared" si="58"/>
        <v>0</v>
      </c>
      <c r="MI16" s="43" t="str">
        <f t="shared" si="59"/>
        <v/>
      </c>
      <c r="MJ16" s="43" t="str">
        <f t="shared" si="60"/>
        <v/>
      </c>
      <c r="MK16" s="43">
        <f t="shared" si="61"/>
        <v>0</v>
      </c>
      <c r="ML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 s="43">
        <f t="shared" si="62"/>
        <v>15.285714285714286</v>
      </c>
      <c r="MN16" s="43">
        <f t="shared" si="63"/>
        <v>9</v>
      </c>
      <c r="MO16" s="43">
        <f t="shared" si="64"/>
        <v>2022</v>
      </c>
      <c r="MP16" s="43" t="str">
        <f t="shared" si="65"/>
        <v>III TRIMESTRE AÑO</v>
      </c>
      <c r="MQ16" s="43">
        <f t="shared" si="66"/>
        <v>22.533399036355672</v>
      </c>
      <c r="MR16" s="43">
        <f t="shared" si="67"/>
        <v>0</v>
      </c>
      <c r="MS16" s="43" t="str">
        <f t="shared" si="68"/>
        <v xml:space="preserve"> DE 20 A 24 AÑOS</v>
      </c>
      <c r="MT16" s="43">
        <f t="shared" si="69"/>
        <v>0</v>
      </c>
      <c r="MU16" s="43">
        <f t="shared" si="70"/>
        <v>1</v>
      </c>
      <c r="MV16" s="43">
        <f t="shared" si="71"/>
        <v>0</v>
      </c>
      <c r="MW16" s="43">
        <f t="shared" si="72"/>
        <v>0</v>
      </c>
      <c r="MX16" s="43" t="str">
        <f t="shared" si="73"/>
        <v/>
      </c>
      <c r="MY16" s="43" t="str">
        <f t="shared" ca="1" si="74"/>
        <v/>
      </c>
      <c r="MZ16" s="43" t="str">
        <f t="shared" si="75"/>
        <v/>
      </c>
      <c r="NA16" s="43">
        <f t="shared" si="76"/>
        <v>0</v>
      </c>
      <c r="NB16" s="43" t="str">
        <f t="shared" si="77"/>
        <v/>
      </c>
      <c r="NC16" s="43" t="str">
        <f t="shared" si="78"/>
        <v/>
      </c>
      <c r="ND16" s="43">
        <f t="shared" ca="1" si="79"/>
        <v>1</v>
      </c>
      <c r="NE16" s="43">
        <f>IF(OR(O16&gt;0,R16&gt;0),SUM(COUNTIF(Tabla1[[#This Row],[AÑOS AL INICIO5 CPN]],"&gt;=40"),COUNTIF(AS16,"0"),COUNTIF(AR16,"SI"),COUNTIF(CC16,"SI"),COUNTIF(BQ16,"&gt;119"),COUNTIF(CI16,"&gt;=35")),"")</f>
        <v>0</v>
      </c>
      <c r="NF16" s="43" t="str">
        <f t="shared" si="80"/>
        <v/>
      </c>
      <c r="NG16" s="43">
        <f t="shared" si="81"/>
        <v>0</v>
      </c>
      <c r="NH16" s="43">
        <f t="shared" si="82"/>
        <v>56</v>
      </c>
      <c r="NI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CPN",P16="NO"),"Z",IF(AND(Tabla1[[#This Row],[CITA PROXIMO CONTROL]]="CITA MANUAL",Tabla1[[#This Row],[GESTANTES ACTUALES]]="ACTIVA INGRESO A CPN"),"W",IF(AND(Tabla1[[#This Row],[GESTANTES ACTUALES]]="SALIO PROGRAMA",IN16=""),"S",IF(AND(Tabla1[[#This Row],[CITA PROXIMO CONTROL]]&gt;0,IN16=""),(Tabla1[[#This Row],[CITA PROXIMO CONTROL]]-TODAY()),"SD"))))))))</f>
        <v>#REF!</v>
      </c>
      <c r="NJ16" s="43">
        <f>MONTH(Tabla1[[#This Row],[FECHA DE SALIDA  DEL PROGRAMA]])</f>
        <v>1</v>
      </c>
      <c r="NK16" s="43">
        <f>YEAR(Tabla1[[#This Row],[FECHA DE SALIDA  DEL PROGRAMA]])</f>
        <v>1900</v>
      </c>
      <c r="NL16" s="43" t="str">
        <f t="shared" si="83"/>
        <v>X</v>
      </c>
      <c r="NM16" s="43" t="str">
        <f t="shared" si="84"/>
        <v>NO</v>
      </c>
      <c r="NN16" s="43" t="str">
        <f ca="1">IF(AND(O16&gt;0,R16=""),"NO CPN",IF(AND(O16="",R16=""),"",IF(AND(R16&gt;0,Tabla1[[#This Row],[SEMANAS DE GESTACION ACTUALIZADAS]]&lt;=12),"NO APLICA",IF(AND(FH16&lt;&gt;"",FN16&lt;&gt;""),"SI","NO"))))</f>
        <v>NO</v>
      </c>
      <c r="NO16" s="43" t="str">
        <f ca="1">IF(AND(O16&gt;0,R16=""),"NO CPN",IF(AND(O16="",R16=""),"",IF(AND(R16&gt;0,Tabla1[[#This Row],[SEMANAS DE GESTACION ACTUALIZADAS]]&lt;=27),"NO APLICA",IF(AND(ES16&lt;&gt;"",FQ16&lt;&gt;"",GF16&lt;&gt;""),"SI","NO"))))</f>
        <v>NO</v>
      </c>
      <c r="NP16" s="21" t="str">
        <f t="shared" si="85"/>
        <v>II TRIM</v>
      </c>
      <c r="NQ16" s="21" t="str">
        <f t="shared" si="86"/>
        <v/>
      </c>
      <c r="NR16" s="21" t="str">
        <f t="shared" ca="1" si="87"/>
        <v>REVISAR FUM O FECHA SALIDA PROGRAMA</v>
      </c>
      <c r="NS16" s="205">
        <f t="shared" ca="1" si="88"/>
        <v>0</v>
      </c>
      <c r="NT16" s="21">
        <f t="shared" ca="1" si="89"/>
        <v>1</v>
      </c>
      <c r="NU16" s="21" t="str">
        <f t="shared" ca="1" si="90"/>
        <v>POR DEFINIR</v>
      </c>
      <c r="NV16" s="21" t="str">
        <f t="shared" ca="1" si="91"/>
        <v>POR DEFINIR</v>
      </c>
      <c r="NW16" s="206" t="str">
        <f>IF(AND(O16="",R16=""),"",IF(OR(AND(Tabla1[[#This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 s="207" t="str">
        <f t="shared" ca="1" si="92"/>
        <v>SIN VACUNAR</v>
      </c>
      <c r="NY16" s="43">
        <f>ROW(Tabla1[[#This Row],['# DE TAMIZAJES SIFILIS TOMADOS ]])</f>
        <v>16</v>
      </c>
      <c r="NZ16" s="43">
        <f t="shared" si="93"/>
        <v>15</v>
      </c>
      <c r="OA16" s="43" t="str">
        <f t="shared" si="94"/>
        <v/>
      </c>
      <c r="OB16" s="43" t="str">
        <f t="shared" si="95"/>
        <v/>
      </c>
      <c r="OC16" s="43" t="str">
        <f t="shared" si="96"/>
        <v/>
      </c>
      <c r="OD16" s="43" t="str">
        <f t="shared" si="97"/>
        <v/>
      </c>
      <c r="OE16" s="43" t="str">
        <f t="shared" si="98"/>
        <v/>
      </c>
      <c r="OF16" s="43" t="str">
        <f t="shared" si="99"/>
        <v/>
      </c>
      <c r="OG16" s="43" t="str">
        <f t="shared" si="100"/>
        <v>BAJO PESO</v>
      </c>
      <c r="OH16" s="43" t="str">
        <f t="shared" si="101"/>
        <v/>
      </c>
      <c r="OI16" s="43" t="str">
        <f t="shared" si="102"/>
        <v/>
      </c>
      <c r="OJ16" s="43" t="str">
        <f t="shared" si="103"/>
        <v/>
      </c>
      <c r="OK16" s="43" t="str">
        <f t="shared" si="104"/>
        <v/>
      </c>
      <c r="OL16" s="43" t="str">
        <f t="shared" si="105"/>
        <v/>
      </c>
      <c r="OM16" s="43" t="str">
        <f t="shared" si="106"/>
        <v/>
      </c>
      <c r="ON16" s="43" t="str">
        <f t="shared" si="107"/>
        <v/>
      </c>
      <c r="OO16" s="43" t="str">
        <f t="shared" si="108"/>
        <v/>
      </c>
      <c r="OP16" s="43" t="str">
        <f t="shared" si="109"/>
        <v/>
      </c>
      <c r="OQ16" s="43" t="str">
        <f t="shared" si="110"/>
        <v/>
      </c>
      <c r="OR16" s="43" t="str">
        <f t="shared" si="111"/>
        <v/>
      </c>
      <c r="OS16" s="43" t="str">
        <f t="shared" si="112"/>
        <v/>
      </c>
      <c r="OT16" s="43" t="str">
        <f t="shared" si="113"/>
        <v/>
      </c>
      <c r="OU16" s="43" t="str">
        <f t="shared" si="114"/>
        <v/>
      </c>
      <c r="OV16" s="110" t="str">
        <f t="shared" si="115"/>
        <v/>
      </c>
      <c r="OW16" s="43" t="str">
        <f t="shared" si="116"/>
        <v/>
      </c>
      <c r="OX16" s="43" t="str">
        <f t="shared" si="117"/>
        <v/>
      </c>
      <c r="OY16" s="43" t="str">
        <f t="shared" si="118"/>
        <v/>
      </c>
      <c r="OZ16" s="43" t="str">
        <f t="shared" si="119"/>
        <v/>
      </c>
      <c r="PA16" s="43" t="str">
        <f t="shared" si="120"/>
        <v/>
      </c>
      <c r="PB16" s="43" t="str">
        <f t="shared" si="121"/>
        <v/>
      </c>
      <c r="PC16" s="43" t="str">
        <f t="shared" si="122"/>
        <v/>
      </c>
      <c r="PD16" s="43" t="str">
        <f t="shared" si="123"/>
        <v/>
      </c>
      <c r="PE16" s="43" t="str">
        <f t="shared" si="124"/>
        <v/>
      </c>
      <c r="PF16" s="43" t="str">
        <f t="shared" si="125"/>
        <v/>
      </c>
      <c r="PG16" s="43" t="str">
        <f t="shared" si="126"/>
        <v/>
      </c>
      <c r="PH16" s="43" t="str">
        <f t="shared" si="127"/>
        <v/>
      </c>
      <c r="PI16" s="43">
        <f t="shared" si="128"/>
        <v>39</v>
      </c>
      <c r="PJ16" s="43" t="str">
        <f t="shared" si="129"/>
        <v/>
      </c>
      <c r="PK16" s="43" t="str">
        <f t="shared" si="130"/>
        <v/>
      </c>
      <c r="PL16" s="43" t="str">
        <f t="shared" si="131"/>
        <v/>
      </c>
      <c r="PM16" s="43" t="str">
        <f t="shared" si="132"/>
        <v/>
      </c>
      <c r="PN16" s="43" t="str">
        <f t="shared" si="133"/>
        <v/>
      </c>
      <c r="PO16" s="43" t="str">
        <f t="shared" si="134"/>
        <v/>
      </c>
      <c r="PP16" s="43" t="str">
        <f t="shared" si="135"/>
        <v/>
      </c>
      <c r="PQ16" s="43" t="str">
        <f t="shared" si="136"/>
        <v/>
      </c>
      <c r="PR16" s="43" t="str">
        <f t="shared" si="137"/>
        <v/>
      </c>
      <c r="PS16" s="43" t="str">
        <f t="shared" si="138"/>
        <v/>
      </c>
      <c r="PT16" s="43" t="str">
        <f t="shared" si="139"/>
        <v/>
      </c>
      <c r="PU16" s="43" t="str">
        <f t="shared" si="140"/>
        <v/>
      </c>
      <c r="PV16" s="43" t="str">
        <f t="shared" si="141"/>
        <v/>
      </c>
      <c r="PW16" s="43" t="str">
        <f t="shared" si="142"/>
        <v/>
      </c>
      <c r="PX16" s="43" t="str">
        <f t="shared" si="143"/>
        <v/>
      </c>
      <c r="PY16" s="43" t="str">
        <f t="shared" si="144"/>
        <v/>
      </c>
      <c r="PZ16" s="43" t="str">
        <f t="shared" si="145"/>
        <v/>
      </c>
      <c r="QA16" s="43" t="str">
        <f t="shared" si="146"/>
        <v/>
      </c>
      <c r="QB16" s="43" t="str">
        <f t="shared" si="147"/>
        <v/>
      </c>
      <c r="QC16" s="43" t="str">
        <f t="shared" si="148"/>
        <v/>
      </c>
      <c r="QD16" s="43" t="str">
        <f t="shared" si="149"/>
        <v/>
      </c>
      <c r="QE16" s="43" t="str">
        <f t="shared" si="150"/>
        <v/>
      </c>
      <c r="QF16" s="43" t="str">
        <f t="shared" si="151"/>
        <v/>
      </c>
      <c r="QG16" s="43" t="str">
        <f t="shared" si="152"/>
        <v/>
      </c>
      <c r="QH16" s="43" t="str">
        <f t="shared" si="153"/>
        <v/>
      </c>
      <c r="QI16" s="43" t="str">
        <f t="shared" si="154"/>
        <v/>
      </c>
      <c r="QJ16" s="43" t="str">
        <f t="shared" si="155"/>
        <v/>
      </c>
      <c r="QK16" s="43" t="str">
        <f t="shared" si="156"/>
        <v/>
      </c>
      <c r="QL16" s="43" t="str">
        <f t="shared" si="157"/>
        <v/>
      </c>
      <c r="QM16" s="43" t="str">
        <f t="shared" si="158"/>
        <v/>
      </c>
      <c r="QN16" s="43" t="str">
        <f t="shared" si="159"/>
        <v/>
      </c>
      <c r="QO16" s="43" t="str">
        <f t="shared" si="160"/>
        <v/>
      </c>
      <c r="QP16" s="43" t="str">
        <f t="shared" si="161"/>
        <v/>
      </c>
      <c r="QQ16" s="43" t="str">
        <f t="shared" si="162"/>
        <v/>
      </c>
      <c r="QR16" s="43">
        <f t="shared" si="192"/>
        <v>39</v>
      </c>
      <c r="QS16" s="43"/>
      <c r="QT16" s="21" t="str">
        <f t="shared" si="163"/>
        <v/>
      </c>
      <c r="QU16" s="21" t="str">
        <f t="shared" si="164"/>
        <v/>
      </c>
      <c r="QV16" s="21" t="str">
        <f t="shared" si="165"/>
        <v/>
      </c>
      <c r="QW16" s="21" t="str">
        <f t="shared" si="166"/>
        <v/>
      </c>
      <c r="QX16" s="21" t="str">
        <f t="shared" si="167"/>
        <v/>
      </c>
      <c r="QY16" s="21" t="str">
        <f t="shared" si="168"/>
        <v/>
      </c>
      <c r="QZ16" s="21" t="str">
        <f t="shared" si="169"/>
        <v/>
      </c>
      <c r="RA16" s="21" t="str">
        <f t="shared" si="170"/>
        <v/>
      </c>
      <c r="RB16" s="21" t="str">
        <f t="shared" si="171"/>
        <v/>
      </c>
      <c r="RC16" s="21" t="str">
        <f t="shared" si="172"/>
        <v/>
      </c>
      <c r="RD16" s="21" t="str">
        <f t="shared" si="173"/>
        <v/>
      </c>
      <c r="RE16" s="21" t="str">
        <f t="shared" si="174"/>
        <v/>
      </c>
      <c r="RF16" s="21" t="str">
        <f t="shared" si="175"/>
        <v/>
      </c>
      <c r="RG16" s="21" t="str">
        <f t="shared" si="176"/>
        <v/>
      </c>
      <c r="RH16" s="21" t="str">
        <f t="shared" si="177"/>
        <v/>
      </c>
      <c r="RI16" s="21" t="str">
        <f t="shared" si="178"/>
        <v/>
      </c>
      <c r="RJ16" s="21" t="str">
        <f t="shared" si="179"/>
        <v/>
      </c>
      <c r="RK16" s="21" t="str">
        <f t="shared" si="180"/>
        <v/>
      </c>
      <c r="RL16" s="21" t="str">
        <f t="shared" si="181"/>
        <v/>
      </c>
      <c r="RM16" s="21" t="str">
        <f t="shared" si="182"/>
        <v/>
      </c>
      <c r="RN16" s="21" t="str">
        <f t="shared" si="183"/>
        <v/>
      </c>
      <c r="RO16" s="21" t="str">
        <f t="shared" si="184"/>
        <v/>
      </c>
      <c r="RP16" s="21" t="str">
        <f t="shared" si="185"/>
        <v/>
      </c>
      <c r="RQ16" s="21" t="str">
        <f t="shared" si="186"/>
        <v/>
      </c>
      <c r="RR16" s="21" t="str">
        <f t="shared" si="187"/>
        <v/>
      </c>
      <c r="RS16" s="21" t="str">
        <f t="shared" si="188"/>
        <v/>
      </c>
      <c r="RT16" s="21" t="str">
        <f t="shared" si="189"/>
        <v/>
      </c>
      <c r="RU16" s="21" t="str">
        <f t="shared" si="190"/>
        <v/>
      </c>
      <c r="RV16" s="21">
        <f t="shared" si="191"/>
        <v>15.285714285714286</v>
      </c>
      <c r="RW16" s="284">
        <f>IF(OR(Tabla1[[#This Row],[FUM FORMULA CONFIABLE]]="",Tabla1[[#This Row],[FUM FORMULA CONFIABLE]]="SD"),"",IF(Tabla1[[#This Row],[FUM FORMULA CONFIABLE]]="CORREGIDA",Tabla1[[#This Row],[FUM X ECO 1]],Tabla1[[#This Row],[FUM x AMENORREA]]))</f>
        <v>44717</v>
      </c>
      <c r="RX16" s="21">
        <f>IF(AND(Tabla1[[#This Row],[FUM X ECO 1]]="",Tabla1[[#This Row],[FUM x AMENORREA]]=""),"",IF(AND(Tabla1[[#This Row],[FUM X ECO 1]]="",Tabla1[[#This Row],[FUM x AMENORREA]]&lt;&gt;""),"X",SUM(Tabla1[[#This Row],[FUM X ECO 1]]-Tabla1[[#This Row],[FUM x AMENORREA]])))</f>
        <v>25</v>
      </c>
      <c r="RY16" s="21">
        <f t="shared" si="193"/>
        <v>1</v>
      </c>
    </row>
    <row r="17" spans="1:493" ht="45" customHeight="1" x14ac:dyDescent="0.25">
      <c r="A17" s="109" t="s">
        <v>952</v>
      </c>
      <c r="B17" s="43" t="s">
        <v>946</v>
      </c>
      <c r="C17" s="43" t="s">
        <v>845</v>
      </c>
      <c r="D17" s="124" t="s">
        <v>846</v>
      </c>
      <c r="E17" s="43" t="s">
        <v>896</v>
      </c>
      <c r="F17" s="43" t="s">
        <v>953</v>
      </c>
      <c r="G17" s="43" t="s">
        <v>954</v>
      </c>
      <c r="H17" s="43"/>
      <c r="I17" s="109" t="s">
        <v>851</v>
      </c>
      <c r="J17" s="110">
        <v>1059604759</v>
      </c>
      <c r="K17" s="43" t="s">
        <v>852</v>
      </c>
      <c r="L17" s="175" t="s">
        <v>853</v>
      </c>
      <c r="M17" s="22">
        <v>35014</v>
      </c>
      <c r="N17" s="213">
        <f t="shared" ca="1" si="0"/>
        <v>27.997260273972604</v>
      </c>
      <c r="O17" s="22">
        <v>44823</v>
      </c>
      <c r="P17" s="214" t="str">
        <f t="shared" si="1"/>
        <v>SI</v>
      </c>
      <c r="Q17" s="26" t="s">
        <v>855</v>
      </c>
      <c r="R17" s="22">
        <v>44823</v>
      </c>
      <c r="S17" s="21" t="s">
        <v>856</v>
      </c>
      <c r="T17" s="24" t="s">
        <v>690</v>
      </c>
      <c r="U17" s="21" t="s">
        <v>857</v>
      </c>
      <c r="V17" s="21" t="s">
        <v>858</v>
      </c>
      <c r="W17" s="21" t="s">
        <v>955</v>
      </c>
      <c r="X17" s="21" t="s">
        <v>955</v>
      </c>
      <c r="Y17" s="21" t="s">
        <v>859</v>
      </c>
      <c r="Z17" s="21" t="s">
        <v>894</v>
      </c>
      <c r="AA17" s="21" t="s">
        <v>860</v>
      </c>
      <c r="AB17" s="27" t="s">
        <v>861</v>
      </c>
      <c r="AC17" s="26" t="s">
        <v>897</v>
      </c>
      <c r="AD17" s="38" t="s">
        <v>846</v>
      </c>
      <c r="AE17" s="26" t="s">
        <v>854</v>
      </c>
      <c r="AF17" s="26" t="s">
        <v>854</v>
      </c>
      <c r="AG17" s="23" t="s">
        <v>864</v>
      </c>
      <c r="AH17" s="23" t="s">
        <v>864</v>
      </c>
      <c r="AI17" s="24" t="s">
        <v>863</v>
      </c>
      <c r="AJ17" s="23" t="s">
        <v>864</v>
      </c>
      <c r="AK17" s="220" t="str">
        <f>IF(AND(AD17="",AE17="",AF17="",AG17="",AH17="",AI17="",AJ17=""),"",IF(OR(Tabla1[[#This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EVALUACIÓN",IF(AND(O17="",R17=""),"",IF(AND(OR(O17&gt;0,R17&gt;0),NG17&gt;=0,NG17&lt;2),"SIN RIESGO",IF(AND(OR(O17&gt;0,R17&gt;0),NG17&gt;=2),"CON RIESGO","ASD")))))</f>
        <v>SIN RIESGO</v>
      </c>
      <c r="AL17" s="23" t="s">
        <v>864</v>
      </c>
      <c r="AM17" s="26" t="s">
        <v>864</v>
      </c>
      <c r="AN17" s="26" t="s">
        <v>864</v>
      </c>
      <c r="AO17" s="26" t="s">
        <v>864</v>
      </c>
      <c r="AP17" s="26" t="s">
        <v>864</v>
      </c>
      <c r="AQ17" s="26" t="s">
        <v>864</v>
      </c>
      <c r="AR17" s="26" t="s">
        <v>864</v>
      </c>
      <c r="AS17" s="21">
        <v>2</v>
      </c>
      <c r="AT17" s="21">
        <v>1</v>
      </c>
      <c r="AU17" s="21">
        <v>0</v>
      </c>
      <c r="AV17" s="26" t="s">
        <v>864</v>
      </c>
      <c r="AW17" s="21">
        <v>0</v>
      </c>
      <c r="AX17" s="26" t="s">
        <v>864</v>
      </c>
      <c r="AY17" s="26" t="s">
        <v>864</v>
      </c>
      <c r="AZ17" s="26" t="s">
        <v>864</v>
      </c>
      <c r="BA17" s="26" t="s">
        <v>864</v>
      </c>
      <c r="BB17" s="26" t="s">
        <v>864</v>
      </c>
      <c r="BC17" s="26" t="s">
        <v>864</v>
      </c>
      <c r="BD17" s="26" t="s">
        <v>864</v>
      </c>
      <c r="BE17" s="26" t="s">
        <v>864</v>
      </c>
      <c r="BF17" s="26" t="s">
        <v>864</v>
      </c>
      <c r="BG17" s="26" t="s">
        <v>864</v>
      </c>
      <c r="BH17" s="26"/>
      <c r="BI17" s="26" t="s">
        <v>864</v>
      </c>
      <c r="BJ17" s="26"/>
      <c r="BK17" s="26"/>
      <c r="BL17" s="26"/>
      <c r="BM17" s="26" t="s">
        <v>864</v>
      </c>
      <c r="BN17" s="22">
        <v>43570</v>
      </c>
      <c r="BO17" s="22">
        <v>44958</v>
      </c>
      <c r="BP17" s="21" t="s">
        <v>1380</v>
      </c>
      <c r="BQ17" s="222">
        <f t="shared" si="2"/>
        <v>36.766666666666666</v>
      </c>
      <c r="BR17" s="223">
        <f t="shared" si="3"/>
        <v>44673</v>
      </c>
      <c r="BS17" s="224">
        <f t="shared" si="4"/>
        <v>21.428571428571427</v>
      </c>
      <c r="BT17" s="216" t="str">
        <f t="shared" si="5"/>
        <v>II TRIM</v>
      </c>
      <c r="BU17" s="214" t="str">
        <f t="shared" ca="1" si="6"/>
        <v/>
      </c>
      <c r="BV17" s="25"/>
      <c r="BW17" s="22">
        <v>44834</v>
      </c>
      <c r="BX17" s="28">
        <v>23</v>
      </c>
      <c r="BY17" s="28"/>
      <c r="BZ17" s="22">
        <v>44898</v>
      </c>
      <c r="CA17" s="21">
        <v>31</v>
      </c>
      <c r="CB17" s="26" t="s">
        <v>864</v>
      </c>
      <c r="CC17" s="26" t="s">
        <v>864</v>
      </c>
      <c r="CD17" s="26" t="s">
        <v>878</v>
      </c>
      <c r="CE17" s="26" t="s">
        <v>864</v>
      </c>
      <c r="CF17" s="22" t="s">
        <v>1517</v>
      </c>
      <c r="CG17" s="21">
        <v>1.49</v>
      </c>
      <c r="CH17" s="21">
        <v>48.8</v>
      </c>
      <c r="CI17" s="214">
        <f t="shared" si="7"/>
        <v>21.980991847214089</v>
      </c>
      <c r="CJ17" s="225" t="e">
        <f>IF(AND(CI17&lt;10,CH17="SD"),"SIN DATO PESO PREGESTACION O I TRIM",IF(AND(OR(R17&gt;0,O17&gt;0),CI17="X"),"INGRESAR DATO DE PESO",IF(CI17="SD","INGRESAR DATO DE TALLA Y PESO",IF(AND(OR(Tabla1[[#This Row],[MOMENTO EN QUE SE REALIZA EL PESO AL INGRESO A CPN]]="PREGESTACIÓN",NZ17="Menor"),CI17&lt;18.5),"BAJO PESO",IF(AND(OR(Tabla1[[#This Row],[MOMENTO EN QUE SE REALIZA EL PESO AL INGRESO A CPN]]="PREGESTACIÓN",NZ17="Menor"),CI17&lt;25),"NORMAL",IF(AND(OR(Tabla1[[#This Row],[MOMENTO EN QUE SE REALIZA EL PESO AL INGRESO A CPN]]="PREGESTACIÓN",NZ17="Menor"),CI17&lt;30),"SOBREPESO",IF(AND(OR(Tabla1[[#This Row],[MOMENTO EN QUE SE REALIZA EL PESO AL INGRESO A CPN]]="PREGESTACIÓN",NZ17="Menor"),CI17&gt;=30,CI17&lt;50),"OBESIDAD",IF(AND(BS17&gt;0,Tabla1[[#This Row],[MOMENTO EN QUE SE REALIZA EL PESO AL INGRESO A CPN]]="GESTACIÓN"),HLOOKUP(NZ17,$OA$2:PH17,NY17),""))))))))</f>
        <v>#REF!</v>
      </c>
      <c r="CK17" s="212">
        <f t="shared" si="8"/>
        <v>44897</v>
      </c>
      <c r="CL17" s="21"/>
      <c r="CM17" s="214">
        <f t="shared" si="9"/>
        <v>0</v>
      </c>
      <c r="CN17" s="216">
        <f t="shared" si="10"/>
        <v>32</v>
      </c>
      <c r="CO17" s="216" t="e">
        <f>IF(PI17="","",IF(PI17&gt;0,HLOOKUP(PI17,$PJ$2:QQ17,NY17),""))</f>
        <v>#REF!</v>
      </c>
      <c r="CP17" s="21"/>
      <c r="CQ17" s="216" t="e">
        <f>IF(QR17="Menor","NO APLICA-MENOR 13 SEM",IF(AND(CC17="SI",CN17&gt;23),"NO APLICA- GEMELAR",IF(QR17="","",IF(QR17&gt;0,HLOOKUP(QR17,$QS$2:RU17,NY17),""))))</f>
        <v>#REF!</v>
      </c>
      <c r="CR17" s="21"/>
      <c r="CS17" s="21"/>
      <c r="CT17" s="217" t="str">
        <f>IF(R17="","",IF(AND(BS17&gt;1,BS17&lt;12,Tabla1[[#This Row],[T.A. SISTOLICA - ANTES DE SEMANA 12]]="",Tabla1[[#This Row],[T.A. DIASTOLICA - ANTES DE SEMANA 12]]=""),"REGISTRE DATO TA ANTES SEMANA 12",IF(AND(BS17&gt;11,BS17&lt;43,Tabla1[[#This Row],[T.A. SISTOLICA - ANTES DE SEMANA 12]]="",Tabla1[[#This Row],[T.A. DIASTOLICA - ANTES DE SEMANA 12]]=""),"NO APLICA REGISTRO TA-INGRESO TARDIO",IF(AND(OR(O17&gt;0,R17&gt;0),OR(CR17&gt;=140,CS17&gt;=90)),"DEFINIR ESTADIO HTA",IF(AND(OR(O17&gt;0,R17&gt;0),AND(CR17&gt;120,CR17&lt;=139)),"PRE HTA SEGUIMIENTO",IF(AND(OR(O17&gt;0,R17&gt;0),AND(CS17&gt;80,CS17&lt;=89)),"PRE HTA SEGUIMIENTO",IF(AND(OR(O17&gt;0,R17&gt;0),AND(CR17&gt;=80,CR17&lt;=120)),"APARENTEMENTE NORMAL",IF(AND(OR(O17&gt;0,R17&gt;0),AND(CS17&gt;=50,CS17&lt;=80)),"APARENTEMENTE NORMAL",IF(AND(OR(O17&gt;0,R17&gt;0),AND(CR17&gt;1,CR17&lt;=70),AND(CS17&gt;1,CS17&lt;=40)),"HIPOTENSIÓN","")))))))))</f>
        <v>NO APLICA REGISTRO TA-INGRESO TARDIO</v>
      </c>
      <c r="CU17" s="21">
        <v>90</v>
      </c>
      <c r="CV17" s="21">
        <v>60</v>
      </c>
      <c r="CW17" s="217" t="str">
        <f ca="1">IF(R17="","",IF(AND(CN17&gt;19,CN17&lt;27,Tabla1[[#This Row],[T.A. SISTOLICA (Entre semana 20 y 26)]]="",Tabla1[[#This Row],[T.A. DIATOLICA (Entre semana 20 y 26)]]=""),"ACUDE A CONTROL SEM 20 A 26 REGISTRE TA AHORA",IF(AND(BS17&gt;1,BS17&lt;27,BU17&gt;19,Tabla1[[#This Row],[T.A. SISTOLICA (Entre semana 20 y 26)]]="",Tabla1[[#This Row],[T.A. DIATOLICA (Entre semana 20 y 26)]]=""),"COMPLETE REGISTRO TA CONTROL SEM 20 A26 ",IF(AND(BS17&gt;26,BS17&lt;43,Tabla1[[#This Row],[T.A. SISTOLICA (Entre semana 20 y 26)]]="",Tabla1[[#This Row],[T.A. DIATOLICA (Entre semana 20 y 26)]]=""),"NO APLICA REGISTRO TA-INGRESO TARDIO",IF(AND(OR(O17&gt;0,R17&gt;0),OR(CU17&gt;=140,CV17&gt;=90)),"ALTO RIESGO PREECLAMPSIA,DEFINIR ESTADIO HTA",IF(AND(OR(O17&gt;0,R17&gt;0),AND(CU17&gt;120,CU17&lt;=139)),"PRE HTA SEGUIMIENTO,RIESGO HIPERTENSION INDUCIDA POR EL EMBARAZO",IF(AND(OR(O17&gt;0,R17&gt;0),AND(CV17&gt;80,CV17&lt;=89)),"PRE HTA SEGUIMIENTO, RIESGO HIPERTENSION INDUCIDA POR EL EMBARAZO",IF(AND(OR(O17&lt;&gt;"",R17&lt;&gt;""),CS17&lt;&gt;"",CV17&lt;&gt;"",CS17&lt;=CV17),"VIGILAR CIFRAS PRESION ARTERIAL",IF(AND(OR(O17&gt;0,R17&gt;0),AND(CU17&gt;120,CU17&lt;=139)),"PRE HTA SEGUIMIENTO",IF(AND(OR(O17&gt;0,R17&gt;0),AND(CU17&gt;1,CU17&lt;=70),AND(CV17&gt;1,CV17&lt;=40)),"HIPOTENSIÓN",IF(AND(OR(O17&lt;&gt;"",R17&lt;&gt;""),CS17&lt;&gt;"",CV17&lt;&gt;"",CS17&gt;CV17),"APARENTEMENTE NORMAL",IF(AND(OR(O17&gt;0,R17&gt;0),AND(CU17&gt;=80,CU17&lt;=120)),"APARENTEMENTE NORMAL",IF(AND(OR(O17&gt;0,R17&gt;0),AND(CV17&gt;=50,CV17&lt;=80)),"APARENTEMENTE NORMAL","")))))))))))))</f>
        <v>APARENTEMENTE NORMAL</v>
      </c>
      <c r="CX17" s="21"/>
      <c r="CY17" s="21"/>
      <c r="CZ17" s="216" t="str">
        <f t="shared" si="11"/>
        <v>ACUDE A CONTROL SEM 30 A 34- REGISTRE AHORA</v>
      </c>
      <c r="DA17" s="21"/>
      <c r="DB17" s="21"/>
      <c r="DC17" s="217" t="str">
        <f t="shared" si="12"/>
        <v>REGISTRE DATO PRESIÓN ARTERIAL MENSUAL</v>
      </c>
      <c r="DD17" s="22">
        <v>44823</v>
      </c>
      <c r="DE17" s="22">
        <v>44823</v>
      </c>
      <c r="DF17" s="22">
        <v>44897</v>
      </c>
      <c r="DG17" s="22"/>
      <c r="DH17" s="22"/>
      <c r="DI17" s="22"/>
      <c r="DJ17" s="22"/>
      <c r="DK17" s="22"/>
      <c r="DL17" s="22"/>
      <c r="DM17" s="22"/>
      <c r="DN17" s="22"/>
      <c r="DO17" s="22"/>
      <c r="DP17" s="22"/>
      <c r="DQ17" s="22"/>
      <c r="DR17" s="28">
        <v>2</v>
      </c>
      <c r="DS17" s="22"/>
      <c r="DT17" s="22"/>
      <c r="DU17" s="216" t="str">
        <f t="shared" ca="1" si="13"/>
        <v>CONCERTAR PLAN DE PARTO INMEDIATO</v>
      </c>
      <c r="DV17" s="226" t="str">
        <f t="shared" si="14"/>
        <v>ACTIVA INGRESO A CPN</v>
      </c>
      <c r="DW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 s="216" t="e">
        <f t="shared" ca="1" si="15"/>
        <v>#REF!</v>
      </c>
      <c r="DY17" s="212">
        <f>IF(R17="","",IF(R17&gt;0,MAX(Tabla1[[#This Row],[FECHA C2]:[FECHA C13]],Tabla1[[#This Row],[FECHA CONSULTA PRIMERA VEZ PROGRAMA CPN ]])))</f>
        <v>44897</v>
      </c>
      <c r="DZ17" s="216">
        <f t="shared" si="16"/>
        <v>32</v>
      </c>
      <c r="EA17" s="222">
        <f>IF(R17&gt;0,SUM(COUNTA(DF17:DQ17)+COUNTA(Tabla1[[#This Row],[FECHA CONSULTA PRIMERA VEZ PROGRAMA CPN ]])),"")</f>
        <v>2</v>
      </c>
      <c r="EB17" s="222" t="str">
        <f t="shared" si="17"/>
        <v>NO</v>
      </c>
      <c r="EC17" s="214">
        <f t="shared" si="18"/>
        <v>6</v>
      </c>
      <c r="ED17" s="227">
        <f t="shared" si="19"/>
        <v>0.33333333333333331</v>
      </c>
      <c r="EE17" s="22">
        <v>44823</v>
      </c>
      <c r="EF17" s="22">
        <v>44834</v>
      </c>
      <c r="EG17" s="22">
        <v>44823</v>
      </c>
      <c r="EH17" s="22"/>
      <c r="EI17" s="22">
        <v>44823</v>
      </c>
      <c r="EJ17" s="22"/>
      <c r="EK17" s="22"/>
      <c r="EL17" s="21"/>
      <c r="EM17" s="21">
        <v>12.8</v>
      </c>
      <c r="EN17" s="22">
        <v>44828</v>
      </c>
      <c r="EO17" s="222">
        <f t="shared" si="20"/>
        <v>22.142857142857142</v>
      </c>
      <c r="EP17" s="214" t="str">
        <f t="shared" si="21"/>
        <v>NORMAL- SUMINISTRAR SULFATO FERROSO</v>
      </c>
      <c r="EQ17" s="216" t="str">
        <f t="shared" si="22"/>
        <v>II TRIM</v>
      </c>
      <c r="ER17" s="24"/>
      <c r="ES17" s="22"/>
      <c r="ET17" s="29" t="str">
        <f t="shared" ca="1" si="23"/>
        <v>TOMA DE HEMOGLOBINA TARDÍA</v>
      </c>
      <c r="EU17" s="25" t="str">
        <f t="shared" si="24"/>
        <v/>
      </c>
      <c r="EV17" s="24" t="s">
        <v>866</v>
      </c>
      <c r="EW17" s="24">
        <v>44828</v>
      </c>
      <c r="EX17" s="22"/>
      <c r="EY17" s="29">
        <f t="shared" si="25"/>
        <v>22.142857142857142</v>
      </c>
      <c r="EZ17" s="25" t="str">
        <f t="shared" ca="1" si="26"/>
        <v/>
      </c>
      <c r="FA17" s="21">
        <v>80</v>
      </c>
      <c r="FB17" s="22">
        <v>44828</v>
      </c>
      <c r="FC17" s="29">
        <f t="shared" si="27"/>
        <v>22.142857142857142</v>
      </c>
      <c r="FD17" s="29"/>
      <c r="FE17" s="29"/>
      <c r="FF17" s="29"/>
      <c r="FG17" s="21" t="str">
        <f t="shared" ca="1" si="28"/>
        <v/>
      </c>
      <c r="FH17" s="31"/>
      <c r="FI17" s="29" t="str">
        <f t="shared" si="29"/>
        <v>TOMAR EXAMEN</v>
      </c>
      <c r="FJ17" s="22" t="s">
        <v>867</v>
      </c>
      <c r="FK17" s="22">
        <v>44828</v>
      </c>
      <c r="FL17" s="29" t="str">
        <f t="shared" si="30"/>
        <v>REGISTRAR EN II TRIMESTRE</v>
      </c>
      <c r="FM17" s="22"/>
      <c r="FN17" s="32"/>
      <c r="FO17" s="29" t="str">
        <f t="shared" ca="1" si="31"/>
        <v>PIERDE TOMA DE TAMIZAJE</v>
      </c>
      <c r="FP17" s="22"/>
      <c r="FQ17" s="32"/>
      <c r="FR17" s="29" t="str">
        <f t="shared" ca="1" si="32"/>
        <v>TOMA INMEDIATA DE TAMIZAJE</v>
      </c>
      <c r="FS17" s="22"/>
      <c r="FT17" s="32"/>
      <c r="FU17" s="29" t="str">
        <f>IF(AND(FJ17="",FM17="",FP17="",FS17=""),"",IF(OR(OR(Tabla1[[#This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 s="28"/>
      <c r="FW17" s="22"/>
      <c r="FX17" s="29" t="str">
        <f t="shared" si="33"/>
        <v>TOMAR EXAMEN</v>
      </c>
      <c r="FY17" s="22">
        <v>44828</v>
      </c>
      <c r="FZ17" s="22">
        <v>44828</v>
      </c>
      <c r="GA17" s="29" t="str">
        <f t="shared" si="34"/>
        <v>REGISTRAR EN II TRIMESTRE</v>
      </c>
      <c r="GB17" s="22"/>
      <c r="GC17" s="22"/>
      <c r="GD17" s="29" t="str">
        <f t="shared" ca="1" si="35"/>
        <v>PIERDE TOMA DE TAMIZAJE</v>
      </c>
      <c r="GE17" s="22"/>
      <c r="GF17" s="22"/>
      <c r="GG17" s="29" t="str">
        <f t="shared" ca="1" si="36"/>
        <v>TOMA INMEDIATA DE TAMIZAJE</v>
      </c>
      <c r="GH17" s="22"/>
      <c r="GI17" s="29"/>
      <c r="GJ17" s="22"/>
      <c r="GK17" s="22"/>
      <c r="GL17" s="22" t="s">
        <v>879</v>
      </c>
      <c r="GM17" s="22"/>
      <c r="GN17" s="28" t="s">
        <v>869</v>
      </c>
      <c r="GO17" s="22">
        <v>44828</v>
      </c>
      <c r="GP17" s="29">
        <f t="shared" si="37"/>
        <v>22.142857142857142</v>
      </c>
      <c r="GQ17" s="28" t="s">
        <v>880</v>
      </c>
      <c r="GR17" s="28" t="s">
        <v>869</v>
      </c>
      <c r="GS17" s="22" t="str">
        <f t="shared" si="38"/>
        <v>SE EXCLUYE INFECCION</v>
      </c>
      <c r="GT17" s="22">
        <v>44828</v>
      </c>
      <c r="GU17" s="29" t="str">
        <f t="shared" si="39"/>
        <v>CORREGIR FECHA RESULTADO</v>
      </c>
      <c r="GV17" s="21" t="str">
        <f t="shared" si="40"/>
        <v>POR DEFINIR</v>
      </c>
      <c r="GW17" s="28" t="s">
        <v>869</v>
      </c>
      <c r="GX17" s="30"/>
      <c r="GY17" s="21"/>
      <c r="GZ17" s="21"/>
      <c r="HA17" s="21"/>
      <c r="HB17" s="21"/>
      <c r="HC17" s="21"/>
      <c r="HD17" s="21"/>
      <c r="HE17" s="21"/>
      <c r="HF17" s="22"/>
      <c r="HG17" s="22" t="str">
        <f>IF(OR(O17&gt;0,R17&gt;0),CONCATENATE(IF(Tabla1[[#This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 s="22" t="e">
        <f t="shared" si="41"/>
        <v>#REF!</v>
      </c>
      <c r="HI17" s="22" t="e">
        <f t="shared" ca="1" si="42"/>
        <v>#REF!</v>
      </c>
      <c r="HJ17" s="21"/>
      <c r="HK17" s="21" t="str">
        <f t="shared" si="44"/>
        <v>SIN ANTECEDENTES DE RIESGO</v>
      </c>
      <c r="HL17" s="24" t="str">
        <f t="shared" si="45"/>
        <v>REGISTRE DATO PRESIÓN ARTERIAL MENSUAL</v>
      </c>
      <c r="HM17" s="21" t="e">
        <f t="shared" ca="1" si="46"/>
        <v>#REF!</v>
      </c>
      <c r="HN17" s="30" t="str">
        <f t="shared" si="47"/>
        <v>ACTIVA INGRESO A CPN</v>
      </c>
      <c r="HO17" s="21"/>
      <c r="HP17" s="21"/>
      <c r="HQ17" s="21">
        <v>44823</v>
      </c>
      <c r="HR17" s="21" t="str">
        <f>IF(R17="","",IF(Tabla1[[#This Row],[ALARMA FACTORES DE RIESGO COMPLICACIONES HIPERTENSIVAS3]]="SIN ANTECEDENTES DE RIESGO","No Aplica para suministro de ASA",IF(AND(Tabla1[[#This Row],[FECHA INICIO DE SUMINISTRO DE ASA]]&gt;0,RV17&lt;12),"Inicia ASA ANTES de Sem 12",IF(AND(RV17&gt;11,RV17&lt;17,OR(HK17="RIESGO ALTO DE COMPLICACIONES HIPERTENSIVAS VER MANEJO GUIA SUMINISTRO ASA Y CALCIO",HK17="RIESGO MODERADO (2 O MAS CRITERIOS) VER MANEJO GUIA SUMINISTRO ASA Y CALCIO")),"Inicio oportuno de ASA",IF(AND(RV17&gt;12,OR(HK17="RIESGO ALTO DE COMPLICACIONES HIPERTENSIVAS VER MANEJO GUIA SUMINISTRO ASA Y CALCIO",HK17="RIESGO MODERADO (2 O MAS CRITERIOS) VER MANEJO GUIA SUMINISTRO ASA Y CALCIO")),"Inicio no oportuno mayor a 16 semanas",IF(AND(BU17&lt;12,OR(HK17="RIESGO ALTO DE COMPLICACIONES HIPERTENSIVAS VER MANEJO GUIA SUMINISTRO ASA Y CALCIO",HK17="RIESGO MODERADO (2 O MAS CRITERIOS) VER MANEJO GUIA SUMINISTRO ASA Y CALCIO")),"Pendiente Inicio de ASA a la semana 12",IF(AND(BU17&gt;11,BU17&lt;17,OR(HK17="RIESGO ALTO DE COMPLICACIONES HIPERTENSIVAS VER MANEJO GUIA SUMINISTRO ASA Y CALCIO",HK17="RIESGO MODERADO (2 O MAS CRITERIOS) VER MANEJO GUIA SUMINISTRO ASA Y CALCIO")),"Iniciar de inmediato ASA",IF(AND(BU17&gt;16,OR(HK17="RIESGO ALTO DE COMPLICACIONES HIPERTENSIVAS VER MANEJO GUIA SUMINISTRO ASA Y CALCIO",HK17="RIESGO MODERADO (2 O MAS CRITERIOS) VER MANEJO GUIA SUMINISTRO ASA Y CALCIO")),"Pierde Oportunidad, Inicio tardío de ASA","XXXXX"))))))))</f>
        <v>No Aplica para suministro de ASA</v>
      </c>
      <c r="HS17" s="22">
        <v>44823</v>
      </c>
      <c r="HT17" s="22" t="s">
        <v>870</v>
      </c>
      <c r="HU17" s="22">
        <v>44823</v>
      </c>
      <c r="HV17" s="22" t="s">
        <v>870</v>
      </c>
      <c r="HW17" s="22"/>
      <c r="HX17" s="22"/>
      <c r="HY17" s="22">
        <v>44823</v>
      </c>
      <c r="HZ17" s="28">
        <f t="shared" si="48"/>
        <v>21.428571428571427</v>
      </c>
      <c r="IA17" s="26" t="s">
        <v>864</v>
      </c>
      <c r="IB17" s="26"/>
      <c r="IC17" s="111">
        <v>44834</v>
      </c>
      <c r="ID17" s="22">
        <v>44834</v>
      </c>
      <c r="IE17" s="22" t="str">
        <f t="shared" ca="1" si="49"/>
        <v>VACUNA APLICADA ENTRE SEMANA 20 Y SEMANA 26</v>
      </c>
      <c r="IF17" s="22"/>
      <c r="IG17" s="22">
        <f t="shared" si="50"/>
        <v>44953</v>
      </c>
      <c r="IH17" s="29">
        <f t="shared" ca="1" si="51"/>
        <v>-280</v>
      </c>
      <c r="II17" s="22" t="str">
        <f t="shared" ca="1" si="52"/>
        <v>POSIBLEMENTE NACIO</v>
      </c>
      <c r="IJ17" s="22"/>
      <c r="IK17" s="21"/>
      <c r="IL17" s="21"/>
      <c r="IM17" s="34"/>
      <c r="IN17" s="349"/>
      <c r="IO17" s="21"/>
      <c r="IP17" s="29" t="str">
        <f t="shared" si="53"/>
        <v/>
      </c>
      <c r="IQ17" s="35"/>
      <c r="IR17" s="21"/>
      <c r="IS17" s="21"/>
      <c r="IT17" s="21"/>
      <c r="IU17" s="21"/>
      <c r="IV17" s="21"/>
      <c r="IW17" s="21"/>
      <c r="IX17" s="21"/>
      <c r="IY17" s="21"/>
      <c r="IZ17" s="21"/>
      <c r="JA17" s="21"/>
      <c r="JB17" s="30"/>
      <c r="JC17" s="21"/>
      <c r="JD17" s="36"/>
      <c r="JE17" s="21" t="str">
        <f t="shared" si="54"/>
        <v/>
      </c>
      <c r="JF17" s="30"/>
      <c r="JG17" s="21"/>
      <c r="JH17" s="21"/>
      <c r="JI17" s="21"/>
      <c r="JJ17" s="30"/>
      <c r="JK17" s="22"/>
      <c r="JL17" s="22"/>
      <c r="JM17" s="21"/>
      <c r="JN17" s="36"/>
      <c r="JO17" s="21" t="str">
        <f t="shared" si="55"/>
        <v/>
      </c>
      <c r="JP17" s="22"/>
      <c r="JQ17" s="21"/>
      <c r="JR17" s="21"/>
      <c r="JS17" s="21"/>
      <c r="JT17" s="30"/>
      <c r="JU17" s="22"/>
      <c r="JV17" s="22"/>
      <c r="JW17" s="33"/>
      <c r="JX17" s="28" t="str">
        <f t="shared" si="56"/>
        <v/>
      </c>
      <c r="JY17" s="33"/>
      <c r="JZ17" s="28" t="str">
        <f t="shared" si="57"/>
        <v/>
      </c>
      <c r="KA17" s="21"/>
      <c r="KB17" s="21"/>
      <c r="KC17" s="21"/>
      <c r="KD17" s="37"/>
      <c r="KE17" s="28"/>
      <c r="KF17" s="28"/>
      <c r="KG17" s="28"/>
      <c r="KH17" s="39"/>
      <c r="KI17" s="39"/>
      <c r="KJ17" s="66"/>
      <c r="KK17" s="39"/>
      <c r="KL17" s="39"/>
      <c r="KM17" s="66"/>
      <c r="KN17" s="39"/>
      <c r="KO17" s="39"/>
      <c r="KP17" s="39"/>
      <c r="KQ17" s="39"/>
      <c r="KR17" s="39"/>
      <c r="KS17" s="39"/>
      <c r="KT17" s="39"/>
      <c r="KU17" s="38"/>
      <c r="KV17" s="38"/>
      <c r="KW17" s="38"/>
      <c r="KX17" s="38"/>
      <c r="KY17" s="38"/>
      <c r="KZ17" s="38"/>
      <c r="LA17" s="38"/>
      <c r="LB17" s="38"/>
      <c r="LC17" s="38"/>
      <c r="LD17" s="38"/>
      <c r="LE17" s="38"/>
      <c r="LF17" s="38"/>
      <c r="LG17" s="38"/>
      <c r="LH17" s="38"/>
      <c r="LI17" s="38"/>
      <c r="LJ17" s="38"/>
      <c r="LK17" s="38"/>
      <c r="LL17" s="38"/>
      <c r="LM17" s="38"/>
      <c r="LN17" s="38"/>
      <c r="LO17" s="38"/>
      <c r="LP17" s="38"/>
      <c r="LQ17" s="38"/>
      <c r="LR17" s="38"/>
      <c r="LS17" s="38"/>
      <c r="LT17" s="38"/>
      <c r="LU17" s="38"/>
      <c r="LV17" s="38"/>
      <c r="LW17" s="38"/>
      <c r="LX17" s="38"/>
      <c r="LY17" s="38"/>
      <c r="LZ17" s="38"/>
      <c r="MA17" s="38"/>
      <c r="MB17" s="38"/>
      <c r="MC17" s="38"/>
      <c r="MD17" s="38"/>
      <c r="ME17" s="38"/>
      <c r="MF17" s="38"/>
      <c r="MG17" s="38"/>
      <c r="MH17" s="43">
        <f t="shared" si="58"/>
        <v>0</v>
      </c>
      <c r="MI17" s="43" t="str">
        <f t="shared" si="59"/>
        <v/>
      </c>
      <c r="MJ17" s="43" t="str">
        <f t="shared" si="60"/>
        <v/>
      </c>
      <c r="MK17" s="43">
        <f t="shared" si="61"/>
        <v>0</v>
      </c>
      <c r="ML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 s="43">
        <f t="shared" si="62"/>
        <v>21.428571428571427</v>
      </c>
      <c r="MN17" s="43">
        <f t="shared" si="63"/>
        <v>9</v>
      </c>
      <c r="MO17" s="43">
        <f t="shared" si="64"/>
        <v>2022</v>
      </c>
      <c r="MP17" s="43" t="str">
        <f t="shared" si="65"/>
        <v>III TRIMESTRE AÑO</v>
      </c>
      <c r="MQ17" s="43">
        <f t="shared" si="66"/>
        <v>26.467367498904949</v>
      </c>
      <c r="MR17" s="43">
        <f t="shared" si="67"/>
        <v>0</v>
      </c>
      <c r="MS17" s="43" t="str">
        <f t="shared" si="68"/>
        <v xml:space="preserve"> DE 25 A 29 AÑOS</v>
      </c>
      <c r="MT17" s="43">
        <f t="shared" si="69"/>
        <v>0</v>
      </c>
      <c r="MU17" s="43">
        <f t="shared" si="70"/>
        <v>0</v>
      </c>
      <c r="MV17" s="43">
        <f t="shared" si="71"/>
        <v>0</v>
      </c>
      <c r="MW17" s="43">
        <f t="shared" si="72"/>
        <v>0</v>
      </c>
      <c r="MX17" s="43" t="str">
        <f t="shared" si="73"/>
        <v/>
      </c>
      <c r="MY17" s="43" t="str">
        <f t="shared" ca="1" si="74"/>
        <v/>
      </c>
      <c r="MZ17" s="43" t="str">
        <f t="shared" si="75"/>
        <v/>
      </c>
      <c r="NA17" s="43">
        <f t="shared" si="76"/>
        <v>0</v>
      </c>
      <c r="NB17" s="43" t="str">
        <f t="shared" si="77"/>
        <v/>
      </c>
      <c r="NC17" s="43" t="str">
        <f t="shared" si="78"/>
        <v/>
      </c>
      <c r="ND17" s="43">
        <f t="shared" ca="1" si="79"/>
        <v>0</v>
      </c>
      <c r="NE17" s="43">
        <f>IF(OR(O17&gt;0,R17&gt;0),SUM(COUNTIF(Tabla1[[#This Row],[AÑOS AL INICIO5 CPN]],"&gt;=40"),COUNTIF(AS17,"0"),COUNTIF(AR17,"SI"),COUNTIF(CC17,"SI"),COUNTIF(BQ17,"&gt;119"),COUNTIF(CI17,"&gt;=35")),"")</f>
        <v>0</v>
      </c>
      <c r="NF17" s="43">
        <f t="shared" si="80"/>
        <v>23</v>
      </c>
      <c r="NG17" s="43">
        <f t="shared" si="81"/>
        <v>0</v>
      </c>
      <c r="NH17" s="43">
        <f t="shared" si="82"/>
        <v>161</v>
      </c>
      <c r="NI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CPN",P17="NO"),"Z",IF(AND(Tabla1[[#This Row],[CITA PROXIMO CONTROL]]="CITA MANUAL",Tabla1[[#This Row],[GESTANTES ACTUALES]]="ACTIVA INGRESO A CPN"),"W",IF(AND(Tabla1[[#This Row],[GESTANTES ACTUALES]]="SALIO PROGRAMA",IN17=""),"S",IF(AND(Tabla1[[#This Row],[CITA PROXIMO CONTROL]]&gt;0,IN17=""),(Tabla1[[#This Row],[CITA PROXIMO CONTROL]]-TODAY()),"SD"))))))))</f>
        <v>#REF!</v>
      </c>
      <c r="NJ17" s="43">
        <f>MONTH(Tabla1[[#This Row],[FECHA DE SALIDA  DEL PROGRAMA]])</f>
        <v>1</v>
      </c>
      <c r="NK17" s="43">
        <f>YEAR(Tabla1[[#This Row],[FECHA DE SALIDA  DEL PROGRAMA]])</f>
        <v>1900</v>
      </c>
      <c r="NL17" s="43" t="str">
        <f t="shared" si="83"/>
        <v>X</v>
      </c>
      <c r="NM17" s="43" t="str">
        <f t="shared" si="84"/>
        <v>NO</v>
      </c>
      <c r="NN17" s="43" t="str">
        <f ca="1">IF(AND(O17&gt;0,R17=""),"NO CPN",IF(AND(O17="",R17=""),"",IF(AND(R17&gt;0,Tabla1[[#This Row],[SEMANAS DE GESTACION ACTUALIZADAS]]&lt;=12),"NO APLICA",IF(AND(FH17&lt;&gt;"",FN17&lt;&gt;""),"SI","NO"))))</f>
        <v>NO</v>
      </c>
      <c r="NO17" s="43" t="str">
        <f ca="1">IF(AND(O17&gt;0,R17=""),"NO CPN",IF(AND(O17="",R17=""),"",IF(AND(R17&gt;0,Tabla1[[#This Row],[SEMANAS DE GESTACION ACTUALIZADAS]]&lt;=27),"NO APLICA",IF(AND(ES17&lt;&gt;"",FQ17&lt;&gt;"",GF17&lt;&gt;""),"SI","NO"))))</f>
        <v>NO</v>
      </c>
      <c r="NP17" s="204" t="str">
        <f t="shared" si="85"/>
        <v>II TRIM</v>
      </c>
      <c r="NQ17" s="21" t="str">
        <f t="shared" si="86"/>
        <v/>
      </c>
      <c r="NR17" s="21" t="str">
        <f t="shared" ca="1" si="87"/>
        <v>REVISAR FUM O FECHA SALIDA PROGRAMA</v>
      </c>
      <c r="NS17" s="205">
        <f t="shared" ca="1" si="88"/>
        <v>0</v>
      </c>
      <c r="NT17" s="21">
        <f t="shared" ca="1" si="89"/>
        <v>0</v>
      </c>
      <c r="NU17" s="21" t="str">
        <f t="shared" ca="1" si="90"/>
        <v>POR DEFINIR</v>
      </c>
      <c r="NV17" s="21" t="str">
        <f t="shared" ca="1" si="91"/>
        <v>POR DEFINIR</v>
      </c>
      <c r="NW17" s="206" t="str">
        <f>IF(AND(O17="",R17=""),"",IF(OR(AND(Tabla1[[#This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 s="207" t="str">
        <f t="shared" ca="1" si="92"/>
        <v>VACUNADA</v>
      </c>
      <c r="NY17" s="43">
        <f>ROW(Tabla1[[#This Row],['# DE TAMIZAJES SIFILIS TOMADOS ]])</f>
        <v>17</v>
      </c>
      <c r="NZ17" s="43">
        <f t="shared" si="93"/>
        <v>21</v>
      </c>
      <c r="OA17" s="43" t="str">
        <f t="shared" si="94"/>
        <v/>
      </c>
      <c r="OB17" s="43" t="str">
        <f t="shared" si="95"/>
        <v/>
      </c>
      <c r="OC17" s="43" t="str">
        <f t="shared" si="96"/>
        <v/>
      </c>
      <c r="OD17" s="43" t="str">
        <f t="shared" si="97"/>
        <v/>
      </c>
      <c r="OE17" s="43" t="str">
        <f t="shared" si="98"/>
        <v/>
      </c>
      <c r="OF17" s="43" t="str">
        <f t="shared" si="99"/>
        <v/>
      </c>
      <c r="OG17" s="43" t="str">
        <f t="shared" si="100"/>
        <v/>
      </c>
      <c r="OH17" s="43" t="str">
        <f t="shared" si="101"/>
        <v/>
      </c>
      <c r="OI17" s="43" t="str">
        <f t="shared" si="102"/>
        <v/>
      </c>
      <c r="OJ17" s="43" t="str">
        <f t="shared" si="103"/>
        <v/>
      </c>
      <c r="OK17" s="43" t="str">
        <f t="shared" si="104"/>
        <v/>
      </c>
      <c r="OL17" s="43" t="str">
        <f t="shared" si="105"/>
        <v/>
      </c>
      <c r="OM17" s="43" t="str">
        <f t="shared" si="106"/>
        <v>NORMAL</v>
      </c>
      <c r="ON17" s="43" t="str">
        <f t="shared" si="107"/>
        <v/>
      </c>
      <c r="OO17" s="43" t="str">
        <f t="shared" si="108"/>
        <v/>
      </c>
      <c r="OP17" s="43" t="str">
        <f t="shared" si="109"/>
        <v/>
      </c>
      <c r="OQ17" s="43" t="str">
        <f t="shared" si="110"/>
        <v/>
      </c>
      <c r="OR17" s="43" t="str">
        <f t="shared" si="111"/>
        <v/>
      </c>
      <c r="OS17" s="43" t="str">
        <f t="shared" si="112"/>
        <v/>
      </c>
      <c r="OT17" s="43" t="str">
        <f t="shared" si="113"/>
        <v/>
      </c>
      <c r="OU17" s="43" t="str">
        <f t="shared" si="114"/>
        <v/>
      </c>
      <c r="OV17" s="110" t="str">
        <f t="shared" si="115"/>
        <v/>
      </c>
      <c r="OW17" s="43" t="str">
        <f t="shared" si="116"/>
        <v/>
      </c>
      <c r="OX17" s="43" t="str">
        <f t="shared" si="117"/>
        <v/>
      </c>
      <c r="OY17" s="43" t="str">
        <f t="shared" si="118"/>
        <v/>
      </c>
      <c r="OZ17" s="43" t="str">
        <f t="shared" si="119"/>
        <v/>
      </c>
      <c r="PA17" s="43" t="str">
        <f t="shared" si="120"/>
        <v/>
      </c>
      <c r="PB17" s="43" t="str">
        <f t="shared" si="121"/>
        <v/>
      </c>
      <c r="PC17" s="43" t="str">
        <f t="shared" si="122"/>
        <v/>
      </c>
      <c r="PD17" s="43" t="str">
        <f t="shared" si="123"/>
        <v/>
      </c>
      <c r="PE17" s="43" t="str">
        <f t="shared" si="124"/>
        <v/>
      </c>
      <c r="PF17" s="43" t="str">
        <f t="shared" si="125"/>
        <v/>
      </c>
      <c r="PG17" s="43" t="str">
        <f t="shared" si="126"/>
        <v/>
      </c>
      <c r="PH17" s="43" t="str">
        <f t="shared" si="127"/>
        <v/>
      </c>
      <c r="PI17" s="43">
        <f t="shared" si="128"/>
        <v>32</v>
      </c>
      <c r="PJ17" s="43" t="str">
        <f t="shared" si="129"/>
        <v/>
      </c>
      <c r="PK17" s="43" t="str">
        <f t="shared" si="130"/>
        <v/>
      </c>
      <c r="PL17" s="43" t="str">
        <f t="shared" si="131"/>
        <v/>
      </c>
      <c r="PM17" s="43" t="str">
        <f t="shared" si="132"/>
        <v/>
      </c>
      <c r="PN17" s="43" t="str">
        <f t="shared" si="133"/>
        <v/>
      </c>
      <c r="PO17" s="43" t="str">
        <f t="shared" si="134"/>
        <v/>
      </c>
      <c r="PP17" s="43" t="str">
        <f t="shared" si="135"/>
        <v/>
      </c>
      <c r="PQ17" s="43" t="str">
        <f t="shared" si="136"/>
        <v/>
      </c>
      <c r="PR17" s="43" t="str">
        <f t="shared" si="137"/>
        <v/>
      </c>
      <c r="PS17" s="43" t="str">
        <f t="shared" si="138"/>
        <v/>
      </c>
      <c r="PT17" s="43" t="str">
        <f t="shared" si="139"/>
        <v/>
      </c>
      <c r="PU17" s="43" t="str">
        <f t="shared" si="140"/>
        <v/>
      </c>
      <c r="PV17" s="43" t="str">
        <f t="shared" si="141"/>
        <v/>
      </c>
      <c r="PW17" s="43" t="str">
        <f t="shared" si="142"/>
        <v/>
      </c>
      <c r="PX17" s="43" t="str">
        <f t="shared" si="143"/>
        <v/>
      </c>
      <c r="PY17" s="43" t="str">
        <f t="shared" si="144"/>
        <v/>
      </c>
      <c r="PZ17" s="43" t="str">
        <f t="shared" si="145"/>
        <v/>
      </c>
      <c r="QA17" s="43" t="str">
        <f t="shared" si="146"/>
        <v/>
      </c>
      <c r="QB17" s="43" t="str">
        <f t="shared" si="147"/>
        <v/>
      </c>
      <c r="QC17" s="43" t="str">
        <f t="shared" si="148"/>
        <v/>
      </c>
      <c r="QD17" s="43" t="str">
        <f t="shared" si="149"/>
        <v/>
      </c>
      <c r="QE17" s="43" t="str">
        <f t="shared" si="150"/>
        <v/>
      </c>
      <c r="QF17" s="43" t="str">
        <f t="shared" si="151"/>
        <v/>
      </c>
      <c r="QG17" s="43" t="str">
        <f t="shared" si="152"/>
        <v/>
      </c>
      <c r="QH17" s="43" t="str">
        <f t="shared" si="153"/>
        <v/>
      </c>
      <c r="QI17" s="43" t="str">
        <f t="shared" si="154"/>
        <v/>
      </c>
      <c r="QJ17" s="43" t="str">
        <f t="shared" si="155"/>
        <v/>
      </c>
      <c r="QK17" s="43" t="str">
        <f t="shared" si="156"/>
        <v/>
      </c>
      <c r="QL17" s="43" t="str">
        <f t="shared" si="157"/>
        <v/>
      </c>
      <c r="QM17" s="43" t="str">
        <f t="shared" si="158"/>
        <v/>
      </c>
      <c r="QN17" s="43" t="str">
        <f t="shared" si="159"/>
        <v/>
      </c>
      <c r="QO17" s="43" t="str">
        <f t="shared" si="160"/>
        <v/>
      </c>
      <c r="QP17" s="43" t="str">
        <f t="shared" si="161"/>
        <v/>
      </c>
      <c r="QQ17" s="43" t="str">
        <f t="shared" si="162"/>
        <v/>
      </c>
      <c r="QR17" s="43">
        <f t="shared" si="192"/>
        <v>32</v>
      </c>
      <c r="QS17" s="43"/>
      <c r="QT17" s="21" t="str">
        <f t="shared" si="163"/>
        <v/>
      </c>
      <c r="QU17" s="21" t="str">
        <f t="shared" si="164"/>
        <v/>
      </c>
      <c r="QV17" s="21" t="str">
        <f t="shared" si="165"/>
        <v/>
      </c>
      <c r="QW17" s="21" t="str">
        <f t="shared" si="166"/>
        <v/>
      </c>
      <c r="QX17" s="21" t="str">
        <f t="shared" si="167"/>
        <v/>
      </c>
      <c r="QY17" s="21" t="str">
        <f t="shared" si="168"/>
        <v/>
      </c>
      <c r="QZ17" s="21" t="str">
        <f t="shared" si="169"/>
        <v/>
      </c>
      <c r="RA17" s="21" t="str">
        <f t="shared" si="170"/>
        <v/>
      </c>
      <c r="RB17" s="21" t="str">
        <f t="shared" si="171"/>
        <v/>
      </c>
      <c r="RC17" s="21" t="str">
        <f t="shared" si="172"/>
        <v/>
      </c>
      <c r="RD17" s="21" t="str">
        <f t="shared" si="173"/>
        <v/>
      </c>
      <c r="RE17" s="21" t="str">
        <f t="shared" si="174"/>
        <v/>
      </c>
      <c r="RF17" s="21" t="str">
        <f t="shared" si="175"/>
        <v/>
      </c>
      <c r="RG17" s="21" t="str">
        <f t="shared" si="176"/>
        <v/>
      </c>
      <c r="RH17" s="21" t="str">
        <f t="shared" si="177"/>
        <v/>
      </c>
      <c r="RI17" s="21" t="str">
        <f t="shared" si="178"/>
        <v/>
      </c>
      <c r="RJ17" s="21" t="str">
        <f t="shared" si="179"/>
        <v/>
      </c>
      <c r="RK17" s="21" t="str">
        <f t="shared" si="180"/>
        <v/>
      </c>
      <c r="RL17" s="21" t="str">
        <f t="shared" si="181"/>
        <v/>
      </c>
      <c r="RM17" s="21" t="str">
        <f t="shared" si="182"/>
        <v/>
      </c>
      <c r="RN17" s="21" t="str">
        <f t="shared" si="183"/>
        <v/>
      </c>
      <c r="RO17" s="21" t="str">
        <f t="shared" si="184"/>
        <v/>
      </c>
      <c r="RP17" s="21" t="str">
        <f t="shared" si="185"/>
        <v/>
      </c>
      <c r="RQ17" s="21" t="str">
        <f t="shared" si="186"/>
        <v/>
      </c>
      <c r="RR17" s="21" t="str">
        <f t="shared" si="187"/>
        <v/>
      </c>
      <c r="RS17" s="21" t="str">
        <f t="shared" si="188"/>
        <v/>
      </c>
      <c r="RT17" s="21" t="str">
        <f t="shared" si="189"/>
        <v/>
      </c>
      <c r="RU17" s="21" t="str">
        <f t="shared" si="190"/>
        <v/>
      </c>
      <c r="RV17" s="21">
        <f t="shared" si="191"/>
        <v>21.428571428571427</v>
      </c>
      <c r="RW17" s="284">
        <f>IF(OR(Tabla1[[#This Row],[FUM FORMULA CONFIABLE]]="",Tabla1[[#This Row],[FUM FORMULA CONFIABLE]]="SD"),"",IF(Tabla1[[#This Row],[FUM FORMULA CONFIABLE]]="CORREGIDA",Tabla1[[#This Row],[FUM X ECO 1]],Tabla1[[#This Row],[FUM x AMENORREA]]))</f>
        <v>44673</v>
      </c>
      <c r="RX17" s="21">
        <f>IF(AND(Tabla1[[#This Row],[FUM X ECO 1]]="",Tabla1[[#This Row],[FUM x AMENORREA]]=""),"",IF(AND(Tabla1[[#This Row],[FUM X ECO 1]]="",Tabla1[[#This Row],[FUM x AMENORREA]]&lt;&gt;""),"X",SUM(Tabla1[[#This Row],[FUM X ECO 1]]-Tabla1[[#This Row],[FUM x AMENORREA]])))</f>
        <v>-285</v>
      </c>
      <c r="RY17" s="21">
        <f t="shared" si="193"/>
        <v>1</v>
      </c>
    </row>
    <row r="18" spans="1:493" ht="45" customHeight="1" x14ac:dyDescent="0.25">
      <c r="A18" s="109" t="s">
        <v>956</v>
      </c>
      <c r="B18" s="43" t="s">
        <v>942</v>
      </c>
      <c r="C18" s="43" t="s">
        <v>845</v>
      </c>
      <c r="D18" s="124" t="s">
        <v>846</v>
      </c>
      <c r="E18" s="43" t="s">
        <v>943</v>
      </c>
      <c r="F18" s="43" t="s">
        <v>944</v>
      </c>
      <c r="G18" s="43" t="s">
        <v>957</v>
      </c>
      <c r="H18" s="43" t="s">
        <v>958</v>
      </c>
      <c r="I18" s="109" t="s">
        <v>851</v>
      </c>
      <c r="J18" s="110">
        <v>1002848208</v>
      </c>
      <c r="K18" s="43" t="s">
        <v>852</v>
      </c>
      <c r="L18" s="175" t="s">
        <v>853</v>
      </c>
      <c r="M18" s="22">
        <v>37938</v>
      </c>
      <c r="N18" s="213">
        <f t="shared" ca="1" si="0"/>
        <v>19.986301369863014</v>
      </c>
      <c r="O18" s="22">
        <v>44820</v>
      </c>
      <c r="P18" s="214" t="str">
        <f t="shared" si="1"/>
        <v>SI</v>
      </c>
      <c r="Q18" s="26" t="s">
        <v>855</v>
      </c>
      <c r="R18" s="22">
        <v>44820</v>
      </c>
      <c r="S18" s="21" t="s">
        <v>856</v>
      </c>
      <c r="T18" s="24" t="s">
        <v>690</v>
      </c>
      <c r="U18" s="21" t="s">
        <v>857</v>
      </c>
      <c r="V18" s="21" t="s">
        <v>858</v>
      </c>
      <c r="W18" s="21" t="s">
        <v>859</v>
      </c>
      <c r="X18" s="21" t="s">
        <v>859</v>
      </c>
      <c r="Y18" s="21" t="s">
        <v>859</v>
      </c>
      <c r="Z18" s="21">
        <v>3122524375</v>
      </c>
      <c r="AA18" s="21" t="s">
        <v>860</v>
      </c>
      <c r="AB18" s="27" t="s">
        <v>861</v>
      </c>
      <c r="AC18" s="26" t="s">
        <v>888</v>
      </c>
      <c r="AD18" s="38" t="s">
        <v>846</v>
      </c>
      <c r="AE18" s="26" t="s">
        <v>854</v>
      </c>
      <c r="AF18" s="26" t="s">
        <v>854</v>
      </c>
      <c r="AG18" s="23" t="s">
        <v>864</v>
      </c>
      <c r="AH18" s="23" t="s">
        <v>864</v>
      </c>
      <c r="AI18" s="24" t="s">
        <v>863</v>
      </c>
      <c r="AJ18" s="23" t="s">
        <v>864</v>
      </c>
      <c r="AK18" s="220" t="str">
        <f>IF(AND(AD18="",AE18="",AF18="",AG18="",AH18="",AI18="",AJ18=""),"",IF(OR(Tabla1[[#This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EVALUACIÓN",IF(AND(O18="",R18=""),"",IF(AND(OR(O18&gt;0,R18&gt;0),NG18&gt;=0,NG18&lt;2),"SIN RIESGO",IF(AND(OR(O18&gt;0,R18&gt;0),NG18&gt;=2),"CON RIESGO","ASD")))))</f>
        <v>SIN RIESGO</v>
      </c>
      <c r="AL18" s="23" t="s">
        <v>864</v>
      </c>
      <c r="AM18" s="26" t="s">
        <v>864</v>
      </c>
      <c r="AN18" s="26" t="s">
        <v>864</v>
      </c>
      <c r="AO18" s="26" t="s">
        <v>864</v>
      </c>
      <c r="AP18" s="26" t="s">
        <v>864</v>
      </c>
      <c r="AQ18" s="26" t="s">
        <v>864</v>
      </c>
      <c r="AR18" s="26" t="s">
        <v>864</v>
      </c>
      <c r="AS18" s="21">
        <v>1</v>
      </c>
      <c r="AT18" s="21">
        <v>0</v>
      </c>
      <c r="AU18" s="21">
        <v>0</v>
      </c>
      <c r="AV18" s="26" t="s">
        <v>864</v>
      </c>
      <c r="AW18" s="21">
        <v>0</v>
      </c>
      <c r="AX18" s="26" t="s">
        <v>864</v>
      </c>
      <c r="AY18" s="26" t="s">
        <v>864</v>
      </c>
      <c r="AZ18" s="26" t="s">
        <v>864</v>
      </c>
      <c r="BA18" s="26" t="s">
        <v>864</v>
      </c>
      <c r="BB18" s="26" t="s">
        <v>864</v>
      </c>
      <c r="BC18" s="26" t="s">
        <v>864</v>
      </c>
      <c r="BD18" s="26" t="s">
        <v>864</v>
      </c>
      <c r="BE18" s="26" t="s">
        <v>864</v>
      </c>
      <c r="BF18" s="26" t="s">
        <v>864</v>
      </c>
      <c r="BG18" s="26" t="s">
        <v>864</v>
      </c>
      <c r="BH18" s="26"/>
      <c r="BI18" s="26" t="s">
        <v>864</v>
      </c>
      <c r="BJ18" s="26"/>
      <c r="BK18" s="26"/>
      <c r="BL18" s="26"/>
      <c r="BM18" s="26" t="s">
        <v>864</v>
      </c>
      <c r="BN18" s="22"/>
      <c r="BO18" s="22">
        <v>44770</v>
      </c>
      <c r="BP18" s="21" t="s">
        <v>854</v>
      </c>
      <c r="BQ18" s="222">
        <f t="shared" si="2"/>
        <v>0</v>
      </c>
      <c r="BR18" s="223">
        <f t="shared" si="3"/>
        <v>44770.3</v>
      </c>
      <c r="BS18" s="224">
        <f t="shared" si="4"/>
        <v>7.1428571428571432</v>
      </c>
      <c r="BT18" s="216" t="str">
        <f t="shared" si="5"/>
        <v>I TRIM</v>
      </c>
      <c r="BU18" s="214" t="str">
        <f t="shared" ca="1" si="6"/>
        <v/>
      </c>
      <c r="BV18" s="25"/>
      <c r="BW18" s="22">
        <v>44834</v>
      </c>
      <c r="BX18" s="28">
        <v>9.1</v>
      </c>
      <c r="BY18" s="28"/>
      <c r="BZ18" s="22"/>
      <c r="CA18" s="21"/>
      <c r="CB18" s="26"/>
      <c r="CC18" s="26"/>
      <c r="CD18" s="26"/>
      <c r="CE18" s="26"/>
      <c r="CF18" s="22" t="s">
        <v>1517</v>
      </c>
      <c r="CG18" s="21">
        <v>1.48</v>
      </c>
      <c r="CH18" s="21">
        <v>50</v>
      </c>
      <c r="CI18" s="214">
        <f t="shared" si="7"/>
        <v>22.826880934989045</v>
      </c>
      <c r="CJ18" s="225" t="str">
        <f>IF(AND(CI18&lt;10,CH18="SD"),"SIN DATO PESO PREGESTACION O I TRIM",IF(AND(OR(R18&gt;0,O18&gt;0),CI18="X"),"INGRESAR DATO DE PESO",IF(CI18="SD","INGRESAR DATO DE TALLA Y PESO",IF(AND(OR(Tabla1[[#This Row],[MOMENTO EN QUE SE REALIZA EL PESO AL INGRESO A CPN]]="PREGESTACIÓN",NZ18="Menor"),CI18&lt;18.5),"BAJO PESO",IF(AND(OR(Tabla1[[#This Row],[MOMENTO EN QUE SE REALIZA EL PESO AL INGRESO A CPN]]="PREGESTACIÓN",NZ18="Menor"),CI18&lt;25),"NORMAL",IF(AND(OR(Tabla1[[#This Row],[MOMENTO EN QUE SE REALIZA EL PESO AL INGRESO A CPN]]="PREGESTACIÓN",NZ18="Menor"),CI18&lt;30),"SOBREPESO",IF(AND(OR(Tabla1[[#This Row],[MOMENTO EN QUE SE REALIZA EL PESO AL INGRESO A CPN]]="PREGESTACIÓN",NZ18="Menor"),CI18&gt;=30,CI18&lt;50),"OBESIDAD",IF(AND(BS18&gt;0,Tabla1[[#This Row],[MOMENTO EN QUE SE REALIZA EL PESO AL INGRESO A CPN]]="GESTACIÓN"),HLOOKUP(NZ18,$OA$2:PH18,NY18),""))))))))</f>
        <v>NORMAL</v>
      </c>
      <c r="CK18" s="212">
        <f t="shared" si="8"/>
        <v>44820</v>
      </c>
      <c r="CL18" s="21"/>
      <c r="CM18" s="214">
        <f t="shared" si="9"/>
        <v>0</v>
      </c>
      <c r="CN18" s="216">
        <f t="shared" si="10"/>
        <v>7</v>
      </c>
      <c r="CO18" s="216" t="e">
        <f>IF(PI18="","",IF(PI18&gt;0,HLOOKUP(PI18,$PJ$2:QQ18,NY18),""))</f>
        <v>#REF!</v>
      </c>
      <c r="CP18" s="21"/>
      <c r="CQ18" s="216" t="str">
        <f>IF(QR18="Menor","NO APLICA-MENOR 13 SEM",IF(AND(CC18="SI",CN18&gt;23),"NO APLICA- GEMELAR",IF(QR18="","",IF(QR18&gt;0,HLOOKUP(QR18,$QS$2:RU18,NY18),""))))</f>
        <v>NO APLICA-MENOR 13 SEM</v>
      </c>
      <c r="CR18" s="21">
        <v>120</v>
      </c>
      <c r="CS18" s="21">
        <v>60</v>
      </c>
      <c r="CT18" s="217" t="str">
        <f>IF(R18="","",IF(AND(BS18&gt;1,BS18&lt;12,Tabla1[[#This Row],[T.A. SISTOLICA - ANTES DE SEMANA 12]]="",Tabla1[[#This Row],[T.A. DIASTOLICA - ANTES DE SEMANA 12]]=""),"REGISTRE DATO TA ANTES SEMANA 12",IF(AND(BS18&gt;11,BS18&lt;43,Tabla1[[#This Row],[T.A. SISTOLICA - ANTES DE SEMANA 12]]="",Tabla1[[#This Row],[T.A. DIASTOLICA - ANTES DE SEMANA 12]]=""),"NO APLICA REGISTRO TA-INGRESO TARDIO",IF(AND(OR(O18&gt;0,R18&gt;0),OR(CR18&gt;=140,CS18&gt;=90)),"DEFINIR ESTADIO HTA",IF(AND(OR(O18&gt;0,R18&gt;0),AND(CR18&gt;120,CR18&lt;=139)),"PRE HTA SEGUIMIENTO",IF(AND(OR(O18&gt;0,R18&gt;0),AND(CS18&gt;80,CS18&lt;=89)),"PRE HTA SEGUIMIENTO",IF(AND(OR(O18&gt;0,R18&gt;0),AND(CR18&gt;=80,CR18&lt;=120)),"APARENTEMENTE NORMAL",IF(AND(OR(O18&gt;0,R18&gt;0),AND(CS18&gt;=50,CS18&lt;=80)),"APARENTEMENTE NORMAL",IF(AND(OR(O18&gt;0,R18&gt;0),AND(CR18&gt;1,CR18&lt;=70),AND(CS18&gt;1,CS18&lt;=40)),"HIPOTENSIÓN","")))))))))</f>
        <v>APARENTEMENTE NORMAL</v>
      </c>
      <c r="CU18" s="21"/>
      <c r="CV18" s="21"/>
      <c r="CW18" s="217" t="str">
        <f ca="1">IF(R18="","",IF(AND(CN18&gt;19,CN18&lt;27,Tabla1[[#This Row],[T.A. SISTOLICA (Entre semana 20 y 26)]]="",Tabla1[[#This Row],[T.A. DIATOLICA (Entre semana 20 y 26)]]=""),"ACUDE A CONTROL SEM 20 A 26 REGISTRE TA AHORA",IF(AND(BS18&gt;1,BS18&lt;27,BU18&gt;19,Tabla1[[#This Row],[T.A. SISTOLICA (Entre semana 20 y 26)]]="",Tabla1[[#This Row],[T.A. DIATOLICA (Entre semana 20 y 26)]]=""),"COMPLETE REGISTRO TA CONTROL SEM 20 A26 ",IF(AND(BS18&gt;26,BS18&lt;43,Tabla1[[#This Row],[T.A. SISTOLICA (Entre semana 20 y 26)]]="",Tabla1[[#This Row],[T.A. DIATOLICA (Entre semana 20 y 26)]]=""),"NO APLICA REGISTRO TA-INGRESO TARDIO",IF(AND(OR(O18&gt;0,R18&gt;0),OR(CU18&gt;=140,CV18&gt;=90)),"ALTO RIESGO PREECLAMPSIA,DEFINIR ESTADIO HTA",IF(AND(OR(O18&gt;0,R18&gt;0),AND(CU18&gt;120,CU18&lt;=139)),"PRE HTA SEGUIMIENTO,RIESGO HIPERTENSION INDUCIDA POR EL EMBARAZO",IF(AND(OR(O18&gt;0,R18&gt;0),AND(CV18&gt;80,CV18&lt;=89)),"PRE HTA SEGUIMIENTO, RIESGO HIPERTENSION INDUCIDA POR EL EMBARAZO",IF(AND(OR(O18&lt;&gt;"",R18&lt;&gt;""),CS18&lt;&gt;"",CV18&lt;&gt;"",CS18&lt;=CV18),"VIGILAR CIFRAS PRESION ARTERIAL",IF(AND(OR(O18&gt;0,R18&gt;0),AND(CU18&gt;120,CU18&lt;=139)),"PRE HTA SEGUIMIENTO",IF(AND(OR(O18&gt;0,R18&gt;0),AND(CU18&gt;1,CU18&lt;=70),AND(CV18&gt;1,CV18&lt;=40)),"HIPOTENSIÓN",IF(AND(OR(O18&lt;&gt;"",R18&lt;&gt;""),CS18&lt;&gt;"",CV18&lt;&gt;"",CS18&gt;CV18),"APARENTEMENTE NORMAL",IF(AND(OR(O18&gt;0,R18&gt;0),AND(CU18&gt;=80,CU18&lt;=120)),"APARENTEMENTE NORMAL",IF(AND(OR(O18&gt;0,R18&gt;0),AND(CV18&gt;=50,CV18&lt;=80)),"APARENTEMENTE NORMAL","")))))))))))))</f>
        <v xml:space="preserve">COMPLETE REGISTRO TA CONTROL SEM 20 A26 </v>
      </c>
      <c r="CX18" s="21"/>
      <c r="CY18" s="21"/>
      <c r="CZ18" s="216" t="str">
        <f t="shared" si="11"/>
        <v/>
      </c>
      <c r="DA18" s="21"/>
      <c r="DB18" s="21"/>
      <c r="DC18" s="217" t="str">
        <f t="shared" si="12"/>
        <v>REGISTRE DATO PRESIÓN ARTERIAL MENSUAL</v>
      </c>
      <c r="DD18" s="22">
        <v>44820</v>
      </c>
      <c r="DE18" s="22">
        <v>44820</v>
      </c>
      <c r="DF18" s="22"/>
      <c r="DG18" s="22"/>
      <c r="DH18" s="22"/>
      <c r="DI18" s="22"/>
      <c r="DJ18" s="22"/>
      <c r="DK18" s="22"/>
      <c r="DL18" s="22"/>
      <c r="DM18" s="22"/>
      <c r="DN18" s="22"/>
      <c r="DO18" s="22"/>
      <c r="DP18" s="22"/>
      <c r="DQ18" s="22"/>
      <c r="DR18" s="28"/>
      <c r="DS18" s="22"/>
      <c r="DT18" s="22"/>
      <c r="DU18" s="216" t="str">
        <f t="shared" ca="1" si="13"/>
        <v>SALE SIN PLAN DE PARTO</v>
      </c>
      <c r="DV18" s="226" t="str">
        <f t="shared" si="14"/>
        <v>SALIO PROGRAMA</v>
      </c>
      <c r="DW1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 s="216" t="str">
        <f t="shared" ca="1" si="15"/>
        <v>DILIGENCIAR FECHA SALIDA PROGRAMA</v>
      </c>
      <c r="DY18" s="212">
        <f>IF(R18="","",IF(R18&gt;0,MAX(Tabla1[[#This Row],[FECHA C2]:[FECHA C13]],Tabla1[[#This Row],[FECHA CONSULTA PRIMERA VEZ PROGRAMA CPN ]])))</f>
        <v>44820</v>
      </c>
      <c r="DZ18" s="216">
        <f t="shared" si="16"/>
        <v>7</v>
      </c>
      <c r="EA18" s="222">
        <f>IF(R18&gt;0,SUM(COUNTA(DF18:DQ18)+COUNTA(Tabla1[[#This Row],[FECHA CONSULTA PRIMERA VEZ PROGRAMA CPN ]])),"")</f>
        <v>1</v>
      </c>
      <c r="EB18" s="222" t="str">
        <f t="shared" si="17"/>
        <v>NO</v>
      </c>
      <c r="EC18" s="214">
        <f t="shared" si="18"/>
        <v>10</v>
      </c>
      <c r="ED18" s="227">
        <f t="shared" si="19"/>
        <v>0.1</v>
      </c>
      <c r="EE18" s="22">
        <v>44820</v>
      </c>
      <c r="EF18" s="22"/>
      <c r="EG18" s="22">
        <v>44820</v>
      </c>
      <c r="EH18" s="22"/>
      <c r="EI18" s="22">
        <v>44820</v>
      </c>
      <c r="EJ18" s="22"/>
      <c r="EK18" s="22"/>
      <c r="EL18" s="21"/>
      <c r="EM18" s="21">
        <v>15.6</v>
      </c>
      <c r="EN18" s="22">
        <v>44820</v>
      </c>
      <c r="EO18" s="222">
        <f t="shared" si="20"/>
        <v>7.1428571428571432</v>
      </c>
      <c r="EP18" s="214" t="str">
        <f t="shared" si="21"/>
        <v>NO DAR SULFATO FERROSO</v>
      </c>
      <c r="EQ18" s="216" t="str">
        <f t="shared" si="22"/>
        <v>I TRIM</v>
      </c>
      <c r="ER18" s="24"/>
      <c r="ES18" s="22"/>
      <c r="ET18" s="29" t="str">
        <f t="shared" ca="1" si="23"/>
        <v>TOMA DE HEMOGLOBINA TARDÍA</v>
      </c>
      <c r="EU18" s="25" t="str">
        <f t="shared" si="24"/>
        <v/>
      </c>
      <c r="EV18" s="24" t="s">
        <v>866</v>
      </c>
      <c r="EW18" s="24">
        <v>44820</v>
      </c>
      <c r="EX18" s="22"/>
      <c r="EY18" s="29">
        <f t="shared" si="25"/>
        <v>7.1428571428571432</v>
      </c>
      <c r="EZ18" s="25" t="str">
        <f t="shared" ca="1" si="26"/>
        <v/>
      </c>
      <c r="FA18" s="21">
        <v>85</v>
      </c>
      <c r="FB18" s="22">
        <v>44820</v>
      </c>
      <c r="FC18" s="29">
        <f t="shared" si="27"/>
        <v>7.1428571428571432</v>
      </c>
      <c r="FD18" s="29"/>
      <c r="FE18" s="29"/>
      <c r="FF18" s="29"/>
      <c r="FG18" s="21" t="str">
        <f t="shared" ca="1" si="28"/>
        <v/>
      </c>
      <c r="FH18" s="31"/>
      <c r="FI18" s="29" t="str">
        <f t="shared" si="29"/>
        <v>TOMAR EXAMEN</v>
      </c>
      <c r="FJ18" s="22" t="s">
        <v>867</v>
      </c>
      <c r="FK18" s="22">
        <v>44820</v>
      </c>
      <c r="FL18" s="29">
        <f t="shared" ca="1" si="30"/>
        <v>7.1428571428571432</v>
      </c>
      <c r="FM18" s="22"/>
      <c r="FN18" s="32"/>
      <c r="FO18" s="29" t="str">
        <f t="shared" ca="1" si="31"/>
        <v>PIERDE TOMA DE TAMIZAJE</v>
      </c>
      <c r="FP18" s="22"/>
      <c r="FQ18" s="32"/>
      <c r="FR18" s="29" t="str">
        <f t="shared" ca="1" si="32"/>
        <v/>
      </c>
      <c r="FS18" s="22"/>
      <c r="FT18" s="32"/>
      <c r="FU18" s="29" t="str">
        <f>IF(AND(FJ18="",FM18="",FP18="",FS18=""),"",IF(OR(OR(Tabla1[[#This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 s="28"/>
      <c r="FW18" s="22"/>
      <c r="FX18" s="29" t="str">
        <f t="shared" si="33"/>
        <v>TOMAR EXAMEN</v>
      </c>
      <c r="FY18" s="22">
        <v>44820</v>
      </c>
      <c r="FZ18" s="22">
        <v>44820</v>
      </c>
      <c r="GA18" s="29">
        <f t="shared" ca="1" si="34"/>
        <v>7.1428571428571432</v>
      </c>
      <c r="GB18" s="22"/>
      <c r="GC18" s="22"/>
      <c r="GD18" s="29" t="str">
        <f t="shared" ca="1" si="35"/>
        <v>PIERDE TOMA DE TAMIZAJE</v>
      </c>
      <c r="GE18" s="22"/>
      <c r="GF18" s="22"/>
      <c r="GG18" s="29" t="str">
        <f t="shared" ca="1" si="36"/>
        <v>PIERDE TOMA DE TAMIZAJE</v>
      </c>
      <c r="GH18" s="22"/>
      <c r="GI18" s="29"/>
      <c r="GJ18" s="22"/>
      <c r="GK18" s="22"/>
      <c r="GL18" s="22" t="s">
        <v>879</v>
      </c>
      <c r="GM18" s="22"/>
      <c r="GN18" s="28" t="s">
        <v>869</v>
      </c>
      <c r="GO18" s="22">
        <v>44820</v>
      </c>
      <c r="GP18" s="29">
        <f t="shared" si="37"/>
        <v>7.1428571428571432</v>
      </c>
      <c r="GQ18" s="28" t="s">
        <v>869</v>
      </c>
      <c r="GR18" s="28" t="s">
        <v>869</v>
      </c>
      <c r="GS18" s="22" t="str">
        <f t="shared" si="38"/>
        <v>CONTROL Igm</v>
      </c>
      <c r="GT18" s="22">
        <v>44820</v>
      </c>
      <c r="GU18" s="29">
        <f t="shared" si="39"/>
        <v>7.1428571428571432</v>
      </c>
      <c r="GV18" s="21" t="str">
        <f t="shared" si="40"/>
        <v>I TRIM</v>
      </c>
      <c r="GW18" s="28" t="s">
        <v>869</v>
      </c>
      <c r="GX18" s="30"/>
      <c r="GY18" s="21"/>
      <c r="GZ18" s="21"/>
      <c r="HA18" s="21"/>
      <c r="HB18" s="21"/>
      <c r="HC18" s="21"/>
      <c r="HD18" s="21"/>
      <c r="HE18" s="21"/>
      <c r="HF18" s="22"/>
      <c r="HG18" s="22" t="str">
        <f>IF(OR(O18&gt;0,R18&gt;0),CONCATENATE(IF(Tabla1[[#This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 s="22" t="e">
        <f t="shared" si="41"/>
        <v>#REF!</v>
      </c>
      <c r="HI18" s="22" t="e">
        <f t="shared" ca="1" si="42"/>
        <v>#REF!</v>
      </c>
      <c r="HJ18" s="21"/>
      <c r="HK18" s="21" t="str">
        <f t="shared" si="44"/>
        <v>SIN ANTECEDENTES DE RIESGO</v>
      </c>
      <c r="HL18" s="24" t="str">
        <f t="shared" si="45"/>
        <v>REGISTRE DATO PRESIÓN ARTERIAL MENSUAL</v>
      </c>
      <c r="HM18" s="21" t="str">
        <f t="shared" ca="1" si="46"/>
        <v>DILIGENCIAR FECHA SALIDA PROGRAMA</v>
      </c>
      <c r="HN18" s="30" t="str">
        <f t="shared" si="47"/>
        <v>SALIO PROGRAMA</v>
      </c>
      <c r="HO18" s="21"/>
      <c r="HP18" s="21"/>
      <c r="HQ18" s="21"/>
      <c r="HR18" s="21" t="str">
        <f>IF(R18="","",IF(Tabla1[[#This Row],[ALARMA FACTORES DE RIESGO COMPLICACIONES HIPERTENSIVAS3]]="SIN ANTECEDENTES DE RIESGO","No Aplica para suministro de ASA",IF(AND(Tabla1[[#This Row],[FECHA INICIO DE SUMINISTRO DE ASA]]&gt;0,RV18&lt;12),"Inicia ASA ANTES de Sem 12",IF(AND(RV18&gt;11,RV18&lt;17,OR(HK18="RIESGO ALTO DE COMPLICACIONES HIPERTENSIVAS VER MANEJO GUIA SUMINISTRO ASA Y CALCIO",HK18="RIESGO MODERADO (2 O MAS CRITERIOS) VER MANEJO GUIA SUMINISTRO ASA Y CALCIO")),"Inicio oportuno de ASA",IF(AND(RV18&gt;12,OR(HK18="RIESGO ALTO DE COMPLICACIONES HIPERTENSIVAS VER MANEJO GUIA SUMINISTRO ASA Y CALCIO",HK18="RIESGO MODERADO (2 O MAS CRITERIOS) VER MANEJO GUIA SUMINISTRO ASA Y CALCIO")),"Inicio no oportuno mayor a 16 semanas",IF(AND(BU18&lt;12,OR(HK18="RIESGO ALTO DE COMPLICACIONES HIPERTENSIVAS VER MANEJO GUIA SUMINISTRO ASA Y CALCIO",HK18="RIESGO MODERADO (2 O MAS CRITERIOS) VER MANEJO GUIA SUMINISTRO ASA Y CALCIO")),"Pendiente Inicio de ASA a la semana 12",IF(AND(BU18&gt;11,BU18&lt;17,OR(HK18="RIESGO ALTO DE COMPLICACIONES HIPERTENSIVAS VER MANEJO GUIA SUMINISTRO ASA Y CALCIO",HK18="RIESGO MODERADO (2 O MAS CRITERIOS) VER MANEJO GUIA SUMINISTRO ASA Y CALCIO")),"Iniciar de inmediato ASA",IF(AND(BU18&gt;16,OR(HK18="RIESGO ALTO DE COMPLICACIONES HIPERTENSIVAS VER MANEJO GUIA SUMINISTRO ASA Y CALCIO",HK18="RIESGO MODERADO (2 O MAS CRITERIOS) VER MANEJO GUIA SUMINISTRO ASA Y CALCIO")),"Pierde Oportunidad, Inicio tardío de ASA","XXXXX"))))))))</f>
        <v>No Aplica para suministro de ASA</v>
      </c>
      <c r="HS18" s="22"/>
      <c r="HT18" s="22"/>
      <c r="HU18" s="22">
        <v>44820</v>
      </c>
      <c r="HV18" s="22" t="s">
        <v>870</v>
      </c>
      <c r="HW18" s="22">
        <v>44820</v>
      </c>
      <c r="HX18" s="22" t="s">
        <v>870</v>
      </c>
      <c r="HY18" s="22">
        <v>44820</v>
      </c>
      <c r="HZ18" s="28">
        <f t="shared" si="48"/>
        <v>7.1428571428571432</v>
      </c>
      <c r="IA18" s="26"/>
      <c r="IB18" s="26"/>
      <c r="IC18" s="111"/>
      <c r="ID18" s="22"/>
      <c r="IE18" s="22" t="str">
        <f t="shared" ca="1" si="49"/>
        <v/>
      </c>
      <c r="IF18" s="22"/>
      <c r="IG18" s="22">
        <f t="shared" si="50"/>
        <v>45050</v>
      </c>
      <c r="IH18" s="29">
        <f t="shared" ca="1" si="51"/>
        <v>-183</v>
      </c>
      <c r="II18" s="22" t="str">
        <f t="shared" ca="1" si="52"/>
        <v>POSIBLEMENTE NACIO</v>
      </c>
      <c r="IJ18" s="22">
        <v>44834</v>
      </c>
      <c r="IK18" s="21" t="s">
        <v>959</v>
      </c>
      <c r="IL18" s="21"/>
      <c r="IM18" s="34"/>
      <c r="IN18" s="349"/>
      <c r="IO18" s="21"/>
      <c r="IP18" s="29" t="str">
        <f t="shared" si="53"/>
        <v/>
      </c>
      <c r="IQ18" s="35"/>
      <c r="IR18" s="21"/>
      <c r="IS18" s="21"/>
      <c r="IT18" s="21"/>
      <c r="IU18" s="21"/>
      <c r="IV18" s="21"/>
      <c r="IW18" s="21"/>
      <c r="IX18" s="21"/>
      <c r="IY18" s="21"/>
      <c r="IZ18" s="21"/>
      <c r="JA18" s="21"/>
      <c r="JB18" s="30"/>
      <c r="JC18" s="21"/>
      <c r="JD18" s="36"/>
      <c r="JE18" s="21" t="str">
        <f t="shared" si="54"/>
        <v/>
      </c>
      <c r="JF18" s="30"/>
      <c r="JG18" s="21"/>
      <c r="JH18" s="21"/>
      <c r="JI18" s="21"/>
      <c r="JJ18" s="30"/>
      <c r="JK18" s="22"/>
      <c r="JL18" s="22"/>
      <c r="JM18" s="21"/>
      <c r="JN18" s="36"/>
      <c r="JO18" s="21" t="str">
        <f t="shared" si="55"/>
        <v/>
      </c>
      <c r="JP18" s="22"/>
      <c r="JQ18" s="21"/>
      <c r="JR18" s="21"/>
      <c r="JS18" s="21"/>
      <c r="JT18" s="30"/>
      <c r="JU18" s="22"/>
      <c r="JV18" s="22"/>
      <c r="JW18" s="33"/>
      <c r="JX18" s="28" t="str">
        <f t="shared" si="56"/>
        <v/>
      </c>
      <c r="JY18" s="33"/>
      <c r="JZ18" s="28" t="str">
        <f t="shared" si="57"/>
        <v/>
      </c>
      <c r="KA18" s="21"/>
      <c r="KB18" s="21"/>
      <c r="KC18" s="21"/>
      <c r="KD18" s="37"/>
      <c r="KE18" s="28"/>
      <c r="KF18" s="28"/>
      <c r="KG18" s="28"/>
      <c r="KH18" s="39"/>
      <c r="KI18" s="39"/>
      <c r="KJ18" s="66"/>
      <c r="KK18" s="39"/>
      <c r="KL18" s="39"/>
      <c r="KM18" s="66"/>
      <c r="KN18" s="39"/>
      <c r="KO18" s="39"/>
      <c r="KP18" s="39"/>
      <c r="KQ18" s="39"/>
      <c r="KR18" s="39"/>
      <c r="KS18" s="39"/>
      <c r="KT18" s="39"/>
      <c r="KU18" s="38"/>
      <c r="KV18" s="38"/>
      <c r="KW18" s="38"/>
      <c r="KX18" s="38"/>
      <c r="KY18" s="38"/>
      <c r="KZ18" s="38"/>
      <c r="LA18" s="38"/>
      <c r="LB18" s="38"/>
      <c r="LC18" s="38"/>
      <c r="LD18" s="38"/>
      <c r="LE18" s="38"/>
      <c r="LF18" s="38"/>
      <c r="LG18" s="38"/>
      <c r="LH18" s="38"/>
      <c r="LI18" s="38"/>
      <c r="LJ18" s="38"/>
      <c r="LK18" s="38"/>
      <c r="LL18" s="38"/>
      <c r="LM18" s="38"/>
      <c r="LN18" s="38"/>
      <c r="LO18" s="38"/>
      <c r="LP18" s="38"/>
      <c r="LQ18" s="38"/>
      <c r="LR18" s="38"/>
      <c r="LS18" s="38"/>
      <c r="LT18" s="38"/>
      <c r="LU18" s="38"/>
      <c r="LV18" s="38"/>
      <c r="LW18" s="38"/>
      <c r="LX18" s="38"/>
      <c r="LY18" s="38"/>
      <c r="LZ18" s="38"/>
      <c r="MA18" s="38"/>
      <c r="MB18" s="38"/>
      <c r="MC18" s="38"/>
      <c r="MD18" s="38"/>
      <c r="ME18" s="38"/>
      <c r="MF18" s="38"/>
      <c r="MG18" s="38"/>
      <c r="MH18" s="43">
        <f t="shared" si="58"/>
        <v>0</v>
      </c>
      <c r="MI18" s="43" t="str">
        <f t="shared" si="59"/>
        <v/>
      </c>
      <c r="MJ18" s="43" t="str">
        <f t="shared" si="60"/>
        <v/>
      </c>
      <c r="MK18" s="43">
        <f t="shared" si="61"/>
        <v>0</v>
      </c>
      <c r="ML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 s="43">
        <f t="shared" si="62"/>
        <v>7.1428571428571432</v>
      </c>
      <c r="MN18" s="43">
        <f t="shared" si="63"/>
        <v>9</v>
      </c>
      <c r="MO18" s="43">
        <f t="shared" si="64"/>
        <v>2022</v>
      </c>
      <c r="MP18" s="43" t="str">
        <f t="shared" si="65"/>
        <v>III TRIMESTRE AÑO</v>
      </c>
      <c r="MQ18" s="43">
        <f t="shared" si="66"/>
        <v>18.569316688567671</v>
      </c>
      <c r="MR18" s="43">
        <f t="shared" si="67"/>
        <v>0</v>
      </c>
      <c r="MS18" s="43" t="str">
        <f t="shared" si="68"/>
        <v>DE 14 A 19AÑOS</v>
      </c>
      <c r="MT18" s="43">
        <f t="shared" si="69"/>
        <v>0</v>
      </c>
      <c r="MU18" s="43">
        <f t="shared" si="70"/>
        <v>1</v>
      </c>
      <c r="MV18" s="43">
        <f t="shared" si="71"/>
        <v>0</v>
      </c>
      <c r="MW18" s="43">
        <f t="shared" si="72"/>
        <v>0</v>
      </c>
      <c r="MX18" s="43" t="str">
        <f t="shared" si="73"/>
        <v/>
      </c>
      <c r="MY18" s="43" t="str">
        <f t="shared" ca="1" si="74"/>
        <v/>
      </c>
      <c r="MZ18" s="43" t="str">
        <f t="shared" si="75"/>
        <v/>
      </c>
      <c r="NA18" s="43" t="str">
        <f t="shared" si="76"/>
        <v/>
      </c>
      <c r="NB18" s="43" t="str">
        <f t="shared" si="77"/>
        <v/>
      </c>
      <c r="NC18" s="43" t="str">
        <f t="shared" si="78"/>
        <v/>
      </c>
      <c r="ND18" s="43">
        <f t="shared" ca="1" si="79"/>
        <v>1</v>
      </c>
      <c r="NE18" s="43">
        <f>IF(OR(O18&gt;0,R18&gt;0),SUM(COUNTIF(Tabla1[[#This Row],[AÑOS AL INICIO5 CPN]],"&gt;=40"),COUNTIF(AS18,"0"),COUNTIF(AR18,"SI"),COUNTIF(CC18,"SI"),COUNTIF(BQ18,"&gt;119"),COUNTIF(CI18,"&gt;=35")),"")</f>
        <v>0</v>
      </c>
      <c r="NF18" s="43" t="str">
        <f t="shared" si="80"/>
        <v/>
      </c>
      <c r="NG18" s="43">
        <f t="shared" si="81"/>
        <v>0</v>
      </c>
      <c r="NH18" s="43">
        <f t="shared" si="82"/>
        <v>63.699999999999996</v>
      </c>
      <c r="NI1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CPN",P18="NO"),"Z",IF(AND(Tabla1[[#This Row],[CITA PROXIMO CONTROL]]="CITA MANUAL",Tabla1[[#This Row],[GESTANTES ACTUALES]]="ACTIVA INGRESO A CPN"),"W",IF(AND(Tabla1[[#This Row],[GESTANTES ACTUALES]]="SALIO PROGRAMA",IN18=""),"S",IF(AND(Tabla1[[#This Row],[CITA PROXIMO CONTROL]]&gt;0,IN18=""),(Tabla1[[#This Row],[CITA PROXIMO CONTROL]]-TODAY()),"SD"))))))))</f>
        <v>S</v>
      </c>
      <c r="NJ18" s="43">
        <f>MONTH(Tabla1[[#This Row],[FECHA DE SALIDA  DEL PROGRAMA]])</f>
        <v>1</v>
      </c>
      <c r="NK18" s="43">
        <f>YEAR(Tabla1[[#This Row],[FECHA DE SALIDA  DEL PROGRAMA]])</f>
        <v>1900</v>
      </c>
      <c r="NL18" s="43" t="str">
        <f t="shared" si="83"/>
        <v>X</v>
      </c>
      <c r="NM18" s="43" t="str">
        <f t="shared" si="84"/>
        <v>NO</v>
      </c>
      <c r="NN18" s="43" t="str">
        <f ca="1">IF(AND(O18&gt;0,R18=""),"NO CPN",IF(AND(O18="",R18=""),"",IF(AND(R18&gt;0,Tabla1[[#This Row],[SEMANAS DE GESTACION ACTUALIZADAS]]&lt;=12),"NO APLICA",IF(AND(FH18&lt;&gt;"",FN18&lt;&gt;""),"SI","NO"))))</f>
        <v>NO</v>
      </c>
      <c r="NO18" s="43" t="str">
        <f ca="1">IF(AND(O18&gt;0,R18=""),"NO CPN",IF(AND(O18="",R18=""),"",IF(AND(R18&gt;0,Tabla1[[#This Row],[SEMANAS DE GESTACION ACTUALIZADAS]]&lt;=27),"NO APLICA",IF(AND(ES18&lt;&gt;"",FQ18&lt;&gt;"",GF18&lt;&gt;""),"SI","NO"))))</f>
        <v>NO</v>
      </c>
      <c r="NP18" s="204" t="str">
        <f t="shared" si="85"/>
        <v>I TRIM</v>
      </c>
      <c r="NQ18" s="21">
        <f t="shared" si="86"/>
        <v>1</v>
      </c>
      <c r="NR18" s="21" t="str">
        <f t="shared" ca="1" si="87"/>
        <v>REVISAR FUM O FECHA SALIDA PROGRAMA</v>
      </c>
      <c r="NS18" s="205">
        <f t="shared" ca="1" si="88"/>
        <v>1</v>
      </c>
      <c r="NT18" s="21">
        <f t="shared" ca="1" si="89"/>
        <v>1</v>
      </c>
      <c r="NU18" s="21" t="str">
        <f t="shared" ca="1" si="90"/>
        <v>POR DEFINIR</v>
      </c>
      <c r="NV18" s="21" t="str">
        <f t="shared" ca="1" si="91"/>
        <v>POR DEFINIR</v>
      </c>
      <c r="NW18" s="206" t="str">
        <f>IF(AND(O18="",R18=""),"",IF(OR(AND(Tabla1[[#This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 s="207" t="str">
        <f t="shared" ca="1" si="92"/>
        <v>SIN VACUNAR</v>
      </c>
      <c r="NY18" s="43">
        <f>ROW(Tabla1[[#This Row],['# DE TAMIZAJES SIFILIS TOMADOS ]])</f>
        <v>18</v>
      </c>
      <c r="NZ18" s="43" t="str">
        <f t="shared" si="93"/>
        <v>Menor</v>
      </c>
      <c r="OA18" s="43" t="str">
        <f t="shared" si="94"/>
        <v>NORMAL</v>
      </c>
      <c r="OB18" s="43" t="str">
        <f t="shared" si="95"/>
        <v/>
      </c>
      <c r="OC18" s="43" t="str">
        <f t="shared" si="96"/>
        <v/>
      </c>
      <c r="OD18" s="43" t="str">
        <f t="shared" si="97"/>
        <v/>
      </c>
      <c r="OE18" s="43" t="str">
        <f t="shared" si="98"/>
        <v/>
      </c>
      <c r="OF18" s="43" t="str">
        <f t="shared" si="99"/>
        <v/>
      </c>
      <c r="OG18" s="43" t="str">
        <f t="shared" si="100"/>
        <v/>
      </c>
      <c r="OH18" s="43" t="str">
        <f t="shared" si="101"/>
        <v/>
      </c>
      <c r="OI18" s="43" t="str">
        <f t="shared" si="102"/>
        <v/>
      </c>
      <c r="OJ18" s="43" t="str">
        <f t="shared" si="103"/>
        <v/>
      </c>
      <c r="OK18" s="43" t="str">
        <f t="shared" si="104"/>
        <v/>
      </c>
      <c r="OL18" s="43" t="str">
        <f t="shared" si="105"/>
        <v/>
      </c>
      <c r="OM18" s="43" t="str">
        <f t="shared" si="106"/>
        <v/>
      </c>
      <c r="ON18" s="43" t="str">
        <f t="shared" si="107"/>
        <v/>
      </c>
      <c r="OO18" s="43" t="str">
        <f t="shared" si="108"/>
        <v/>
      </c>
      <c r="OP18" s="43" t="str">
        <f t="shared" si="109"/>
        <v/>
      </c>
      <c r="OQ18" s="43" t="str">
        <f t="shared" si="110"/>
        <v/>
      </c>
      <c r="OR18" s="43" t="str">
        <f t="shared" si="111"/>
        <v/>
      </c>
      <c r="OS18" s="43" t="str">
        <f t="shared" si="112"/>
        <v/>
      </c>
      <c r="OT18" s="43" t="str">
        <f t="shared" si="113"/>
        <v/>
      </c>
      <c r="OU18" s="43" t="str">
        <f t="shared" si="114"/>
        <v/>
      </c>
      <c r="OV18" s="110" t="str">
        <f t="shared" si="115"/>
        <v/>
      </c>
      <c r="OW18" s="43" t="str">
        <f t="shared" si="116"/>
        <v/>
      </c>
      <c r="OX18" s="43" t="str">
        <f t="shared" si="117"/>
        <v/>
      </c>
      <c r="OY18" s="43" t="str">
        <f t="shared" si="118"/>
        <v/>
      </c>
      <c r="OZ18" s="43" t="str">
        <f t="shared" si="119"/>
        <v/>
      </c>
      <c r="PA18" s="43" t="str">
        <f t="shared" si="120"/>
        <v/>
      </c>
      <c r="PB18" s="43" t="str">
        <f t="shared" si="121"/>
        <v/>
      </c>
      <c r="PC18" s="43" t="str">
        <f t="shared" si="122"/>
        <v/>
      </c>
      <c r="PD18" s="43" t="str">
        <f t="shared" si="123"/>
        <v/>
      </c>
      <c r="PE18" s="43" t="str">
        <f t="shared" si="124"/>
        <v/>
      </c>
      <c r="PF18" s="43" t="str">
        <f t="shared" si="125"/>
        <v/>
      </c>
      <c r="PG18" s="43" t="str">
        <f t="shared" si="126"/>
        <v/>
      </c>
      <c r="PH18" s="43" t="str">
        <f t="shared" si="127"/>
        <v/>
      </c>
      <c r="PI18" s="43" t="str">
        <f t="shared" si="128"/>
        <v>Menor</v>
      </c>
      <c r="PJ18" s="43" t="str">
        <f t="shared" si="129"/>
        <v/>
      </c>
      <c r="PK18" s="43" t="str">
        <f t="shared" si="130"/>
        <v/>
      </c>
      <c r="PL18" s="43" t="str">
        <f t="shared" si="131"/>
        <v/>
      </c>
      <c r="PM18" s="43" t="str">
        <f t="shared" si="132"/>
        <v/>
      </c>
      <c r="PN18" s="43" t="str">
        <f t="shared" si="133"/>
        <v/>
      </c>
      <c r="PO18" s="43" t="str">
        <f t="shared" si="134"/>
        <v/>
      </c>
      <c r="PP18" s="43" t="str">
        <f t="shared" si="135"/>
        <v/>
      </c>
      <c r="PQ18" s="43" t="str">
        <f t="shared" si="136"/>
        <v/>
      </c>
      <c r="PR18" s="43" t="str">
        <f t="shared" si="137"/>
        <v/>
      </c>
      <c r="PS18" s="43" t="str">
        <f t="shared" si="138"/>
        <v/>
      </c>
      <c r="PT18" s="43" t="str">
        <f t="shared" si="139"/>
        <v/>
      </c>
      <c r="PU18" s="43" t="str">
        <f t="shared" si="140"/>
        <v/>
      </c>
      <c r="PV18" s="43" t="str">
        <f t="shared" si="141"/>
        <v/>
      </c>
      <c r="PW18" s="43" t="str">
        <f t="shared" si="142"/>
        <v/>
      </c>
      <c r="PX18" s="43" t="str">
        <f t="shared" si="143"/>
        <v/>
      </c>
      <c r="PY18" s="43" t="str">
        <f t="shared" si="144"/>
        <v/>
      </c>
      <c r="PZ18" s="43" t="str">
        <f t="shared" si="145"/>
        <v/>
      </c>
      <c r="QA18" s="43" t="str">
        <f t="shared" si="146"/>
        <v/>
      </c>
      <c r="QB18" s="43" t="str">
        <f t="shared" si="147"/>
        <v/>
      </c>
      <c r="QC18" s="43" t="str">
        <f t="shared" si="148"/>
        <v/>
      </c>
      <c r="QD18" s="43" t="str">
        <f t="shared" si="149"/>
        <v/>
      </c>
      <c r="QE18" s="43" t="str">
        <f t="shared" si="150"/>
        <v/>
      </c>
      <c r="QF18" s="43" t="str">
        <f t="shared" si="151"/>
        <v/>
      </c>
      <c r="QG18" s="43" t="str">
        <f t="shared" si="152"/>
        <v/>
      </c>
      <c r="QH18" s="43" t="str">
        <f t="shared" si="153"/>
        <v/>
      </c>
      <c r="QI18" s="43" t="str">
        <f t="shared" si="154"/>
        <v/>
      </c>
      <c r="QJ18" s="43" t="str">
        <f t="shared" si="155"/>
        <v/>
      </c>
      <c r="QK18" s="43" t="str">
        <f t="shared" si="156"/>
        <v/>
      </c>
      <c r="QL18" s="43" t="str">
        <f t="shared" si="157"/>
        <v/>
      </c>
      <c r="QM18" s="43" t="str">
        <f t="shared" si="158"/>
        <v/>
      </c>
      <c r="QN18" s="43" t="str">
        <f t="shared" si="159"/>
        <v/>
      </c>
      <c r="QO18" s="43" t="str">
        <f t="shared" si="160"/>
        <v/>
      </c>
      <c r="QP18" s="43" t="str">
        <f t="shared" si="161"/>
        <v/>
      </c>
      <c r="QQ18" s="43" t="str">
        <f t="shared" si="162"/>
        <v/>
      </c>
      <c r="QR18" s="43" t="str">
        <f t="shared" si="192"/>
        <v>Menor</v>
      </c>
      <c r="QS18" s="43"/>
      <c r="QT18" s="21" t="str">
        <f t="shared" si="163"/>
        <v/>
      </c>
      <c r="QU18" s="21" t="str">
        <f t="shared" si="164"/>
        <v/>
      </c>
      <c r="QV18" s="21" t="str">
        <f t="shared" si="165"/>
        <v/>
      </c>
      <c r="QW18" s="21" t="str">
        <f t="shared" si="166"/>
        <v/>
      </c>
      <c r="QX18" s="21" t="str">
        <f t="shared" si="167"/>
        <v/>
      </c>
      <c r="QY18" s="21" t="str">
        <f t="shared" si="168"/>
        <v/>
      </c>
      <c r="QZ18" s="21" t="str">
        <f t="shared" si="169"/>
        <v/>
      </c>
      <c r="RA18" s="21" t="str">
        <f t="shared" si="170"/>
        <v/>
      </c>
      <c r="RB18" s="21" t="str">
        <f t="shared" si="171"/>
        <v/>
      </c>
      <c r="RC18" s="21" t="str">
        <f t="shared" si="172"/>
        <v/>
      </c>
      <c r="RD18" s="21" t="str">
        <f t="shared" si="173"/>
        <v/>
      </c>
      <c r="RE18" s="21" t="str">
        <f t="shared" si="174"/>
        <v/>
      </c>
      <c r="RF18" s="21" t="str">
        <f t="shared" si="175"/>
        <v/>
      </c>
      <c r="RG18" s="21" t="str">
        <f t="shared" si="176"/>
        <v/>
      </c>
      <c r="RH18" s="21" t="str">
        <f t="shared" si="177"/>
        <v/>
      </c>
      <c r="RI18" s="21" t="str">
        <f t="shared" si="178"/>
        <v/>
      </c>
      <c r="RJ18" s="21" t="str">
        <f t="shared" si="179"/>
        <v/>
      </c>
      <c r="RK18" s="21" t="str">
        <f t="shared" si="180"/>
        <v/>
      </c>
      <c r="RL18" s="21" t="str">
        <f t="shared" si="181"/>
        <v/>
      </c>
      <c r="RM18" s="21" t="str">
        <f t="shared" si="182"/>
        <v/>
      </c>
      <c r="RN18" s="21" t="str">
        <f t="shared" si="183"/>
        <v/>
      </c>
      <c r="RO18" s="21" t="str">
        <f t="shared" si="184"/>
        <v/>
      </c>
      <c r="RP18" s="21" t="str">
        <f t="shared" si="185"/>
        <v/>
      </c>
      <c r="RQ18" s="21" t="str">
        <f t="shared" si="186"/>
        <v/>
      </c>
      <c r="RR18" s="21" t="str">
        <f t="shared" si="187"/>
        <v/>
      </c>
      <c r="RS18" s="21" t="str">
        <f t="shared" si="188"/>
        <v/>
      </c>
      <c r="RT18" s="21" t="str">
        <f t="shared" si="189"/>
        <v/>
      </c>
      <c r="RU18" s="21" t="str">
        <f t="shared" si="190"/>
        <v/>
      </c>
      <c r="RV18" s="21">
        <f t="shared" si="191"/>
        <v>-1</v>
      </c>
      <c r="RW18" s="284">
        <f>IF(OR(Tabla1[[#This Row],[FUM FORMULA CONFIABLE]]="",Tabla1[[#This Row],[FUM FORMULA CONFIABLE]]="SD"),"",IF(Tabla1[[#This Row],[FUM FORMULA CONFIABLE]]="CORREGIDA",Tabla1[[#This Row],[FUM X ECO 1]],Tabla1[[#This Row],[FUM x AMENORREA]]))</f>
        <v>44770</v>
      </c>
      <c r="RX18" s="21">
        <f>IF(AND(Tabla1[[#This Row],[FUM X ECO 1]]="",Tabla1[[#This Row],[FUM x AMENORREA]]=""),"",IF(AND(Tabla1[[#This Row],[FUM X ECO 1]]="",Tabla1[[#This Row],[FUM x AMENORREA]]&lt;&gt;""),"X",SUM(Tabla1[[#This Row],[FUM X ECO 1]]-Tabla1[[#This Row],[FUM x AMENORREA]])))</f>
        <v>0.30000000000291038</v>
      </c>
      <c r="RY18" s="21">
        <f t="shared" si="193"/>
        <v>0</v>
      </c>
    </row>
    <row r="19" spans="1:493" ht="45" customHeight="1" x14ac:dyDescent="0.25">
      <c r="A19" s="109" t="s">
        <v>960</v>
      </c>
      <c r="B19" s="43"/>
      <c r="C19" s="43" t="s">
        <v>845</v>
      </c>
      <c r="D19" s="124" t="s">
        <v>846</v>
      </c>
      <c r="E19" s="43" t="s">
        <v>961</v>
      </c>
      <c r="F19" s="43" t="s">
        <v>962</v>
      </c>
      <c r="G19" s="43" t="s">
        <v>945</v>
      </c>
      <c r="H19" s="43" t="s">
        <v>963</v>
      </c>
      <c r="I19" s="109" t="s">
        <v>851</v>
      </c>
      <c r="J19" s="110">
        <v>1059606704</v>
      </c>
      <c r="K19" s="43" t="s">
        <v>852</v>
      </c>
      <c r="L19" s="175" t="s">
        <v>853</v>
      </c>
      <c r="M19" s="22">
        <v>36202</v>
      </c>
      <c r="N19" s="213">
        <f t="shared" ca="1" si="0"/>
        <v>24.742465753424657</v>
      </c>
      <c r="O19" s="22">
        <v>44828</v>
      </c>
      <c r="P19" s="214" t="str">
        <f t="shared" si="1"/>
        <v>SI</v>
      </c>
      <c r="Q19" s="26" t="s">
        <v>855</v>
      </c>
      <c r="R19" s="22">
        <v>44828</v>
      </c>
      <c r="S19" s="21" t="s">
        <v>856</v>
      </c>
      <c r="T19" s="24" t="s">
        <v>690</v>
      </c>
      <c r="U19" s="21" t="s">
        <v>857</v>
      </c>
      <c r="V19" s="21" t="s">
        <v>858</v>
      </c>
      <c r="W19" s="21" t="s">
        <v>964</v>
      </c>
      <c r="X19" s="21" t="s">
        <v>965</v>
      </c>
      <c r="Y19" s="21" t="s">
        <v>859</v>
      </c>
      <c r="Z19" s="21" t="s">
        <v>966</v>
      </c>
      <c r="AA19" s="21" t="s">
        <v>860</v>
      </c>
      <c r="AB19" s="27" t="s">
        <v>861</v>
      </c>
      <c r="AC19" s="26" t="s">
        <v>888</v>
      </c>
      <c r="AD19" s="38" t="s">
        <v>846</v>
      </c>
      <c r="AE19" s="26" t="s">
        <v>854</v>
      </c>
      <c r="AF19" s="26" t="s">
        <v>854</v>
      </c>
      <c r="AG19" s="23" t="s">
        <v>864</v>
      </c>
      <c r="AH19" s="23" t="s">
        <v>864</v>
      </c>
      <c r="AI19" s="24" t="s">
        <v>863</v>
      </c>
      <c r="AJ19" s="23" t="s">
        <v>864</v>
      </c>
      <c r="AK19" s="220" t="str">
        <f>IF(AND(AD19="",AE19="",AF19="",AG19="",AH19="",AI19="",AJ19=""),"",IF(OR(Tabla1[[#This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EVALUACIÓN",IF(AND(O19="",R19=""),"",IF(AND(OR(O19&gt;0,R19&gt;0),NG19&gt;=0,NG19&lt;2),"SIN RIESGO",IF(AND(OR(O19&gt;0,R19&gt;0),NG19&gt;=2),"CON RIESGO","ASD")))))</f>
        <v>SIN RIESGO</v>
      </c>
      <c r="AL19" s="23" t="s">
        <v>864</v>
      </c>
      <c r="AM19" s="26" t="s">
        <v>864</v>
      </c>
      <c r="AN19" s="26" t="s">
        <v>864</v>
      </c>
      <c r="AO19" s="26" t="s">
        <v>864</v>
      </c>
      <c r="AP19" s="26" t="s">
        <v>864</v>
      </c>
      <c r="AQ19" s="26" t="s">
        <v>864</v>
      </c>
      <c r="AR19" s="26" t="s">
        <v>864</v>
      </c>
      <c r="AS19" s="21">
        <v>1</v>
      </c>
      <c r="AT19" s="21">
        <v>0</v>
      </c>
      <c r="AU19" s="21">
        <v>2</v>
      </c>
      <c r="AV19" s="26" t="s">
        <v>854</v>
      </c>
      <c r="AW19" s="21">
        <v>0</v>
      </c>
      <c r="AX19" s="26" t="s">
        <v>865</v>
      </c>
      <c r="AY19" s="26" t="s">
        <v>864</v>
      </c>
      <c r="AZ19" s="26" t="s">
        <v>864</v>
      </c>
      <c r="BA19" s="26" t="s">
        <v>864</v>
      </c>
      <c r="BB19" s="26" t="s">
        <v>864</v>
      </c>
      <c r="BC19" s="26" t="s">
        <v>864</v>
      </c>
      <c r="BD19" s="26" t="s">
        <v>864</v>
      </c>
      <c r="BE19" s="26" t="s">
        <v>864</v>
      </c>
      <c r="BF19" s="26" t="s">
        <v>864</v>
      </c>
      <c r="BG19" s="26" t="s">
        <v>864</v>
      </c>
      <c r="BH19" s="26"/>
      <c r="BI19" s="26" t="s">
        <v>864</v>
      </c>
      <c r="BJ19" s="26"/>
      <c r="BK19" s="26"/>
      <c r="BL19" s="26"/>
      <c r="BM19" s="26" t="s">
        <v>864</v>
      </c>
      <c r="BN19" s="22"/>
      <c r="BO19" s="22">
        <v>44786</v>
      </c>
      <c r="BP19" s="21" t="s">
        <v>864</v>
      </c>
      <c r="BQ19" s="222">
        <f t="shared" si="2"/>
        <v>0</v>
      </c>
      <c r="BR19" s="223">
        <f t="shared" si="3"/>
        <v>44789</v>
      </c>
      <c r="BS19" s="224">
        <f t="shared" si="4"/>
        <v>6</v>
      </c>
      <c r="BT19" s="216" t="str">
        <f t="shared" si="5"/>
        <v>DEFINIR CON ECO</v>
      </c>
      <c r="BU19" s="214" t="str">
        <f t="shared" ca="1" si="6"/>
        <v/>
      </c>
      <c r="BV19" s="25"/>
      <c r="BW19" s="22">
        <v>44894</v>
      </c>
      <c r="BX19" s="28">
        <v>15</v>
      </c>
      <c r="BY19" s="28"/>
      <c r="BZ19" s="22">
        <v>44861</v>
      </c>
      <c r="CA19" s="21">
        <v>9.1999999999999993</v>
      </c>
      <c r="CB19" s="26" t="s">
        <v>864</v>
      </c>
      <c r="CC19" s="26" t="s">
        <v>864</v>
      </c>
      <c r="CD19" s="26" t="s">
        <v>878</v>
      </c>
      <c r="CE19" s="26" t="s">
        <v>864</v>
      </c>
      <c r="CF19" s="22" t="s">
        <v>1517</v>
      </c>
      <c r="CG19" s="21">
        <v>1.56</v>
      </c>
      <c r="CH19" s="21">
        <v>66</v>
      </c>
      <c r="CI19" s="214">
        <f t="shared" si="7"/>
        <v>27.12031558185404</v>
      </c>
      <c r="CJ19" s="225" t="str">
        <f>IF(AND(CI19&lt;10,CH19="SD"),"SIN DATO PESO PREGESTACION O I TRIM",IF(AND(OR(R19&gt;0,O19&gt;0),CI19="X"),"INGRESAR DATO DE PESO",IF(CI19="SD","INGRESAR DATO DE TALLA Y PESO",IF(AND(OR(Tabla1[[#This Row],[MOMENTO EN QUE SE REALIZA EL PESO AL INGRESO A CPN]]="PREGESTACIÓN",NZ19="Menor"),CI19&lt;18.5),"BAJO PESO",IF(AND(OR(Tabla1[[#This Row],[MOMENTO EN QUE SE REALIZA EL PESO AL INGRESO A CPN]]="PREGESTACIÓN",NZ19="Menor"),CI19&lt;25),"NORMAL",IF(AND(OR(Tabla1[[#This Row],[MOMENTO EN QUE SE REALIZA EL PESO AL INGRESO A CPN]]="PREGESTACIÓN",NZ19="Menor"),CI19&lt;30),"SOBREPESO",IF(AND(OR(Tabla1[[#This Row],[MOMENTO EN QUE SE REALIZA EL PESO AL INGRESO A CPN]]="PREGESTACIÓN",NZ19="Menor"),CI19&gt;=30,CI19&lt;50),"OBESIDAD",IF(AND(BS19&gt;0,Tabla1[[#This Row],[MOMENTO EN QUE SE REALIZA EL PESO AL INGRESO A CPN]]="GESTACIÓN"),HLOOKUP(NZ19,$OA$2:PH19,NY19),""))))))))</f>
        <v>SOBREPESO</v>
      </c>
      <c r="CK19" s="212">
        <f t="shared" si="8"/>
        <v>45041</v>
      </c>
      <c r="CL19" s="21"/>
      <c r="CM19" s="214">
        <f t="shared" si="9"/>
        <v>0</v>
      </c>
      <c r="CN19" s="216">
        <f t="shared" si="10"/>
        <v>36</v>
      </c>
      <c r="CO19" s="216" t="e">
        <f>IF(PI19="","",IF(PI19&gt;0,HLOOKUP(PI19,$PJ$2:QQ19,NY19),""))</f>
        <v>#REF!</v>
      </c>
      <c r="CP19" s="21"/>
      <c r="CQ19" s="216" t="e">
        <f>IF(QR19="Menor","NO APLICA-MENOR 13 SEM",IF(AND(CC19="SI",CN19&gt;23),"NO APLICA- GEMELAR",IF(QR19="","",IF(QR19&gt;0,HLOOKUP(QR19,$QS$2:RU19,NY19),""))))</f>
        <v>#REF!</v>
      </c>
      <c r="CR19" s="21">
        <v>100</v>
      </c>
      <c r="CS19" s="21">
        <v>60</v>
      </c>
      <c r="CT19" s="217" t="str">
        <f>IF(R19="","",IF(AND(BS19&gt;1,BS19&lt;12,Tabla1[[#This Row],[T.A. SISTOLICA - ANTES DE SEMANA 12]]="",Tabla1[[#This Row],[T.A. DIASTOLICA - ANTES DE SEMANA 12]]=""),"REGISTRE DATO TA ANTES SEMANA 12",IF(AND(BS19&gt;11,BS19&lt;43,Tabla1[[#This Row],[T.A. SISTOLICA - ANTES DE SEMANA 12]]="",Tabla1[[#This Row],[T.A. DIASTOLICA - ANTES DE SEMANA 12]]=""),"NO APLICA REGISTRO TA-INGRESO TARDIO",IF(AND(OR(O19&gt;0,R19&gt;0),OR(CR19&gt;=140,CS19&gt;=90)),"DEFINIR ESTADIO HTA",IF(AND(OR(O19&gt;0,R19&gt;0),AND(CR19&gt;120,CR19&lt;=139)),"PRE HTA SEGUIMIENTO",IF(AND(OR(O19&gt;0,R19&gt;0),AND(CS19&gt;80,CS19&lt;=89)),"PRE HTA SEGUIMIENTO",IF(AND(OR(O19&gt;0,R19&gt;0),AND(CR19&gt;=80,CR19&lt;=120)),"APARENTEMENTE NORMAL",IF(AND(OR(O19&gt;0,R19&gt;0),AND(CS19&gt;=50,CS19&lt;=80)),"APARENTEMENTE NORMAL",IF(AND(OR(O19&gt;0,R19&gt;0),AND(CR19&gt;1,CR19&lt;=70),AND(CS19&gt;1,CS19&lt;=40)),"HIPOTENSIÓN","")))))))))</f>
        <v>APARENTEMENTE NORMAL</v>
      </c>
      <c r="CU19" s="21">
        <v>100</v>
      </c>
      <c r="CV19" s="21">
        <v>60</v>
      </c>
      <c r="CW19" s="217" t="str">
        <f ca="1">IF(R19="","",IF(AND(CN19&gt;19,CN19&lt;27,Tabla1[[#This Row],[T.A. SISTOLICA (Entre semana 20 y 26)]]="",Tabla1[[#This Row],[T.A. DIATOLICA (Entre semana 20 y 26)]]=""),"ACUDE A CONTROL SEM 20 A 26 REGISTRE TA AHORA",IF(AND(BS19&gt;1,BS19&lt;27,BU19&gt;19,Tabla1[[#This Row],[T.A. SISTOLICA (Entre semana 20 y 26)]]="",Tabla1[[#This Row],[T.A. DIATOLICA (Entre semana 20 y 26)]]=""),"COMPLETE REGISTRO TA CONTROL SEM 20 A26 ",IF(AND(BS19&gt;26,BS19&lt;43,Tabla1[[#This Row],[T.A. SISTOLICA (Entre semana 20 y 26)]]="",Tabla1[[#This Row],[T.A. DIATOLICA (Entre semana 20 y 26)]]=""),"NO APLICA REGISTRO TA-INGRESO TARDIO",IF(AND(OR(O19&gt;0,R19&gt;0),OR(CU19&gt;=140,CV19&gt;=90)),"ALTO RIESGO PREECLAMPSIA,DEFINIR ESTADIO HTA",IF(AND(OR(O19&gt;0,R19&gt;0),AND(CU19&gt;120,CU19&lt;=139)),"PRE HTA SEGUIMIENTO,RIESGO HIPERTENSION INDUCIDA POR EL EMBARAZO",IF(AND(OR(O19&gt;0,R19&gt;0),AND(CV19&gt;80,CV19&lt;=89)),"PRE HTA SEGUIMIENTO, RIESGO HIPERTENSION INDUCIDA POR EL EMBARAZO",IF(AND(OR(O19&lt;&gt;"",R19&lt;&gt;""),CS19&lt;&gt;"",CV19&lt;&gt;"",CS19&lt;=CV19),"VIGILAR CIFRAS PRESION ARTERIAL",IF(AND(OR(O19&gt;0,R19&gt;0),AND(CU19&gt;120,CU19&lt;=139)),"PRE HTA SEGUIMIENTO",IF(AND(OR(O19&gt;0,R19&gt;0),AND(CU19&gt;1,CU19&lt;=70),AND(CV19&gt;1,CV19&lt;=40)),"HIPOTENSIÓN",IF(AND(OR(O19&lt;&gt;"",R19&lt;&gt;""),CS19&lt;&gt;"",CV19&lt;&gt;"",CS19&gt;CV19),"APARENTEMENTE NORMAL",IF(AND(OR(O19&gt;0,R19&gt;0),AND(CU19&gt;=80,CU19&lt;=120)),"APARENTEMENTE NORMAL",IF(AND(OR(O19&gt;0,R19&gt;0),AND(CV19&gt;=50,CV19&lt;=80)),"APARENTEMENTE NORMAL","")))))))))))))</f>
        <v>VIGILAR CIFRAS PRESION ARTERIAL</v>
      </c>
      <c r="CX19" s="21">
        <v>110</v>
      </c>
      <c r="CY19" s="21">
        <v>80</v>
      </c>
      <c r="CZ19" s="216" t="str">
        <f t="shared" si="11"/>
        <v>VIGILAR CIFRAS PRESION ARTERIAL</v>
      </c>
      <c r="DA19" s="21"/>
      <c r="DB19" s="21"/>
      <c r="DC19" s="217" t="str">
        <f t="shared" si="12"/>
        <v>REGISTRE DATO PRESIÓN ARTERIAL MENSUAL</v>
      </c>
      <c r="DD19" s="22">
        <v>44828</v>
      </c>
      <c r="DE19" s="22">
        <v>44828</v>
      </c>
      <c r="DF19" s="22">
        <v>44863</v>
      </c>
      <c r="DG19" s="22">
        <v>44894</v>
      </c>
      <c r="DH19" s="22">
        <v>44922</v>
      </c>
      <c r="DI19" s="22">
        <v>44950</v>
      </c>
      <c r="DJ19" s="22">
        <v>44982</v>
      </c>
      <c r="DK19" s="22">
        <v>45006</v>
      </c>
      <c r="DL19" s="22">
        <v>45041</v>
      </c>
      <c r="DM19" s="22"/>
      <c r="DN19" s="22"/>
      <c r="DO19" s="22"/>
      <c r="DP19" s="22"/>
      <c r="DQ19" s="22"/>
      <c r="DR19" s="28">
        <v>3</v>
      </c>
      <c r="DS19" s="22"/>
      <c r="DT19" s="22"/>
      <c r="DU19" s="216" t="str">
        <f t="shared" ca="1" si="13"/>
        <v>SALE SIN PLAN DE PARTO</v>
      </c>
      <c r="DV19" s="226" t="str">
        <f t="shared" si="14"/>
        <v>SALIO PROGRAMA</v>
      </c>
      <c r="DW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9" s="216" t="str">
        <f t="shared" ca="1" si="15"/>
        <v/>
      </c>
      <c r="DY19" s="212">
        <f>IF(R19="","",IF(R19&gt;0,MAX(Tabla1[[#This Row],[FECHA C2]:[FECHA C13]],Tabla1[[#This Row],[FECHA CONSULTA PRIMERA VEZ PROGRAMA CPN ]])))</f>
        <v>45041</v>
      </c>
      <c r="DZ19" s="216">
        <f t="shared" si="16"/>
        <v>36</v>
      </c>
      <c r="EA19" s="222">
        <f>IF(R19&gt;0,SUM(COUNTA(DF19:DQ19)+COUNTA(Tabla1[[#This Row],[FECHA CONSULTA PRIMERA VEZ PROGRAMA CPN ]])),"")</f>
        <v>8</v>
      </c>
      <c r="EB19" s="222" t="str">
        <f t="shared" si="17"/>
        <v>SI</v>
      </c>
      <c r="EC19" s="214">
        <f t="shared" si="18"/>
        <v>10</v>
      </c>
      <c r="ED19" s="227">
        <f t="shared" si="19"/>
        <v>0.8</v>
      </c>
      <c r="EE19" s="22">
        <v>44828</v>
      </c>
      <c r="EF19" s="22">
        <v>44828</v>
      </c>
      <c r="EG19" s="22">
        <v>44828</v>
      </c>
      <c r="EH19" s="22">
        <v>44909</v>
      </c>
      <c r="EI19" s="22">
        <v>44828</v>
      </c>
      <c r="EJ19" s="22">
        <v>44909</v>
      </c>
      <c r="EK19" s="22">
        <v>44909</v>
      </c>
      <c r="EL19" s="21">
        <v>1</v>
      </c>
      <c r="EM19" s="21">
        <v>14.3</v>
      </c>
      <c r="EN19" s="22">
        <v>44828</v>
      </c>
      <c r="EO19" s="222">
        <f t="shared" si="20"/>
        <v>6</v>
      </c>
      <c r="EP19" s="214" t="str">
        <f t="shared" si="21"/>
        <v>NO DAR SULFATO FERROSO</v>
      </c>
      <c r="EQ19" s="216" t="str">
        <f t="shared" si="22"/>
        <v>I TRIM</v>
      </c>
      <c r="ER19" s="24">
        <v>14</v>
      </c>
      <c r="ES19" s="22">
        <v>44954</v>
      </c>
      <c r="ET19" s="29">
        <f t="shared" ca="1" si="23"/>
        <v>24</v>
      </c>
      <c r="EU19" s="25" t="str">
        <f t="shared" si="24"/>
        <v>NO DAR SULFATO FERROSO</v>
      </c>
      <c r="EV19" s="24" t="s">
        <v>866</v>
      </c>
      <c r="EW19" s="24">
        <v>44828</v>
      </c>
      <c r="EX19" s="22"/>
      <c r="EY19" s="29">
        <f t="shared" si="25"/>
        <v>6</v>
      </c>
      <c r="EZ19" s="25" t="str">
        <f t="shared" ca="1" si="26"/>
        <v/>
      </c>
      <c r="FA19" s="21">
        <v>71</v>
      </c>
      <c r="FB19" s="22">
        <v>44828</v>
      </c>
      <c r="FC19" s="29">
        <f t="shared" si="27"/>
        <v>6</v>
      </c>
      <c r="FD19" s="29">
        <v>70</v>
      </c>
      <c r="FE19" s="29">
        <v>116</v>
      </c>
      <c r="FF19" s="29">
        <v>139</v>
      </c>
      <c r="FG19" s="21" t="str">
        <f t="shared" si="28"/>
        <v xml:space="preserve">NORMAL, NO DESCARTA DIABETES POR REALIZARLO ANTES DE  SEMANA 24, </v>
      </c>
      <c r="FH19" s="31">
        <v>44930</v>
      </c>
      <c r="FI19" s="29">
        <f t="shared" si="29"/>
        <v>20.571428571428573</v>
      </c>
      <c r="FJ19" s="22" t="s">
        <v>867</v>
      </c>
      <c r="FK19" s="22">
        <v>44828</v>
      </c>
      <c r="FL19" s="29">
        <f t="shared" ca="1" si="30"/>
        <v>6</v>
      </c>
      <c r="FM19" s="22" t="s">
        <v>867</v>
      </c>
      <c r="FN19" s="32">
        <v>44930</v>
      </c>
      <c r="FO19" s="29">
        <f t="shared" ca="1" si="31"/>
        <v>20.571428571428573</v>
      </c>
      <c r="FP19" s="22"/>
      <c r="FQ19" s="32"/>
      <c r="FR19" s="29" t="str">
        <f t="shared" ca="1" si="32"/>
        <v>PIERDE TOMA DE TAMIZAJE</v>
      </c>
      <c r="FS19" s="22"/>
      <c r="FT19" s="32"/>
      <c r="FU19" s="29" t="str">
        <f>IF(AND(FJ19="",FM19="",FP19="",FS19=""),"",IF(OR(OR(Tabla1[[#This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 s="28"/>
      <c r="FW19" s="22"/>
      <c r="FX19" s="29" t="str">
        <f t="shared" si="33"/>
        <v>TOMAR EXAMEN</v>
      </c>
      <c r="FY19" s="22">
        <v>44828</v>
      </c>
      <c r="FZ19" s="22">
        <v>44828</v>
      </c>
      <c r="GA19" s="29">
        <f t="shared" ca="1" si="34"/>
        <v>6</v>
      </c>
      <c r="GB19" s="22"/>
      <c r="GC19" s="22"/>
      <c r="GD19" s="29" t="str">
        <f t="shared" ca="1" si="35"/>
        <v>PIERDE TOMA DE TAMIZAJE</v>
      </c>
      <c r="GE19" s="22"/>
      <c r="GF19" s="22">
        <v>45001</v>
      </c>
      <c r="GG19" s="29">
        <f t="shared" ca="1" si="36"/>
        <v>30.714285714285715</v>
      </c>
      <c r="GH19" s="22"/>
      <c r="GI19" s="29"/>
      <c r="GJ19" s="22"/>
      <c r="GK19" s="22"/>
      <c r="GL19" s="22" t="s">
        <v>879</v>
      </c>
      <c r="GM19" s="22"/>
      <c r="GN19" s="28" t="s">
        <v>869</v>
      </c>
      <c r="GO19" s="22">
        <v>44828</v>
      </c>
      <c r="GP19" s="29">
        <f t="shared" si="37"/>
        <v>6</v>
      </c>
      <c r="GQ19" s="28" t="s">
        <v>846</v>
      </c>
      <c r="GR19" s="28" t="s">
        <v>869</v>
      </c>
      <c r="GS19" s="22" t="str">
        <f t="shared" si="38"/>
        <v/>
      </c>
      <c r="GT19" s="22">
        <v>44828</v>
      </c>
      <c r="GU19" s="29">
        <f t="shared" si="39"/>
        <v>6</v>
      </c>
      <c r="GV19" s="21" t="str">
        <f t="shared" si="40"/>
        <v>I TRIM</v>
      </c>
      <c r="GW19" s="28" t="s">
        <v>869</v>
      </c>
      <c r="GX19" s="30"/>
      <c r="GY19" s="21" t="s">
        <v>906</v>
      </c>
      <c r="GZ19" s="21"/>
      <c r="HA19" s="21"/>
      <c r="HB19" s="21"/>
      <c r="HC19" s="21"/>
      <c r="HD19" s="21"/>
      <c r="HE19" s="21"/>
      <c r="HF19" s="22"/>
      <c r="HG19" s="22" t="str">
        <f>IF(OR(O19&gt;0,R19&gt;0),CONCATENATE(IF(Tabla1[[#This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 s="22" t="e">
        <f t="shared" si="41"/>
        <v>#REF!</v>
      </c>
      <c r="HI19" s="22" t="e">
        <f t="shared" ca="1" si="42"/>
        <v>#REF!</v>
      </c>
      <c r="HJ19" s="21"/>
      <c r="HK19" s="21" t="str">
        <f t="shared" si="44"/>
        <v>SIN ANTECEDENTES DE RIESGO</v>
      </c>
      <c r="HL19" s="24" t="str">
        <f t="shared" si="45"/>
        <v>REGISTRE DATO PRESIÓN ARTERIAL MENSUAL</v>
      </c>
      <c r="HM19" s="21" t="str">
        <f t="shared" ca="1" si="46"/>
        <v/>
      </c>
      <c r="HN19" s="30" t="str">
        <f t="shared" si="47"/>
        <v>SALIO PROGRAMA</v>
      </c>
      <c r="HO19" s="21"/>
      <c r="HP19" s="21"/>
      <c r="HQ19" s="21">
        <v>44894</v>
      </c>
      <c r="HR19" s="21" t="str">
        <f>IF(R19="","",IF(Tabla1[[#This Row],[ALARMA FACTORES DE RIESGO COMPLICACIONES HIPERTENSIVAS3]]="SIN ANTECEDENTES DE RIESGO","No Aplica para suministro de ASA",IF(AND(Tabla1[[#This Row],[FECHA INICIO DE SUMINISTRO DE ASA]]&gt;0,RV19&lt;12),"Inicia ASA ANTES de Sem 12",IF(AND(RV19&gt;11,RV19&lt;17,OR(HK19="RIESGO ALTO DE COMPLICACIONES HIPERTENSIVAS VER MANEJO GUIA SUMINISTRO ASA Y CALCIO",HK19="RIESGO MODERADO (2 O MAS CRITERIOS) VER MANEJO GUIA SUMINISTRO ASA Y CALCIO")),"Inicio oportuno de ASA",IF(AND(RV19&gt;12,OR(HK19="RIESGO ALTO DE COMPLICACIONES HIPERTENSIVAS VER MANEJO GUIA SUMINISTRO ASA Y CALCIO",HK19="RIESGO MODERADO (2 O MAS CRITERIOS) VER MANEJO GUIA SUMINISTRO ASA Y CALCIO")),"Inicio no oportuno mayor a 16 semanas",IF(AND(BU19&lt;12,OR(HK19="RIESGO ALTO DE COMPLICACIONES HIPERTENSIVAS VER MANEJO GUIA SUMINISTRO ASA Y CALCIO",HK19="RIESGO MODERADO (2 O MAS CRITERIOS) VER MANEJO GUIA SUMINISTRO ASA Y CALCIO")),"Pendiente Inicio de ASA a la semana 12",IF(AND(BU19&gt;11,BU19&lt;17,OR(HK19="RIESGO ALTO DE COMPLICACIONES HIPERTENSIVAS VER MANEJO GUIA SUMINISTRO ASA Y CALCIO",HK19="RIESGO MODERADO (2 O MAS CRITERIOS) VER MANEJO GUIA SUMINISTRO ASA Y CALCIO")),"Iniciar de inmediato ASA",IF(AND(BU19&gt;16,OR(HK19="RIESGO ALTO DE COMPLICACIONES HIPERTENSIVAS VER MANEJO GUIA SUMINISTRO ASA Y CALCIO",HK19="RIESGO MODERADO (2 O MAS CRITERIOS) VER MANEJO GUIA SUMINISTRO ASA Y CALCIO")),"Pierde Oportunidad, Inicio tardío de ASA","XXXXX"))))))))</f>
        <v>No Aplica para suministro de ASA</v>
      </c>
      <c r="HS19" s="22">
        <v>44894</v>
      </c>
      <c r="HT19" s="22" t="s">
        <v>870</v>
      </c>
      <c r="HU19" s="22">
        <v>44828</v>
      </c>
      <c r="HV19" s="22" t="s">
        <v>870</v>
      </c>
      <c r="HW19" s="22">
        <v>44894</v>
      </c>
      <c r="HX19" s="22" t="s">
        <v>870</v>
      </c>
      <c r="HY19" s="22">
        <v>44828</v>
      </c>
      <c r="HZ19" s="28">
        <f t="shared" si="48"/>
        <v>6</v>
      </c>
      <c r="IA19" s="26" t="s">
        <v>864</v>
      </c>
      <c r="IB19" s="26"/>
      <c r="IC19" s="111">
        <v>44930</v>
      </c>
      <c r="ID19" s="22">
        <v>44930</v>
      </c>
      <c r="IE19" s="22" t="str">
        <f t="shared" ca="1" si="49"/>
        <v>VACUNA APLICADA ENTRE SEMANA 20 Y SEMANA 26</v>
      </c>
      <c r="IF19" s="22"/>
      <c r="IG19" s="22">
        <f t="shared" si="50"/>
        <v>45066</v>
      </c>
      <c r="IH19" s="29">
        <f t="shared" ca="1" si="51"/>
        <v>-167</v>
      </c>
      <c r="II19" s="22" t="str">
        <f t="shared" ca="1" si="52"/>
        <v>POSIBLEMENTE NACIO</v>
      </c>
      <c r="IJ19" s="22"/>
      <c r="IK19" s="21" t="s">
        <v>898</v>
      </c>
      <c r="IL19" s="21"/>
      <c r="IM19" s="34"/>
      <c r="IN19" s="349">
        <v>45070</v>
      </c>
      <c r="IO19" s="21" t="s">
        <v>1186</v>
      </c>
      <c r="IP19" s="29">
        <f t="shared" si="53"/>
        <v>40.571428571428569</v>
      </c>
      <c r="IQ19" s="35" t="s">
        <v>1650</v>
      </c>
      <c r="IR19" s="21" t="s">
        <v>1651</v>
      </c>
      <c r="IS19" s="21" t="s">
        <v>1646</v>
      </c>
      <c r="IT19" s="21" t="s">
        <v>1642</v>
      </c>
      <c r="IU19" s="21"/>
      <c r="IV19" s="21"/>
      <c r="IW19" s="21"/>
      <c r="IX19" s="21"/>
      <c r="IY19" s="21"/>
      <c r="IZ19" s="21"/>
      <c r="JA19" s="21"/>
      <c r="JB19" s="30">
        <v>1</v>
      </c>
      <c r="JC19" s="21" t="s">
        <v>1647</v>
      </c>
      <c r="JD19" s="36">
        <v>3190</v>
      </c>
      <c r="JE19" s="21" t="str">
        <f t="shared" si="54"/>
        <v>PESO ADECUADO EDAD GESTACIONAL</v>
      </c>
      <c r="JF19" s="30"/>
      <c r="JG19" s="21"/>
      <c r="JH19" s="21"/>
      <c r="JI19" s="21" t="s">
        <v>854</v>
      </c>
      <c r="JJ19" s="30" t="s">
        <v>926</v>
      </c>
      <c r="JK19" s="22"/>
      <c r="JL19" s="22"/>
      <c r="JM19" s="21"/>
      <c r="JN19" s="36"/>
      <c r="JO19" s="21" t="str">
        <f t="shared" si="55"/>
        <v/>
      </c>
      <c r="JP19" s="22"/>
      <c r="JQ19" s="21"/>
      <c r="JR19" s="21"/>
      <c r="JS19" s="21"/>
      <c r="JT19" s="30"/>
      <c r="JU19" s="22"/>
      <c r="JV19" s="22"/>
      <c r="JW19" s="33"/>
      <c r="JX19" s="28" t="str">
        <f t="shared" si="56"/>
        <v>INASISTENTE</v>
      </c>
      <c r="JY19" s="33"/>
      <c r="JZ19" s="28" t="str">
        <f t="shared" si="57"/>
        <v>INASISTENTE</v>
      </c>
      <c r="KA19" s="21"/>
      <c r="KB19" s="21"/>
      <c r="KC19" s="21"/>
      <c r="KD19" s="37"/>
      <c r="KE19" s="28"/>
      <c r="KF19" s="28"/>
      <c r="KG19" s="28"/>
      <c r="KH19" s="39"/>
      <c r="KI19" s="39"/>
      <c r="KJ19" s="66"/>
      <c r="KK19" s="39"/>
      <c r="KL19" s="39"/>
      <c r="KM19" s="66"/>
      <c r="KN19" s="39"/>
      <c r="KO19" s="39"/>
      <c r="KP19" s="39"/>
      <c r="KQ19" s="39"/>
      <c r="KR19" s="39"/>
      <c r="KS19" s="39"/>
      <c r="KT19" s="39"/>
      <c r="KU19" s="38"/>
      <c r="KV19" s="38"/>
      <c r="KW19" s="38"/>
      <c r="KX19" s="38"/>
      <c r="KY19" s="38"/>
      <c r="KZ19" s="38"/>
      <c r="LA19" s="38"/>
      <c r="LB19" s="38"/>
      <c r="LC19" s="38"/>
      <c r="LD19" s="38"/>
      <c r="LE19" s="38"/>
      <c r="LF19" s="38"/>
      <c r="LG19" s="38"/>
      <c r="LH19" s="38"/>
      <c r="LI19" s="38"/>
      <c r="LJ19" s="38"/>
      <c r="LK19" s="38"/>
      <c r="LL19" s="38"/>
      <c r="LM19" s="38"/>
      <c r="LN19" s="38"/>
      <c r="LO19" s="38"/>
      <c r="LP19" s="38"/>
      <c r="LQ19" s="38"/>
      <c r="LR19" s="38"/>
      <c r="LS19" s="38"/>
      <c r="LT19" s="38"/>
      <c r="LU19" s="38"/>
      <c r="LV19" s="38"/>
      <c r="LW19" s="38"/>
      <c r="LX19" s="38"/>
      <c r="LY19" s="38"/>
      <c r="LZ19" s="38"/>
      <c r="MA19" s="38"/>
      <c r="MB19" s="38"/>
      <c r="MC19" s="38"/>
      <c r="MD19" s="38"/>
      <c r="ME19" s="38"/>
      <c r="MF19" s="38"/>
      <c r="MG19" s="38"/>
      <c r="MH19" s="43">
        <f t="shared" si="58"/>
        <v>0</v>
      </c>
      <c r="MI19" s="43" t="str">
        <f t="shared" si="59"/>
        <v/>
      </c>
      <c r="MJ19" s="43" t="str">
        <f t="shared" si="60"/>
        <v/>
      </c>
      <c r="MK19" s="43">
        <f t="shared" si="61"/>
        <v>0</v>
      </c>
      <c r="ML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 s="43">
        <f t="shared" si="62"/>
        <v>6</v>
      </c>
      <c r="MN19" s="43">
        <f t="shared" si="63"/>
        <v>9</v>
      </c>
      <c r="MO19" s="43">
        <f t="shared" si="64"/>
        <v>2022</v>
      </c>
      <c r="MP19" s="43" t="str">
        <f t="shared" si="65"/>
        <v>III TRIMESTRE AÑO</v>
      </c>
      <c r="MQ19" s="43">
        <f t="shared" si="66"/>
        <v>23.278033289531319</v>
      </c>
      <c r="MR19" s="43">
        <f t="shared" si="67"/>
        <v>0</v>
      </c>
      <c r="MS19" s="43" t="str">
        <f t="shared" si="68"/>
        <v xml:space="preserve"> DE 20 A 24 AÑOS</v>
      </c>
      <c r="MT19" s="43" t="str">
        <f t="shared" si="69"/>
        <v/>
      </c>
      <c r="MU19" s="43">
        <f t="shared" si="70"/>
        <v>1</v>
      </c>
      <c r="MV19" s="43">
        <f t="shared" si="71"/>
        <v>0</v>
      </c>
      <c r="MW19" s="43">
        <f t="shared" si="72"/>
        <v>0</v>
      </c>
      <c r="MX19" s="43" t="str">
        <f t="shared" si="73"/>
        <v/>
      </c>
      <c r="MY19" s="43" t="str">
        <f t="shared" ca="1" si="74"/>
        <v/>
      </c>
      <c r="MZ19" s="43" t="str">
        <f t="shared" si="75"/>
        <v/>
      </c>
      <c r="NA19" s="43">
        <f t="shared" si="76"/>
        <v>0</v>
      </c>
      <c r="NB19" s="43" t="str">
        <f t="shared" si="77"/>
        <v/>
      </c>
      <c r="NC19" s="43" t="str">
        <f t="shared" si="78"/>
        <v/>
      </c>
      <c r="ND19" s="43">
        <f t="shared" ca="1" si="79"/>
        <v>2</v>
      </c>
      <c r="NE19" s="43">
        <f>IF(OR(O19&gt;0,R19&gt;0),SUM(COUNTIF(Tabla1[[#This Row],[AÑOS AL INICIO5 CPN]],"&gt;=40"),COUNTIF(AS19,"0"),COUNTIF(AR19,"SI"),COUNTIF(CC19,"SI"),COUNTIF(BQ19,"&gt;119"),COUNTIF(CI19,"&gt;=35")),"")</f>
        <v>0</v>
      </c>
      <c r="NF19" s="43">
        <f t="shared" si="80"/>
        <v>20.571428571428573</v>
      </c>
      <c r="NG19" s="43">
        <f t="shared" si="81"/>
        <v>0</v>
      </c>
      <c r="NH19" s="43">
        <f t="shared" si="82"/>
        <v>105</v>
      </c>
      <c r="NI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CPN",P19="NO"),"Z",IF(AND(Tabla1[[#This Row],[CITA PROXIMO CONTROL]]="CITA MANUAL",Tabla1[[#This Row],[GESTANTES ACTUALES]]="ACTIVA INGRESO A CPN"),"W",IF(AND(Tabla1[[#This Row],[GESTANTES ACTUALES]]="SALIO PROGRAMA",IN19=""),"S",IF(AND(Tabla1[[#This Row],[CITA PROXIMO CONTROL]]&gt;0,IN19=""),(Tabla1[[#This Row],[CITA PROXIMO CONTROL]]-TODAY()),"SD"))))))))</f>
        <v>SD</v>
      </c>
      <c r="NJ19" s="43">
        <f>MONTH(Tabla1[[#This Row],[FECHA DE SALIDA  DEL PROGRAMA]])</f>
        <v>5</v>
      </c>
      <c r="NK19" s="43">
        <f>YEAR(Tabla1[[#This Row],[FECHA DE SALIDA  DEL PROGRAMA]])</f>
        <v>2023</v>
      </c>
      <c r="NL19" s="43">
        <f t="shared" si="83"/>
        <v>81</v>
      </c>
      <c r="NM19" s="43" t="str">
        <f t="shared" si="84"/>
        <v>NO</v>
      </c>
      <c r="NN19" s="43" t="str">
        <f ca="1">IF(AND(O19&gt;0,R19=""),"NO CPN",IF(AND(O19="",R19=""),"",IF(AND(R19&gt;0,Tabla1[[#This Row],[SEMANAS DE GESTACION ACTUALIZADAS]]&lt;=12),"NO APLICA",IF(AND(FH19&lt;&gt;"",FN19&lt;&gt;""),"SI","NO"))))</f>
        <v>SI</v>
      </c>
      <c r="NO19" s="43" t="str">
        <f ca="1">IF(AND(O19&gt;0,R19=""),"NO CPN",IF(AND(O19="",R19=""),"",IF(AND(R19&gt;0,Tabla1[[#This Row],[SEMANAS DE GESTACION ACTUALIZADAS]]&lt;=27),"NO APLICA",IF(AND(ES19&lt;&gt;"",FQ19&lt;&gt;"",GF19&lt;&gt;""),"SI","NO"))))</f>
        <v>NO</v>
      </c>
      <c r="NP19" s="204" t="str">
        <f t="shared" si="85"/>
        <v>DEFINIR CON ECO</v>
      </c>
      <c r="NQ19" s="21">
        <f t="shared" si="86"/>
        <v>10</v>
      </c>
      <c r="NR19" s="21">
        <f t="shared" si="87"/>
        <v>3</v>
      </c>
      <c r="NS19" s="205">
        <f t="shared" ca="1" si="88"/>
        <v>2</v>
      </c>
      <c r="NT19" s="21">
        <f t="shared" ca="1" si="89"/>
        <v>2</v>
      </c>
      <c r="NU19" s="21" t="str">
        <f t="shared" ca="1" si="90"/>
        <v>INCOMPLETO</v>
      </c>
      <c r="NV19" s="21" t="str">
        <f t="shared" ca="1" si="91"/>
        <v>INCOMPLETO</v>
      </c>
      <c r="NW19" s="206" t="str">
        <f>IF(AND(O19="",R19=""),"",IF(OR(AND(Tabla1[[#This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9" s="207" t="str">
        <f t="shared" ca="1" si="92"/>
        <v>VACUNADA</v>
      </c>
      <c r="NY19" s="43">
        <f>ROW(Tabla1[[#This Row],['# DE TAMIZAJES SIFILIS TOMADOS ]])</f>
        <v>19</v>
      </c>
      <c r="NZ19" s="43" t="str">
        <f t="shared" si="93"/>
        <v>Menor</v>
      </c>
      <c r="OA19" s="43" t="str">
        <f t="shared" si="94"/>
        <v>SOBREPESO</v>
      </c>
      <c r="OB19" s="43" t="str">
        <f t="shared" si="95"/>
        <v/>
      </c>
      <c r="OC19" s="43" t="str">
        <f t="shared" si="96"/>
        <v/>
      </c>
      <c r="OD19" s="43" t="str">
        <f t="shared" si="97"/>
        <v/>
      </c>
      <c r="OE19" s="43" t="str">
        <f t="shared" si="98"/>
        <v/>
      </c>
      <c r="OF19" s="43" t="str">
        <f t="shared" si="99"/>
        <v/>
      </c>
      <c r="OG19" s="43" t="str">
        <f t="shared" si="100"/>
        <v/>
      </c>
      <c r="OH19" s="43" t="str">
        <f t="shared" si="101"/>
        <v/>
      </c>
      <c r="OI19" s="43" t="str">
        <f t="shared" si="102"/>
        <v/>
      </c>
      <c r="OJ19" s="43" t="str">
        <f t="shared" si="103"/>
        <v/>
      </c>
      <c r="OK19" s="43" t="str">
        <f t="shared" si="104"/>
        <v/>
      </c>
      <c r="OL19" s="43" t="str">
        <f t="shared" si="105"/>
        <v/>
      </c>
      <c r="OM19" s="43" t="str">
        <f t="shared" si="106"/>
        <v/>
      </c>
      <c r="ON19" s="43" t="str">
        <f t="shared" si="107"/>
        <v/>
      </c>
      <c r="OO19" s="43" t="str">
        <f t="shared" si="108"/>
        <v/>
      </c>
      <c r="OP19" s="43" t="str">
        <f t="shared" si="109"/>
        <v/>
      </c>
      <c r="OQ19" s="43" t="str">
        <f t="shared" si="110"/>
        <v/>
      </c>
      <c r="OR19" s="43" t="str">
        <f t="shared" si="111"/>
        <v/>
      </c>
      <c r="OS19" s="43" t="str">
        <f t="shared" si="112"/>
        <v/>
      </c>
      <c r="OT19" s="43" t="str">
        <f t="shared" si="113"/>
        <v/>
      </c>
      <c r="OU19" s="43" t="str">
        <f t="shared" si="114"/>
        <v/>
      </c>
      <c r="OV19" s="110" t="str">
        <f t="shared" si="115"/>
        <v/>
      </c>
      <c r="OW19" s="43" t="str">
        <f t="shared" si="116"/>
        <v/>
      </c>
      <c r="OX19" s="43" t="str">
        <f t="shared" si="117"/>
        <v/>
      </c>
      <c r="OY19" s="43" t="str">
        <f t="shared" si="118"/>
        <v/>
      </c>
      <c r="OZ19" s="43" t="str">
        <f t="shared" si="119"/>
        <v/>
      </c>
      <c r="PA19" s="43" t="str">
        <f t="shared" si="120"/>
        <v/>
      </c>
      <c r="PB19" s="43" t="str">
        <f t="shared" si="121"/>
        <v/>
      </c>
      <c r="PC19" s="43" t="str">
        <f t="shared" si="122"/>
        <v/>
      </c>
      <c r="PD19" s="43" t="str">
        <f t="shared" si="123"/>
        <v/>
      </c>
      <c r="PE19" s="43" t="str">
        <f t="shared" si="124"/>
        <v/>
      </c>
      <c r="PF19" s="43" t="str">
        <f t="shared" si="125"/>
        <v/>
      </c>
      <c r="PG19" s="43" t="str">
        <f t="shared" si="126"/>
        <v/>
      </c>
      <c r="PH19" s="43" t="str">
        <f t="shared" si="127"/>
        <v/>
      </c>
      <c r="PI19" s="43">
        <f t="shared" si="128"/>
        <v>36</v>
      </c>
      <c r="PJ19" s="43" t="str">
        <f t="shared" si="129"/>
        <v/>
      </c>
      <c r="PK19" s="43" t="str">
        <f t="shared" si="130"/>
        <v/>
      </c>
      <c r="PL19" s="43" t="str">
        <f t="shared" si="131"/>
        <v/>
      </c>
      <c r="PM19" s="43" t="str">
        <f t="shared" si="132"/>
        <v/>
      </c>
      <c r="PN19" s="43" t="str">
        <f t="shared" si="133"/>
        <v/>
      </c>
      <c r="PO19" s="43" t="str">
        <f t="shared" si="134"/>
        <v/>
      </c>
      <c r="PP19" s="43" t="str">
        <f t="shared" si="135"/>
        <v/>
      </c>
      <c r="PQ19" s="43" t="str">
        <f t="shared" si="136"/>
        <v/>
      </c>
      <c r="PR19" s="43" t="str">
        <f t="shared" si="137"/>
        <v/>
      </c>
      <c r="PS19" s="43" t="str">
        <f t="shared" si="138"/>
        <v/>
      </c>
      <c r="PT19" s="43" t="str">
        <f t="shared" si="139"/>
        <v/>
      </c>
      <c r="PU19" s="43" t="str">
        <f t="shared" si="140"/>
        <v/>
      </c>
      <c r="PV19" s="43" t="str">
        <f t="shared" si="141"/>
        <v/>
      </c>
      <c r="PW19" s="43" t="str">
        <f t="shared" si="142"/>
        <v/>
      </c>
      <c r="PX19" s="43" t="str">
        <f t="shared" si="143"/>
        <v/>
      </c>
      <c r="PY19" s="43" t="str">
        <f t="shared" si="144"/>
        <v/>
      </c>
      <c r="PZ19" s="43" t="str">
        <f t="shared" si="145"/>
        <v/>
      </c>
      <c r="QA19" s="43" t="str">
        <f t="shared" si="146"/>
        <v/>
      </c>
      <c r="QB19" s="43" t="str">
        <f t="shared" si="147"/>
        <v/>
      </c>
      <c r="QC19" s="43" t="str">
        <f t="shared" si="148"/>
        <v/>
      </c>
      <c r="QD19" s="43" t="str">
        <f t="shared" si="149"/>
        <v/>
      </c>
      <c r="QE19" s="43" t="str">
        <f t="shared" si="150"/>
        <v/>
      </c>
      <c r="QF19" s="43" t="str">
        <f t="shared" si="151"/>
        <v/>
      </c>
      <c r="QG19" s="43" t="str">
        <f t="shared" si="152"/>
        <v/>
      </c>
      <c r="QH19" s="43" t="str">
        <f t="shared" si="153"/>
        <v/>
      </c>
      <c r="QI19" s="43" t="str">
        <f t="shared" si="154"/>
        <v/>
      </c>
      <c r="QJ19" s="43" t="str">
        <f t="shared" si="155"/>
        <v/>
      </c>
      <c r="QK19" s="43" t="str">
        <f t="shared" si="156"/>
        <v/>
      </c>
      <c r="QL19" s="43" t="str">
        <f t="shared" si="157"/>
        <v/>
      </c>
      <c r="QM19" s="43" t="str">
        <f t="shared" si="158"/>
        <v/>
      </c>
      <c r="QN19" s="43" t="str">
        <f t="shared" si="159"/>
        <v/>
      </c>
      <c r="QO19" s="43" t="str">
        <f t="shared" si="160"/>
        <v/>
      </c>
      <c r="QP19" s="43" t="str">
        <f t="shared" si="161"/>
        <v/>
      </c>
      <c r="QQ19" s="43" t="str">
        <f t="shared" si="162"/>
        <v/>
      </c>
      <c r="QR19" s="43">
        <f t="shared" si="192"/>
        <v>36</v>
      </c>
      <c r="QS19" s="43"/>
      <c r="QT19" s="21" t="str">
        <f t="shared" si="163"/>
        <v/>
      </c>
      <c r="QU19" s="21" t="str">
        <f t="shared" si="164"/>
        <v/>
      </c>
      <c r="QV19" s="21" t="str">
        <f t="shared" si="165"/>
        <v/>
      </c>
      <c r="QW19" s="21" t="str">
        <f t="shared" si="166"/>
        <v/>
      </c>
      <c r="QX19" s="21" t="str">
        <f t="shared" si="167"/>
        <v/>
      </c>
      <c r="QY19" s="21" t="str">
        <f t="shared" si="168"/>
        <v/>
      </c>
      <c r="QZ19" s="21" t="str">
        <f t="shared" si="169"/>
        <v/>
      </c>
      <c r="RA19" s="21" t="str">
        <f t="shared" si="170"/>
        <v/>
      </c>
      <c r="RB19" s="21" t="str">
        <f t="shared" si="171"/>
        <v/>
      </c>
      <c r="RC19" s="21" t="str">
        <f t="shared" si="172"/>
        <v/>
      </c>
      <c r="RD19" s="21" t="str">
        <f t="shared" si="173"/>
        <v/>
      </c>
      <c r="RE19" s="21" t="str">
        <f t="shared" si="174"/>
        <v/>
      </c>
      <c r="RF19" s="21" t="str">
        <f t="shared" si="175"/>
        <v/>
      </c>
      <c r="RG19" s="21" t="str">
        <f t="shared" si="176"/>
        <v/>
      </c>
      <c r="RH19" s="21" t="str">
        <f t="shared" si="177"/>
        <v/>
      </c>
      <c r="RI19" s="21" t="str">
        <f t="shared" si="178"/>
        <v/>
      </c>
      <c r="RJ19" s="21" t="str">
        <f t="shared" si="179"/>
        <v/>
      </c>
      <c r="RK19" s="21" t="str">
        <f t="shared" si="180"/>
        <v/>
      </c>
      <c r="RL19" s="21" t="str">
        <f t="shared" si="181"/>
        <v/>
      </c>
      <c r="RM19" s="21" t="str">
        <f t="shared" si="182"/>
        <v/>
      </c>
      <c r="RN19" s="21" t="str">
        <f t="shared" si="183"/>
        <v/>
      </c>
      <c r="RO19" s="21" t="str">
        <f t="shared" si="184"/>
        <v/>
      </c>
      <c r="RP19" s="21" t="str">
        <f t="shared" si="185"/>
        <v/>
      </c>
      <c r="RQ19" s="21" t="str">
        <f t="shared" si="186"/>
        <v/>
      </c>
      <c r="RR19" s="21" t="str">
        <f t="shared" si="187"/>
        <v/>
      </c>
      <c r="RS19" s="21" t="str">
        <f t="shared" si="188"/>
        <v/>
      </c>
      <c r="RT19" s="21" t="str">
        <f t="shared" si="189"/>
        <v/>
      </c>
      <c r="RU19" s="21" t="str">
        <f t="shared" si="190"/>
        <v/>
      </c>
      <c r="RV19" s="21">
        <f t="shared" si="191"/>
        <v>15.428571428571429</v>
      </c>
      <c r="RW19" s="284">
        <f>IF(OR(Tabla1[[#This Row],[FUM FORMULA CONFIABLE]]="",Tabla1[[#This Row],[FUM FORMULA CONFIABLE]]="SD"),"",IF(Tabla1[[#This Row],[FUM FORMULA CONFIABLE]]="CORREGIDA",Tabla1[[#This Row],[FUM X ECO 1]],Tabla1[[#This Row],[FUM x AMENORREA]]))</f>
        <v>44786</v>
      </c>
      <c r="RX19" s="21">
        <f>IF(AND(Tabla1[[#This Row],[FUM X ECO 1]]="",Tabla1[[#This Row],[FUM x AMENORREA]]=""),"",IF(AND(Tabla1[[#This Row],[FUM X ECO 1]]="",Tabla1[[#This Row],[FUM x AMENORREA]]&lt;&gt;""),"X",SUM(Tabla1[[#This Row],[FUM X ECO 1]]-Tabla1[[#This Row],[FUM x AMENORREA]])))</f>
        <v>3</v>
      </c>
      <c r="RY19" s="21">
        <f t="shared" si="193"/>
        <v>0</v>
      </c>
    </row>
    <row r="20" spans="1:493" ht="45" customHeight="1" x14ac:dyDescent="0.25">
      <c r="A20" s="109"/>
      <c r="B20" s="43" t="s">
        <v>927</v>
      </c>
      <c r="C20" s="43" t="s">
        <v>845</v>
      </c>
      <c r="D20" s="124" t="s">
        <v>846</v>
      </c>
      <c r="E20" s="43" t="s">
        <v>967</v>
      </c>
      <c r="F20" s="43" t="s">
        <v>968</v>
      </c>
      <c r="G20" s="43" t="s">
        <v>969</v>
      </c>
      <c r="H20" s="43"/>
      <c r="I20" s="109" t="s">
        <v>851</v>
      </c>
      <c r="J20" s="110">
        <v>1002848677</v>
      </c>
      <c r="K20" s="43" t="s">
        <v>852</v>
      </c>
      <c r="L20" s="175" t="s">
        <v>853</v>
      </c>
      <c r="M20" s="22">
        <v>36452</v>
      </c>
      <c r="N20" s="213">
        <f t="shared" ca="1" si="0"/>
        <v>24.057534246575344</v>
      </c>
      <c r="O20" s="22">
        <v>44833</v>
      </c>
      <c r="P20" s="214" t="str">
        <f t="shared" si="1"/>
        <v>SI</v>
      </c>
      <c r="Q20" s="26" t="s">
        <v>855</v>
      </c>
      <c r="R20" s="22">
        <v>44833</v>
      </c>
      <c r="S20" s="21" t="s">
        <v>856</v>
      </c>
      <c r="T20" s="24" t="s">
        <v>690</v>
      </c>
      <c r="U20" s="21" t="s">
        <v>857</v>
      </c>
      <c r="V20" s="21" t="s">
        <v>858</v>
      </c>
      <c r="W20" s="21" t="s">
        <v>970</v>
      </c>
      <c r="X20" s="21" t="s">
        <v>970</v>
      </c>
      <c r="Y20" s="21" t="s">
        <v>859</v>
      </c>
      <c r="Z20" s="21" t="s">
        <v>971</v>
      </c>
      <c r="AA20" s="21" t="s">
        <v>860</v>
      </c>
      <c r="AB20" s="27" t="s">
        <v>861</v>
      </c>
      <c r="AC20" s="26" t="s">
        <v>888</v>
      </c>
      <c r="AD20" s="38" t="s">
        <v>846</v>
      </c>
      <c r="AE20" s="26" t="s">
        <v>854</v>
      </c>
      <c r="AF20" s="26" t="s">
        <v>854</v>
      </c>
      <c r="AG20" s="23" t="s">
        <v>864</v>
      </c>
      <c r="AH20" s="23" t="s">
        <v>864</v>
      </c>
      <c r="AI20" s="24" t="s">
        <v>863</v>
      </c>
      <c r="AJ20" s="23" t="s">
        <v>864</v>
      </c>
      <c r="AK20" s="220" t="str">
        <f>IF(AND(AD20="",AE20="",AF20="",AG20="",AH20="",AI20="",AJ20=""),"",IF(OR(Tabla1[[#This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EVALUACIÓN",IF(AND(O20="",R20=""),"",IF(AND(OR(O20&gt;0,R20&gt;0),NG20&gt;=0,NG20&lt;2),"SIN RIESGO",IF(AND(OR(O20&gt;0,R20&gt;0),NG20&gt;=2),"CON RIESGO","ASD")))))</f>
        <v>SIN RIESGO</v>
      </c>
      <c r="AL20" s="23" t="s">
        <v>864</v>
      </c>
      <c r="AM20" s="26" t="s">
        <v>864</v>
      </c>
      <c r="AN20" s="26" t="s">
        <v>864</v>
      </c>
      <c r="AO20" s="26" t="s">
        <v>864</v>
      </c>
      <c r="AP20" s="26" t="s">
        <v>864</v>
      </c>
      <c r="AQ20" s="26" t="s">
        <v>864</v>
      </c>
      <c r="AR20" s="26" t="s">
        <v>864</v>
      </c>
      <c r="AS20" s="21">
        <v>2</v>
      </c>
      <c r="AT20" s="21">
        <v>0</v>
      </c>
      <c r="AU20" s="21">
        <v>1</v>
      </c>
      <c r="AV20" s="26" t="s">
        <v>864</v>
      </c>
      <c r="AW20" s="21">
        <v>0</v>
      </c>
      <c r="AX20" s="26" t="s">
        <v>865</v>
      </c>
      <c r="AY20" s="26" t="s">
        <v>864</v>
      </c>
      <c r="AZ20" s="26" t="s">
        <v>864</v>
      </c>
      <c r="BA20" s="26" t="s">
        <v>864</v>
      </c>
      <c r="BB20" s="26" t="s">
        <v>864</v>
      </c>
      <c r="BC20" s="26" t="s">
        <v>864</v>
      </c>
      <c r="BD20" s="26" t="s">
        <v>864</v>
      </c>
      <c r="BE20" s="26" t="s">
        <v>864</v>
      </c>
      <c r="BF20" s="26" t="s">
        <v>864</v>
      </c>
      <c r="BG20" s="26" t="s">
        <v>864</v>
      </c>
      <c r="BH20" s="26" t="s">
        <v>864</v>
      </c>
      <c r="BI20" s="26" t="s">
        <v>864</v>
      </c>
      <c r="BJ20" s="26"/>
      <c r="BK20" s="26"/>
      <c r="BL20" s="26" t="s">
        <v>864</v>
      </c>
      <c r="BM20" s="26" t="s">
        <v>864</v>
      </c>
      <c r="BN20" s="22"/>
      <c r="BO20" s="22">
        <v>44792</v>
      </c>
      <c r="BP20" s="21" t="s">
        <v>854</v>
      </c>
      <c r="BQ20" s="222">
        <f t="shared" si="2"/>
        <v>0</v>
      </c>
      <c r="BR20" s="223">
        <f t="shared" si="3"/>
        <v>44792</v>
      </c>
      <c r="BS20" s="224">
        <f t="shared" si="4"/>
        <v>5.8571428571428568</v>
      </c>
      <c r="BT20" s="216" t="str">
        <f t="shared" si="5"/>
        <v>I TRIM</v>
      </c>
      <c r="BU20" s="214" t="str">
        <f t="shared" ca="1" si="6"/>
        <v/>
      </c>
      <c r="BV20" s="25"/>
      <c r="BW20" s="22">
        <v>44834</v>
      </c>
      <c r="BX20" s="28">
        <v>6</v>
      </c>
      <c r="BY20" s="28"/>
      <c r="BZ20" s="22"/>
      <c r="CA20" s="21"/>
      <c r="CB20" s="26" t="s">
        <v>864</v>
      </c>
      <c r="CC20" s="26" t="s">
        <v>864</v>
      </c>
      <c r="CD20" s="26" t="s">
        <v>972</v>
      </c>
      <c r="CE20" s="26" t="s">
        <v>864</v>
      </c>
      <c r="CF20" s="22" t="s">
        <v>1517</v>
      </c>
      <c r="CG20" s="21">
        <v>1.51</v>
      </c>
      <c r="CH20" s="21">
        <v>53</v>
      </c>
      <c r="CI20" s="214">
        <f t="shared" si="7"/>
        <v>23.244594535327398</v>
      </c>
      <c r="CJ20" s="225" t="str">
        <f>IF(AND(CI20&lt;10,CH20="SD"),"SIN DATO PESO PREGESTACION O I TRIM",IF(AND(OR(R20&gt;0,O20&gt;0),CI20="X"),"INGRESAR DATO DE PESO",IF(CI20="SD","INGRESAR DATO DE TALLA Y PESO",IF(AND(OR(Tabla1[[#This Row],[MOMENTO EN QUE SE REALIZA EL PESO AL INGRESO A CPN]]="PREGESTACIÓN",NZ20="Menor"),CI20&lt;18.5),"BAJO PESO",IF(AND(OR(Tabla1[[#This Row],[MOMENTO EN QUE SE REALIZA EL PESO AL INGRESO A CPN]]="PREGESTACIÓN",NZ20="Menor"),CI20&lt;25),"NORMAL",IF(AND(OR(Tabla1[[#This Row],[MOMENTO EN QUE SE REALIZA EL PESO AL INGRESO A CPN]]="PREGESTACIÓN",NZ20="Menor"),CI20&lt;30),"SOBREPESO",IF(AND(OR(Tabla1[[#This Row],[MOMENTO EN QUE SE REALIZA EL PESO AL INGRESO A CPN]]="PREGESTACIÓN",NZ20="Menor"),CI20&gt;=30,CI20&lt;50),"OBESIDAD",IF(AND(BS20&gt;0,Tabla1[[#This Row],[MOMENTO EN QUE SE REALIZA EL PESO AL INGRESO A CPN]]="GESTACIÓN"),HLOOKUP(NZ20,$OA$2:PH20,NY20),""))))))))</f>
        <v>NORMAL</v>
      </c>
      <c r="CK20" s="212">
        <f t="shared" si="8"/>
        <v>44992</v>
      </c>
      <c r="CL20" s="21"/>
      <c r="CM20" s="214">
        <f t="shared" si="9"/>
        <v>0</v>
      </c>
      <c r="CN20" s="216">
        <f t="shared" si="10"/>
        <v>28</v>
      </c>
      <c r="CO20" s="216" t="e">
        <f>IF(PI20="","",IF(PI20&gt;0,HLOOKUP(PI20,$PJ$2:QQ20,NY20),""))</f>
        <v>#REF!</v>
      </c>
      <c r="CP20" s="21"/>
      <c r="CQ20" s="216" t="e">
        <f>IF(QR20="Menor","NO APLICA-MENOR 13 SEM",IF(AND(CC20="SI",CN20&gt;23),"NO APLICA- GEMELAR",IF(QR20="","",IF(QR20&gt;0,HLOOKUP(QR20,$QS$2:RU20,NY20),""))))</f>
        <v>#REF!</v>
      </c>
      <c r="CR20" s="21">
        <v>100</v>
      </c>
      <c r="CS20" s="21">
        <v>70</v>
      </c>
      <c r="CT20" s="217" t="str">
        <f>IF(R20="","",IF(AND(BS20&gt;1,BS20&lt;12,Tabla1[[#This Row],[T.A. SISTOLICA - ANTES DE SEMANA 12]]="",Tabla1[[#This Row],[T.A. DIASTOLICA - ANTES DE SEMANA 12]]=""),"REGISTRE DATO TA ANTES SEMANA 12",IF(AND(BS20&gt;11,BS20&lt;43,Tabla1[[#This Row],[T.A. SISTOLICA - ANTES DE SEMANA 12]]="",Tabla1[[#This Row],[T.A. DIASTOLICA - ANTES DE SEMANA 12]]=""),"NO APLICA REGISTRO TA-INGRESO TARDIO",IF(AND(OR(O20&gt;0,R20&gt;0),OR(CR20&gt;=140,CS20&gt;=90)),"DEFINIR ESTADIO HTA",IF(AND(OR(O20&gt;0,R20&gt;0),AND(CR20&gt;120,CR20&lt;=139)),"PRE HTA SEGUIMIENTO",IF(AND(OR(O20&gt;0,R20&gt;0),AND(CS20&gt;80,CS20&lt;=89)),"PRE HTA SEGUIMIENTO",IF(AND(OR(O20&gt;0,R20&gt;0),AND(CR20&gt;=80,CR20&lt;=120)),"APARENTEMENTE NORMAL",IF(AND(OR(O20&gt;0,R20&gt;0),AND(CS20&gt;=50,CS20&lt;=80)),"APARENTEMENTE NORMAL",IF(AND(OR(O20&gt;0,R20&gt;0),AND(CR20&gt;1,CR20&lt;=70),AND(CS20&gt;1,CS20&lt;=40)),"HIPOTENSIÓN","")))))))))</f>
        <v>APARENTEMENTE NORMAL</v>
      </c>
      <c r="CU20" s="21">
        <v>90</v>
      </c>
      <c r="CV20" s="21">
        <v>60</v>
      </c>
      <c r="CW20" s="217" t="str">
        <f ca="1">IF(R20="","",IF(AND(CN20&gt;19,CN20&lt;27,Tabla1[[#This Row],[T.A. SISTOLICA (Entre semana 20 y 26)]]="",Tabla1[[#This Row],[T.A. DIATOLICA (Entre semana 20 y 26)]]=""),"ACUDE A CONTROL SEM 20 A 26 REGISTRE TA AHORA",IF(AND(BS20&gt;1,BS20&lt;27,BU20&gt;19,Tabla1[[#This Row],[T.A. SISTOLICA (Entre semana 20 y 26)]]="",Tabla1[[#This Row],[T.A. DIATOLICA (Entre semana 20 y 26)]]=""),"COMPLETE REGISTRO TA CONTROL SEM 20 A26 ",IF(AND(BS20&gt;26,BS20&lt;43,Tabla1[[#This Row],[T.A. SISTOLICA (Entre semana 20 y 26)]]="",Tabla1[[#This Row],[T.A. DIATOLICA (Entre semana 20 y 26)]]=""),"NO APLICA REGISTRO TA-INGRESO TARDIO",IF(AND(OR(O20&gt;0,R20&gt;0),OR(CU20&gt;=140,CV20&gt;=90)),"ALTO RIESGO PREECLAMPSIA,DEFINIR ESTADIO HTA",IF(AND(OR(O20&gt;0,R20&gt;0),AND(CU20&gt;120,CU20&lt;=139)),"PRE HTA SEGUIMIENTO,RIESGO HIPERTENSION INDUCIDA POR EL EMBARAZO",IF(AND(OR(O20&gt;0,R20&gt;0),AND(CV20&gt;80,CV20&lt;=89)),"PRE HTA SEGUIMIENTO, RIESGO HIPERTENSION INDUCIDA POR EL EMBARAZO",IF(AND(OR(O20&lt;&gt;"",R20&lt;&gt;""),CS20&lt;&gt;"",CV20&lt;&gt;"",CS20&lt;=CV20),"VIGILAR CIFRAS PRESION ARTERIAL",IF(AND(OR(O20&gt;0,R20&gt;0),AND(CU20&gt;120,CU20&lt;=139)),"PRE HTA SEGUIMIENTO",IF(AND(OR(O20&gt;0,R20&gt;0),AND(CU20&gt;1,CU20&lt;=70),AND(CV20&gt;1,CV20&lt;=40)),"HIPOTENSIÓN",IF(AND(OR(O20&lt;&gt;"",R20&lt;&gt;""),CS20&lt;&gt;"",CV20&lt;&gt;"",CS20&gt;CV20),"APARENTEMENTE NORMAL",IF(AND(OR(O20&gt;0,R20&gt;0),AND(CU20&gt;=80,CU20&lt;=120)),"APARENTEMENTE NORMAL",IF(AND(OR(O20&gt;0,R20&gt;0),AND(CV20&gt;=50,CV20&lt;=80)),"APARENTEMENTE NORMAL","")))))))))))))</f>
        <v>APARENTEMENTE NORMAL</v>
      </c>
      <c r="CX20" s="21"/>
      <c r="CY20" s="21"/>
      <c r="CZ20" s="216" t="str">
        <f t="shared" si="11"/>
        <v/>
      </c>
      <c r="DA20" s="21"/>
      <c r="DB20" s="21"/>
      <c r="DC20" s="217" t="str">
        <f t="shared" si="12"/>
        <v>REGISTRE DATO PRESIÓN ARTERIAL MENSUAL</v>
      </c>
      <c r="DD20" s="22">
        <v>44833</v>
      </c>
      <c r="DE20" s="22">
        <v>44833</v>
      </c>
      <c r="DF20" s="22">
        <v>44863</v>
      </c>
      <c r="DG20" s="22">
        <v>44894</v>
      </c>
      <c r="DH20" s="22">
        <v>44931</v>
      </c>
      <c r="DI20" s="22">
        <v>44964</v>
      </c>
      <c r="DJ20" s="22">
        <v>44992</v>
      </c>
      <c r="DK20" s="22"/>
      <c r="DL20" s="22"/>
      <c r="DM20" s="22"/>
      <c r="DN20" s="22"/>
      <c r="DO20" s="22"/>
      <c r="DP20" s="22"/>
      <c r="DQ20" s="22"/>
      <c r="DR20" s="28">
        <v>1</v>
      </c>
      <c r="DS20" s="22"/>
      <c r="DT20" s="22"/>
      <c r="DU20" s="216" t="str">
        <f t="shared" ca="1" si="13"/>
        <v>SALE PROGRAMA ANTES SEMANA 35</v>
      </c>
      <c r="DV20" s="226" t="str">
        <f t="shared" si="14"/>
        <v>SALIO PROGRAMA</v>
      </c>
      <c r="DW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0" s="216" t="str">
        <f t="shared" ca="1" si="15"/>
        <v/>
      </c>
      <c r="DY20" s="212">
        <f>IF(R20="","",IF(R20&gt;0,MAX(Tabla1[[#This Row],[FECHA C2]:[FECHA C13]],Tabla1[[#This Row],[FECHA CONSULTA PRIMERA VEZ PROGRAMA CPN ]])))</f>
        <v>44992</v>
      </c>
      <c r="DZ20" s="216">
        <f t="shared" si="16"/>
        <v>28</v>
      </c>
      <c r="EA20" s="222">
        <f>IF(R20&gt;0,SUM(COUNTA(DF20:DQ20)+COUNTA(Tabla1[[#This Row],[FECHA CONSULTA PRIMERA VEZ PROGRAMA CPN ]])),"")</f>
        <v>6</v>
      </c>
      <c r="EB20" s="222" t="str">
        <f t="shared" si="17"/>
        <v>SI</v>
      </c>
      <c r="EC20" s="214">
        <f t="shared" si="18"/>
        <v>10</v>
      </c>
      <c r="ED20" s="227">
        <f t="shared" si="19"/>
        <v>0.6</v>
      </c>
      <c r="EE20" s="22">
        <v>44833</v>
      </c>
      <c r="EF20" s="22">
        <v>44833</v>
      </c>
      <c r="EG20" s="22">
        <v>44833</v>
      </c>
      <c r="EH20" s="22"/>
      <c r="EI20" s="22">
        <v>44833</v>
      </c>
      <c r="EJ20" s="22"/>
      <c r="EK20" s="344">
        <v>44956</v>
      </c>
      <c r="EL20" s="21"/>
      <c r="EM20" s="21">
        <v>14.9</v>
      </c>
      <c r="EN20" s="22">
        <v>44834</v>
      </c>
      <c r="EO20" s="222">
        <f t="shared" si="20"/>
        <v>6</v>
      </c>
      <c r="EP20" s="214" t="str">
        <f t="shared" si="21"/>
        <v>NO DAR SULFATO FERROSO</v>
      </c>
      <c r="EQ20" s="216" t="str">
        <f t="shared" si="22"/>
        <v>I TRIM</v>
      </c>
      <c r="ER20" s="24"/>
      <c r="ES20" s="22"/>
      <c r="ET20" s="29" t="str">
        <f t="shared" ca="1" si="23"/>
        <v>SALE SIN TAMIZAJE HEMOGLOBINA SEM 28</v>
      </c>
      <c r="EU20" s="25" t="str">
        <f t="shared" si="24"/>
        <v/>
      </c>
      <c r="EV20" s="24" t="s">
        <v>866</v>
      </c>
      <c r="EW20" s="24">
        <v>44834</v>
      </c>
      <c r="EX20" s="22"/>
      <c r="EY20" s="29">
        <f t="shared" si="25"/>
        <v>6</v>
      </c>
      <c r="EZ20" s="25" t="str">
        <f t="shared" ca="1" si="26"/>
        <v/>
      </c>
      <c r="FA20" s="21">
        <v>70</v>
      </c>
      <c r="FB20" s="22">
        <v>44834</v>
      </c>
      <c r="FC20" s="29">
        <f t="shared" si="27"/>
        <v>6</v>
      </c>
      <c r="FD20" s="29"/>
      <c r="FE20" s="29"/>
      <c r="FF20" s="29"/>
      <c r="FG20" s="21" t="str">
        <f t="shared" ca="1" si="28"/>
        <v/>
      </c>
      <c r="FH20" s="31"/>
      <c r="FI20" s="29" t="str">
        <f t="shared" si="29"/>
        <v>TOMAR EXAMEN</v>
      </c>
      <c r="FJ20" s="22" t="s">
        <v>867</v>
      </c>
      <c r="FK20" s="22">
        <v>44834</v>
      </c>
      <c r="FL20" s="29">
        <f t="shared" ca="1" si="30"/>
        <v>6</v>
      </c>
      <c r="FM20" s="22" t="s">
        <v>867</v>
      </c>
      <c r="FN20" s="32">
        <v>44964</v>
      </c>
      <c r="FO20" s="29">
        <f t="shared" ca="1" si="31"/>
        <v>24.571428571428573</v>
      </c>
      <c r="FP20" s="22"/>
      <c r="FQ20" s="32"/>
      <c r="FR20" s="29" t="str">
        <f t="shared" ca="1" si="32"/>
        <v>PIERDE TOMA DE TAMIZAJE</v>
      </c>
      <c r="FS20" s="22"/>
      <c r="FT20" s="32"/>
      <c r="FU20" s="29" t="str">
        <f>IF(AND(FJ20="",FM20="",FP20="",FS20=""),"",IF(OR(OR(Tabla1[[#This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 s="28"/>
      <c r="FW20" s="22"/>
      <c r="FX20" s="29" t="str">
        <f t="shared" si="33"/>
        <v>TOMAR EXAMEN</v>
      </c>
      <c r="FY20" s="22">
        <v>44834</v>
      </c>
      <c r="FZ20" s="22">
        <v>44834</v>
      </c>
      <c r="GA20" s="29">
        <f t="shared" ca="1" si="34"/>
        <v>6</v>
      </c>
      <c r="GB20" s="22" t="s">
        <v>868</v>
      </c>
      <c r="GC20" s="22">
        <v>44964</v>
      </c>
      <c r="GD20" s="29">
        <f t="shared" ca="1" si="35"/>
        <v>24.571428571428573</v>
      </c>
      <c r="GE20" s="22"/>
      <c r="GF20" s="22"/>
      <c r="GG20" s="29" t="str">
        <f t="shared" ca="1" si="36"/>
        <v>PIERDE TOMA DE TAMIZAJE</v>
      </c>
      <c r="GH20" s="22"/>
      <c r="GI20" s="29"/>
      <c r="GJ20" s="22"/>
      <c r="GK20" s="22"/>
      <c r="GL20" s="22" t="s">
        <v>879</v>
      </c>
      <c r="GM20" s="22"/>
      <c r="GN20" s="28"/>
      <c r="GO20" s="22">
        <v>44834</v>
      </c>
      <c r="GP20" s="29">
        <f t="shared" si="37"/>
        <v>6</v>
      </c>
      <c r="GQ20" s="28" t="s">
        <v>869</v>
      </c>
      <c r="GR20" s="28" t="s">
        <v>869</v>
      </c>
      <c r="GS20" s="22" t="str">
        <f t="shared" si="38"/>
        <v>CONTROL Igm</v>
      </c>
      <c r="GT20" s="22">
        <v>44834</v>
      </c>
      <c r="GU20" s="29">
        <f t="shared" si="39"/>
        <v>6</v>
      </c>
      <c r="GV20" s="21" t="str">
        <f t="shared" si="40"/>
        <v>I TRIM</v>
      </c>
      <c r="GW20" s="28" t="s">
        <v>869</v>
      </c>
      <c r="GX20" s="30"/>
      <c r="GY20" s="21" t="s">
        <v>846</v>
      </c>
      <c r="GZ20" s="21"/>
      <c r="HA20" s="21"/>
      <c r="HB20" s="21"/>
      <c r="HC20" s="21"/>
      <c r="HD20" s="21"/>
      <c r="HE20" s="21"/>
      <c r="HF20" s="22"/>
      <c r="HG20" s="22" t="str">
        <f>IF(OR(O20&gt;0,R20&gt;0),CONCATENATE(IF(Tabla1[[#This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 s="22" t="e">
        <f t="shared" si="41"/>
        <v>#REF!</v>
      </c>
      <c r="HI20" s="22" t="e">
        <f t="shared" ca="1" si="42"/>
        <v>#REF!</v>
      </c>
      <c r="HJ20" s="21"/>
      <c r="HK20" s="21" t="str">
        <f t="shared" si="44"/>
        <v>SIN ANTECEDENTES DE RIESGO</v>
      </c>
      <c r="HL20" s="24" t="str">
        <f t="shared" si="45"/>
        <v>REGISTRE DATO PRESIÓN ARTERIAL MENSUAL</v>
      </c>
      <c r="HM20" s="21" t="str">
        <f t="shared" ca="1" si="46"/>
        <v/>
      </c>
      <c r="HN20" s="30" t="str">
        <f t="shared" si="47"/>
        <v>SALIO PROGRAMA</v>
      </c>
      <c r="HO20" s="21"/>
      <c r="HP20" s="21"/>
      <c r="HQ20" s="21"/>
      <c r="HR20" s="21" t="str">
        <f>IF(R20="","",IF(Tabla1[[#This Row],[ALARMA FACTORES DE RIESGO COMPLICACIONES HIPERTENSIVAS3]]="SIN ANTECEDENTES DE RIESGO","No Aplica para suministro de ASA",IF(AND(Tabla1[[#This Row],[FECHA INICIO DE SUMINISTRO DE ASA]]&gt;0,RV20&lt;12),"Inicia ASA ANTES de Sem 12",IF(AND(RV20&gt;11,RV20&lt;17,OR(HK20="RIESGO ALTO DE COMPLICACIONES HIPERTENSIVAS VER MANEJO GUIA SUMINISTRO ASA Y CALCIO",HK20="RIESGO MODERADO (2 O MAS CRITERIOS) VER MANEJO GUIA SUMINISTRO ASA Y CALCIO")),"Inicio oportuno de ASA",IF(AND(RV20&gt;12,OR(HK20="RIESGO ALTO DE COMPLICACIONES HIPERTENSIVAS VER MANEJO GUIA SUMINISTRO ASA Y CALCIO",HK20="RIESGO MODERADO (2 O MAS CRITERIOS) VER MANEJO GUIA SUMINISTRO ASA Y CALCIO")),"Inicio no oportuno mayor a 16 semanas",IF(AND(BU20&lt;12,OR(HK20="RIESGO ALTO DE COMPLICACIONES HIPERTENSIVAS VER MANEJO GUIA SUMINISTRO ASA Y CALCIO",HK20="RIESGO MODERADO (2 O MAS CRITERIOS) VER MANEJO GUIA SUMINISTRO ASA Y CALCIO")),"Pendiente Inicio de ASA a la semana 12",IF(AND(BU20&gt;11,BU20&lt;17,OR(HK20="RIESGO ALTO DE COMPLICACIONES HIPERTENSIVAS VER MANEJO GUIA SUMINISTRO ASA Y CALCIO",HK20="RIESGO MODERADO (2 O MAS CRITERIOS) VER MANEJO GUIA SUMINISTRO ASA Y CALCIO")),"Iniciar de inmediato ASA",IF(AND(BU20&gt;16,OR(HK20="RIESGO ALTO DE COMPLICACIONES HIPERTENSIVAS VER MANEJO GUIA SUMINISTRO ASA Y CALCIO",HK20="RIESGO MODERADO (2 O MAS CRITERIOS) VER MANEJO GUIA SUMINISTRO ASA Y CALCIO")),"Pierde Oportunidad, Inicio tardío de ASA","XXXXX"))))))))</f>
        <v>No Aplica para suministro de ASA</v>
      </c>
      <c r="HS20" s="22"/>
      <c r="HT20" s="22"/>
      <c r="HU20" s="22">
        <v>44834</v>
      </c>
      <c r="HV20" s="22" t="s">
        <v>870</v>
      </c>
      <c r="HW20" s="22">
        <v>44834</v>
      </c>
      <c r="HX20" s="22" t="s">
        <v>870</v>
      </c>
      <c r="HY20" s="22">
        <v>44833</v>
      </c>
      <c r="HZ20" s="28">
        <f t="shared" si="48"/>
        <v>5.8571428571428568</v>
      </c>
      <c r="IA20" s="26"/>
      <c r="IB20" s="26"/>
      <c r="IC20" s="111"/>
      <c r="ID20" s="22"/>
      <c r="IE20" s="22" t="str">
        <f t="shared" ca="1" si="49"/>
        <v>SALE SIN VACUNA</v>
      </c>
      <c r="IF20" s="22"/>
      <c r="IG20" s="22">
        <f t="shared" si="50"/>
        <v>45072</v>
      </c>
      <c r="IH20" s="29">
        <f t="shared" ca="1" si="51"/>
        <v>-161</v>
      </c>
      <c r="II20" s="22" t="str">
        <f t="shared" ca="1" si="52"/>
        <v>POSIBLEMENTE NACIO</v>
      </c>
      <c r="IJ20" s="22"/>
      <c r="IK20" s="21" t="s">
        <v>898</v>
      </c>
      <c r="IL20" s="21"/>
      <c r="IM20" s="34"/>
      <c r="IN20" s="349">
        <v>45034</v>
      </c>
      <c r="IO20" s="21" t="s">
        <v>1186</v>
      </c>
      <c r="IP20" s="29">
        <f t="shared" si="53"/>
        <v>34.571428571428569</v>
      </c>
      <c r="IQ20" s="35" t="s">
        <v>1650</v>
      </c>
      <c r="IR20" s="21" t="s">
        <v>1651</v>
      </c>
      <c r="IS20" s="21" t="s">
        <v>1646</v>
      </c>
      <c r="IT20" s="21" t="s">
        <v>1642</v>
      </c>
      <c r="IU20" s="21"/>
      <c r="IV20" s="21"/>
      <c r="IW20" s="21"/>
      <c r="IX20" s="21"/>
      <c r="IY20" s="21"/>
      <c r="IZ20" s="21"/>
      <c r="JA20" s="21"/>
      <c r="JB20" s="30">
        <v>1</v>
      </c>
      <c r="JC20" s="21" t="s">
        <v>1647</v>
      </c>
      <c r="JD20" s="36">
        <v>2630</v>
      </c>
      <c r="JE20" s="21" t="str">
        <f t="shared" si="54"/>
        <v>ERROR VERIFICAR DATO EDAD GESTACIONAL VS PESO</v>
      </c>
      <c r="JF20" s="30"/>
      <c r="JG20" s="21"/>
      <c r="JH20" s="21"/>
      <c r="JI20" s="21" t="s">
        <v>854</v>
      </c>
      <c r="JJ20" s="30" t="s">
        <v>866</v>
      </c>
      <c r="JK20" s="22"/>
      <c r="JL20" s="22"/>
      <c r="JM20" s="21"/>
      <c r="JN20" s="36"/>
      <c r="JO20" s="21" t="str">
        <f t="shared" si="55"/>
        <v/>
      </c>
      <c r="JP20" s="22"/>
      <c r="JQ20" s="21"/>
      <c r="JR20" s="21"/>
      <c r="JS20" s="21"/>
      <c r="JT20" s="30"/>
      <c r="JU20" s="22"/>
      <c r="JV20" s="22"/>
      <c r="JW20" s="33"/>
      <c r="JX20" s="28" t="str">
        <f t="shared" si="56"/>
        <v>INASISTENTE</v>
      </c>
      <c r="JY20" s="33"/>
      <c r="JZ20" s="28" t="str">
        <f t="shared" si="57"/>
        <v>INASISTENTE</v>
      </c>
      <c r="KA20" s="21"/>
      <c r="KB20" s="21"/>
      <c r="KC20" s="21"/>
      <c r="KD20" s="37"/>
      <c r="KE20" s="28"/>
      <c r="KF20" s="28"/>
      <c r="KG20" s="28"/>
      <c r="KH20" s="39"/>
      <c r="KI20" s="39"/>
      <c r="KJ20" s="66"/>
      <c r="KK20" s="39"/>
      <c r="KL20" s="39"/>
      <c r="KM20" s="66"/>
      <c r="KN20" s="39"/>
      <c r="KO20" s="39"/>
      <c r="KP20" s="39"/>
      <c r="KQ20" s="39"/>
      <c r="KR20" s="39"/>
      <c r="KS20" s="39"/>
      <c r="KT20" s="39"/>
      <c r="KU20" s="38"/>
      <c r="KV20" s="38"/>
      <c r="KW20" s="38"/>
      <c r="KX20" s="38"/>
      <c r="KY20" s="38"/>
      <c r="KZ20" s="38"/>
      <c r="LA20" s="38"/>
      <c r="LB20" s="38"/>
      <c r="LC20" s="38"/>
      <c r="LD20" s="38"/>
      <c r="LE20" s="38"/>
      <c r="LF20" s="38"/>
      <c r="LG20" s="38"/>
      <c r="LH20" s="38"/>
      <c r="LI20" s="38"/>
      <c r="LJ20" s="38"/>
      <c r="LK20" s="38"/>
      <c r="LL20" s="38"/>
      <c r="LM20" s="38"/>
      <c r="LN20" s="38"/>
      <c r="LO20" s="38"/>
      <c r="LP20" s="38"/>
      <c r="LQ20" s="38"/>
      <c r="LR20" s="38"/>
      <c r="LS20" s="38"/>
      <c r="LT20" s="38"/>
      <c r="LU20" s="38"/>
      <c r="LV20" s="38"/>
      <c r="LW20" s="38"/>
      <c r="LX20" s="38"/>
      <c r="LY20" s="38"/>
      <c r="LZ20" s="38"/>
      <c r="MA20" s="38"/>
      <c r="MB20" s="38"/>
      <c r="MC20" s="38"/>
      <c r="MD20" s="38"/>
      <c r="ME20" s="38"/>
      <c r="MF20" s="38"/>
      <c r="MG20" s="38"/>
      <c r="MH20" s="43">
        <f t="shared" si="58"/>
        <v>0</v>
      </c>
      <c r="MI20" s="43" t="str">
        <f t="shared" si="59"/>
        <v/>
      </c>
      <c r="MJ20" s="43" t="str">
        <f t="shared" si="60"/>
        <v/>
      </c>
      <c r="MK20" s="43">
        <f t="shared" si="61"/>
        <v>0</v>
      </c>
      <c r="ML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 s="43">
        <f t="shared" si="62"/>
        <v>5.8571428571428568</v>
      </c>
      <c r="MN20" s="43">
        <f t="shared" si="63"/>
        <v>9</v>
      </c>
      <c r="MO20" s="43">
        <f t="shared" si="64"/>
        <v>2022</v>
      </c>
      <c r="MP20" s="43" t="str">
        <f t="shared" si="65"/>
        <v>III TRIMESTRE AÑO</v>
      </c>
      <c r="MQ20" s="43">
        <f t="shared" si="66"/>
        <v>22.612790188348665</v>
      </c>
      <c r="MR20" s="43">
        <f t="shared" si="67"/>
        <v>0</v>
      </c>
      <c r="MS20" s="43" t="str">
        <f t="shared" si="68"/>
        <v xml:space="preserve"> DE 20 A 24 AÑOS</v>
      </c>
      <c r="MT20" s="43" t="str">
        <f t="shared" si="69"/>
        <v/>
      </c>
      <c r="MU20" s="43">
        <f t="shared" si="70"/>
        <v>1</v>
      </c>
      <c r="MV20" s="43">
        <f t="shared" si="71"/>
        <v>0</v>
      </c>
      <c r="MW20" s="43">
        <f t="shared" si="72"/>
        <v>0</v>
      </c>
      <c r="MX20" s="43" t="str">
        <f t="shared" si="73"/>
        <v/>
      </c>
      <c r="MY20" s="43" t="str">
        <f t="shared" ca="1" si="74"/>
        <v/>
      </c>
      <c r="MZ20" s="43" t="str">
        <f t="shared" si="75"/>
        <v/>
      </c>
      <c r="NA20" s="43" t="str">
        <f t="shared" si="76"/>
        <v/>
      </c>
      <c r="NB20" s="43" t="str">
        <f t="shared" si="77"/>
        <v/>
      </c>
      <c r="NC20" s="43" t="str">
        <f t="shared" si="78"/>
        <v/>
      </c>
      <c r="ND20" s="43">
        <f t="shared" ca="1" si="79"/>
        <v>1</v>
      </c>
      <c r="NE20" s="43">
        <f>IF(OR(O20&gt;0,R20&gt;0),SUM(COUNTIF(Tabla1[[#This Row],[AÑOS AL INICIO5 CPN]],"&gt;=40"),COUNTIF(AS20,"0"),COUNTIF(AR20,"SI"),COUNTIF(CC20,"SI"),COUNTIF(BQ20,"&gt;119"),COUNTIF(CI20,"&gt;=35")),"")</f>
        <v>0</v>
      </c>
      <c r="NF20" s="43" t="str">
        <f t="shared" si="80"/>
        <v/>
      </c>
      <c r="NG20" s="43">
        <f t="shared" si="81"/>
        <v>0</v>
      </c>
      <c r="NH20" s="43">
        <f t="shared" si="82"/>
        <v>42</v>
      </c>
      <c r="NI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CPN",P20="NO"),"Z",IF(AND(Tabla1[[#This Row],[CITA PROXIMO CONTROL]]="CITA MANUAL",Tabla1[[#This Row],[GESTANTES ACTUALES]]="ACTIVA INGRESO A CPN"),"W",IF(AND(Tabla1[[#This Row],[GESTANTES ACTUALES]]="SALIO PROGRAMA",IN20=""),"S",IF(AND(Tabla1[[#This Row],[CITA PROXIMO CONTROL]]&gt;0,IN20=""),(Tabla1[[#This Row],[CITA PROXIMO CONTROL]]-TODAY()),"SD"))))))))</f>
        <v>SD</v>
      </c>
      <c r="NJ20" s="43">
        <f>MONTH(Tabla1[[#This Row],[FECHA DE SALIDA  DEL PROGRAMA]])</f>
        <v>4</v>
      </c>
      <c r="NK20" s="43">
        <f>YEAR(Tabla1[[#This Row],[FECHA DE SALIDA  DEL PROGRAMA]])</f>
        <v>2023</v>
      </c>
      <c r="NL20" s="43" t="str">
        <f t="shared" si="83"/>
        <v>X</v>
      </c>
      <c r="NM20" s="43" t="str">
        <f t="shared" si="84"/>
        <v>NO</v>
      </c>
      <c r="NN20" s="43" t="str">
        <f ca="1">IF(AND(O20&gt;0,R20=""),"NO CPN",IF(AND(O20="",R20=""),"",IF(AND(R20&gt;0,Tabla1[[#This Row],[SEMANAS DE GESTACION ACTUALIZADAS]]&lt;=12),"NO APLICA",IF(AND(FH20&lt;&gt;"",FN20&lt;&gt;""),"SI","NO"))))</f>
        <v>NO</v>
      </c>
      <c r="NO20" s="43" t="str">
        <f ca="1">IF(AND(O20&gt;0,R20=""),"NO CPN",IF(AND(O20="",R20=""),"",IF(AND(R20&gt;0,Tabla1[[#This Row],[SEMANAS DE GESTACION ACTUALIZADAS]]&lt;=27),"NO APLICA",IF(AND(ES20&lt;&gt;"",FQ20&lt;&gt;"",GF20&lt;&gt;""),"SI","NO"))))</f>
        <v>NO</v>
      </c>
      <c r="NP20" s="204" t="str">
        <f t="shared" si="85"/>
        <v>I TRIM</v>
      </c>
      <c r="NQ20" s="21">
        <f t="shared" si="86"/>
        <v>10</v>
      </c>
      <c r="NR20" s="21">
        <f t="shared" si="87"/>
        <v>3</v>
      </c>
      <c r="NS20" s="205">
        <f t="shared" ca="1" si="88"/>
        <v>2</v>
      </c>
      <c r="NT20" s="21">
        <f t="shared" ca="1" si="89"/>
        <v>2</v>
      </c>
      <c r="NU20" s="21" t="str">
        <f t="shared" ca="1" si="90"/>
        <v>INCOMPLETO</v>
      </c>
      <c r="NV20" s="21" t="str">
        <f t="shared" ca="1" si="91"/>
        <v>INCOMPLETO</v>
      </c>
      <c r="NW20" s="206" t="str">
        <f>IF(AND(O20="",R20=""),"",IF(OR(AND(Tabla1[[#This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 s="207" t="str">
        <f t="shared" ca="1" si="92"/>
        <v>SIN VACUNAR</v>
      </c>
      <c r="NY20" s="43">
        <f>ROW(Tabla1[[#This Row],['# DE TAMIZAJES SIFILIS TOMADOS ]])</f>
        <v>20</v>
      </c>
      <c r="NZ20" s="43" t="str">
        <f t="shared" si="93"/>
        <v>Menor</v>
      </c>
      <c r="OA20" s="43" t="str">
        <f t="shared" si="94"/>
        <v>NORMAL</v>
      </c>
      <c r="OB20" s="43" t="str">
        <f t="shared" si="95"/>
        <v/>
      </c>
      <c r="OC20" s="43" t="str">
        <f t="shared" si="96"/>
        <v/>
      </c>
      <c r="OD20" s="43" t="str">
        <f t="shared" si="97"/>
        <v/>
      </c>
      <c r="OE20" s="43" t="str">
        <f t="shared" si="98"/>
        <v/>
      </c>
      <c r="OF20" s="43" t="str">
        <f t="shared" si="99"/>
        <v/>
      </c>
      <c r="OG20" s="43" t="str">
        <f t="shared" si="100"/>
        <v/>
      </c>
      <c r="OH20" s="43" t="str">
        <f t="shared" si="101"/>
        <v/>
      </c>
      <c r="OI20" s="43" t="str">
        <f t="shared" si="102"/>
        <v/>
      </c>
      <c r="OJ20" s="43" t="str">
        <f t="shared" si="103"/>
        <v/>
      </c>
      <c r="OK20" s="43" t="str">
        <f t="shared" si="104"/>
        <v/>
      </c>
      <c r="OL20" s="43" t="str">
        <f t="shared" si="105"/>
        <v/>
      </c>
      <c r="OM20" s="43" t="str">
        <f t="shared" si="106"/>
        <v/>
      </c>
      <c r="ON20" s="43" t="str">
        <f t="shared" si="107"/>
        <v/>
      </c>
      <c r="OO20" s="43" t="str">
        <f t="shared" si="108"/>
        <v/>
      </c>
      <c r="OP20" s="43" t="str">
        <f t="shared" si="109"/>
        <v/>
      </c>
      <c r="OQ20" s="43" t="str">
        <f t="shared" si="110"/>
        <v/>
      </c>
      <c r="OR20" s="43" t="str">
        <f t="shared" si="111"/>
        <v/>
      </c>
      <c r="OS20" s="43" t="str">
        <f t="shared" si="112"/>
        <v/>
      </c>
      <c r="OT20" s="43" t="str">
        <f t="shared" si="113"/>
        <v/>
      </c>
      <c r="OU20" s="43" t="str">
        <f t="shared" si="114"/>
        <v/>
      </c>
      <c r="OV20" s="110" t="str">
        <f t="shared" si="115"/>
        <v/>
      </c>
      <c r="OW20" s="43" t="str">
        <f t="shared" si="116"/>
        <v/>
      </c>
      <c r="OX20" s="43" t="str">
        <f t="shared" si="117"/>
        <v/>
      </c>
      <c r="OY20" s="43" t="str">
        <f t="shared" si="118"/>
        <v/>
      </c>
      <c r="OZ20" s="43" t="str">
        <f t="shared" si="119"/>
        <v/>
      </c>
      <c r="PA20" s="43" t="str">
        <f t="shared" si="120"/>
        <v/>
      </c>
      <c r="PB20" s="43" t="str">
        <f t="shared" si="121"/>
        <v/>
      </c>
      <c r="PC20" s="43" t="str">
        <f t="shared" si="122"/>
        <v/>
      </c>
      <c r="PD20" s="43" t="str">
        <f t="shared" si="123"/>
        <v/>
      </c>
      <c r="PE20" s="43" t="str">
        <f t="shared" si="124"/>
        <v/>
      </c>
      <c r="PF20" s="43" t="str">
        <f t="shared" si="125"/>
        <v/>
      </c>
      <c r="PG20" s="43" t="str">
        <f t="shared" si="126"/>
        <v/>
      </c>
      <c r="PH20" s="43" t="str">
        <f t="shared" si="127"/>
        <v/>
      </c>
      <c r="PI20" s="43">
        <f t="shared" si="128"/>
        <v>28</v>
      </c>
      <c r="PJ20" s="43" t="str">
        <f t="shared" si="129"/>
        <v/>
      </c>
      <c r="PK20" s="43" t="str">
        <f t="shared" si="130"/>
        <v/>
      </c>
      <c r="PL20" s="43" t="str">
        <f t="shared" si="131"/>
        <v/>
      </c>
      <c r="PM20" s="43" t="str">
        <f t="shared" si="132"/>
        <v/>
      </c>
      <c r="PN20" s="43" t="str">
        <f t="shared" si="133"/>
        <v/>
      </c>
      <c r="PO20" s="43" t="str">
        <f t="shared" si="134"/>
        <v/>
      </c>
      <c r="PP20" s="43" t="str">
        <f t="shared" si="135"/>
        <v/>
      </c>
      <c r="PQ20" s="43" t="str">
        <f t="shared" si="136"/>
        <v/>
      </c>
      <c r="PR20" s="43" t="str">
        <f t="shared" si="137"/>
        <v/>
      </c>
      <c r="PS20" s="43" t="str">
        <f t="shared" si="138"/>
        <v/>
      </c>
      <c r="PT20" s="43" t="str">
        <f t="shared" si="139"/>
        <v/>
      </c>
      <c r="PU20" s="43" t="str">
        <f t="shared" si="140"/>
        <v/>
      </c>
      <c r="PV20" s="43" t="str">
        <f t="shared" si="141"/>
        <v/>
      </c>
      <c r="PW20" s="43" t="str">
        <f t="shared" si="142"/>
        <v/>
      </c>
      <c r="PX20" s="43" t="str">
        <f t="shared" si="143"/>
        <v/>
      </c>
      <c r="PY20" s="43" t="str">
        <f t="shared" si="144"/>
        <v/>
      </c>
      <c r="PZ20" s="43" t="str">
        <f t="shared" si="145"/>
        <v/>
      </c>
      <c r="QA20" s="43" t="str">
        <f t="shared" si="146"/>
        <v/>
      </c>
      <c r="QB20" s="43" t="str">
        <f t="shared" si="147"/>
        <v/>
      </c>
      <c r="QC20" s="43" t="str">
        <f t="shared" si="148"/>
        <v/>
      </c>
      <c r="QD20" s="43" t="str">
        <f t="shared" si="149"/>
        <v/>
      </c>
      <c r="QE20" s="43" t="str">
        <f t="shared" si="150"/>
        <v/>
      </c>
      <c r="QF20" s="43" t="str">
        <f t="shared" si="151"/>
        <v/>
      </c>
      <c r="QG20" s="43" t="str">
        <f t="shared" si="152"/>
        <v/>
      </c>
      <c r="QH20" s="43" t="str">
        <f t="shared" si="153"/>
        <v/>
      </c>
      <c r="QI20" s="43" t="str">
        <f t="shared" si="154"/>
        <v/>
      </c>
      <c r="QJ20" s="43" t="str">
        <f t="shared" si="155"/>
        <v/>
      </c>
      <c r="QK20" s="43" t="str">
        <f t="shared" si="156"/>
        <v/>
      </c>
      <c r="QL20" s="43" t="str">
        <f t="shared" si="157"/>
        <v/>
      </c>
      <c r="QM20" s="43" t="str">
        <f t="shared" si="158"/>
        <v/>
      </c>
      <c r="QN20" s="43" t="str">
        <f t="shared" si="159"/>
        <v/>
      </c>
      <c r="QO20" s="43" t="str">
        <f t="shared" si="160"/>
        <v/>
      </c>
      <c r="QP20" s="43" t="str">
        <f t="shared" si="161"/>
        <v/>
      </c>
      <c r="QQ20" s="43" t="str">
        <f t="shared" si="162"/>
        <v/>
      </c>
      <c r="QR20" s="43">
        <f t="shared" si="192"/>
        <v>28</v>
      </c>
      <c r="QS20" s="43"/>
      <c r="QT20" s="21" t="str">
        <f t="shared" si="163"/>
        <v/>
      </c>
      <c r="QU20" s="21" t="str">
        <f t="shared" si="164"/>
        <v/>
      </c>
      <c r="QV20" s="21" t="str">
        <f t="shared" si="165"/>
        <v/>
      </c>
      <c r="QW20" s="21" t="str">
        <f t="shared" si="166"/>
        <v/>
      </c>
      <c r="QX20" s="21" t="str">
        <f t="shared" si="167"/>
        <v/>
      </c>
      <c r="QY20" s="21" t="str">
        <f t="shared" si="168"/>
        <v/>
      </c>
      <c r="QZ20" s="21" t="str">
        <f t="shared" si="169"/>
        <v/>
      </c>
      <c r="RA20" s="21" t="str">
        <f t="shared" si="170"/>
        <v/>
      </c>
      <c r="RB20" s="21" t="str">
        <f t="shared" si="171"/>
        <v/>
      </c>
      <c r="RC20" s="21" t="str">
        <f t="shared" si="172"/>
        <v/>
      </c>
      <c r="RD20" s="21" t="str">
        <f t="shared" si="173"/>
        <v/>
      </c>
      <c r="RE20" s="21" t="str">
        <f t="shared" si="174"/>
        <v/>
      </c>
      <c r="RF20" s="21" t="str">
        <f t="shared" si="175"/>
        <v/>
      </c>
      <c r="RG20" s="21" t="str">
        <f t="shared" si="176"/>
        <v/>
      </c>
      <c r="RH20" s="21" t="str">
        <f t="shared" si="177"/>
        <v/>
      </c>
      <c r="RI20" s="21" t="str">
        <f t="shared" si="178"/>
        <v/>
      </c>
      <c r="RJ20" s="21" t="str">
        <f t="shared" si="179"/>
        <v/>
      </c>
      <c r="RK20" s="21" t="str">
        <f t="shared" si="180"/>
        <v/>
      </c>
      <c r="RL20" s="21" t="str">
        <f t="shared" si="181"/>
        <v/>
      </c>
      <c r="RM20" s="21" t="str">
        <f t="shared" si="182"/>
        <v/>
      </c>
      <c r="RN20" s="21" t="str">
        <f t="shared" si="183"/>
        <v/>
      </c>
      <c r="RO20" s="21" t="str">
        <f t="shared" si="184"/>
        <v/>
      </c>
      <c r="RP20" s="21" t="str">
        <f t="shared" si="185"/>
        <v/>
      </c>
      <c r="RQ20" s="21" t="str">
        <f t="shared" si="186"/>
        <v/>
      </c>
      <c r="RR20" s="21" t="str">
        <f t="shared" si="187"/>
        <v/>
      </c>
      <c r="RS20" s="21" t="str">
        <f t="shared" si="188"/>
        <v/>
      </c>
      <c r="RT20" s="21" t="str">
        <f t="shared" si="189"/>
        <v/>
      </c>
      <c r="RU20" s="21" t="str">
        <f t="shared" si="190"/>
        <v/>
      </c>
      <c r="RV20" s="21">
        <f t="shared" si="191"/>
        <v>-1</v>
      </c>
      <c r="RW20" s="284">
        <f>IF(OR(Tabla1[[#This Row],[FUM FORMULA CONFIABLE]]="",Tabla1[[#This Row],[FUM FORMULA CONFIABLE]]="SD"),"",IF(Tabla1[[#This Row],[FUM FORMULA CONFIABLE]]="CORREGIDA",Tabla1[[#This Row],[FUM X ECO 1]],Tabla1[[#This Row],[FUM x AMENORREA]]))</f>
        <v>44792</v>
      </c>
      <c r="RX20" s="21">
        <f>IF(AND(Tabla1[[#This Row],[FUM X ECO 1]]="",Tabla1[[#This Row],[FUM x AMENORREA]]=""),"",IF(AND(Tabla1[[#This Row],[FUM X ECO 1]]="",Tabla1[[#This Row],[FUM x AMENORREA]]&lt;&gt;""),"X",SUM(Tabla1[[#This Row],[FUM X ECO 1]]-Tabla1[[#This Row],[FUM x AMENORREA]])))</f>
        <v>0</v>
      </c>
      <c r="RY20" s="21">
        <f t="shared" si="193"/>
        <v>0</v>
      </c>
    </row>
    <row r="21" spans="1:493" ht="45" customHeight="1" x14ac:dyDescent="0.25">
      <c r="A21" s="109"/>
      <c r="B21" s="43" t="s">
        <v>973</v>
      </c>
      <c r="C21" s="43" t="s">
        <v>845</v>
      </c>
      <c r="D21" s="124" t="s">
        <v>846</v>
      </c>
      <c r="E21" s="43" t="s">
        <v>937</v>
      </c>
      <c r="F21" s="43" t="s">
        <v>974</v>
      </c>
      <c r="G21" s="43" t="s">
        <v>975</v>
      </c>
      <c r="H21" s="43" t="s">
        <v>976</v>
      </c>
      <c r="I21" s="109" t="s">
        <v>851</v>
      </c>
      <c r="J21" s="110">
        <v>1067464106</v>
      </c>
      <c r="K21" s="43" t="s">
        <v>852</v>
      </c>
      <c r="L21" s="175" t="s">
        <v>853</v>
      </c>
      <c r="M21" s="22">
        <v>39341</v>
      </c>
      <c r="N21" s="213">
        <f t="shared" ca="1" si="0"/>
        <v>16.142465753424659</v>
      </c>
      <c r="O21" s="22">
        <v>44833</v>
      </c>
      <c r="P21" s="214" t="str">
        <f t="shared" si="1"/>
        <v>SI</v>
      </c>
      <c r="Q21" s="26" t="s">
        <v>855</v>
      </c>
      <c r="R21" s="22">
        <v>44833</v>
      </c>
      <c r="S21" s="21" t="s">
        <v>856</v>
      </c>
      <c r="T21" s="24" t="s">
        <v>690</v>
      </c>
      <c r="U21" s="21" t="s">
        <v>857</v>
      </c>
      <c r="V21" s="21" t="s">
        <v>858</v>
      </c>
      <c r="W21" s="21" t="s">
        <v>977</v>
      </c>
      <c r="X21" s="21" t="s">
        <v>978</v>
      </c>
      <c r="Y21" s="21" t="s">
        <v>859</v>
      </c>
      <c r="Z21" s="21">
        <v>3146767094</v>
      </c>
      <c r="AA21" s="21" t="s">
        <v>860</v>
      </c>
      <c r="AB21" s="27" t="s">
        <v>861</v>
      </c>
      <c r="AC21" s="26" t="s">
        <v>862</v>
      </c>
      <c r="AD21" s="38" t="s">
        <v>846</v>
      </c>
      <c r="AE21" s="26" t="s">
        <v>854</v>
      </c>
      <c r="AF21" s="26" t="s">
        <v>854</v>
      </c>
      <c r="AG21" s="23" t="s">
        <v>864</v>
      </c>
      <c r="AH21" s="23" t="s">
        <v>864</v>
      </c>
      <c r="AI21" s="24" t="s">
        <v>863</v>
      </c>
      <c r="AJ21" s="23" t="s">
        <v>864</v>
      </c>
      <c r="AK21" s="220" t="str">
        <f>IF(AND(AD21="",AE21="",AF21="",AG21="",AH21="",AI21="",AJ21=""),"",IF(OR(Tabla1[[#This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EVALUACIÓN",IF(AND(O21="",R21=""),"",IF(AND(OR(O21&gt;0,R21&gt;0),NG21&gt;=0,NG21&lt;2),"SIN RIESGO",IF(AND(OR(O21&gt;0,R21&gt;0),NG21&gt;=2),"CON RIESGO","ASD")))))</f>
        <v>SIN RIESGO</v>
      </c>
      <c r="AL21" s="23" t="s">
        <v>864</v>
      </c>
      <c r="AM21" s="26" t="s">
        <v>864</v>
      </c>
      <c r="AN21" s="26" t="s">
        <v>864</v>
      </c>
      <c r="AO21" s="26" t="s">
        <v>864</v>
      </c>
      <c r="AP21" s="26" t="s">
        <v>864</v>
      </c>
      <c r="AQ21" s="26" t="s">
        <v>864</v>
      </c>
      <c r="AR21" s="26" t="s">
        <v>864</v>
      </c>
      <c r="AS21" s="21">
        <v>1</v>
      </c>
      <c r="AT21" s="21">
        <v>0</v>
      </c>
      <c r="AU21" s="21">
        <v>0</v>
      </c>
      <c r="AV21" s="26" t="s">
        <v>864</v>
      </c>
      <c r="AW21" s="21">
        <v>0</v>
      </c>
      <c r="AX21" s="26" t="s">
        <v>864</v>
      </c>
      <c r="AY21" s="26" t="s">
        <v>864</v>
      </c>
      <c r="AZ21" s="26" t="s">
        <v>864</v>
      </c>
      <c r="BA21" s="26" t="s">
        <v>864</v>
      </c>
      <c r="BB21" s="26" t="s">
        <v>864</v>
      </c>
      <c r="BC21" s="26" t="s">
        <v>864</v>
      </c>
      <c r="BD21" s="26" t="s">
        <v>864</v>
      </c>
      <c r="BE21" s="26" t="s">
        <v>864</v>
      </c>
      <c r="BF21" s="26" t="s">
        <v>864</v>
      </c>
      <c r="BG21" s="26" t="s">
        <v>864</v>
      </c>
      <c r="BH21" s="26" t="s">
        <v>864</v>
      </c>
      <c r="BI21" s="26" t="s">
        <v>864</v>
      </c>
      <c r="BJ21" s="26"/>
      <c r="BK21" s="26"/>
      <c r="BL21" s="26" t="s">
        <v>864</v>
      </c>
      <c r="BM21" s="26" t="s">
        <v>864</v>
      </c>
      <c r="BN21" s="22"/>
      <c r="BO21" s="22">
        <v>44728</v>
      </c>
      <c r="BP21" s="21" t="s">
        <v>864</v>
      </c>
      <c r="BQ21" s="222">
        <f t="shared" si="2"/>
        <v>0</v>
      </c>
      <c r="BR21" s="223" t="str">
        <f t="shared" si="3"/>
        <v/>
      </c>
      <c r="BS21" s="224">
        <f t="shared" si="4"/>
        <v>15</v>
      </c>
      <c r="BT21" s="216" t="str">
        <f t="shared" si="5"/>
        <v>DEFINIR CON ECO</v>
      </c>
      <c r="BU21" s="214" t="str">
        <f t="shared" ca="1" si="6"/>
        <v/>
      </c>
      <c r="BV21" s="25"/>
      <c r="BW21" s="22"/>
      <c r="BX21" s="28"/>
      <c r="BY21" s="28"/>
      <c r="BZ21" s="22"/>
      <c r="CA21" s="21"/>
      <c r="CB21" s="26"/>
      <c r="CC21" s="26"/>
      <c r="CD21" s="26"/>
      <c r="CE21" s="26"/>
      <c r="CF21" s="22" t="s">
        <v>1517</v>
      </c>
      <c r="CG21" s="21">
        <v>1.45</v>
      </c>
      <c r="CH21" s="21">
        <v>48.9</v>
      </c>
      <c r="CI21" s="214">
        <f t="shared" si="7"/>
        <v>23.258026159334126</v>
      </c>
      <c r="CJ21" s="225" t="e">
        <f>IF(AND(CI21&lt;10,CH21="SD"),"SIN DATO PESO PREGESTACION O I TRIM",IF(AND(OR(R21&gt;0,O21&gt;0),CI21="X"),"INGRESAR DATO DE PESO",IF(CI21="SD","INGRESAR DATO DE TALLA Y PESO",IF(AND(OR(Tabla1[[#This Row],[MOMENTO EN QUE SE REALIZA EL PESO AL INGRESO A CPN]]="PREGESTACIÓN",NZ21="Menor"),CI21&lt;18.5),"BAJO PESO",IF(AND(OR(Tabla1[[#This Row],[MOMENTO EN QUE SE REALIZA EL PESO AL INGRESO A CPN]]="PREGESTACIÓN",NZ21="Menor"),CI21&lt;25),"NORMAL",IF(AND(OR(Tabla1[[#This Row],[MOMENTO EN QUE SE REALIZA EL PESO AL INGRESO A CPN]]="PREGESTACIÓN",NZ21="Menor"),CI21&lt;30),"SOBREPESO",IF(AND(OR(Tabla1[[#This Row],[MOMENTO EN QUE SE REALIZA EL PESO AL INGRESO A CPN]]="PREGESTACIÓN",NZ21="Menor"),CI21&gt;=30,CI21&lt;50),"OBESIDAD",IF(AND(BS21&gt;0,Tabla1[[#This Row],[MOMENTO EN QUE SE REALIZA EL PESO AL INGRESO A CPN]]="GESTACIÓN"),HLOOKUP(NZ21,$OA$2:PH21,NY21),""))))))))</f>
        <v>#REF!</v>
      </c>
      <c r="CK21" s="212">
        <f t="shared" si="8"/>
        <v>44833</v>
      </c>
      <c r="CL21" s="21"/>
      <c r="CM21" s="214">
        <f t="shared" si="9"/>
        <v>0</v>
      </c>
      <c r="CN21" s="216">
        <f t="shared" si="10"/>
        <v>15</v>
      </c>
      <c r="CO21" s="216" t="e">
        <f>IF(PI21="","",IF(PI21&gt;0,HLOOKUP(PI21,$PJ$2:QQ21,NY21),""))</f>
        <v>#REF!</v>
      </c>
      <c r="CP21" s="21"/>
      <c r="CQ21" s="216" t="e">
        <f>IF(QR21="Menor","NO APLICA-MENOR 13 SEM",IF(AND(CC21="SI",CN21&gt;23),"NO APLICA- GEMELAR",IF(QR21="","",IF(QR21&gt;0,HLOOKUP(QR21,$QS$2:RU21,NY21),""))))</f>
        <v>#REF!</v>
      </c>
      <c r="CR21" s="21">
        <v>90</v>
      </c>
      <c r="CS21" s="21">
        <v>60</v>
      </c>
      <c r="CT21" s="217" t="str">
        <f>IF(R21="","",IF(AND(BS21&gt;1,BS21&lt;12,Tabla1[[#This Row],[T.A. SISTOLICA - ANTES DE SEMANA 12]]="",Tabla1[[#This Row],[T.A. DIASTOLICA - ANTES DE SEMANA 12]]=""),"REGISTRE DATO TA ANTES SEMANA 12",IF(AND(BS21&gt;11,BS21&lt;43,Tabla1[[#This Row],[T.A. SISTOLICA - ANTES DE SEMANA 12]]="",Tabla1[[#This Row],[T.A. DIASTOLICA - ANTES DE SEMANA 12]]=""),"NO APLICA REGISTRO TA-INGRESO TARDIO",IF(AND(OR(O21&gt;0,R21&gt;0),OR(CR21&gt;=140,CS21&gt;=90)),"DEFINIR ESTADIO HTA",IF(AND(OR(O21&gt;0,R21&gt;0),AND(CR21&gt;120,CR21&lt;=139)),"PRE HTA SEGUIMIENTO",IF(AND(OR(O21&gt;0,R21&gt;0),AND(CS21&gt;80,CS21&lt;=89)),"PRE HTA SEGUIMIENTO",IF(AND(OR(O21&gt;0,R21&gt;0),AND(CR21&gt;=80,CR21&lt;=120)),"APARENTEMENTE NORMAL",IF(AND(OR(O21&gt;0,R21&gt;0),AND(CS21&gt;=50,CS21&lt;=80)),"APARENTEMENTE NORMAL",IF(AND(OR(O21&gt;0,R21&gt;0),AND(CR21&gt;1,CR21&lt;=70),AND(CS21&gt;1,CS21&lt;=40)),"HIPOTENSIÓN","")))))))))</f>
        <v>APARENTEMENTE NORMAL</v>
      </c>
      <c r="CU21" s="21"/>
      <c r="CV21" s="21"/>
      <c r="CW21" s="217" t="str">
        <f ca="1">IF(R21="","",IF(AND(CN21&gt;19,CN21&lt;27,Tabla1[[#This Row],[T.A. SISTOLICA (Entre semana 20 y 26)]]="",Tabla1[[#This Row],[T.A. DIATOLICA (Entre semana 20 y 26)]]=""),"ACUDE A CONTROL SEM 20 A 26 REGISTRE TA AHORA",IF(AND(BS21&gt;1,BS21&lt;27,BU21&gt;19,Tabla1[[#This Row],[T.A. SISTOLICA (Entre semana 20 y 26)]]="",Tabla1[[#This Row],[T.A. DIATOLICA (Entre semana 20 y 26)]]=""),"COMPLETE REGISTRO TA CONTROL SEM 20 A26 ",IF(AND(BS21&gt;26,BS21&lt;43,Tabla1[[#This Row],[T.A. SISTOLICA (Entre semana 20 y 26)]]="",Tabla1[[#This Row],[T.A. DIATOLICA (Entre semana 20 y 26)]]=""),"NO APLICA REGISTRO TA-INGRESO TARDIO",IF(AND(OR(O21&gt;0,R21&gt;0),OR(CU21&gt;=140,CV21&gt;=90)),"ALTO RIESGO PREECLAMPSIA,DEFINIR ESTADIO HTA",IF(AND(OR(O21&gt;0,R21&gt;0),AND(CU21&gt;120,CU21&lt;=139)),"PRE HTA SEGUIMIENTO,RIESGO HIPERTENSION INDUCIDA POR EL EMBARAZO",IF(AND(OR(O21&gt;0,R21&gt;0),AND(CV21&gt;80,CV21&lt;=89)),"PRE HTA SEGUIMIENTO, RIESGO HIPERTENSION INDUCIDA POR EL EMBARAZO",IF(AND(OR(O21&lt;&gt;"",R21&lt;&gt;""),CS21&lt;&gt;"",CV21&lt;&gt;"",CS21&lt;=CV21),"VIGILAR CIFRAS PRESION ARTERIAL",IF(AND(OR(O21&gt;0,R21&gt;0),AND(CU21&gt;120,CU21&lt;=139)),"PRE HTA SEGUIMIENTO",IF(AND(OR(O21&gt;0,R21&gt;0),AND(CU21&gt;1,CU21&lt;=70),AND(CV21&gt;1,CV21&lt;=40)),"HIPOTENSIÓN",IF(AND(OR(O21&lt;&gt;"",R21&lt;&gt;""),CS21&lt;&gt;"",CV21&lt;&gt;"",CS21&gt;CV21),"APARENTEMENTE NORMAL",IF(AND(OR(O21&gt;0,R21&gt;0),AND(CU21&gt;=80,CU21&lt;=120)),"APARENTEMENTE NORMAL",IF(AND(OR(O21&gt;0,R21&gt;0),AND(CV21&gt;=50,CV21&lt;=80)),"APARENTEMENTE NORMAL","")))))))))))))</f>
        <v xml:space="preserve">COMPLETE REGISTRO TA CONTROL SEM 20 A26 </v>
      </c>
      <c r="CX21" s="21"/>
      <c r="CY21" s="21"/>
      <c r="CZ21" s="216" t="str">
        <f t="shared" si="11"/>
        <v/>
      </c>
      <c r="DA21" s="21"/>
      <c r="DB21" s="21"/>
      <c r="DC21" s="217" t="str">
        <f t="shared" si="12"/>
        <v>REGISTRE DATO PRESIÓN ARTERIAL MENSUAL</v>
      </c>
      <c r="DD21" s="22">
        <v>44833</v>
      </c>
      <c r="DE21" s="22">
        <v>44833</v>
      </c>
      <c r="DF21" s="22"/>
      <c r="DG21" s="22"/>
      <c r="DH21" s="22"/>
      <c r="DI21" s="22"/>
      <c r="DJ21" s="22"/>
      <c r="DK21" s="22"/>
      <c r="DL21" s="22"/>
      <c r="DM21" s="22"/>
      <c r="DN21" s="22"/>
      <c r="DO21" s="22"/>
      <c r="DP21" s="22"/>
      <c r="DQ21" s="22"/>
      <c r="DR21" s="28"/>
      <c r="DS21" s="22"/>
      <c r="DT21" s="22"/>
      <c r="DU21" s="216" t="str">
        <f t="shared" ca="1" si="13"/>
        <v>SALE PROGRAMA ANTES SEMANA 35</v>
      </c>
      <c r="DV21" s="226" t="str">
        <f t="shared" si="14"/>
        <v>SALIO PROGRAMA</v>
      </c>
      <c r="DW2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1" s="216" t="str">
        <f t="shared" ca="1" si="15"/>
        <v/>
      </c>
      <c r="DY21" s="212">
        <f>IF(R21="","",IF(R21&gt;0,MAX(Tabla1[[#This Row],[FECHA C2]:[FECHA C13]],Tabla1[[#This Row],[FECHA CONSULTA PRIMERA VEZ PROGRAMA CPN ]])))</f>
        <v>44833</v>
      </c>
      <c r="DZ21" s="216">
        <f t="shared" si="16"/>
        <v>15</v>
      </c>
      <c r="EA21" s="222">
        <f>IF(R21&gt;0,SUM(COUNTA(DF21:DQ21)+COUNTA(Tabla1[[#This Row],[FECHA CONSULTA PRIMERA VEZ PROGRAMA CPN ]])),"")</f>
        <v>1</v>
      </c>
      <c r="EB21" s="222" t="str">
        <f t="shared" si="17"/>
        <v>NO</v>
      </c>
      <c r="EC21" s="214">
        <f t="shared" si="18"/>
        <v>8</v>
      </c>
      <c r="ED21" s="227">
        <f t="shared" si="19"/>
        <v>0.125</v>
      </c>
      <c r="EE21" s="22">
        <v>44833</v>
      </c>
      <c r="EF21" s="22">
        <v>44833</v>
      </c>
      <c r="EG21" s="22">
        <v>44833</v>
      </c>
      <c r="EH21" s="22"/>
      <c r="EI21" s="22">
        <v>44833</v>
      </c>
      <c r="EJ21" s="22"/>
      <c r="EK21" s="22"/>
      <c r="EL21" s="21"/>
      <c r="EM21" s="21"/>
      <c r="EN21" s="22"/>
      <c r="EO21" s="222" t="str">
        <f t="shared" si="20"/>
        <v>TOMAR EXAMEN</v>
      </c>
      <c r="EP21" s="214" t="str">
        <f t="shared" si="21"/>
        <v/>
      </c>
      <c r="EQ21" s="216" t="str">
        <f t="shared" si="22"/>
        <v>POR DEFINIR</v>
      </c>
      <c r="ER21" s="24"/>
      <c r="ES21" s="22"/>
      <c r="ET21" s="29" t="str">
        <f t="shared" ca="1" si="23"/>
        <v>SALE SIN TAMIZAJE HEMOGLOBINA SEM 28</v>
      </c>
      <c r="EU21" s="25" t="str">
        <f t="shared" si="24"/>
        <v/>
      </c>
      <c r="EV21" s="24"/>
      <c r="EW21" s="24"/>
      <c r="EX21" s="22"/>
      <c r="EY21" s="29" t="str">
        <f t="shared" si="25"/>
        <v>TOMAR EXAMEN</v>
      </c>
      <c r="EZ21" s="25" t="str">
        <f t="shared" ca="1" si="26"/>
        <v/>
      </c>
      <c r="FA21" s="21"/>
      <c r="FB21" s="22"/>
      <c r="FC21" s="29" t="str">
        <f t="shared" si="27"/>
        <v>TOMAR EXAMEN</v>
      </c>
      <c r="FD21" s="29"/>
      <c r="FE21" s="29"/>
      <c r="FF21" s="29"/>
      <c r="FG21" s="21" t="str">
        <f t="shared" ca="1" si="28"/>
        <v/>
      </c>
      <c r="FH21" s="31"/>
      <c r="FI21" s="29" t="str">
        <f t="shared" si="29"/>
        <v>TOMAR EXAMEN</v>
      </c>
      <c r="FJ21" s="22"/>
      <c r="FK21" s="22"/>
      <c r="FL21" s="29" t="str">
        <f t="shared" ca="1" si="30"/>
        <v>NO APLICA-INGRESO TARDIO</v>
      </c>
      <c r="FM21" s="22"/>
      <c r="FN21" s="32"/>
      <c r="FO21" s="29" t="str">
        <f t="shared" ca="1" si="31"/>
        <v>PIERDE TOMA DE TAMIZAJE</v>
      </c>
      <c r="FP21" s="22"/>
      <c r="FQ21" s="32"/>
      <c r="FR21" s="29" t="str">
        <f t="shared" ca="1" si="32"/>
        <v>PIERDE TOMA DE TAMIZAJE</v>
      </c>
      <c r="FS21" s="22"/>
      <c r="FT21" s="32"/>
      <c r="FU21" s="29" t="str">
        <f>IF(AND(FJ21="",FM21="",FP21="",FS21=""),"",IF(OR(OR(Tabla1[[#This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 s="28"/>
      <c r="FW21" s="22"/>
      <c r="FX21" s="29" t="str">
        <f t="shared" si="33"/>
        <v>TOMAR EXAMEN</v>
      </c>
      <c r="FY21" s="22"/>
      <c r="FZ21" s="22"/>
      <c r="GA21" s="29" t="str">
        <f t="shared" ca="1" si="34"/>
        <v>NO APLICA-INGRESO TARDIO</v>
      </c>
      <c r="GB21" s="22"/>
      <c r="GC21" s="22"/>
      <c r="GD21" s="29" t="str">
        <f t="shared" ca="1" si="35"/>
        <v>PIERDE TOMA DE TAMIZAJE</v>
      </c>
      <c r="GE21" s="22"/>
      <c r="GF21" s="22"/>
      <c r="GG21" s="29" t="str">
        <f t="shared" ca="1" si="36"/>
        <v>PIERDE TOMA DE TAMIZAJE</v>
      </c>
      <c r="GH21" s="22"/>
      <c r="GI21" s="29"/>
      <c r="GJ21" s="22"/>
      <c r="GK21" s="22"/>
      <c r="GL21" s="22" t="s">
        <v>879</v>
      </c>
      <c r="GM21" s="22"/>
      <c r="GN21" s="28"/>
      <c r="GO21" s="22"/>
      <c r="GP21" s="29" t="str">
        <f t="shared" si="37"/>
        <v>TOMAR EXAMEN</v>
      </c>
      <c r="GQ21" s="28"/>
      <c r="GR21" s="28"/>
      <c r="GS21" s="22" t="str">
        <f t="shared" si="38"/>
        <v/>
      </c>
      <c r="GT21" s="22"/>
      <c r="GU21" s="29" t="str">
        <f t="shared" si="39"/>
        <v>TOMAR EXAMEN</v>
      </c>
      <c r="GV21" s="21" t="str">
        <f t="shared" si="40"/>
        <v>POR DEFINIR</v>
      </c>
      <c r="GW21" s="28"/>
      <c r="GX21" s="30"/>
      <c r="GY21" s="21"/>
      <c r="GZ21" s="21"/>
      <c r="HA21" s="21"/>
      <c r="HB21" s="21"/>
      <c r="HC21" s="21"/>
      <c r="HD21" s="21"/>
      <c r="HE21" s="21"/>
      <c r="HF21" s="22"/>
      <c r="HG21" s="22" t="str">
        <f>IF(OR(O21&gt;0,R21&gt;0),CONCATENATE(IF(Tabla1[[#This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 s="22" t="e">
        <f t="shared" si="41"/>
        <v>#REF!</v>
      </c>
      <c r="HI21" s="22" t="e">
        <f t="shared" ca="1" si="42"/>
        <v>#REF!</v>
      </c>
      <c r="HJ21" s="21"/>
      <c r="HK21" s="21" t="str">
        <f t="shared" si="44"/>
        <v>SIN ANTECEDENTES DE RIESGO</v>
      </c>
      <c r="HL21" s="24" t="str">
        <f t="shared" si="45"/>
        <v>REGISTRE DATO PRESIÓN ARTERIAL MENSUAL</v>
      </c>
      <c r="HM21" s="21" t="str">
        <f t="shared" ca="1" si="46"/>
        <v/>
      </c>
      <c r="HN21" s="30" t="str">
        <f t="shared" si="47"/>
        <v>SALIO PROGRAMA</v>
      </c>
      <c r="HO21" s="21"/>
      <c r="HP21" s="21"/>
      <c r="HQ21" s="21"/>
      <c r="HR21" s="21" t="str">
        <f>IF(R21="","",IF(Tabla1[[#This Row],[ALARMA FACTORES DE RIESGO COMPLICACIONES HIPERTENSIVAS3]]="SIN ANTECEDENTES DE RIESGO","No Aplica para suministro de ASA",IF(AND(Tabla1[[#This Row],[FECHA INICIO DE SUMINISTRO DE ASA]]&gt;0,RV21&lt;12),"Inicia ASA ANTES de Sem 12",IF(AND(RV21&gt;11,RV21&lt;17,OR(HK21="RIESGO ALTO DE COMPLICACIONES HIPERTENSIVAS VER MANEJO GUIA SUMINISTRO ASA Y CALCIO",HK21="RIESGO MODERADO (2 O MAS CRITERIOS) VER MANEJO GUIA SUMINISTRO ASA Y CALCIO")),"Inicio oportuno de ASA",IF(AND(RV21&gt;12,OR(HK21="RIESGO ALTO DE COMPLICACIONES HIPERTENSIVAS VER MANEJO GUIA SUMINISTRO ASA Y CALCIO",HK21="RIESGO MODERADO (2 O MAS CRITERIOS) VER MANEJO GUIA SUMINISTRO ASA Y CALCIO")),"Inicio no oportuno mayor a 16 semanas",IF(AND(BU21&lt;12,OR(HK21="RIESGO ALTO DE COMPLICACIONES HIPERTENSIVAS VER MANEJO GUIA SUMINISTRO ASA Y CALCIO",HK21="RIESGO MODERADO (2 O MAS CRITERIOS) VER MANEJO GUIA SUMINISTRO ASA Y CALCIO")),"Pendiente Inicio de ASA a la semana 12",IF(AND(BU21&gt;11,BU21&lt;17,OR(HK21="RIESGO ALTO DE COMPLICACIONES HIPERTENSIVAS VER MANEJO GUIA SUMINISTRO ASA Y CALCIO",HK21="RIESGO MODERADO (2 O MAS CRITERIOS) VER MANEJO GUIA SUMINISTRO ASA Y CALCIO")),"Iniciar de inmediato ASA",IF(AND(BU21&gt;16,OR(HK21="RIESGO ALTO DE COMPLICACIONES HIPERTENSIVAS VER MANEJO GUIA SUMINISTRO ASA Y CALCIO",HK21="RIESGO MODERADO (2 O MAS CRITERIOS) VER MANEJO GUIA SUMINISTRO ASA Y CALCIO")),"Pierde Oportunidad, Inicio tardío de ASA","XXXXX"))))))))</f>
        <v>No Aplica para suministro de ASA</v>
      </c>
      <c r="HS21" s="22"/>
      <c r="HT21" s="22"/>
      <c r="HU21" s="22"/>
      <c r="HV21" s="22"/>
      <c r="HW21" s="22"/>
      <c r="HX21" s="22"/>
      <c r="HY21" s="22"/>
      <c r="HZ21" s="28" t="str">
        <f t="shared" si="48"/>
        <v>PENDIENTE CONSULTA</v>
      </c>
      <c r="IA21" s="26"/>
      <c r="IB21" s="26"/>
      <c r="IC21" s="111"/>
      <c r="ID21" s="22"/>
      <c r="IE21" s="22" t="str">
        <f t="shared" ca="1" si="49"/>
        <v>SALE SIN VACUNA</v>
      </c>
      <c r="IF21" s="22"/>
      <c r="IG21" s="22">
        <f t="shared" si="50"/>
        <v>45008</v>
      </c>
      <c r="IH21" s="29">
        <f t="shared" ca="1" si="51"/>
        <v>-225</v>
      </c>
      <c r="II21" s="22" t="str">
        <f t="shared" ca="1" si="52"/>
        <v>POSIBLEMENTE NACIO</v>
      </c>
      <c r="IJ21" s="22"/>
      <c r="IK21" s="21" t="s">
        <v>898</v>
      </c>
      <c r="IL21" s="21"/>
      <c r="IM21" s="34"/>
      <c r="IN21" s="349">
        <v>44965</v>
      </c>
      <c r="IO21" s="21" t="s">
        <v>1640</v>
      </c>
      <c r="IP21" s="29">
        <f t="shared" si="53"/>
        <v>33.857142857142854</v>
      </c>
      <c r="IQ21" s="35"/>
      <c r="IR21" s="21" t="s">
        <v>879</v>
      </c>
      <c r="IS21" s="21" t="s">
        <v>1641</v>
      </c>
      <c r="IT21" s="21" t="s">
        <v>1642</v>
      </c>
      <c r="IU21" s="21"/>
      <c r="IV21" s="21"/>
      <c r="IW21" s="21"/>
      <c r="IX21" s="21"/>
      <c r="IY21" s="21"/>
      <c r="IZ21" s="21"/>
      <c r="JA21" s="21"/>
      <c r="JB21" s="30">
        <v>1</v>
      </c>
      <c r="JC21" s="21" t="s">
        <v>1643</v>
      </c>
      <c r="JD21" s="36">
        <v>3700</v>
      </c>
      <c r="JE21" s="21" t="str">
        <f t="shared" si="54"/>
        <v>ERROR VERIFICAR DATO EDAD GESTACIONAL VS PESO</v>
      </c>
      <c r="JF21" s="30"/>
      <c r="JG21" s="21"/>
      <c r="JH21" s="21"/>
      <c r="JI21" s="21"/>
      <c r="JJ21" s="30"/>
      <c r="JK21" s="22"/>
      <c r="JL21" s="22"/>
      <c r="JM21" s="21"/>
      <c r="JN21" s="36"/>
      <c r="JO21" s="21" t="str">
        <f t="shared" si="55"/>
        <v/>
      </c>
      <c r="JP21" s="22"/>
      <c r="JQ21" s="21"/>
      <c r="JR21" s="21"/>
      <c r="JS21" s="21"/>
      <c r="JT21" s="30"/>
      <c r="JU21" s="22"/>
      <c r="JV21" s="22"/>
      <c r="JW21" s="33"/>
      <c r="JX21" s="28" t="str">
        <f t="shared" si="56"/>
        <v>INASISTENTE</v>
      </c>
      <c r="JY21" s="33"/>
      <c r="JZ21" s="28" t="str">
        <f t="shared" si="57"/>
        <v>INASISTENTE</v>
      </c>
      <c r="KA21" s="21"/>
      <c r="KB21" s="21"/>
      <c r="KC21" s="21"/>
      <c r="KD21" s="37"/>
      <c r="KE21" s="28"/>
      <c r="KF21" s="28"/>
      <c r="KG21" s="28"/>
      <c r="KH21" s="39"/>
      <c r="KI21" s="39"/>
      <c r="KJ21" s="66"/>
      <c r="KK21" s="39"/>
      <c r="KL21" s="39"/>
      <c r="KM21" s="66"/>
      <c r="KN21" s="39"/>
      <c r="KO21" s="39"/>
      <c r="KP21" s="39"/>
      <c r="KQ21" s="39"/>
      <c r="KR21" s="39"/>
      <c r="KS21" s="39"/>
      <c r="KT21" s="39"/>
      <c r="KU21" s="38"/>
      <c r="KV21" s="38"/>
      <c r="KW21" s="38"/>
      <c r="KX21" s="38"/>
      <c r="KY21" s="38"/>
      <c r="KZ21" s="38"/>
      <c r="LA21" s="38"/>
      <c r="LB21" s="38"/>
      <c r="LC21" s="38"/>
      <c r="LD21" s="38"/>
      <c r="LE21" s="38"/>
      <c r="LF21" s="38"/>
      <c r="LG21" s="38"/>
      <c r="LH21" s="38"/>
      <c r="LI21" s="38"/>
      <c r="LJ21" s="38"/>
      <c r="LK21" s="38"/>
      <c r="LL21" s="38"/>
      <c r="LM21" s="38"/>
      <c r="LN21" s="38"/>
      <c r="LO21" s="38"/>
      <c r="LP21" s="38"/>
      <c r="LQ21" s="38"/>
      <c r="LR21" s="38"/>
      <c r="LS21" s="38"/>
      <c r="LT21" s="38"/>
      <c r="LU21" s="38"/>
      <c r="LV21" s="38"/>
      <c r="LW21" s="38"/>
      <c r="LX21" s="38"/>
      <c r="LY21" s="38"/>
      <c r="LZ21" s="38"/>
      <c r="MA21" s="38"/>
      <c r="MB21" s="38"/>
      <c r="MC21" s="38"/>
      <c r="MD21" s="38"/>
      <c r="ME21" s="38"/>
      <c r="MF21" s="38"/>
      <c r="MG21" s="38"/>
      <c r="MH21" s="43">
        <f t="shared" si="58"/>
        <v>0</v>
      </c>
      <c r="MI21" s="43" t="str">
        <f t="shared" si="59"/>
        <v/>
      </c>
      <c r="MJ21" s="43" t="str">
        <f t="shared" si="60"/>
        <v/>
      </c>
      <c r="MK21" s="43">
        <f t="shared" si="61"/>
        <v>0</v>
      </c>
      <c r="ML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 s="43">
        <f t="shared" si="62"/>
        <v>15</v>
      </c>
      <c r="MN21" s="43">
        <f t="shared" si="63"/>
        <v>9</v>
      </c>
      <c r="MO21" s="43">
        <f t="shared" si="64"/>
        <v>2022</v>
      </c>
      <c r="MP21" s="43" t="str">
        <f t="shared" si="65"/>
        <v>III TRIMESTRE AÑO</v>
      </c>
      <c r="MQ21" s="43">
        <f t="shared" si="66"/>
        <v>14.818769163381516</v>
      </c>
      <c r="MR21" s="43">
        <f t="shared" si="67"/>
        <v>1</v>
      </c>
      <c r="MS21" s="43" t="str">
        <f t="shared" si="68"/>
        <v>DE 14 A 19AÑOS</v>
      </c>
      <c r="MT21" s="43">
        <f t="shared" si="69"/>
        <v>0</v>
      </c>
      <c r="MU21" s="43">
        <f t="shared" si="70"/>
        <v>1</v>
      </c>
      <c r="MV21" s="43">
        <f t="shared" si="71"/>
        <v>0</v>
      </c>
      <c r="MW21" s="43">
        <f t="shared" si="72"/>
        <v>0</v>
      </c>
      <c r="MX21" s="43" t="str">
        <f t="shared" si="73"/>
        <v/>
      </c>
      <c r="MY21" s="43" t="str">
        <f t="shared" ca="1" si="74"/>
        <v/>
      </c>
      <c r="MZ21" s="43" t="str">
        <f t="shared" si="75"/>
        <v/>
      </c>
      <c r="NA21" s="43" t="str">
        <f t="shared" si="76"/>
        <v/>
      </c>
      <c r="NB21" s="43" t="str">
        <f t="shared" si="77"/>
        <v/>
      </c>
      <c r="NC21" s="43" t="str">
        <f t="shared" si="78"/>
        <v/>
      </c>
      <c r="ND21" s="43">
        <f t="shared" ca="1" si="79"/>
        <v>2</v>
      </c>
      <c r="NE21" s="43">
        <f>IF(OR(O21&gt;0,R21&gt;0),SUM(COUNTIF(Tabla1[[#This Row],[AÑOS AL INICIO5 CPN]],"&gt;=40"),COUNTIF(AS21,"0"),COUNTIF(AR21,"SI"),COUNTIF(CC21,"SI"),COUNTIF(BQ21,"&gt;119"),COUNTIF(CI21,"&gt;=35")),"")</f>
        <v>0</v>
      </c>
      <c r="NF21" s="43" t="str">
        <f t="shared" si="80"/>
        <v/>
      </c>
      <c r="NG21" s="43">
        <f t="shared" si="81"/>
        <v>0</v>
      </c>
      <c r="NH21" s="43" t="str">
        <f t="shared" si="82"/>
        <v/>
      </c>
      <c r="NI2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CPN",P21="NO"),"Z",IF(AND(Tabla1[[#This Row],[CITA PROXIMO CONTROL]]="CITA MANUAL",Tabla1[[#This Row],[GESTANTES ACTUALES]]="ACTIVA INGRESO A CPN"),"W",IF(AND(Tabla1[[#This Row],[GESTANTES ACTUALES]]="SALIO PROGRAMA",IN21=""),"S",IF(AND(Tabla1[[#This Row],[CITA PROXIMO CONTROL]]&gt;0,IN21=""),(Tabla1[[#This Row],[CITA PROXIMO CONTROL]]-TODAY()),"SD"))))))))</f>
        <v>SD</v>
      </c>
      <c r="NJ21" s="43">
        <f>MONTH(Tabla1[[#This Row],[FECHA DE SALIDA  DEL PROGRAMA]])</f>
        <v>2</v>
      </c>
      <c r="NK21" s="43">
        <f>YEAR(Tabla1[[#This Row],[FECHA DE SALIDA  DEL PROGRAMA]])</f>
        <v>2023</v>
      </c>
      <c r="NL21" s="43" t="str">
        <f t="shared" si="83"/>
        <v>X</v>
      </c>
      <c r="NM21" s="43" t="str">
        <f t="shared" si="84"/>
        <v>NO</v>
      </c>
      <c r="NN21" s="43" t="str">
        <f ca="1">IF(AND(O21&gt;0,R21=""),"NO CPN",IF(AND(O21="",R21=""),"",IF(AND(R21&gt;0,Tabla1[[#This Row],[SEMANAS DE GESTACION ACTUALIZADAS]]&lt;=12),"NO APLICA",IF(AND(FH21&lt;&gt;"",FN21&lt;&gt;""),"SI","NO"))))</f>
        <v>NO</v>
      </c>
      <c r="NO21" s="43" t="str">
        <f ca="1">IF(AND(O21&gt;0,R21=""),"NO CPN",IF(AND(O21="",R21=""),"",IF(AND(R21&gt;0,Tabla1[[#This Row],[SEMANAS DE GESTACION ACTUALIZADAS]]&lt;=27),"NO APLICA",IF(AND(ES21&lt;&gt;"",FQ21&lt;&gt;"",GF21&lt;&gt;""),"SI","NO"))))</f>
        <v>NO</v>
      </c>
      <c r="NP21" s="204" t="str">
        <f t="shared" si="85"/>
        <v>DEFINIR CON ECO</v>
      </c>
      <c r="NQ21" s="21">
        <f t="shared" si="86"/>
        <v>3</v>
      </c>
      <c r="NR21" s="21">
        <f t="shared" si="87"/>
        <v>2</v>
      </c>
      <c r="NS21" s="205">
        <f t="shared" ca="1" si="88"/>
        <v>0</v>
      </c>
      <c r="NT21" s="21">
        <f t="shared" ca="1" si="89"/>
        <v>0</v>
      </c>
      <c r="NU21" s="21" t="str">
        <f t="shared" ca="1" si="90"/>
        <v>INCOMPLETO</v>
      </c>
      <c r="NV21" s="21" t="str">
        <f t="shared" ca="1" si="91"/>
        <v>INCOMPLETO</v>
      </c>
      <c r="NW21" s="206" t="str">
        <f>IF(AND(O21="",R21=""),"",IF(OR(AND(Tabla1[[#This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 s="207" t="str">
        <f t="shared" ca="1" si="92"/>
        <v>SIN VACUNAR</v>
      </c>
      <c r="NY21" s="43">
        <f>ROW(Tabla1[[#This Row],['# DE TAMIZAJES SIFILIS TOMADOS ]])</f>
        <v>21</v>
      </c>
      <c r="NZ21" s="43">
        <f t="shared" si="93"/>
        <v>15</v>
      </c>
      <c r="OA21" s="43" t="str">
        <f t="shared" si="94"/>
        <v/>
      </c>
      <c r="OB21" s="43" t="str">
        <f t="shared" si="95"/>
        <v/>
      </c>
      <c r="OC21" s="43" t="str">
        <f t="shared" si="96"/>
        <v/>
      </c>
      <c r="OD21" s="43" t="str">
        <f t="shared" si="97"/>
        <v/>
      </c>
      <c r="OE21" s="43" t="str">
        <f t="shared" si="98"/>
        <v/>
      </c>
      <c r="OF21" s="43" t="str">
        <f t="shared" si="99"/>
        <v/>
      </c>
      <c r="OG21" s="43" t="str">
        <f t="shared" si="100"/>
        <v>NORMAL</v>
      </c>
      <c r="OH21" s="43" t="str">
        <f t="shared" si="101"/>
        <v/>
      </c>
      <c r="OI21" s="43" t="str">
        <f t="shared" si="102"/>
        <v/>
      </c>
      <c r="OJ21" s="43" t="str">
        <f t="shared" si="103"/>
        <v/>
      </c>
      <c r="OK21" s="43" t="str">
        <f t="shared" si="104"/>
        <v/>
      </c>
      <c r="OL21" s="43" t="str">
        <f t="shared" si="105"/>
        <v/>
      </c>
      <c r="OM21" s="43" t="str">
        <f t="shared" si="106"/>
        <v/>
      </c>
      <c r="ON21" s="43" t="str">
        <f t="shared" si="107"/>
        <v/>
      </c>
      <c r="OO21" s="43" t="str">
        <f t="shared" si="108"/>
        <v/>
      </c>
      <c r="OP21" s="43" t="str">
        <f t="shared" si="109"/>
        <v/>
      </c>
      <c r="OQ21" s="43" t="str">
        <f t="shared" si="110"/>
        <v/>
      </c>
      <c r="OR21" s="43" t="str">
        <f t="shared" si="111"/>
        <v/>
      </c>
      <c r="OS21" s="43" t="str">
        <f t="shared" si="112"/>
        <v/>
      </c>
      <c r="OT21" s="43" t="str">
        <f t="shared" si="113"/>
        <v/>
      </c>
      <c r="OU21" s="43" t="str">
        <f t="shared" si="114"/>
        <v/>
      </c>
      <c r="OV21" s="110" t="str">
        <f t="shared" si="115"/>
        <v/>
      </c>
      <c r="OW21" s="43" t="str">
        <f t="shared" si="116"/>
        <v/>
      </c>
      <c r="OX21" s="43" t="str">
        <f t="shared" si="117"/>
        <v/>
      </c>
      <c r="OY21" s="43" t="str">
        <f t="shared" si="118"/>
        <v/>
      </c>
      <c r="OZ21" s="43" t="str">
        <f t="shared" si="119"/>
        <v/>
      </c>
      <c r="PA21" s="43" t="str">
        <f t="shared" si="120"/>
        <v/>
      </c>
      <c r="PB21" s="43" t="str">
        <f t="shared" si="121"/>
        <v/>
      </c>
      <c r="PC21" s="43" t="str">
        <f t="shared" si="122"/>
        <v/>
      </c>
      <c r="PD21" s="43" t="str">
        <f t="shared" si="123"/>
        <v/>
      </c>
      <c r="PE21" s="43" t="str">
        <f t="shared" si="124"/>
        <v/>
      </c>
      <c r="PF21" s="43" t="str">
        <f t="shared" si="125"/>
        <v/>
      </c>
      <c r="PG21" s="43" t="str">
        <f t="shared" si="126"/>
        <v/>
      </c>
      <c r="PH21" s="43" t="str">
        <f t="shared" si="127"/>
        <v/>
      </c>
      <c r="PI21" s="43">
        <f t="shared" si="128"/>
        <v>15</v>
      </c>
      <c r="PJ21" s="43" t="str">
        <f t="shared" si="129"/>
        <v/>
      </c>
      <c r="PK21" s="43" t="str">
        <f t="shared" si="130"/>
        <v/>
      </c>
      <c r="PL21" s="43" t="str">
        <f t="shared" si="131"/>
        <v/>
      </c>
      <c r="PM21" s="43" t="str">
        <f t="shared" si="132"/>
        <v/>
      </c>
      <c r="PN21" s="43" t="str">
        <f t="shared" si="133"/>
        <v/>
      </c>
      <c r="PO21" s="43" t="str">
        <f t="shared" si="134"/>
        <v/>
      </c>
      <c r="PP21" s="43" t="str">
        <f t="shared" si="135"/>
        <v/>
      </c>
      <c r="PQ21" s="43" t="str">
        <f t="shared" si="136"/>
        <v/>
      </c>
      <c r="PR21" s="43" t="str">
        <f t="shared" si="137"/>
        <v/>
      </c>
      <c r="PS21" s="43" t="str">
        <f t="shared" si="138"/>
        <v/>
      </c>
      <c r="PT21" s="43" t="str">
        <f t="shared" si="139"/>
        <v/>
      </c>
      <c r="PU21" s="43" t="str">
        <f t="shared" si="140"/>
        <v/>
      </c>
      <c r="PV21" s="43" t="str">
        <f t="shared" si="141"/>
        <v/>
      </c>
      <c r="PW21" s="43" t="str">
        <f t="shared" si="142"/>
        <v/>
      </c>
      <c r="PX21" s="43" t="str">
        <f t="shared" si="143"/>
        <v/>
      </c>
      <c r="PY21" s="43" t="str">
        <f t="shared" si="144"/>
        <v/>
      </c>
      <c r="PZ21" s="43" t="str">
        <f t="shared" si="145"/>
        <v/>
      </c>
      <c r="QA21" s="43" t="str">
        <f t="shared" si="146"/>
        <v/>
      </c>
      <c r="QB21" s="43" t="str">
        <f t="shared" si="147"/>
        <v/>
      </c>
      <c r="QC21" s="43" t="str">
        <f t="shared" si="148"/>
        <v/>
      </c>
      <c r="QD21" s="43" t="str">
        <f t="shared" si="149"/>
        <v/>
      </c>
      <c r="QE21" s="43" t="str">
        <f t="shared" si="150"/>
        <v/>
      </c>
      <c r="QF21" s="43" t="str">
        <f t="shared" si="151"/>
        <v/>
      </c>
      <c r="QG21" s="43" t="str">
        <f t="shared" si="152"/>
        <v/>
      </c>
      <c r="QH21" s="43" t="str">
        <f t="shared" si="153"/>
        <v/>
      </c>
      <c r="QI21" s="43" t="str">
        <f t="shared" si="154"/>
        <v/>
      </c>
      <c r="QJ21" s="43" t="str">
        <f t="shared" si="155"/>
        <v/>
      </c>
      <c r="QK21" s="43" t="str">
        <f t="shared" si="156"/>
        <v/>
      </c>
      <c r="QL21" s="43" t="str">
        <f t="shared" si="157"/>
        <v/>
      </c>
      <c r="QM21" s="43" t="str">
        <f t="shared" si="158"/>
        <v/>
      </c>
      <c r="QN21" s="43" t="str">
        <f t="shared" si="159"/>
        <v/>
      </c>
      <c r="QO21" s="43" t="str">
        <f t="shared" si="160"/>
        <v/>
      </c>
      <c r="QP21" s="43" t="str">
        <f t="shared" si="161"/>
        <v/>
      </c>
      <c r="QQ21" s="43" t="str">
        <f t="shared" si="162"/>
        <v/>
      </c>
      <c r="QR21" s="43">
        <f t="shared" si="192"/>
        <v>15</v>
      </c>
      <c r="QS21" s="43"/>
      <c r="QT21" s="21" t="str">
        <f t="shared" si="163"/>
        <v/>
      </c>
      <c r="QU21" s="21" t="str">
        <f t="shared" si="164"/>
        <v/>
      </c>
      <c r="QV21" s="21" t="str">
        <f t="shared" si="165"/>
        <v/>
      </c>
      <c r="QW21" s="21" t="str">
        <f t="shared" si="166"/>
        <v/>
      </c>
      <c r="QX21" s="21" t="str">
        <f t="shared" si="167"/>
        <v/>
      </c>
      <c r="QY21" s="21" t="str">
        <f t="shared" si="168"/>
        <v/>
      </c>
      <c r="QZ21" s="21" t="str">
        <f t="shared" si="169"/>
        <v/>
      </c>
      <c r="RA21" s="21" t="str">
        <f t="shared" si="170"/>
        <v/>
      </c>
      <c r="RB21" s="21" t="str">
        <f t="shared" si="171"/>
        <v/>
      </c>
      <c r="RC21" s="21" t="str">
        <f t="shared" si="172"/>
        <v/>
      </c>
      <c r="RD21" s="21" t="str">
        <f t="shared" si="173"/>
        <v/>
      </c>
      <c r="RE21" s="21" t="str">
        <f t="shared" si="174"/>
        <v/>
      </c>
      <c r="RF21" s="21" t="str">
        <f t="shared" si="175"/>
        <v/>
      </c>
      <c r="RG21" s="21" t="str">
        <f t="shared" si="176"/>
        <v/>
      </c>
      <c r="RH21" s="21" t="str">
        <f t="shared" si="177"/>
        <v/>
      </c>
      <c r="RI21" s="21" t="str">
        <f t="shared" si="178"/>
        <v/>
      </c>
      <c r="RJ21" s="21" t="str">
        <f t="shared" si="179"/>
        <v/>
      </c>
      <c r="RK21" s="21" t="str">
        <f t="shared" si="180"/>
        <v/>
      </c>
      <c r="RL21" s="21" t="str">
        <f t="shared" si="181"/>
        <v/>
      </c>
      <c r="RM21" s="21" t="str">
        <f t="shared" si="182"/>
        <v/>
      </c>
      <c r="RN21" s="21" t="str">
        <f t="shared" si="183"/>
        <v/>
      </c>
      <c r="RO21" s="21" t="str">
        <f t="shared" si="184"/>
        <v/>
      </c>
      <c r="RP21" s="21" t="str">
        <f t="shared" si="185"/>
        <v/>
      </c>
      <c r="RQ21" s="21" t="str">
        <f t="shared" si="186"/>
        <v/>
      </c>
      <c r="RR21" s="21" t="str">
        <f t="shared" si="187"/>
        <v/>
      </c>
      <c r="RS21" s="21" t="str">
        <f t="shared" si="188"/>
        <v/>
      </c>
      <c r="RT21" s="21" t="str">
        <f t="shared" si="189"/>
        <v/>
      </c>
      <c r="RU21" s="21" t="str">
        <f t="shared" si="190"/>
        <v/>
      </c>
      <c r="RV21" s="21">
        <f t="shared" si="191"/>
        <v>-1</v>
      </c>
      <c r="RW21" s="284">
        <f>IF(OR(Tabla1[[#This Row],[FUM FORMULA CONFIABLE]]="",Tabla1[[#This Row],[FUM FORMULA CONFIABLE]]="SD"),"",IF(Tabla1[[#This Row],[FUM FORMULA CONFIABLE]]="CORREGIDA",Tabla1[[#This Row],[FUM X ECO 1]],Tabla1[[#This Row],[FUM x AMENORREA]]))</f>
        <v>44728</v>
      </c>
      <c r="RX21" s="21" t="str">
        <f>IF(AND(Tabla1[[#This Row],[FUM X ECO 1]]="",Tabla1[[#This Row],[FUM x AMENORREA]]=""),"",IF(AND(Tabla1[[#This Row],[FUM X ECO 1]]="",Tabla1[[#This Row],[FUM x AMENORREA]]&lt;&gt;""),"X",SUM(Tabla1[[#This Row],[FUM X ECO 1]]-Tabla1[[#This Row],[FUM x AMENORREA]])))</f>
        <v>X</v>
      </c>
      <c r="RY21" s="21" t="str">
        <f t="shared" si="193"/>
        <v>x</v>
      </c>
    </row>
    <row r="22" spans="1:493" ht="45" customHeight="1" x14ac:dyDescent="0.25">
      <c r="A22" s="109"/>
      <c r="B22" s="43" t="s">
        <v>927</v>
      </c>
      <c r="C22" s="43" t="s">
        <v>845</v>
      </c>
      <c r="D22" s="124" t="s">
        <v>846</v>
      </c>
      <c r="E22" s="43" t="s">
        <v>979</v>
      </c>
      <c r="F22" s="43" t="s">
        <v>980</v>
      </c>
      <c r="G22" s="43" t="s">
        <v>981</v>
      </c>
      <c r="H22" s="43" t="s">
        <v>982</v>
      </c>
      <c r="I22" s="109" t="s">
        <v>851</v>
      </c>
      <c r="J22" s="110">
        <v>1002847211</v>
      </c>
      <c r="K22" s="43" t="s">
        <v>852</v>
      </c>
      <c r="L22" s="175" t="s">
        <v>853</v>
      </c>
      <c r="M22" s="22">
        <v>36771</v>
      </c>
      <c r="N22" s="213">
        <f t="shared" ca="1" si="0"/>
        <v>23.183561643835617</v>
      </c>
      <c r="O22" s="22">
        <v>44820</v>
      </c>
      <c r="P22" s="214" t="str">
        <f t="shared" si="1"/>
        <v>SI</v>
      </c>
      <c r="Q22" s="26" t="s">
        <v>855</v>
      </c>
      <c r="R22" s="22">
        <v>44833</v>
      </c>
      <c r="S22" s="21" t="s">
        <v>856</v>
      </c>
      <c r="T22" s="24" t="s">
        <v>690</v>
      </c>
      <c r="U22" s="21" t="s">
        <v>857</v>
      </c>
      <c r="V22" s="21" t="s">
        <v>858</v>
      </c>
      <c r="W22" s="21" t="s">
        <v>933</v>
      </c>
      <c r="X22" s="21" t="s">
        <v>933</v>
      </c>
      <c r="Y22" s="21" t="s">
        <v>859</v>
      </c>
      <c r="Z22" s="21">
        <v>3234420571</v>
      </c>
      <c r="AA22" s="21" t="s">
        <v>860</v>
      </c>
      <c r="AB22" s="27" t="s">
        <v>861</v>
      </c>
      <c r="AC22" s="26" t="s">
        <v>877</v>
      </c>
      <c r="AD22" s="38" t="s">
        <v>846</v>
      </c>
      <c r="AE22" s="26" t="s">
        <v>854</v>
      </c>
      <c r="AF22" s="26" t="s">
        <v>854</v>
      </c>
      <c r="AG22" s="23" t="s">
        <v>864</v>
      </c>
      <c r="AH22" s="23" t="s">
        <v>864</v>
      </c>
      <c r="AI22" s="24" t="s">
        <v>863</v>
      </c>
      <c r="AJ22" s="23" t="s">
        <v>864</v>
      </c>
      <c r="AK22" s="220" t="str">
        <f>IF(AND(AD22="",AE22="",AF22="",AG22="",AH22="",AI22="",AJ22=""),"",IF(OR(Tabla1[[#This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EVALUACIÓN",IF(AND(O22="",R22=""),"",IF(AND(OR(O22&gt;0,R22&gt;0),NG22&gt;=0,NG22&lt;2),"SIN RIESGO",IF(AND(OR(O22&gt;0,R22&gt;0),NG22&gt;=2),"CON RIESGO","ASD")))))</f>
        <v>SIN RIESGO</v>
      </c>
      <c r="AL22" s="23" t="s">
        <v>864</v>
      </c>
      <c r="AM22" s="26" t="s">
        <v>864</v>
      </c>
      <c r="AN22" s="26" t="s">
        <v>864</v>
      </c>
      <c r="AO22" s="26" t="s">
        <v>864</v>
      </c>
      <c r="AP22" s="26" t="s">
        <v>864</v>
      </c>
      <c r="AQ22" s="26" t="s">
        <v>864</v>
      </c>
      <c r="AR22" s="26" t="s">
        <v>864</v>
      </c>
      <c r="AS22" s="21">
        <v>2</v>
      </c>
      <c r="AT22" s="21">
        <v>1</v>
      </c>
      <c r="AU22" s="21">
        <v>0</v>
      </c>
      <c r="AV22" s="26" t="s">
        <v>864</v>
      </c>
      <c r="AW22" s="21">
        <v>0</v>
      </c>
      <c r="AX22" s="26" t="s">
        <v>864</v>
      </c>
      <c r="AY22" s="26" t="s">
        <v>864</v>
      </c>
      <c r="AZ22" s="26" t="s">
        <v>864</v>
      </c>
      <c r="BA22" s="26" t="s">
        <v>864</v>
      </c>
      <c r="BB22" s="26" t="s">
        <v>864</v>
      </c>
      <c r="BC22" s="26" t="s">
        <v>864</v>
      </c>
      <c r="BD22" s="26" t="s">
        <v>864</v>
      </c>
      <c r="BE22" s="26" t="s">
        <v>864</v>
      </c>
      <c r="BF22" s="26" t="s">
        <v>864</v>
      </c>
      <c r="BG22" s="26" t="s">
        <v>864</v>
      </c>
      <c r="BH22" s="26" t="s">
        <v>864</v>
      </c>
      <c r="BI22" s="26" t="s">
        <v>864</v>
      </c>
      <c r="BJ22" s="26"/>
      <c r="BK22" s="26"/>
      <c r="BL22" s="26" t="s">
        <v>864</v>
      </c>
      <c r="BM22" s="26" t="s">
        <v>864</v>
      </c>
      <c r="BN22" s="22">
        <v>42751</v>
      </c>
      <c r="BO22" s="22">
        <v>44789</v>
      </c>
      <c r="BP22" s="21" t="s">
        <v>854</v>
      </c>
      <c r="BQ22" s="222">
        <f t="shared" si="2"/>
        <v>67.933333333333337</v>
      </c>
      <c r="BR22" s="223">
        <f t="shared" si="3"/>
        <v>44789.2</v>
      </c>
      <c r="BS22" s="224">
        <f t="shared" si="4"/>
        <v>6.2857142857142856</v>
      </c>
      <c r="BT22" s="216" t="str">
        <f t="shared" si="5"/>
        <v>I TRIM</v>
      </c>
      <c r="BU22" s="214" t="str">
        <f t="shared" ca="1" si="6"/>
        <v/>
      </c>
      <c r="BV22" s="25"/>
      <c r="BW22" s="22">
        <v>44855</v>
      </c>
      <c r="BX22" s="28">
        <v>9.4</v>
      </c>
      <c r="BY22" s="28"/>
      <c r="BZ22" s="22"/>
      <c r="CA22" s="21"/>
      <c r="CB22" s="26" t="s">
        <v>864</v>
      </c>
      <c r="CC22" s="26" t="s">
        <v>864</v>
      </c>
      <c r="CD22" s="26" t="s">
        <v>878</v>
      </c>
      <c r="CE22" s="26" t="s">
        <v>864</v>
      </c>
      <c r="CF22" s="22" t="s">
        <v>1517</v>
      </c>
      <c r="CG22" s="21">
        <v>1.51</v>
      </c>
      <c r="CH22" s="21">
        <v>62</v>
      </c>
      <c r="CI22" s="214">
        <f t="shared" si="7"/>
        <v>27.191789833779222</v>
      </c>
      <c r="CJ22" s="225" t="str">
        <f>IF(AND(CI22&lt;10,CH22="SD"),"SIN DATO PESO PREGESTACION O I TRIM",IF(AND(OR(R22&gt;0,O22&gt;0),CI22="X"),"INGRESAR DATO DE PESO",IF(CI22="SD","INGRESAR DATO DE TALLA Y PESO",IF(AND(OR(Tabla1[[#This Row],[MOMENTO EN QUE SE REALIZA EL PESO AL INGRESO A CPN]]="PREGESTACIÓN",NZ22="Menor"),CI22&lt;18.5),"BAJO PESO",IF(AND(OR(Tabla1[[#This Row],[MOMENTO EN QUE SE REALIZA EL PESO AL INGRESO A CPN]]="PREGESTACIÓN",NZ22="Menor"),CI22&lt;25),"NORMAL",IF(AND(OR(Tabla1[[#This Row],[MOMENTO EN QUE SE REALIZA EL PESO AL INGRESO A CPN]]="PREGESTACIÓN",NZ22="Menor"),CI22&lt;30),"SOBREPESO",IF(AND(OR(Tabla1[[#This Row],[MOMENTO EN QUE SE REALIZA EL PESO AL INGRESO A CPN]]="PREGESTACIÓN",NZ22="Menor"),CI22&gt;=30,CI22&lt;50),"OBESIDAD",IF(AND(BS22&gt;0,Tabla1[[#This Row],[MOMENTO EN QUE SE REALIZA EL PESO AL INGRESO A CPN]]="GESTACIÓN"),HLOOKUP(NZ22,$OA$2:PH22,NY22),""))))))))</f>
        <v>SOBREPESO</v>
      </c>
      <c r="CK22" s="212">
        <f t="shared" si="8"/>
        <v>45016</v>
      </c>
      <c r="CL22" s="21"/>
      <c r="CM22" s="214">
        <f t="shared" si="9"/>
        <v>0</v>
      </c>
      <c r="CN22" s="216">
        <f t="shared" si="10"/>
        <v>32</v>
      </c>
      <c r="CO22" s="216" t="e">
        <f>IF(PI22="","",IF(PI22&gt;0,HLOOKUP(PI22,$PJ$2:QQ22,NY22),""))</f>
        <v>#REF!</v>
      </c>
      <c r="CP22" s="21"/>
      <c r="CQ22" s="216" t="e">
        <f>IF(QR22="Menor","NO APLICA-MENOR 13 SEM",IF(AND(CC22="SI",CN22&gt;23),"NO APLICA- GEMELAR",IF(QR22="","",IF(QR22&gt;0,HLOOKUP(QR22,$QS$2:RU22,NY22),""))))</f>
        <v>#REF!</v>
      </c>
      <c r="CR22" s="21">
        <v>100</v>
      </c>
      <c r="CS22" s="21">
        <v>70</v>
      </c>
      <c r="CT22" s="217" t="str">
        <f>IF(R22="","",IF(AND(BS22&gt;1,BS22&lt;12,Tabla1[[#This Row],[T.A. SISTOLICA - ANTES DE SEMANA 12]]="",Tabla1[[#This Row],[T.A. DIASTOLICA - ANTES DE SEMANA 12]]=""),"REGISTRE DATO TA ANTES SEMANA 12",IF(AND(BS22&gt;11,BS22&lt;43,Tabla1[[#This Row],[T.A. SISTOLICA - ANTES DE SEMANA 12]]="",Tabla1[[#This Row],[T.A. DIASTOLICA - ANTES DE SEMANA 12]]=""),"NO APLICA REGISTRO TA-INGRESO TARDIO",IF(AND(OR(O22&gt;0,R22&gt;0),OR(CR22&gt;=140,CS22&gt;=90)),"DEFINIR ESTADIO HTA",IF(AND(OR(O22&gt;0,R22&gt;0),AND(CR22&gt;120,CR22&lt;=139)),"PRE HTA SEGUIMIENTO",IF(AND(OR(O22&gt;0,R22&gt;0),AND(CS22&gt;80,CS22&lt;=89)),"PRE HTA SEGUIMIENTO",IF(AND(OR(O22&gt;0,R22&gt;0),AND(CR22&gt;=80,CR22&lt;=120)),"APARENTEMENTE NORMAL",IF(AND(OR(O22&gt;0,R22&gt;0),AND(CS22&gt;=50,CS22&lt;=80)),"APARENTEMENTE NORMAL",IF(AND(OR(O22&gt;0,R22&gt;0),AND(CR22&gt;1,CR22&lt;=70),AND(CS22&gt;1,CS22&lt;=40)),"HIPOTENSIÓN","")))))))))</f>
        <v>APARENTEMENTE NORMAL</v>
      </c>
      <c r="CU22" s="21">
        <v>90</v>
      </c>
      <c r="CV22" s="21">
        <v>60</v>
      </c>
      <c r="CW22" s="217" t="str">
        <f ca="1">IF(R22="","",IF(AND(CN22&gt;19,CN22&lt;27,Tabla1[[#This Row],[T.A. SISTOLICA (Entre semana 20 y 26)]]="",Tabla1[[#This Row],[T.A. DIATOLICA (Entre semana 20 y 26)]]=""),"ACUDE A CONTROL SEM 20 A 26 REGISTRE TA AHORA",IF(AND(BS22&gt;1,BS22&lt;27,BU22&gt;19,Tabla1[[#This Row],[T.A. SISTOLICA (Entre semana 20 y 26)]]="",Tabla1[[#This Row],[T.A. DIATOLICA (Entre semana 20 y 26)]]=""),"COMPLETE REGISTRO TA CONTROL SEM 20 A26 ",IF(AND(BS22&gt;26,BS22&lt;43,Tabla1[[#This Row],[T.A. SISTOLICA (Entre semana 20 y 26)]]="",Tabla1[[#This Row],[T.A. DIATOLICA (Entre semana 20 y 26)]]=""),"NO APLICA REGISTRO TA-INGRESO TARDIO",IF(AND(OR(O22&gt;0,R22&gt;0),OR(CU22&gt;=140,CV22&gt;=90)),"ALTO RIESGO PREECLAMPSIA,DEFINIR ESTADIO HTA",IF(AND(OR(O22&gt;0,R22&gt;0),AND(CU22&gt;120,CU22&lt;=139)),"PRE HTA SEGUIMIENTO,RIESGO HIPERTENSION INDUCIDA POR EL EMBARAZO",IF(AND(OR(O22&gt;0,R22&gt;0),AND(CV22&gt;80,CV22&lt;=89)),"PRE HTA SEGUIMIENTO, RIESGO HIPERTENSION INDUCIDA POR EL EMBARAZO",IF(AND(OR(O22&lt;&gt;"",R22&lt;&gt;""),CS22&lt;&gt;"",CV22&lt;&gt;"",CS22&lt;=CV22),"VIGILAR CIFRAS PRESION ARTERIAL",IF(AND(OR(O22&gt;0,R22&gt;0),AND(CU22&gt;120,CU22&lt;=139)),"PRE HTA SEGUIMIENTO",IF(AND(OR(O22&gt;0,R22&gt;0),AND(CU22&gt;1,CU22&lt;=70),AND(CV22&gt;1,CV22&lt;=40)),"HIPOTENSIÓN",IF(AND(OR(O22&lt;&gt;"",R22&lt;&gt;""),CS22&lt;&gt;"",CV22&lt;&gt;"",CS22&gt;CV22),"APARENTEMENTE NORMAL",IF(AND(OR(O22&gt;0,R22&gt;0),AND(CU22&gt;=80,CU22&lt;=120)),"APARENTEMENTE NORMAL",IF(AND(OR(O22&gt;0,R22&gt;0),AND(CV22&gt;=50,CV22&lt;=80)),"APARENTEMENTE NORMAL","")))))))))))))</f>
        <v>APARENTEMENTE NORMAL</v>
      </c>
      <c r="CX22" s="21"/>
      <c r="CY22" s="21"/>
      <c r="CZ22" s="216" t="str">
        <f t="shared" si="11"/>
        <v>ACUDE A CONTROL SEM 30 A 34- REGISTRE AHORA</v>
      </c>
      <c r="DA22" s="21"/>
      <c r="DB22" s="21"/>
      <c r="DC22" s="217" t="str">
        <f t="shared" si="12"/>
        <v>REGISTRE DATO PRESIÓN ARTERIAL MENSUAL</v>
      </c>
      <c r="DD22" s="22">
        <v>44833</v>
      </c>
      <c r="DE22" s="22">
        <v>44833</v>
      </c>
      <c r="DF22" s="22">
        <v>44863</v>
      </c>
      <c r="DG22" s="22">
        <v>44919</v>
      </c>
      <c r="DH22" s="22"/>
      <c r="DI22" s="22">
        <v>44978</v>
      </c>
      <c r="DJ22" s="22"/>
      <c r="DK22" s="22">
        <v>45016</v>
      </c>
      <c r="DL22" s="22"/>
      <c r="DM22" s="22"/>
      <c r="DN22" s="22"/>
      <c r="DO22" s="22"/>
      <c r="DP22" s="22"/>
      <c r="DQ22" s="22"/>
      <c r="DR22" s="28">
        <v>3</v>
      </c>
      <c r="DS22" s="22"/>
      <c r="DT22" s="22"/>
      <c r="DU22" s="216" t="str">
        <f t="shared" ca="1" si="13"/>
        <v>SALE SIN PLAN DE PARTO</v>
      </c>
      <c r="DV22" s="226" t="str">
        <f t="shared" si="14"/>
        <v>SALIO PROGRAMA</v>
      </c>
      <c r="DW2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2" s="216" t="str">
        <f t="shared" ca="1" si="15"/>
        <v/>
      </c>
      <c r="DY22" s="212">
        <f>IF(R22="","",IF(R22&gt;0,MAX(Tabla1[[#This Row],[FECHA C2]:[FECHA C13]],Tabla1[[#This Row],[FECHA CONSULTA PRIMERA VEZ PROGRAMA CPN ]])))</f>
        <v>45016</v>
      </c>
      <c r="DZ22" s="216">
        <f t="shared" si="16"/>
        <v>32</v>
      </c>
      <c r="EA22" s="222">
        <f>IF(R22&gt;0,SUM(COUNTA(DF22:DQ22)+COUNTA(Tabla1[[#This Row],[FECHA CONSULTA PRIMERA VEZ PROGRAMA CPN ]])),"")</f>
        <v>5</v>
      </c>
      <c r="EB22" s="222" t="str">
        <f t="shared" si="17"/>
        <v>SI</v>
      </c>
      <c r="EC22" s="214">
        <f t="shared" si="18"/>
        <v>10</v>
      </c>
      <c r="ED22" s="227">
        <f t="shared" si="19"/>
        <v>0.5</v>
      </c>
      <c r="EE22" s="22">
        <v>44833</v>
      </c>
      <c r="EF22" s="22">
        <v>44833</v>
      </c>
      <c r="EG22" s="22">
        <v>44833</v>
      </c>
      <c r="EH22" s="22">
        <v>44893</v>
      </c>
      <c r="EI22" s="22">
        <v>44833</v>
      </c>
      <c r="EJ22" s="22">
        <v>44894</v>
      </c>
      <c r="EK22" s="22">
        <v>44894</v>
      </c>
      <c r="EL22" s="21">
        <v>1</v>
      </c>
      <c r="EM22" s="21">
        <v>15.1</v>
      </c>
      <c r="EN22" s="22">
        <v>44820</v>
      </c>
      <c r="EO22" s="222">
        <f t="shared" si="20"/>
        <v>4.4285714285714288</v>
      </c>
      <c r="EP22" s="214" t="str">
        <f t="shared" si="21"/>
        <v>NO DAR SULFATO FERROSO</v>
      </c>
      <c r="EQ22" s="216" t="str">
        <f t="shared" si="22"/>
        <v>I TRIM</v>
      </c>
      <c r="ER22" s="24">
        <v>12.5</v>
      </c>
      <c r="ES22" s="22">
        <v>44919</v>
      </c>
      <c r="ET22" s="29">
        <f t="shared" ca="1" si="23"/>
        <v>18.571428571428573</v>
      </c>
      <c r="EU22" s="25" t="str">
        <f t="shared" si="24"/>
        <v>NORMAL- SUMINISTRAR SULFATO FERROSO</v>
      </c>
      <c r="EV22" s="24" t="s">
        <v>866</v>
      </c>
      <c r="EW22" s="24">
        <v>44869</v>
      </c>
      <c r="EX22" s="22"/>
      <c r="EY22" s="29">
        <f t="shared" si="25"/>
        <v>11.428571428571429</v>
      </c>
      <c r="EZ22" s="25" t="str">
        <f t="shared" ca="1" si="26"/>
        <v/>
      </c>
      <c r="FA22" s="21">
        <v>70</v>
      </c>
      <c r="FB22" s="22">
        <v>44820</v>
      </c>
      <c r="FC22" s="29">
        <f t="shared" si="27"/>
        <v>4.4285714285714288</v>
      </c>
      <c r="FD22" s="29">
        <v>80</v>
      </c>
      <c r="FE22" s="29">
        <v>139</v>
      </c>
      <c r="FF22" s="29">
        <v>100</v>
      </c>
      <c r="FG22" s="21" t="str">
        <f t="shared" ca="1" si="28"/>
        <v>NORMAL</v>
      </c>
      <c r="FH22" s="31">
        <v>45010</v>
      </c>
      <c r="FI22" s="29">
        <f t="shared" si="29"/>
        <v>31.571428571428573</v>
      </c>
      <c r="FJ22" s="22" t="s">
        <v>867</v>
      </c>
      <c r="FK22" s="22">
        <v>44869</v>
      </c>
      <c r="FL22" s="29">
        <f t="shared" ca="1" si="30"/>
        <v>11.428571428571429</v>
      </c>
      <c r="FM22" s="22" t="s">
        <v>867</v>
      </c>
      <c r="FN22" s="32"/>
      <c r="FO22" s="29" t="str">
        <f t="shared" ca="1" si="31"/>
        <v>PIERDE TOMA DE TAMIZAJE</v>
      </c>
      <c r="FP22" s="22"/>
      <c r="FQ22" s="32"/>
      <c r="FR22" s="29" t="str">
        <f t="shared" ca="1" si="32"/>
        <v>PIERDE TOMA DE TAMIZAJE</v>
      </c>
      <c r="FS22" s="22"/>
      <c r="FT22" s="32"/>
      <c r="FU22" s="29" t="str">
        <f>IF(AND(FJ22="",FM22="",FP22="",FS22=""),"",IF(OR(OR(Tabla1[[#This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 s="28"/>
      <c r="FW22" s="22"/>
      <c r="FX22" s="29" t="str">
        <f t="shared" si="33"/>
        <v>TOMAR EXAMEN</v>
      </c>
      <c r="FY22" s="22">
        <v>44869</v>
      </c>
      <c r="FZ22" s="22">
        <v>44869</v>
      </c>
      <c r="GA22" s="29">
        <f t="shared" ca="1" si="34"/>
        <v>11.428571428571429</v>
      </c>
      <c r="GB22" s="22"/>
      <c r="GC22" s="22"/>
      <c r="GD22" s="29" t="str">
        <f t="shared" ca="1" si="35"/>
        <v>PIERDE TOMA DE TAMIZAJE</v>
      </c>
      <c r="GE22" s="22" t="s">
        <v>868</v>
      </c>
      <c r="GF22" s="22">
        <v>45016</v>
      </c>
      <c r="GG22" s="29">
        <f t="shared" ca="1" si="36"/>
        <v>32.428571428571431</v>
      </c>
      <c r="GH22" s="22"/>
      <c r="GI22" s="29"/>
      <c r="GJ22" s="22"/>
      <c r="GK22" s="22"/>
      <c r="GL22" s="22" t="s">
        <v>879</v>
      </c>
      <c r="GM22" s="22"/>
      <c r="GN22" s="28" t="s">
        <v>869</v>
      </c>
      <c r="GO22" s="22">
        <v>44869</v>
      </c>
      <c r="GP22" s="29">
        <f t="shared" si="37"/>
        <v>11.428571428571429</v>
      </c>
      <c r="GQ22" s="28" t="s">
        <v>869</v>
      </c>
      <c r="GR22" s="28" t="s">
        <v>869</v>
      </c>
      <c r="GS22" s="22" t="str">
        <f t="shared" si="38"/>
        <v>CONTROL Igm</v>
      </c>
      <c r="GT22" s="22">
        <v>44869</v>
      </c>
      <c r="GU22" s="29">
        <f t="shared" si="39"/>
        <v>11.428571428571429</v>
      </c>
      <c r="GV22" s="21" t="str">
        <f t="shared" si="40"/>
        <v>I TRIM</v>
      </c>
      <c r="GW22" s="28" t="s">
        <v>869</v>
      </c>
      <c r="GX22" s="30"/>
      <c r="GY22" s="21" t="s">
        <v>906</v>
      </c>
      <c r="GZ22" s="21"/>
      <c r="HA22" s="21"/>
      <c r="HB22" s="21"/>
      <c r="HC22" s="21"/>
      <c r="HD22" s="21"/>
      <c r="HE22" s="21"/>
      <c r="HF22" s="22"/>
      <c r="HG22" s="22" t="str">
        <f>IF(OR(O22&gt;0,R22&gt;0),CONCATENATE(IF(Tabla1[[#This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 s="22" t="e">
        <f t="shared" si="41"/>
        <v>#REF!</v>
      </c>
      <c r="HI22" s="22" t="e">
        <f t="shared" ca="1" si="42"/>
        <v>#REF!</v>
      </c>
      <c r="HJ22" s="21"/>
      <c r="HK22" s="21" t="str">
        <f t="shared" si="44"/>
        <v>SIN ANTECEDENTES DE RIESGO</v>
      </c>
      <c r="HL22" s="24" t="str">
        <f t="shared" si="45"/>
        <v>REGISTRE DATO PRESIÓN ARTERIAL MENSUAL</v>
      </c>
      <c r="HM22" s="21" t="str">
        <f t="shared" ca="1" si="46"/>
        <v/>
      </c>
      <c r="HN22" s="30" t="str">
        <f t="shared" si="47"/>
        <v>SALIO PROGRAMA</v>
      </c>
      <c r="HO22" s="21"/>
      <c r="HP22" s="21"/>
      <c r="HQ22" s="21">
        <v>44833</v>
      </c>
      <c r="HR22" s="21" t="str">
        <f>IF(R22="","",IF(Tabla1[[#This Row],[ALARMA FACTORES DE RIESGO COMPLICACIONES HIPERTENSIVAS3]]="SIN ANTECEDENTES DE RIESGO","No Aplica para suministro de ASA",IF(AND(Tabla1[[#This Row],[FECHA INICIO DE SUMINISTRO DE ASA]]&gt;0,RV22&lt;12),"Inicia ASA ANTES de Sem 12",IF(AND(RV22&gt;11,RV22&lt;17,OR(HK22="RIESGO ALTO DE COMPLICACIONES HIPERTENSIVAS VER MANEJO GUIA SUMINISTRO ASA Y CALCIO",HK22="RIESGO MODERADO (2 O MAS CRITERIOS) VER MANEJO GUIA SUMINISTRO ASA Y CALCIO")),"Inicio oportuno de ASA",IF(AND(RV22&gt;12,OR(HK22="RIESGO ALTO DE COMPLICACIONES HIPERTENSIVAS VER MANEJO GUIA SUMINISTRO ASA Y CALCIO",HK22="RIESGO MODERADO (2 O MAS CRITERIOS) VER MANEJO GUIA SUMINISTRO ASA Y CALCIO")),"Inicio no oportuno mayor a 16 semanas",IF(AND(BU22&lt;12,OR(HK22="RIESGO ALTO DE COMPLICACIONES HIPERTENSIVAS VER MANEJO GUIA SUMINISTRO ASA Y CALCIO",HK22="RIESGO MODERADO (2 O MAS CRITERIOS) VER MANEJO GUIA SUMINISTRO ASA Y CALCIO")),"Pendiente Inicio de ASA a la semana 12",IF(AND(BU22&gt;11,BU22&lt;17,OR(HK22="RIESGO ALTO DE COMPLICACIONES HIPERTENSIVAS VER MANEJO GUIA SUMINISTRO ASA Y CALCIO",HK22="RIESGO MODERADO (2 O MAS CRITERIOS) VER MANEJO GUIA SUMINISTRO ASA Y CALCIO")),"Iniciar de inmediato ASA",IF(AND(BU22&gt;16,OR(HK22="RIESGO ALTO DE COMPLICACIONES HIPERTENSIVAS VER MANEJO GUIA SUMINISTRO ASA Y CALCIO",HK22="RIESGO MODERADO (2 O MAS CRITERIOS) VER MANEJO GUIA SUMINISTRO ASA Y CALCIO")),"Pierde Oportunidad, Inicio tardío de ASA","XXXXX"))))))))</f>
        <v>No Aplica para suministro de ASA</v>
      </c>
      <c r="HS22" s="22">
        <v>44833</v>
      </c>
      <c r="HT22" s="22" t="s">
        <v>935</v>
      </c>
      <c r="HU22" s="22">
        <v>44833</v>
      </c>
      <c r="HV22" s="22" t="s">
        <v>870</v>
      </c>
      <c r="HW22" s="22">
        <v>44833</v>
      </c>
      <c r="HX22" s="22" t="s">
        <v>870</v>
      </c>
      <c r="HY22" s="22">
        <v>44833</v>
      </c>
      <c r="HZ22" s="28">
        <f t="shared" si="48"/>
        <v>6.2857142857142856</v>
      </c>
      <c r="IA22" s="26"/>
      <c r="IB22" s="26"/>
      <c r="IC22" s="111"/>
      <c r="ID22" s="22">
        <v>44982</v>
      </c>
      <c r="IE22" s="22" t="str">
        <f t="shared" ca="1" si="49"/>
        <v>VACUNA APLICADA ENTRE SEMANA 27 Y EL PARTO</v>
      </c>
      <c r="IF22" s="22"/>
      <c r="IG22" s="22">
        <f t="shared" si="50"/>
        <v>45069</v>
      </c>
      <c r="IH22" s="29">
        <f t="shared" ca="1" si="51"/>
        <v>-164</v>
      </c>
      <c r="II22" s="22" t="str">
        <f t="shared" ca="1" si="52"/>
        <v>POSIBLEMENTE NACIO</v>
      </c>
      <c r="IJ22" s="22"/>
      <c r="IK22" s="21" t="s">
        <v>898</v>
      </c>
      <c r="IL22" s="21"/>
      <c r="IM22" s="34"/>
      <c r="IN22" s="349">
        <v>45054</v>
      </c>
      <c r="IO22" s="21" t="s">
        <v>1640</v>
      </c>
      <c r="IP22" s="29">
        <f t="shared" si="53"/>
        <v>37.857142857142854</v>
      </c>
      <c r="IQ22" s="35"/>
      <c r="IR22" s="21" t="s">
        <v>879</v>
      </c>
      <c r="IS22" s="21" t="s">
        <v>1641</v>
      </c>
      <c r="IT22" s="21" t="s">
        <v>1642</v>
      </c>
      <c r="IU22" s="21"/>
      <c r="IV22" s="21"/>
      <c r="IW22" s="21"/>
      <c r="IX22" s="21"/>
      <c r="IY22" s="21"/>
      <c r="IZ22" s="21"/>
      <c r="JA22" s="21"/>
      <c r="JB22" s="30">
        <v>1</v>
      </c>
      <c r="JC22" s="21" t="s">
        <v>1647</v>
      </c>
      <c r="JD22" s="36">
        <v>3000</v>
      </c>
      <c r="JE22" s="21" t="str">
        <f t="shared" si="54"/>
        <v>PESO ADECUADO EDAD GESTACIONAL</v>
      </c>
      <c r="JF22" s="30"/>
      <c r="JG22" s="21"/>
      <c r="JH22" s="21"/>
      <c r="JI22" s="21"/>
      <c r="JJ22" s="30"/>
      <c r="JK22" s="22"/>
      <c r="JL22" s="22"/>
      <c r="JM22" s="21"/>
      <c r="JN22" s="36"/>
      <c r="JO22" s="21" t="str">
        <f t="shared" si="55"/>
        <v/>
      </c>
      <c r="JP22" s="22"/>
      <c r="JQ22" s="21"/>
      <c r="JR22" s="21"/>
      <c r="JS22" s="21"/>
      <c r="JT22" s="30"/>
      <c r="JU22" s="22"/>
      <c r="JV22" s="22"/>
      <c r="JW22" s="33"/>
      <c r="JX22" s="28" t="str">
        <f t="shared" si="56"/>
        <v>INASISTENTE</v>
      </c>
      <c r="JY22" s="33"/>
      <c r="JZ22" s="28" t="str">
        <f t="shared" si="57"/>
        <v>INASISTENTE</v>
      </c>
      <c r="KA22" s="21"/>
      <c r="KB22" s="21"/>
      <c r="KC22" s="21"/>
      <c r="KD22" s="37"/>
      <c r="KE22" s="28"/>
      <c r="KF22" s="28"/>
      <c r="KG22" s="28"/>
      <c r="KH22" s="39"/>
      <c r="KI22" s="39"/>
      <c r="KJ22" s="66"/>
      <c r="KK22" s="39"/>
      <c r="KL22" s="39"/>
      <c r="KM22" s="66"/>
      <c r="KN22" s="39"/>
      <c r="KO22" s="39"/>
      <c r="KP22" s="39"/>
      <c r="KQ22" s="39"/>
      <c r="KR22" s="39"/>
      <c r="KS22" s="39"/>
      <c r="KT22" s="39"/>
      <c r="KU22" s="38"/>
      <c r="KV22" s="38"/>
      <c r="KW22" s="38"/>
      <c r="KX22" s="38"/>
      <c r="KY22" s="38"/>
      <c r="KZ22" s="38"/>
      <c r="LA22" s="38"/>
      <c r="LB22" s="38"/>
      <c r="LC22" s="38"/>
      <c r="LD22" s="38"/>
      <c r="LE22" s="38"/>
      <c r="LF22" s="38"/>
      <c r="LG22" s="38"/>
      <c r="LH22" s="38"/>
      <c r="LI22" s="38"/>
      <c r="LJ22" s="38"/>
      <c r="LK22" s="38"/>
      <c r="LL22" s="38"/>
      <c r="LM22" s="38"/>
      <c r="LN22" s="38"/>
      <c r="LO22" s="38"/>
      <c r="LP22" s="38"/>
      <c r="LQ22" s="38"/>
      <c r="LR22" s="38"/>
      <c r="LS22" s="38"/>
      <c r="LT22" s="38"/>
      <c r="LU22" s="38"/>
      <c r="LV22" s="38"/>
      <c r="LW22" s="38"/>
      <c r="LX22" s="38"/>
      <c r="LY22" s="38"/>
      <c r="LZ22" s="38"/>
      <c r="MA22" s="38"/>
      <c r="MB22" s="38"/>
      <c r="MC22" s="38"/>
      <c r="MD22" s="38"/>
      <c r="ME22" s="38"/>
      <c r="MF22" s="38"/>
      <c r="MG22" s="38"/>
      <c r="MH22" s="43">
        <f t="shared" si="58"/>
        <v>0</v>
      </c>
      <c r="MI22" s="43" t="str">
        <f t="shared" si="59"/>
        <v/>
      </c>
      <c r="MJ22" s="43" t="str">
        <f t="shared" si="60"/>
        <v/>
      </c>
      <c r="MK22" s="43">
        <f t="shared" si="61"/>
        <v>0</v>
      </c>
      <c r="ML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13</v>
      </c>
      <c r="MM22" s="43">
        <f t="shared" si="62"/>
        <v>4.4285714285714288</v>
      </c>
      <c r="MN22" s="43">
        <f t="shared" si="63"/>
        <v>9</v>
      </c>
      <c r="MO22" s="43">
        <f t="shared" si="64"/>
        <v>2022</v>
      </c>
      <c r="MP22" s="43" t="str">
        <f t="shared" si="65"/>
        <v>III TRIMESTRE AÑO</v>
      </c>
      <c r="MQ22" s="43">
        <f t="shared" si="66"/>
        <v>21.755913272010513</v>
      </c>
      <c r="MR22" s="43">
        <f t="shared" si="67"/>
        <v>0</v>
      </c>
      <c r="MS22" s="43" t="str">
        <f t="shared" si="68"/>
        <v xml:space="preserve"> DE 20 A 24 AÑOS</v>
      </c>
      <c r="MT22" s="43">
        <f t="shared" si="69"/>
        <v>0</v>
      </c>
      <c r="MU22" s="43">
        <f t="shared" si="70"/>
        <v>0</v>
      </c>
      <c r="MV22" s="43">
        <f t="shared" si="71"/>
        <v>0</v>
      </c>
      <c r="MW22" s="43">
        <f t="shared" si="72"/>
        <v>0</v>
      </c>
      <c r="MX22" s="43" t="str">
        <f t="shared" si="73"/>
        <v/>
      </c>
      <c r="MY22" s="43" t="str">
        <f t="shared" ca="1" si="74"/>
        <v/>
      </c>
      <c r="MZ22" s="43" t="str">
        <f t="shared" si="75"/>
        <v/>
      </c>
      <c r="NA22" s="43">
        <f t="shared" si="76"/>
        <v>0</v>
      </c>
      <c r="NB22" s="43" t="str">
        <f t="shared" si="77"/>
        <v/>
      </c>
      <c r="NC22" s="43" t="str">
        <f t="shared" si="78"/>
        <v/>
      </c>
      <c r="ND22" s="43">
        <f t="shared" ca="1" si="79"/>
        <v>0</v>
      </c>
      <c r="NE22" s="43">
        <f>IF(OR(O22&gt;0,R22&gt;0),SUM(COUNTIF(Tabla1[[#This Row],[AÑOS AL INICIO5 CPN]],"&gt;=40"),COUNTIF(AS22,"0"),COUNTIF(AR22,"SI"),COUNTIF(CC22,"SI"),COUNTIF(BQ22,"&gt;119"),COUNTIF(CI22,"&gt;=35")),"")</f>
        <v>0</v>
      </c>
      <c r="NF22" s="43">
        <f t="shared" si="80"/>
        <v>27.571428571428573</v>
      </c>
      <c r="NG22" s="43">
        <f t="shared" si="81"/>
        <v>0</v>
      </c>
      <c r="NH22" s="43">
        <f t="shared" si="82"/>
        <v>65.8</v>
      </c>
      <c r="NI2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CPN",P22="NO"),"Z",IF(AND(Tabla1[[#This Row],[CITA PROXIMO CONTROL]]="CITA MANUAL",Tabla1[[#This Row],[GESTANTES ACTUALES]]="ACTIVA INGRESO A CPN"),"W",IF(AND(Tabla1[[#This Row],[GESTANTES ACTUALES]]="SALIO PROGRAMA",IN22=""),"S",IF(AND(Tabla1[[#This Row],[CITA PROXIMO CONTROL]]&gt;0,IN22=""),(Tabla1[[#This Row],[CITA PROXIMO CONTROL]]-TODAY()),"SD"))))))))</f>
        <v>SD</v>
      </c>
      <c r="NJ22" s="43">
        <f>MONTH(Tabla1[[#This Row],[FECHA DE SALIDA  DEL PROGRAMA]])</f>
        <v>5</v>
      </c>
      <c r="NK22" s="43">
        <f>YEAR(Tabla1[[#This Row],[FECHA DE SALIDA  DEL PROGRAMA]])</f>
        <v>2023</v>
      </c>
      <c r="NL22" s="43">
        <f t="shared" si="83"/>
        <v>61</v>
      </c>
      <c r="NM22" s="43" t="str">
        <f t="shared" si="84"/>
        <v>NO</v>
      </c>
      <c r="NN22" s="43" t="str">
        <f ca="1">IF(AND(O22&gt;0,R22=""),"NO CPN",IF(AND(O22="",R22=""),"",IF(AND(R22&gt;0,Tabla1[[#This Row],[SEMANAS DE GESTACION ACTUALIZADAS]]&lt;=12),"NO APLICA",IF(AND(FH22&lt;&gt;"",FN22&lt;&gt;""),"SI","NO"))))</f>
        <v>NO</v>
      </c>
      <c r="NO22" s="43" t="str">
        <f ca="1">IF(AND(O22&gt;0,R22=""),"NO CPN",IF(AND(O22="",R22=""),"",IF(AND(R22&gt;0,Tabla1[[#This Row],[SEMANAS DE GESTACION ACTUALIZADAS]]&lt;=27),"NO APLICA",IF(AND(ES22&lt;&gt;"",FQ22&lt;&gt;"",GF22&lt;&gt;""),"SI","NO"))))</f>
        <v>NO</v>
      </c>
      <c r="NP22" s="204" t="str">
        <f t="shared" si="85"/>
        <v>I TRIM</v>
      </c>
      <c r="NQ22" s="21">
        <f t="shared" si="86"/>
        <v>10</v>
      </c>
      <c r="NR22" s="21">
        <f t="shared" si="87"/>
        <v>3</v>
      </c>
      <c r="NS22" s="205">
        <f t="shared" ca="1" si="88"/>
        <v>1</v>
      </c>
      <c r="NT22" s="21">
        <f t="shared" ca="1" si="89"/>
        <v>2</v>
      </c>
      <c r="NU22" s="21" t="str">
        <f t="shared" ca="1" si="90"/>
        <v>INCOMPLETO</v>
      </c>
      <c r="NV22" s="21" t="str">
        <f t="shared" ca="1" si="91"/>
        <v>INCOMPLETO</v>
      </c>
      <c r="NW22" s="206" t="str">
        <f>IF(AND(O22="",R22=""),"",IF(OR(AND(Tabla1[[#This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 s="207" t="str">
        <f t="shared" ca="1" si="92"/>
        <v>VACUNADA</v>
      </c>
      <c r="NY22" s="43">
        <f>ROW(Tabla1[[#This Row],['# DE TAMIZAJES SIFILIS TOMADOS ]])</f>
        <v>22</v>
      </c>
      <c r="NZ22" s="43" t="str">
        <f t="shared" si="93"/>
        <v>Menor</v>
      </c>
      <c r="OA22" s="43" t="str">
        <f t="shared" si="94"/>
        <v>SOBREPESO</v>
      </c>
      <c r="OB22" s="43" t="str">
        <f t="shared" si="95"/>
        <v/>
      </c>
      <c r="OC22" s="43" t="str">
        <f t="shared" si="96"/>
        <v/>
      </c>
      <c r="OD22" s="43" t="str">
        <f t="shared" si="97"/>
        <v/>
      </c>
      <c r="OE22" s="43" t="str">
        <f t="shared" si="98"/>
        <v/>
      </c>
      <c r="OF22" s="43" t="str">
        <f t="shared" si="99"/>
        <v/>
      </c>
      <c r="OG22" s="43" t="str">
        <f t="shared" si="100"/>
        <v/>
      </c>
      <c r="OH22" s="43" t="str">
        <f t="shared" si="101"/>
        <v/>
      </c>
      <c r="OI22" s="43" t="str">
        <f t="shared" si="102"/>
        <v/>
      </c>
      <c r="OJ22" s="43" t="str">
        <f t="shared" si="103"/>
        <v/>
      </c>
      <c r="OK22" s="43" t="str">
        <f t="shared" si="104"/>
        <v/>
      </c>
      <c r="OL22" s="43" t="str">
        <f t="shared" si="105"/>
        <v/>
      </c>
      <c r="OM22" s="43" t="str">
        <f t="shared" si="106"/>
        <v/>
      </c>
      <c r="ON22" s="43" t="str">
        <f t="shared" si="107"/>
        <v/>
      </c>
      <c r="OO22" s="43" t="str">
        <f t="shared" si="108"/>
        <v/>
      </c>
      <c r="OP22" s="43" t="str">
        <f t="shared" si="109"/>
        <v/>
      </c>
      <c r="OQ22" s="43" t="str">
        <f t="shared" si="110"/>
        <v/>
      </c>
      <c r="OR22" s="43" t="str">
        <f t="shared" si="111"/>
        <v/>
      </c>
      <c r="OS22" s="43" t="str">
        <f t="shared" si="112"/>
        <v/>
      </c>
      <c r="OT22" s="43" t="str">
        <f t="shared" si="113"/>
        <v/>
      </c>
      <c r="OU22" s="43" t="str">
        <f t="shared" si="114"/>
        <v/>
      </c>
      <c r="OV22" s="110" t="str">
        <f t="shared" si="115"/>
        <v/>
      </c>
      <c r="OW22" s="43" t="str">
        <f t="shared" si="116"/>
        <v/>
      </c>
      <c r="OX22" s="43" t="str">
        <f t="shared" si="117"/>
        <v/>
      </c>
      <c r="OY22" s="43" t="str">
        <f t="shared" si="118"/>
        <v/>
      </c>
      <c r="OZ22" s="43" t="str">
        <f t="shared" si="119"/>
        <v/>
      </c>
      <c r="PA22" s="43" t="str">
        <f t="shared" si="120"/>
        <v/>
      </c>
      <c r="PB22" s="43" t="str">
        <f t="shared" si="121"/>
        <v/>
      </c>
      <c r="PC22" s="43" t="str">
        <f t="shared" si="122"/>
        <v/>
      </c>
      <c r="PD22" s="43" t="str">
        <f t="shared" si="123"/>
        <v/>
      </c>
      <c r="PE22" s="43" t="str">
        <f t="shared" si="124"/>
        <v/>
      </c>
      <c r="PF22" s="43" t="str">
        <f t="shared" si="125"/>
        <v/>
      </c>
      <c r="PG22" s="43" t="str">
        <f t="shared" si="126"/>
        <v/>
      </c>
      <c r="PH22" s="43" t="str">
        <f t="shared" si="127"/>
        <v/>
      </c>
      <c r="PI22" s="43">
        <f t="shared" si="128"/>
        <v>32</v>
      </c>
      <c r="PJ22" s="43" t="str">
        <f t="shared" si="129"/>
        <v/>
      </c>
      <c r="PK22" s="43" t="str">
        <f t="shared" si="130"/>
        <v/>
      </c>
      <c r="PL22" s="43" t="str">
        <f t="shared" si="131"/>
        <v/>
      </c>
      <c r="PM22" s="43" t="str">
        <f t="shared" si="132"/>
        <v/>
      </c>
      <c r="PN22" s="43" t="str">
        <f t="shared" si="133"/>
        <v/>
      </c>
      <c r="PO22" s="43" t="str">
        <f t="shared" si="134"/>
        <v/>
      </c>
      <c r="PP22" s="43" t="str">
        <f t="shared" si="135"/>
        <v/>
      </c>
      <c r="PQ22" s="43" t="str">
        <f t="shared" si="136"/>
        <v/>
      </c>
      <c r="PR22" s="43" t="str">
        <f t="shared" si="137"/>
        <v/>
      </c>
      <c r="PS22" s="43" t="str">
        <f t="shared" si="138"/>
        <v/>
      </c>
      <c r="PT22" s="43" t="str">
        <f t="shared" si="139"/>
        <v/>
      </c>
      <c r="PU22" s="43" t="str">
        <f t="shared" si="140"/>
        <v/>
      </c>
      <c r="PV22" s="43" t="str">
        <f t="shared" si="141"/>
        <v/>
      </c>
      <c r="PW22" s="43" t="str">
        <f t="shared" si="142"/>
        <v/>
      </c>
      <c r="PX22" s="43" t="str">
        <f t="shared" si="143"/>
        <v/>
      </c>
      <c r="PY22" s="43" t="str">
        <f t="shared" si="144"/>
        <v/>
      </c>
      <c r="PZ22" s="43" t="str">
        <f t="shared" si="145"/>
        <v/>
      </c>
      <c r="QA22" s="43" t="str">
        <f t="shared" si="146"/>
        <v/>
      </c>
      <c r="QB22" s="43" t="str">
        <f t="shared" si="147"/>
        <v/>
      </c>
      <c r="QC22" s="43" t="str">
        <f t="shared" si="148"/>
        <v/>
      </c>
      <c r="QD22" s="43" t="str">
        <f t="shared" si="149"/>
        <v/>
      </c>
      <c r="QE22" s="43" t="str">
        <f t="shared" si="150"/>
        <v/>
      </c>
      <c r="QF22" s="43" t="str">
        <f t="shared" si="151"/>
        <v/>
      </c>
      <c r="QG22" s="43" t="str">
        <f t="shared" si="152"/>
        <v/>
      </c>
      <c r="QH22" s="43" t="str">
        <f t="shared" si="153"/>
        <v/>
      </c>
      <c r="QI22" s="43" t="str">
        <f t="shared" si="154"/>
        <v/>
      </c>
      <c r="QJ22" s="43" t="str">
        <f t="shared" si="155"/>
        <v/>
      </c>
      <c r="QK22" s="43" t="str">
        <f t="shared" si="156"/>
        <v/>
      </c>
      <c r="QL22" s="43" t="str">
        <f t="shared" si="157"/>
        <v/>
      </c>
      <c r="QM22" s="43" t="str">
        <f t="shared" si="158"/>
        <v/>
      </c>
      <c r="QN22" s="43" t="str">
        <f t="shared" si="159"/>
        <v/>
      </c>
      <c r="QO22" s="43" t="str">
        <f t="shared" si="160"/>
        <v/>
      </c>
      <c r="QP22" s="43" t="str">
        <f t="shared" si="161"/>
        <v/>
      </c>
      <c r="QQ22" s="43" t="str">
        <f t="shared" si="162"/>
        <v/>
      </c>
      <c r="QR22" s="43">
        <f t="shared" si="192"/>
        <v>32</v>
      </c>
      <c r="QS22" s="43"/>
      <c r="QT22" s="21" t="str">
        <f t="shared" si="163"/>
        <v/>
      </c>
      <c r="QU22" s="21" t="str">
        <f t="shared" si="164"/>
        <v/>
      </c>
      <c r="QV22" s="21" t="str">
        <f t="shared" si="165"/>
        <v/>
      </c>
      <c r="QW22" s="21" t="str">
        <f t="shared" si="166"/>
        <v/>
      </c>
      <c r="QX22" s="21" t="str">
        <f t="shared" si="167"/>
        <v/>
      </c>
      <c r="QY22" s="21" t="str">
        <f t="shared" si="168"/>
        <v/>
      </c>
      <c r="QZ22" s="21" t="str">
        <f t="shared" si="169"/>
        <v/>
      </c>
      <c r="RA22" s="21" t="str">
        <f t="shared" si="170"/>
        <v/>
      </c>
      <c r="RB22" s="21" t="str">
        <f t="shared" si="171"/>
        <v/>
      </c>
      <c r="RC22" s="21" t="str">
        <f t="shared" si="172"/>
        <v/>
      </c>
      <c r="RD22" s="21" t="str">
        <f t="shared" si="173"/>
        <v/>
      </c>
      <c r="RE22" s="21" t="str">
        <f t="shared" si="174"/>
        <v/>
      </c>
      <c r="RF22" s="21" t="str">
        <f t="shared" si="175"/>
        <v/>
      </c>
      <c r="RG22" s="21" t="str">
        <f t="shared" si="176"/>
        <v/>
      </c>
      <c r="RH22" s="21" t="str">
        <f t="shared" si="177"/>
        <v/>
      </c>
      <c r="RI22" s="21" t="str">
        <f t="shared" si="178"/>
        <v/>
      </c>
      <c r="RJ22" s="21" t="str">
        <f t="shared" si="179"/>
        <v/>
      </c>
      <c r="RK22" s="21" t="str">
        <f t="shared" si="180"/>
        <v/>
      </c>
      <c r="RL22" s="21" t="str">
        <f t="shared" si="181"/>
        <v/>
      </c>
      <c r="RM22" s="21" t="str">
        <f t="shared" si="182"/>
        <v/>
      </c>
      <c r="RN22" s="21" t="str">
        <f t="shared" si="183"/>
        <v/>
      </c>
      <c r="RO22" s="21" t="str">
        <f t="shared" si="184"/>
        <v/>
      </c>
      <c r="RP22" s="21" t="str">
        <f t="shared" si="185"/>
        <v/>
      </c>
      <c r="RQ22" s="21" t="str">
        <f t="shared" si="186"/>
        <v/>
      </c>
      <c r="RR22" s="21" t="str">
        <f t="shared" si="187"/>
        <v/>
      </c>
      <c r="RS22" s="21" t="str">
        <f t="shared" si="188"/>
        <v/>
      </c>
      <c r="RT22" s="21" t="str">
        <f t="shared" si="189"/>
        <v/>
      </c>
      <c r="RU22" s="21" t="str">
        <f t="shared" si="190"/>
        <v/>
      </c>
      <c r="RV22" s="21">
        <f t="shared" si="191"/>
        <v>6.2857142857142856</v>
      </c>
      <c r="RW22" s="284">
        <f>IF(OR(Tabla1[[#This Row],[FUM FORMULA CONFIABLE]]="",Tabla1[[#This Row],[FUM FORMULA CONFIABLE]]="SD"),"",IF(Tabla1[[#This Row],[FUM FORMULA CONFIABLE]]="CORREGIDA",Tabla1[[#This Row],[FUM X ECO 1]],Tabla1[[#This Row],[FUM x AMENORREA]]))</f>
        <v>44789</v>
      </c>
      <c r="RX22" s="21">
        <f>IF(AND(Tabla1[[#This Row],[FUM X ECO 1]]="",Tabla1[[#This Row],[FUM x AMENORREA]]=""),"",IF(AND(Tabla1[[#This Row],[FUM X ECO 1]]="",Tabla1[[#This Row],[FUM x AMENORREA]]&lt;&gt;""),"X",SUM(Tabla1[[#This Row],[FUM X ECO 1]]-Tabla1[[#This Row],[FUM x AMENORREA]])))</f>
        <v>0.19999999999708962</v>
      </c>
      <c r="RY22" s="21">
        <f t="shared" si="193"/>
        <v>0</v>
      </c>
    </row>
    <row r="23" spans="1:493" ht="45" customHeight="1" x14ac:dyDescent="0.25">
      <c r="A23" s="109"/>
      <c r="B23" s="43" t="s">
        <v>983</v>
      </c>
      <c r="C23" s="43" t="s">
        <v>845</v>
      </c>
      <c r="D23" s="124" t="s">
        <v>846</v>
      </c>
      <c r="E23" s="43" t="s">
        <v>937</v>
      </c>
      <c r="F23" s="43" t="s">
        <v>984</v>
      </c>
      <c r="G23" s="43" t="s">
        <v>985</v>
      </c>
      <c r="H23" s="43" t="s">
        <v>986</v>
      </c>
      <c r="I23" s="109" t="s">
        <v>851</v>
      </c>
      <c r="J23" s="110">
        <v>1059595259</v>
      </c>
      <c r="K23" s="43" t="s">
        <v>852</v>
      </c>
      <c r="L23" s="175" t="s">
        <v>886</v>
      </c>
      <c r="M23" s="22">
        <v>38454</v>
      </c>
      <c r="N23" s="213">
        <f t="shared" ca="1" si="0"/>
        <v>18.572602739726026</v>
      </c>
      <c r="O23" s="22">
        <v>44835</v>
      </c>
      <c r="P23" s="214" t="str">
        <f t="shared" si="1"/>
        <v>SI</v>
      </c>
      <c r="Q23" s="26" t="s">
        <v>855</v>
      </c>
      <c r="R23" s="22">
        <v>44835</v>
      </c>
      <c r="S23" s="21" t="s">
        <v>856</v>
      </c>
      <c r="T23" s="24" t="s">
        <v>690</v>
      </c>
      <c r="U23" s="21" t="s">
        <v>857</v>
      </c>
      <c r="V23" s="21" t="s">
        <v>858</v>
      </c>
      <c r="W23" s="21" t="s">
        <v>987</v>
      </c>
      <c r="X23" s="21" t="s">
        <v>987</v>
      </c>
      <c r="Y23" s="21" t="s">
        <v>859</v>
      </c>
      <c r="Z23" s="21">
        <v>3163016940</v>
      </c>
      <c r="AA23" s="21" t="s">
        <v>860</v>
      </c>
      <c r="AB23" s="27" t="s">
        <v>861</v>
      </c>
      <c r="AC23" s="26" t="s">
        <v>897</v>
      </c>
      <c r="AD23" s="38" t="s">
        <v>846</v>
      </c>
      <c r="AE23" s="26" t="s">
        <v>854</v>
      </c>
      <c r="AF23" s="26" t="s">
        <v>854</v>
      </c>
      <c r="AG23" s="23" t="s">
        <v>864</v>
      </c>
      <c r="AH23" s="23" t="s">
        <v>864</v>
      </c>
      <c r="AI23" s="24" t="s">
        <v>863</v>
      </c>
      <c r="AJ23" s="23" t="s">
        <v>864</v>
      </c>
      <c r="AK23" s="220" t="str">
        <f>IF(AND(AD23="",AE23="",AF23="",AG23="",AH23="",AI23="",AJ23=""),"",IF(OR(Tabla1[[#This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EVALUACIÓN",IF(AND(O23="",R23=""),"",IF(AND(OR(O23&gt;0,R23&gt;0),NG23&gt;=0,NG23&lt;2),"SIN RIESGO",IF(AND(OR(O23&gt;0,R23&gt;0),NG23&gt;=2),"CON RIESGO","ASD")))))</f>
        <v>SIN RIESGO</v>
      </c>
      <c r="AL23" s="23" t="s">
        <v>864</v>
      </c>
      <c r="AM23" s="26" t="s">
        <v>864</v>
      </c>
      <c r="AN23" s="26" t="s">
        <v>864</v>
      </c>
      <c r="AO23" s="26" t="s">
        <v>864</v>
      </c>
      <c r="AP23" s="26" t="s">
        <v>864</v>
      </c>
      <c r="AQ23" s="26" t="s">
        <v>864</v>
      </c>
      <c r="AR23" s="26" t="s">
        <v>864</v>
      </c>
      <c r="AS23" s="21">
        <v>1</v>
      </c>
      <c r="AT23" s="21">
        <v>0</v>
      </c>
      <c r="AU23" s="21">
        <v>0</v>
      </c>
      <c r="AV23" s="26" t="s">
        <v>864</v>
      </c>
      <c r="AW23" s="21"/>
      <c r="AX23" s="26" t="s">
        <v>864</v>
      </c>
      <c r="AY23" s="26" t="s">
        <v>864</v>
      </c>
      <c r="AZ23" s="26" t="s">
        <v>864</v>
      </c>
      <c r="BA23" s="26" t="s">
        <v>864</v>
      </c>
      <c r="BB23" s="26" t="s">
        <v>864</v>
      </c>
      <c r="BC23" s="26" t="s">
        <v>864</v>
      </c>
      <c r="BD23" s="26" t="s">
        <v>864</v>
      </c>
      <c r="BE23" s="26" t="s">
        <v>864</v>
      </c>
      <c r="BF23" s="26" t="s">
        <v>864</v>
      </c>
      <c r="BG23" s="26" t="s">
        <v>864</v>
      </c>
      <c r="BH23" s="26" t="s">
        <v>864</v>
      </c>
      <c r="BI23" s="26" t="s">
        <v>864</v>
      </c>
      <c r="BJ23" s="26"/>
      <c r="BK23" s="26"/>
      <c r="BL23" s="26" t="s">
        <v>864</v>
      </c>
      <c r="BM23" s="26" t="s">
        <v>864</v>
      </c>
      <c r="BN23" s="22"/>
      <c r="BO23" s="22">
        <v>44803</v>
      </c>
      <c r="BP23" s="21" t="s">
        <v>854</v>
      </c>
      <c r="BQ23" s="222">
        <f t="shared" si="2"/>
        <v>0</v>
      </c>
      <c r="BR23" s="223">
        <f t="shared" si="3"/>
        <v>44787.6</v>
      </c>
      <c r="BS23" s="224">
        <f t="shared" si="4"/>
        <v>4.5714285714285712</v>
      </c>
      <c r="BT23" s="216" t="str">
        <f t="shared" si="5"/>
        <v>I TRIM</v>
      </c>
      <c r="BU23" s="214" t="str">
        <f t="shared" ca="1" si="6"/>
        <v/>
      </c>
      <c r="BV23" s="25" t="s">
        <v>988</v>
      </c>
      <c r="BW23" s="22">
        <v>44992</v>
      </c>
      <c r="BX23" s="28">
        <v>29.2</v>
      </c>
      <c r="BY23" s="28" t="s">
        <v>989</v>
      </c>
      <c r="BZ23" s="22">
        <v>45035</v>
      </c>
      <c r="CA23" s="21">
        <v>34.1</v>
      </c>
      <c r="CB23" s="26" t="s">
        <v>864</v>
      </c>
      <c r="CC23" s="26" t="s">
        <v>864</v>
      </c>
      <c r="CD23" s="26"/>
      <c r="CE23" s="26" t="s">
        <v>864</v>
      </c>
      <c r="CF23" s="22" t="s">
        <v>1517</v>
      </c>
      <c r="CG23" s="21">
        <v>1.52</v>
      </c>
      <c r="CH23" s="21">
        <v>51.5</v>
      </c>
      <c r="CI23" s="214">
        <f t="shared" si="7"/>
        <v>22.290512465373961</v>
      </c>
      <c r="CJ23" s="225" t="str">
        <f>IF(AND(CI23&lt;10,CH23="SD"),"SIN DATO PESO PREGESTACION O I TRIM",IF(AND(OR(R23&gt;0,O23&gt;0),CI23="X"),"INGRESAR DATO DE PESO",IF(CI23="SD","INGRESAR DATO DE TALLA Y PESO",IF(AND(OR(Tabla1[[#This Row],[MOMENTO EN QUE SE REALIZA EL PESO AL INGRESO A CPN]]="PREGESTACIÓN",NZ23="Menor"),CI23&lt;18.5),"BAJO PESO",IF(AND(OR(Tabla1[[#This Row],[MOMENTO EN QUE SE REALIZA EL PESO AL INGRESO A CPN]]="PREGESTACIÓN",NZ23="Menor"),CI23&lt;25),"NORMAL",IF(AND(OR(Tabla1[[#This Row],[MOMENTO EN QUE SE REALIZA EL PESO AL INGRESO A CPN]]="PREGESTACIÓN",NZ23="Menor"),CI23&lt;30),"SOBREPESO",IF(AND(OR(Tabla1[[#This Row],[MOMENTO EN QUE SE REALIZA EL PESO AL INGRESO A CPN]]="PREGESTACIÓN",NZ23="Menor"),CI23&gt;=30,CI23&lt;50),"OBESIDAD",IF(AND(BS23&gt;0,Tabla1[[#This Row],[MOMENTO EN QUE SE REALIZA EL PESO AL INGRESO A CPN]]="GESTACIÓN"),HLOOKUP(NZ23,$OA$2:PH23,NY23),""))))))))</f>
        <v>NORMAL</v>
      </c>
      <c r="CK23" s="212">
        <f t="shared" si="8"/>
        <v>45048</v>
      </c>
      <c r="CL23" s="21">
        <v>62.2</v>
      </c>
      <c r="CM23" s="214">
        <f t="shared" si="9"/>
        <v>26.921745152354571</v>
      </c>
      <c r="CN23" s="216">
        <f t="shared" si="10"/>
        <v>35</v>
      </c>
      <c r="CO23" s="216" t="e">
        <f>IF(PI23="","",IF(PI23&gt;0,HLOOKUP(PI23,$PJ$2:QQ23,NY23),""))</f>
        <v>#REF!</v>
      </c>
      <c r="CP23" s="21"/>
      <c r="CQ23" s="216" t="e">
        <f>IF(QR23="Menor","NO APLICA-MENOR 13 SEM",IF(AND(CC23="SI",CN23&gt;23),"NO APLICA- GEMELAR",IF(QR23="","",IF(QR23&gt;0,HLOOKUP(QR23,$QS$2:RU23,NY23),""))))</f>
        <v>#REF!</v>
      </c>
      <c r="CR23" s="21">
        <v>100</v>
      </c>
      <c r="CS23" s="21">
        <v>60</v>
      </c>
      <c r="CT23" s="217" t="str">
        <f>IF(R23="","",IF(AND(BS23&gt;1,BS23&lt;12,Tabla1[[#This Row],[T.A. SISTOLICA - ANTES DE SEMANA 12]]="",Tabla1[[#This Row],[T.A. DIASTOLICA - ANTES DE SEMANA 12]]=""),"REGISTRE DATO TA ANTES SEMANA 12",IF(AND(BS23&gt;11,BS23&lt;43,Tabla1[[#This Row],[T.A. SISTOLICA - ANTES DE SEMANA 12]]="",Tabla1[[#This Row],[T.A. DIASTOLICA - ANTES DE SEMANA 12]]=""),"NO APLICA REGISTRO TA-INGRESO TARDIO",IF(AND(OR(O23&gt;0,R23&gt;0),OR(CR23&gt;=140,CS23&gt;=90)),"DEFINIR ESTADIO HTA",IF(AND(OR(O23&gt;0,R23&gt;0),AND(CR23&gt;120,CR23&lt;=139)),"PRE HTA SEGUIMIENTO",IF(AND(OR(O23&gt;0,R23&gt;0),AND(CS23&gt;80,CS23&lt;=89)),"PRE HTA SEGUIMIENTO",IF(AND(OR(O23&gt;0,R23&gt;0),AND(CR23&gt;=80,CR23&lt;=120)),"APARENTEMENTE NORMAL",IF(AND(OR(O23&gt;0,R23&gt;0),AND(CS23&gt;=50,CS23&lt;=80)),"APARENTEMENTE NORMAL",IF(AND(OR(O23&gt;0,R23&gt;0),AND(CR23&gt;1,CR23&lt;=70),AND(CS23&gt;1,CS23&lt;=40)),"HIPOTENSIÓN","")))))))))</f>
        <v>APARENTEMENTE NORMAL</v>
      </c>
      <c r="CU23" s="21">
        <v>100</v>
      </c>
      <c r="CV23" s="21">
        <v>60</v>
      </c>
      <c r="CW23" s="217" t="str">
        <f ca="1">IF(R23="","",IF(AND(CN23&gt;19,CN23&lt;27,Tabla1[[#This Row],[T.A. SISTOLICA (Entre semana 20 y 26)]]="",Tabla1[[#This Row],[T.A. DIATOLICA (Entre semana 20 y 26)]]=""),"ACUDE A CONTROL SEM 20 A 26 REGISTRE TA AHORA",IF(AND(BS23&gt;1,BS23&lt;27,BU23&gt;19,Tabla1[[#This Row],[T.A. SISTOLICA (Entre semana 20 y 26)]]="",Tabla1[[#This Row],[T.A. DIATOLICA (Entre semana 20 y 26)]]=""),"COMPLETE REGISTRO TA CONTROL SEM 20 A26 ",IF(AND(BS23&gt;26,BS23&lt;43,Tabla1[[#This Row],[T.A. SISTOLICA (Entre semana 20 y 26)]]="",Tabla1[[#This Row],[T.A. DIATOLICA (Entre semana 20 y 26)]]=""),"NO APLICA REGISTRO TA-INGRESO TARDIO",IF(AND(OR(O23&gt;0,R23&gt;0),OR(CU23&gt;=140,CV23&gt;=90)),"ALTO RIESGO PREECLAMPSIA,DEFINIR ESTADIO HTA",IF(AND(OR(O23&gt;0,R23&gt;0),AND(CU23&gt;120,CU23&lt;=139)),"PRE HTA SEGUIMIENTO,RIESGO HIPERTENSION INDUCIDA POR EL EMBARAZO",IF(AND(OR(O23&gt;0,R23&gt;0),AND(CV23&gt;80,CV23&lt;=89)),"PRE HTA SEGUIMIENTO, RIESGO HIPERTENSION INDUCIDA POR EL EMBARAZO",IF(AND(OR(O23&lt;&gt;"",R23&lt;&gt;""),CS23&lt;&gt;"",CV23&lt;&gt;"",CS23&lt;=CV23),"VIGILAR CIFRAS PRESION ARTERIAL",IF(AND(OR(O23&gt;0,R23&gt;0),AND(CU23&gt;120,CU23&lt;=139)),"PRE HTA SEGUIMIENTO",IF(AND(OR(O23&gt;0,R23&gt;0),AND(CU23&gt;1,CU23&lt;=70),AND(CV23&gt;1,CV23&lt;=40)),"HIPOTENSIÓN",IF(AND(OR(O23&lt;&gt;"",R23&lt;&gt;""),CS23&lt;&gt;"",CV23&lt;&gt;"",CS23&gt;CV23),"APARENTEMENTE NORMAL",IF(AND(OR(O23&gt;0,R23&gt;0),AND(CU23&gt;=80,CU23&lt;=120)),"APARENTEMENTE NORMAL",IF(AND(OR(O23&gt;0,R23&gt;0),AND(CV23&gt;=50,CV23&lt;=80)),"APARENTEMENTE NORMAL","")))))))))))))</f>
        <v>VIGILAR CIFRAS PRESION ARTERIAL</v>
      </c>
      <c r="CX23" s="21"/>
      <c r="CY23" s="21"/>
      <c r="CZ23" s="216" t="str">
        <f t="shared" si="11"/>
        <v/>
      </c>
      <c r="DA23" s="21">
        <v>100</v>
      </c>
      <c r="DB23" s="21">
        <v>60</v>
      </c>
      <c r="DC23" s="217" t="str">
        <f t="shared" si="12"/>
        <v>APARENTEMENTE NORMAL</v>
      </c>
      <c r="DD23" s="22">
        <v>44835</v>
      </c>
      <c r="DE23" s="22">
        <v>44835</v>
      </c>
      <c r="DF23" s="22">
        <v>44961</v>
      </c>
      <c r="DG23" s="22">
        <v>44985</v>
      </c>
      <c r="DH23" s="22">
        <v>45048</v>
      </c>
      <c r="DI23" s="22"/>
      <c r="DJ23" s="22"/>
      <c r="DK23" s="22"/>
      <c r="DL23" s="22"/>
      <c r="DM23" s="22"/>
      <c r="DN23" s="22"/>
      <c r="DO23" s="22"/>
      <c r="DP23" s="22"/>
      <c r="DQ23" s="22"/>
      <c r="DR23" s="28">
        <v>1</v>
      </c>
      <c r="DS23" s="22"/>
      <c r="DT23" s="22"/>
      <c r="DU23" s="216" t="str">
        <f t="shared" ca="1" si="13"/>
        <v>SALE SIN PLAN DE PARTO</v>
      </c>
      <c r="DV23" s="226" t="str">
        <f t="shared" si="14"/>
        <v>SALIO PROGRAMA</v>
      </c>
      <c r="DW2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 s="216" t="str">
        <f t="shared" ca="1" si="15"/>
        <v/>
      </c>
      <c r="DY23" s="212">
        <f>IF(R23="","",IF(R23&gt;0,MAX(Tabla1[[#This Row],[FECHA C2]:[FECHA C13]],Tabla1[[#This Row],[FECHA CONSULTA PRIMERA VEZ PROGRAMA CPN ]])))</f>
        <v>45048</v>
      </c>
      <c r="DZ23" s="216">
        <f t="shared" si="16"/>
        <v>35</v>
      </c>
      <c r="EA23" s="222">
        <f>IF(R23&gt;0,SUM(COUNTA(DF23:DQ23)+COUNTA(Tabla1[[#This Row],[FECHA CONSULTA PRIMERA VEZ PROGRAMA CPN ]])),"")</f>
        <v>4</v>
      </c>
      <c r="EB23" s="222" t="str">
        <f t="shared" si="17"/>
        <v>SI</v>
      </c>
      <c r="EC23" s="214">
        <f t="shared" si="18"/>
        <v>10</v>
      </c>
      <c r="ED23" s="227">
        <f t="shared" si="19"/>
        <v>0.4</v>
      </c>
      <c r="EE23" s="22">
        <v>44835</v>
      </c>
      <c r="EF23" s="22">
        <v>44895</v>
      </c>
      <c r="EG23" s="22">
        <v>44835</v>
      </c>
      <c r="EH23" s="22">
        <v>44974</v>
      </c>
      <c r="EI23" s="22">
        <v>44835</v>
      </c>
      <c r="EJ23" s="22">
        <v>44974</v>
      </c>
      <c r="EK23" s="22">
        <v>44974</v>
      </c>
      <c r="EL23" s="21">
        <v>1</v>
      </c>
      <c r="EM23" s="21">
        <v>15.8</v>
      </c>
      <c r="EN23" s="22">
        <v>44835</v>
      </c>
      <c r="EO23" s="222">
        <f t="shared" si="20"/>
        <v>4.5714285714285712</v>
      </c>
      <c r="EP23" s="214" t="str">
        <f t="shared" si="21"/>
        <v>NO DAR SULFATO FERROSO</v>
      </c>
      <c r="EQ23" s="216" t="str">
        <f t="shared" si="22"/>
        <v>I TRIM</v>
      </c>
      <c r="ER23" s="24"/>
      <c r="ES23" s="22"/>
      <c r="ET23" s="29" t="str">
        <f t="shared" ca="1" si="23"/>
        <v>SALE SIN TAMIZAJE HEMOGLOBINA SEM 28</v>
      </c>
      <c r="EU23" s="25" t="str">
        <f t="shared" si="24"/>
        <v/>
      </c>
      <c r="EV23" s="24" t="s">
        <v>866</v>
      </c>
      <c r="EW23" s="24">
        <v>44835</v>
      </c>
      <c r="EX23" s="22"/>
      <c r="EY23" s="29">
        <f t="shared" si="25"/>
        <v>4.5714285714285712</v>
      </c>
      <c r="EZ23" s="25" t="str">
        <f t="shared" ca="1" si="26"/>
        <v/>
      </c>
      <c r="FA23" s="21">
        <v>79</v>
      </c>
      <c r="FB23" s="22">
        <v>44835</v>
      </c>
      <c r="FC23" s="29">
        <f t="shared" si="27"/>
        <v>4.5714285714285712</v>
      </c>
      <c r="FD23" s="29"/>
      <c r="FE23" s="29">
        <v>94</v>
      </c>
      <c r="FF23" s="29">
        <v>57</v>
      </c>
      <c r="FG23" s="21" t="str">
        <f t="shared" ca="1" si="28"/>
        <v/>
      </c>
      <c r="FH23" s="31">
        <v>44994</v>
      </c>
      <c r="FI23" s="29">
        <f t="shared" si="29"/>
        <v>27.285714285714285</v>
      </c>
      <c r="FJ23" s="22" t="s">
        <v>867</v>
      </c>
      <c r="FK23" s="22">
        <v>44835</v>
      </c>
      <c r="FL23" s="29">
        <f t="shared" ca="1" si="30"/>
        <v>4.5714285714285712</v>
      </c>
      <c r="FM23" s="22"/>
      <c r="FN23" s="32"/>
      <c r="FO23" s="29" t="str">
        <f t="shared" ca="1" si="31"/>
        <v>PIERDE TOMA DE TAMIZAJE</v>
      </c>
      <c r="FP23" s="22" t="s">
        <v>867</v>
      </c>
      <c r="FQ23" s="32">
        <v>44994</v>
      </c>
      <c r="FR23" s="29">
        <f t="shared" ca="1" si="32"/>
        <v>27.285714285714285</v>
      </c>
      <c r="FS23" s="22"/>
      <c r="FT23" s="32"/>
      <c r="FU23" s="29" t="str">
        <f>IF(AND(FJ23="",FM23="",FP23="",FS23=""),"",IF(OR(OR(Tabla1[[#This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 s="28"/>
      <c r="FW23" s="22"/>
      <c r="FX23" s="29" t="str">
        <f t="shared" si="33"/>
        <v>TOMAR EXAMEN</v>
      </c>
      <c r="FY23" s="22">
        <v>44835</v>
      </c>
      <c r="FZ23" s="22">
        <v>44835</v>
      </c>
      <c r="GA23" s="29">
        <f t="shared" ca="1" si="34"/>
        <v>4.5714285714285712</v>
      </c>
      <c r="GB23" s="22"/>
      <c r="GC23" s="22"/>
      <c r="GD23" s="29" t="str">
        <f t="shared" ca="1" si="35"/>
        <v>PIERDE TOMA DE TAMIZAJE</v>
      </c>
      <c r="GE23" s="22"/>
      <c r="GF23" s="22"/>
      <c r="GG23" s="29" t="str">
        <f t="shared" ca="1" si="36"/>
        <v>PIERDE TOMA DE TAMIZAJE</v>
      </c>
      <c r="GH23" s="22"/>
      <c r="GI23" s="29"/>
      <c r="GJ23" s="22"/>
      <c r="GK23" s="22"/>
      <c r="GL23" s="22" t="s">
        <v>879</v>
      </c>
      <c r="GM23" s="22"/>
      <c r="GN23" s="28" t="s">
        <v>869</v>
      </c>
      <c r="GO23" s="22">
        <v>44835</v>
      </c>
      <c r="GP23" s="29">
        <f t="shared" si="37"/>
        <v>4.5714285714285712</v>
      </c>
      <c r="GQ23" s="28" t="s">
        <v>869</v>
      </c>
      <c r="GR23" s="28" t="s">
        <v>869</v>
      </c>
      <c r="GS23" s="22" t="str">
        <f t="shared" si="38"/>
        <v>CONTROL Igm</v>
      </c>
      <c r="GT23" s="22">
        <v>44835</v>
      </c>
      <c r="GU23" s="29">
        <f t="shared" si="39"/>
        <v>4.5714285714285712</v>
      </c>
      <c r="GV23" s="21" t="str">
        <f t="shared" si="40"/>
        <v>I TRIM</v>
      </c>
      <c r="GW23" s="28" t="s">
        <v>869</v>
      </c>
      <c r="GX23" s="30"/>
      <c r="GY23" s="21"/>
      <c r="GZ23" s="21"/>
      <c r="HA23" s="21"/>
      <c r="HB23" s="21"/>
      <c r="HC23" s="21"/>
      <c r="HD23" s="21"/>
      <c r="HE23" s="21"/>
      <c r="HF23" s="22"/>
      <c r="HG23" s="22" t="str">
        <f>IF(OR(O23&gt;0,R23&gt;0),CONCATENATE(IF(Tabla1[[#This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 s="22" t="e">
        <f t="shared" si="41"/>
        <v>#REF!</v>
      </c>
      <c r="HI23" s="22" t="e">
        <f t="shared" ca="1" si="42"/>
        <v>#REF!</v>
      </c>
      <c r="HJ23" s="21"/>
      <c r="HK23" s="21" t="str">
        <f t="shared" si="44"/>
        <v>SIN ANTECEDENTES DE RIESGO</v>
      </c>
      <c r="HL23" s="24" t="str">
        <f t="shared" si="45"/>
        <v>APARENTEMENTE NORMAL</v>
      </c>
      <c r="HM23" s="21" t="str">
        <f t="shared" ca="1" si="46"/>
        <v/>
      </c>
      <c r="HN23" s="30" t="str">
        <f t="shared" si="47"/>
        <v>SALIO PROGRAMA</v>
      </c>
      <c r="HO23" s="21"/>
      <c r="HP23" s="21"/>
      <c r="HQ23" s="21">
        <v>44835</v>
      </c>
      <c r="HR23" s="21" t="str">
        <f>IF(R23="","",IF(Tabla1[[#This Row],[ALARMA FACTORES DE RIESGO COMPLICACIONES HIPERTENSIVAS3]]="SIN ANTECEDENTES DE RIESGO","No Aplica para suministro de ASA",IF(AND(Tabla1[[#This Row],[FECHA INICIO DE SUMINISTRO DE ASA]]&gt;0,RV23&lt;12),"Inicia ASA ANTES de Sem 12",IF(AND(RV23&gt;11,RV23&lt;17,OR(HK23="RIESGO ALTO DE COMPLICACIONES HIPERTENSIVAS VER MANEJO GUIA SUMINISTRO ASA Y CALCIO",HK23="RIESGO MODERADO (2 O MAS CRITERIOS) VER MANEJO GUIA SUMINISTRO ASA Y CALCIO")),"Inicio oportuno de ASA",IF(AND(RV23&gt;12,OR(HK23="RIESGO ALTO DE COMPLICACIONES HIPERTENSIVAS VER MANEJO GUIA SUMINISTRO ASA Y CALCIO",HK23="RIESGO MODERADO (2 O MAS CRITERIOS) VER MANEJO GUIA SUMINISTRO ASA Y CALCIO")),"Inicio no oportuno mayor a 16 semanas",IF(AND(BU23&lt;12,OR(HK23="RIESGO ALTO DE COMPLICACIONES HIPERTENSIVAS VER MANEJO GUIA SUMINISTRO ASA Y CALCIO",HK23="RIESGO MODERADO (2 O MAS CRITERIOS) VER MANEJO GUIA SUMINISTRO ASA Y CALCIO")),"Pendiente Inicio de ASA a la semana 12",IF(AND(BU23&gt;11,BU23&lt;17,OR(HK23="RIESGO ALTO DE COMPLICACIONES HIPERTENSIVAS VER MANEJO GUIA SUMINISTRO ASA Y CALCIO",HK23="RIESGO MODERADO (2 O MAS CRITERIOS) VER MANEJO GUIA SUMINISTRO ASA Y CALCIO")),"Iniciar de inmediato ASA",IF(AND(BU23&gt;16,OR(HK23="RIESGO ALTO DE COMPLICACIONES HIPERTENSIVAS VER MANEJO GUIA SUMINISTRO ASA Y CALCIO",HK23="RIESGO MODERADO (2 O MAS CRITERIOS) VER MANEJO GUIA SUMINISTRO ASA Y CALCIO")),"Pierde Oportunidad, Inicio tardío de ASA","XXXXX"))))))))</f>
        <v>No Aplica para suministro de ASA</v>
      </c>
      <c r="HS23" s="22">
        <v>44835</v>
      </c>
      <c r="HT23" s="22" t="s">
        <v>870</v>
      </c>
      <c r="HU23" s="22">
        <v>44835</v>
      </c>
      <c r="HV23" s="22" t="s">
        <v>870</v>
      </c>
      <c r="HW23" s="22">
        <v>44835</v>
      </c>
      <c r="HX23" s="22" t="s">
        <v>870</v>
      </c>
      <c r="HY23" s="22">
        <v>44835</v>
      </c>
      <c r="HZ23" s="28">
        <f t="shared" si="48"/>
        <v>4.5714285714285712</v>
      </c>
      <c r="IA23" s="26" t="s">
        <v>864</v>
      </c>
      <c r="IB23" s="26"/>
      <c r="IC23" s="111"/>
      <c r="ID23" s="22"/>
      <c r="IE23" s="22" t="str">
        <f t="shared" ca="1" si="49"/>
        <v>SALE SIN VACUNA</v>
      </c>
      <c r="IF23" s="22"/>
      <c r="IG23" s="22">
        <f t="shared" si="50"/>
        <v>45083</v>
      </c>
      <c r="IH23" s="29">
        <f t="shared" ca="1" si="51"/>
        <v>-150</v>
      </c>
      <c r="II23" s="22" t="str">
        <f t="shared" ca="1" si="52"/>
        <v>POSIBLEMENTE NACIO</v>
      </c>
      <c r="IJ23" s="22"/>
      <c r="IK23" s="21" t="s">
        <v>898</v>
      </c>
      <c r="IL23" s="21"/>
      <c r="IM23" s="34"/>
      <c r="IN23" s="349">
        <v>45052</v>
      </c>
      <c r="IO23" s="21" t="s">
        <v>1186</v>
      </c>
      <c r="IP23" s="29">
        <f t="shared" si="53"/>
        <v>35.571428571428569</v>
      </c>
      <c r="IQ23" s="35" t="s">
        <v>1644</v>
      </c>
      <c r="IR23" s="21" t="s">
        <v>1645</v>
      </c>
      <c r="IS23" s="21" t="s">
        <v>1646</v>
      </c>
      <c r="IT23" s="21" t="s">
        <v>1642</v>
      </c>
      <c r="IU23" s="21"/>
      <c r="IV23" s="21"/>
      <c r="IW23" s="21"/>
      <c r="IX23" s="21"/>
      <c r="IY23" s="21"/>
      <c r="IZ23" s="21"/>
      <c r="JA23" s="21"/>
      <c r="JB23" s="30">
        <v>1</v>
      </c>
      <c r="JC23" s="21" t="s">
        <v>1647</v>
      </c>
      <c r="JD23" s="36">
        <v>2660</v>
      </c>
      <c r="JE23" s="21" t="str">
        <f t="shared" si="54"/>
        <v>ERROR VERIFICAR DATO EDAD GESTACIONAL VS PESO</v>
      </c>
      <c r="JF23" s="30"/>
      <c r="JG23" s="21"/>
      <c r="JH23" s="21"/>
      <c r="JI23" s="21" t="s">
        <v>854</v>
      </c>
      <c r="JJ23" s="30" t="s">
        <v>866</v>
      </c>
      <c r="JK23" s="22"/>
      <c r="JL23" s="22"/>
      <c r="JM23" s="21"/>
      <c r="JN23" s="36"/>
      <c r="JO23" s="21" t="str">
        <f t="shared" si="55"/>
        <v/>
      </c>
      <c r="JP23" s="22"/>
      <c r="JQ23" s="21"/>
      <c r="JR23" s="21"/>
      <c r="JS23" s="21"/>
      <c r="JT23" s="30"/>
      <c r="JU23" s="22"/>
      <c r="JV23" s="22"/>
      <c r="JW23" s="33"/>
      <c r="JX23" s="28" t="str">
        <f t="shared" si="56"/>
        <v>INASISTENTE</v>
      </c>
      <c r="JY23" s="33"/>
      <c r="JZ23" s="28" t="str">
        <f t="shared" si="57"/>
        <v>INASISTENTE</v>
      </c>
      <c r="KA23" s="21"/>
      <c r="KB23" s="21"/>
      <c r="KC23" s="21"/>
      <c r="KD23" s="37"/>
      <c r="KE23" s="28"/>
      <c r="KF23" s="28"/>
      <c r="KG23" s="28"/>
      <c r="KH23" s="39"/>
      <c r="KI23" s="39"/>
      <c r="KJ23" s="66"/>
      <c r="KK23" s="39"/>
      <c r="KL23" s="39"/>
      <c r="KM23" s="66"/>
      <c r="KN23" s="39"/>
      <c r="KO23" s="39"/>
      <c r="KP23" s="39"/>
      <c r="KQ23" s="39"/>
      <c r="KR23" s="39"/>
      <c r="KS23" s="39"/>
      <c r="KT23" s="39"/>
      <c r="KU23" s="38"/>
      <c r="KV23" s="38"/>
      <c r="KW23" s="38"/>
      <c r="KX23" s="38"/>
      <c r="KY23" s="38"/>
      <c r="KZ23" s="38"/>
      <c r="LA23" s="38"/>
      <c r="LB23" s="38"/>
      <c r="LC23" s="38"/>
      <c r="LD23" s="38"/>
      <c r="LE23" s="38"/>
      <c r="LF23" s="38"/>
      <c r="LG23" s="38"/>
      <c r="LH23" s="38"/>
      <c r="LI23" s="38"/>
      <c r="LJ23" s="38"/>
      <c r="LK23" s="38"/>
      <c r="LL23" s="38"/>
      <c r="LM23" s="38"/>
      <c r="LN23" s="38"/>
      <c r="LO23" s="38"/>
      <c r="LP23" s="38"/>
      <c r="LQ23" s="38"/>
      <c r="LR23" s="38"/>
      <c r="LS23" s="38"/>
      <c r="LT23" s="38"/>
      <c r="LU23" s="38"/>
      <c r="LV23" s="38"/>
      <c r="LW23" s="38"/>
      <c r="LX23" s="38"/>
      <c r="LY23" s="38"/>
      <c r="LZ23" s="38"/>
      <c r="MA23" s="38"/>
      <c r="MB23" s="38"/>
      <c r="MC23" s="38"/>
      <c r="MD23" s="38"/>
      <c r="ME23" s="38"/>
      <c r="MF23" s="38"/>
      <c r="MG23" s="38"/>
      <c r="MH23" s="43">
        <f t="shared" si="58"/>
        <v>0</v>
      </c>
      <c r="MI23" s="43" t="str">
        <f t="shared" si="59"/>
        <v/>
      </c>
      <c r="MJ23" s="43" t="str">
        <f t="shared" si="60"/>
        <v/>
      </c>
      <c r="MK23" s="43">
        <f t="shared" si="61"/>
        <v>0</v>
      </c>
      <c r="ML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 s="43">
        <f t="shared" si="62"/>
        <v>4.5714285714285712</v>
      </c>
      <c r="MN23" s="43">
        <f t="shared" si="63"/>
        <v>10</v>
      </c>
      <c r="MO23" s="43">
        <f t="shared" si="64"/>
        <v>2022</v>
      </c>
      <c r="MP23" s="43" t="str">
        <f t="shared" si="65"/>
        <v>IV TRIMESTRE AÑO</v>
      </c>
      <c r="MQ23" s="43">
        <f t="shared" si="66"/>
        <v>17.216929478756022</v>
      </c>
      <c r="MR23" s="43">
        <f t="shared" si="67"/>
        <v>0</v>
      </c>
      <c r="MS23" s="43" t="str">
        <f t="shared" si="68"/>
        <v>DE 14 A 19AÑOS</v>
      </c>
      <c r="MT23" s="43">
        <f t="shared" si="69"/>
        <v>0</v>
      </c>
      <c r="MU23" s="43">
        <f t="shared" si="70"/>
        <v>1</v>
      </c>
      <c r="MV23" s="43" t="str">
        <f t="shared" si="71"/>
        <v/>
      </c>
      <c r="MW23" s="43">
        <f t="shared" si="72"/>
        <v>0</v>
      </c>
      <c r="MX23" s="43" t="str">
        <f t="shared" si="73"/>
        <v/>
      </c>
      <c r="MY23" s="43" t="str">
        <f t="shared" ca="1" si="74"/>
        <v/>
      </c>
      <c r="MZ23" s="43" t="str">
        <f t="shared" si="75"/>
        <v/>
      </c>
      <c r="NA23" s="43" t="str">
        <f t="shared" si="76"/>
        <v/>
      </c>
      <c r="NB23" s="43" t="str">
        <f t="shared" si="77"/>
        <v/>
      </c>
      <c r="NC23" s="43" t="str">
        <f t="shared" si="78"/>
        <v/>
      </c>
      <c r="ND23" s="43">
        <f t="shared" ca="1" si="79"/>
        <v>1</v>
      </c>
      <c r="NE23" s="43">
        <f>IF(OR(O23&gt;0,R23&gt;0),SUM(COUNTIF(Tabla1[[#This Row],[AÑOS AL INICIO5 CPN]],"&gt;=40"),COUNTIF(AS23,"0"),COUNTIF(AR23,"SI"),COUNTIF(CC23,"SI"),COUNTIF(BQ23,"&gt;119"),COUNTIF(CI23,"&gt;=35")),"")</f>
        <v>0</v>
      </c>
      <c r="NF23" s="43" t="str">
        <f t="shared" si="80"/>
        <v/>
      </c>
      <c r="NG23" s="43">
        <f t="shared" si="81"/>
        <v>0</v>
      </c>
      <c r="NH23" s="43">
        <f t="shared" si="82"/>
        <v>204.4</v>
      </c>
      <c r="NI2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CPN",P23="NO"),"Z",IF(AND(Tabla1[[#This Row],[CITA PROXIMO CONTROL]]="CITA MANUAL",Tabla1[[#This Row],[GESTANTES ACTUALES]]="ACTIVA INGRESO A CPN"),"W",IF(AND(Tabla1[[#This Row],[GESTANTES ACTUALES]]="SALIO PROGRAMA",IN23=""),"S",IF(AND(Tabla1[[#This Row],[CITA PROXIMO CONTROL]]&gt;0,IN23=""),(Tabla1[[#This Row],[CITA PROXIMO CONTROL]]-TODAY()),"SD"))))))))</f>
        <v>SD</v>
      </c>
      <c r="NJ23" s="43">
        <f>MONTH(Tabla1[[#This Row],[FECHA DE SALIDA  DEL PROGRAMA]])</f>
        <v>5</v>
      </c>
      <c r="NK23" s="43">
        <f>YEAR(Tabla1[[#This Row],[FECHA DE SALIDA  DEL PROGRAMA]])</f>
        <v>2023</v>
      </c>
      <c r="NL23" s="43">
        <f t="shared" si="83"/>
        <v>139</v>
      </c>
      <c r="NM23" s="43" t="str">
        <f t="shared" si="84"/>
        <v>NO</v>
      </c>
      <c r="NN23" s="43" t="str">
        <f ca="1">IF(AND(O23&gt;0,R23=""),"NO CPN",IF(AND(O23="",R23=""),"",IF(AND(R23&gt;0,Tabla1[[#This Row],[SEMANAS DE GESTACION ACTUALIZADAS]]&lt;=12),"NO APLICA",IF(AND(FH23&lt;&gt;"",FN23&lt;&gt;""),"SI","NO"))))</f>
        <v>NO</v>
      </c>
      <c r="NO23" s="43" t="str">
        <f ca="1">IF(AND(O23&gt;0,R23=""),"NO CPN",IF(AND(O23="",R23=""),"",IF(AND(R23&gt;0,Tabla1[[#This Row],[SEMANAS DE GESTACION ACTUALIZADAS]]&lt;=27),"NO APLICA",IF(AND(ES23&lt;&gt;"",FQ23&lt;&gt;"",GF23&lt;&gt;""),"SI","NO"))))</f>
        <v>NO</v>
      </c>
      <c r="NP23" s="204" t="str">
        <f t="shared" si="85"/>
        <v>I TRIM</v>
      </c>
      <c r="NQ23" s="21">
        <f t="shared" si="86"/>
        <v>3</v>
      </c>
      <c r="NR23" s="21">
        <f t="shared" si="87"/>
        <v>3</v>
      </c>
      <c r="NS23" s="205">
        <f t="shared" ca="1" si="88"/>
        <v>2</v>
      </c>
      <c r="NT23" s="21">
        <f t="shared" ca="1" si="89"/>
        <v>1</v>
      </c>
      <c r="NU23" s="21" t="str">
        <f t="shared" ca="1" si="90"/>
        <v>INCOMPLETO</v>
      </c>
      <c r="NV23" s="21" t="str">
        <f t="shared" ca="1" si="91"/>
        <v>INCOMPLETO</v>
      </c>
      <c r="NW23" s="206" t="str">
        <f>IF(AND(O23="",R23=""),"",IF(OR(AND(Tabla1[[#This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3" s="207" t="str">
        <f t="shared" ca="1" si="92"/>
        <v>SIN VACUNAR</v>
      </c>
      <c r="NY23" s="43">
        <f>ROW(Tabla1[[#This Row],['# DE TAMIZAJES SIFILIS TOMADOS ]])</f>
        <v>23</v>
      </c>
      <c r="NZ23" s="43" t="str">
        <f t="shared" si="93"/>
        <v>Menor</v>
      </c>
      <c r="OA23" s="43" t="str">
        <f t="shared" si="94"/>
        <v>NORMAL</v>
      </c>
      <c r="OB23" s="43" t="str">
        <f t="shared" si="95"/>
        <v/>
      </c>
      <c r="OC23" s="43" t="str">
        <f t="shared" si="96"/>
        <v/>
      </c>
      <c r="OD23" s="43" t="str">
        <f t="shared" si="97"/>
        <v/>
      </c>
      <c r="OE23" s="43" t="str">
        <f t="shared" si="98"/>
        <v/>
      </c>
      <c r="OF23" s="43" t="str">
        <f t="shared" si="99"/>
        <v/>
      </c>
      <c r="OG23" s="43" t="str">
        <f t="shared" si="100"/>
        <v/>
      </c>
      <c r="OH23" s="43" t="str">
        <f t="shared" si="101"/>
        <v/>
      </c>
      <c r="OI23" s="43" t="str">
        <f t="shared" si="102"/>
        <v/>
      </c>
      <c r="OJ23" s="43" t="str">
        <f t="shared" si="103"/>
        <v/>
      </c>
      <c r="OK23" s="43" t="str">
        <f t="shared" si="104"/>
        <v/>
      </c>
      <c r="OL23" s="43" t="str">
        <f t="shared" si="105"/>
        <v/>
      </c>
      <c r="OM23" s="43" t="str">
        <f t="shared" si="106"/>
        <v/>
      </c>
      <c r="ON23" s="43" t="str">
        <f t="shared" si="107"/>
        <v/>
      </c>
      <c r="OO23" s="43" t="str">
        <f t="shared" si="108"/>
        <v/>
      </c>
      <c r="OP23" s="43" t="str">
        <f t="shared" si="109"/>
        <v/>
      </c>
      <c r="OQ23" s="43" t="str">
        <f t="shared" si="110"/>
        <v/>
      </c>
      <c r="OR23" s="43" t="str">
        <f t="shared" si="111"/>
        <v/>
      </c>
      <c r="OS23" s="43" t="str">
        <f t="shared" si="112"/>
        <v/>
      </c>
      <c r="OT23" s="43" t="str">
        <f t="shared" si="113"/>
        <v/>
      </c>
      <c r="OU23" s="43" t="str">
        <f t="shared" si="114"/>
        <v/>
      </c>
      <c r="OV23" s="110" t="str">
        <f t="shared" si="115"/>
        <v/>
      </c>
      <c r="OW23" s="43" t="str">
        <f t="shared" si="116"/>
        <v/>
      </c>
      <c r="OX23" s="43" t="str">
        <f t="shared" si="117"/>
        <v/>
      </c>
      <c r="OY23" s="43" t="str">
        <f t="shared" si="118"/>
        <v/>
      </c>
      <c r="OZ23" s="43" t="str">
        <f t="shared" si="119"/>
        <v/>
      </c>
      <c r="PA23" s="43" t="str">
        <f t="shared" si="120"/>
        <v/>
      </c>
      <c r="PB23" s="43" t="str">
        <f t="shared" si="121"/>
        <v/>
      </c>
      <c r="PC23" s="43" t="str">
        <f t="shared" si="122"/>
        <v/>
      </c>
      <c r="PD23" s="43" t="str">
        <f t="shared" si="123"/>
        <v/>
      </c>
      <c r="PE23" s="43" t="str">
        <f t="shared" si="124"/>
        <v/>
      </c>
      <c r="PF23" s="43" t="str">
        <f t="shared" si="125"/>
        <v/>
      </c>
      <c r="PG23" s="43" t="str">
        <f t="shared" si="126"/>
        <v/>
      </c>
      <c r="PH23" s="43" t="str">
        <f t="shared" si="127"/>
        <v/>
      </c>
      <c r="PI23" s="43">
        <f t="shared" si="128"/>
        <v>35</v>
      </c>
      <c r="PJ23" s="43" t="str">
        <f t="shared" si="129"/>
        <v/>
      </c>
      <c r="PK23" s="43" t="str">
        <f t="shared" si="130"/>
        <v/>
      </c>
      <c r="PL23" s="43" t="str">
        <f t="shared" si="131"/>
        <v/>
      </c>
      <c r="PM23" s="43" t="str">
        <f t="shared" si="132"/>
        <v/>
      </c>
      <c r="PN23" s="43" t="str">
        <f t="shared" si="133"/>
        <v/>
      </c>
      <c r="PO23" s="43" t="str">
        <f t="shared" si="134"/>
        <v/>
      </c>
      <c r="PP23" s="43" t="str">
        <f t="shared" si="135"/>
        <v/>
      </c>
      <c r="PQ23" s="43" t="str">
        <f t="shared" si="136"/>
        <v/>
      </c>
      <c r="PR23" s="43" t="str">
        <f t="shared" si="137"/>
        <v/>
      </c>
      <c r="PS23" s="43" t="str">
        <f t="shared" si="138"/>
        <v/>
      </c>
      <c r="PT23" s="43" t="str">
        <f t="shared" si="139"/>
        <v/>
      </c>
      <c r="PU23" s="43" t="str">
        <f t="shared" si="140"/>
        <v/>
      </c>
      <c r="PV23" s="43" t="str">
        <f t="shared" si="141"/>
        <v/>
      </c>
      <c r="PW23" s="43" t="str">
        <f t="shared" si="142"/>
        <v/>
      </c>
      <c r="PX23" s="43" t="str">
        <f t="shared" si="143"/>
        <v/>
      </c>
      <c r="PY23" s="43" t="str">
        <f t="shared" si="144"/>
        <v/>
      </c>
      <c r="PZ23" s="43" t="str">
        <f t="shared" si="145"/>
        <v/>
      </c>
      <c r="QA23" s="43" t="str">
        <f t="shared" si="146"/>
        <v/>
      </c>
      <c r="QB23" s="43" t="str">
        <f t="shared" si="147"/>
        <v/>
      </c>
      <c r="QC23" s="43" t="str">
        <f t="shared" si="148"/>
        <v/>
      </c>
      <c r="QD23" s="43" t="str">
        <f t="shared" si="149"/>
        <v/>
      </c>
      <c r="QE23" s="43" t="str">
        <f t="shared" si="150"/>
        <v/>
      </c>
      <c r="QF23" s="43" t="str">
        <f t="shared" si="151"/>
        <v/>
      </c>
      <c r="QG23" s="43" t="str">
        <f t="shared" si="152"/>
        <v/>
      </c>
      <c r="QH23" s="43" t="str">
        <f t="shared" si="153"/>
        <v/>
      </c>
      <c r="QI23" s="43" t="str">
        <f t="shared" si="154"/>
        <v/>
      </c>
      <c r="QJ23" s="43" t="str">
        <f t="shared" si="155"/>
        <v>NORMAL</v>
      </c>
      <c r="QK23" s="43" t="str">
        <f t="shared" si="156"/>
        <v/>
      </c>
      <c r="QL23" s="43" t="str">
        <f t="shared" si="157"/>
        <v/>
      </c>
      <c r="QM23" s="43" t="str">
        <f t="shared" si="158"/>
        <v/>
      </c>
      <c r="QN23" s="43" t="str">
        <f t="shared" si="159"/>
        <v/>
      </c>
      <c r="QO23" s="43" t="str">
        <f t="shared" si="160"/>
        <v/>
      </c>
      <c r="QP23" s="43" t="str">
        <f t="shared" si="161"/>
        <v/>
      </c>
      <c r="QQ23" s="43" t="str">
        <f t="shared" si="162"/>
        <v/>
      </c>
      <c r="QR23" s="43">
        <f t="shared" si="192"/>
        <v>35</v>
      </c>
      <c r="QS23" s="43"/>
      <c r="QT23" s="21" t="str">
        <f t="shared" si="163"/>
        <v/>
      </c>
      <c r="QU23" s="21" t="str">
        <f t="shared" si="164"/>
        <v/>
      </c>
      <c r="QV23" s="21" t="str">
        <f t="shared" si="165"/>
        <v/>
      </c>
      <c r="QW23" s="21" t="str">
        <f t="shared" si="166"/>
        <v/>
      </c>
      <c r="QX23" s="21" t="str">
        <f t="shared" si="167"/>
        <v/>
      </c>
      <c r="QY23" s="21" t="str">
        <f t="shared" si="168"/>
        <v/>
      </c>
      <c r="QZ23" s="21" t="str">
        <f t="shared" si="169"/>
        <v/>
      </c>
      <c r="RA23" s="21" t="str">
        <f t="shared" si="170"/>
        <v/>
      </c>
      <c r="RB23" s="21" t="str">
        <f t="shared" si="171"/>
        <v/>
      </c>
      <c r="RC23" s="21" t="str">
        <f t="shared" si="172"/>
        <v/>
      </c>
      <c r="RD23" s="21" t="str">
        <f t="shared" si="173"/>
        <v/>
      </c>
      <c r="RE23" s="21" t="str">
        <f t="shared" si="174"/>
        <v/>
      </c>
      <c r="RF23" s="21" t="str">
        <f t="shared" si="175"/>
        <v/>
      </c>
      <c r="RG23" s="21" t="str">
        <f t="shared" si="176"/>
        <v/>
      </c>
      <c r="RH23" s="21" t="str">
        <f t="shared" si="177"/>
        <v/>
      </c>
      <c r="RI23" s="21" t="str">
        <f t="shared" si="178"/>
        <v/>
      </c>
      <c r="RJ23" s="21" t="str">
        <f t="shared" si="179"/>
        <v/>
      </c>
      <c r="RK23" s="21" t="str">
        <f t="shared" si="180"/>
        <v/>
      </c>
      <c r="RL23" s="21" t="str">
        <f t="shared" si="181"/>
        <v/>
      </c>
      <c r="RM23" s="21" t="str">
        <f t="shared" si="182"/>
        <v/>
      </c>
      <c r="RN23" s="21" t="str">
        <f t="shared" si="183"/>
        <v/>
      </c>
      <c r="RO23" s="21" t="str">
        <f t="shared" si="184"/>
        <v/>
      </c>
      <c r="RP23" s="21" t="str">
        <f t="shared" si="185"/>
        <v/>
      </c>
      <c r="RQ23" s="21" t="str">
        <f t="shared" si="186"/>
        <v/>
      </c>
      <c r="RR23" s="21" t="str">
        <f t="shared" si="187"/>
        <v/>
      </c>
      <c r="RS23" s="21" t="str">
        <f t="shared" si="188"/>
        <v/>
      </c>
      <c r="RT23" s="21" t="str">
        <f t="shared" si="189"/>
        <v/>
      </c>
      <c r="RU23" s="21" t="str">
        <f t="shared" si="190"/>
        <v/>
      </c>
      <c r="RV23" s="21">
        <f t="shared" si="191"/>
        <v>4.5714285714285712</v>
      </c>
      <c r="RW23" s="284">
        <f>IF(OR(Tabla1[[#This Row],[FUM FORMULA CONFIABLE]]="",Tabla1[[#This Row],[FUM FORMULA CONFIABLE]]="SD"),"",IF(Tabla1[[#This Row],[FUM FORMULA CONFIABLE]]="CORREGIDA",Tabla1[[#This Row],[FUM X ECO 1]],Tabla1[[#This Row],[FUM x AMENORREA]]))</f>
        <v>44803</v>
      </c>
      <c r="RX23" s="21">
        <f>IF(AND(Tabla1[[#This Row],[FUM X ECO 1]]="",Tabla1[[#This Row],[FUM x AMENORREA]]=""),"",IF(AND(Tabla1[[#This Row],[FUM X ECO 1]]="",Tabla1[[#This Row],[FUM x AMENORREA]]&lt;&gt;""),"X",SUM(Tabla1[[#This Row],[FUM X ECO 1]]-Tabla1[[#This Row],[FUM x AMENORREA]])))</f>
        <v>-15.400000000001455</v>
      </c>
      <c r="RY23" s="21">
        <f t="shared" si="193"/>
        <v>1</v>
      </c>
    </row>
    <row r="24" spans="1:493" ht="45" customHeight="1" x14ac:dyDescent="0.25">
      <c r="A24" s="109" t="s">
        <v>990</v>
      </c>
      <c r="B24" s="43" t="s">
        <v>890</v>
      </c>
      <c r="C24" s="43" t="s">
        <v>845</v>
      </c>
      <c r="D24" s="124" t="s">
        <v>846</v>
      </c>
      <c r="E24" s="43" t="s">
        <v>991</v>
      </c>
      <c r="F24" s="43" t="s">
        <v>992</v>
      </c>
      <c r="G24" s="43"/>
      <c r="H24" s="43" t="s">
        <v>993</v>
      </c>
      <c r="I24" s="109" t="s">
        <v>851</v>
      </c>
      <c r="J24" s="110">
        <v>1059596516</v>
      </c>
      <c r="K24" s="43" t="s">
        <v>852</v>
      </c>
      <c r="L24" s="175" t="s">
        <v>853</v>
      </c>
      <c r="M24" s="22">
        <v>31916</v>
      </c>
      <c r="N24" s="213">
        <f t="shared" ca="1" si="0"/>
        <v>36.484931506849314</v>
      </c>
      <c r="O24" s="22">
        <v>44842</v>
      </c>
      <c r="P24" s="214" t="str">
        <f t="shared" si="1"/>
        <v>SI</v>
      </c>
      <c r="Q24" s="26" t="s">
        <v>855</v>
      </c>
      <c r="R24" s="22">
        <v>44842</v>
      </c>
      <c r="S24" s="21" t="s">
        <v>856</v>
      </c>
      <c r="T24" s="24" t="s">
        <v>690</v>
      </c>
      <c r="U24" s="21" t="s">
        <v>857</v>
      </c>
      <c r="V24" s="21" t="s">
        <v>858</v>
      </c>
      <c r="W24" s="21" t="s">
        <v>893</v>
      </c>
      <c r="X24" s="21" t="s">
        <v>893</v>
      </c>
      <c r="Y24" s="21" t="s">
        <v>859</v>
      </c>
      <c r="Z24" s="21">
        <v>3138220609</v>
      </c>
      <c r="AA24" s="21" t="s">
        <v>860</v>
      </c>
      <c r="AB24" s="27" t="s">
        <v>861</v>
      </c>
      <c r="AC24" s="26" t="s">
        <v>862</v>
      </c>
      <c r="AD24" s="38" t="s">
        <v>846</v>
      </c>
      <c r="AE24" s="26" t="s">
        <v>854</v>
      </c>
      <c r="AF24" s="26" t="s">
        <v>854</v>
      </c>
      <c r="AG24" s="23" t="s">
        <v>864</v>
      </c>
      <c r="AH24" s="23" t="s">
        <v>864</v>
      </c>
      <c r="AI24" s="24" t="s">
        <v>863</v>
      </c>
      <c r="AJ24" s="23" t="s">
        <v>864</v>
      </c>
      <c r="AK24" s="220" t="str">
        <f>IF(AND(AD24="",AE24="",AF24="",AG24="",AH24="",AI24="",AJ24=""),"",IF(OR(Tabla1[[#This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EVALUACIÓN",IF(AND(O24="",R24=""),"",IF(AND(OR(O24&gt;0,R24&gt;0),NG24&gt;=0,NG24&lt;2),"SIN RIESGO",IF(AND(OR(O24&gt;0,R24&gt;0),NG24&gt;=2),"CON RIESGO","ASD")))))</f>
        <v>SIN RIESGO</v>
      </c>
      <c r="AL24" s="23" t="s">
        <v>864</v>
      </c>
      <c r="AM24" s="26" t="s">
        <v>864</v>
      </c>
      <c r="AN24" s="26" t="s">
        <v>864</v>
      </c>
      <c r="AO24" s="26" t="s">
        <v>864</v>
      </c>
      <c r="AP24" s="26" t="s">
        <v>864</v>
      </c>
      <c r="AQ24" s="26" t="s">
        <v>864</v>
      </c>
      <c r="AR24" s="26" t="s">
        <v>864</v>
      </c>
      <c r="AS24" s="21">
        <v>4</v>
      </c>
      <c r="AT24" s="21">
        <v>3</v>
      </c>
      <c r="AU24" s="21">
        <v>0</v>
      </c>
      <c r="AV24" s="26" t="s">
        <v>864</v>
      </c>
      <c r="AW24" s="21">
        <v>0</v>
      </c>
      <c r="AX24" s="26" t="s">
        <v>864</v>
      </c>
      <c r="AY24" s="26" t="s">
        <v>864</v>
      </c>
      <c r="AZ24" s="26" t="s">
        <v>864</v>
      </c>
      <c r="BA24" s="26" t="s">
        <v>864</v>
      </c>
      <c r="BB24" s="26" t="s">
        <v>864</v>
      </c>
      <c r="BC24" s="26" t="s">
        <v>864</v>
      </c>
      <c r="BD24" s="26" t="s">
        <v>864</v>
      </c>
      <c r="BE24" s="26" t="s">
        <v>864</v>
      </c>
      <c r="BF24" s="26" t="s">
        <v>864</v>
      </c>
      <c r="BG24" s="26" t="s">
        <v>864</v>
      </c>
      <c r="BH24" s="26" t="s">
        <v>864</v>
      </c>
      <c r="BI24" s="26" t="s">
        <v>864</v>
      </c>
      <c r="BJ24" s="26"/>
      <c r="BK24" s="26"/>
      <c r="BL24" s="26" t="s">
        <v>864</v>
      </c>
      <c r="BM24" s="26" t="s">
        <v>864</v>
      </c>
      <c r="BN24" s="22"/>
      <c r="BO24" s="22">
        <v>44694</v>
      </c>
      <c r="BP24" s="21" t="s">
        <v>854</v>
      </c>
      <c r="BQ24" s="222">
        <f t="shared" si="2"/>
        <v>0</v>
      </c>
      <c r="BR24" s="223">
        <f t="shared" si="3"/>
        <v>44694</v>
      </c>
      <c r="BS24" s="224">
        <f t="shared" si="4"/>
        <v>21.142857142857142</v>
      </c>
      <c r="BT24" s="216" t="str">
        <f t="shared" si="5"/>
        <v>II TRIM</v>
      </c>
      <c r="BU24" s="214" t="str">
        <f t="shared" ca="1" si="6"/>
        <v/>
      </c>
      <c r="BV24" s="25"/>
      <c r="BW24" s="22">
        <v>44862</v>
      </c>
      <c r="BX24" s="28">
        <v>24</v>
      </c>
      <c r="BY24" s="28"/>
      <c r="BZ24" s="22">
        <v>44960</v>
      </c>
      <c r="CA24" s="21">
        <v>37.299999999999997</v>
      </c>
      <c r="CB24" s="26" t="s">
        <v>864</v>
      </c>
      <c r="CC24" s="26" t="s">
        <v>864</v>
      </c>
      <c r="CD24" s="26" t="s">
        <v>878</v>
      </c>
      <c r="CE24" s="26" t="s">
        <v>864</v>
      </c>
      <c r="CF24" s="22" t="s">
        <v>1517</v>
      </c>
      <c r="CG24" s="21">
        <v>1.57</v>
      </c>
      <c r="CH24" s="21">
        <v>67</v>
      </c>
      <c r="CI24" s="214">
        <f t="shared" si="7"/>
        <v>27.181630086413239</v>
      </c>
      <c r="CJ24" s="225" t="e">
        <f>IF(AND(CI24&lt;10,CH24="SD"),"SIN DATO PESO PREGESTACION O I TRIM",IF(AND(OR(R24&gt;0,O24&gt;0),CI24="X"),"INGRESAR DATO DE PESO",IF(CI24="SD","INGRESAR DATO DE TALLA Y PESO",IF(AND(OR(Tabla1[[#This Row],[MOMENTO EN QUE SE REALIZA EL PESO AL INGRESO A CPN]]="PREGESTACIÓN",NZ24="Menor"),CI24&lt;18.5),"BAJO PESO",IF(AND(OR(Tabla1[[#This Row],[MOMENTO EN QUE SE REALIZA EL PESO AL INGRESO A CPN]]="PREGESTACIÓN",NZ24="Menor"),CI24&lt;25),"NORMAL",IF(AND(OR(Tabla1[[#This Row],[MOMENTO EN QUE SE REALIZA EL PESO AL INGRESO A CPN]]="PREGESTACIÓN",NZ24="Menor"),CI24&lt;30),"SOBREPESO",IF(AND(OR(Tabla1[[#This Row],[MOMENTO EN QUE SE REALIZA EL PESO AL INGRESO A CPN]]="PREGESTACIÓN",NZ24="Menor"),CI24&gt;=30,CI24&lt;50),"OBESIDAD",IF(AND(BS24&gt;0,Tabla1[[#This Row],[MOMENTO EN QUE SE REALIZA EL PESO AL INGRESO A CPN]]="GESTACIÓN"),HLOOKUP(NZ24,$OA$2:PH24,NY24),""))))))))</f>
        <v>#REF!</v>
      </c>
      <c r="CK24" s="212">
        <f t="shared" si="8"/>
        <v>44960</v>
      </c>
      <c r="CL24" s="21"/>
      <c r="CM24" s="214">
        <f t="shared" si="9"/>
        <v>0</v>
      </c>
      <c r="CN24" s="216">
        <f t="shared" si="10"/>
        <v>38</v>
      </c>
      <c r="CO24" s="216" t="e">
        <f>IF(PI24="","",IF(PI24&gt;0,HLOOKUP(PI24,$PJ$2:QQ24,NY24),""))</f>
        <v>#REF!</v>
      </c>
      <c r="CP24" s="21"/>
      <c r="CQ24" s="216" t="e">
        <f>IF(QR24="Menor","NO APLICA-MENOR 13 SEM",IF(AND(CC24="SI",CN24&gt;23),"NO APLICA- GEMELAR",IF(QR24="","",IF(QR24&gt;0,HLOOKUP(QR24,$QS$2:RU24,NY24),""))))</f>
        <v>#REF!</v>
      </c>
      <c r="CR24" s="21"/>
      <c r="CS24" s="21"/>
      <c r="CT24" s="217" t="str">
        <f>IF(R24="","",IF(AND(BS24&gt;1,BS24&lt;12,Tabla1[[#This Row],[T.A. SISTOLICA - ANTES DE SEMANA 12]]="",Tabla1[[#This Row],[T.A. DIASTOLICA - ANTES DE SEMANA 12]]=""),"REGISTRE DATO TA ANTES SEMANA 12",IF(AND(BS24&gt;11,BS24&lt;43,Tabla1[[#This Row],[T.A. SISTOLICA - ANTES DE SEMANA 12]]="",Tabla1[[#This Row],[T.A. DIASTOLICA - ANTES DE SEMANA 12]]=""),"NO APLICA REGISTRO TA-INGRESO TARDIO",IF(AND(OR(O24&gt;0,R24&gt;0),OR(CR24&gt;=140,CS24&gt;=90)),"DEFINIR ESTADIO HTA",IF(AND(OR(O24&gt;0,R24&gt;0),AND(CR24&gt;120,CR24&lt;=139)),"PRE HTA SEGUIMIENTO",IF(AND(OR(O24&gt;0,R24&gt;0),AND(CS24&gt;80,CS24&lt;=89)),"PRE HTA SEGUIMIENTO",IF(AND(OR(O24&gt;0,R24&gt;0),AND(CR24&gt;=80,CR24&lt;=120)),"APARENTEMENTE NORMAL",IF(AND(OR(O24&gt;0,R24&gt;0),AND(CS24&gt;=50,CS24&lt;=80)),"APARENTEMENTE NORMAL",IF(AND(OR(O24&gt;0,R24&gt;0),AND(CR24&gt;1,CR24&lt;=70),AND(CS24&gt;1,CS24&lt;=40)),"HIPOTENSIÓN","")))))))))</f>
        <v>NO APLICA REGISTRO TA-INGRESO TARDIO</v>
      </c>
      <c r="CU24" s="21">
        <v>100</v>
      </c>
      <c r="CV24" s="21">
        <v>60</v>
      </c>
      <c r="CW24" s="217" t="str">
        <f ca="1">IF(R24="","",IF(AND(CN24&gt;19,CN24&lt;27,Tabla1[[#This Row],[T.A. SISTOLICA (Entre semana 20 y 26)]]="",Tabla1[[#This Row],[T.A. DIATOLICA (Entre semana 20 y 26)]]=""),"ACUDE A CONTROL SEM 20 A 26 REGISTRE TA AHORA",IF(AND(BS24&gt;1,BS24&lt;27,BU24&gt;19,Tabla1[[#This Row],[T.A. SISTOLICA (Entre semana 20 y 26)]]="",Tabla1[[#This Row],[T.A. DIATOLICA (Entre semana 20 y 26)]]=""),"COMPLETE REGISTRO TA CONTROL SEM 20 A26 ",IF(AND(BS24&gt;26,BS24&lt;43,Tabla1[[#This Row],[T.A. SISTOLICA (Entre semana 20 y 26)]]="",Tabla1[[#This Row],[T.A. DIATOLICA (Entre semana 20 y 26)]]=""),"NO APLICA REGISTRO TA-INGRESO TARDIO",IF(AND(OR(O24&gt;0,R24&gt;0),OR(CU24&gt;=140,CV24&gt;=90)),"ALTO RIESGO PREECLAMPSIA,DEFINIR ESTADIO HTA",IF(AND(OR(O24&gt;0,R24&gt;0),AND(CU24&gt;120,CU24&lt;=139)),"PRE HTA SEGUIMIENTO,RIESGO HIPERTENSION INDUCIDA POR EL EMBARAZO",IF(AND(OR(O24&gt;0,R24&gt;0),AND(CV24&gt;80,CV24&lt;=89)),"PRE HTA SEGUIMIENTO, RIESGO HIPERTENSION INDUCIDA POR EL EMBARAZO",IF(AND(OR(O24&lt;&gt;"",R24&lt;&gt;""),CS24&lt;&gt;"",CV24&lt;&gt;"",CS24&lt;=CV24),"VIGILAR CIFRAS PRESION ARTERIAL",IF(AND(OR(O24&gt;0,R24&gt;0),AND(CU24&gt;120,CU24&lt;=139)),"PRE HTA SEGUIMIENTO",IF(AND(OR(O24&gt;0,R24&gt;0),AND(CU24&gt;1,CU24&lt;=70),AND(CV24&gt;1,CV24&lt;=40)),"HIPOTENSIÓN",IF(AND(OR(O24&lt;&gt;"",R24&lt;&gt;""),CS24&lt;&gt;"",CV24&lt;&gt;"",CS24&gt;CV24),"APARENTEMENTE NORMAL",IF(AND(OR(O24&gt;0,R24&gt;0),AND(CU24&gt;=80,CU24&lt;=120)),"APARENTEMENTE NORMAL",IF(AND(OR(O24&gt;0,R24&gt;0),AND(CV24&gt;=50,CV24&lt;=80)),"APARENTEMENTE NORMAL","")))))))))))))</f>
        <v>APARENTEMENTE NORMAL</v>
      </c>
      <c r="CX24" s="21">
        <v>100</v>
      </c>
      <c r="CY24" s="21">
        <v>60</v>
      </c>
      <c r="CZ24" s="216" t="str">
        <f t="shared" si="11"/>
        <v>APARENTEMENTE NORMAL</v>
      </c>
      <c r="DA24" s="21"/>
      <c r="DB24" s="21"/>
      <c r="DC24" s="217" t="str">
        <f t="shared" si="12"/>
        <v>REGISTRE DATO PRESIÓN ARTERIAL MENSUAL</v>
      </c>
      <c r="DD24" s="22">
        <v>44842</v>
      </c>
      <c r="DE24" s="22">
        <v>44842</v>
      </c>
      <c r="DF24" s="22">
        <v>44879</v>
      </c>
      <c r="DG24" s="22">
        <v>44960</v>
      </c>
      <c r="DH24" s="22"/>
      <c r="DI24" s="22"/>
      <c r="DJ24" s="22"/>
      <c r="DK24" s="22"/>
      <c r="DL24" s="22"/>
      <c r="DM24" s="22"/>
      <c r="DN24" s="22"/>
      <c r="DO24" s="22"/>
      <c r="DP24" s="22"/>
      <c r="DQ24" s="22"/>
      <c r="DR24" s="28"/>
      <c r="DS24" s="22"/>
      <c r="DT24" s="22"/>
      <c r="DU24" s="216" t="str">
        <f t="shared" ca="1" si="13"/>
        <v>SALE SIN PLAN DE PARTO</v>
      </c>
      <c r="DV24" s="226" t="str">
        <f t="shared" si="14"/>
        <v>SALIO PROGRAMA</v>
      </c>
      <c r="DW2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4" s="216" t="str">
        <f t="shared" ca="1" si="15"/>
        <v/>
      </c>
      <c r="DY24" s="212">
        <f>IF(R24="","",IF(R24&gt;0,MAX(Tabla1[[#This Row],[FECHA C2]:[FECHA C13]],Tabla1[[#This Row],[FECHA CONSULTA PRIMERA VEZ PROGRAMA CPN ]])))</f>
        <v>44960</v>
      </c>
      <c r="DZ24" s="216">
        <f t="shared" si="16"/>
        <v>38</v>
      </c>
      <c r="EA24" s="222">
        <f>IF(R24&gt;0,SUM(COUNTA(DF24:DQ24)+COUNTA(Tabla1[[#This Row],[FECHA CONSULTA PRIMERA VEZ PROGRAMA CPN ]])),"")</f>
        <v>3</v>
      </c>
      <c r="EB24" s="222" t="str">
        <f t="shared" si="17"/>
        <v>NO</v>
      </c>
      <c r="EC24" s="214">
        <f t="shared" si="18"/>
        <v>6</v>
      </c>
      <c r="ED24" s="227">
        <f t="shared" si="19"/>
        <v>0.5</v>
      </c>
      <c r="EE24" s="22">
        <v>44842</v>
      </c>
      <c r="EF24" s="22">
        <v>44847</v>
      </c>
      <c r="EG24" s="22">
        <v>44842</v>
      </c>
      <c r="EH24" s="22"/>
      <c r="EI24" s="22">
        <v>44842</v>
      </c>
      <c r="EJ24" s="22"/>
      <c r="EK24" s="22"/>
      <c r="EL24" s="21"/>
      <c r="EM24" s="21"/>
      <c r="EN24" s="22"/>
      <c r="EO24" s="222" t="str">
        <f t="shared" si="20"/>
        <v>TOMAR EXAMEN</v>
      </c>
      <c r="EP24" s="214" t="str">
        <f t="shared" si="21"/>
        <v/>
      </c>
      <c r="EQ24" s="216" t="str">
        <f t="shared" si="22"/>
        <v>POR DEFINIR</v>
      </c>
      <c r="ER24" s="24"/>
      <c r="ES24" s="22"/>
      <c r="ET24" s="29" t="str">
        <f t="shared" ca="1" si="23"/>
        <v>SALE SIN TAMIZAJE HEMOGLOBINA SEM 28</v>
      </c>
      <c r="EU24" s="25" t="str">
        <f t="shared" si="24"/>
        <v/>
      </c>
      <c r="EV24" s="24" t="s">
        <v>866</v>
      </c>
      <c r="EW24" s="24">
        <v>44862</v>
      </c>
      <c r="EX24" s="22"/>
      <c r="EY24" s="29">
        <f t="shared" si="25"/>
        <v>24</v>
      </c>
      <c r="EZ24" s="25" t="str">
        <f t="shared" ca="1" si="26"/>
        <v/>
      </c>
      <c r="FA24" s="21">
        <v>80</v>
      </c>
      <c r="FB24" s="22">
        <v>44862</v>
      </c>
      <c r="FC24" s="29" t="str">
        <f t="shared" si="27"/>
        <v>NO APLICA &gt; 23 SEM -TOMAR PTOG</v>
      </c>
      <c r="FD24" s="29"/>
      <c r="FE24" s="29"/>
      <c r="FF24" s="29"/>
      <c r="FG24" s="21" t="str">
        <f t="shared" ca="1" si="28"/>
        <v/>
      </c>
      <c r="FH24" s="31"/>
      <c r="FI24" s="29" t="str">
        <f t="shared" si="29"/>
        <v>TOMAR EXAMEN</v>
      </c>
      <c r="FJ24" s="22"/>
      <c r="FK24" s="22"/>
      <c r="FL24" s="29" t="str">
        <f t="shared" ca="1" si="30"/>
        <v>NO APLICA-INGRESO TARDIO</v>
      </c>
      <c r="FM24" s="22" t="s">
        <v>867</v>
      </c>
      <c r="FN24" s="32"/>
      <c r="FO24" s="29" t="str">
        <f t="shared" ca="1" si="31"/>
        <v>PIERDE TOMA DE TAMIZAJE</v>
      </c>
      <c r="FP24" s="22" t="s">
        <v>867</v>
      </c>
      <c r="FQ24" s="32">
        <v>44862</v>
      </c>
      <c r="FR24" s="29" t="str">
        <f t="shared" ca="1" si="32"/>
        <v>REGISTRAR EN II TRIMESTRE</v>
      </c>
      <c r="FS24" s="22"/>
      <c r="FT24" s="32"/>
      <c r="FU24" s="29" t="str">
        <f>IF(AND(FJ24="",FM24="",FP24="",FS24=""),"",IF(OR(OR(Tabla1[[#This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 s="28"/>
      <c r="FW24" s="22"/>
      <c r="FX24" s="29" t="str">
        <f t="shared" si="33"/>
        <v>TOMAR EXAMEN</v>
      </c>
      <c r="FY24" s="22"/>
      <c r="FZ24" s="22"/>
      <c r="GA24" s="29" t="str">
        <f t="shared" ca="1" si="34"/>
        <v>NO APLICA-INGRESO TARDIO</v>
      </c>
      <c r="GB24" s="22"/>
      <c r="GC24" s="22"/>
      <c r="GD24" s="29" t="str">
        <f t="shared" ca="1" si="35"/>
        <v>PIERDE TOMA DE TAMIZAJE</v>
      </c>
      <c r="GE24" s="22"/>
      <c r="GF24" s="22"/>
      <c r="GG24" s="29" t="str">
        <f t="shared" ca="1" si="36"/>
        <v>PIERDE TOMA DE TAMIZAJE</v>
      </c>
      <c r="GH24" s="22"/>
      <c r="GI24" s="29"/>
      <c r="GJ24" s="22"/>
      <c r="GK24" s="22"/>
      <c r="GL24" s="22" t="s">
        <v>879</v>
      </c>
      <c r="GM24" s="22"/>
      <c r="GN24" s="28"/>
      <c r="GO24" s="22"/>
      <c r="GP24" s="29" t="str">
        <f t="shared" si="37"/>
        <v>TOMAR EXAMEN</v>
      </c>
      <c r="GQ24" s="28"/>
      <c r="GR24" s="28"/>
      <c r="GS24" s="22" t="str">
        <f t="shared" si="38"/>
        <v/>
      </c>
      <c r="GT24" s="22"/>
      <c r="GU24" s="29" t="str">
        <f t="shared" si="39"/>
        <v>TOMAR EXAMEN</v>
      </c>
      <c r="GV24" s="21" t="str">
        <f t="shared" si="40"/>
        <v>POR DEFINIR</v>
      </c>
      <c r="GW24" s="28"/>
      <c r="GX24" s="30"/>
      <c r="GY24" s="21"/>
      <c r="GZ24" s="21"/>
      <c r="HA24" s="21"/>
      <c r="HB24" s="21"/>
      <c r="HC24" s="21"/>
      <c r="HD24" s="21"/>
      <c r="HE24" s="21"/>
      <c r="HF24" s="22"/>
      <c r="HG24" s="22" t="str">
        <f>IF(OR(O24&gt;0,R24&gt;0),CONCATENATE(IF(Tabla1[[#This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 s="22" t="e">
        <f t="shared" si="41"/>
        <v>#REF!</v>
      </c>
      <c r="HI24" s="22" t="e">
        <f t="shared" ca="1" si="42"/>
        <v>#REF!</v>
      </c>
      <c r="HJ24" s="21"/>
      <c r="HK24" s="21" t="str">
        <f t="shared" si="44"/>
        <v>SIN ANTECEDENTES DE RIESGO</v>
      </c>
      <c r="HL24" s="24" t="str">
        <f t="shared" si="45"/>
        <v>REGISTRE DATO PRESIÓN ARTERIAL MENSUAL</v>
      </c>
      <c r="HM24" s="21" t="str">
        <f t="shared" ca="1" si="46"/>
        <v/>
      </c>
      <c r="HN24" s="30" t="str">
        <f t="shared" si="47"/>
        <v>SALIO PROGRAMA</v>
      </c>
      <c r="HO24" s="21"/>
      <c r="HP24" s="21" t="s">
        <v>854</v>
      </c>
      <c r="HQ24" s="21">
        <v>44842</v>
      </c>
      <c r="HR24" s="21" t="str">
        <f>IF(R24="","",IF(Tabla1[[#This Row],[ALARMA FACTORES DE RIESGO COMPLICACIONES HIPERTENSIVAS3]]="SIN ANTECEDENTES DE RIESGO","No Aplica para suministro de ASA",IF(AND(Tabla1[[#This Row],[FECHA INICIO DE SUMINISTRO DE ASA]]&gt;0,RV24&lt;12),"Inicia ASA ANTES de Sem 12",IF(AND(RV24&gt;11,RV24&lt;17,OR(HK24="RIESGO ALTO DE COMPLICACIONES HIPERTENSIVAS VER MANEJO GUIA SUMINISTRO ASA Y CALCIO",HK24="RIESGO MODERADO (2 O MAS CRITERIOS) VER MANEJO GUIA SUMINISTRO ASA Y CALCIO")),"Inicio oportuno de ASA",IF(AND(RV24&gt;12,OR(HK24="RIESGO ALTO DE COMPLICACIONES HIPERTENSIVAS VER MANEJO GUIA SUMINISTRO ASA Y CALCIO",HK24="RIESGO MODERADO (2 O MAS CRITERIOS) VER MANEJO GUIA SUMINISTRO ASA Y CALCIO")),"Inicio no oportuno mayor a 16 semanas",IF(AND(BU24&lt;12,OR(HK24="RIESGO ALTO DE COMPLICACIONES HIPERTENSIVAS VER MANEJO GUIA SUMINISTRO ASA Y CALCIO",HK24="RIESGO MODERADO (2 O MAS CRITERIOS) VER MANEJO GUIA SUMINISTRO ASA Y CALCIO")),"Pendiente Inicio de ASA a la semana 12",IF(AND(BU24&gt;11,BU24&lt;17,OR(HK24="RIESGO ALTO DE COMPLICACIONES HIPERTENSIVAS VER MANEJO GUIA SUMINISTRO ASA Y CALCIO",HK24="RIESGO MODERADO (2 O MAS CRITERIOS) VER MANEJO GUIA SUMINISTRO ASA Y CALCIO")),"Iniciar de inmediato ASA",IF(AND(BU24&gt;16,OR(HK24="RIESGO ALTO DE COMPLICACIONES HIPERTENSIVAS VER MANEJO GUIA SUMINISTRO ASA Y CALCIO",HK24="RIESGO MODERADO (2 O MAS CRITERIOS) VER MANEJO GUIA SUMINISTRO ASA Y CALCIO")),"Pierde Oportunidad, Inicio tardío de ASA","XXXXX"))))))))</f>
        <v>No Aplica para suministro de ASA</v>
      </c>
      <c r="HS24" s="22">
        <v>44842</v>
      </c>
      <c r="HT24" s="22" t="s">
        <v>870</v>
      </c>
      <c r="HU24" s="22"/>
      <c r="HV24" s="22"/>
      <c r="HW24" s="22">
        <v>44842</v>
      </c>
      <c r="HX24" s="22" t="s">
        <v>870</v>
      </c>
      <c r="HY24" s="22">
        <v>44842</v>
      </c>
      <c r="HZ24" s="28">
        <f t="shared" si="48"/>
        <v>21.142857142857142</v>
      </c>
      <c r="IA24" s="26" t="s">
        <v>864</v>
      </c>
      <c r="IB24" s="26"/>
      <c r="IC24" s="111">
        <v>44862</v>
      </c>
      <c r="ID24" s="22">
        <v>44862</v>
      </c>
      <c r="IE24" s="22" t="str">
        <f t="shared" ca="1" si="49"/>
        <v>VACUNA APLICADA ENTRE SEMANA 20 Y SEMANA 26</v>
      </c>
      <c r="IF24" s="22"/>
      <c r="IG24" s="22">
        <f t="shared" si="50"/>
        <v>44974</v>
      </c>
      <c r="IH24" s="29">
        <f t="shared" ca="1" si="51"/>
        <v>-259</v>
      </c>
      <c r="II24" s="22" t="str">
        <f t="shared" ca="1" si="52"/>
        <v>POSIBLEMENTE NACIO</v>
      </c>
      <c r="IJ24" s="22"/>
      <c r="IK24" s="21" t="s">
        <v>1652</v>
      </c>
      <c r="IL24" s="21"/>
      <c r="IM24" s="34"/>
      <c r="IN24" s="349">
        <v>44978</v>
      </c>
      <c r="IO24" s="21" t="s">
        <v>1186</v>
      </c>
      <c r="IP24" s="29">
        <f t="shared" si="53"/>
        <v>40.571428571428569</v>
      </c>
      <c r="IQ24" s="35" t="s">
        <v>1653</v>
      </c>
      <c r="IR24" s="21" t="s">
        <v>1649</v>
      </c>
      <c r="IS24" s="21" t="s">
        <v>1646</v>
      </c>
      <c r="IT24" s="21" t="s">
        <v>1642</v>
      </c>
      <c r="IU24" s="21"/>
      <c r="IV24" s="21"/>
      <c r="IW24" s="21"/>
      <c r="IX24" s="21"/>
      <c r="IY24" s="21"/>
      <c r="IZ24" s="21"/>
      <c r="JA24" s="21"/>
      <c r="JB24" s="30">
        <v>1</v>
      </c>
      <c r="JC24" s="21" t="s">
        <v>1647</v>
      </c>
      <c r="JD24" s="36">
        <v>3490</v>
      </c>
      <c r="JE24" s="21" t="str">
        <f t="shared" si="54"/>
        <v>PESO ADECUADO EDAD GESTACIONAL</v>
      </c>
      <c r="JF24" s="30"/>
      <c r="JG24" s="21"/>
      <c r="JH24" s="21"/>
      <c r="JI24" s="21" t="s">
        <v>854</v>
      </c>
      <c r="JJ24" s="30" t="s">
        <v>866</v>
      </c>
      <c r="JK24" s="22"/>
      <c r="JL24" s="22"/>
      <c r="JM24" s="21"/>
      <c r="JN24" s="36"/>
      <c r="JO24" s="21" t="str">
        <f t="shared" si="55"/>
        <v/>
      </c>
      <c r="JP24" s="22"/>
      <c r="JQ24" s="21"/>
      <c r="JR24" s="21"/>
      <c r="JS24" s="21"/>
      <c r="JT24" s="30"/>
      <c r="JU24" s="22"/>
      <c r="JV24" s="22"/>
      <c r="JW24" s="33"/>
      <c r="JX24" s="28" t="str">
        <f t="shared" si="56"/>
        <v>INASISTENTE</v>
      </c>
      <c r="JY24" s="33"/>
      <c r="JZ24" s="28" t="str">
        <f t="shared" si="57"/>
        <v>INASISTENTE</v>
      </c>
      <c r="KA24" s="21"/>
      <c r="KB24" s="21"/>
      <c r="KC24" s="21"/>
      <c r="KD24" s="37"/>
      <c r="KE24" s="28"/>
      <c r="KF24" s="28"/>
      <c r="KG24" s="28"/>
      <c r="KH24" s="39"/>
      <c r="KI24" s="39"/>
      <c r="KJ24" s="66"/>
      <c r="KK24" s="39"/>
      <c r="KL24" s="39"/>
      <c r="KM24" s="66"/>
      <c r="KN24" s="39"/>
      <c r="KO24" s="39"/>
      <c r="KP24" s="39"/>
      <c r="KQ24" s="39"/>
      <c r="KR24" s="39"/>
      <c r="KS24" s="39"/>
      <c r="KT24" s="39"/>
      <c r="KU24" s="38"/>
      <c r="KV24" s="38"/>
      <c r="KW24" s="38"/>
      <c r="KX24" s="38"/>
      <c r="KY24" s="38"/>
      <c r="KZ24" s="38"/>
      <c r="LA24" s="38"/>
      <c r="LB24" s="38"/>
      <c r="LC24" s="38"/>
      <c r="LD24" s="38"/>
      <c r="LE24" s="38"/>
      <c r="LF24" s="38"/>
      <c r="LG24" s="38"/>
      <c r="LH24" s="38"/>
      <c r="LI24" s="38"/>
      <c r="LJ24" s="38"/>
      <c r="LK24" s="38"/>
      <c r="LL24" s="38"/>
      <c r="LM24" s="38"/>
      <c r="LN24" s="38"/>
      <c r="LO24" s="38"/>
      <c r="LP24" s="38"/>
      <c r="LQ24" s="38"/>
      <c r="LR24" s="38"/>
      <c r="LS24" s="38"/>
      <c r="LT24" s="38"/>
      <c r="LU24" s="38"/>
      <c r="LV24" s="38"/>
      <c r="LW24" s="38"/>
      <c r="LX24" s="38"/>
      <c r="LY24" s="38"/>
      <c r="LZ24" s="38"/>
      <c r="MA24" s="38"/>
      <c r="MB24" s="38"/>
      <c r="MC24" s="38"/>
      <c r="MD24" s="38"/>
      <c r="ME24" s="38"/>
      <c r="MF24" s="38"/>
      <c r="MG24" s="38"/>
      <c r="MH24" s="43">
        <f t="shared" si="58"/>
        <v>0</v>
      </c>
      <c r="MI24" s="43" t="str">
        <f t="shared" si="59"/>
        <v/>
      </c>
      <c r="MJ24" s="43" t="str">
        <f t="shared" si="60"/>
        <v/>
      </c>
      <c r="MK24" s="43">
        <f t="shared" si="61"/>
        <v>0</v>
      </c>
      <c r="ML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 s="43">
        <f t="shared" si="62"/>
        <v>21.142857142857142</v>
      </c>
      <c r="MN24" s="43">
        <f t="shared" si="63"/>
        <v>10</v>
      </c>
      <c r="MO24" s="43">
        <f t="shared" si="64"/>
        <v>2022</v>
      </c>
      <c r="MP24" s="43" t="str">
        <f t="shared" si="65"/>
        <v>IV TRIMESTRE AÑO</v>
      </c>
      <c r="MQ24" s="43">
        <f t="shared" si="66"/>
        <v>34.874616732369688</v>
      </c>
      <c r="MR24" s="43">
        <f t="shared" si="67"/>
        <v>0</v>
      </c>
      <c r="MS24" s="43" t="str">
        <f t="shared" si="68"/>
        <v xml:space="preserve"> DE 30 A 34 AÑOS</v>
      </c>
      <c r="MT24" s="43">
        <f t="shared" si="69"/>
        <v>0</v>
      </c>
      <c r="MU24" s="43">
        <f t="shared" si="70"/>
        <v>0</v>
      </c>
      <c r="MV24" s="43">
        <f t="shared" si="71"/>
        <v>0</v>
      </c>
      <c r="MW24" s="43">
        <f t="shared" si="72"/>
        <v>0</v>
      </c>
      <c r="MX24" s="43" t="str">
        <f t="shared" si="73"/>
        <v/>
      </c>
      <c r="MY24" s="43" t="str">
        <f t="shared" ca="1" si="74"/>
        <v/>
      </c>
      <c r="MZ24" s="43" t="str">
        <f t="shared" si="75"/>
        <v/>
      </c>
      <c r="NA24" s="43">
        <f t="shared" si="76"/>
        <v>0</v>
      </c>
      <c r="NB24" s="43" t="str">
        <f t="shared" si="77"/>
        <v/>
      </c>
      <c r="NC24" s="43" t="str">
        <f t="shared" si="78"/>
        <v/>
      </c>
      <c r="ND24" s="43">
        <f t="shared" ca="1" si="79"/>
        <v>0</v>
      </c>
      <c r="NE24" s="43">
        <f>IF(OR(O24&gt;0,R24&gt;0),SUM(COUNTIF(Tabla1[[#This Row],[AÑOS AL INICIO5 CPN]],"&gt;=40"),COUNTIF(AS24,"0"),COUNTIF(AR24,"SI"),COUNTIF(CC24,"SI"),COUNTIF(BQ24,"&gt;119"),COUNTIF(CI24,"&gt;=35")),"")</f>
        <v>0</v>
      </c>
      <c r="NF24" s="43">
        <f t="shared" si="80"/>
        <v>24</v>
      </c>
      <c r="NG24" s="43">
        <f t="shared" si="81"/>
        <v>0</v>
      </c>
      <c r="NH24" s="43">
        <f t="shared" si="82"/>
        <v>168</v>
      </c>
      <c r="NI2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CPN",P24="NO"),"Z",IF(AND(Tabla1[[#This Row],[CITA PROXIMO CONTROL]]="CITA MANUAL",Tabla1[[#This Row],[GESTANTES ACTUALES]]="ACTIVA INGRESO A CPN"),"W",IF(AND(Tabla1[[#This Row],[GESTANTES ACTUALES]]="SALIO PROGRAMA",IN24=""),"S",IF(AND(Tabla1[[#This Row],[CITA PROXIMO CONTROL]]&gt;0,IN24=""),(Tabla1[[#This Row],[CITA PROXIMO CONTROL]]-TODAY()),"SD"))))))))</f>
        <v>SD</v>
      </c>
      <c r="NJ24" s="43">
        <f>MONTH(Tabla1[[#This Row],[FECHA DE SALIDA  DEL PROGRAMA]])</f>
        <v>2</v>
      </c>
      <c r="NK24" s="43">
        <f>YEAR(Tabla1[[#This Row],[FECHA DE SALIDA  DEL PROGRAMA]])</f>
        <v>2023</v>
      </c>
      <c r="NL24" s="43" t="str">
        <f t="shared" si="83"/>
        <v>X</v>
      </c>
      <c r="NM24" s="43" t="str">
        <f t="shared" si="84"/>
        <v>NO</v>
      </c>
      <c r="NN24" s="43" t="str">
        <f ca="1">IF(AND(O24&gt;0,R24=""),"NO CPN",IF(AND(O24="",R24=""),"",IF(AND(R24&gt;0,Tabla1[[#This Row],[SEMANAS DE GESTACION ACTUALIZADAS]]&lt;=12),"NO APLICA",IF(AND(FH24&lt;&gt;"",FN24&lt;&gt;""),"SI","NO"))))</f>
        <v>NO</v>
      </c>
      <c r="NO24" s="43" t="str">
        <f ca="1">IF(AND(O24&gt;0,R24=""),"NO CPN",IF(AND(O24="",R24=""),"",IF(AND(R24&gt;0,Tabla1[[#This Row],[SEMANAS DE GESTACION ACTUALIZADAS]]&lt;=27),"NO APLICA",IF(AND(ES24&lt;&gt;"",FQ24&lt;&gt;"",GF24&lt;&gt;""),"SI","NO"))))</f>
        <v>NO</v>
      </c>
      <c r="NP24" s="204" t="str">
        <f t="shared" si="85"/>
        <v>II TRIM</v>
      </c>
      <c r="NQ24" s="21">
        <f t="shared" si="86"/>
        <v>1</v>
      </c>
      <c r="NR24" s="21">
        <f t="shared" si="87"/>
        <v>2</v>
      </c>
      <c r="NS24" s="205">
        <f t="shared" ca="1" si="88"/>
        <v>0</v>
      </c>
      <c r="NT24" s="21">
        <f t="shared" ca="1" si="89"/>
        <v>0</v>
      </c>
      <c r="NU24" s="21" t="str">
        <f t="shared" ca="1" si="90"/>
        <v>INCOMPLETO</v>
      </c>
      <c r="NV24" s="21" t="str">
        <f t="shared" ca="1" si="91"/>
        <v>INCOMPLETO</v>
      </c>
      <c r="NW24" s="206" t="str">
        <f>IF(AND(O24="",R24=""),"",IF(OR(AND(Tabla1[[#This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 s="207" t="str">
        <f t="shared" ca="1" si="92"/>
        <v>VACUNADA</v>
      </c>
      <c r="NY24" s="43">
        <f>ROW(Tabla1[[#This Row],['# DE TAMIZAJES SIFILIS TOMADOS ]])</f>
        <v>24</v>
      </c>
      <c r="NZ24" s="43">
        <f t="shared" si="93"/>
        <v>21</v>
      </c>
      <c r="OA24" s="43" t="str">
        <f t="shared" si="94"/>
        <v/>
      </c>
      <c r="OB24" s="43" t="str">
        <f t="shared" si="95"/>
        <v/>
      </c>
      <c r="OC24" s="43" t="str">
        <f t="shared" si="96"/>
        <v/>
      </c>
      <c r="OD24" s="43" t="str">
        <f t="shared" si="97"/>
        <v/>
      </c>
      <c r="OE24" s="43" t="str">
        <f t="shared" si="98"/>
        <v/>
      </c>
      <c r="OF24" s="43" t="str">
        <f t="shared" si="99"/>
        <v/>
      </c>
      <c r="OG24" s="43" t="str">
        <f t="shared" si="100"/>
        <v/>
      </c>
      <c r="OH24" s="43" t="str">
        <f t="shared" si="101"/>
        <v/>
      </c>
      <c r="OI24" s="43" t="str">
        <f t="shared" si="102"/>
        <v/>
      </c>
      <c r="OJ24" s="43" t="str">
        <f t="shared" si="103"/>
        <v/>
      </c>
      <c r="OK24" s="43" t="str">
        <f t="shared" si="104"/>
        <v/>
      </c>
      <c r="OL24" s="43" t="str">
        <f t="shared" si="105"/>
        <v/>
      </c>
      <c r="OM24" s="43" t="str">
        <f t="shared" si="106"/>
        <v>SOBREPESO</v>
      </c>
      <c r="ON24" s="43" t="str">
        <f t="shared" si="107"/>
        <v/>
      </c>
      <c r="OO24" s="43" t="str">
        <f t="shared" si="108"/>
        <v/>
      </c>
      <c r="OP24" s="43" t="str">
        <f t="shared" si="109"/>
        <v/>
      </c>
      <c r="OQ24" s="43" t="str">
        <f t="shared" si="110"/>
        <v/>
      </c>
      <c r="OR24" s="43" t="str">
        <f t="shared" si="111"/>
        <v/>
      </c>
      <c r="OS24" s="43" t="str">
        <f t="shared" si="112"/>
        <v/>
      </c>
      <c r="OT24" s="43" t="str">
        <f t="shared" si="113"/>
        <v/>
      </c>
      <c r="OU24" s="43" t="str">
        <f t="shared" si="114"/>
        <v/>
      </c>
      <c r="OV24" s="110" t="str">
        <f t="shared" si="115"/>
        <v/>
      </c>
      <c r="OW24" s="43" t="str">
        <f t="shared" si="116"/>
        <v/>
      </c>
      <c r="OX24" s="43" t="str">
        <f t="shared" si="117"/>
        <v/>
      </c>
      <c r="OY24" s="43" t="str">
        <f t="shared" si="118"/>
        <v/>
      </c>
      <c r="OZ24" s="43" t="str">
        <f t="shared" si="119"/>
        <v/>
      </c>
      <c r="PA24" s="43" t="str">
        <f t="shared" si="120"/>
        <v/>
      </c>
      <c r="PB24" s="43" t="str">
        <f t="shared" si="121"/>
        <v/>
      </c>
      <c r="PC24" s="43" t="str">
        <f t="shared" si="122"/>
        <v/>
      </c>
      <c r="PD24" s="43" t="str">
        <f t="shared" si="123"/>
        <v/>
      </c>
      <c r="PE24" s="43" t="str">
        <f t="shared" si="124"/>
        <v/>
      </c>
      <c r="PF24" s="43" t="str">
        <f t="shared" si="125"/>
        <v/>
      </c>
      <c r="PG24" s="43" t="str">
        <f t="shared" si="126"/>
        <v/>
      </c>
      <c r="PH24" s="43" t="str">
        <f t="shared" si="127"/>
        <v/>
      </c>
      <c r="PI24" s="43">
        <f t="shared" si="128"/>
        <v>38</v>
      </c>
      <c r="PJ24" s="43" t="str">
        <f t="shared" si="129"/>
        <v/>
      </c>
      <c r="PK24" s="43" t="str">
        <f t="shared" si="130"/>
        <v/>
      </c>
      <c r="PL24" s="43" t="str">
        <f t="shared" si="131"/>
        <v/>
      </c>
      <c r="PM24" s="43" t="str">
        <f t="shared" si="132"/>
        <v/>
      </c>
      <c r="PN24" s="43" t="str">
        <f t="shared" si="133"/>
        <v/>
      </c>
      <c r="PO24" s="43" t="str">
        <f t="shared" si="134"/>
        <v/>
      </c>
      <c r="PP24" s="43" t="str">
        <f t="shared" si="135"/>
        <v/>
      </c>
      <c r="PQ24" s="43" t="str">
        <f t="shared" si="136"/>
        <v/>
      </c>
      <c r="PR24" s="43" t="str">
        <f t="shared" si="137"/>
        <v/>
      </c>
      <c r="PS24" s="43" t="str">
        <f t="shared" si="138"/>
        <v/>
      </c>
      <c r="PT24" s="43" t="str">
        <f t="shared" si="139"/>
        <v/>
      </c>
      <c r="PU24" s="43" t="str">
        <f t="shared" si="140"/>
        <v/>
      </c>
      <c r="PV24" s="43" t="str">
        <f t="shared" si="141"/>
        <v/>
      </c>
      <c r="PW24" s="43" t="str">
        <f t="shared" si="142"/>
        <v/>
      </c>
      <c r="PX24" s="43" t="str">
        <f t="shared" si="143"/>
        <v/>
      </c>
      <c r="PY24" s="43" t="str">
        <f t="shared" si="144"/>
        <v/>
      </c>
      <c r="PZ24" s="43" t="str">
        <f t="shared" si="145"/>
        <v/>
      </c>
      <c r="QA24" s="43" t="str">
        <f t="shared" si="146"/>
        <v/>
      </c>
      <c r="QB24" s="43" t="str">
        <f t="shared" si="147"/>
        <v/>
      </c>
      <c r="QC24" s="43" t="str">
        <f t="shared" si="148"/>
        <v/>
      </c>
      <c r="QD24" s="43" t="str">
        <f t="shared" si="149"/>
        <v/>
      </c>
      <c r="QE24" s="43" t="str">
        <f t="shared" si="150"/>
        <v/>
      </c>
      <c r="QF24" s="43" t="str">
        <f t="shared" si="151"/>
        <v/>
      </c>
      <c r="QG24" s="43" t="str">
        <f t="shared" si="152"/>
        <v/>
      </c>
      <c r="QH24" s="43" t="str">
        <f t="shared" si="153"/>
        <v/>
      </c>
      <c r="QI24" s="43" t="str">
        <f t="shared" si="154"/>
        <v/>
      </c>
      <c r="QJ24" s="43" t="str">
        <f t="shared" si="155"/>
        <v/>
      </c>
      <c r="QK24" s="43" t="str">
        <f t="shared" si="156"/>
        <v/>
      </c>
      <c r="QL24" s="43" t="str">
        <f t="shared" si="157"/>
        <v/>
      </c>
      <c r="QM24" s="43" t="str">
        <f t="shared" si="158"/>
        <v/>
      </c>
      <c r="QN24" s="43" t="str">
        <f t="shared" si="159"/>
        <v/>
      </c>
      <c r="QO24" s="43" t="str">
        <f t="shared" si="160"/>
        <v/>
      </c>
      <c r="QP24" s="43" t="str">
        <f t="shared" si="161"/>
        <v/>
      </c>
      <c r="QQ24" s="43" t="str">
        <f t="shared" si="162"/>
        <v/>
      </c>
      <c r="QR24" s="43">
        <f t="shared" si="192"/>
        <v>38</v>
      </c>
      <c r="QS24" s="43"/>
      <c r="QT24" s="21" t="str">
        <f t="shared" si="163"/>
        <v/>
      </c>
      <c r="QU24" s="21" t="str">
        <f t="shared" si="164"/>
        <v/>
      </c>
      <c r="QV24" s="21" t="str">
        <f t="shared" si="165"/>
        <v/>
      </c>
      <c r="QW24" s="21" t="str">
        <f t="shared" si="166"/>
        <v/>
      </c>
      <c r="QX24" s="21" t="str">
        <f t="shared" si="167"/>
        <v/>
      </c>
      <c r="QY24" s="21" t="str">
        <f t="shared" si="168"/>
        <v/>
      </c>
      <c r="QZ24" s="21" t="str">
        <f t="shared" si="169"/>
        <v/>
      </c>
      <c r="RA24" s="21" t="str">
        <f t="shared" si="170"/>
        <v/>
      </c>
      <c r="RB24" s="21" t="str">
        <f t="shared" si="171"/>
        <v/>
      </c>
      <c r="RC24" s="21" t="str">
        <f t="shared" si="172"/>
        <v/>
      </c>
      <c r="RD24" s="21" t="str">
        <f t="shared" si="173"/>
        <v/>
      </c>
      <c r="RE24" s="21" t="str">
        <f t="shared" si="174"/>
        <v/>
      </c>
      <c r="RF24" s="21" t="str">
        <f t="shared" si="175"/>
        <v/>
      </c>
      <c r="RG24" s="21" t="str">
        <f t="shared" si="176"/>
        <v/>
      </c>
      <c r="RH24" s="21" t="str">
        <f t="shared" si="177"/>
        <v/>
      </c>
      <c r="RI24" s="21" t="str">
        <f t="shared" si="178"/>
        <v/>
      </c>
      <c r="RJ24" s="21" t="str">
        <f t="shared" si="179"/>
        <v/>
      </c>
      <c r="RK24" s="21" t="str">
        <f t="shared" si="180"/>
        <v/>
      </c>
      <c r="RL24" s="21" t="str">
        <f t="shared" si="181"/>
        <v/>
      </c>
      <c r="RM24" s="21" t="str">
        <f t="shared" si="182"/>
        <v/>
      </c>
      <c r="RN24" s="21" t="str">
        <f t="shared" si="183"/>
        <v/>
      </c>
      <c r="RO24" s="21" t="str">
        <f t="shared" si="184"/>
        <v/>
      </c>
      <c r="RP24" s="21" t="str">
        <f t="shared" si="185"/>
        <v/>
      </c>
      <c r="RQ24" s="21" t="str">
        <f t="shared" si="186"/>
        <v/>
      </c>
      <c r="RR24" s="21" t="str">
        <f t="shared" si="187"/>
        <v/>
      </c>
      <c r="RS24" s="21" t="str">
        <f t="shared" si="188"/>
        <v/>
      </c>
      <c r="RT24" s="21" t="str">
        <f t="shared" si="189"/>
        <v/>
      </c>
      <c r="RU24" s="21" t="str">
        <f t="shared" si="190"/>
        <v/>
      </c>
      <c r="RV24" s="21">
        <f t="shared" si="191"/>
        <v>21.142857142857142</v>
      </c>
      <c r="RW24" s="284">
        <f>IF(OR(Tabla1[[#This Row],[FUM FORMULA CONFIABLE]]="",Tabla1[[#This Row],[FUM FORMULA CONFIABLE]]="SD"),"",IF(Tabla1[[#This Row],[FUM FORMULA CONFIABLE]]="CORREGIDA",Tabla1[[#This Row],[FUM X ECO 1]],Tabla1[[#This Row],[FUM x AMENORREA]]))</f>
        <v>44694</v>
      </c>
      <c r="RX24" s="21">
        <f>IF(AND(Tabla1[[#This Row],[FUM X ECO 1]]="",Tabla1[[#This Row],[FUM x AMENORREA]]=""),"",IF(AND(Tabla1[[#This Row],[FUM X ECO 1]]="",Tabla1[[#This Row],[FUM x AMENORREA]]&lt;&gt;""),"X",SUM(Tabla1[[#This Row],[FUM X ECO 1]]-Tabla1[[#This Row],[FUM x AMENORREA]])))</f>
        <v>0</v>
      </c>
      <c r="RY24" s="21">
        <f t="shared" si="193"/>
        <v>0</v>
      </c>
    </row>
    <row r="25" spans="1:493" ht="45" customHeight="1" x14ac:dyDescent="0.25">
      <c r="A25" s="109" t="s">
        <v>994</v>
      </c>
      <c r="B25" s="43" t="s">
        <v>995</v>
      </c>
      <c r="C25" s="43" t="s">
        <v>845</v>
      </c>
      <c r="D25" s="124" t="s">
        <v>846</v>
      </c>
      <c r="E25" s="43" t="s">
        <v>996</v>
      </c>
      <c r="F25" s="43" t="s">
        <v>848</v>
      </c>
      <c r="G25" s="43" t="s">
        <v>997</v>
      </c>
      <c r="H25" s="43" t="s">
        <v>998</v>
      </c>
      <c r="I25" s="109" t="s">
        <v>851</v>
      </c>
      <c r="J25" s="110">
        <v>1002846560</v>
      </c>
      <c r="K25" s="43" t="s">
        <v>852</v>
      </c>
      <c r="L25" s="175" t="s">
        <v>853</v>
      </c>
      <c r="M25" s="22">
        <v>36188</v>
      </c>
      <c r="N25" s="213">
        <f t="shared" ca="1" si="0"/>
        <v>24.780821917808218</v>
      </c>
      <c r="O25" s="22">
        <v>44848</v>
      </c>
      <c r="P25" s="214" t="str">
        <f t="shared" si="1"/>
        <v>SI</v>
      </c>
      <c r="Q25" s="26" t="s">
        <v>855</v>
      </c>
      <c r="R25" s="22">
        <v>44848</v>
      </c>
      <c r="S25" s="21" t="s">
        <v>856</v>
      </c>
      <c r="T25" s="24" t="s">
        <v>690</v>
      </c>
      <c r="U25" s="21" t="s">
        <v>857</v>
      </c>
      <c r="V25" s="21" t="s">
        <v>858</v>
      </c>
      <c r="W25" s="21" t="s">
        <v>999</v>
      </c>
      <c r="X25" s="21" t="s">
        <v>920</v>
      </c>
      <c r="Y25" s="21" t="s">
        <v>859</v>
      </c>
      <c r="Z25" s="21">
        <v>3177765173</v>
      </c>
      <c r="AA25" s="21" t="s">
        <v>860</v>
      </c>
      <c r="AB25" s="27" t="s">
        <v>861</v>
      </c>
      <c r="AC25" s="26" t="s">
        <v>846</v>
      </c>
      <c r="AD25" s="38" t="s">
        <v>863</v>
      </c>
      <c r="AE25" s="26" t="s">
        <v>854</v>
      </c>
      <c r="AF25" s="26" t="s">
        <v>854</v>
      </c>
      <c r="AG25" s="23" t="s">
        <v>864</v>
      </c>
      <c r="AH25" s="23" t="s">
        <v>864</v>
      </c>
      <c r="AI25" s="24" t="s">
        <v>863</v>
      </c>
      <c r="AJ25" s="23" t="s">
        <v>864</v>
      </c>
      <c r="AK25" s="220" t="str">
        <f>IF(AND(AD25="",AE25="",AF25="",AG25="",AH25="",AI25="",AJ25=""),"",IF(OR(Tabla1[[#This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EVALUACIÓN",IF(AND(O25="",R25=""),"",IF(AND(OR(O25&gt;0,R25&gt;0),NG25&gt;=0,NG25&lt;2),"SIN RIESGO",IF(AND(OR(O25&gt;0,R25&gt;0),NG25&gt;=2),"CON RIESGO","ASD")))))</f>
        <v>SIN RIESGO</v>
      </c>
      <c r="AL25" s="23" t="s">
        <v>864</v>
      </c>
      <c r="AM25" s="26" t="s">
        <v>864</v>
      </c>
      <c r="AN25" s="26" t="s">
        <v>864</v>
      </c>
      <c r="AO25" s="26" t="s">
        <v>864</v>
      </c>
      <c r="AP25" s="26" t="s">
        <v>864</v>
      </c>
      <c r="AQ25" s="26" t="s">
        <v>864</v>
      </c>
      <c r="AR25" s="26" t="s">
        <v>864</v>
      </c>
      <c r="AS25" s="21">
        <v>1</v>
      </c>
      <c r="AT25" s="21">
        <v>0</v>
      </c>
      <c r="AU25" s="21">
        <v>0</v>
      </c>
      <c r="AV25" s="26" t="s">
        <v>864</v>
      </c>
      <c r="AW25" s="21">
        <v>0</v>
      </c>
      <c r="AX25" s="26" t="s">
        <v>864</v>
      </c>
      <c r="AY25" s="26" t="s">
        <v>864</v>
      </c>
      <c r="AZ25" s="26" t="s">
        <v>864</v>
      </c>
      <c r="BA25" s="26" t="s">
        <v>864</v>
      </c>
      <c r="BB25" s="26" t="s">
        <v>864</v>
      </c>
      <c r="BC25" s="26" t="s">
        <v>864</v>
      </c>
      <c r="BD25" s="26" t="s">
        <v>864</v>
      </c>
      <c r="BE25" s="26" t="s">
        <v>864</v>
      </c>
      <c r="BF25" s="26" t="s">
        <v>864</v>
      </c>
      <c r="BG25" s="26" t="s">
        <v>864</v>
      </c>
      <c r="BH25" s="26" t="s">
        <v>864</v>
      </c>
      <c r="BI25" s="26" t="s">
        <v>864</v>
      </c>
      <c r="BJ25" s="26"/>
      <c r="BK25" s="26"/>
      <c r="BL25" s="26" t="s">
        <v>864</v>
      </c>
      <c r="BM25" s="26" t="s">
        <v>864</v>
      </c>
      <c r="BN25" s="22"/>
      <c r="BO25" s="22">
        <v>44774</v>
      </c>
      <c r="BP25" s="21" t="s">
        <v>854</v>
      </c>
      <c r="BQ25" s="222">
        <f t="shared" si="2"/>
        <v>0</v>
      </c>
      <c r="BR25" s="223">
        <f t="shared" si="3"/>
        <v>44774.5</v>
      </c>
      <c r="BS25" s="224">
        <f t="shared" si="4"/>
        <v>10.571428571428571</v>
      </c>
      <c r="BT25" s="216" t="str">
        <f t="shared" si="5"/>
        <v>II TRIM</v>
      </c>
      <c r="BU25" s="214" t="str">
        <f t="shared" ca="1" si="6"/>
        <v/>
      </c>
      <c r="BV25" s="25"/>
      <c r="BW25" s="22">
        <v>44960</v>
      </c>
      <c r="BX25" s="28">
        <v>26.5</v>
      </c>
      <c r="BY25" s="28"/>
      <c r="BZ25" s="22"/>
      <c r="CA25" s="21"/>
      <c r="CB25" s="26" t="s">
        <v>864</v>
      </c>
      <c r="CC25" s="26" t="s">
        <v>864</v>
      </c>
      <c r="CD25" s="26" t="s">
        <v>878</v>
      </c>
      <c r="CE25" s="26" t="s">
        <v>864</v>
      </c>
      <c r="CF25" s="22" t="s">
        <v>1517</v>
      </c>
      <c r="CG25" s="21">
        <v>1.45</v>
      </c>
      <c r="CH25" s="21">
        <v>53</v>
      </c>
      <c r="CI25" s="214">
        <f t="shared" si="7"/>
        <v>25.208085612366229</v>
      </c>
      <c r="CJ25" s="225" t="e">
        <f>IF(AND(CI25&lt;10,CH25="SD"),"SIN DATO PESO PREGESTACION O I TRIM",IF(AND(OR(R25&gt;0,O25&gt;0),CI25="X"),"INGRESAR DATO DE PESO",IF(CI25="SD","INGRESAR DATO DE TALLA Y PESO",IF(AND(OR(Tabla1[[#This Row],[MOMENTO EN QUE SE REALIZA EL PESO AL INGRESO A CPN]]="PREGESTACIÓN",NZ25="Menor"),CI25&lt;18.5),"BAJO PESO",IF(AND(OR(Tabla1[[#This Row],[MOMENTO EN QUE SE REALIZA EL PESO AL INGRESO A CPN]]="PREGESTACIÓN",NZ25="Menor"),CI25&lt;25),"NORMAL",IF(AND(OR(Tabla1[[#This Row],[MOMENTO EN QUE SE REALIZA EL PESO AL INGRESO A CPN]]="PREGESTACIÓN",NZ25="Menor"),CI25&lt;30),"SOBREPESO",IF(AND(OR(Tabla1[[#This Row],[MOMENTO EN QUE SE REALIZA EL PESO AL INGRESO A CPN]]="PREGESTACIÓN",NZ25="Menor"),CI25&gt;=30,CI25&lt;50),"OBESIDAD",IF(AND(BS25&gt;0,Tabla1[[#This Row],[MOMENTO EN QUE SE REALIZA EL PESO AL INGRESO A CPN]]="GESTACIÓN"),HLOOKUP(NZ25,$OA$2:PH25,NY25),""))))))))</f>
        <v>#REF!</v>
      </c>
      <c r="CK25" s="212">
        <f t="shared" si="8"/>
        <v>44988</v>
      </c>
      <c r="CL25" s="21"/>
      <c r="CM25" s="214">
        <f t="shared" si="9"/>
        <v>0</v>
      </c>
      <c r="CN25" s="216">
        <f t="shared" si="10"/>
        <v>30</v>
      </c>
      <c r="CO25" s="216" t="e">
        <f>IF(PI25="","",IF(PI25&gt;0,HLOOKUP(PI25,$PJ$2:QQ25,NY25),""))</f>
        <v>#REF!</v>
      </c>
      <c r="CP25" s="21"/>
      <c r="CQ25" s="216" t="e">
        <f>IF(QR25="Menor","NO APLICA-MENOR 13 SEM",IF(AND(CC25="SI",CN25&gt;23),"NO APLICA- GEMELAR",IF(QR25="","",IF(QR25&gt;0,HLOOKUP(QR25,$QS$2:RU25,NY25),""))))</f>
        <v>#REF!</v>
      </c>
      <c r="CR25" s="21">
        <v>120</v>
      </c>
      <c r="CS25" s="21">
        <v>60</v>
      </c>
      <c r="CT25" s="217" t="str">
        <f>IF(R25="","",IF(AND(BS25&gt;1,BS25&lt;12,Tabla1[[#This Row],[T.A. SISTOLICA - ANTES DE SEMANA 12]]="",Tabla1[[#This Row],[T.A. DIASTOLICA - ANTES DE SEMANA 12]]=""),"REGISTRE DATO TA ANTES SEMANA 12",IF(AND(BS25&gt;11,BS25&lt;43,Tabla1[[#This Row],[T.A. SISTOLICA - ANTES DE SEMANA 12]]="",Tabla1[[#This Row],[T.A. DIASTOLICA - ANTES DE SEMANA 12]]=""),"NO APLICA REGISTRO TA-INGRESO TARDIO",IF(AND(OR(O25&gt;0,R25&gt;0),OR(CR25&gt;=140,CS25&gt;=90)),"DEFINIR ESTADIO HTA",IF(AND(OR(O25&gt;0,R25&gt;0),AND(CR25&gt;120,CR25&lt;=139)),"PRE HTA SEGUIMIENTO",IF(AND(OR(O25&gt;0,R25&gt;0),AND(CS25&gt;80,CS25&lt;=89)),"PRE HTA SEGUIMIENTO",IF(AND(OR(O25&gt;0,R25&gt;0),AND(CR25&gt;=80,CR25&lt;=120)),"APARENTEMENTE NORMAL",IF(AND(OR(O25&gt;0,R25&gt;0),AND(CS25&gt;=50,CS25&lt;=80)),"APARENTEMENTE NORMAL",IF(AND(OR(O25&gt;0,R25&gt;0),AND(CR25&gt;1,CR25&lt;=70),AND(CS25&gt;1,CS25&lt;=40)),"HIPOTENSIÓN","")))))))))</f>
        <v>APARENTEMENTE NORMAL</v>
      </c>
      <c r="CU25" s="21"/>
      <c r="CV25" s="21"/>
      <c r="CW25" s="217" t="str">
        <f ca="1">IF(R25="","",IF(AND(CN25&gt;19,CN25&lt;27,Tabla1[[#This Row],[T.A. SISTOLICA (Entre semana 20 y 26)]]="",Tabla1[[#This Row],[T.A. DIATOLICA (Entre semana 20 y 26)]]=""),"ACUDE A CONTROL SEM 20 A 26 REGISTRE TA AHORA",IF(AND(BS25&gt;1,BS25&lt;27,BU25&gt;19,Tabla1[[#This Row],[T.A. SISTOLICA (Entre semana 20 y 26)]]="",Tabla1[[#This Row],[T.A. DIATOLICA (Entre semana 20 y 26)]]=""),"COMPLETE REGISTRO TA CONTROL SEM 20 A26 ",IF(AND(BS25&gt;26,BS25&lt;43,Tabla1[[#This Row],[T.A. SISTOLICA (Entre semana 20 y 26)]]="",Tabla1[[#This Row],[T.A. DIATOLICA (Entre semana 20 y 26)]]=""),"NO APLICA REGISTRO TA-INGRESO TARDIO",IF(AND(OR(O25&gt;0,R25&gt;0),OR(CU25&gt;=140,CV25&gt;=90)),"ALTO RIESGO PREECLAMPSIA,DEFINIR ESTADIO HTA",IF(AND(OR(O25&gt;0,R25&gt;0),AND(CU25&gt;120,CU25&lt;=139)),"PRE HTA SEGUIMIENTO,RIESGO HIPERTENSION INDUCIDA POR EL EMBARAZO",IF(AND(OR(O25&gt;0,R25&gt;0),AND(CV25&gt;80,CV25&lt;=89)),"PRE HTA SEGUIMIENTO, RIESGO HIPERTENSION INDUCIDA POR EL EMBARAZO",IF(AND(OR(O25&lt;&gt;"",R25&lt;&gt;""),CS25&lt;&gt;"",CV25&lt;&gt;"",CS25&lt;=CV25),"VIGILAR CIFRAS PRESION ARTERIAL",IF(AND(OR(O25&gt;0,R25&gt;0),AND(CU25&gt;120,CU25&lt;=139)),"PRE HTA SEGUIMIENTO",IF(AND(OR(O25&gt;0,R25&gt;0),AND(CU25&gt;1,CU25&lt;=70),AND(CV25&gt;1,CV25&lt;=40)),"HIPOTENSIÓN",IF(AND(OR(O25&lt;&gt;"",R25&lt;&gt;""),CS25&lt;&gt;"",CV25&lt;&gt;"",CS25&gt;CV25),"APARENTEMENTE NORMAL",IF(AND(OR(O25&gt;0,R25&gt;0),AND(CU25&gt;=80,CU25&lt;=120)),"APARENTEMENTE NORMAL",IF(AND(OR(O25&gt;0,R25&gt;0),AND(CV25&gt;=50,CV25&lt;=80)),"APARENTEMENTE NORMAL","")))))))))))))</f>
        <v xml:space="preserve">COMPLETE REGISTRO TA CONTROL SEM 20 A26 </v>
      </c>
      <c r="CX25" s="21"/>
      <c r="CY25" s="21"/>
      <c r="CZ25" s="216" t="str">
        <f t="shared" si="11"/>
        <v/>
      </c>
      <c r="DA25" s="21"/>
      <c r="DB25" s="21"/>
      <c r="DC25" s="217" t="str">
        <f t="shared" si="12"/>
        <v>REGISTRE DATO PRESIÓN ARTERIAL MENSUAL</v>
      </c>
      <c r="DD25" s="22">
        <v>44848</v>
      </c>
      <c r="DE25" s="22">
        <v>44848</v>
      </c>
      <c r="DF25" s="22">
        <v>44960</v>
      </c>
      <c r="DG25" s="22">
        <v>44988</v>
      </c>
      <c r="DH25" s="22"/>
      <c r="DI25" s="22"/>
      <c r="DJ25" s="22"/>
      <c r="DK25" s="22"/>
      <c r="DL25" s="22"/>
      <c r="DM25" s="22"/>
      <c r="DN25" s="22"/>
      <c r="DO25" s="22"/>
      <c r="DP25" s="22"/>
      <c r="DQ25" s="22"/>
      <c r="DR25" s="28">
        <v>1</v>
      </c>
      <c r="DS25" s="22"/>
      <c r="DT25" s="22"/>
      <c r="DU25" s="216" t="str">
        <f t="shared" ca="1" si="13"/>
        <v>SALE SIN PLAN DE PARTO</v>
      </c>
      <c r="DV25" s="226" t="str">
        <f t="shared" si="14"/>
        <v>SALIO PROGRAMA</v>
      </c>
      <c r="DW2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5" s="216" t="str">
        <f t="shared" ca="1" si="15"/>
        <v/>
      </c>
      <c r="DY25" s="212">
        <f>IF(R25="","",IF(R25&gt;0,MAX(Tabla1[[#This Row],[FECHA C2]:[FECHA C13]],Tabla1[[#This Row],[FECHA CONSULTA PRIMERA VEZ PROGRAMA CPN ]])))</f>
        <v>44988</v>
      </c>
      <c r="DZ25" s="216">
        <f t="shared" si="16"/>
        <v>30</v>
      </c>
      <c r="EA25" s="222">
        <f>IF(R25&gt;0,SUM(COUNTA(DF25:DQ25)+COUNTA(Tabla1[[#This Row],[FECHA CONSULTA PRIMERA VEZ PROGRAMA CPN ]])),"")</f>
        <v>3</v>
      </c>
      <c r="EB25" s="222" t="str">
        <f t="shared" si="17"/>
        <v>NO</v>
      </c>
      <c r="EC25" s="214">
        <f t="shared" si="18"/>
        <v>9</v>
      </c>
      <c r="ED25" s="227">
        <f t="shared" si="19"/>
        <v>0.33333333333333331</v>
      </c>
      <c r="EE25" s="22">
        <v>44848</v>
      </c>
      <c r="EF25" s="22">
        <v>44987</v>
      </c>
      <c r="EG25" s="22">
        <v>44848</v>
      </c>
      <c r="EH25" s="22"/>
      <c r="EI25" s="22">
        <v>44848</v>
      </c>
      <c r="EJ25" s="22"/>
      <c r="EK25" s="22"/>
      <c r="EL25" s="21"/>
      <c r="EM25" s="21">
        <v>13.8</v>
      </c>
      <c r="EN25" s="22">
        <v>44967</v>
      </c>
      <c r="EO25" s="222">
        <f t="shared" si="20"/>
        <v>27.571428571428573</v>
      </c>
      <c r="EP25" s="214" t="str">
        <f t="shared" si="21"/>
        <v>NORMAL- SUMINISTRAR SULFATO FERROSO</v>
      </c>
      <c r="EQ25" s="216" t="str">
        <f t="shared" si="22"/>
        <v>II TRIM</v>
      </c>
      <c r="ER25" s="24"/>
      <c r="ES25" s="22"/>
      <c r="ET25" s="29" t="str">
        <f t="shared" ca="1" si="23"/>
        <v>SALE SIN TAMIZAJE HEMOGLOBINA SEM 28</v>
      </c>
      <c r="EU25" s="25" t="str">
        <f t="shared" si="24"/>
        <v/>
      </c>
      <c r="EV25" s="24" t="s">
        <v>866</v>
      </c>
      <c r="EW25" s="24">
        <v>44967</v>
      </c>
      <c r="EX25" s="22"/>
      <c r="EY25" s="29">
        <f t="shared" si="25"/>
        <v>27.571428571428573</v>
      </c>
      <c r="EZ25" s="25" t="str">
        <f t="shared" ca="1" si="26"/>
        <v/>
      </c>
      <c r="FA25" s="21">
        <v>77</v>
      </c>
      <c r="FB25" s="22">
        <v>44967</v>
      </c>
      <c r="FC25" s="29" t="str">
        <f t="shared" si="27"/>
        <v>NO APLICA &gt; 23 SEM -TOMAR PTOG</v>
      </c>
      <c r="FD25" s="29"/>
      <c r="FE25" s="29"/>
      <c r="FF25" s="29"/>
      <c r="FG25" s="21" t="str">
        <f t="shared" ca="1" si="28"/>
        <v/>
      </c>
      <c r="FH25" s="31"/>
      <c r="FI25" s="29" t="str">
        <f t="shared" si="29"/>
        <v>TOMAR EXAMEN</v>
      </c>
      <c r="FJ25" s="22"/>
      <c r="FK25" s="22"/>
      <c r="FL25" s="29" t="str">
        <f t="shared" ca="1" si="30"/>
        <v>PIERDE TOMA DE TAMIZAJE</v>
      </c>
      <c r="FM25" s="22"/>
      <c r="FN25" s="32"/>
      <c r="FO25" s="29" t="str">
        <f t="shared" ca="1" si="31"/>
        <v>PIERDE TOMA DE TAMIZAJE</v>
      </c>
      <c r="FP25" s="22" t="s">
        <v>867</v>
      </c>
      <c r="FQ25" s="32">
        <v>44967</v>
      </c>
      <c r="FR25" s="29">
        <f t="shared" ca="1" si="32"/>
        <v>27.571428571428573</v>
      </c>
      <c r="FS25" s="22"/>
      <c r="FT25" s="32"/>
      <c r="FU25" s="29" t="str">
        <f>IF(AND(FJ25="",FM25="",FP25="",FS25=""),"",IF(OR(OR(Tabla1[[#This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5" s="28"/>
      <c r="FW25" s="22"/>
      <c r="FX25" s="29" t="str">
        <f t="shared" si="33"/>
        <v>TOMAR EXAMEN</v>
      </c>
      <c r="FY25" s="22">
        <v>45201</v>
      </c>
      <c r="FZ25" s="22">
        <v>45201</v>
      </c>
      <c r="GA25" s="29">
        <f t="shared" ca="1" si="34"/>
        <v>61</v>
      </c>
      <c r="GB25" s="22"/>
      <c r="GC25" s="22"/>
      <c r="GD25" s="29" t="str">
        <f t="shared" ca="1" si="35"/>
        <v>PIERDE TOMA DE TAMIZAJE</v>
      </c>
      <c r="GE25" s="22"/>
      <c r="GF25" s="22"/>
      <c r="GG25" s="29" t="str">
        <f t="shared" ca="1" si="36"/>
        <v>PIERDE TOMA DE TAMIZAJE</v>
      </c>
      <c r="GH25" s="22"/>
      <c r="GI25" s="29"/>
      <c r="GJ25" s="22"/>
      <c r="GK25" s="22"/>
      <c r="GL25" s="22" t="s">
        <v>879</v>
      </c>
      <c r="GM25" s="22"/>
      <c r="GN25" s="28"/>
      <c r="GO25" s="22"/>
      <c r="GP25" s="29" t="str">
        <f t="shared" si="37"/>
        <v>TOMAR EXAMEN</v>
      </c>
      <c r="GQ25" s="28"/>
      <c r="GR25" s="28"/>
      <c r="GS25" s="22" t="str">
        <f t="shared" si="38"/>
        <v/>
      </c>
      <c r="GT25" s="22"/>
      <c r="GU25" s="29" t="str">
        <f t="shared" si="39"/>
        <v>TOMAR EXAMEN</v>
      </c>
      <c r="GV25" s="21" t="str">
        <f t="shared" si="40"/>
        <v>POR DEFINIR</v>
      </c>
      <c r="GW25" s="28"/>
      <c r="GX25" s="30"/>
      <c r="GY25" s="21"/>
      <c r="GZ25" s="21"/>
      <c r="HA25" s="21"/>
      <c r="HB25" s="21"/>
      <c r="HC25" s="21"/>
      <c r="HD25" s="21"/>
      <c r="HE25" s="21"/>
      <c r="HF25" s="22"/>
      <c r="HG25" s="22" t="str">
        <f>IF(OR(O25&gt;0,R25&gt;0),CONCATENATE(IF(Tabla1[[#This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5" s="22" t="e">
        <f t="shared" si="41"/>
        <v>#REF!</v>
      </c>
      <c r="HI25" s="22" t="e">
        <f t="shared" ca="1" si="42"/>
        <v>#REF!</v>
      </c>
      <c r="HJ25" s="21"/>
      <c r="HK25" s="21" t="str">
        <f t="shared" si="44"/>
        <v>SIN ANTECEDENTES DE RIESGO</v>
      </c>
      <c r="HL25" s="24" t="str">
        <f t="shared" si="45"/>
        <v>REGISTRE DATO PRESIÓN ARTERIAL MENSUAL</v>
      </c>
      <c r="HM25" s="21" t="str">
        <f t="shared" ca="1" si="46"/>
        <v/>
      </c>
      <c r="HN25" s="30" t="str">
        <f t="shared" si="47"/>
        <v>SALIO PROGRAMA</v>
      </c>
      <c r="HO25" s="21"/>
      <c r="HP25" s="21"/>
      <c r="HQ25" s="21">
        <v>44848</v>
      </c>
      <c r="HR25" s="21" t="str">
        <f>IF(R25="","",IF(Tabla1[[#This Row],[ALARMA FACTORES DE RIESGO COMPLICACIONES HIPERTENSIVAS3]]="SIN ANTECEDENTES DE RIESGO","No Aplica para suministro de ASA",IF(AND(Tabla1[[#This Row],[FECHA INICIO DE SUMINISTRO DE ASA]]&gt;0,RV25&lt;12),"Inicia ASA ANTES de Sem 12",IF(AND(RV25&gt;11,RV25&lt;17,OR(HK25="RIESGO ALTO DE COMPLICACIONES HIPERTENSIVAS VER MANEJO GUIA SUMINISTRO ASA Y CALCIO",HK25="RIESGO MODERADO (2 O MAS CRITERIOS) VER MANEJO GUIA SUMINISTRO ASA Y CALCIO")),"Inicio oportuno de ASA",IF(AND(RV25&gt;12,OR(HK25="RIESGO ALTO DE COMPLICACIONES HIPERTENSIVAS VER MANEJO GUIA SUMINISTRO ASA Y CALCIO",HK25="RIESGO MODERADO (2 O MAS CRITERIOS) VER MANEJO GUIA SUMINISTRO ASA Y CALCIO")),"Inicio no oportuno mayor a 16 semanas",IF(AND(BU25&lt;12,OR(HK25="RIESGO ALTO DE COMPLICACIONES HIPERTENSIVAS VER MANEJO GUIA SUMINISTRO ASA Y CALCIO",HK25="RIESGO MODERADO (2 O MAS CRITERIOS) VER MANEJO GUIA SUMINISTRO ASA Y CALCIO")),"Pendiente Inicio de ASA a la semana 12",IF(AND(BU25&gt;11,BU25&lt;17,OR(HK25="RIESGO ALTO DE COMPLICACIONES HIPERTENSIVAS VER MANEJO GUIA SUMINISTRO ASA Y CALCIO",HK25="RIESGO MODERADO (2 O MAS CRITERIOS) VER MANEJO GUIA SUMINISTRO ASA Y CALCIO")),"Iniciar de inmediato ASA",IF(AND(BU25&gt;16,OR(HK25="RIESGO ALTO DE COMPLICACIONES HIPERTENSIVAS VER MANEJO GUIA SUMINISTRO ASA Y CALCIO",HK25="RIESGO MODERADO (2 O MAS CRITERIOS) VER MANEJO GUIA SUMINISTRO ASA Y CALCIO")),"Pierde Oportunidad, Inicio tardío de ASA","XXXXX"))))))))</f>
        <v>No Aplica para suministro de ASA</v>
      </c>
      <c r="HS25" s="22">
        <v>44848</v>
      </c>
      <c r="HT25" s="22" t="s">
        <v>870</v>
      </c>
      <c r="HU25" s="22">
        <v>44848</v>
      </c>
      <c r="HV25" s="22" t="s">
        <v>870</v>
      </c>
      <c r="HW25" s="22">
        <v>44848</v>
      </c>
      <c r="HX25" s="22" t="s">
        <v>870</v>
      </c>
      <c r="HY25" s="22"/>
      <c r="HZ25" s="28" t="str">
        <f t="shared" si="48"/>
        <v>PENDIENTE CONSULTA</v>
      </c>
      <c r="IA25" s="26"/>
      <c r="IB25" s="26"/>
      <c r="IC25" s="111"/>
      <c r="ID25" s="22"/>
      <c r="IE25" s="22" t="str">
        <f t="shared" ca="1" si="49"/>
        <v>SALE SIN VACUNA</v>
      </c>
      <c r="IF25" s="22"/>
      <c r="IG25" s="22">
        <f t="shared" si="50"/>
        <v>45054</v>
      </c>
      <c r="IH25" s="29">
        <f t="shared" ca="1" si="51"/>
        <v>-179</v>
      </c>
      <c r="II25" s="22" t="str">
        <f t="shared" ca="1" si="52"/>
        <v>POSIBLEMENTE NACIO</v>
      </c>
      <c r="IJ25" s="22"/>
      <c r="IK25" s="21" t="s">
        <v>898</v>
      </c>
      <c r="IL25" s="21"/>
      <c r="IM25" s="34"/>
      <c r="IN25" s="349">
        <v>45042</v>
      </c>
      <c r="IO25" s="21" t="s">
        <v>1640</v>
      </c>
      <c r="IP25" s="29">
        <f t="shared" si="53"/>
        <v>38.285714285714285</v>
      </c>
      <c r="IQ25" s="35"/>
      <c r="IR25" s="21" t="s">
        <v>879</v>
      </c>
      <c r="IS25" s="21" t="s">
        <v>1641</v>
      </c>
      <c r="IT25" s="21" t="s">
        <v>1642</v>
      </c>
      <c r="IU25" s="21"/>
      <c r="IV25" s="21"/>
      <c r="IW25" s="21"/>
      <c r="IX25" s="21"/>
      <c r="IY25" s="21"/>
      <c r="IZ25" s="21"/>
      <c r="JA25" s="21"/>
      <c r="JB25" s="30">
        <v>1</v>
      </c>
      <c r="JC25" s="21" t="s">
        <v>1643</v>
      </c>
      <c r="JD25" s="36">
        <v>3600</v>
      </c>
      <c r="JE25" s="21" t="str">
        <f t="shared" si="54"/>
        <v>PESO ADECUADO EDAD GESTACIONAL</v>
      </c>
      <c r="JF25" s="30"/>
      <c r="JG25" s="21"/>
      <c r="JH25" s="21"/>
      <c r="JI25" s="21"/>
      <c r="JJ25" s="30"/>
      <c r="JK25" s="22"/>
      <c r="JL25" s="22"/>
      <c r="JM25" s="21"/>
      <c r="JN25" s="36"/>
      <c r="JO25" s="21" t="str">
        <f t="shared" si="55"/>
        <v/>
      </c>
      <c r="JP25" s="22"/>
      <c r="JQ25" s="21"/>
      <c r="JR25" s="21"/>
      <c r="JS25" s="21"/>
      <c r="JT25" s="30"/>
      <c r="JU25" s="22"/>
      <c r="JV25" s="22"/>
      <c r="JW25" s="33"/>
      <c r="JX25" s="28" t="str">
        <f t="shared" si="56"/>
        <v>INASISTENTE</v>
      </c>
      <c r="JY25" s="33"/>
      <c r="JZ25" s="28" t="str">
        <f t="shared" si="57"/>
        <v>INASISTENTE</v>
      </c>
      <c r="KA25" s="21"/>
      <c r="KB25" s="21"/>
      <c r="KC25" s="21"/>
      <c r="KD25" s="37"/>
      <c r="KE25" s="28"/>
      <c r="KF25" s="28"/>
      <c r="KG25" s="28"/>
      <c r="KH25" s="39"/>
      <c r="KI25" s="39"/>
      <c r="KJ25" s="66"/>
      <c r="KK25" s="39"/>
      <c r="KL25" s="39"/>
      <c r="KM25" s="66"/>
      <c r="KN25" s="39"/>
      <c r="KO25" s="39"/>
      <c r="KP25" s="39"/>
      <c r="KQ25" s="39"/>
      <c r="KR25" s="39"/>
      <c r="KS25" s="39"/>
      <c r="KT25" s="39"/>
      <c r="KU25" s="38"/>
      <c r="KV25" s="38"/>
      <c r="KW25" s="38"/>
      <c r="KX25" s="38"/>
      <c r="KY25" s="38"/>
      <c r="KZ25" s="38"/>
      <c r="LA25" s="38"/>
      <c r="LB25" s="38"/>
      <c r="LC25" s="38"/>
      <c r="LD25" s="38"/>
      <c r="LE25" s="38"/>
      <c r="LF25" s="38"/>
      <c r="LG25" s="38"/>
      <c r="LH25" s="38"/>
      <c r="LI25" s="38"/>
      <c r="LJ25" s="38"/>
      <c r="LK25" s="38"/>
      <c r="LL25" s="38"/>
      <c r="LM25" s="38"/>
      <c r="LN25" s="38"/>
      <c r="LO25" s="38"/>
      <c r="LP25" s="38"/>
      <c r="LQ25" s="38"/>
      <c r="LR25" s="38"/>
      <c r="LS25" s="38"/>
      <c r="LT25" s="38"/>
      <c r="LU25" s="38"/>
      <c r="LV25" s="38"/>
      <c r="LW25" s="38"/>
      <c r="LX25" s="38"/>
      <c r="LY25" s="38"/>
      <c r="LZ25" s="38"/>
      <c r="MA25" s="38"/>
      <c r="MB25" s="38"/>
      <c r="MC25" s="38"/>
      <c r="MD25" s="38"/>
      <c r="ME25" s="38"/>
      <c r="MF25" s="38"/>
      <c r="MG25" s="38"/>
      <c r="MH25" s="43">
        <f t="shared" si="58"/>
        <v>0</v>
      </c>
      <c r="MI25" s="43" t="str">
        <f t="shared" si="59"/>
        <v/>
      </c>
      <c r="MJ25" s="43" t="str">
        <f t="shared" si="60"/>
        <v/>
      </c>
      <c r="MK25" s="43">
        <f t="shared" si="61"/>
        <v>0</v>
      </c>
      <c r="ML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5" s="43">
        <f t="shared" si="62"/>
        <v>10.571428571428571</v>
      </c>
      <c r="MN25" s="43">
        <f t="shared" si="63"/>
        <v>10</v>
      </c>
      <c r="MO25" s="43">
        <f t="shared" si="64"/>
        <v>2022</v>
      </c>
      <c r="MP25" s="43" t="str">
        <f t="shared" si="65"/>
        <v>IV TRIMESTRE AÑO</v>
      </c>
      <c r="MQ25" s="43">
        <f t="shared" si="66"/>
        <v>23.368374945247481</v>
      </c>
      <c r="MR25" s="43">
        <f t="shared" si="67"/>
        <v>0</v>
      </c>
      <c r="MS25" s="43" t="str">
        <f t="shared" si="68"/>
        <v xml:space="preserve"> DE 20 A 24 AÑOS</v>
      </c>
      <c r="MT25" s="43">
        <f t="shared" si="69"/>
        <v>0</v>
      </c>
      <c r="MU25" s="43">
        <f t="shared" si="70"/>
        <v>1</v>
      </c>
      <c r="MV25" s="43">
        <f t="shared" si="71"/>
        <v>0</v>
      </c>
      <c r="MW25" s="43">
        <f t="shared" si="72"/>
        <v>0</v>
      </c>
      <c r="MX25" s="43" t="str">
        <f t="shared" si="73"/>
        <v/>
      </c>
      <c r="MY25" s="43" t="str">
        <f t="shared" ca="1" si="74"/>
        <v/>
      </c>
      <c r="MZ25" s="43" t="str">
        <f t="shared" si="75"/>
        <v/>
      </c>
      <c r="NA25" s="43">
        <f t="shared" si="76"/>
        <v>0</v>
      </c>
      <c r="NB25" s="43" t="str">
        <f t="shared" si="77"/>
        <v/>
      </c>
      <c r="NC25" s="43" t="str">
        <f t="shared" si="78"/>
        <v/>
      </c>
      <c r="ND25" s="43">
        <f t="shared" ca="1" si="79"/>
        <v>1</v>
      </c>
      <c r="NE25" s="43">
        <f>IF(OR(O25&gt;0,R25&gt;0),SUM(COUNTIF(Tabla1[[#This Row],[AÑOS AL INICIO5 CPN]],"&gt;=40"),COUNTIF(AS25,"0"),COUNTIF(AR25,"SI"),COUNTIF(CC25,"SI"),COUNTIF(BQ25,"&gt;119"),COUNTIF(CI25,"&gt;=35")),"")</f>
        <v>0</v>
      </c>
      <c r="NF25" s="43" t="str">
        <f t="shared" si="80"/>
        <v/>
      </c>
      <c r="NG25" s="43">
        <f t="shared" si="81"/>
        <v>0</v>
      </c>
      <c r="NH25" s="43">
        <f t="shared" si="82"/>
        <v>185.5</v>
      </c>
      <c r="NI2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CPN",P25="NO"),"Z",IF(AND(Tabla1[[#This Row],[CITA PROXIMO CONTROL]]="CITA MANUAL",Tabla1[[#This Row],[GESTANTES ACTUALES]]="ACTIVA INGRESO A CPN"),"W",IF(AND(Tabla1[[#This Row],[GESTANTES ACTUALES]]="SALIO PROGRAMA",IN25=""),"S",IF(AND(Tabla1[[#This Row],[CITA PROXIMO CONTROL]]&gt;0,IN25=""),(Tabla1[[#This Row],[CITA PROXIMO CONTROL]]-TODAY()),"SD"))))))))</f>
        <v>SD</v>
      </c>
      <c r="NJ25" s="43">
        <f>MONTH(Tabla1[[#This Row],[FECHA DE SALIDA  DEL PROGRAMA]])</f>
        <v>4</v>
      </c>
      <c r="NK25" s="43">
        <f>YEAR(Tabla1[[#This Row],[FECHA DE SALIDA  DEL PROGRAMA]])</f>
        <v>2023</v>
      </c>
      <c r="NL25" s="43" t="str">
        <f t="shared" si="83"/>
        <v>X</v>
      </c>
      <c r="NM25" s="43" t="str">
        <f t="shared" si="84"/>
        <v>NO</v>
      </c>
      <c r="NN25" s="43" t="str">
        <f ca="1">IF(AND(O25&gt;0,R25=""),"NO CPN",IF(AND(O25="",R25=""),"",IF(AND(R25&gt;0,Tabla1[[#This Row],[SEMANAS DE GESTACION ACTUALIZADAS]]&lt;=12),"NO APLICA",IF(AND(FH25&lt;&gt;"",FN25&lt;&gt;""),"SI","NO"))))</f>
        <v>NO</v>
      </c>
      <c r="NO25" s="43" t="str">
        <f ca="1">IF(AND(O25&gt;0,R25=""),"NO CPN",IF(AND(O25="",R25=""),"",IF(AND(R25&gt;0,Tabla1[[#This Row],[SEMANAS DE GESTACION ACTUALIZADAS]]&lt;=27),"NO APLICA",IF(AND(ES25&lt;&gt;"",FQ25&lt;&gt;"",GF25&lt;&gt;""),"SI","NO"))))</f>
        <v>NO</v>
      </c>
      <c r="NP25" s="204" t="str">
        <f t="shared" si="85"/>
        <v>I TRIM</v>
      </c>
      <c r="NQ25" s="21" t="str">
        <f t="shared" si="86"/>
        <v/>
      </c>
      <c r="NR25" s="21">
        <f t="shared" si="87"/>
        <v>3</v>
      </c>
      <c r="NS25" s="205">
        <f t="shared" ca="1" si="88"/>
        <v>1</v>
      </c>
      <c r="NT25" s="21">
        <f t="shared" ca="1" si="89"/>
        <v>1</v>
      </c>
      <c r="NU25" s="21" t="str">
        <f t="shared" ca="1" si="90"/>
        <v>INCOMPLETO</v>
      </c>
      <c r="NV25" s="21" t="str">
        <f t="shared" ca="1" si="91"/>
        <v>INCOMPLETO</v>
      </c>
      <c r="NW25" s="206" t="str">
        <f>IF(AND(O25="",R25=""),"",IF(OR(AND(Tabla1[[#This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5" s="207" t="str">
        <f t="shared" ca="1" si="92"/>
        <v>SIN VACUNAR</v>
      </c>
      <c r="NY25" s="43">
        <f>ROW(Tabla1[[#This Row],['# DE TAMIZAJES SIFILIS TOMADOS ]])</f>
        <v>25</v>
      </c>
      <c r="NZ25" s="43">
        <f t="shared" si="93"/>
        <v>10</v>
      </c>
      <c r="OA25" s="43" t="str">
        <f t="shared" si="94"/>
        <v/>
      </c>
      <c r="OB25" s="43" t="str">
        <f t="shared" si="95"/>
        <v>NORMAL</v>
      </c>
      <c r="OC25" s="43" t="str">
        <f t="shared" si="96"/>
        <v/>
      </c>
      <c r="OD25" s="43" t="str">
        <f t="shared" si="97"/>
        <v/>
      </c>
      <c r="OE25" s="43" t="str">
        <f t="shared" si="98"/>
        <v/>
      </c>
      <c r="OF25" s="43" t="str">
        <f t="shared" si="99"/>
        <v/>
      </c>
      <c r="OG25" s="43" t="str">
        <f t="shared" si="100"/>
        <v/>
      </c>
      <c r="OH25" s="43" t="str">
        <f t="shared" si="101"/>
        <v/>
      </c>
      <c r="OI25" s="43" t="str">
        <f t="shared" si="102"/>
        <v/>
      </c>
      <c r="OJ25" s="43" t="str">
        <f t="shared" si="103"/>
        <v/>
      </c>
      <c r="OK25" s="43" t="str">
        <f t="shared" si="104"/>
        <v/>
      </c>
      <c r="OL25" s="43" t="str">
        <f t="shared" si="105"/>
        <v/>
      </c>
      <c r="OM25" s="43" t="str">
        <f t="shared" si="106"/>
        <v/>
      </c>
      <c r="ON25" s="43" t="str">
        <f t="shared" si="107"/>
        <v/>
      </c>
      <c r="OO25" s="43" t="str">
        <f t="shared" si="108"/>
        <v/>
      </c>
      <c r="OP25" s="43" t="str">
        <f t="shared" si="109"/>
        <v/>
      </c>
      <c r="OQ25" s="43" t="str">
        <f t="shared" si="110"/>
        <v/>
      </c>
      <c r="OR25" s="43" t="str">
        <f t="shared" si="111"/>
        <v/>
      </c>
      <c r="OS25" s="43" t="str">
        <f t="shared" si="112"/>
        <v/>
      </c>
      <c r="OT25" s="43" t="str">
        <f t="shared" si="113"/>
        <v/>
      </c>
      <c r="OU25" s="43" t="str">
        <f t="shared" si="114"/>
        <v/>
      </c>
      <c r="OV25" s="110" t="str">
        <f t="shared" si="115"/>
        <v/>
      </c>
      <c r="OW25" s="43" t="str">
        <f t="shared" si="116"/>
        <v/>
      </c>
      <c r="OX25" s="43" t="str">
        <f t="shared" si="117"/>
        <v/>
      </c>
      <c r="OY25" s="43" t="str">
        <f t="shared" si="118"/>
        <v/>
      </c>
      <c r="OZ25" s="43" t="str">
        <f t="shared" si="119"/>
        <v/>
      </c>
      <c r="PA25" s="43" t="str">
        <f t="shared" si="120"/>
        <v/>
      </c>
      <c r="PB25" s="43" t="str">
        <f t="shared" si="121"/>
        <v/>
      </c>
      <c r="PC25" s="43" t="str">
        <f t="shared" si="122"/>
        <v/>
      </c>
      <c r="PD25" s="43" t="str">
        <f t="shared" si="123"/>
        <v/>
      </c>
      <c r="PE25" s="43" t="str">
        <f t="shared" si="124"/>
        <v/>
      </c>
      <c r="PF25" s="43" t="str">
        <f t="shared" si="125"/>
        <v/>
      </c>
      <c r="PG25" s="43" t="str">
        <f t="shared" si="126"/>
        <v/>
      </c>
      <c r="PH25" s="43" t="str">
        <f t="shared" si="127"/>
        <v/>
      </c>
      <c r="PI25" s="43">
        <f t="shared" si="128"/>
        <v>30</v>
      </c>
      <c r="PJ25" s="43" t="str">
        <f t="shared" si="129"/>
        <v/>
      </c>
      <c r="PK25" s="43" t="str">
        <f t="shared" si="130"/>
        <v/>
      </c>
      <c r="PL25" s="43" t="str">
        <f t="shared" si="131"/>
        <v/>
      </c>
      <c r="PM25" s="43" t="str">
        <f t="shared" si="132"/>
        <v/>
      </c>
      <c r="PN25" s="43" t="str">
        <f t="shared" si="133"/>
        <v/>
      </c>
      <c r="PO25" s="43" t="str">
        <f t="shared" si="134"/>
        <v/>
      </c>
      <c r="PP25" s="43" t="str">
        <f t="shared" si="135"/>
        <v/>
      </c>
      <c r="PQ25" s="43" t="str">
        <f t="shared" si="136"/>
        <v/>
      </c>
      <c r="PR25" s="43" t="str">
        <f t="shared" si="137"/>
        <v/>
      </c>
      <c r="PS25" s="43" t="str">
        <f t="shared" si="138"/>
        <v/>
      </c>
      <c r="PT25" s="43" t="str">
        <f t="shared" si="139"/>
        <v/>
      </c>
      <c r="PU25" s="43" t="str">
        <f t="shared" si="140"/>
        <v/>
      </c>
      <c r="PV25" s="43" t="str">
        <f t="shared" si="141"/>
        <v/>
      </c>
      <c r="PW25" s="43" t="str">
        <f t="shared" si="142"/>
        <v/>
      </c>
      <c r="PX25" s="43" t="str">
        <f t="shared" si="143"/>
        <v/>
      </c>
      <c r="PY25" s="43" t="str">
        <f t="shared" si="144"/>
        <v/>
      </c>
      <c r="PZ25" s="43" t="str">
        <f t="shared" si="145"/>
        <v/>
      </c>
      <c r="QA25" s="43" t="str">
        <f t="shared" si="146"/>
        <v/>
      </c>
      <c r="QB25" s="43" t="str">
        <f t="shared" si="147"/>
        <v/>
      </c>
      <c r="QC25" s="43" t="str">
        <f t="shared" si="148"/>
        <v/>
      </c>
      <c r="QD25" s="43" t="str">
        <f t="shared" si="149"/>
        <v/>
      </c>
      <c r="QE25" s="43" t="str">
        <f t="shared" si="150"/>
        <v/>
      </c>
      <c r="QF25" s="43" t="str">
        <f t="shared" si="151"/>
        <v/>
      </c>
      <c r="QG25" s="43" t="str">
        <f t="shared" si="152"/>
        <v/>
      </c>
      <c r="QH25" s="43" t="str">
        <f t="shared" si="153"/>
        <v/>
      </c>
      <c r="QI25" s="43" t="str">
        <f t="shared" si="154"/>
        <v/>
      </c>
      <c r="QJ25" s="43" t="str">
        <f t="shared" si="155"/>
        <v/>
      </c>
      <c r="QK25" s="43" t="str">
        <f t="shared" si="156"/>
        <v/>
      </c>
      <c r="QL25" s="43" t="str">
        <f t="shared" si="157"/>
        <v/>
      </c>
      <c r="QM25" s="43" t="str">
        <f t="shared" si="158"/>
        <v/>
      </c>
      <c r="QN25" s="43" t="str">
        <f t="shared" si="159"/>
        <v/>
      </c>
      <c r="QO25" s="43" t="str">
        <f t="shared" si="160"/>
        <v/>
      </c>
      <c r="QP25" s="43" t="str">
        <f t="shared" si="161"/>
        <v/>
      </c>
      <c r="QQ25" s="43" t="str">
        <f t="shared" si="162"/>
        <v/>
      </c>
      <c r="QR25" s="43">
        <f t="shared" si="192"/>
        <v>30</v>
      </c>
      <c r="QS25" s="43"/>
      <c r="QT25" s="21" t="str">
        <f t="shared" si="163"/>
        <v/>
      </c>
      <c r="QU25" s="21" t="str">
        <f t="shared" si="164"/>
        <v/>
      </c>
      <c r="QV25" s="21" t="str">
        <f t="shared" si="165"/>
        <v/>
      </c>
      <c r="QW25" s="21" t="str">
        <f t="shared" si="166"/>
        <v/>
      </c>
      <c r="QX25" s="21" t="str">
        <f t="shared" si="167"/>
        <v/>
      </c>
      <c r="QY25" s="21" t="str">
        <f t="shared" si="168"/>
        <v/>
      </c>
      <c r="QZ25" s="21" t="str">
        <f t="shared" si="169"/>
        <v/>
      </c>
      <c r="RA25" s="21" t="str">
        <f t="shared" si="170"/>
        <v/>
      </c>
      <c r="RB25" s="21" t="str">
        <f t="shared" si="171"/>
        <v/>
      </c>
      <c r="RC25" s="21" t="str">
        <f t="shared" si="172"/>
        <v/>
      </c>
      <c r="RD25" s="21" t="str">
        <f t="shared" si="173"/>
        <v/>
      </c>
      <c r="RE25" s="21" t="str">
        <f t="shared" si="174"/>
        <v/>
      </c>
      <c r="RF25" s="21" t="str">
        <f t="shared" si="175"/>
        <v/>
      </c>
      <c r="RG25" s="21" t="str">
        <f t="shared" si="176"/>
        <v/>
      </c>
      <c r="RH25" s="21" t="str">
        <f t="shared" si="177"/>
        <v/>
      </c>
      <c r="RI25" s="21" t="str">
        <f t="shared" si="178"/>
        <v/>
      </c>
      <c r="RJ25" s="21" t="str">
        <f t="shared" si="179"/>
        <v/>
      </c>
      <c r="RK25" s="21" t="str">
        <f t="shared" si="180"/>
        <v/>
      </c>
      <c r="RL25" s="21" t="str">
        <f t="shared" si="181"/>
        <v/>
      </c>
      <c r="RM25" s="21" t="str">
        <f t="shared" si="182"/>
        <v/>
      </c>
      <c r="RN25" s="21" t="str">
        <f t="shared" si="183"/>
        <v/>
      </c>
      <c r="RO25" s="21" t="str">
        <f t="shared" si="184"/>
        <v/>
      </c>
      <c r="RP25" s="21" t="str">
        <f t="shared" si="185"/>
        <v/>
      </c>
      <c r="RQ25" s="21" t="str">
        <f t="shared" si="186"/>
        <v/>
      </c>
      <c r="RR25" s="21" t="str">
        <f t="shared" si="187"/>
        <v/>
      </c>
      <c r="RS25" s="21" t="str">
        <f t="shared" si="188"/>
        <v/>
      </c>
      <c r="RT25" s="21" t="str">
        <f t="shared" si="189"/>
        <v/>
      </c>
      <c r="RU25" s="21" t="str">
        <f t="shared" si="190"/>
        <v/>
      </c>
      <c r="RV25" s="21">
        <f t="shared" si="191"/>
        <v>10.571428571428571</v>
      </c>
      <c r="RW25" s="284">
        <f>IF(OR(Tabla1[[#This Row],[FUM FORMULA CONFIABLE]]="",Tabla1[[#This Row],[FUM FORMULA CONFIABLE]]="SD"),"",IF(Tabla1[[#This Row],[FUM FORMULA CONFIABLE]]="CORREGIDA",Tabla1[[#This Row],[FUM X ECO 1]],Tabla1[[#This Row],[FUM x AMENORREA]]))</f>
        <v>44774</v>
      </c>
      <c r="RX25" s="21">
        <f>IF(AND(Tabla1[[#This Row],[FUM X ECO 1]]="",Tabla1[[#This Row],[FUM x AMENORREA]]=""),"",IF(AND(Tabla1[[#This Row],[FUM X ECO 1]]="",Tabla1[[#This Row],[FUM x AMENORREA]]&lt;&gt;""),"X",SUM(Tabla1[[#This Row],[FUM X ECO 1]]-Tabla1[[#This Row],[FUM x AMENORREA]])))</f>
        <v>0.5</v>
      </c>
      <c r="RY25" s="21">
        <f t="shared" si="193"/>
        <v>0</v>
      </c>
    </row>
    <row r="26" spans="1:493" ht="45" customHeight="1" x14ac:dyDescent="0.25">
      <c r="A26" s="109" t="s">
        <v>1000</v>
      </c>
      <c r="B26" s="43"/>
      <c r="C26" s="43" t="s">
        <v>845</v>
      </c>
      <c r="D26" s="124" t="s">
        <v>846</v>
      </c>
      <c r="E26" s="43" t="s">
        <v>857</v>
      </c>
      <c r="F26" s="43" t="s">
        <v>1001</v>
      </c>
      <c r="G26" s="43" t="s">
        <v>1002</v>
      </c>
      <c r="H26" s="43"/>
      <c r="I26" s="109" t="s">
        <v>851</v>
      </c>
      <c r="J26" s="110">
        <v>1061784538</v>
      </c>
      <c r="K26" s="43" t="s">
        <v>852</v>
      </c>
      <c r="L26" s="175" t="s">
        <v>853</v>
      </c>
      <c r="M26" s="22">
        <v>34829</v>
      </c>
      <c r="N26" s="213">
        <f t="shared" ca="1" si="0"/>
        <v>28.504109589041096</v>
      </c>
      <c r="O26" s="22">
        <v>44846</v>
      </c>
      <c r="P26" s="214" t="str">
        <f t="shared" si="1"/>
        <v>SI</v>
      </c>
      <c r="Q26" s="26" t="s">
        <v>855</v>
      </c>
      <c r="R26" s="22">
        <v>44846</v>
      </c>
      <c r="S26" s="21" t="s">
        <v>856</v>
      </c>
      <c r="T26" s="24" t="s">
        <v>690</v>
      </c>
      <c r="U26" s="21" t="s">
        <v>857</v>
      </c>
      <c r="V26" s="21" t="s">
        <v>858</v>
      </c>
      <c r="W26" s="21" t="s">
        <v>1003</v>
      </c>
      <c r="X26" s="21" t="s">
        <v>1004</v>
      </c>
      <c r="Y26" s="21" t="s">
        <v>859</v>
      </c>
      <c r="Z26" s="21">
        <v>3152139289</v>
      </c>
      <c r="AA26" s="21" t="s">
        <v>860</v>
      </c>
      <c r="AB26" s="27" t="s">
        <v>861</v>
      </c>
      <c r="AC26" s="26" t="s">
        <v>897</v>
      </c>
      <c r="AD26" s="38" t="s">
        <v>863</v>
      </c>
      <c r="AE26" s="26" t="s">
        <v>854</v>
      </c>
      <c r="AF26" s="26" t="s">
        <v>854</v>
      </c>
      <c r="AG26" s="23" t="s">
        <v>864</v>
      </c>
      <c r="AH26" s="23" t="s">
        <v>864</v>
      </c>
      <c r="AI26" s="24" t="s">
        <v>863</v>
      </c>
      <c r="AJ26" s="23" t="s">
        <v>864</v>
      </c>
      <c r="AK26" s="220" t="str">
        <f>IF(AND(AD26="",AE26="",AF26="",AG26="",AH26="",AI26="",AJ26=""),"",IF(OR(Tabla1[[#This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EVALUACIÓN",IF(AND(O26="",R26=""),"",IF(AND(OR(O26&gt;0,R26&gt;0),NG26&gt;=0,NG26&lt;2),"SIN RIESGO",IF(AND(OR(O26&gt;0,R26&gt;0),NG26&gt;=2),"CON RIESGO","ASD")))))</f>
        <v>SIN RIESGO</v>
      </c>
      <c r="AL26" s="23" t="s">
        <v>864</v>
      </c>
      <c r="AM26" s="26" t="s">
        <v>864</v>
      </c>
      <c r="AN26" s="26" t="s">
        <v>864</v>
      </c>
      <c r="AO26" s="26" t="s">
        <v>864</v>
      </c>
      <c r="AP26" s="26" t="s">
        <v>864</v>
      </c>
      <c r="AQ26" s="26" t="s">
        <v>864</v>
      </c>
      <c r="AR26" s="26" t="s">
        <v>864</v>
      </c>
      <c r="AS26" s="21">
        <v>2</v>
      </c>
      <c r="AT26" s="21">
        <v>1</v>
      </c>
      <c r="AU26" s="21">
        <v>0</v>
      </c>
      <c r="AV26" s="26" t="s">
        <v>864</v>
      </c>
      <c r="AW26" s="21">
        <v>0</v>
      </c>
      <c r="AX26" s="26" t="s">
        <v>864</v>
      </c>
      <c r="AY26" s="26" t="s">
        <v>864</v>
      </c>
      <c r="AZ26" s="26" t="s">
        <v>864</v>
      </c>
      <c r="BA26" s="26" t="s">
        <v>864</v>
      </c>
      <c r="BB26" s="26" t="s">
        <v>864</v>
      </c>
      <c r="BC26" s="26" t="s">
        <v>864</v>
      </c>
      <c r="BD26" s="26" t="s">
        <v>864</v>
      </c>
      <c r="BE26" s="26" t="s">
        <v>864</v>
      </c>
      <c r="BF26" s="26" t="s">
        <v>864</v>
      </c>
      <c r="BG26" s="26" t="s">
        <v>864</v>
      </c>
      <c r="BH26" s="26" t="s">
        <v>864</v>
      </c>
      <c r="BI26" s="26" t="s">
        <v>864</v>
      </c>
      <c r="BJ26" s="26"/>
      <c r="BK26" s="26"/>
      <c r="BL26" s="26" t="s">
        <v>864</v>
      </c>
      <c r="BM26" s="26" t="s">
        <v>864</v>
      </c>
      <c r="BN26" s="22"/>
      <c r="BO26" s="22">
        <v>44793</v>
      </c>
      <c r="BP26" s="21" t="s">
        <v>854</v>
      </c>
      <c r="BQ26" s="222">
        <f t="shared" si="2"/>
        <v>0</v>
      </c>
      <c r="BR26" s="223">
        <f t="shared" si="3"/>
        <v>44793.2</v>
      </c>
      <c r="BS26" s="224">
        <f t="shared" si="4"/>
        <v>7.5714285714285712</v>
      </c>
      <c r="BT26" s="216" t="str">
        <f t="shared" si="5"/>
        <v>I TRIM</v>
      </c>
      <c r="BU26" s="214" t="str">
        <f t="shared" ca="1" si="6"/>
        <v/>
      </c>
      <c r="BV26" s="25" t="s">
        <v>988</v>
      </c>
      <c r="BW26" s="22">
        <v>44845</v>
      </c>
      <c r="BX26" s="28">
        <v>7.4</v>
      </c>
      <c r="BY26" s="28" t="s">
        <v>988</v>
      </c>
      <c r="BZ26" s="22">
        <v>44881</v>
      </c>
      <c r="CA26" s="21">
        <v>13.2</v>
      </c>
      <c r="CB26" s="26" t="s">
        <v>864</v>
      </c>
      <c r="CC26" s="26" t="s">
        <v>864</v>
      </c>
      <c r="CD26" s="26"/>
      <c r="CE26" s="26" t="s">
        <v>864</v>
      </c>
      <c r="CF26" s="22" t="s">
        <v>1517</v>
      </c>
      <c r="CG26" s="21">
        <v>1.65</v>
      </c>
      <c r="CH26" s="21">
        <v>71</v>
      </c>
      <c r="CI26" s="214">
        <f t="shared" si="7"/>
        <v>26.078971533516992</v>
      </c>
      <c r="CJ26" s="225" t="str">
        <f>IF(AND(CI26&lt;10,CH26="SD"),"SIN DATO PESO PREGESTACION O I TRIM",IF(AND(OR(R26&gt;0,O26&gt;0),CI26="X"),"INGRESAR DATO DE PESO",IF(CI26="SD","INGRESAR DATO DE TALLA Y PESO",IF(AND(OR(Tabla1[[#This Row],[MOMENTO EN QUE SE REALIZA EL PESO AL INGRESO A CPN]]="PREGESTACIÓN",NZ26="Menor"),CI26&lt;18.5),"BAJO PESO",IF(AND(OR(Tabla1[[#This Row],[MOMENTO EN QUE SE REALIZA EL PESO AL INGRESO A CPN]]="PREGESTACIÓN",NZ26="Menor"),CI26&lt;25),"NORMAL",IF(AND(OR(Tabla1[[#This Row],[MOMENTO EN QUE SE REALIZA EL PESO AL INGRESO A CPN]]="PREGESTACIÓN",NZ26="Menor"),CI26&lt;30),"SOBREPESO",IF(AND(OR(Tabla1[[#This Row],[MOMENTO EN QUE SE REALIZA EL PESO AL INGRESO A CPN]]="PREGESTACIÓN",NZ26="Menor"),CI26&gt;=30,CI26&lt;50),"OBESIDAD",IF(AND(BS26&gt;0,Tabla1[[#This Row],[MOMENTO EN QUE SE REALIZA EL PESO AL INGRESO A CPN]]="GESTACIÓN"),HLOOKUP(NZ26,$OA$2:PH26,NY26),""))))))))</f>
        <v>SOBREPESO</v>
      </c>
      <c r="CK26" s="212">
        <f t="shared" si="8"/>
        <v>45058</v>
      </c>
      <c r="CL26" s="21">
        <v>80</v>
      </c>
      <c r="CM26" s="214">
        <f t="shared" si="9"/>
        <v>29.384756657483933</v>
      </c>
      <c r="CN26" s="216">
        <f t="shared" si="10"/>
        <v>37</v>
      </c>
      <c r="CO26" s="216" t="e">
        <f>IF(PI26="","",IF(PI26&gt;0,HLOOKUP(PI26,$PJ$2:QQ26,NY26),""))</f>
        <v>#REF!</v>
      </c>
      <c r="CP26" s="21"/>
      <c r="CQ26" s="216" t="e">
        <f>IF(QR26="Menor","NO APLICA-MENOR 13 SEM",IF(AND(CC26="SI",CN26&gt;23),"NO APLICA- GEMELAR",IF(QR26="","",IF(QR26&gt;0,HLOOKUP(QR26,$QS$2:RU26,NY26),""))))</f>
        <v>#REF!</v>
      </c>
      <c r="CR26" s="21">
        <v>90</v>
      </c>
      <c r="CS26" s="21">
        <v>70</v>
      </c>
      <c r="CT26" s="217" t="str">
        <f>IF(R26="","",IF(AND(BS26&gt;1,BS26&lt;12,Tabla1[[#This Row],[T.A. SISTOLICA - ANTES DE SEMANA 12]]="",Tabla1[[#This Row],[T.A. DIASTOLICA - ANTES DE SEMANA 12]]=""),"REGISTRE DATO TA ANTES SEMANA 12",IF(AND(BS26&gt;11,BS26&lt;43,Tabla1[[#This Row],[T.A. SISTOLICA - ANTES DE SEMANA 12]]="",Tabla1[[#This Row],[T.A. DIASTOLICA - ANTES DE SEMANA 12]]=""),"NO APLICA REGISTRO TA-INGRESO TARDIO",IF(AND(OR(O26&gt;0,R26&gt;0),OR(CR26&gt;=140,CS26&gt;=90)),"DEFINIR ESTADIO HTA",IF(AND(OR(O26&gt;0,R26&gt;0),AND(CR26&gt;120,CR26&lt;=139)),"PRE HTA SEGUIMIENTO",IF(AND(OR(O26&gt;0,R26&gt;0),AND(CS26&gt;80,CS26&lt;=89)),"PRE HTA SEGUIMIENTO",IF(AND(OR(O26&gt;0,R26&gt;0),AND(CR26&gt;=80,CR26&lt;=120)),"APARENTEMENTE NORMAL",IF(AND(OR(O26&gt;0,R26&gt;0),AND(CS26&gt;=50,CS26&lt;=80)),"APARENTEMENTE NORMAL",IF(AND(OR(O26&gt;0,R26&gt;0),AND(CR26&gt;1,CR26&lt;=70),AND(CS26&gt;1,CS26&lt;=40)),"HIPOTENSIÓN","")))))))))</f>
        <v>APARENTEMENTE NORMAL</v>
      </c>
      <c r="CU26" s="21">
        <v>100</v>
      </c>
      <c r="CV26" s="21">
        <v>60</v>
      </c>
      <c r="CW26" s="217" t="str">
        <f ca="1">IF(R26="","",IF(AND(CN26&gt;19,CN26&lt;27,Tabla1[[#This Row],[T.A. SISTOLICA (Entre semana 20 y 26)]]="",Tabla1[[#This Row],[T.A. DIATOLICA (Entre semana 20 y 26)]]=""),"ACUDE A CONTROL SEM 20 A 26 REGISTRE TA AHORA",IF(AND(BS26&gt;1,BS26&lt;27,BU26&gt;19,Tabla1[[#This Row],[T.A. SISTOLICA (Entre semana 20 y 26)]]="",Tabla1[[#This Row],[T.A. DIATOLICA (Entre semana 20 y 26)]]=""),"COMPLETE REGISTRO TA CONTROL SEM 20 A26 ",IF(AND(BS26&gt;26,BS26&lt;43,Tabla1[[#This Row],[T.A. SISTOLICA (Entre semana 20 y 26)]]="",Tabla1[[#This Row],[T.A. DIATOLICA (Entre semana 20 y 26)]]=""),"NO APLICA REGISTRO TA-INGRESO TARDIO",IF(AND(OR(O26&gt;0,R26&gt;0),OR(CU26&gt;=140,CV26&gt;=90)),"ALTO RIESGO PREECLAMPSIA,DEFINIR ESTADIO HTA",IF(AND(OR(O26&gt;0,R26&gt;0),AND(CU26&gt;120,CU26&lt;=139)),"PRE HTA SEGUIMIENTO,RIESGO HIPERTENSION INDUCIDA POR EL EMBARAZO",IF(AND(OR(O26&gt;0,R26&gt;0),AND(CV26&gt;80,CV26&lt;=89)),"PRE HTA SEGUIMIENTO, RIESGO HIPERTENSION INDUCIDA POR EL EMBARAZO",IF(AND(OR(O26&lt;&gt;"",R26&lt;&gt;""),CS26&lt;&gt;"",CV26&lt;&gt;"",CS26&lt;=CV26),"VIGILAR CIFRAS PRESION ARTERIAL",IF(AND(OR(O26&gt;0,R26&gt;0),AND(CU26&gt;120,CU26&lt;=139)),"PRE HTA SEGUIMIENTO",IF(AND(OR(O26&gt;0,R26&gt;0),AND(CU26&gt;1,CU26&lt;=70),AND(CV26&gt;1,CV26&lt;=40)),"HIPOTENSIÓN",IF(AND(OR(O26&lt;&gt;"",R26&lt;&gt;""),CS26&lt;&gt;"",CV26&lt;&gt;"",CS26&gt;CV26),"APARENTEMENTE NORMAL",IF(AND(OR(O26&gt;0,R26&gt;0),AND(CU26&gt;=80,CU26&lt;=120)),"APARENTEMENTE NORMAL",IF(AND(OR(O26&gt;0,R26&gt;0),AND(CV26&gt;=50,CV26&lt;=80)),"APARENTEMENTE NORMAL","")))))))))))))</f>
        <v>APARENTEMENTE NORMAL</v>
      </c>
      <c r="CX26" s="21">
        <v>100</v>
      </c>
      <c r="CY26" s="21">
        <v>60</v>
      </c>
      <c r="CZ26" s="216" t="str">
        <f t="shared" si="11"/>
        <v>APARENTEMENTE NORMAL</v>
      </c>
      <c r="DA26" s="21">
        <v>100</v>
      </c>
      <c r="DB26" s="21">
        <v>60</v>
      </c>
      <c r="DC26" s="217" t="str">
        <f t="shared" si="12"/>
        <v>APARENTEMENTE NORMAL</v>
      </c>
      <c r="DD26" s="22">
        <v>44846</v>
      </c>
      <c r="DE26" s="22">
        <v>44846</v>
      </c>
      <c r="DF26" s="22">
        <v>44877</v>
      </c>
      <c r="DG26" s="22">
        <v>44908</v>
      </c>
      <c r="DH26" s="22">
        <v>44959</v>
      </c>
      <c r="DI26" s="22">
        <v>44995</v>
      </c>
      <c r="DJ26" s="22">
        <v>45027</v>
      </c>
      <c r="DK26" s="22">
        <v>45058</v>
      </c>
      <c r="DL26" s="22"/>
      <c r="DM26" s="22"/>
      <c r="DN26" s="22"/>
      <c r="DO26" s="22"/>
      <c r="DP26" s="22"/>
      <c r="DQ26" s="22"/>
      <c r="DR26" s="28">
        <v>2</v>
      </c>
      <c r="DS26" s="22"/>
      <c r="DT26" s="22"/>
      <c r="DU26" s="216" t="str">
        <f t="shared" ca="1" si="13"/>
        <v>SALE SIN PLAN DE PARTO</v>
      </c>
      <c r="DV26" s="226" t="str">
        <f t="shared" si="14"/>
        <v>SALIO PROGRAMA</v>
      </c>
      <c r="DW2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6" s="216" t="str">
        <f t="shared" ca="1" si="15"/>
        <v/>
      </c>
      <c r="DY26" s="212">
        <f>IF(R26="","",IF(R26&gt;0,MAX(Tabla1[[#This Row],[FECHA C2]:[FECHA C13]],Tabla1[[#This Row],[FECHA CONSULTA PRIMERA VEZ PROGRAMA CPN ]])))</f>
        <v>45058</v>
      </c>
      <c r="DZ26" s="216">
        <f t="shared" si="16"/>
        <v>37</v>
      </c>
      <c r="EA26" s="222">
        <f>IF(R26&gt;0,SUM(COUNTA(DF26:DQ26)+COUNTA(Tabla1[[#This Row],[FECHA CONSULTA PRIMERA VEZ PROGRAMA CPN ]])),"")</f>
        <v>7</v>
      </c>
      <c r="EB26" s="222" t="str">
        <f t="shared" si="17"/>
        <v>SI</v>
      </c>
      <c r="EC26" s="214">
        <f t="shared" si="18"/>
        <v>10</v>
      </c>
      <c r="ED26" s="227">
        <f t="shared" si="19"/>
        <v>0.7</v>
      </c>
      <c r="EE26" s="22">
        <v>44846</v>
      </c>
      <c r="EF26" s="22">
        <v>44847</v>
      </c>
      <c r="EG26" s="22">
        <v>44846</v>
      </c>
      <c r="EH26" s="22">
        <v>44870</v>
      </c>
      <c r="EI26" s="22">
        <v>44846</v>
      </c>
      <c r="EJ26" s="22">
        <v>45030</v>
      </c>
      <c r="EK26" s="22">
        <v>45030</v>
      </c>
      <c r="EL26" s="21">
        <v>1</v>
      </c>
      <c r="EM26" s="21">
        <v>12.8</v>
      </c>
      <c r="EN26" s="22">
        <v>44847</v>
      </c>
      <c r="EO26" s="222">
        <f t="shared" si="20"/>
        <v>7.7142857142857144</v>
      </c>
      <c r="EP26" s="214" t="str">
        <f t="shared" si="21"/>
        <v>NORMAL- SUMINISTRAR SULFATO FERROSO</v>
      </c>
      <c r="EQ26" s="216" t="str">
        <f t="shared" si="22"/>
        <v>I TRIM</v>
      </c>
      <c r="ER26" s="24"/>
      <c r="ES26" s="22"/>
      <c r="ET26" s="29" t="str">
        <f t="shared" ca="1" si="23"/>
        <v>SALE SIN TAMIZAJE HEMOGLOBINA SEM 28</v>
      </c>
      <c r="EU26" s="25" t="str">
        <f t="shared" si="24"/>
        <v/>
      </c>
      <c r="EV26" s="24" t="s">
        <v>926</v>
      </c>
      <c r="EW26" s="24">
        <v>44847</v>
      </c>
      <c r="EX26" s="22"/>
      <c r="EY26" s="29">
        <f t="shared" si="25"/>
        <v>7.7142857142857144</v>
      </c>
      <c r="EZ26" s="25" t="str">
        <f t="shared" ca="1" si="26"/>
        <v/>
      </c>
      <c r="FA26" s="21">
        <v>71</v>
      </c>
      <c r="FB26" s="22">
        <v>44847</v>
      </c>
      <c r="FC26" s="29">
        <f t="shared" si="27"/>
        <v>7.7142857142857144</v>
      </c>
      <c r="FD26" s="29">
        <v>66</v>
      </c>
      <c r="FE26" s="29">
        <v>136</v>
      </c>
      <c r="FF26" s="29">
        <v>146</v>
      </c>
      <c r="FG26" s="21" t="str">
        <f t="shared" si="28"/>
        <v xml:space="preserve">NORMAL, NO DESCARTA DIABETES POR REALIZARLO ANTES DE  SEMANA 24, </v>
      </c>
      <c r="FH26" s="31">
        <v>44959</v>
      </c>
      <c r="FI26" s="29">
        <f t="shared" si="29"/>
        <v>23.714285714285715</v>
      </c>
      <c r="FJ26" s="22" t="s">
        <v>867</v>
      </c>
      <c r="FK26" s="22">
        <v>44847</v>
      </c>
      <c r="FL26" s="29">
        <f t="shared" ca="1" si="30"/>
        <v>7.7142857142857144</v>
      </c>
      <c r="FM26" s="22" t="s">
        <v>867</v>
      </c>
      <c r="FN26" s="32">
        <v>44959</v>
      </c>
      <c r="FO26" s="29">
        <f t="shared" ca="1" si="31"/>
        <v>23.714285714285715</v>
      </c>
      <c r="FP26" s="22"/>
      <c r="FQ26" s="32"/>
      <c r="FR26" s="29" t="str">
        <f t="shared" ca="1" si="32"/>
        <v>PIERDE TOMA DE TAMIZAJE</v>
      </c>
      <c r="FS26" s="22"/>
      <c r="FT26" s="32"/>
      <c r="FU26" s="29" t="str">
        <f>IF(AND(FJ26="",FM26="",FP26="",FS26=""),"",IF(OR(OR(Tabla1[[#This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6" s="28"/>
      <c r="FW26" s="22"/>
      <c r="FX26" s="29" t="str">
        <f t="shared" si="33"/>
        <v>TOMAR EXAMEN</v>
      </c>
      <c r="FY26" s="22">
        <v>44877</v>
      </c>
      <c r="FZ26" s="22">
        <v>44877</v>
      </c>
      <c r="GA26" s="29">
        <f t="shared" ca="1" si="34"/>
        <v>12</v>
      </c>
      <c r="GB26" s="22"/>
      <c r="GC26" s="22"/>
      <c r="GD26" s="29" t="str">
        <f t="shared" ca="1" si="35"/>
        <v>PIERDE TOMA DE TAMIZAJE</v>
      </c>
      <c r="GE26" s="22" t="s">
        <v>868</v>
      </c>
      <c r="GF26" s="22">
        <v>45037</v>
      </c>
      <c r="GG26" s="29">
        <f t="shared" ca="1" si="36"/>
        <v>34.857142857142854</v>
      </c>
      <c r="GH26" s="22"/>
      <c r="GI26" s="29"/>
      <c r="GJ26" s="22"/>
      <c r="GK26" s="22"/>
      <c r="GL26" s="22" t="s">
        <v>879</v>
      </c>
      <c r="GM26" s="22"/>
      <c r="GN26" s="28" t="s">
        <v>869</v>
      </c>
      <c r="GO26" s="22">
        <v>44878</v>
      </c>
      <c r="GP26" s="29">
        <f t="shared" si="37"/>
        <v>12.142857142857142</v>
      </c>
      <c r="GQ26" s="28" t="s">
        <v>869</v>
      </c>
      <c r="GR26" s="28" t="s">
        <v>869</v>
      </c>
      <c r="GS26" s="22" t="str">
        <f t="shared" si="38"/>
        <v>CONTROL Igm</v>
      </c>
      <c r="GT26" s="22">
        <v>44878</v>
      </c>
      <c r="GU26" s="29">
        <f t="shared" si="39"/>
        <v>12.142857142857142</v>
      </c>
      <c r="GV26" s="21" t="str">
        <f t="shared" si="40"/>
        <v>I TRIM</v>
      </c>
      <c r="GW26" s="28" t="s">
        <v>869</v>
      </c>
      <c r="GX26" s="30"/>
      <c r="GY26" s="21"/>
      <c r="GZ26" s="21"/>
      <c r="HA26" s="21"/>
      <c r="HB26" s="21"/>
      <c r="HC26" s="21"/>
      <c r="HD26" s="21"/>
      <c r="HE26" s="21"/>
      <c r="HF26" s="22"/>
      <c r="HG26" s="22" t="str">
        <f>IF(OR(O26&gt;0,R26&gt;0),CONCATENATE(IF(Tabla1[[#This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6" s="22" t="e">
        <f t="shared" si="41"/>
        <v>#REF!</v>
      </c>
      <c r="HI26" s="22" t="e">
        <f t="shared" ca="1" si="42"/>
        <v>#REF!</v>
      </c>
      <c r="HJ26" s="21"/>
      <c r="HK26" s="21" t="str">
        <f t="shared" si="44"/>
        <v>SIN ANTECEDENTES DE RIESGO</v>
      </c>
      <c r="HL26" s="24" t="str">
        <f t="shared" si="45"/>
        <v>APARENTEMENTE NORMAL</v>
      </c>
      <c r="HM26" s="21" t="str">
        <f t="shared" ca="1" si="46"/>
        <v/>
      </c>
      <c r="HN26" s="30" t="str">
        <f t="shared" si="47"/>
        <v>SALIO PROGRAMA</v>
      </c>
      <c r="HO26" s="21"/>
      <c r="HP26" s="21"/>
      <c r="HQ26" s="21">
        <v>44846</v>
      </c>
      <c r="HR26" s="21" t="str">
        <f>IF(R26="","",IF(Tabla1[[#This Row],[ALARMA FACTORES DE RIESGO COMPLICACIONES HIPERTENSIVAS3]]="SIN ANTECEDENTES DE RIESGO","No Aplica para suministro de ASA",IF(AND(Tabla1[[#This Row],[FECHA INICIO DE SUMINISTRO DE ASA]]&gt;0,RV26&lt;12),"Inicia ASA ANTES de Sem 12",IF(AND(RV26&gt;11,RV26&lt;17,OR(HK26="RIESGO ALTO DE COMPLICACIONES HIPERTENSIVAS VER MANEJO GUIA SUMINISTRO ASA Y CALCIO",HK26="RIESGO MODERADO (2 O MAS CRITERIOS) VER MANEJO GUIA SUMINISTRO ASA Y CALCIO")),"Inicio oportuno de ASA",IF(AND(RV26&gt;12,OR(HK26="RIESGO ALTO DE COMPLICACIONES HIPERTENSIVAS VER MANEJO GUIA SUMINISTRO ASA Y CALCIO",HK26="RIESGO MODERADO (2 O MAS CRITERIOS) VER MANEJO GUIA SUMINISTRO ASA Y CALCIO")),"Inicio no oportuno mayor a 16 semanas",IF(AND(BU26&lt;12,OR(HK26="RIESGO ALTO DE COMPLICACIONES HIPERTENSIVAS VER MANEJO GUIA SUMINISTRO ASA Y CALCIO",HK26="RIESGO MODERADO (2 O MAS CRITERIOS) VER MANEJO GUIA SUMINISTRO ASA Y CALCIO")),"Pendiente Inicio de ASA a la semana 12",IF(AND(BU26&gt;11,BU26&lt;17,OR(HK26="RIESGO ALTO DE COMPLICACIONES HIPERTENSIVAS VER MANEJO GUIA SUMINISTRO ASA Y CALCIO",HK26="RIESGO MODERADO (2 O MAS CRITERIOS) VER MANEJO GUIA SUMINISTRO ASA Y CALCIO")),"Iniciar de inmediato ASA",IF(AND(BU26&gt;16,OR(HK26="RIESGO ALTO DE COMPLICACIONES HIPERTENSIVAS VER MANEJO GUIA SUMINISTRO ASA Y CALCIO",HK26="RIESGO MODERADO (2 O MAS CRITERIOS) VER MANEJO GUIA SUMINISTRO ASA Y CALCIO")),"Pierde Oportunidad, Inicio tardío de ASA","XXXXX"))))))))</f>
        <v>No Aplica para suministro de ASA</v>
      </c>
      <c r="HS26" s="22">
        <v>44846</v>
      </c>
      <c r="HT26" s="22" t="s">
        <v>1532</v>
      </c>
      <c r="HU26" s="22">
        <v>44846</v>
      </c>
      <c r="HV26" s="22" t="s">
        <v>1523</v>
      </c>
      <c r="HW26" s="22">
        <v>44846</v>
      </c>
      <c r="HX26" s="22" t="s">
        <v>1511</v>
      </c>
      <c r="HY26" s="22">
        <v>44846</v>
      </c>
      <c r="HZ26" s="28">
        <f t="shared" si="48"/>
        <v>7.5714285714285712</v>
      </c>
      <c r="IA26" s="26" t="s">
        <v>864</v>
      </c>
      <c r="IB26" s="26"/>
      <c r="IC26" s="111"/>
      <c r="ID26" s="22"/>
      <c r="IE26" s="22" t="str">
        <f t="shared" ca="1" si="49"/>
        <v>SALE SIN VACUNA</v>
      </c>
      <c r="IF26" s="22"/>
      <c r="IG26" s="22">
        <f t="shared" si="50"/>
        <v>45073</v>
      </c>
      <c r="IH26" s="29">
        <f t="shared" ca="1" si="51"/>
        <v>-160</v>
      </c>
      <c r="II26" s="22" t="str">
        <f t="shared" ca="1" si="52"/>
        <v>POSIBLEMENTE NACIO</v>
      </c>
      <c r="IJ26" s="22"/>
      <c r="IK26" s="21" t="s">
        <v>898</v>
      </c>
      <c r="IL26" s="21"/>
      <c r="IM26" s="34"/>
      <c r="IN26" s="349">
        <v>45061</v>
      </c>
      <c r="IO26" s="21" t="s">
        <v>1186</v>
      </c>
      <c r="IP26" s="29">
        <f t="shared" si="53"/>
        <v>38.285714285714285</v>
      </c>
      <c r="IQ26" s="35" t="s">
        <v>1650</v>
      </c>
      <c r="IR26" s="21" t="s">
        <v>1651</v>
      </c>
      <c r="IS26" s="21" t="s">
        <v>1646</v>
      </c>
      <c r="IT26" s="21" t="s">
        <v>1642</v>
      </c>
      <c r="IU26" s="21"/>
      <c r="IV26" s="21"/>
      <c r="IW26" s="21"/>
      <c r="IX26" s="21"/>
      <c r="IY26" s="21"/>
      <c r="IZ26" s="21"/>
      <c r="JA26" s="21"/>
      <c r="JB26" s="30">
        <v>1</v>
      </c>
      <c r="JC26" s="21" t="s">
        <v>1647</v>
      </c>
      <c r="JD26" s="36">
        <v>3420</v>
      </c>
      <c r="JE26" s="21" t="str">
        <f t="shared" si="54"/>
        <v>PESO ADECUADO EDAD GESTACIONAL</v>
      </c>
      <c r="JF26" s="30"/>
      <c r="JG26" s="21"/>
      <c r="JH26" s="21"/>
      <c r="JI26" s="21" t="s">
        <v>854</v>
      </c>
      <c r="JJ26" s="30" t="s">
        <v>926</v>
      </c>
      <c r="JK26" s="22"/>
      <c r="JL26" s="22"/>
      <c r="JM26" s="21"/>
      <c r="JN26" s="36"/>
      <c r="JO26" s="21" t="str">
        <f t="shared" si="55"/>
        <v/>
      </c>
      <c r="JP26" s="22"/>
      <c r="JQ26" s="21"/>
      <c r="JR26" s="21"/>
      <c r="JS26" s="21"/>
      <c r="JT26" s="30"/>
      <c r="JU26" s="22"/>
      <c r="JV26" s="22"/>
      <c r="JW26" s="33"/>
      <c r="JX26" s="28" t="str">
        <f t="shared" si="56"/>
        <v>INASISTENTE</v>
      </c>
      <c r="JY26" s="33"/>
      <c r="JZ26" s="28" t="str">
        <f t="shared" si="57"/>
        <v>INASISTENTE</v>
      </c>
      <c r="KA26" s="21"/>
      <c r="KB26" s="21"/>
      <c r="KC26" s="21"/>
      <c r="KD26" s="37"/>
      <c r="KE26" s="28"/>
      <c r="KF26" s="28"/>
      <c r="KG26" s="28"/>
      <c r="KH26" s="39"/>
      <c r="KI26" s="39"/>
      <c r="KJ26" s="66"/>
      <c r="KK26" s="39"/>
      <c r="KL26" s="39"/>
      <c r="KM26" s="66"/>
      <c r="KN26" s="39"/>
      <c r="KO26" s="39"/>
      <c r="KP26" s="39"/>
      <c r="KQ26" s="39"/>
      <c r="KR26" s="39"/>
      <c r="KS26" s="39"/>
      <c r="KT26" s="39"/>
      <c r="KU26" s="38"/>
      <c r="KV26" s="38"/>
      <c r="KW26" s="38"/>
      <c r="KX26" s="38"/>
      <c r="KY26" s="38"/>
      <c r="KZ26" s="38"/>
      <c r="LA26" s="38"/>
      <c r="LB26" s="38"/>
      <c r="LC26" s="38"/>
      <c r="LD26" s="38"/>
      <c r="LE26" s="38"/>
      <c r="LF26" s="38"/>
      <c r="LG26" s="38"/>
      <c r="LH26" s="38"/>
      <c r="LI26" s="38"/>
      <c r="LJ26" s="38"/>
      <c r="LK26" s="38"/>
      <c r="LL26" s="38"/>
      <c r="LM26" s="38"/>
      <c r="LN26" s="38"/>
      <c r="LO26" s="38"/>
      <c r="LP26" s="38"/>
      <c r="LQ26" s="38"/>
      <c r="LR26" s="38"/>
      <c r="LS26" s="38"/>
      <c r="LT26" s="38"/>
      <c r="LU26" s="38"/>
      <c r="LV26" s="38"/>
      <c r="LW26" s="38"/>
      <c r="LX26" s="38"/>
      <c r="LY26" s="38"/>
      <c r="LZ26" s="38"/>
      <c r="MA26" s="38"/>
      <c r="MB26" s="38"/>
      <c r="MC26" s="38"/>
      <c r="MD26" s="38"/>
      <c r="ME26" s="38"/>
      <c r="MF26" s="38"/>
      <c r="MG26" s="38"/>
      <c r="MH26" s="43">
        <f t="shared" si="58"/>
        <v>0</v>
      </c>
      <c r="MI26" s="43" t="str">
        <f t="shared" si="59"/>
        <v/>
      </c>
      <c r="MJ26" s="43" t="str">
        <f t="shared" si="60"/>
        <v/>
      </c>
      <c r="MK26" s="43">
        <f t="shared" si="61"/>
        <v>0</v>
      </c>
      <c r="ML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6" s="43">
        <f t="shared" si="62"/>
        <v>7.5714285714285712</v>
      </c>
      <c r="MN26" s="43">
        <f t="shared" si="63"/>
        <v>10</v>
      </c>
      <c r="MO26" s="43">
        <f t="shared" si="64"/>
        <v>2022</v>
      </c>
      <c r="MP26" s="43" t="str">
        <f t="shared" si="65"/>
        <v>IV TRIMESTRE AÑO</v>
      </c>
      <c r="MQ26" s="43">
        <f t="shared" si="66"/>
        <v>27.025843188786684</v>
      </c>
      <c r="MR26" s="43">
        <f t="shared" si="67"/>
        <v>0</v>
      </c>
      <c r="MS26" s="43" t="str">
        <f t="shared" si="68"/>
        <v xml:space="preserve"> DE 25 A 29 AÑOS</v>
      </c>
      <c r="MT26" s="43">
        <f t="shared" si="69"/>
        <v>0</v>
      </c>
      <c r="MU26" s="43">
        <f t="shared" si="70"/>
        <v>0</v>
      </c>
      <c r="MV26" s="43">
        <f t="shared" si="71"/>
        <v>0</v>
      </c>
      <c r="MW26" s="43">
        <f t="shared" si="72"/>
        <v>0</v>
      </c>
      <c r="MX26" s="43" t="str">
        <f t="shared" si="73"/>
        <v/>
      </c>
      <c r="MY26" s="43" t="str">
        <f t="shared" ca="1" si="74"/>
        <v/>
      </c>
      <c r="MZ26" s="43" t="str">
        <f t="shared" si="75"/>
        <v/>
      </c>
      <c r="NA26" s="43" t="str">
        <f t="shared" si="76"/>
        <v/>
      </c>
      <c r="NB26" s="43" t="str">
        <f t="shared" si="77"/>
        <v/>
      </c>
      <c r="NC26" s="43" t="str">
        <f t="shared" si="78"/>
        <v/>
      </c>
      <c r="ND26" s="43">
        <f t="shared" ca="1" si="79"/>
        <v>0</v>
      </c>
      <c r="NE26" s="43">
        <f>IF(OR(O26&gt;0,R26&gt;0),SUM(COUNTIF(Tabla1[[#This Row],[AÑOS AL INICIO5 CPN]],"&gt;=40"),COUNTIF(AS26,"0"),COUNTIF(AR26,"SI"),COUNTIF(CC26,"SI"),COUNTIF(BQ26,"&gt;119"),COUNTIF(CI26,"&gt;=35")),"")</f>
        <v>0</v>
      </c>
      <c r="NF26" s="43" t="str">
        <f t="shared" si="80"/>
        <v/>
      </c>
      <c r="NG26" s="43">
        <f t="shared" si="81"/>
        <v>0</v>
      </c>
      <c r="NH26" s="43">
        <f t="shared" si="82"/>
        <v>51.800000000000004</v>
      </c>
      <c r="NI2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CPN",P26="NO"),"Z",IF(AND(Tabla1[[#This Row],[CITA PROXIMO CONTROL]]="CITA MANUAL",Tabla1[[#This Row],[GESTANTES ACTUALES]]="ACTIVA INGRESO A CPN"),"W",IF(AND(Tabla1[[#This Row],[GESTANTES ACTUALES]]="SALIO PROGRAMA",IN26=""),"S",IF(AND(Tabla1[[#This Row],[CITA PROXIMO CONTROL]]&gt;0,IN26=""),(Tabla1[[#This Row],[CITA PROXIMO CONTROL]]-TODAY()),"SD"))))))))</f>
        <v>SD</v>
      </c>
      <c r="NJ26" s="43">
        <f>MONTH(Tabla1[[#This Row],[FECHA DE SALIDA  DEL PROGRAMA]])</f>
        <v>5</v>
      </c>
      <c r="NK26" s="43">
        <f>YEAR(Tabla1[[#This Row],[FECHA DE SALIDA  DEL PROGRAMA]])</f>
        <v>2023</v>
      </c>
      <c r="NL26" s="43">
        <f t="shared" si="83"/>
        <v>184</v>
      </c>
      <c r="NM26" s="43" t="str">
        <f t="shared" si="84"/>
        <v>NO</v>
      </c>
      <c r="NN26" s="43" t="str">
        <f ca="1">IF(AND(O26&gt;0,R26=""),"NO CPN",IF(AND(O26="",R26=""),"",IF(AND(R26&gt;0,Tabla1[[#This Row],[SEMANAS DE GESTACION ACTUALIZADAS]]&lt;=12),"NO APLICA",IF(AND(FH26&lt;&gt;"",FN26&lt;&gt;""),"SI","NO"))))</f>
        <v>SI</v>
      </c>
      <c r="NO26" s="43" t="str">
        <f ca="1">IF(AND(O26&gt;0,R26=""),"NO CPN",IF(AND(O26="",R26=""),"",IF(AND(R26&gt;0,Tabla1[[#This Row],[SEMANAS DE GESTACION ACTUALIZADAS]]&lt;=27),"NO APLICA",IF(AND(ES26&lt;&gt;"",FQ26&lt;&gt;"",GF26&lt;&gt;""),"SI","NO"))))</f>
        <v>NO</v>
      </c>
      <c r="NP26" s="204" t="str">
        <f t="shared" si="85"/>
        <v>I TRIM</v>
      </c>
      <c r="NQ26" s="21">
        <f t="shared" si="86"/>
        <v>3</v>
      </c>
      <c r="NR26" s="21">
        <f t="shared" si="87"/>
        <v>3</v>
      </c>
      <c r="NS26" s="205">
        <f t="shared" ca="1" si="88"/>
        <v>2</v>
      </c>
      <c r="NT26" s="21">
        <f t="shared" ca="1" si="89"/>
        <v>2</v>
      </c>
      <c r="NU26" s="21" t="str">
        <f t="shared" ca="1" si="90"/>
        <v>INCOMPLETO</v>
      </c>
      <c r="NV26" s="21" t="str">
        <f t="shared" ca="1" si="91"/>
        <v>INCOMPLETO</v>
      </c>
      <c r="NW26" s="206" t="str">
        <f>IF(AND(O26="",R26=""),"",IF(OR(AND(Tabla1[[#This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6" s="207" t="str">
        <f t="shared" ca="1" si="92"/>
        <v>SIN VACUNAR</v>
      </c>
      <c r="NY26" s="43">
        <f>ROW(Tabla1[[#This Row],['# DE TAMIZAJES SIFILIS TOMADOS ]])</f>
        <v>26</v>
      </c>
      <c r="NZ26" s="43" t="str">
        <f t="shared" si="93"/>
        <v>Menor</v>
      </c>
      <c r="OA26" s="43" t="str">
        <f t="shared" si="94"/>
        <v>SOBREPESO</v>
      </c>
      <c r="OB26" s="43" t="str">
        <f t="shared" si="95"/>
        <v/>
      </c>
      <c r="OC26" s="43" t="str">
        <f t="shared" si="96"/>
        <v/>
      </c>
      <c r="OD26" s="43" t="str">
        <f t="shared" si="97"/>
        <v/>
      </c>
      <c r="OE26" s="43" t="str">
        <f t="shared" si="98"/>
        <v/>
      </c>
      <c r="OF26" s="43" t="str">
        <f t="shared" si="99"/>
        <v/>
      </c>
      <c r="OG26" s="43" t="str">
        <f t="shared" si="100"/>
        <v/>
      </c>
      <c r="OH26" s="43" t="str">
        <f t="shared" si="101"/>
        <v/>
      </c>
      <c r="OI26" s="43" t="str">
        <f t="shared" si="102"/>
        <v/>
      </c>
      <c r="OJ26" s="43" t="str">
        <f t="shared" si="103"/>
        <v/>
      </c>
      <c r="OK26" s="43" t="str">
        <f t="shared" si="104"/>
        <v/>
      </c>
      <c r="OL26" s="43" t="str">
        <f t="shared" si="105"/>
        <v/>
      </c>
      <c r="OM26" s="43" t="str">
        <f t="shared" si="106"/>
        <v/>
      </c>
      <c r="ON26" s="43" t="str">
        <f t="shared" si="107"/>
        <v/>
      </c>
      <c r="OO26" s="43" t="str">
        <f t="shared" si="108"/>
        <v/>
      </c>
      <c r="OP26" s="43" t="str">
        <f t="shared" si="109"/>
        <v/>
      </c>
      <c r="OQ26" s="43" t="str">
        <f t="shared" si="110"/>
        <v/>
      </c>
      <c r="OR26" s="43" t="str">
        <f t="shared" si="111"/>
        <v/>
      </c>
      <c r="OS26" s="43" t="str">
        <f t="shared" si="112"/>
        <v/>
      </c>
      <c r="OT26" s="43" t="str">
        <f t="shared" si="113"/>
        <v/>
      </c>
      <c r="OU26" s="43" t="str">
        <f t="shared" si="114"/>
        <v/>
      </c>
      <c r="OV26" s="110" t="str">
        <f t="shared" si="115"/>
        <v/>
      </c>
      <c r="OW26" s="43" t="str">
        <f t="shared" si="116"/>
        <v/>
      </c>
      <c r="OX26" s="43" t="str">
        <f t="shared" si="117"/>
        <v/>
      </c>
      <c r="OY26" s="43" t="str">
        <f t="shared" si="118"/>
        <v/>
      </c>
      <c r="OZ26" s="43" t="str">
        <f t="shared" si="119"/>
        <v/>
      </c>
      <c r="PA26" s="43" t="str">
        <f t="shared" si="120"/>
        <v/>
      </c>
      <c r="PB26" s="43" t="str">
        <f t="shared" si="121"/>
        <v/>
      </c>
      <c r="PC26" s="43" t="str">
        <f t="shared" si="122"/>
        <v/>
      </c>
      <c r="PD26" s="43" t="str">
        <f t="shared" si="123"/>
        <v/>
      </c>
      <c r="PE26" s="43" t="str">
        <f t="shared" si="124"/>
        <v/>
      </c>
      <c r="PF26" s="43" t="str">
        <f t="shared" si="125"/>
        <v/>
      </c>
      <c r="PG26" s="43" t="str">
        <f t="shared" si="126"/>
        <v/>
      </c>
      <c r="PH26" s="43" t="str">
        <f t="shared" si="127"/>
        <v/>
      </c>
      <c r="PI26" s="43">
        <f t="shared" si="128"/>
        <v>37</v>
      </c>
      <c r="PJ26" s="43" t="str">
        <f t="shared" si="129"/>
        <v/>
      </c>
      <c r="PK26" s="43" t="str">
        <f t="shared" si="130"/>
        <v/>
      </c>
      <c r="PL26" s="43" t="str">
        <f t="shared" si="131"/>
        <v/>
      </c>
      <c r="PM26" s="43" t="str">
        <f t="shared" si="132"/>
        <v/>
      </c>
      <c r="PN26" s="43" t="str">
        <f t="shared" si="133"/>
        <v/>
      </c>
      <c r="PO26" s="43" t="str">
        <f t="shared" si="134"/>
        <v/>
      </c>
      <c r="PP26" s="43" t="str">
        <f t="shared" si="135"/>
        <v/>
      </c>
      <c r="PQ26" s="43" t="str">
        <f t="shared" si="136"/>
        <v/>
      </c>
      <c r="PR26" s="43" t="str">
        <f t="shared" si="137"/>
        <v/>
      </c>
      <c r="PS26" s="43" t="str">
        <f t="shared" si="138"/>
        <v/>
      </c>
      <c r="PT26" s="43" t="str">
        <f t="shared" si="139"/>
        <v/>
      </c>
      <c r="PU26" s="43" t="str">
        <f t="shared" si="140"/>
        <v/>
      </c>
      <c r="PV26" s="43" t="str">
        <f t="shared" si="141"/>
        <v/>
      </c>
      <c r="PW26" s="43" t="str">
        <f t="shared" si="142"/>
        <v/>
      </c>
      <c r="PX26" s="43" t="str">
        <f t="shared" si="143"/>
        <v/>
      </c>
      <c r="PY26" s="43" t="str">
        <f t="shared" si="144"/>
        <v/>
      </c>
      <c r="PZ26" s="43" t="str">
        <f t="shared" si="145"/>
        <v/>
      </c>
      <c r="QA26" s="43" t="str">
        <f t="shared" si="146"/>
        <v/>
      </c>
      <c r="QB26" s="43" t="str">
        <f t="shared" si="147"/>
        <v/>
      </c>
      <c r="QC26" s="43" t="str">
        <f t="shared" si="148"/>
        <v/>
      </c>
      <c r="QD26" s="43" t="str">
        <f t="shared" si="149"/>
        <v/>
      </c>
      <c r="QE26" s="43" t="str">
        <f t="shared" si="150"/>
        <v/>
      </c>
      <c r="QF26" s="43" t="str">
        <f t="shared" si="151"/>
        <v/>
      </c>
      <c r="QG26" s="43" t="str">
        <f t="shared" si="152"/>
        <v/>
      </c>
      <c r="QH26" s="43" t="str">
        <f t="shared" si="153"/>
        <v/>
      </c>
      <c r="QI26" s="43" t="str">
        <f t="shared" si="154"/>
        <v/>
      </c>
      <c r="QJ26" s="43" t="str">
        <f t="shared" si="155"/>
        <v/>
      </c>
      <c r="QK26" s="43" t="str">
        <f t="shared" si="156"/>
        <v/>
      </c>
      <c r="QL26" s="43" t="str">
        <f t="shared" si="157"/>
        <v>SOBREPESO</v>
      </c>
      <c r="QM26" s="43" t="str">
        <f t="shared" si="158"/>
        <v/>
      </c>
      <c r="QN26" s="43" t="str">
        <f t="shared" si="159"/>
        <v/>
      </c>
      <c r="QO26" s="43" t="str">
        <f t="shared" si="160"/>
        <v/>
      </c>
      <c r="QP26" s="43" t="str">
        <f t="shared" si="161"/>
        <v/>
      </c>
      <c r="QQ26" s="43" t="str">
        <f t="shared" si="162"/>
        <v/>
      </c>
      <c r="QR26" s="43">
        <f t="shared" si="192"/>
        <v>37</v>
      </c>
      <c r="QS26" s="43"/>
      <c r="QT26" s="21" t="str">
        <f t="shared" si="163"/>
        <v/>
      </c>
      <c r="QU26" s="21" t="str">
        <f t="shared" si="164"/>
        <v/>
      </c>
      <c r="QV26" s="21" t="str">
        <f t="shared" si="165"/>
        <v/>
      </c>
      <c r="QW26" s="21" t="str">
        <f t="shared" si="166"/>
        <v/>
      </c>
      <c r="QX26" s="21" t="str">
        <f t="shared" si="167"/>
        <v/>
      </c>
      <c r="QY26" s="21" t="str">
        <f t="shared" si="168"/>
        <v/>
      </c>
      <c r="QZ26" s="21" t="str">
        <f t="shared" si="169"/>
        <v/>
      </c>
      <c r="RA26" s="21" t="str">
        <f t="shared" si="170"/>
        <v/>
      </c>
      <c r="RB26" s="21" t="str">
        <f t="shared" si="171"/>
        <v/>
      </c>
      <c r="RC26" s="21" t="str">
        <f t="shared" si="172"/>
        <v/>
      </c>
      <c r="RD26" s="21" t="str">
        <f t="shared" si="173"/>
        <v/>
      </c>
      <c r="RE26" s="21" t="str">
        <f t="shared" si="174"/>
        <v/>
      </c>
      <c r="RF26" s="21" t="str">
        <f t="shared" si="175"/>
        <v/>
      </c>
      <c r="RG26" s="21" t="str">
        <f t="shared" si="176"/>
        <v/>
      </c>
      <c r="RH26" s="21" t="str">
        <f t="shared" si="177"/>
        <v/>
      </c>
      <c r="RI26" s="21" t="str">
        <f t="shared" si="178"/>
        <v/>
      </c>
      <c r="RJ26" s="21" t="str">
        <f t="shared" si="179"/>
        <v/>
      </c>
      <c r="RK26" s="21" t="str">
        <f t="shared" si="180"/>
        <v/>
      </c>
      <c r="RL26" s="21" t="str">
        <f t="shared" si="181"/>
        <v/>
      </c>
      <c r="RM26" s="21" t="str">
        <f t="shared" si="182"/>
        <v/>
      </c>
      <c r="RN26" s="21" t="str">
        <f t="shared" si="183"/>
        <v/>
      </c>
      <c r="RO26" s="21" t="str">
        <f t="shared" si="184"/>
        <v/>
      </c>
      <c r="RP26" s="21" t="str">
        <f t="shared" si="185"/>
        <v/>
      </c>
      <c r="RQ26" s="21" t="str">
        <f t="shared" si="186"/>
        <v/>
      </c>
      <c r="RR26" s="21" t="str">
        <f t="shared" si="187"/>
        <v/>
      </c>
      <c r="RS26" s="21" t="str">
        <f t="shared" si="188"/>
        <v/>
      </c>
      <c r="RT26" s="21" t="str">
        <f t="shared" si="189"/>
        <v/>
      </c>
      <c r="RU26" s="21" t="str">
        <f t="shared" si="190"/>
        <v/>
      </c>
      <c r="RV26" s="21">
        <f t="shared" si="191"/>
        <v>7.5714285714285712</v>
      </c>
      <c r="RW26" s="284">
        <f>IF(OR(Tabla1[[#This Row],[FUM FORMULA CONFIABLE]]="",Tabla1[[#This Row],[FUM FORMULA CONFIABLE]]="SD"),"",IF(Tabla1[[#This Row],[FUM FORMULA CONFIABLE]]="CORREGIDA",Tabla1[[#This Row],[FUM X ECO 1]],Tabla1[[#This Row],[FUM x AMENORREA]]))</f>
        <v>44793</v>
      </c>
      <c r="RX26" s="21">
        <f>IF(AND(Tabla1[[#This Row],[FUM X ECO 1]]="",Tabla1[[#This Row],[FUM x AMENORREA]]=""),"",IF(AND(Tabla1[[#This Row],[FUM X ECO 1]]="",Tabla1[[#This Row],[FUM x AMENORREA]]&lt;&gt;""),"X",SUM(Tabla1[[#This Row],[FUM X ECO 1]]-Tabla1[[#This Row],[FUM x AMENORREA]])))</f>
        <v>0.19999999999708962</v>
      </c>
      <c r="RY26" s="21">
        <f t="shared" si="193"/>
        <v>0</v>
      </c>
    </row>
    <row r="27" spans="1:493" ht="45" customHeight="1" x14ac:dyDescent="0.25">
      <c r="A27" s="109" t="s">
        <v>1005</v>
      </c>
      <c r="B27" s="43" t="s">
        <v>1006</v>
      </c>
      <c r="C27" s="43" t="s">
        <v>845</v>
      </c>
      <c r="D27" s="124" t="s">
        <v>846</v>
      </c>
      <c r="E27" s="43" t="s">
        <v>1007</v>
      </c>
      <c r="F27" s="43" t="s">
        <v>980</v>
      </c>
      <c r="G27" s="43" t="s">
        <v>1008</v>
      </c>
      <c r="H27" s="43"/>
      <c r="I27" s="109" t="s">
        <v>851</v>
      </c>
      <c r="J27" s="110">
        <v>1002848971</v>
      </c>
      <c r="K27" s="43" t="s">
        <v>852</v>
      </c>
      <c r="L27" s="175" t="s">
        <v>853</v>
      </c>
      <c r="M27" s="22">
        <v>37014</v>
      </c>
      <c r="N27" s="213">
        <f t="shared" ca="1" si="0"/>
        <v>22.517808219178082</v>
      </c>
      <c r="O27" s="22">
        <v>44846</v>
      </c>
      <c r="P27" s="214" t="str">
        <f t="shared" si="1"/>
        <v>SI</v>
      </c>
      <c r="Q27" s="26" t="s">
        <v>855</v>
      </c>
      <c r="R27" s="22">
        <v>44846</v>
      </c>
      <c r="S27" s="21" t="s">
        <v>856</v>
      </c>
      <c r="T27" s="24" t="s">
        <v>690</v>
      </c>
      <c r="U27" s="21" t="s">
        <v>857</v>
      </c>
      <c r="V27" s="21" t="s">
        <v>1009</v>
      </c>
      <c r="W27" s="21" t="s">
        <v>1010</v>
      </c>
      <c r="X27" s="21" t="s">
        <v>1011</v>
      </c>
      <c r="Y27" s="21" t="s">
        <v>859</v>
      </c>
      <c r="Z27" s="21" t="s">
        <v>1012</v>
      </c>
      <c r="AA27" s="21" t="s">
        <v>860</v>
      </c>
      <c r="AB27" s="27" t="s">
        <v>861</v>
      </c>
      <c r="AC27" s="26" t="s">
        <v>897</v>
      </c>
      <c r="AD27" s="38" t="s">
        <v>863</v>
      </c>
      <c r="AE27" s="26" t="s">
        <v>854</v>
      </c>
      <c r="AF27" s="26" t="s">
        <v>854</v>
      </c>
      <c r="AG27" s="23" t="s">
        <v>864</v>
      </c>
      <c r="AH27" s="23" t="s">
        <v>864</v>
      </c>
      <c r="AI27" s="24" t="s">
        <v>863</v>
      </c>
      <c r="AJ27" s="23" t="s">
        <v>864</v>
      </c>
      <c r="AK27" s="220" t="str">
        <f>IF(AND(AD27="",AE27="",AF27="",AG27="",AH27="",AI27="",AJ27=""),"",IF(OR(Tabla1[[#This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EVALUACIÓN",IF(AND(O27="",R27=""),"",IF(AND(OR(O27&gt;0,R27&gt;0),NG27&gt;=0,NG27&lt;2),"SIN RIESGO",IF(AND(OR(O27&gt;0,R27&gt;0),NG27&gt;=2),"CON RIESGO","ASD")))))</f>
        <v>SIN RIESGO</v>
      </c>
      <c r="AL27" s="23" t="s">
        <v>864</v>
      </c>
      <c r="AM27" s="26" t="s">
        <v>864</v>
      </c>
      <c r="AN27" s="26" t="s">
        <v>864</v>
      </c>
      <c r="AO27" s="26" t="s">
        <v>864</v>
      </c>
      <c r="AP27" s="26" t="s">
        <v>864</v>
      </c>
      <c r="AQ27" s="26" t="s">
        <v>864</v>
      </c>
      <c r="AR27" s="26" t="s">
        <v>864</v>
      </c>
      <c r="AS27" s="21">
        <v>2</v>
      </c>
      <c r="AT27" s="21">
        <v>1</v>
      </c>
      <c r="AU27" s="21">
        <v>0</v>
      </c>
      <c r="AV27" s="26" t="s">
        <v>864</v>
      </c>
      <c r="AW27" s="21">
        <v>0</v>
      </c>
      <c r="AX27" s="26" t="s">
        <v>864</v>
      </c>
      <c r="AY27" s="26" t="s">
        <v>864</v>
      </c>
      <c r="AZ27" s="26" t="s">
        <v>864</v>
      </c>
      <c r="BA27" s="26" t="s">
        <v>864</v>
      </c>
      <c r="BB27" s="26" t="s">
        <v>864</v>
      </c>
      <c r="BC27" s="26" t="s">
        <v>864</v>
      </c>
      <c r="BD27" s="26" t="s">
        <v>864</v>
      </c>
      <c r="BE27" s="26" t="s">
        <v>864</v>
      </c>
      <c r="BF27" s="26" t="s">
        <v>864</v>
      </c>
      <c r="BG27" s="26" t="s">
        <v>864</v>
      </c>
      <c r="BH27" s="26" t="s">
        <v>864</v>
      </c>
      <c r="BI27" s="26" t="s">
        <v>864</v>
      </c>
      <c r="BJ27" s="26"/>
      <c r="BK27" s="26"/>
      <c r="BL27" s="26" t="s">
        <v>864</v>
      </c>
      <c r="BM27" s="26" t="s">
        <v>864</v>
      </c>
      <c r="BN27" s="22">
        <v>42997</v>
      </c>
      <c r="BO27" s="22">
        <v>44730</v>
      </c>
      <c r="BP27" s="21" t="s">
        <v>854</v>
      </c>
      <c r="BQ27" s="222">
        <f t="shared" si="2"/>
        <v>57.766666666666666</v>
      </c>
      <c r="BR27" s="223">
        <f t="shared" si="3"/>
        <v>44813</v>
      </c>
      <c r="BS27" s="224">
        <f t="shared" si="4"/>
        <v>16.571428571428573</v>
      </c>
      <c r="BT27" s="216" t="str">
        <f t="shared" si="5"/>
        <v>II TRIM</v>
      </c>
      <c r="BU27" s="214" t="str">
        <f t="shared" ca="1" si="6"/>
        <v/>
      </c>
      <c r="BV27" s="25"/>
      <c r="BW27" s="22">
        <v>44862</v>
      </c>
      <c r="BX27" s="28">
        <v>7</v>
      </c>
      <c r="BY27" s="28"/>
      <c r="BZ27" s="22">
        <v>44911</v>
      </c>
      <c r="CA27" s="21">
        <v>14.4</v>
      </c>
      <c r="CB27" s="26" t="s">
        <v>864</v>
      </c>
      <c r="CC27" s="26" t="s">
        <v>864</v>
      </c>
      <c r="CD27" s="26" t="s">
        <v>878</v>
      </c>
      <c r="CE27" s="26" t="s">
        <v>864</v>
      </c>
      <c r="CF27" s="22" t="s">
        <v>1517</v>
      </c>
      <c r="CG27" s="21">
        <v>1.65</v>
      </c>
      <c r="CH27" s="21">
        <v>69</v>
      </c>
      <c r="CI27" s="214">
        <f t="shared" si="7"/>
        <v>25.344352617079892</v>
      </c>
      <c r="CJ27" s="225" t="e">
        <f>IF(AND(CI27&lt;10,CH27="SD"),"SIN DATO PESO PREGESTACION O I TRIM",IF(AND(OR(R27&gt;0,O27&gt;0),CI27="X"),"INGRESAR DATO DE PESO",IF(CI27="SD","INGRESAR DATO DE TALLA Y PESO",IF(AND(OR(Tabla1[[#This Row],[MOMENTO EN QUE SE REALIZA EL PESO AL INGRESO A CPN]]="PREGESTACIÓN",NZ27="Menor"),CI27&lt;18.5),"BAJO PESO",IF(AND(OR(Tabla1[[#This Row],[MOMENTO EN QUE SE REALIZA EL PESO AL INGRESO A CPN]]="PREGESTACIÓN",NZ27="Menor"),CI27&lt;25),"NORMAL",IF(AND(OR(Tabla1[[#This Row],[MOMENTO EN QUE SE REALIZA EL PESO AL INGRESO A CPN]]="PREGESTACIÓN",NZ27="Menor"),CI27&lt;30),"SOBREPESO",IF(AND(OR(Tabla1[[#This Row],[MOMENTO EN QUE SE REALIZA EL PESO AL INGRESO A CPN]]="PREGESTACIÓN",NZ27="Menor"),CI27&gt;=30,CI27&lt;50),"OBESIDAD",IF(AND(BS27&gt;0,Tabla1[[#This Row],[MOMENTO EN QUE SE REALIZA EL PESO AL INGRESO A CPN]]="GESTACIÓN"),HLOOKUP(NZ27,$OA$2:PH27,NY27),""))))))))</f>
        <v>#REF!</v>
      </c>
      <c r="CK27" s="212">
        <f t="shared" si="8"/>
        <v>45083</v>
      </c>
      <c r="CL27" s="21">
        <v>76.5</v>
      </c>
      <c r="CM27" s="214">
        <f t="shared" si="9"/>
        <v>28.099173553719012</v>
      </c>
      <c r="CN27" s="216">
        <f t="shared" si="10"/>
        <v>50</v>
      </c>
      <c r="CO27" s="216" t="e">
        <f>IF(PI27="","",IF(PI27&gt;0,HLOOKUP(PI27,$PJ$2:QQ27,NY27),""))</f>
        <v>#REF!</v>
      </c>
      <c r="CP27" s="21"/>
      <c r="CQ27" s="216" t="e">
        <f>IF(QR27="Menor","NO APLICA-MENOR 13 SEM",IF(AND(CC27="SI",CN27&gt;23),"NO APLICA- GEMELAR",IF(QR27="","",IF(QR27&gt;0,HLOOKUP(QR27,$QS$2:RU27,NY27),""))))</f>
        <v>#REF!</v>
      </c>
      <c r="CR27" s="21">
        <v>90</v>
      </c>
      <c r="CS27" s="21">
        <v>70</v>
      </c>
      <c r="CT27" s="217" t="str">
        <f>IF(R27="","",IF(AND(BS27&gt;1,BS27&lt;12,Tabla1[[#This Row],[T.A. SISTOLICA - ANTES DE SEMANA 12]]="",Tabla1[[#This Row],[T.A. DIASTOLICA - ANTES DE SEMANA 12]]=""),"REGISTRE DATO TA ANTES SEMANA 12",IF(AND(BS27&gt;11,BS27&lt;43,Tabla1[[#This Row],[T.A. SISTOLICA - ANTES DE SEMANA 12]]="",Tabla1[[#This Row],[T.A. DIASTOLICA - ANTES DE SEMANA 12]]=""),"NO APLICA REGISTRO TA-INGRESO TARDIO",IF(AND(OR(O27&gt;0,R27&gt;0),OR(CR27&gt;=140,CS27&gt;=90)),"DEFINIR ESTADIO HTA",IF(AND(OR(O27&gt;0,R27&gt;0),AND(CR27&gt;120,CR27&lt;=139)),"PRE HTA SEGUIMIENTO",IF(AND(OR(O27&gt;0,R27&gt;0),AND(CS27&gt;80,CS27&lt;=89)),"PRE HTA SEGUIMIENTO",IF(AND(OR(O27&gt;0,R27&gt;0),AND(CR27&gt;=80,CR27&lt;=120)),"APARENTEMENTE NORMAL",IF(AND(OR(O27&gt;0,R27&gt;0),AND(CS27&gt;=50,CS27&lt;=80)),"APARENTEMENTE NORMAL",IF(AND(OR(O27&gt;0,R27&gt;0),AND(CR27&gt;1,CR27&lt;=70),AND(CS27&gt;1,CS27&lt;=40)),"HIPOTENSIÓN","")))))))))</f>
        <v>APARENTEMENTE NORMAL</v>
      </c>
      <c r="CU27" s="21">
        <v>90</v>
      </c>
      <c r="CV27" s="21">
        <v>60</v>
      </c>
      <c r="CW27" s="217" t="str">
        <f ca="1">IF(R27="","",IF(AND(CN27&gt;19,CN27&lt;27,Tabla1[[#This Row],[T.A. SISTOLICA (Entre semana 20 y 26)]]="",Tabla1[[#This Row],[T.A. DIATOLICA (Entre semana 20 y 26)]]=""),"ACUDE A CONTROL SEM 20 A 26 REGISTRE TA AHORA",IF(AND(BS27&gt;1,BS27&lt;27,BU27&gt;19,Tabla1[[#This Row],[T.A. SISTOLICA (Entre semana 20 y 26)]]="",Tabla1[[#This Row],[T.A. DIATOLICA (Entre semana 20 y 26)]]=""),"COMPLETE REGISTRO TA CONTROL SEM 20 A26 ",IF(AND(BS27&gt;26,BS27&lt;43,Tabla1[[#This Row],[T.A. SISTOLICA (Entre semana 20 y 26)]]="",Tabla1[[#This Row],[T.A. DIATOLICA (Entre semana 20 y 26)]]=""),"NO APLICA REGISTRO TA-INGRESO TARDIO",IF(AND(OR(O27&gt;0,R27&gt;0),OR(CU27&gt;=140,CV27&gt;=90)),"ALTO RIESGO PREECLAMPSIA,DEFINIR ESTADIO HTA",IF(AND(OR(O27&gt;0,R27&gt;0),AND(CU27&gt;120,CU27&lt;=139)),"PRE HTA SEGUIMIENTO,RIESGO HIPERTENSION INDUCIDA POR EL EMBARAZO",IF(AND(OR(O27&gt;0,R27&gt;0),AND(CV27&gt;80,CV27&lt;=89)),"PRE HTA SEGUIMIENTO, RIESGO HIPERTENSION INDUCIDA POR EL EMBARAZO",IF(AND(OR(O27&lt;&gt;"",R27&lt;&gt;""),CS27&lt;&gt;"",CV27&lt;&gt;"",CS27&lt;=CV27),"VIGILAR CIFRAS PRESION ARTERIAL",IF(AND(OR(O27&gt;0,R27&gt;0),AND(CU27&gt;120,CU27&lt;=139)),"PRE HTA SEGUIMIENTO",IF(AND(OR(O27&gt;0,R27&gt;0),AND(CU27&gt;1,CU27&lt;=70),AND(CV27&gt;1,CV27&lt;=40)),"HIPOTENSIÓN",IF(AND(OR(O27&lt;&gt;"",R27&lt;&gt;""),CS27&lt;&gt;"",CV27&lt;&gt;"",CS27&gt;CV27),"APARENTEMENTE NORMAL",IF(AND(OR(O27&gt;0,R27&gt;0),AND(CU27&gt;=80,CU27&lt;=120)),"APARENTEMENTE NORMAL",IF(AND(OR(O27&gt;0,R27&gt;0),AND(CV27&gt;=50,CV27&lt;=80)),"APARENTEMENTE NORMAL","")))))))))))))</f>
        <v>APARENTEMENTE NORMAL</v>
      </c>
      <c r="CX27" s="21">
        <v>90</v>
      </c>
      <c r="CY27" s="21">
        <v>60</v>
      </c>
      <c r="CZ27" s="216" t="str">
        <f t="shared" si="11"/>
        <v>APARENTEMENTE NORMAL</v>
      </c>
      <c r="DA27" s="21">
        <v>100</v>
      </c>
      <c r="DB27" s="21">
        <v>60</v>
      </c>
      <c r="DC27" s="217" t="str">
        <f t="shared" si="12"/>
        <v>APARENTEMENTE NORMAL</v>
      </c>
      <c r="DD27" s="22">
        <v>44846</v>
      </c>
      <c r="DE27" s="22">
        <v>44846</v>
      </c>
      <c r="DF27" s="22">
        <v>44876</v>
      </c>
      <c r="DG27" s="22">
        <v>44911</v>
      </c>
      <c r="DH27" s="22">
        <v>44946</v>
      </c>
      <c r="DI27" s="22">
        <v>44978</v>
      </c>
      <c r="DJ27" s="22">
        <v>45007</v>
      </c>
      <c r="DK27" s="22">
        <v>45038</v>
      </c>
      <c r="DL27" s="22">
        <v>45069</v>
      </c>
      <c r="DM27" s="22">
        <v>45083</v>
      </c>
      <c r="DN27" s="22"/>
      <c r="DO27" s="22"/>
      <c r="DP27" s="22"/>
      <c r="DQ27" s="22"/>
      <c r="DR27" s="28">
        <v>3</v>
      </c>
      <c r="DS27" s="22"/>
      <c r="DT27" s="22"/>
      <c r="DU27" s="216" t="str">
        <f t="shared" ca="1" si="13"/>
        <v>SALE SIN PLAN DE PARTO</v>
      </c>
      <c r="DV27" s="226" t="str">
        <f t="shared" si="14"/>
        <v>SALIO PROGRAMA</v>
      </c>
      <c r="DW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7" s="216" t="str">
        <f t="shared" ca="1" si="15"/>
        <v/>
      </c>
      <c r="DY27" s="212">
        <f>IF(R27="","",IF(R27&gt;0,MAX(Tabla1[[#This Row],[FECHA C2]:[FECHA C13]],Tabla1[[#This Row],[FECHA CONSULTA PRIMERA VEZ PROGRAMA CPN ]])))</f>
        <v>45083</v>
      </c>
      <c r="DZ27" s="216">
        <f t="shared" si="16"/>
        <v>50</v>
      </c>
      <c r="EA27" s="222">
        <f>IF(R27&gt;0,SUM(COUNTA(DF27:DQ27)+COUNTA(Tabla1[[#This Row],[FECHA CONSULTA PRIMERA VEZ PROGRAMA CPN ]])),"")</f>
        <v>9</v>
      </c>
      <c r="EB27" s="222" t="str">
        <f t="shared" si="17"/>
        <v>SI</v>
      </c>
      <c r="EC27" s="214">
        <f t="shared" si="18"/>
        <v>7</v>
      </c>
      <c r="ED27" s="227">
        <f t="shared" si="19"/>
        <v>1.2857142857142858</v>
      </c>
      <c r="EE27" s="22">
        <v>44846</v>
      </c>
      <c r="EF27" s="22">
        <v>44862</v>
      </c>
      <c r="EG27" s="22">
        <v>44846</v>
      </c>
      <c r="EH27" s="22"/>
      <c r="EI27" s="22">
        <v>44846</v>
      </c>
      <c r="EJ27" s="22">
        <v>44995</v>
      </c>
      <c r="EK27" s="22">
        <v>45058</v>
      </c>
      <c r="EL27" s="21">
        <v>2</v>
      </c>
      <c r="EM27" s="21">
        <v>16.7</v>
      </c>
      <c r="EN27" s="22">
        <v>44846</v>
      </c>
      <c r="EO27" s="222">
        <f t="shared" si="20"/>
        <v>16.571428571428573</v>
      </c>
      <c r="EP27" s="214" t="str">
        <f t="shared" si="21"/>
        <v>NO DAR SULFATO FERROSO</v>
      </c>
      <c r="EQ27" s="216" t="str">
        <f t="shared" si="22"/>
        <v>II TRIM</v>
      </c>
      <c r="ER27" s="24"/>
      <c r="ES27" s="22"/>
      <c r="ET27" s="29" t="str">
        <f t="shared" ca="1" si="23"/>
        <v>TOMA DE HEMOGLOBINA TARDÍA</v>
      </c>
      <c r="EU27" s="25" t="str">
        <f t="shared" si="24"/>
        <v/>
      </c>
      <c r="EV27" s="24" t="s">
        <v>1510</v>
      </c>
      <c r="EW27" s="24">
        <v>44846</v>
      </c>
      <c r="EX27" s="22"/>
      <c r="EY27" s="29">
        <f t="shared" si="25"/>
        <v>16.571428571428573</v>
      </c>
      <c r="EZ27" s="25" t="str">
        <f t="shared" si="26"/>
        <v>SIN RIESGO DE ISOINMUNIZACIÓN</v>
      </c>
      <c r="FA27" s="21">
        <v>79</v>
      </c>
      <c r="FB27" s="22">
        <v>44846</v>
      </c>
      <c r="FC27" s="29">
        <f t="shared" si="27"/>
        <v>16.571428571428573</v>
      </c>
      <c r="FD27" s="29">
        <v>66</v>
      </c>
      <c r="FE27" s="29">
        <v>79</v>
      </c>
      <c r="FF27" s="29">
        <v>89</v>
      </c>
      <c r="FG27" s="21" t="str">
        <f t="shared" ca="1" si="28"/>
        <v>NORMAL</v>
      </c>
      <c r="FH27" s="31">
        <v>45027</v>
      </c>
      <c r="FI27" s="29" t="str">
        <f t="shared" si="29"/>
        <v>CORREGIR FECHA RESULTADO</v>
      </c>
      <c r="FJ27" s="22"/>
      <c r="FK27" s="22"/>
      <c r="FL27" s="29" t="str">
        <f t="shared" ca="1" si="30"/>
        <v>NO APLICA-INGRESO TARDIO</v>
      </c>
      <c r="FM27" s="22" t="s">
        <v>867</v>
      </c>
      <c r="FN27" s="32">
        <v>44846</v>
      </c>
      <c r="FO27" s="29">
        <f t="shared" ca="1" si="31"/>
        <v>16.571428571428573</v>
      </c>
      <c r="FP27" s="22" t="s">
        <v>867</v>
      </c>
      <c r="FQ27" s="32">
        <v>45027</v>
      </c>
      <c r="FR27" s="29">
        <f t="shared" ca="1" si="32"/>
        <v>42.428571428571431</v>
      </c>
      <c r="FS27" s="22"/>
      <c r="FT27" s="32"/>
      <c r="FU27" s="29" t="str">
        <f>IF(AND(FJ27="",FM27="",FP27="",FS27=""),"",IF(OR(OR(Tabla1[[#This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7" s="28"/>
      <c r="FW27" s="22"/>
      <c r="FX27" s="29" t="str">
        <f t="shared" si="33"/>
        <v>TOMAR EXAMEN</v>
      </c>
      <c r="FY27" s="22">
        <v>44846</v>
      </c>
      <c r="FZ27" s="22">
        <v>44846</v>
      </c>
      <c r="GA27" s="29" t="str">
        <f t="shared" si="34"/>
        <v>REGISTRAR EN II TRIMESTRE</v>
      </c>
      <c r="GB27" s="22" t="s">
        <v>868</v>
      </c>
      <c r="GC27" s="22">
        <v>44846</v>
      </c>
      <c r="GD27" s="29">
        <f t="shared" ca="1" si="35"/>
        <v>16.571428571428573</v>
      </c>
      <c r="GE27" s="22" t="s">
        <v>868</v>
      </c>
      <c r="GF27" s="22">
        <v>44982</v>
      </c>
      <c r="GG27" s="29">
        <f t="shared" ca="1" si="36"/>
        <v>36</v>
      </c>
      <c r="GH27" s="22"/>
      <c r="GI27" s="29"/>
      <c r="GJ27" s="22"/>
      <c r="GK27" s="22"/>
      <c r="GL27" s="22" t="s">
        <v>879</v>
      </c>
      <c r="GM27" s="22"/>
      <c r="GN27" s="28" t="s">
        <v>869</v>
      </c>
      <c r="GO27" s="22">
        <v>44846</v>
      </c>
      <c r="GP27" s="29">
        <f t="shared" si="37"/>
        <v>16.571428571428573</v>
      </c>
      <c r="GQ27" s="28" t="s">
        <v>880</v>
      </c>
      <c r="GR27" s="28" t="s">
        <v>869</v>
      </c>
      <c r="GS27" s="22" t="str">
        <f t="shared" si="38"/>
        <v>SE EXCLUYE INFECCION</v>
      </c>
      <c r="GT27" s="22">
        <v>44846</v>
      </c>
      <c r="GU27" s="29">
        <f t="shared" si="39"/>
        <v>16.571428571428573</v>
      </c>
      <c r="GV27" s="21" t="str">
        <f t="shared" si="40"/>
        <v>II TRIM</v>
      </c>
      <c r="GW27" s="28" t="s">
        <v>869</v>
      </c>
      <c r="GX27" s="30"/>
      <c r="GY27" s="21"/>
      <c r="GZ27" s="21"/>
      <c r="HA27" s="21"/>
      <c r="HB27" s="21"/>
      <c r="HC27" s="21"/>
      <c r="HD27" s="21"/>
      <c r="HE27" s="21"/>
      <c r="HF27" s="22"/>
      <c r="HG27" s="22" t="str">
        <f>IF(OR(O27&gt;0,R27&gt;0),CONCATENATE(IF(Tabla1[[#This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7" s="22" t="e">
        <f t="shared" si="41"/>
        <v>#REF!</v>
      </c>
      <c r="HI27" s="22" t="e">
        <f t="shared" ca="1" si="42"/>
        <v>#REF!</v>
      </c>
      <c r="HJ27" s="21"/>
      <c r="HK27" s="21" t="str">
        <f t="shared" si="44"/>
        <v>SIN ANTECEDENTES DE RIESGO</v>
      </c>
      <c r="HL27" s="24" t="str">
        <f t="shared" si="45"/>
        <v>APARENTEMENTE NORMAL</v>
      </c>
      <c r="HM27" s="21" t="str">
        <f t="shared" ca="1" si="46"/>
        <v/>
      </c>
      <c r="HN27" s="30" t="str">
        <f t="shared" si="47"/>
        <v>SALIO PROGRAMA</v>
      </c>
      <c r="HO27" s="21"/>
      <c r="HP27" s="21"/>
      <c r="HQ27" s="21">
        <v>44846</v>
      </c>
      <c r="HR27" s="21" t="str">
        <f>IF(R27="","",IF(Tabla1[[#This Row],[ALARMA FACTORES DE RIESGO COMPLICACIONES HIPERTENSIVAS3]]="SIN ANTECEDENTES DE RIESGO","No Aplica para suministro de ASA",IF(AND(Tabla1[[#This Row],[FECHA INICIO DE SUMINISTRO DE ASA]]&gt;0,RV27&lt;12),"Inicia ASA ANTES de Sem 12",IF(AND(RV27&gt;11,RV27&lt;17,OR(HK27="RIESGO ALTO DE COMPLICACIONES HIPERTENSIVAS VER MANEJO GUIA SUMINISTRO ASA Y CALCIO",HK27="RIESGO MODERADO (2 O MAS CRITERIOS) VER MANEJO GUIA SUMINISTRO ASA Y CALCIO")),"Inicio oportuno de ASA",IF(AND(RV27&gt;12,OR(HK27="RIESGO ALTO DE COMPLICACIONES HIPERTENSIVAS VER MANEJO GUIA SUMINISTRO ASA Y CALCIO",HK27="RIESGO MODERADO (2 O MAS CRITERIOS) VER MANEJO GUIA SUMINISTRO ASA Y CALCIO")),"Inicio no oportuno mayor a 16 semanas",IF(AND(BU27&lt;12,OR(HK27="RIESGO ALTO DE COMPLICACIONES HIPERTENSIVAS VER MANEJO GUIA SUMINISTRO ASA Y CALCIO",HK27="RIESGO MODERADO (2 O MAS CRITERIOS) VER MANEJO GUIA SUMINISTRO ASA Y CALCIO")),"Pendiente Inicio de ASA a la semana 12",IF(AND(BU27&gt;11,BU27&lt;17,OR(HK27="RIESGO ALTO DE COMPLICACIONES HIPERTENSIVAS VER MANEJO GUIA SUMINISTRO ASA Y CALCIO",HK27="RIESGO MODERADO (2 O MAS CRITERIOS) VER MANEJO GUIA SUMINISTRO ASA Y CALCIO")),"Iniciar de inmediato ASA",IF(AND(BU27&gt;16,OR(HK27="RIESGO ALTO DE COMPLICACIONES HIPERTENSIVAS VER MANEJO GUIA SUMINISTRO ASA Y CALCIO",HK27="RIESGO MODERADO (2 O MAS CRITERIOS) VER MANEJO GUIA SUMINISTRO ASA Y CALCIO")),"Pierde Oportunidad, Inicio tardío de ASA","XXXXX"))))))))</f>
        <v>No Aplica para suministro de ASA</v>
      </c>
      <c r="HS27" s="22">
        <v>44846</v>
      </c>
      <c r="HT27" s="22" t="s">
        <v>870</v>
      </c>
      <c r="HU27" s="22">
        <v>44846</v>
      </c>
      <c r="HV27" s="22" t="s">
        <v>870</v>
      </c>
      <c r="HW27" s="22">
        <v>44846</v>
      </c>
      <c r="HX27" s="22" t="s">
        <v>870</v>
      </c>
      <c r="HY27" s="22">
        <v>44854</v>
      </c>
      <c r="HZ27" s="28">
        <f t="shared" si="48"/>
        <v>17.714285714285715</v>
      </c>
      <c r="IA27" s="26" t="s">
        <v>864</v>
      </c>
      <c r="IB27" s="26"/>
      <c r="IC27" s="111">
        <v>44977</v>
      </c>
      <c r="ID27" s="22"/>
      <c r="IE27" s="22" t="str">
        <f t="shared" ca="1" si="49"/>
        <v>SALE SIN VACUNA</v>
      </c>
      <c r="IF27" s="22"/>
      <c r="IG27" s="22">
        <f t="shared" si="50"/>
        <v>45010</v>
      </c>
      <c r="IH27" s="29">
        <f t="shared" ca="1" si="51"/>
        <v>-223</v>
      </c>
      <c r="II27" s="22" t="str">
        <f t="shared" ca="1" si="52"/>
        <v>POSIBLEMENTE NACIO</v>
      </c>
      <c r="IJ27" s="22"/>
      <c r="IK27" s="21" t="s">
        <v>1652</v>
      </c>
      <c r="IL27" s="21"/>
      <c r="IM27" s="34"/>
      <c r="IN27" s="349">
        <v>45091</v>
      </c>
      <c r="IO27" s="21" t="s">
        <v>1186</v>
      </c>
      <c r="IP27" s="29">
        <f t="shared" si="53"/>
        <v>51.571428571428569</v>
      </c>
      <c r="IQ27" s="35" t="s">
        <v>1650</v>
      </c>
      <c r="IR27" s="21" t="s">
        <v>1651</v>
      </c>
      <c r="IS27" s="21" t="s">
        <v>1646</v>
      </c>
      <c r="IT27" s="21" t="s">
        <v>1642</v>
      </c>
      <c r="IU27" s="21"/>
      <c r="IV27" s="21"/>
      <c r="IW27" s="21"/>
      <c r="IX27" s="21"/>
      <c r="IY27" s="21"/>
      <c r="IZ27" s="21"/>
      <c r="JA27" s="21"/>
      <c r="JB27" s="30">
        <v>1</v>
      </c>
      <c r="JC27" s="21" t="s">
        <v>1647</v>
      </c>
      <c r="JD27" s="36">
        <v>3645</v>
      </c>
      <c r="JE27" s="21" t="str">
        <f t="shared" si="54"/>
        <v>PESO ADECUADO EDAD GESTACIONAL</v>
      </c>
      <c r="JF27" s="30"/>
      <c r="JG27" s="21"/>
      <c r="JH27" s="21"/>
      <c r="JI27" s="21" t="s">
        <v>854</v>
      </c>
      <c r="JJ27" s="30" t="s">
        <v>866</v>
      </c>
      <c r="JK27" s="22"/>
      <c r="JL27" s="22"/>
      <c r="JM27" s="21"/>
      <c r="JN27" s="36"/>
      <c r="JO27" s="21" t="str">
        <f t="shared" si="55"/>
        <v/>
      </c>
      <c r="JP27" s="22"/>
      <c r="JQ27" s="21"/>
      <c r="JR27" s="21"/>
      <c r="JS27" s="21"/>
      <c r="JT27" s="30"/>
      <c r="JU27" s="22"/>
      <c r="JV27" s="22"/>
      <c r="JW27" s="33"/>
      <c r="JX27" s="28" t="str">
        <f t="shared" si="56"/>
        <v>INASISTENTE</v>
      </c>
      <c r="JY27" s="33"/>
      <c r="JZ27" s="28" t="str">
        <f t="shared" si="57"/>
        <v>INASISTENTE</v>
      </c>
      <c r="KA27" s="21"/>
      <c r="KB27" s="21"/>
      <c r="KC27" s="21"/>
      <c r="KD27" s="37"/>
      <c r="KE27" s="28"/>
      <c r="KF27" s="28"/>
      <c r="KG27" s="28"/>
      <c r="KH27" s="39"/>
      <c r="KI27" s="39"/>
      <c r="KJ27" s="66"/>
      <c r="KK27" s="39"/>
      <c r="KL27" s="39"/>
      <c r="KM27" s="66"/>
      <c r="KN27" s="39"/>
      <c r="KO27" s="39"/>
      <c r="KP27" s="39"/>
      <c r="KQ27" s="39"/>
      <c r="KR27" s="39"/>
      <c r="KS27" s="39"/>
      <c r="KT27" s="39"/>
      <c r="KU27" s="38"/>
      <c r="KV27" s="38"/>
      <c r="KW27" s="38"/>
      <c r="KX27" s="38"/>
      <c r="KY27" s="38"/>
      <c r="KZ27" s="38"/>
      <c r="LA27" s="38"/>
      <c r="LB27" s="38"/>
      <c r="LC27" s="38"/>
      <c r="LD27" s="38"/>
      <c r="LE27" s="38"/>
      <c r="LF27" s="38"/>
      <c r="LG27" s="38"/>
      <c r="LH27" s="38"/>
      <c r="LI27" s="38"/>
      <c r="LJ27" s="38"/>
      <c r="LK27" s="38"/>
      <c r="LL27" s="38"/>
      <c r="LM27" s="38"/>
      <c r="LN27" s="38"/>
      <c r="LO27" s="38"/>
      <c r="LP27" s="38"/>
      <c r="LQ27" s="38"/>
      <c r="LR27" s="38"/>
      <c r="LS27" s="38"/>
      <c r="LT27" s="38"/>
      <c r="LU27" s="38"/>
      <c r="LV27" s="38"/>
      <c r="LW27" s="38"/>
      <c r="LX27" s="38"/>
      <c r="LY27" s="38"/>
      <c r="LZ27" s="38"/>
      <c r="MA27" s="38"/>
      <c r="MB27" s="38"/>
      <c r="MC27" s="38"/>
      <c r="MD27" s="38"/>
      <c r="ME27" s="38"/>
      <c r="MF27" s="38"/>
      <c r="MG27" s="38"/>
      <c r="MH27" s="43">
        <f t="shared" si="58"/>
        <v>0</v>
      </c>
      <c r="MI27" s="43" t="str">
        <f t="shared" si="59"/>
        <v/>
      </c>
      <c r="MJ27" s="43" t="str">
        <f t="shared" si="60"/>
        <v/>
      </c>
      <c r="MK27" s="43">
        <f t="shared" si="61"/>
        <v>0</v>
      </c>
      <c r="ML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7" s="43">
        <f t="shared" si="62"/>
        <v>16.571428571428573</v>
      </c>
      <c r="MN27" s="43">
        <f t="shared" si="63"/>
        <v>10</v>
      </c>
      <c r="MO27" s="43">
        <f t="shared" si="64"/>
        <v>2022</v>
      </c>
      <c r="MP27" s="43" t="str">
        <f t="shared" si="65"/>
        <v>IV TRIMESTRE AÑO</v>
      </c>
      <c r="MQ27" s="43">
        <f t="shared" si="66"/>
        <v>21.131734559789749</v>
      </c>
      <c r="MR27" s="43">
        <f t="shared" si="67"/>
        <v>0</v>
      </c>
      <c r="MS27" s="43" t="str">
        <f t="shared" si="68"/>
        <v xml:space="preserve"> DE 20 A 24 AÑOS</v>
      </c>
      <c r="MT27" s="43">
        <f t="shared" si="69"/>
        <v>0</v>
      </c>
      <c r="MU27" s="43">
        <f t="shared" si="70"/>
        <v>0</v>
      </c>
      <c r="MV27" s="43">
        <f t="shared" si="71"/>
        <v>0</v>
      </c>
      <c r="MW27" s="43">
        <f t="shared" si="72"/>
        <v>0</v>
      </c>
      <c r="MX27" s="43" t="str">
        <f t="shared" si="73"/>
        <v/>
      </c>
      <c r="MY27" s="43" t="str">
        <f t="shared" ca="1" si="74"/>
        <v/>
      </c>
      <c r="MZ27" s="43" t="str">
        <f t="shared" si="75"/>
        <v/>
      </c>
      <c r="NA27" s="43">
        <f t="shared" si="76"/>
        <v>0</v>
      </c>
      <c r="NB27" s="43" t="str">
        <f t="shared" si="77"/>
        <v/>
      </c>
      <c r="NC27" s="43" t="str">
        <f t="shared" si="78"/>
        <v/>
      </c>
      <c r="ND27" s="43">
        <f t="shared" ca="1" si="79"/>
        <v>0</v>
      </c>
      <c r="NE27" s="43">
        <f>IF(OR(O27&gt;0,R27&gt;0),SUM(COUNTIF(Tabla1[[#This Row],[AÑOS AL INICIO5 CPN]],"&gt;=40"),COUNTIF(AS27,"0"),COUNTIF(AR27,"SI"),COUNTIF(CC27,"SI"),COUNTIF(BQ27,"&gt;119"),COUNTIF(CI27,"&gt;=35")),"")</f>
        <v>0</v>
      </c>
      <c r="NF27" s="43" t="str">
        <f t="shared" si="80"/>
        <v/>
      </c>
      <c r="NG27" s="43">
        <f t="shared" si="81"/>
        <v>0</v>
      </c>
      <c r="NH27" s="43">
        <f t="shared" si="82"/>
        <v>49</v>
      </c>
      <c r="NI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CPN",P27="NO"),"Z",IF(AND(Tabla1[[#This Row],[CITA PROXIMO CONTROL]]="CITA MANUAL",Tabla1[[#This Row],[GESTANTES ACTUALES]]="ACTIVA INGRESO A CPN"),"W",IF(AND(Tabla1[[#This Row],[GESTANTES ACTUALES]]="SALIO PROGRAMA",IN27=""),"S",IF(AND(Tabla1[[#This Row],[CITA PROXIMO CONTROL]]&gt;0,IN27=""),(Tabla1[[#This Row],[CITA PROXIMO CONTROL]]-TODAY()),"SD"))))))))</f>
        <v>SD</v>
      </c>
      <c r="NJ27" s="43">
        <f>MONTH(Tabla1[[#This Row],[FECHA DE SALIDA  DEL PROGRAMA]])</f>
        <v>6</v>
      </c>
      <c r="NK27" s="43">
        <f>YEAR(Tabla1[[#This Row],[FECHA DE SALIDA  DEL PROGRAMA]])</f>
        <v>2023</v>
      </c>
      <c r="NL27" s="43">
        <f t="shared" si="83"/>
        <v>149</v>
      </c>
      <c r="NM27" s="43" t="str">
        <f t="shared" si="84"/>
        <v>NO</v>
      </c>
      <c r="NN27" s="43" t="str">
        <f ca="1">IF(AND(O27&gt;0,R27=""),"NO CPN",IF(AND(O27="",R27=""),"",IF(AND(R27&gt;0,Tabla1[[#This Row],[SEMANAS DE GESTACION ACTUALIZADAS]]&lt;=12),"NO APLICA",IF(AND(FH27&lt;&gt;"",FN27&lt;&gt;""),"SI","NO"))))</f>
        <v>SI</v>
      </c>
      <c r="NO27" s="43" t="str">
        <f ca="1">IF(AND(O27&gt;0,R27=""),"NO CPN",IF(AND(O27="",R27=""),"",IF(AND(R27&gt;0,Tabla1[[#This Row],[SEMANAS DE GESTACION ACTUALIZADAS]]&lt;=27),"NO APLICA",IF(AND(ES27&lt;&gt;"",FQ27&lt;&gt;"",GF27&lt;&gt;""),"SI","NO"))))</f>
        <v>NO</v>
      </c>
      <c r="NP27" s="204" t="str">
        <f t="shared" si="85"/>
        <v>II TRIM</v>
      </c>
      <c r="NQ27" s="21" t="str">
        <f t="shared" si="86"/>
        <v/>
      </c>
      <c r="NR27" s="21" t="str">
        <f t="shared" ca="1" si="87"/>
        <v>REVISAR FUM O FECHA SALIDA PROGRAMA</v>
      </c>
      <c r="NS27" s="205">
        <f t="shared" ca="1" si="88"/>
        <v>2</v>
      </c>
      <c r="NT27" s="21">
        <f t="shared" ca="1" si="89"/>
        <v>2</v>
      </c>
      <c r="NU27" s="21" t="str">
        <f t="shared" ca="1" si="90"/>
        <v>POR DEFINIR</v>
      </c>
      <c r="NV27" s="21" t="str">
        <f t="shared" ca="1" si="91"/>
        <v>POR DEFINIR</v>
      </c>
      <c r="NW27" s="206" t="str">
        <f>IF(AND(O27="",R27=""),"",IF(OR(AND(Tabla1[[#This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7" s="207" t="str">
        <f t="shared" ca="1" si="92"/>
        <v>SIN VACUNAR</v>
      </c>
      <c r="NY27" s="43">
        <f>ROW(Tabla1[[#This Row],['# DE TAMIZAJES SIFILIS TOMADOS ]])</f>
        <v>27</v>
      </c>
      <c r="NZ27" s="43">
        <f t="shared" si="93"/>
        <v>16</v>
      </c>
      <c r="OA27" s="43" t="str">
        <f t="shared" si="94"/>
        <v/>
      </c>
      <c r="OB27" s="43" t="str">
        <f t="shared" si="95"/>
        <v/>
      </c>
      <c r="OC27" s="43" t="str">
        <f t="shared" si="96"/>
        <v/>
      </c>
      <c r="OD27" s="43" t="str">
        <f t="shared" si="97"/>
        <v/>
      </c>
      <c r="OE27" s="43" t="str">
        <f t="shared" si="98"/>
        <v/>
      </c>
      <c r="OF27" s="43" t="str">
        <f t="shared" si="99"/>
        <v/>
      </c>
      <c r="OG27" s="43" t="str">
        <f t="shared" si="100"/>
        <v/>
      </c>
      <c r="OH27" s="43" t="str">
        <f t="shared" si="101"/>
        <v>NORMAL</v>
      </c>
      <c r="OI27" s="43" t="str">
        <f t="shared" si="102"/>
        <v/>
      </c>
      <c r="OJ27" s="43" t="str">
        <f t="shared" si="103"/>
        <v/>
      </c>
      <c r="OK27" s="43" t="str">
        <f t="shared" si="104"/>
        <v/>
      </c>
      <c r="OL27" s="43" t="str">
        <f t="shared" si="105"/>
        <v/>
      </c>
      <c r="OM27" s="43" t="str">
        <f t="shared" si="106"/>
        <v/>
      </c>
      <c r="ON27" s="43" t="str">
        <f t="shared" si="107"/>
        <v/>
      </c>
      <c r="OO27" s="43" t="str">
        <f t="shared" si="108"/>
        <v/>
      </c>
      <c r="OP27" s="43" t="str">
        <f t="shared" si="109"/>
        <v/>
      </c>
      <c r="OQ27" s="43" t="str">
        <f t="shared" si="110"/>
        <v/>
      </c>
      <c r="OR27" s="43" t="str">
        <f t="shared" si="111"/>
        <v/>
      </c>
      <c r="OS27" s="43" t="str">
        <f t="shared" si="112"/>
        <v/>
      </c>
      <c r="OT27" s="43" t="str">
        <f t="shared" si="113"/>
        <v/>
      </c>
      <c r="OU27" s="43" t="str">
        <f t="shared" si="114"/>
        <v/>
      </c>
      <c r="OV27" s="110" t="str">
        <f t="shared" si="115"/>
        <v/>
      </c>
      <c r="OW27" s="43" t="str">
        <f t="shared" si="116"/>
        <v/>
      </c>
      <c r="OX27" s="43" t="str">
        <f t="shared" si="117"/>
        <v/>
      </c>
      <c r="OY27" s="43" t="str">
        <f t="shared" si="118"/>
        <v/>
      </c>
      <c r="OZ27" s="43" t="str">
        <f t="shared" si="119"/>
        <v/>
      </c>
      <c r="PA27" s="43" t="str">
        <f t="shared" si="120"/>
        <v/>
      </c>
      <c r="PB27" s="43" t="str">
        <f t="shared" si="121"/>
        <v/>
      </c>
      <c r="PC27" s="43" t="str">
        <f t="shared" si="122"/>
        <v/>
      </c>
      <c r="PD27" s="43" t="str">
        <f t="shared" si="123"/>
        <v/>
      </c>
      <c r="PE27" s="43" t="str">
        <f t="shared" si="124"/>
        <v/>
      </c>
      <c r="PF27" s="43" t="str">
        <f t="shared" si="125"/>
        <v/>
      </c>
      <c r="PG27" s="43" t="str">
        <f t="shared" si="126"/>
        <v/>
      </c>
      <c r="PH27" s="43" t="str">
        <f t="shared" si="127"/>
        <v/>
      </c>
      <c r="PI27" s="43">
        <f t="shared" si="128"/>
        <v>50</v>
      </c>
      <c r="PJ27" s="43" t="str">
        <f t="shared" si="129"/>
        <v/>
      </c>
      <c r="PK27" s="43" t="str">
        <f t="shared" si="130"/>
        <v/>
      </c>
      <c r="PL27" s="43" t="str">
        <f t="shared" si="131"/>
        <v/>
      </c>
      <c r="PM27" s="43" t="str">
        <f t="shared" si="132"/>
        <v/>
      </c>
      <c r="PN27" s="43" t="str">
        <f t="shared" si="133"/>
        <v/>
      </c>
      <c r="PO27" s="43" t="str">
        <f t="shared" si="134"/>
        <v/>
      </c>
      <c r="PP27" s="43" t="str">
        <f t="shared" si="135"/>
        <v/>
      </c>
      <c r="PQ27" s="43" t="str">
        <f t="shared" si="136"/>
        <v/>
      </c>
      <c r="PR27" s="43" t="str">
        <f t="shared" si="137"/>
        <v/>
      </c>
      <c r="PS27" s="43" t="str">
        <f t="shared" si="138"/>
        <v/>
      </c>
      <c r="PT27" s="43" t="str">
        <f t="shared" si="139"/>
        <v/>
      </c>
      <c r="PU27" s="43" t="str">
        <f t="shared" si="140"/>
        <v/>
      </c>
      <c r="PV27" s="43" t="str">
        <f t="shared" si="141"/>
        <v/>
      </c>
      <c r="PW27" s="43" t="str">
        <f t="shared" si="142"/>
        <v/>
      </c>
      <c r="PX27" s="43" t="str">
        <f t="shared" si="143"/>
        <v/>
      </c>
      <c r="PY27" s="43" t="str">
        <f t="shared" si="144"/>
        <v/>
      </c>
      <c r="PZ27" s="43" t="str">
        <f t="shared" si="145"/>
        <v/>
      </c>
      <c r="QA27" s="43" t="str">
        <f t="shared" si="146"/>
        <v/>
      </c>
      <c r="QB27" s="43" t="str">
        <f t="shared" si="147"/>
        <v/>
      </c>
      <c r="QC27" s="43" t="str">
        <f t="shared" si="148"/>
        <v/>
      </c>
      <c r="QD27" s="43" t="str">
        <f t="shared" si="149"/>
        <v/>
      </c>
      <c r="QE27" s="43" t="str">
        <f t="shared" si="150"/>
        <v/>
      </c>
      <c r="QF27" s="43" t="str">
        <f t="shared" si="151"/>
        <v/>
      </c>
      <c r="QG27" s="43" t="str">
        <f t="shared" si="152"/>
        <v/>
      </c>
      <c r="QH27" s="43" t="str">
        <f t="shared" si="153"/>
        <v/>
      </c>
      <c r="QI27" s="43" t="str">
        <f t="shared" si="154"/>
        <v/>
      </c>
      <c r="QJ27" s="43" t="str">
        <f t="shared" si="155"/>
        <v/>
      </c>
      <c r="QK27" s="43" t="str">
        <f t="shared" si="156"/>
        <v/>
      </c>
      <c r="QL27" s="43" t="str">
        <f t="shared" si="157"/>
        <v/>
      </c>
      <c r="QM27" s="43" t="str">
        <f t="shared" si="158"/>
        <v/>
      </c>
      <c r="QN27" s="43" t="str">
        <f t="shared" si="159"/>
        <v/>
      </c>
      <c r="QO27" s="43" t="str">
        <f t="shared" si="160"/>
        <v/>
      </c>
      <c r="QP27" s="43" t="str">
        <f t="shared" si="161"/>
        <v/>
      </c>
      <c r="QQ27" s="43" t="str">
        <f t="shared" si="162"/>
        <v/>
      </c>
      <c r="QR27" s="43" t="str">
        <f t="shared" si="192"/>
        <v>Mayor</v>
      </c>
      <c r="QS27" s="43"/>
      <c r="QT27" s="21" t="str">
        <f t="shared" si="163"/>
        <v/>
      </c>
      <c r="QU27" s="21" t="str">
        <f t="shared" si="164"/>
        <v/>
      </c>
      <c r="QV27" s="21" t="str">
        <f t="shared" si="165"/>
        <v/>
      </c>
      <c r="QW27" s="21" t="str">
        <f t="shared" si="166"/>
        <v/>
      </c>
      <c r="QX27" s="21" t="str">
        <f t="shared" si="167"/>
        <v/>
      </c>
      <c r="QY27" s="21" t="str">
        <f t="shared" si="168"/>
        <v/>
      </c>
      <c r="QZ27" s="21" t="str">
        <f t="shared" si="169"/>
        <v/>
      </c>
      <c r="RA27" s="21" t="str">
        <f t="shared" si="170"/>
        <v/>
      </c>
      <c r="RB27" s="21" t="str">
        <f t="shared" si="171"/>
        <v/>
      </c>
      <c r="RC27" s="21" t="str">
        <f t="shared" si="172"/>
        <v/>
      </c>
      <c r="RD27" s="21" t="str">
        <f t="shared" si="173"/>
        <v/>
      </c>
      <c r="RE27" s="21" t="str">
        <f t="shared" si="174"/>
        <v/>
      </c>
      <c r="RF27" s="21" t="str">
        <f t="shared" si="175"/>
        <v/>
      </c>
      <c r="RG27" s="21" t="str">
        <f t="shared" si="176"/>
        <v/>
      </c>
      <c r="RH27" s="21" t="str">
        <f t="shared" si="177"/>
        <v/>
      </c>
      <c r="RI27" s="21" t="str">
        <f t="shared" si="178"/>
        <v/>
      </c>
      <c r="RJ27" s="21" t="str">
        <f t="shared" si="179"/>
        <v/>
      </c>
      <c r="RK27" s="21" t="str">
        <f t="shared" si="180"/>
        <v/>
      </c>
      <c r="RL27" s="21" t="str">
        <f t="shared" si="181"/>
        <v/>
      </c>
      <c r="RM27" s="21" t="str">
        <f t="shared" si="182"/>
        <v/>
      </c>
      <c r="RN27" s="21" t="str">
        <f t="shared" si="183"/>
        <v/>
      </c>
      <c r="RO27" s="21" t="str">
        <f t="shared" si="184"/>
        <v/>
      </c>
      <c r="RP27" s="21" t="str">
        <f t="shared" si="185"/>
        <v/>
      </c>
      <c r="RQ27" s="21" t="str">
        <f t="shared" si="186"/>
        <v/>
      </c>
      <c r="RR27" s="21" t="str">
        <f t="shared" si="187"/>
        <v/>
      </c>
      <c r="RS27" s="21" t="str">
        <f t="shared" si="188"/>
        <v/>
      </c>
      <c r="RT27" s="21" t="str">
        <f t="shared" si="189"/>
        <v/>
      </c>
      <c r="RU27" s="21" t="str">
        <f t="shared" si="190"/>
        <v/>
      </c>
      <c r="RV27" s="21">
        <f t="shared" si="191"/>
        <v>16.571428571428573</v>
      </c>
      <c r="RW27" s="284">
        <f>IF(OR(Tabla1[[#This Row],[FUM FORMULA CONFIABLE]]="",Tabla1[[#This Row],[FUM FORMULA CONFIABLE]]="SD"),"",IF(Tabla1[[#This Row],[FUM FORMULA CONFIABLE]]="CORREGIDA",Tabla1[[#This Row],[FUM X ECO 1]],Tabla1[[#This Row],[FUM x AMENORREA]]))</f>
        <v>44730</v>
      </c>
      <c r="RX27" s="21">
        <f>IF(AND(Tabla1[[#This Row],[FUM X ECO 1]]="",Tabla1[[#This Row],[FUM x AMENORREA]]=""),"",IF(AND(Tabla1[[#This Row],[FUM X ECO 1]]="",Tabla1[[#This Row],[FUM x AMENORREA]]&lt;&gt;""),"X",SUM(Tabla1[[#This Row],[FUM X ECO 1]]-Tabla1[[#This Row],[FUM x AMENORREA]])))</f>
        <v>83</v>
      </c>
      <c r="RY27" s="21">
        <f t="shared" si="193"/>
        <v>1</v>
      </c>
    </row>
    <row r="28" spans="1:493" ht="45" customHeight="1" x14ac:dyDescent="0.25">
      <c r="A28" s="300"/>
      <c r="B28" s="301" t="s">
        <v>1013</v>
      </c>
      <c r="C28" s="301" t="s">
        <v>845</v>
      </c>
      <c r="D28" s="302" t="s">
        <v>846</v>
      </c>
      <c r="E28" s="43" t="s">
        <v>1014</v>
      </c>
      <c r="F28" s="43" t="s">
        <v>1015</v>
      </c>
      <c r="G28" s="43" t="s">
        <v>1016</v>
      </c>
      <c r="H28" s="43"/>
      <c r="I28" s="109" t="s">
        <v>851</v>
      </c>
      <c r="J28" s="110">
        <v>34322648</v>
      </c>
      <c r="K28" s="301" t="s">
        <v>852</v>
      </c>
      <c r="L28" s="304" t="s">
        <v>853</v>
      </c>
      <c r="M28" s="305">
        <v>30325</v>
      </c>
      <c r="N28" s="306">
        <f t="shared" ca="1" si="0"/>
        <v>40.843835616438355</v>
      </c>
      <c r="O28" s="305">
        <v>44834</v>
      </c>
      <c r="P28" s="307" t="str">
        <f t="shared" si="1"/>
        <v>SI</v>
      </c>
      <c r="Q28" s="308" t="s">
        <v>855</v>
      </c>
      <c r="R28" s="305">
        <v>44846</v>
      </c>
      <c r="S28" s="309" t="s">
        <v>856</v>
      </c>
      <c r="T28" s="310" t="s">
        <v>690</v>
      </c>
      <c r="U28" s="309" t="s">
        <v>857</v>
      </c>
      <c r="V28" s="309" t="s">
        <v>858</v>
      </c>
      <c r="W28" s="309" t="s">
        <v>951</v>
      </c>
      <c r="X28" s="309" t="s">
        <v>951</v>
      </c>
      <c r="Y28" s="309" t="s">
        <v>859</v>
      </c>
      <c r="Z28" s="309" t="s">
        <v>1017</v>
      </c>
      <c r="AA28" s="309" t="s">
        <v>860</v>
      </c>
      <c r="AB28" s="311" t="s">
        <v>861</v>
      </c>
      <c r="AC28" s="308" t="s">
        <v>846</v>
      </c>
      <c r="AD28" s="312" t="s">
        <v>863</v>
      </c>
      <c r="AE28" s="308" t="s">
        <v>854</v>
      </c>
      <c r="AF28" s="308" t="s">
        <v>854</v>
      </c>
      <c r="AG28" s="313" t="s">
        <v>864</v>
      </c>
      <c r="AH28" s="313" t="s">
        <v>864</v>
      </c>
      <c r="AI28" s="24" t="s">
        <v>863</v>
      </c>
      <c r="AJ28" s="313" t="s">
        <v>864</v>
      </c>
      <c r="AK28" s="314" t="str">
        <f>IF(AND(AD28="",AE28="",AF28="",AG28="",AH28="",AI28="",AJ28=""),"",IF(OR(Tabla1[[#This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EVALUACIÓN",IF(AND(O28="",R28=""),"",IF(AND(OR(O28&gt;0,R28&gt;0),NG28&gt;=0,NG28&lt;2),"SIN RIESGO",IF(AND(OR(O28&gt;0,R28&gt;0),NG28&gt;=2),"CON RIESGO","ASD")))))</f>
        <v>SIN RIESGO</v>
      </c>
      <c r="AL28" s="313" t="s">
        <v>864</v>
      </c>
      <c r="AM28" s="308" t="s">
        <v>864</v>
      </c>
      <c r="AN28" s="308" t="s">
        <v>864</v>
      </c>
      <c r="AO28" s="308" t="s">
        <v>864</v>
      </c>
      <c r="AP28" s="308" t="s">
        <v>864</v>
      </c>
      <c r="AQ28" s="308" t="s">
        <v>864</v>
      </c>
      <c r="AR28" s="308" t="s">
        <v>864</v>
      </c>
      <c r="AS28" s="309">
        <v>3</v>
      </c>
      <c r="AT28" s="309">
        <v>2</v>
      </c>
      <c r="AU28" s="309">
        <v>0</v>
      </c>
      <c r="AV28" s="308" t="s">
        <v>864</v>
      </c>
      <c r="AW28" s="309">
        <v>0</v>
      </c>
      <c r="AX28" s="308" t="s">
        <v>864</v>
      </c>
      <c r="AY28" s="308" t="s">
        <v>864</v>
      </c>
      <c r="AZ28" s="308" t="s">
        <v>864</v>
      </c>
      <c r="BA28" s="308" t="s">
        <v>864</v>
      </c>
      <c r="BB28" s="308" t="s">
        <v>864</v>
      </c>
      <c r="BC28" s="308" t="s">
        <v>864</v>
      </c>
      <c r="BD28" s="308" t="s">
        <v>864</v>
      </c>
      <c r="BE28" s="308" t="s">
        <v>864</v>
      </c>
      <c r="BF28" s="308" t="s">
        <v>864</v>
      </c>
      <c r="BG28" s="308" t="s">
        <v>864</v>
      </c>
      <c r="BH28" s="308" t="s">
        <v>864</v>
      </c>
      <c r="BI28" s="308" t="s">
        <v>864</v>
      </c>
      <c r="BJ28" s="308"/>
      <c r="BK28" s="308"/>
      <c r="BL28" s="308" t="s">
        <v>864</v>
      </c>
      <c r="BM28" s="308" t="s">
        <v>864</v>
      </c>
      <c r="BN28" s="305"/>
      <c r="BO28" s="305">
        <v>44792</v>
      </c>
      <c r="BP28" s="309" t="s">
        <v>854</v>
      </c>
      <c r="BQ28" s="315">
        <f t="shared" si="2"/>
        <v>0</v>
      </c>
      <c r="BR28" s="316">
        <f t="shared" si="3"/>
        <v>44794.8</v>
      </c>
      <c r="BS28" s="317">
        <f t="shared" si="4"/>
        <v>7.7142857142857144</v>
      </c>
      <c r="BT28" s="318" t="str">
        <f t="shared" si="5"/>
        <v>I TRIM</v>
      </c>
      <c r="BU28" s="307" t="str">
        <f t="shared" ca="1" si="6"/>
        <v/>
      </c>
      <c r="BV28" s="319"/>
      <c r="BW28" s="305">
        <v>44862</v>
      </c>
      <c r="BX28" s="320">
        <v>9.6</v>
      </c>
      <c r="BY28" s="320"/>
      <c r="BZ28" s="305"/>
      <c r="CA28" s="309"/>
      <c r="CB28" s="308"/>
      <c r="CC28" s="308"/>
      <c r="CD28" s="308"/>
      <c r="CE28" s="308"/>
      <c r="CF28" s="22" t="s">
        <v>1517</v>
      </c>
      <c r="CG28" s="309">
        <v>1.5</v>
      </c>
      <c r="CH28" s="309">
        <v>64</v>
      </c>
      <c r="CI28" s="307">
        <f t="shared" si="7"/>
        <v>28.444444444444443</v>
      </c>
      <c r="CJ28" s="321" t="str">
        <f>IF(AND(CI28&lt;10,CH28="SD"),"SIN DATO PESO PREGESTACION O I TRIM",IF(AND(OR(R28&gt;0,O28&gt;0),CI28="X"),"INGRESAR DATO DE PESO",IF(CI28="SD","INGRESAR DATO DE TALLA Y PESO",IF(AND(OR(Tabla1[[#This Row],[MOMENTO EN QUE SE REALIZA EL PESO AL INGRESO A CPN]]="PREGESTACIÓN",NZ28="Menor"),CI28&lt;18.5),"BAJO PESO",IF(AND(OR(Tabla1[[#This Row],[MOMENTO EN QUE SE REALIZA EL PESO AL INGRESO A CPN]]="PREGESTACIÓN",NZ28="Menor"),CI28&lt;25),"NORMAL",IF(AND(OR(Tabla1[[#This Row],[MOMENTO EN QUE SE REALIZA EL PESO AL INGRESO A CPN]]="PREGESTACIÓN",NZ28="Menor"),CI28&lt;30),"SOBREPESO",IF(AND(OR(Tabla1[[#This Row],[MOMENTO EN QUE SE REALIZA EL PESO AL INGRESO A CPN]]="PREGESTACIÓN",NZ28="Menor"),CI28&gt;=30,CI28&lt;50),"OBESIDAD",IF(AND(BS28&gt;0,Tabla1[[#This Row],[MOMENTO EN QUE SE REALIZA EL PESO AL INGRESO A CPN]]="GESTACIÓN"),HLOOKUP(NZ28,$OA$2:PH28,NY28),""))))))))</f>
        <v>SOBREPESO</v>
      </c>
      <c r="CK28" s="322">
        <f t="shared" si="8"/>
        <v>44846</v>
      </c>
      <c r="CL28" s="309"/>
      <c r="CM28" s="307">
        <f t="shared" si="9"/>
        <v>0</v>
      </c>
      <c r="CN28" s="318">
        <f t="shared" si="10"/>
        <v>7</v>
      </c>
      <c r="CO28" s="318" t="e">
        <f>IF(PI28="","",IF(PI28&gt;0,HLOOKUP(PI28,$PJ$2:QQ28,NY28),""))</f>
        <v>#REF!</v>
      </c>
      <c r="CP28" s="309"/>
      <c r="CQ28" s="318" t="str">
        <f>IF(QR28="Menor","NO APLICA-MENOR 13 SEM",IF(AND(CC28="SI",CN28&gt;23),"NO APLICA- GEMELAR",IF(QR28="","",IF(QR28&gt;0,HLOOKUP(QR28,$QS$2:RU28,NY28),""))))</f>
        <v>NO APLICA-MENOR 13 SEM</v>
      </c>
      <c r="CR28" s="309">
        <v>110</v>
      </c>
      <c r="CS28" s="309">
        <v>70</v>
      </c>
      <c r="CT28" s="323" t="str">
        <f>IF(R28="","",IF(AND(BS28&gt;1,BS28&lt;12,Tabla1[[#This Row],[T.A. SISTOLICA - ANTES DE SEMANA 12]]="",Tabla1[[#This Row],[T.A. DIASTOLICA - ANTES DE SEMANA 12]]=""),"REGISTRE DATO TA ANTES SEMANA 12",IF(AND(BS28&gt;11,BS28&lt;43,Tabla1[[#This Row],[T.A. SISTOLICA - ANTES DE SEMANA 12]]="",Tabla1[[#This Row],[T.A. DIASTOLICA - ANTES DE SEMANA 12]]=""),"NO APLICA REGISTRO TA-INGRESO TARDIO",IF(AND(OR(O28&gt;0,R28&gt;0),OR(CR28&gt;=140,CS28&gt;=90)),"DEFINIR ESTADIO HTA",IF(AND(OR(O28&gt;0,R28&gt;0),AND(CR28&gt;120,CR28&lt;=139)),"PRE HTA SEGUIMIENTO",IF(AND(OR(O28&gt;0,R28&gt;0),AND(CS28&gt;80,CS28&lt;=89)),"PRE HTA SEGUIMIENTO",IF(AND(OR(O28&gt;0,R28&gt;0),AND(CR28&gt;=80,CR28&lt;=120)),"APARENTEMENTE NORMAL",IF(AND(OR(O28&gt;0,R28&gt;0),AND(CS28&gt;=50,CS28&lt;=80)),"APARENTEMENTE NORMAL",IF(AND(OR(O28&gt;0,R28&gt;0),AND(CR28&gt;1,CR28&lt;=70),AND(CS28&gt;1,CS28&lt;=40)),"HIPOTENSIÓN","")))))))))</f>
        <v>APARENTEMENTE NORMAL</v>
      </c>
      <c r="CU28" s="309"/>
      <c r="CV28" s="309"/>
      <c r="CW28" s="323" t="str">
        <f ca="1">IF(R28="","",IF(AND(CN28&gt;19,CN28&lt;27,Tabla1[[#This Row],[T.A. SISTOLICA (Entre semana 20 y 26)]]="",Tabla1[[#This Row],[T.A. DIATOLICA (Entre semana 20 y 26)]]=""),"ACUDE A CONTROL SEM 20 A 26 REGISTRE TA AHORA",IF(AND(BS28&gt;1,BS28&lt;27,BU28&gt;19,Tabla1[[#This Row],[T.A. SISTOLICA (Entre semana 20 y 26)]]="",Tabla1[[#This Row],[T.A. DIATOLICA (Entre semana 20 y 26)]]=""),"COMPLETE REGISTRO TA CONTROL SEM 20 A26 ",IF(AND(BS28&gt;26,BS28&lt;43,Tabla1[[#This Row],[T.A. SISTOLICA (Entre semana 20 y 26)]]="",Tabla1[[#This Row],[T.A. DIATOLICA (Entre semana 20 y 26)]]=""),"NO APLICA REGISTRO TA-INGRESO TARDIO",IF(AND(OR(O28&gt;0,R28&gt;0),OR(CU28&gt;=140,CV28&gt;=90)),"ALTO RIESGO PREECLAMPSIA,DEFINIR ESTADIO HTA",IF(AND(OR(O28&gt;0,R28&gt;0),AND(CU28&gt;120,CU28&lt;=139)),"PRE HTA SEGUIMIENTO,RIESGO HIPERTENSION INDUCIDA POR EL EMBARAZO",IF(AND(OR(O28&gt;0,R28&gt;0),AND(CV28&gt;80,CV28&lt;=89)),"PRE HTA SEGUIMIENTO, RIESGO HIPERTENSION INDUCIDA POR EL EMBARAZO",IF(AND(OR(O28&lt;&gt;"",R28&lt;&gt;""),CS28&lt;&gt;"",CV28&lt;&gt;"",CS28&lt;=CV28),"VIGILAR CIFRAS PRESION ARTERIAL",IF(AND(OR(O28&gt;0,R28&gt;0),AND(CU28&gt;120,CU28&lt;=139)),"PRE HTA SEGUIMIENTO",IF(AND(OR(O28&gt;0,R28&gt;0),AND(CU28&gt;1,CU28&lt;=70),AND(CV28&gt;1,CV28&lt;=40)),"HIPOTENSIÓN",IF(AND(OR(O28&lt;&gt;"",R28&lt;&gt;""),CS28&lt;&gt;"",CV28&lt;&gt;"",CS28&gt;CV28),"APARENTEMENTE NORMAL",IF(AND(OR(O28&gt;0,R28&gt;0),AND(CU28&gt;=80,CU28&lt;=120)),"APARENTEMENTE NORMAL",IF(AND(OR(O28&gt;0,R28&gt;0),AND(CV28&gt;=50,CV28&lt;=80)),"APARENTEMENTE NORMAL","")))))))))))))</f>
        <v xml:space="preserve">COMPLETE REGISTRO TA CONTROL SEM 20 A26 </v>
      </c>
      <c r="CX28" s="309"/>
      <c r="CY28" s="309"/>
      <c r="CZ28" s="318" t="str">
        <f t="shared" si="11"/>
        <v/>
      </c>
      <c r="DA28" s="309"/>
      <c r="DB28" s="309"/>
      <c r="DC28" s="323" t="str">
        <f t="shared" si="12"/>
        <v>REGISTRE DATO PRESIÓN ARTERIAL MENSUAL</v>
      </c>
      <c r="DD28" s="305">
        <v>44846</v>
      </c>
      <c r="DE28" s="305">
        <v>44846</v>
      </c>
      <c r="DF28" s="305"/>
      <c r="DG28" s="305"/>
      <c r="DH28" s="305"/>
      <c r="DI28" s="305"/>
      <c r="DJ28" s="305"/>
      <c r="DK28" s="305"/>
      <c r="DL28" s="305"/>
      <c r="DM28" s="305"/>
      <c r="DN28" s="305"/>
      <c r="DO28" s="305"/>
      <c r="DP28" s="305"/>
      <c r="DQ28" s="305"/>
      <c r="DR28" s="320"/>
      <c r="DS28" s="305"/>
      <c r="DT28" s="305"/>
      <c r="DU28" s="318" t="str">
        <f t="shared" ca="1" si="13"/>
        <v>CONCERTAR PLAN DE PARTO INMEDIATO</v>
      </c>
      <c r="DV28" s="324" t="str">
        <f t="shared" si="14"/>
        <v>ACTIVA INGRESO A CPN</v>
      </c>
      <c r="DW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8" s="318" t="e">
        <f t="shared" ca="1" si="15"/>
        <v>#REF!</v>
      </c>
      <c r="DY28" s="322">
        <f>IF(R28="","",IF(R28&gt;0,MAX(Tabla1[[#This Row],[FECHA C2]:[FECHA C13]],Tabla1[[#This Row],[FECHA CONSULTA PRIMERA VEZ PROGRAMA CPN ]])))</f>
        <v>44846</v>
      </c>
      <c r="DZ28" s="318">
        <f t="shared" si="16"/>
        <v>7</v>
      </c>
      <c r="EA28" s="315">
        <f>IF(R28&gt;0,SUM(COUNTA(DF28:DQ28)+COUNTA(Tabla1[[#This Row],[FECHA CONSULTA PRIMERA VEZ PROGRAMA CPN ]])),"")</f>
        <v>1</v>
      </c>
      <c r="EB28" s="315" t="str">
        <f t="shared" si="17"/>
        <v>NO</v>
      </c>
      <c r="EC28" s="307">
        <f t="shared" si="18"/>
        <v>10</v>
      </c>
      <c r="ED28" s="325">
        <f t="shared" si="19"/>
        <v>0.1</v>
      </c>
      <c r="EE28" s="305">
        <v>44846</v>
      </c>
      <c r="EF28" s="22">
        <v>44862</v>
      </c>
      <c r="EG28" s="22">
        <v>44846</v>
      </c>
      <c r="EH28" s="22"/>
      <c r="EI28" s="22">
        <v>44846</v>
      </c>
      <c r="EJ28" s="22">
        <v>45043</v>
      </c>
      <c r="EK28" s="22">
        <v>45043</v>
      </c>
      <c r="EL28" s="309"/>
      <c r="EM28" s="309">
        <v>14.6</v>
      </c>
      <c r="EN28" s="305">
        <v>44848</v>
      </c>
      <c r="EO28" s="315">
        <f t="shared" si="20"/>
        <v>8</v>
      </c>
      <c r="EP28" s="307" t="str">
        <f t="shared" si="21"/>
        <v>NO DAR SULFATO FERROSO</v>
      </c>
      <c r="EQ28" s="318" t="str">
        <f t="shared" si="22"/>
        <v>I TRIM</v>
      </c>
      <c r="ER28" s="310"/>
      <c r="ES28" s="305"/>
      <c r="ET28" s="326" t="str">
        <f t="shared" ca="1" si="23"/>
        <v>TOMA DE HEMOGLOBINA TARDÍA</v>
      </c>
      <c r="EU28" s="319" t="str">
        <f t="shared" si="24"/>
        <v/>
      </c>
      <c r="EV28" s="310" t="s">
        <v>866</v>
      </c>
      <c r="EW28" s="310">
        <v>44848</v>
      </c>
      <c r="EX28" s="305"/>
      <c r="EY28" s="326">
        <f t="shared" si="25"/>
        <v>8</v>
      </c>
      <c r="EZ28" s="319" t="str">
        <f t="shared" ca="1" si="26"/>
        <v/>
      </c>
      <c r="FA28" s="309">
        <v>74</v>
      </c>
      <c r="FB28" s="305">
        <v>44848</v>
      </c>
      <c r="FC28" s="326">
        <f t="shared" si="27"/>
        <v>8</v>
      </c>
      <c r="FD28" s="326"/>
      <c r="FE28" s="326"/>
      <c r="FF28" s="326"/>
      <c r="FG28" s="309" t="str">
        <f t="shared" ca="1" si="28"/>
        <v/>
      </c>
      <c r="FH28" s="327"/>
      <c r="FI28" s="326" t="str">
        <f t="shared" si="29"/>
        <v>TOMAR EXAMEN</v>
      </c>
      <c r="FJ28" s="305" t="s">
        <v>867</v>
      </c>
      <c r="FK28" s="305">
        <v>44848</v>
      </c>
      <c r="FL28" s="326">
        <f t="shared" ca="1" si="30"/>
        <v>8</v>
      </c>
      <c r="FM28" s="305"/>
      <c r="FN28" s="328"/>
      <c r="FO28" s="326" t="str">
        <f t="shared" ca="1" si="31"/>
        <v>PIERDE TOMA DE TAMIZAJE</v>
      </c>
      <c r="FP28" s="305"/>
      <c r="FQ28" s="328"/>
      <c r="FR28" s="326" t="str">
        <f t="shared" ca="1" si="32"/>
        <v>TOMA INMEDIATA DE TAMIZAJE</v>
      </c>
      <c r="FS28" s="305"/>
      <c r="FT28" s="328"/>
      <c r="FU28" s="326" t="str">
        <f>IF(AND(FJ28="",FM28="",FP28="",FS28=""),"",IF(OR(OR(Tabla1[[#This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8" s="320"/>
      <c r="FW28" s="305"/>
      <c r="FX28" s="326" t="str">
        <f t="shared" si="33"/>
        <v>TOMAR EXAMEN</v>
      </c>
      <c r="FY28" s="305">
        <v>44848</v>
      </c>
      <c r="FZ28" s="305">
        <v>44848</v>
      </c>
      <c r="GA28" s="326">
        <f t="shared" ca="1" si="34"/>
        <v>8</v>
      </c>
      <c r="GB28" s="305"/>
      <c r="GC28" s="305"/>
      <c r="GD28" s="326" t="str">
        <f t="shared" ca="1" si="35"/>
        <v>PIERDE TOMA DE TAMIZAJE</v>
      </c>
      <c r="GE28" s="305"/>
      <c r="GF28" s="305"/>
      <c r="GG28" s="326" t="str">
        <f t="shared" ca="1" si="36"/>
        <v>TOMA INMEDIATA DE TAMIZAJE</v>
      </c>
      <c r="GH28" s="305"/>
      <c r="GI28" s="326"/>
      <c r="GJ28" s="305"/>
      <c r="GK28" s="305"/>
      <c r="GL28" s="305" t="s">
        <v>879</v>
      </c>
      <c r="GM28" s="305"/>
      <c r="GN28" s="320" t="s">
        <v>869</v>
      </c>
      <c r="GO28" s="305">
        <v>44848</v>
      </c>
      <c r="GP28" s="326">
        <f t="shared" si="37"/>
        <v>8</v>
      </c>
      <c r="GQ28" s="320" t="s">
        <v>869</v>
      </c>
      <c r="GR28" s="320" t="s">
        <v>869</v>
      </c>
      <c r="GS28" s="305" t="str">
        <f t="shared" si="38"/>
        <v>CONTROL Igm</v>
      </c>
      <c r="GT28" s="305">
        <v>44848</v>
      </c>
      <c r="GU28" s="326">
        <f t="shared" si="39"/>
        <v>8</v>
      </c>
      <c r="GV28" s="309" t="str">
        <f t="shared" si="40"/>
        <v>I TRIM</v>
      </c>
      <c r="GW28" s="320" t="s">
        <v>869</v>
      </c>
      <c r="GX28" s="329"/>
      <c r="GY28" s="309"/>
      <c r="GZ28" s="309"/>
      <c r="HA28" s="309"/>
      <c r="HB28" s="309"/>
      <c r="HC28" s="309"/>
      <c r="HD28" s="309"/>
      <c r="HE28" s="309"/>
      <c r="HF28" s="305"/>
      <c r="HG28" s="305" t="str">
        <f>IF(OR(O28&gt;0,R28&gt;0),CONCATENATE(IF(Tabla1[[#This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8" s="305" t="e">
        <f t="shared" si="41"/>
        <v>#REF!</v>
      </c>
      <c r="HI28" s="305" t="e">
        <f t="shared" ca="1" si="42"/>
        <v>#REF!</v>
      </c>
      <c r="HJ28" s="309"/>
      <c r="HK28" s="309" t="str">
        <f t="shared" si="44"/>
        <v>SIN ANTECEDENTES DE RIESGO</v>
      </c>
      <c r="HL28" s="310" t="str">
        <f t="shared" si="45"/>
        <v>REGISTRE DATO PRESIÓN ARTERIAL MENSUAL</v>
      </c>
      <c r="HM28" s="309" t="e">
        <f t="shared" ca="1" si="46"/>
        <v>#REF!</v>
      </c>
      <c r="HN28" s="329" t="str">
        <f t="shared" si="47"/>
        <v>ACTIVA INGRESO A CPN</v>
      </c>
      <c r="HO28" s="309"/>
      <c r="HP28" s="309"/>
      <c r="HQ28" s="309">
        <v>44846</v>
      </c>
      <c r="HR28" s="309" t="str">
        <f>IF(R28="","",IF(Tabla1[[#This Row],[ALARMA FACTORES DE RIESGO COMPLICACIONES HIPERTENSIVAS3]]="SIN ANTECEDENTES DE RIESGO","No Aplica para suministro de ASA",IF(AND(Tabla1[[#This Row],[FECHA INICIO DE SUMINISTRO DE ASA]]&gt;0,RV28&lt;12),"Inicia ASA ANTES de Sem 12",IF(AND(RV28&gt;11,RV28&lt;17,OR(HK28="RIESGO ALTO DE COMPLICACIONES HIPERTENSIVAS VER MANEJO GUIA SUMINISTRO ASA Y CALCIO",HK28="RIESGO MODERADO (2 O MAS CRITERIOS) VER MANEJO GUIA SUMINISTRO ASA Y CALCIO")),"Inicio oportuno de ASA",IF(AND(RV28&gt;12,OR(HK28="RIESGO ALTO DE COMPLICACIONES HIPERTENSIVAS VER MANEJO GUIA SUMINISTRO ASA Y CALCIO",HK28="RIESGO MODERADO (2 O MAS CRITERIOS) VER MANEJO GUIA SUMINISTRO ASA Y CALCIO")),"Inicio no oportuno mayor a 16 semanas",IF(AND(BU28&lt;12,OR(HK28="RIESGO ALTO DE COMPLICACIONES HIPERTENSIVAS VER MANEJO GUIA SUMINISTRO ASA Y CALCIO",HK28="RIESGO MODERADO (2 O MAS CRITERIOS) VER MANEJO GUIA SUMINISTRO ASA Y CALCIO")),"Pendiente Inicio de ASA a la semana 12",IF(AND(BU28&gt;11,BU28&lt;17,OR(HK28="RIESGO ALTO DE COMPLICACIONES HIPERTENSIVAS VER MANEJO GUIA SUMINISTRO ASA Y CALCIO",HK28="RIESGO MODERADO (2 O MAS CRITERIOS) VER MANEJO GUIA SUMINISTRO ASA Y CALCIO")),"Iniciar de inmediato ASA",IF(AND(BU28&gt;16,OR(HK28="RIESGO ALTO DE COMPLICACIONES HIPERTENSIVAS VER MANEJO GUIA SUMINISTRO ASA Y CALCIO",HK28="RIESGO MODERADO (2 O MAS CRITERIOS) VER MANEJO GUIA SUMINISTRO ASA Y CALCIO")),"Pierde Oportunidad, Inicio tardío de ASA","XXXXX"))))))))</f>
        <v>No Aplica para suministro de ASA</v>
      </c>
      <c r="HS28" s="305">
        <v>44846</v>
      </c>
      <c r="HT28" s="305" t="s">
        <v>870</v>
      </c>
      <c r="HU28" s="305"/>
      <c r="HV28" s="305"/>
      <c r="HW28" s="305">
        <v>44846</v>
      </c>
      <c r="HX28" s="305" t="s">
        <v>870</v>
      </c>
      <c r="HY28" s="305"/>
      <c r="HZ28" s="320" t="str">
        <f t="shared" si="48"/>
        <v>PENDIENTE CONSULTA</v>
      </c>
      <c r="IA28" s="308" t="s">
        <v>864</v>
      </c>
      <c r="IB28" s="308"/>
      <c r="IC28" s="330"/>
      <c r="ID28" s="305"/>
      <c r="IE28" s="305" t="str">
        <f t="shared" ca="1" si="49"/>
        <v/>
      </c>
      <c r="IF28" s="305"/>
      <c r="IG28" s="305">
        <f t="shared" si="50"/>
        <v>45072</v>
      </c>
      <c r="IH28" s="326">
        <f t="shared" ca="1" si="51"/>
        <v>-161</v>
      </c>
      <c r="II28" s="305" t="str">
        <f t="shared" ca="1" si="52"/>
        <v>POSIBLEMENTE NACIO</v>
      </c>
      <c r="IJ28" s="305"/>
      <c r="IK28" s="309"/>
      <c r="IL28" s="309"/>
      <c r="IM28" s="331"/>
      <c r="IN28" s="350"/>
      <c r="IO28" s="309"/>
      <c r="IP28" s="326" t="str">
        <f t="shared" si="53"/>
        <v/>
      </c>
      <c r="IQ28" s="332"/>
      <c r="IR28" s="309"/>
      <c r="IS28" s="309"/>
      <c r="IT28" s="309"/>
      <c r="IU28" s="309"/>
      <c r="IV28" s="309"/>
      <c r="IW28" s="309"/>
      <c r="IX28" s="309"/>
      <c r="IY28" s="309"/>
      <c r="IZ28" s="309"/>
      <c r="JA28" s="309"/>
      <c r="JB28" s="329"/>
      <c r="JC28" s="309"/>
      <c r="JD28" s="333"/>
      <c r="JE28" s="309" t="str">
        <f t="shared" si="54"/>
        <v/>
      </c>
      <c r="JF28" s="329"/>
      <c r="JG28" s="309"/>
      <c r="JH28" s="309"/>
      <c r="JI28" s="309"/>
      <c r="JJ28" s="329"/>
      <c r="JK28" s="305"/>
      <c r="JL28" s="305"/>
      <c r="JM28" s="309"/>
      <c r="JN28" s="333"/>
      <c r="JO28" s="309" t="str">
        <f t="shared" si="55"/>
        <v/>
      </c>
      <c r="JP28" s="305"/>
      <c r="JQ28" s="309"/>
      <c r="JR28" s="309"/>
      <c r="JS28" s="309"/>
      <c r="JT28" s="329"/>
      <c r="JU28" s="305"/>
      <c r="JV28" s="305"/>
      <c r="JW28" s="334"/>
      <c r="JX28" s="320" t="str">
        <f t="shared" si="56"/>
        <v/>
      </c>
      <c r="JY28" s="334"/>
      <c r="JZ28" s="320" t="str">
        <f t="shared" si="57"/>
        <v/>
      </c>
      <c r="KA28" s="309"/>
      <c r="KB28" s="309"/>
      <c r="KC28" s="309"/>
      <c r="KD28" s="335"/>
      <c r="KE28" s="320"/>
      <c r="KF28" s="320"/>
      <c r="KG28" s="320"/>
      <c r="KH28" s="336"/>
      <c r="KI28" s="336"/>
      <c r="KJ28" s="337"/>
      <c r="KK28" s="336"/>
      <c r="KL28" s="336"/>
      <c r="KM28" s="337"/>
      <c r="KN28" s="336"/>
      <c r="KO28" s="336"/>
      <c r="KP28" s="336"/>
      <c r="KQ28" s="336"/>
      <c r="KR28" s="336"/>
      <c r="KS28" s="336"/>
      <c r="KT28" s="336"/>
      <c r="KU28" s="312"/>
      <c r="KV28" s="312"/>
      <c r="KW28" s="312"/>
      <c r="KX28" s="312"/>
      <c r="KY28" s="312"/>
      <c r="KZ28" s="312"/>
      <c r="LA28" s="312"/>
      <c r="LB28" s="312"/>
      <c r="LC28" s="312"/>
      <c r="LD28" s="312"/>
      <c r="LE28" s="312"/>
      <c r="LF28" s="312"/>
      <c r="LG28" s="312"/>
      <c r="LH28" s="312"/>
      <c r="LI28" s="312"/>
      <c r="LJ28" s="312"/>
      <c r="LK28" s="312"/>
      <c r="LL28" s="312"/>
      <c r="LM28" s="312"/>
      <c r="LN28" s="312"/>
      <c r="LO28" s="312"/>
      <c r="LP28" s="312"/>
      <c r="LQ28" s="312"/>
      <c r="LR28" s="312"/>
      <c r="LS28" s="312"/>
      <c r="LT28" s="312"/>
      <c r="LU28" s="312"/>
      <c r="LV28" s="312"/>
      <c r="LW28" s="312"/>
      <c r="LX28" s="312"/>
      <c r="LY28" s="312"/>
      <c r="LZ28" s="312"/>
      <c r="MA28" s="312"/>
      <c r="MB28" s="312"/>
      <c r="MC28" s="312"/>
      <c r="MD28" s="312"/>
      <c r="ME28" s="312"/>
      <c r="MF28" s="312"/>
      <c r="MG28" s="312"/>
      <c r="MH28" s="43">
        <f t="shared" si="58"/>
        <v>0</v>
      </c>
      <c r="MI28" s="43" t="str">
        <f t="shared" si="59"/>
        <v/>
      </c>
      <c r="MJ28" s="43" t="str">
        <f t="shared" si="60"/>
        <v/>
      </c>
      <c r="MK28" s="43">
        <f t="shared" si="61"/>
        <v>0</v>
      </c>
      <c r="ML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12</v>
      </c>
      <c r="MM28" s="43">
        <f t="shared" si="62"/>
        <v>6</v>
      </c>
      <c r="MN28" s="43">
        <f t="shared" si="63"/>
        <v>10</v>
      </c>
      <c r="MO28" s="43">
        <f t="shared" si="64"/>
        <v>2022</v>
      </c>
      <c r="MP28" s="43" t="str">
        <f t="shared" si="65"/>
        <v>IV TRIMESTRE AÑO</v>
      </c>
      <c r="MQ28" s="43">
        <f t="shared" si="66"/>
        <v>39.183639947437577</v>
      </c>
      <c r="MR28" s="43">
        <f t="shared" si="67"/>
        <v>2</v>
      </c>
      <c r="MS28" s="43" t="str">
        <f t="shared" si="68"/>
        <v xml:space="preserve"> DE 35 A 39 AÑOS</v>
      </c>
      <c r="MT28" s="43">
        <f t="shared" si="69"/>
        <v>0</v>
      </c>
      <c r="MU28" s="43">
        <f t="shared" si="70"/>
        <v>0</v>
      </c>
      <c r="MV28" s="43">
        <f t="shared" si="71"/>
        <v>0</v>
      </c>
      <c r="MW28" s="43">
        <f t="shared" si="72"/>
        <v>0</v>
      </c>
      <c r="MX28" s="43" t="str">
        <f t="shared" si="73"/>
        <v/>
      </c>
      <c r="MY28" s="43" t="str">
        <f t="shared" ca="1" si="74"/>
        <v/>
      </c>
      <c r="MZ28" s="43" t="str">
        <f t="shared" si="75"/>
        <v/>
      </c>
      <c r="NA28" s="43" t="str">
        <f t="shared" si="76"/>
        <v/>
      </c>
      <c r="NB28" s="43" t="str">
        <f t="shared" si="77"/>
        <v/>
      </c>
      <c r="NC28" s="43" t="str">
        <f t="shared" si="78"/>
        <v/>
      </c>
      <c r="ND28" s="43">
        <f t="shared" ca="1" si="79"/>
        <v>2</v>
      </c>
      <c r="NE28" s="43">
        <f>IF(OR(O28&gt;0,R28&gt;0),SUM(COUNTIF(Tabla1[[#This Row],[AÑOS AL INICIO5 CPN]],"&gt;=40"),COUNTIF(AS28,"0"),COUNTIF(AR28,"SI"),COUNTIF(CC28,"SI"),COUNTIF(BQ28,"&gt;119"),COUNTIF(CI28,"&gt;=35")),"")</f>
        <v>0</v>
      </c>
      <c r="NF28" s="43" t="str">
        <f t="shared" si="80"/>
        <v/>
      </c>
      <c r="NG28" s="43">
        <f t="shared" si="81"/>
        <v>0</v>
      </c>
      <c r="NH28" s="43">
        <f t="shared" si="82"/>
        <v>67.2</v>
      </c>
      <c r="NI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CPN",P28="NO"),"Z",IF(AND(Tabla1[[#This Row],[CITA PROXIMO CONTROL]]="CITA MANUAL",Tabla1[[#This Row],[GESTANTES ACTUALES]]="ACTIVA INGRESO A CPN"),"W",IF(AND(Tabla1[[#This Row],[GESTANTES ACTUALES]]="SALIO PROGRAMA",IN28=""),"S",IF(AND(Tabla1[[#This Row],[CITA PROXIMO CONTROL]]&gt;0,IN28=""),(Tabla1[[#This Row],[CITA PROXIMO CONTROL]]-TODAY()),"SD"))))))))</f>
        <v>#REF!</v>
      </c>
      <c r="NJ28" s="43">
        <f>MONTH(Tabla1[[#This Row],[FECHA DE SALIDA  DEL PROGRAMA]])</f>
        <v>1</v>
      </c>
      <c r="NK28" s="43">
        <f>YEAR(Tabla1[[#This Row],[FECHA DE SALIDA  DEL PROGRAMA]])</f>
        <v>1900</v>
      </c>
      <c r="NL28" s="43">
        <f t="shared" si="83"/>
        <v>197</v>
      </c>
      <c r="NM28" s="43" t="str">
        <f t="shared" si="84"/>
        <v>NO</v>
      </c>
      <c r="NN28" s="43" t="str">
        <f ca="1">IF(AND(O28&gt;0,R28=""),"NO CPN",IF(AND(O28="",R28=""),"",IF(AND(R28&gt;0,Tabla1[[#This Row],[SEMANAS DE GESTACION ACTUALIZADAS]]&lt;=12),"NO APLICA",IF(AND(FH28&lt;&gt;"",FN28&lt;&gt;""),"SI","NO"))))</f>
        <v>NO</v>
      </c>
      <c r="NO28" s="43" t="str">
        <f ca="1">IF(AND(O28&gt;0,R28=""),"NO CPN",IF(AND(O28="",R28=""),"",IF(AND(R28&gt;0,Tabla1[[#This Row],[SEMANAS DE GESTACION ACTUALIZADAS]]&lt;=27),"NO APLICA",IF(AND(ES28&lt;&gt;"",FQ28&lt;&gt;"",GF28&lt;&gt;""),"SI","NO"))))</f>
        <v>NO</v>
      </c>
      <c r="NP28" s="204" t="str">
        <f t="shared" si="85"/>
        <v>I TRIM</v>
      </c>
      <c r="NQ28" s="21" t="str">
        <f t="shared" si="86"/>
        <v/>
      </c>
      <c r="NR28" s="21" t="str">
        <f t="shared" ca="1" si="87"/>
        <v>REVISAR FUM O FECHA SALIDA PROGRAMA</v>
      </c>
      <c r="NS28" s="205">
        <f t="shared" ca="1" si="88"/>
        <v>1</v>
      </c>
      <c r="NT28" s="21">
        <f t="shared" ca="1" si="89"/>
        <v>1</v>
      </c>
      <c r="NU28" s="21" t="str">
        <f t="shared" ca="1" si="90"/>
        <v>POR DEFINIR</v>
      </c>
      <c r="NV28" s="21" t="str">
        <f t="shared" ca="1" si="91"/>
        <v>POR DEFINIR</v>
      </c>
      <c r="NW28" s="206" t="str">
        <f>IF(AND(O28="",R28=""),"",IF(OR(AND(Tabla1[[#This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8" s="207" t="str">
        <f t="shared" ca="1" si="92"/>
        <v>SIN VACUNAR</v>
      </c>
      <c r="NY28" s="43">
        <f>ROW(Tabla1[[#This Row],['# DE TAMIZAJES SIFILIS TOMADOS ]])</f>
        <v>28</v>
      </c>
      <c r="NZ28" s="43" t="str">
        <f t="shared" si="93"/>
        <v>Menor</v>
      </c>
      <c r="OA28" s="43" t="str">
        <f t="shared" si="94"/>
        <v>SOBREPESO</v>
      </c>
      <c r="OB28" s="43" t="str">
        <f t="shared" si="95"/>
        <v/>
      </c>
      <c r="OC28" s="43" t="str">
        <f t="shared" si="96"/>
        <v/>
      </c>
      <c r="OD28" s="43" t="str">
        <f t="shared" si="97"/>
        <v/>
      </c>
      <c r="OE28" s="43" t="str">
        <f t="shared" si="98"/>
        <v/>
      </c>
      <c r="OF28" s="43" t="str">
        <f t="shared" si="99"/>
        <v/>
      </c>
      <c r="OG28" s="43" t="str">
        <f t="shared" si="100"/>
        <v/>
      </c>
      <c r="OH28" s="43" t="str">
        <f t="shared" si="101"/>
        <v/>
      </c>
      <c r="OI28" s="43" t="str">
        <f t="shared" si="102"/>
        <v/>
      </c>
      <c r="OJ28" s="43" t="str">
        <f t="shared" si="103"/>
        <v/>
      </c>
      <c r="OK28" s="43" t="str">
        <f t="shared" si="104"/>
        <v/>
      </c>
      <c r="OL28" s="43" t="str">
        <f t="shared" si="105"/>
        <v/>
      </c>
      <c r="OM28" s="43" t="str">
        <f t="shared" si="106"/>
        <v/>
      </c>
      <c r="ON28" s="43" t="str">
        <f t="shared" si="107"/>
        <v/>
      </c>
      <c r="OO28" s="43" t="str">
        <f t="shared" si="108"/>
        <v/>
      </c>
      <c r="OP28" s="43" t="str">
        <f t="shared" si="109"/>
        <v/>
      </c>
      <c r="OQ28" s="43" t="str">
        <f t="shared" si="110"/>
        <v/>
      </c>
      <c r="OR28" s="43" t="str">
        <f t="shared" si="111"/>
        <v/>
      </c>
      <c r="OS28" s="43" t="str">
        <f t="shared" si="112"/>
        <v/>
      </c>
      <c r="OT28" s="43" t="str">
        <f t="shared" si="113"/>
        <v/>
      </c>
      <c r="OU28" s="43" t="str">
        <f t="shared" si="114"/>
        <v/>
      </c>
      <c r="OV28" s="110" t="str">
        <f t="shared" si="115"/>
        <v/>
      </c>
      <c r="OW28" s="43" t="str">
        <f t="shared" si="116"/>
        <v/>
      </c>
      <c r="OX28" s="43" t="str">
        <f t="shared" si="117"/>
        <v/>
      </c>
      <c r="OY28" s="43" t="str">
        <f t="shared" si="118"/>
        <v/>
      </c>
      <c r="OZ28" s="43" t="str">
        <f t="shared" si="119"/>
        <v/>
      </c>
      <c r="PA28" s="43" t="str">
        <f t="shared" si="120"/>
        <v/>
      </c>
      <c r="PB28" s="43" t="str">
        <f t="shared" si="121"/>
        <v/>
      </c>
      <c r="PC28" s="43" t="str">
        <f t="shared" si="122"/>
        <v/>
      </c>
      <c r="PD28" s="43" t="str">
        <f t="shared" si="123"/>
        <v/>
      </c>
      <c r="PE28" s="43" t="str">
        <f t="shared" si="124"/>
        <v/>
      </c>
      <c r="PF28" s="43" t="str">
        <f t="shared" si="125"/>
        <v/>
      </c>
      <c r="PG28" s="43" t="str">
        <f t="shared" si="126"/>
        <v/>
      </c>
      <c r="PH28" s="43" t="str">
        <f t="shared" si="127"/>
        <v/>
      </c>
      <c r="PI28" s="43" t="str">
        <f t="shared" si="128"/>
        <v>Menor</v>
      </c>
      <c r="PJ28" s="43" t="str">
        <f t="shared" si="129"/>
        <v/>
      </c>
      <c r="PK28" s="43" t="str">
        <f t="shared" si="130"/>
        <v/>
      </c>
      <c r="PL28" s="43" t="str">
        <f t="shared" si="131"/>
        <v/>
      </c>
      <c r="PM28" s="43" t="str">
        <f t="shared" si="132"/>
        <v/>
      </c>
      <c r="PN28" s="43" t="str">
        <f t="shared" si="133"/>
        <v/>
      </c>
      <c r="PO28" s="43" t="str">
        <f t="shared" si="134"/>
        <v/>
      </c>
      <c r="PP28" s="43" t="str">
        <f t="shared" si="135"/>
        <v/>
      </c>
      <c r="PQ28" s="43" t="str">
        <f t="shared" si="136"/>
        <v/>
      </c>
      <c r="PR28" s="43" t="str">
        <f t="shared" si="137"/>
        <v/>
      </c>
      <c r="PS28" s="43" t="str">
        <f t="shared" si="138"/>
        <v/>
      </c>
      <c r="PT28" s="43" t="str">
        <f t="shared" si="139"/>
        <v/>
      </c>
      <c r="PU28" s="43" t="str">
        <f t="shared" si="140"/>
        <v/>
      </c>
      <c r="PV28" s="43" t="str">
        <f t="shared" si="141"/>
        <v/>
      </c>
      <c r="PW28" s="43" t="str">
        <f t="shared" si="142"/>
        <v/>
      </c>
      <c r="PX28" s="43" t="str">
        <f t="shared" si="143"/>
        <v/>
      </c>
      <c r="PY28" s="43" t="str">
        <f t="shared" si="144"/>
        <v/>
      </c>
      <c r="PZ28" s="43" t="str">
        <f t="shared" si="145"/>
        <v/>
      </c>
      <c r="QA28" s="43" t="str">
        <f t="shared" si="146"/>
        <v/>
      </c>
      <c r="QB28" s="43" t="str">
        <f t="shared" si="147"/>
        <v/>
      </c>
      <c r="QC28" s="43" t="str">
        <f t="shared" si="148"/>
        <v/>
      </c>
      <c r="QD28" s="43" t="str">
        <f t="shared" si="149"/>
        <v/>
      </c>
      <c r="QE28" s="43" t="str">
        <f t="shared" si="150"/>
        <v/>
      </c>
      <c r="QF28" s="43" t="str">
        <f t="shared" si="151"/>
        <v/>
      </c>
      <c r="QG28" s="43" t="str">
        <f t="shared" si="152"/>
        <v/>
      </c>
      <c r="QH28" s="43" t="str">
        <f t="shared" si="153"/>
        <v/>
      </c>
      <c r="QI28" s="43" t="str">
        <f t="shared" si="154"/>
        <v/>
      </c>
      <c r="QJ28" s="43" t="str">
        <f t="shared" si="155"/>
        <v/>
      </c>
      <c r="QK28" s="43" t="str">
        <f t="shared" si="156"/>
        <v/>
      </c>
      <c r="QL28" s="43" t="str">
        <f t="shared" si="157"/>
        <v/>
      </c>
      <c r="QM28" s="43" t="str">
        <f t="shared" si="158"/>
        <v/>
      </c>
      <c r="QN28" s="43" t="str">
        <f t="shared" si="159"/>
        <v/>
      </c>
      <c r="QO28" s="43" t="str">
        <f t="shared" si="160"/>
        <v/>
      </c>
      <c r="QP28" s="43" t="str">
        <f t="shared" si="161"/>
        <v/>
      </c>
      <c r="QQ28" s="43" t="str">
        <f t="shared" si="162"/>
        <v/>
      </c>
      <c r="QR28" s="43" t="str">
        <f t="shared" si="192"/>
        <v>Menor</v>
      </c>
      <c r="QS28" s="43"/>
      <c r="QT28" s="21" t="str">
        <f t="shared" si="163"/>
        <v/>
      </c>
      <c r="QU28" s="21" t="str">
        <f t="shared" si="164"/>
        <v/>
      </c>
      <c r="QV28" s="21" t="str">
        <f t="shared" si="165"/>
        <v/>
      </c>
      <c r="QW28" s="21" t="str">
        <f t="shared" si="166"/>
        <v/>
      </c>
      <c r="QX28" s="21" t="str">
        <f t="shared" si="167"/>
        <v/>
      </c>
      <c r="QY28" s="21" t="str">
        <f t="shared" si="168"/>
        <v/>
      </c>
      <c r="QZ28" s="21" t="str">
        <f t="shared" si="169"/>
        <v/>
      </c>
      <c r="RA28" s="21" t="str">
        <f t="shared" si="170"/>
        <v/>
      </c>
      <c r="RB28" s="21" t="str">
        <f t="shared" si="171"/>
        <v/>
      </c>
      <c r="RC28" s="21" t="str">
        <f t="shared" si="172"/>
        <v/>
      </c>
      <c r="RD28" s="21" t="str">
        <f t="shared" si="173"/>
        <v/>
      </c>
      <c r="RE28" s="21" t="str">
        <f t="shared" si="174"/>
        <v/>
      </c>
      <c r="RF28" s="21" t="str">
        <f t="shared" si="175"/>
        <v/>
      </c>
      <c r="RG28" s="21" t="str">
        <f t="shared" si="176"/>
        <v/>
      </c>
      <c r="RH28" s="21" t="str">
        <f t="shared" si="177"/>
        <v/>
      </c>
      <c r="RI28" s="21" t="str">
        <f t="shared" si="178"/>
        <v/>
      </c>
      <c r="RJ28" s="21" t="str">
        <f t="shared" si="179"/>
        <v/>
      </c>
      <c r="RK28" s="21" t="str">
        <f t="shared" si="180"/>
        <v/>
      </c>
      <c r="RL28" s="21" t="str">
        <f t="shared" si="181"/>
        <v/>
      </c>
      <c r="RM28" s="21" t="str">
        <f t="shared" si="182"/>
        <v/>
      </c>
      <c r="RN28" s="21" t="str">
        <f t="shared" si="183"/>
        <v/>
      </c>
      <c r="RO28" s="21" t="str">
        <f t="shared" si="184"/>
        <v/>
      </c>
      <c r="RP28" s="21" t="str">
        <f t="shared" si="185"/>
        <v/>
      </c>
      <c r="RQ28" s="21" t="str">
        <f t="shared" si="186"/>
        <v/>
      </c>
      <c r="RR28" s="21" t="str">
        <f t="shared" si="187"/>
        <v/>
      </c>
      <c r="RS28" s="21" t="str">
        <f t="shared" si="188"/>
        <v/>
      </c>
      <c r="RT28" s="21" t="str">
        <f t="shared" si="189"/>
        <v/>
      </c>
      <c r="RU28" s="21" t="str">
        <f t="shared" si="190"/>
        <v/>
      </c>
      <c r="RV28" s="21">
        <f t="shared" si="191"/>
        <v>7.7142857142857144</v>
      </c>
      <c r="RW28" s="284">
        <f>IF(OR(Tabla1[[#This Row],[FUM FORMULA CONFIABLE]]="",Tabla1[[#This Row],[FUM FORMULA CONFIABLE]]="SD"),"",IF(Tabla1[[#This Row],[FUM FORMULA CONFIABLE]]="CORREGIDA",Tabla1[[#This Row],[FUM X ECO 1]],Tabla1[[#This Row],[FUM x AMENORREA]]))</f>
        <v>44792</v>
      </c>
      <c r="RX28" s="21">
        <f>IF(AND(Tabla1[[#This Row],[FUM X ECO 1]]="",Tabla1[[#This Row],[FUM x AMENORREA]]=""),"",IF(AND(Tabla1[[#This Row],[FUM X ECO 1]]="",Tabla1[[#This Row],[FUM x AMENORREA]]&lt;&gt;""),"X",SUM(Tabla1[[#This Row],[FUM X ECO 1]]-Tabla1[[#This Row],[FUM x AMENORREA]])))</f>
        <v>2.8000000000029104</v>
      </c>
      <c r="RY28" s="21">
        <f t="shared" si="193"/>
        <v>0</v>
      </c>
    </row>
    <row r="29" spans="1:493" ht="45" customHeight="1" x14ac:dyDescent="0.25">
      <c r="A29" s="109" t="s">
        <v>1018</v>
      </c>
      <c r="B29" s="43" t="s">
        <v>1019</v>
      </c>
      <c r="C29" s="43" t="s">
        <v>845</v>
      </c>
      <c r="D29" s="124" t="s">
        <v>846</v>
      </c>
      <c r="E29" s="43" t="s">
        <v>1020</v>
      </c>
      <c r="F29" s="43" t="s">
        <v>979</v>
      </c>
      <c r="G29" s="43" t="s">
        <v>985</v>
      </c>
      <c r="H29" s="43" t="s">
        <v>1021</v>
      </c>
      <c r="I29" s="109" t="s">
        <v>851</v>
      </c>
      <c r="J29" s="110">
        <v>1059604272</v>
      </c>
      <c r="K29" s="43" t="s">
        <v>932</v>
      </c>
      <c r="L29" s="175" t="s">
        <v>853</v>
      </c>
      <c r="M29" s="22">
        <v>35177</v>
      </c>
      <c r="N29" s="213">
        <f t="shared" ca="1" si="0"/>
        <v>27.550684931506851</v>
      </c>
      <c r="O29" s="22">
        <v>44853</v>
      </c>
      <c r="P29" s="214" t="str">
        <f t="shared" si="1"/>
        <v>SI</v>
      </c>
      <c r="Q29" s="26" t="s">
        <v>855</v>
      </c>
      <c r="R29" s="22">
        <v>44853</v>
      </c>
      <c r="S29" s="21" t="s">
        <v>856</v>
      </c>
      <c r="T29" s="24" t="s">
        <v>690</v>
      </c>
      <c r="U29" s="21" t="s">
        <v>857</v>
      </c>
      <c r="V29" s="21" t="s">
        <v>858</v>
      </c>
      <c r="W29" s="21" t="s">
        <v>1022</v>
      </c>
      <c r="X29" s="21" t="s">
        <v>1022</v>
      </c>
      <c r="Y29" s="21" t="s">
        <v>859</v>
      </c>
      <c r="Z29" s="21">
        <v>3184234233</v>
      </c>
      <c r="AA29" s="21" t="s">
        <v>860</v>
      </c>
      <c r="AB29" s="27" t="s">
        <v>861</v>
      </c>
      <c r="AC29" s="26" t="s">
        <v>888</v>
      </c>
      <c r="AD29" s="38" t="s">
        <v>863</v>
      </c>
      <c r="AE29" s="26" t="s">
        <v>854</v>
      </c>
      <c r="AF29" s="26" t="s">
        <v>854</v>
      </c>
      <c r="AG29" s="23" t="s">
        <v>864</v>
      </c>
      <c r="AH29" s="23" t="s">
        <v>864</v>
      </c>
      <c r="AI29" s="24" t="s">
        <v>863</v>
      </c>
      <c r="AJ29" s="23" t="s">
        <v>864</v>
      </c>
      <c r="AK29" s="220" t="str">
        <f>IF(AND(AD29="",AE29="",AF29="",AG29="",AH29="",AI29="",AJ29=""),"",IF(OR(Tabla1[[#This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EVALUACIÓN",IF(AND(O29="",R29=""),"",IF(AND(OR(O29&gt;0,R29&gt;0),NG29&gt;=0,NG29&lt;2),"SIN RIESGO",IF(AND(OR(O29&gt;0,R29&gt;0),NG29&gt;=2),"CON RIESGO","ASD")))))</f>
        <v>SIN RIESGO</v>
      </c>
      <c r="AL29" s="23" t="s">
        <v>864</v>
      </c>
      <c r="AM29" s="26" t="s">
        <v>864</v>
      </c>
      <c r="AN29" s="26" t="s">
        <v>864</v>
      </c>
      <c r="AO29" s="26" t="s">
        <v>864</v>
      </c>
      <c r="AP29" s="26" t="s">
        <v>864</v>
      </c>
      <c r="AQ29" s="26" t="s">
        <v>864</v>
      </c>
      <c r="AR29" s="26" t="s">
        <v>864</v>
      </c>
      <c r="AS29" s="21">
        <v>2</v>
      </c>
      <c r="AT29" s="21">
        <v>1</v>
      </c>
      <c r="AU29" s="21">
        <v>0</v>
      </c>
      <c r="AV29" s="26" t="s">
        <v>864</v>
      </c>
      <c r="AW29" s="21">
        <v>0</v>
      </c>
      <c r="AX29" s="26" t="s">
        <v>864</v>
      </c>
      <c r="AY29" s="26" t="s">
        <v>864</v>
      </c>
      <c r="AZ29" s="26" t="s">
        <v>864</v>
      </c>
      <c r="BA29" s="26" t="s">
        <v>864</v>
      </c>
      <c r="BB29" s="26" t="s">
        <v>864</v>
      </c>
      <c r="BC29" s="26" t="s">
        <v>864</v>
      </c>
      <c r="BD29" s="26" t="s">
        <v>864</v>
      </c>
      <c r="BE29" s="26" t="s">
        <v>864</v>
      </c>
      <c r="BF29" s="26" t="s">
        <v>864</v>
      </c>
      <c r="BG29" s="26" t="s">
        <v>864</v>
      </c>
      <c r="BH29" s="26" t="s">
        <v>864</v>
      </c>
      <c r="BI29" s="26" t="s">
        <v>864</v>
      </c>
      <c r="BJ29" s="26"/>
      <c r="BK29" s="26"/>
      <c r="BL29" s="26" t="s">
        <v>864</v>
      </c>
      <c r="BM29" s="26" t="s">
        <v>864</v>
      </c>
      <c r="BN29" s="22"/>
      <c r="BO29" s="22">
        <v>44793</v>
      </c>
      <c r="BP29" s="21" t="s">
        <v>854</v>
      </c>
      <c r="BQ29" s="222">
        <f t="shared" si="2"/>
        <v>0</v>
      </c>
      <c r="BR29" s="223">
        <f t="shared" si="3"/>
        <v>44799</v>
      </c>
      <c r="BS29" s="224">
        <f t="shared" si="4"/>
        <v>8.5714285714285712</v>
      </c>
      <c r="BT29" s="216" t="str">
        <f t="shared" si="5"/>
        <v>I TRIM</v>
      </c>
      <c r="BU29" s="214" t="str">
        <f t="shared" ca="1" si="6"/>
        <v/>
      </c>
      <c r="BV29" s="25"/>
      <c r="BW29" s="22">
        <v>44862</v>
      </c>
      <c r="BX29" s="28">
        <v>9</v>
      </c>
      <c r="BY29" s="28"/>
      <c r="BZ29" s="22"/>
      <c r="CA29" s="21"/>
      <c r="CB29" s="26" t="s">
        <v>864</v>
      </c>
      <c r="CC29" s="26" t="s">
        <v>864</v>
      </c>
      <c r="CD29" s="26"/>
      <c r="CE29" s="26" t="s">
        <v>864</v>
      </c>
      <c r="CF29" s="22" t="s">
        <v>1517</v>
      </c>
      <c r="CG29" s="21">
        <v>1.56</v>
      </c>
      <c r="CH29" s="21">
        <v>68</v>
      </c>
      <c r="CI29" s="214">
        <f t="shared" si="7"/>
        <v>27.94214332675871</v>
      </c>
      <c r="CJ29" s="225" t="str">
        <f>IF(AND(CI29&lt;10,CH29="SD"),"SIN DATO PESO PREGESTACION O I TRIM",IF(AND(OR(R29&gt;0,O29&gt;0),CI29="X"),"INGRESAR DATO DE PESO",IF(CI29="SD","INGRESAR DATO DE TALLA Y PESO",IF(AND(OR(Tabla1[[#This Row],[MOMENTO EN QUE SE REALIZA EL PESO AL INGRESO A CPN]]="PREGESTACIÓN",NZ29="Menor"),CI29&lt;18.5),"BAJO PESO",IF(AND(OR(Tabla1[[#This Row],[MOMENTO EN QUE SE REALIZA EL PESO AL INGRESO A CPN]]="PREGESTACIÓN",NZ29="Menor"),CI29&lt;25),"NORMAL",IF(AND(OR(Tabla1[[#This Row],[MOMENTO EN QUE SE REALIZA EL PESO AL INGRESO A CPN]]="PREGESTACIÓN",NZ29="Menor"),CI29&lt;30),"SOBREPESO",IF(AND(OR(Tabla1[[#This Row],[MOMENTO EN QUE SE REALIZA EL PESO AL INGRESO A CPN]]="PREGESTACIÓN",NZ29="Menor"),CI29&gt;=30,CI29&lt;50),"OBESIDAD",IF(AND(BS29&gt;0,Tabla1[[#This Row],[MOMENTO EN QUE SE REALIZA EL PESO AL INGRESO A CPN]]="GESTACIÓN"),HLOOKUP(NZ29,$OA$2:PH29,NY29),""))))))))</f>
        <v>SOBREPESO</v>
      </c>
      <c r="CK29" s="212">
        <f t="shared" si="8"/>
        <v>45062</v>
      </c>
      <c r="CL29" s="21">
        <v>80</v>
      </c>
      <c r="CM29" s="214">
        <f t="shared" si="9"/>
        <v>32.873109796186718</v>
      </c>
      <c r="CN29" s="216">
        <f t="shared" si="10"/>
        <v>38</v>
      </c>
      <c r="CO29" s="216" t="e">
        <f>IF(PI29="","",IF(PI29&gt;0,HLOOKUP(PI29,$PJ$2:QQ29,NY29),""))</f>
        <v>#REF!</v>
      </c>
      <c r="CP29" s="21"/>
      <c r="CQ29" s="216" t="e">
        <f>IF(QR29="Menor","NO APLICA-MENOR 13 SEM",IF(AND(CC29="SI",CN29&gt;23),"NO APLICA- GEMELAR",IF(QR29="","",IF(QR29&gt;0,HLOOKUP(QR29,$QS$2:RU29,NY29),""))))</f>
        <v>#REF!</v>
      </c>
      <c r="CR29" s="21">
        <v>110</v>
      </c>
      <c r="CS29" s="21">
        <v>60</v>
      </c>
      <c r="CT29" s="217" t="str">
        <f>IF(R29="","",IF(AND(BS29&gt;1,BS29&lt;12,Tabla1[[#This Row],[T.A. SISTOLICA - ANTES DE SEMANA 12]]="",Tabla1[[#This Row],[T.A. DIASTOLICA - ANTES DE SEMANA 12]]=""),"REGISTRE DATO TA ANTES SEMANA 12",IF(AND(BS29&gt;11,BS29&lt;43,Tabla1[[#This Row],[T.A. SISTOLICA - ANTES DE SEMANA 12]]="",Tabla1[[#This Row],[T.A. DIASTOLICA - ANTES DE SEMANA 12]]=""),"NO APLICA REGISTRO TA-INGRESO TARDIO",IF(AND(OR(O29&gt;0,R29&gt;0),OR(CR29&gt;=140,CS29&gt;=90)),"DEFINIR ESTADIO HTA",IF(AND(OR(O29&gt;0,R29&gt;0),AND(CR29&gt;120,CR29&lt;=139)),"PRE HTA SEGUIMIENTO",IF(AND(OR(O29&gt;0,R29&gt;0),AND(CS29&gt;80,CS29&lt;=89)),"PRE HTA SEGUIMIENTO",IF(AND(OR(O29&gt;0,R29&gt;0),AND(CR29&gt;=80,CR29&lt;=120)),"APARENTEMENTE NORMAL",IF(AND(OR(O29&gt;0,R29&gt;0),AND(CS29&gt;=50,CS29&lt;=80)),"APARENTEMENTE NORMAL",IF(AND(OR(O29&gt;0,R29&gt;0),AND(CR29&gt;1,CR29&lt;=70),AND(CS29&gt;1,CS29&lt;=40)),"HIPOTENSIÓN","")))))))))</f>
        <v>APARENTEMENTE NORMAL</v>
      </c>
      <c r="CU29" s="21">
        <v>100</v>
      </c>
      <c r="CV29" s="21">
        <v>60</v>
      </c>
      <c r="CW29" s="217" t="str">
        <f ca="1">IF(R29="","",IF(AND(CN29&gt;19,CN29&lt;27,Tabla1[[#This Row],[T.A. SISTOLICA (Entre semana 20 y 26)]]="",Tabla1[[#This Row],[T.A. DIATOLICA (Entre semana 20 y 26)]]=""),"ACUDE A CONTROL SEM 20 A 26 REGISTRE TA AHORA",IF(AND(BS29&gt;1,BS29&lt;27,BU29&gt;19,Tabla1[[#This Row],[T.A. SISTOLICA (Entre semana 20 y 26)]]="",Tabla1[[#This Row],[T.A. DIATOLICA (Entre semana 20 y 26)]]=""),"COMPLETE REGISTRO TA CONTROL SEM 20 A26 ",IF(AND(BS29&gt;26,BS29&lt;43,Tabla1[[#This Row],[T.A. SISTOLICA (Entre semana 20 y 26)]]="",Tabla1[[#This Row],[T.A. DIATOLICA (Entre semana 20 y 26)]]=""),"NO APLICA REGISTRO TA-INGRESO TARDIO",IF(AND(OR(O29&gt;0,R29&gt;0),OR(CU29&gt;=140,CV29&gt;=90)),"ALTO RIESGO PREECLAMPSIA,DEFINIR ESTADIO HTA",IF(AND(OR(O29&gt;0,R29&gt;0),AND(CU29&gt;120,CU29&lt;=139)),"PRE HTA SEGUIMIENTO,RIESGO HIPERTENSION INDUCIDA POR EL EMBARAZO",IF(AND(OR(O29&gt;0,R29&gt;0),AND(CV29&gt;80,CV29&lt;=89)),"PRE HTA SEGUIMIENTO, RIESGO HIPERTENSION INDUCIDA POR EL EMBARAZO",IF(AND(OR(O29&lt;&gt;"",R29&lt;&gt;""),CS29&lt;&gt;"",CV29&lt;&gt;"",CS29&lt;=CV29),"VIGILAR CIFRAS PRESION ARTERIAL",IF(AND(OR(O29&gt;0,R29&gt;0),AND(CU29&gt;120,CU29&lt;=139)),"PRE HTA SEGUIMIENTO",IF(AND(OR(O29&gt;0,R29&gt;0),AND(CU29&gt;1,CU29&lt;=70),AND(CV29&gt;1,CV29&lt;=40)),"HIPOTENSIÓN",IF(AND(OR(O29&lt;&gt;"",R29&lt;&gt;""),CS29&lt;&gt;"",CV29&lt;&gt;"",CS29&gt;CV29),"APARENTEMENTE NORMAL",IF(AND(OR(O29&gt;0,R29&gt;0),AND(CU29&gt;=80,CU29&lt;=120)),"APARENTEMENTE NORMAL",IF(AND(OR(O29&gt;0,R29&gt;0),AND(CV29&gt;=50,CV29&lt;=80)),"APARENTEMENTE NORMAL","")))))))))))))</f>
        <v>VIGILAR CIFRAS PRESION ARTERIAL</v>
      </c>
      <c r="CX29" s="21">
        <v>100</v>
      </c>
      <c r="CY29" s="21">
        <v>60</v>
      </c>
      <c r="CZ29" s="216" t="str">
        <f t="shared" si="11"/>
        <v>APARENTEMENTE NORMAL</v>
      </c>
      <c r="DA29" s="21">
        <v>120</v>
      </c>
      <c r="DB29" s="21">
        <v>70</v>
      </c>
      <c r="DC29" s="217" t="str">
        <f t="shared" si="12"/>
        <v>VIGILAR CIFRAS PRESION ARTERIAL</v>
      </c>
      <c r="DD29" s="22">
        <v>44859</v>
      </c>
      <c r="DE29" s="22">
        <v>44859</v>
      </c>
      <c r="DF29" s="22">
        <v>44919</v>
      </c>
      <c r="DG29" s="22">
        <v>44951</v>
      </c>
      <c r="DH29" s="22">
        <v>44985</v>
      </c>
      <c r="DI29" s="22">
        <v>45042</v>
      </c>
      <c r="DJ29" s="22">
        <v>45062</v>
      </c>
      <c r="DK29" s="22"/>
      <c r="DL29" s="22"/>
      <c r="DM29" s="22"/>
      <c r="DN29" s="22"/>
      <c r="DO29" s="22"/>
      <c r="DP29" s="22"/>
      <c r="DQ29" s="22"/>
      <c r="DR29" s="28">
        <v>2</v>
      </c>
      <c r="DS29" s="22"/>
      <c r="DT29" s="22"/>
      <c r="DU29" s="216" t="str">
        <f t="shared" ca="1" si="13"/>
        <v>SALE SIN PLAN DE PARTO</v>
      </c>
      <c r="DV29" s="226" t="str">
        <f t="shared" si="14"/>
        <v>SALIO PROGRAMA</v>
      </c>
      <c r="DW2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9" s="216" t="str">
        <f t="shared" ca="1" si="15"/>
        <v/>
      </c>
      <c r="DY29" s="212">
        <f>IF(R29="","",IF(R29&gt;0,MAX(Tabla1[[#This Row],[FECHA C2]:[FECHA C13]],Tabla1[[#This Row],[FECHA CONSULTA PRIMERA VEZ PROGRAMA CPN ]])))</f>
        <v>45062</v>
      </c>
      <c r="DZ29" s="216">
        <f t="shared" si="16"/>
        <v>38</v>
      </c>
      <c r="EA29" s="222">
        <f>IF(R29&gt;0,SUM(COUNTA(DF29:DQ29)+COUNTA(Tabla1[[#This Row],[FECHA CONSULTA PRIMERA VEZ PROGRAMA CPN ]])),"")</f>
        <v>6</v>
      </c>
      <c r="EB29" s="222" t="str">
        <f t="shared" si="17"/>
        <v>SI</v>
      </c>
      <c r="EC29" s="214">
        <f t="shared" si="18"/>
        <v>9</v>
      </c>
      <c r="ED29" s="227">
        <f t="shared" si="19"/>
        <v>0.66666666666666663</v>
      </c>
      <c r="EE29" s="22">
        <v>44859</v>
      </c>
      <c r="EF29" s="22">
        <v>44862</v>
      </c>
      <c r="EG29" s="22">
        <v>44859</v>
      </c>
      <c r="EH29" s="22"/>
      <c r="EI29" s="22">
        <v>44862</v>
      </c>
      <c r="EJ29" s="22"/>
      <c r="EK29" s="22"/>
      <c r="EL29" s="21"/>
      <c r="EM29" s="21">
        <v>14.2</v>
      </c>
      <c r="EN29" s="22">
        <v>44861</v>
      </c>
      <c r="EO29" s="222">
        <f t="shared" si="20"/>
        <v>9.7142857142857135</v>
      </c>
      <c r="EP29" s="214" t="str">
        <f t="shared" si="21"/>
        <v>NO DAR SULFATO FERROSO</v>
      </c>
      <c r="EQ29" s="216" t="str">
        <f t="shared" si="22"/>
        <v>I TRIM</v>
      </c>
      <c r="ER29" s="24"/>
      <c r="ES29" s="22"/>
      <c r="ET29" s="29" t="str">
        <f t="shared" ca="1" si="23"/>
        <v>SALE SIN TAMIZAJE HEMOGLOBINA SEM 28</v>
      </c>
      <c r="EU29" s="25" t="str">
        <f t="shared" si="24"/>
        <v/>
      </c>
      <c r="EV29" s="24" t="s">
        <v>866</v>
      </c>
      <c r="EW29" s="24">
        <v>44861</v>
      </c>
      <c r="EX29" s="22"/>
      <c r="EY29" s="29">
        <f t="shared" si="25"/>
        <v>9.7142857142857135</v>
      </c>
      <c r="EZ29" s="25" t="str">
        <f t="shared" ca="1" si="26"/>
        <v/>
      </c>
      <c r="FA29" s="21">
        <v>80</v>
      </c>
      <c r="FB29" s="22">
        <v>44861</v>
      </c>
      <c r="FC29" s="29">
        <f t="shared" si="27"/>
        <v>9.7142857142857135</v>
      </c>
      <c r="FD29" s="29">
        <v>70</v>
      </c>
      <c r="FE29" s="29">
        <v>198</v>
      </c>
      <c r="FF29" s="29">
        <v>94</v>
      </c>
      <c r="FG29" s="21" t="str">
        <f t="shared" ca="1" si="28"/>
        <v>DIABETES, REMITIR</v>
      </c>
      <c r="FH29" s="31">
        <v>45001</v>
      </c>
      <c r="FI29" s="29">
        <f t="shared" si="29"/>
        <v>29.714285714285715</v>
      </c>
      <c r="FJ29" s="22" t="s">
        <v>867</v>
      </c>
      <c r="FK29" s="22">
        <v>44861</v>
      </c>
      <c r="FL29" s="29">
        <f t="shared" ca="1" si="30"/>
        <v>9.7142857142857135</v>
      </c>
      <c r="FM29" s="22" t="s">
        <v>867</v>
      </c>
      <c r="FN29" s="32">
        <v>44951</v>
      </c>
      <c r="FO29" s="29">
        <f t="shared" ca="1" si="31"/>
        <v>22.571428571428573</v>
      </c>
      <c r="FP29" s="22" t="s">
        <v>867</v>
      </c>
      <c r="FQ29" s="32"/>
      <c r="FR29" s="29" t="str">
        <f t="shared" ca="1" si="32"/>
        <v>PIERDE TOMA DE TAMIZAJE</v>
      </c>
      <c r="FS29" s="22"/>
      <c r="FT29" s="32"/>
      <c r="FU29" s="29" t="str">
        <f>IF(AND(FJ29="",FM29="",FP29="",FS29=""),"",IF(OR(OR(Tabla1[[#This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9" s="28"/>
      <c r="FW29" s="22"/>
      <c r="FX29" s="29" t="str">
        <f t="shared" si="33"/>
        <v>TOMAR EXAMEN</v>
      </c>
      <c r="FY29" s="22">
        <v>44861</v>
      </c>
      <c r="FZ29" s="22">
        <v>44861</v>
      </c>
      <c r="GA29" s="29">
        <f t="shared" ca="1" si="34"/>
        <v>9.7142857142857135</v>
      </c>
      <c r="GB29" s="22"/>
      <c r="GC29" s="22"/>
      <c r="GD29" s="29" t="str">
        <f t="shared" ca="1" si="35"/>
        <v>PIERDE TOMA DE TAMIZAJE</v>
      </c>
      <c r="GE29" s="22"/>
      <c r="GF29" s="22"/>
      <c r="GG29" s="29" t="str">
        <f t="shared" ca="1" si="36"/>
        <v>PIERDE TOMA DE TAMIZAJE</v>
      </c>
      <c r="GH29" s="22"/>
      <c r="GI29" s="29"/>
      <c r="GJ29" s="22"/>
      <c r="GK29" s="22"/>
      <c r="GL29" s="22" t="s">
        <v>879</v>
      </c>
      <c r="GM29" s="22"/>
      <c r="GN29" s="28" t="s">
        <v>869</v>
      </c>
      <c r="GO29" s="22">
        <v>44861</v>
      </c>
      <c r="GP29" s="29">
        <f t="shared" si="37"/>
        <v>9.7142857142857135</v>
      </c>
      <c r="GQ29" s="28" t="s">
        <v>869</v>
      </c>
      <c r="GR29" s="28" t="s">
        <v>869</v>
      </c>
      <c r="GS29" s="22" t="str">
        <f t="shared" si="38"/>
        <v>CONTROL Igm</v>
      </c>
      <c r="GT29" s="22">
        <v>44861</v>
      </c>
      <c r="GU29" s="29">
        <f t="shared" si="39"/>
        <v>9.7142857142857135</v>
      </c>
      <c r="GV29" s="21" t="str">
        <f t="shared" si="40"/>
        <v>I TRIM</v>
      </c>
      <c r="GW29" s="28" t="s">
        <v>869</v>
      </c>
      <c r="GX29" s="30"/>
      <c r="GY29" s="21"/>
      <c r="GZ29" s="21"/>
      <c r="HA29" s="21"/>
      <c r="HB29" s="21"/>
      <c r="HC29" s="21"/>
      <c r="HD29" s="21"/>
      <c r="HE29" s="21"/>
      <c r="HF29" s="22"/>
      <c r="HG29" s="22" t="str">
        <f>IF(OR(O29&gt;0,R29&gt;0),CONCATENATE(IF(Tabla1[[#This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9" s="22" t="e">
        <f t="shared" si="41"/>
        <v>#REF!</v>
      </c>
      <c r="HI29" s="22" t="e">
        <f t="shared" ca="1" si="42"/>
        <v>#REF!</v>
      </c>
      <c r="HJ29" s="21"/>
      <c r="HK29" s="21" t="str">
        <f t="shared" si="44"/>
        <v>SIN ANTECEDENTES DE RIESGO</v>
      </c>
      <c r="HL29" s="24" t="str">
        <f t="shared" si="45"/>
        <v>VIGILAR CIFRAS PRESION ARTERIAL</v>
      </c>
      <c r="HM29" s="21" t="str">
        <f t="shared" ca="1" si="46"/>
        <v/>
      </c>
      <c r="HN29" s="30" t="str">
        <f t="shared" si="47"/>
        <v>SALIO PROGRAMA</v>
      </c>
      <c r="HO29" s="21"/>
      <c r="HP29" s="21"/>
      <c r="HQ29" s="21">
        <v>44859</v>
      </c>
      <c r="HR29" s="21" t="str">
        <f>IF(R29="","",IF(Tabla1[[#This Row],[ALARMA FACTORES DE RIESGO COMPLICACIONES HIPERTENSIVAS3]]="SIN ANTECEDENTES DE RIESGO","No Aplica para suministro de ASA",IF(AND(Tabla1[[#This Row],[FECHA INICIO DE SUMINISTRO DE ASA]]&gt;0,RV29&lt;12),"Inicia ASA ANTES de Sem 12",IF(AND(RV29&gt;11,RV29&lt;17,OR(HK29="RIESGO ALTO DE COMPLICACIONES HIPERTENSIVAS VER MANEJO GUIA SUMINISTRO ASA Y CALCIO",HK29="RIESGO MODERADO (2 O MAS CRITERIOS) VER MANEJO GUIA SUMINISTRO ASA Y CALCIO")),"Inicio oportuno de ASA",IF(AND(RV29&gt;12,OR(HK29="RIESGO ALTO DE COMPLICACIONES HIPERTENSIVAS VER MANEJO GUIA SUMINISTRO ASA Y CALCIO",HK29="RIESGO MODERADO (2 O MAS CRITERIOS) VER MANEJO GUIA SUMINISTRO ASA Y CALCIO")),"Inicio no oportuno mayor a 16 semanas",IF(AND(BU29&lt;12,OR(HK29="RIESGO ALTO DE COMPLICACIONES HIPERTENSIVAS VER MANEJO GUIA SUMINISTRO ASA Y CALCIO",HK29="RIESGO MODERADO (2 O MAS CRITERIOS) VER MANEJO GUIA SUMINISTRO ASA Y CALCIO")),"Pendiente Inicio de ASA a la semana 12",IF(AND(BU29&gt;11,BU29&lt;17,OR(HK29="RIESGO ALTO DE COMPLICACIONES HIPERTENSIVAS VER MANEJO GUIA SUMINISTRO ASA Y CALCIO",HK29="RIESGO MODERADO (2 O MAS CRITERIOS) VER MANEJO GUIA SUMINISTRO ASA Y CALCIO")),"Iniciar de inmediato ASA",IF(AND(BU29&gt;16,OR(HK29="RIESGO ALTO DE COMPLICACIONES HIPERTENSIVAS VER MANEJO GUIA SUMINISTRO ASA Y CALCIO",HK29="RIESGO MODERADO (2 O MAS CRITERIOS) VER MANEJO GUIA SUMINISTRO ASA Y CALCIO")),"Pierde Oportunidad, Inicio tardío de ASA","XXXXX"))))))))</f>
        <v>No Aplica para suministro de ASA</v>
      </c>
      <c r="HS29" s="22">
        <v>44859</v>
      </c>
      <c r="HT29" s="22" t="s">
        <v>870</v>
      </c>
      <c r="HU29" s="22">
        <v>44859</v>
      </c>
      <c r="HV29" s="22" t="s">
        <v>870</v>
      </c>
      <c r="HW29" s="22">
        <v>44859</v>
      </c>
      <c r="HX29" s="22" t="s">
        <v>870</v>
      </c>
      <c r="HY29" s="22">
        <v>44859</v>
      </c>
      <c r="HZ29" s="28">
        <f t="shared" si="48"/>
        <v>9.4285714285714288</v>
      </c>
      <c r="IA29" s="26" t="s">
        <v>864</v>
      </c>
      <c r="IB29" s="26"/>
      <c r="IC29" s="111"/>
      <c r="ID29" s="22"/>
      <c r="IE29" s="22" t="str">
        <f t="shared" ca="1" si="49"/>
        <v>SALE SIN VACUNA</v>
      </c>
      <c r="IF29" s="22"/>
      <c r="IG29" s="22">
        <f t="shared" si="50"/>
        <v>45073</v>
      </c>
      <c r="IH29" s="29">
        <f t="shared" ca="1" si="51"/>
        <v>-160</v>
      </c>
      <c r="II29" s="22" t="str">
        <f t="shared" ca="1" si="52"/>
        <v>POSIBLEMENTE NACIO</v>
      </c>
      <c r="IJ29" s="22"/>
      <c r="IK29" s="21" t="s">
        <v>898</v>
      </c>
      <c r="IL29" s="21"/>
      <c r="IM29" s="34"/>
      <c r="IN29" s="349">
        <v>45077</v>
      </c>
      <c r="IO29" s="21" t="s">
        <v>1640</v>
      </c>
      <c r="IP29" s="29">
        <f t="shared" si="53"/>
        <v>40.571428571428569</v>
      </c>
      <c r="IQ29" s="35"/>
      <c r="IR29" s="21" t="s">
        <v>879</v>
      </c>
      <c r="IS29" s="21" t="s">
        <v>1641</v>
      </c>
      <c r="IT29" s="21" t="s">
        <v>1642</v>
      </c>
      <c r="IU29" s="21"/>
      <c r="IV29" s="21"/>
      <c r="IW29" s="21"/>
      <c r="IX29" s="21"/>
      <c r="IY29" s="21"/>
      <c r="IZ29" s="21"/>
      <c r="JA29" s="21"/>
      <c r="JB29" s="30">
        <v>1</v>
      </c>
      <c r="JC29" s="21" t="s">
        <v>1643</v>
      </c>
      <c r="JD29" s="36">
        <v>3100</v>
      </c>
      <c r="JE29" s="21" t="str">
        <f t="shared" si="54"/>
        <v>PESO ADECUADO EDAD GESTACIONAL</v>
      </c>
      <c r="JF29" s="30"/>
      <c r="JG29" s="21"/>
      <c r="JH29" s="21"/>
      <c r="JI29" s="21"/>
      <c r="JJ29" s="30"/>
      <c r="JK29" s="22"/>
      <c r="JL29" s="22"/>
      <c r="JM29" s="21"/>
      <c r="JN29" s="36"/>
      <c r="JO29" s="21" t="str">
        <f t="shared" si="55"/>
        <v/>
      </c>
      <c r="JP29" s="22"/>
      <c r="JQ29" s="21"/>
      <c r="JR29" s="21"/>
      <c r="JS29" s="21"/>
      <c r="JT29" s="30"/>
      <c r="JU29" s="22"/>
      <c r="JV29" s="22"/>
      <c r="JW29" s="33"/>
      <c r="JX29" s="28" t="str">
        <f t="shared" si="56"/>
        <v>INASISTENTE</v>
      </c>
      <c r="JY29" s="33"/>
      <c r="JZ29" s="28" t="str">
        <f t="shared" si="57"/>
        <v>INASISTENTE</v>
      </c>
      <c r="KA29" s="21"/>
      <c r="KB29" s="21"/>
      <c r="KC29" s="21"/>
      <c r="KD29" s="37"/>
      <c r="KE29" s="28"/>
      <c r="KF29" s="28"/>
      <c r="KG29" s="28"/>
      <c r="KH29" s="39"/>
      <c r="KI29" s="39"/>
      <c r="KJ29" s="66"/>
      <c r="KK29" s="39"/>
      <c r="KL29" s="39"/>
      <c r="KM29" s="66"/>
      <c r="KN29" s="39"/>
      <c r="KO29" s="39"/>
      <c r="KP29" s="39"/>
      <c r="KQ29" s="39"/>
      <c r="KR29" s="39"/>
      <c r="KS29" s="39"/>
      <c r="KT29" s="39"/>
      <c r="KU29" s="38"/>
      <c r="KV29" s="38"/>
      <c r="KW29" s="38"/>
      <c r="KX29" s="38"/>
      <c r="KY29" s="38"/>
      <c r="KZ29" s="38"/>
      <c r="LA29" s="38"/>
      <c r="LB29" s="38"/>
      <c r="LC29" s="38"/>
      <c r="LD29" s="38"/>
      <c r="LE29" s="38"/>
      <c r="LF29" s="38"/>
      <c r="LG29" s="38"/>
      <c r="LH29" s="38"/>
      <c r="LI29" s="38"/>
      <c r="LJ29" s="38"/>
      <c r="LK29" s="38"/>
      <c r="LL29" s="38"/>
      <c r="LM29" s="38"/>
      <c r="LN29" s="38"/>
      <c r="LO29" s="38"/>
      <c r="LP29" s="38"/>
      <c r="LQ29" s="38"/>
      <c r="LR29" s="38"/>
      <c r="LS29" s="38"/>
      <c r="LT29" s="38"/>
      <c r="LU29" s="38"/>
      <c r="LV29" s="38"/>
      <c r="LW29" s="38"/>
      <c r="LX29" s="38"/>
      <c r="LY29" s="38"/>
      <c r="LZ29" s="38"/>
      <c r="MA29" s="38"/>
      <c r="MB29" s="38"/>
      <c r="MC29" s="38"/>
      <c r="MD29" s="38"/>
      <c r="ME29" s="38"/>
      <c r="MF29" s="38"/>
      <c r="MG29" s="38"/>
      <c r="MH29" s="43">
        <f t="shared" si="58"/>
        <v>0</v>
      </c>
      <c r="MI29" s="43" t="str">
        <f t="shared" si="59"/>
        <v/>
      </c>
      <c r="MJ29" s="43" t="str">
        <f t="shared" si="60"/>
        <v/>
      </c>
      <c r="MK29" s="43">
        <f t="shared" si="61"/>
        <v>0</v>
      </c>
      <c r="ML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9" s="43">
        <f t="shared" si="62"/>
        <v>8.5714285714285712</v>
      </c>
      <c r="MN29" s="43">
        <f t="shared" si="63"/>
        <v>10</v>
      </c>
      <c r="MO29" s="43">
        <f t="shared" si="64"/>
        <v>2022</v>
      </c>
      <c r="MP29" s="43" t="str">
        <f t="shared" si="65"/>
        <v>IV TRIMESTRE AÑO</v>
      </c>
      <c r="MQ29" s="43">
        <f t="shared" si="66"/>
        <v>26.108738501971089</v>
      </c>
      <c r="MR29" s="43">
        <f t="shared" si="67"/>
        <v>0</v>
      </c>
      <c r="MS29" s="43" t="str">
        <f t="shared" si="68"/>
        <v xml:space="preserve"> DE 25 A 29 AÑOS</v>
      </c>
      <c r="MT29" s="43">
        <f t="shared" si="69"/>
        <v>0</v>
      </c>
      <c r="MU29" s="43">
        <f t="shared" si="70"/>
        <v>0</v>
      </c>
      <c r="MV29" s="43">
        <f t="shared" si="71"/>
        <v>0</v>
      </c>
      <c r="MW29" s="43">
        <f t="shared" si="72"/>
        <v>0</v>
      </c>
      <c r="MX29" s="43" t="str">
        <f t="shared" si="73"/>
        <v/>
      </c>
      <c r="MY29" s="43" t="str">
        <f t="shared" ca="1" si="74"/>
        <v/>
      </c>
      <c r="MZ29" s="43" t="str">
        <f t="shared" si="75"/>
        <v/>
      </c>
      <c r="NA29" s="43" t="str">
        <f t="shared" si="76"/>
        <v/>
      </c>
      <c r="NB29" s="43" t="str">
        <f t="shared" si="77"/>
        <v/>
      </c>
      <c r="NC29" s="43" t="str">
        <f t="shared" si="78"/>
        <v/>
      </c>
      <c r="ND29" s="43">
        <f t="shared" ca="1" si="79"/>
        <v>2</v>
      </c>
      <c r="NE29" s="43">
        <f>IF(OR(O29&gt;0,R29&gt;0),SUM(COUNTIF(Tabla1[[#This Row],[AÑOS AL INICIO5 CPN]],"&gt;=40"),COUNTIF(AS29,"0"),COUNTIF(AR29,"SI"),COUNTIF(CC29,"SI"),COUNTIF(BQ29,"&gt;119"),COUNTIF(CI29,"&gt;=35")),"")</f>
        <v>0</v>
      </c>
      <c r="NF29" s="43" t="str">
        <f t="shared" si="80"/>
        <v/>
      </c>
      <c r="NG29" s="43">
        <f t="shared" si="81"/>
        <v>0</v>
      </c>
      <c r="NH29" s="43">
        <f t="shared" si="82"/>
        <v>63</v>
      </c>
      <c r="NI2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CPN",P29="NO"),"Z",IF(AND(Tabla1[[#This Row],[CITA PROXIMO CONTROL]]="CITA MANUAL",Tabla1[[#This Row],[GESTANTES ACTUALES]]="ACTIVA INGRESO A CPN"),"W",IF(AND(Tabla1[[#This Row],[GESTANTES ACTUALES]]="SALIO PROGRAMA",IN29=""),"S",IF(AND(Tabla1[[#This Row],[CITA PROXIMO CONTROL]]&gt;0,IN29=""),(Tabla1[[#This Row],[CITA PROXIMO CONTROL]]-TODAY()),"SD"))))))))</f>
        <v>SD</v>
      </c>
      <c r="NJ29" s="43">
        <f>MONTH(Tabla1[[#This Row],[FECHA DE SALIDA  DEL PROGRAMA]])</f>
        <v>5</v>
      </c>
      <c r="NK29" s="43">
        <f>YEAR(Tabla1[[#This Row],[FECHA DE SALIDA  DEL PROGRAMA]])</f>
        <v>2023</v>
      </c>
      <c r="NL29" s="43" t="str">
        <f t="shared" si="83"/>
        <v>X</v>
      </c>
      <c r="NM29" s="43" t="str">
        <f t="shared" si="84"/>
        <v>NO</v>
      </c>
      <c r="NN29" s="43" t="str">
        <f ca="1">IF(AND(O29&gt;0,R29=""),"NO CPN",IF(AND(O29="",R29=""),"",IF(AND(R29&gt;0,Tabla1[[#This Row],[SEMANAS DE GESTACION ACTUALIZADAS]]&lt;=12),"NO APLICA",IF(AND(FH29&lt;&gt;"",FN29&lt;&gt;""),"SI","NO"))))</f>
        <v>SI</v>
      </c>
      <c r="NO29" s="43" t="str">
        <f ca="1">IF(AND(O29&gt;0,R29=""),"NO CPN",IF(AND(O29="",R29=""),"",IF(AND(R29&gt;0,Tabla1[[#This Row],[SEMANAS DE GESTACION ACTUALIZADAS]]&lt;=27),"NO APLICA",IF(AND(ES29&lt;&gt;"",FQ29&lt;&gt;"",GF29&lt;&gt;""),"SI","NO"))))</f>
        <v>NO</v>
      </c>
      <c r="NP29" s="204" t="str">
        <f t="shared" si="85"/>
        <v>I TRIM</v>
      </c>
      <c r="NQ29" s="21">
        <f t="shared" si="86"/>
        <v>1</v>
      </c>
      <c r="NR29" s="21">
        <f t="shared" si="87"/>
        <v>3</v>
      </c>
      <c r="NS29" s="205">
        <f t="shared" ca="1" si="88"/>
        <v>2</v>
      </c>
      <c r="NT29" s="21">
        <f t="shared" ca="1" si="89"/>
        <v>1</v>
      </c>
      <c r="NU29" s="21" t="str">
        <f t="shared" ca="1" si="90"/>
        <v>INCOMPLETO</v>
      </c>
      <c r="NV29" s="21" t="str">
        <f t="shared" ca="1" si="91"/>
        <v>INCOMPLETO</v>
      </c>
      <c r="NW29" s="206" t="str">
        <f>IF(AND(O29="",R29=""),"",IF(OR(AND(Tabla1[[#This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9" s="207" t="str">
        <f t="shared" ca="1" si="92"/>
        <v>SIN VACUNAR</v>
      </c>
      <c r="NY29" s="43">
        <f>ROW(Tabla1[[#This Row],['# DE TAMIZAJES SIFILIS TOMADOS ]])</f>
        <v>29</v>
      </c>
      <c r="NZ29" s="43" t="str">
        <f t="shared" si="93"/>
        <v>Menor</v>
      </c>
      <c r="OA29" s="43" t="str">
        <f t="shared" si="94"/>
        <v>SOBREPESO</v>
      </c>
      <c r="OB29" s="43" t="str">
        <f t="shared" si="95"/>
        <v/>
      </c>
      <c r="OC29" s="43" t="str">
        <f t="shared" si="96"/>
        <v/>
      </c>
      <c r="OD29" s="43" t="str">
        <f t="shared" si="97"/>
        <v/>
      </c>
      <c r="OE29" s="43" t="str">
        <f t="shared" si="98"/>
        <v/>
      </c>
      <c r="OF29" s="43" t="str">
        <f t="shared" si="99"/>
        <v/>
      </c>
      <c r="OG29" s="43" t="str">
        <f t="shared" si="100"/>
        <v/>
      </c>
      <c r="OH29" s="43" t="str">
        <f t="shared" si="101"/>
        <v/>
      </c>
      <c r="OI29" s="43" t="str">
        <f t="shared" si="102"/>
        <v/>
      </c>
      <c r="OJ29" s="43" t="str">
        <f t="shared" si="103"/>
        <v/>
      </c>
      <c r="OK29" s="43" t="str">
        <f t="shared" si="104"/>
        <v/>
      </c>
      <c r="OL29" s="43" t="str">
        <f t="shared" si="105"/>
        <v/>
      </c>
      <c r="OM29" s="43" t="str">
        <f t="shared" si="106"/>
        <v/>
      </c>
      <c r="ON29" s="43" t="str">
        <f t="shared" si="107"/>
        <v/>
      </c>
      <c r="OO29" s="43" t="str">
        <f t="shared" si="108"/>
        <v/>
      </c>
      <c r="OP29" s="43" t="str">
        <f t="shared" si="109"/>
        <v/>
      </c>
      <c r="OQ29" s="43" t="str">
        <f t="shared" si="110"/>
        <v/>
      </c>
      <c r="OR29" s="43" t="str">
        <f t="shared" si="111"/>
        <v/>
      </c>
      <c r="OS29" s="43" t="str">
        <f t="shared" si="112"/>
        <v/>
      </c>
      <c r="OT29" s="43" t="str">
        <f t="shared" si="113"/>
        <v/>
      </c>
      <c r="OU29" s="43" t="str">
        <f t="shared" si="114"/>
        <v/>
      </c>
      <c r="OV29" s="110" t="str">
        <f t="shared" si="115"/>
        <v/>
      </c>
      <c r="OW29" s="43" t="str">
        <f t="shared" si="116"/>
        <v/>
      </c>
      <c r="OX29" s="43" t="str">
        <f t="shared" si="117"/>
        <v/>
      </c>
      <c r="OY29" s="43" t="str">
        <f t="shared" si="118"/>
        <v/>
      </c>
      <c r="OZ29" s="43" t="str">
        <f t="shared" si="119"/>
        <v/>
      </c>
      <c r="PA29" s="43" t="str">
        <f t="shared" si="120"/>
        <v/>
      </c>
      <c r="PB29" s="43" t="str">
        <f t="shared" si="121"/>
        <v/>
      </c>
      <c r="PC29" s="43" t="str">
        <f t="shared" si="122"/>
        <v/>
      </c>
      <c r="PD29" s="43" t="str">
        <f t="shared" si="123"/>
        <v/>
      </c>
      <c r="PE29" s="43" t="str">
        <f t="shared" si="124"/>
        <v/>
      </c>
      <c r="PF29" s="43" t="str">
        <f t="shared" si="125"/>
        <v/>
      </c>
      <c r="PG29" s="43" t="str">
        <f t="shared" si="126"/>
        <v/>
      </c>
      <c r="PH29" s="43" t="str">
        <f t="shared" si="127"/>
        <v/>
      </c>
      <c r="PI29" s="43">
        <f t="shared" si="128"/>
        <v>38</v>
      </c>
      <c r="PJ29" s="43" t="str">
        <f t="shared" si="129"/>
        <v/>
      </c>
      <c r="PK29" s="43" t="str">
        <f t="shared" si="130"/>
        <v/>
      </c>
      <c r="PL29" s="43" t="str">
        <f t="shared" si="131"/>
        <v/>
      </c>
      <c r="PM29" s="43" t="str">
        <f t="shared" si="132"/>
        <v/>
      </c>
      <c r="PN29" s="43" t="str">
        <f t="shared" si="133"/>
        <v/>
      </c>
      <c r="PO29" s="43" t="str">
        <f t="shared" si="134"/>
        <v/>
      </c>
      <c r="PP29" s="43" t="str">
        <f t="shared" si="135"/>
        <v/>
      </c>
      <c r="PQ29" s="43" t="str">
        <f t="shared" si="136"/>
        <v/>
      </c>
      <c r="PR29" s="43" t="str">
        <f t="shared" si="137"/>
        <v/>
      </c>
      <c r="PS29" s="43" t="str">
        <f t="shared" si="138"/>
        <v/>
      </c>
      <c r="PT29" s="43" t="str">
        <f t="shared" si="139"/>
        <v/>
      </c>
      <c r="PU29" s="43" t="str">
        <f t="shared" si="140"/>
        <v/>
      </c>
      <c r="PV29" s="43" t="str">
        <f t="shared" si="141"/>
        <v/>
      </c>
      <c r="PW29" s="43" t="str">
        <f t="shared" si="142"/>
        <v/>
      </c>
      <c r="PX29" s="43" t="str">
        <f t="shared" si="143"/>
        <v/>
      </c>
      <c r="PY29" s="43" t="str">
        <f t="shared" si="144"/>
        <v/>
      </c>
      <c r="PZ29" s="43" t="str">
        <f t="shared" si="145"/>
        <v/>
      </c>
      <c r="QA29" s="43" t="str">
        <f t="shared" si="146"/>
        <v/>
      </c>
      <c r="QB29" s="43" t="str">
        <f t="shared" si="147"/>
        <v/>
      </c>
      <c r="QC29" s="43" t="str">
        <f t="shared" si="148"/>
        <v/>
      </c>
      <c r="QD29" s="43" t="str">
        <f t="shared" si="149"/>
        <v/>
      </c>
      <c r="QE29" s="43" t="str">
        <f t="shared" si="150"/>
        <v/>
      </c>
      <c r="QF29" s="43" t="str">
        <f t="shared" si="151"/>
        <v/>
      </c>
      <c r="QG29" s="43" t="str">
        <f t="shared" si="152"/>
        <v/>
      </c>
      <c r="QH29" s="43" t="str">
        <f t="shared" si="153"/>
        <v/>
      </c>
      <c r="QI29" s="43" t="str">
        <f t="shared" si="154"/>
        <v/>
      </c>
      <c r="QJ29" s="43" t="str">
        <f t="shared" si="155"/>
        <v/>
      </c>
      <c r="QK29" s="43" t="str">
        <f t="shared" si="156"/>
        <v/>
      </c>
      <c r="QL29" s="43" t="str">
        <f t="shared" si="157"/>
        <v/>
      </c>
      <c r="QM29" s="43" t="str">
        <f t="shared" si="158"/>
        <v>SOBREPESO</v>
      </c>
      <c r="QN29" s="43" t="str">
        <f t="shared" si="159"/>
        <v/>
      </c>
      <c r="QO29" s="43" t="str">
        <f t="shared" si="160"/>
        <v/>
      </c>
      <c r="QP29" s="43" t="str">
        <f t="shared" si="161"/>
        <v/>
      </c>
      <c r="QQ29" s="43" t="str">
        <f t="shared" si="162"/>
        <v/>
      </c>
      <c r="QR29" s="43">
        <f t="shared" si="192"/>
        <v>38</v>
      </c>
      <c r="QS29" s="43"/>
      <c r="QT29" s="21" t="str">
        <f t="shared" si="163"/>
        <v/>
      </c>
      <c r="QU29" s="21" t="str">
        <f t="shared" si="164"/>
        <v/>
      </c>
      <c r="QV29" s="21" t="str">
        <f t="shared" si="165"/>
        <v/>
      </c>
      <c r="QW29" s="21" t="str">
        <f t="shared" si="166"/>
        <v/>
      </c>
      <c r="QX29" s="21" t="str">
        <f t="shared" si="167"/>
        <v/>
      </c>
      <c r="QY29" s="21" t="str">
        <f t="shared" si="168"/>
        <v/>
      </c>
      <c r="QZ29" s="21" t="str">
        <f t="shared" si="169"/>
        <v/>
      </c>
      <c r="RA29" s="21" t="str">
        <f t="shared" si="170"/>
        <v/>
      </c>
      <c r="RB29" s="21" t="str">
        <f t="shared" si="171"/>
        <v/>
      </c>
      <c r="RC29" s="21" t="str">
        <f t="shared" si="172"/>
        <v/>
      </c>
      <c r="RD29" s="21" t="str">
        <f t="shared" si="173"/>
        <v/>
      </c>
      <c r="RE29" s="21" t="str">
        <f t="shared" si="174"/>
        <v/>
      </c>
      <c r="RF29" s="21" t="str">
        <f t="shared" si="175"/>
        <v/>
      </c>
      <c r="RG29" s="21" t="str">
        <f t="shared" si="176"/>
        <v/>
      </c>
      <c r="RH29" s="21" t="str">
        <f t="shared" si="177"/>
        <v/>
      </c>
      <c r="RI29" s="21" t="str">
        <f t="shared" si="178"/>
        <v/>
      </c>
      <c r="RJ29" s="21" t="str">
        <f t="shared" si="179"/>
        <v/>
      </c>
      <c r="RK29" s="21" t="str">
        <f t="shared" si="180"/>
        <v/>
      </c>
      <c r="RL29" s="21" t="str">
        <f t="shared" si="181"/>
        <v/>
      </c>
      <c r="RM29" s="21" t="str">
        <f t="shared" si="182"/>
        <v/>
      </c>
      <c r="RN29" s="21" t="str">
        <f t="shared" si="183"/>
        <v/>
      </c>
      <c r="RO29" s="21" t="str">
        <f t="shared" si="184"/>
        <v/>
      </c>
      <c r="RP29" s="21" t="str">
        <f t="shared" si="185"/>
        <v/>
      </c>
      <c r="RQ29" s="21" t="str">
        <f t="shared" si="186"/>
        <v/>
      </c>
      <c r="RR29" s="21" t="str">
        <f t="shared" si="187"/>
        <v/>
      </c>
      <c r="RS29" s="21" t="str">
        <f t="shared" si="188"/>
        <v/>
      </c>
      <c r="RT29" s="21" t="str">
        <f t="shared" si="189"/>
        <v/>
      </c>
      <c r="RU29" s="21" t="str">
        <f t="shared" si="190"/>
        <v/>
      </c>
      <c r="RV29" s="21">
        <f t="shared" si="191"/>
        <v>9.4285714285714288</v>
      </c>
      <c r="RW29" s="284">
        <f>IF(OR(Tabla1[[#This Row],[FUM FORMULA CONFIABLE]]="",Tabla1[[#This Row],[FUM FORMULA CONFIABLE]]="SD"),"",IF(Tabla1[[#This Row],[FUM FORMULA CONFIABLE]]="CORREGIDA",Tabla1[[#This Row],[FUM X ECO 1]],Tabla1[[#This Row],[FUM x AMENORREA]]))</f>
        <v>44793</v>
      </c>
      <c r="RX29" s="21">
        <f>IF(AND(Tabla1[[#This Row],[FUM X ECO 1]]="",Tabla1[[#This Row],[FUM x AMENORREA]]=""),"",IF(AND(Tabla1[[#This Row],[FUM X ECO 1]]="",Tabla1[[#This Row],[FUM x AMENORREA]]&lt;&gt;""),"X",SUM(Tabla1[[#This Row],[FUM X ECO 1]]-Tabla1[[#This Row],[FUM x AMENORREA]])))</f>
        <v>6</v>
      </c>
      <c r="RY29" s="21">
        <f t="shared" si="193"/>
        <v>0</v>
      </c>
    </row>
    <row r="30" spans="1:493" ht="45" customHeight="1" x14ac:dyDescent="0.25">
      <c r="A30" s="109" t="s">
        <v>1023</v>
      </c>
      <c r="B30" s="43" t="s">
        <v>1024</v>
      </c>
      <c r="C30" s="43" t="s">
        <v>845</v>
      </c>
      <c r="D30" s="124" t="s">
        <v>846</v>
      </c>
      <c r="E30" s="43" t="s">
        <v>1025</v>
      </c>
      <c r="F30" s="43" t="s">
        <v>1026</v>
      </c>
      <c r="G30" s="43" t="s">
        <v>1027</v>
      </c>
      <c r="H30" s="43" t="s">
        <v>1028</v>
      </c>
      <c r="I30" s="109" t="s">
        <v>851</v>
      </c>
      <c r="J30" s="110">
        <v>1002848230</v>
      </c>
      <c r="K30" s="43" t="s">
        <v>852</v>
      </c>
      <c r="L30" s="175" t="s">
        <v>886</v>
      </c>
      <c r="M30" s="22">
        <v>37951</v>
      </c>
      <c r="N30" s="213">
        <f t="shared" ca="1" si="0"/>
        <v>19.950684931506849</v>
      </c>
      <c r="O30" s="22">
        <v>44849</v>
      </c>
      <c r="P30" s="214" t="str">
        <f t="shared" si="1"/>
        <v>SI</v>
      </c>
      <c r="Q30" s="26" t="s">
        <v>855</v>
      </c>
      <c r="R30" s="22">
        <v>44859</v>
      </c>
      <c r="S30" s="21" t="s">
        <v>856</v>
      </c>
      <c r="T30" s="24" t="s">
        <v>690</v>
      </c>
      <c r="U30" s="21" t="s">
        <v>857</v>
      </c>
      <c r="V30" s="21" t="s">
        <v>858</v>
      </c>
      <c r="W30" s="21" t="s">
        <v>1029</v>
      </c>
      <c r="X30" s="21" t="s">
        <v>1029</v>
      </c>
      <c r="Y30" s="21" t="s">
        <v>859</v>
      </c>
      <c r="Z30" s="21">
        <v>3183428790</v>
      </c>
      <c r="AA30" s="21" t="s">
        <v>860</v>
      </c>
      <c r="AB30" s="27" t="s">
        <v>861</v>
      </c>
      <c r="AC30" s="26" t="s">
        <v>897</v>
      </c>
      <c r="AD30" s="38" t="s">
        <v>863</v>
      </c>
      <c r="AE30" s="26" t="s">
        <v>864</v>
      </c>
      <c r="AF30" s="26" t="s">
        <v>854</v>
      </c>
      <c r="AG30" s="23" t="s">
        <v>864</v>
      </c>
      <c r="AH30" s="23" t="s">
        <v>864</v>
      </c>
      <c r="AI30" s="24" t="s">
        <v>863</v>
      </c>
      <c r="AJ30" s="23" t="s">
        <v>864</v>
      </c>
      <c r="AK30" s="220" t="str">
        <f>IF(AND(AD30="",AE30="",AF30="",AG30="",AH30="",AI30="",AJ30=""),"",IF(OR(Tabla1[[#This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EVALUACIÓN",IF(AND(O30="",R30=""),"",IF(AND(OR(O30&gt;0,R30&gt;0),NG30&gt;=0,NG30&lt;2),"SIN RIESGO",IF(AND(OR(O30&gt;0,R30&gt;0),NG30&gt;=2),"CON RIESGO","ASD")))))</f>
        <v>SIN RIESGO</v>
      </c>
      <c r="AL30" s="23" t="s">
        <v>864</v>
      </c>
      <c r="AM30" s="26" t="s">
        <v>864</v>
      </c>
      <c r="AN30" s="26" t="s">
        <v>864</v>
      </c>
      <c r="AO30" s="26" t="s">
        <v>864</v>
      </c>
      <c r="AP30" s="26" t="s">
        <v>864</v>
      </c>
      <c r="AQ30" s="26" t="s">
        <v>864</v>
      </c>
      <c r="AR30" s="26" t="s">
        <v>864</v>
      </c>
      <c r="AS30" s="21">
        <v>1</v>
      </c>
      <c r="AT30" s="21">
        <v>0</v>
      </c>
      <c r="AU30" s="21">
        <v>0</v>
      </c>
      <c r="AV30" s="26" t="s">
        <v>864</v>
      </c>
      <c r="AW30" s="21">
        <v>0</v>
      </c>
      <c r="AX30" s="26" t="s">
        <v>864</v>
      </c>
      <c r="AY30" s="26" t="s">
        <v>864</v>
      </c>
      <c r="AZ30" s="26" t="s">
        <v>864</v>
      </c>
      <c r="BA30" s="26" t="s">
        <v>864</v>
      </c>
      <c r="BB30" s="26" t="s">
        <v>864</v>
      </c>
      <c r="BC30" s="26" t="s">
        <v>864</v>
      </c>
      <c r="BD30" s="26" t="s">
        <v>864</v>
      </c>
      <c r="BE30" s="26" t="s">
        <v>864</v>
      </c>
      <c r="BF30" s="26" t="s">
        <v>864</v>
      </c>
      <c r="BG30" s="26" t="s">
        <v>864</v>
      </c>
      <c r="BH30" s="26" t="s">
        <v>864</v>
      </c>
      <c r="BI30" s="26" t="s">
        <v>864</v>
      </c>
      <c r="BJ30" s="26"/>
      <c r="BK30" s="26"/>
      <c r="BL30" s="26" t="s">
        <v>864</v>
      </c>
      <c r="BM30" s="26" t="s">
        <v>864</v>
      </c>
      <c r="BN30" s="22"/>
      <c r="BO30" s="22">
        <v>44731</v>
      </c>
      <c r="BP30" s="21" t="s">
        <v>854</v>
      </c>
      <c r="BQ30" s="222">
        <f t="shared" si="2"/>
        <v>0</v>
      </c>
      <c r="BR30" s="223">
        <f t="shared" si="3"/>
        <v>44743</v>
      </c>
      <c r="BS30" s="224">
        <f t="shared" si="4"/>
        <v>18.285714285714285</v>
      </c>
      <c r="BT30" s="216" t="str">
        <f t="shared" si="5"/>
        <v>II TRIM</v>
      </c>
      <c r="BU30" s="214" t="str">
        <f t="shared" ca="1" si="6"/>
        <v/>
      </c>
      <c r="BV30" s="25"/>
      <c r="BW30" s="22">
        <v>44862</v>
      </c>
      <c r="BX30" s="28">
        <v>17</v>
      </c>
      <c r="BY30" s="28"/>
      <c r="BZ30" s="22">
        <v>44960</v>
      </c>
      <c r="CA30" s="21">
        <v>30.5</v>
      </c>
      <c r="CB30" s="26" t="s">
        <v>864</v>
      </c>
      <c r="CC30" s="26" t="s">
        <v>864</v>
      </c>
      <c r="CD30" s="26" t="s">
        <v>878</v>
      </c>
      <c r="CE30" s="26" t="s">
        <v>864</v>
      </c>
      <c r="CF30" s="22" t="s">
        <v>1517</v>
      </c>
      <c r="CG30" s="21">
        <v>1.5</v>
      </c>
      <c r="CH30" s="21">
        <v>55</v>
      </c>
      <c r="CI30" s="214">
        <f t="shared" si="7"/>
        <v>24.444444444444443</v>
      </c>
      <c r="CJ30" s="225" t="e">
        <f>IF(AND(CI30&lt;10,CH30="SD"),"SIN DATO PESO PREGESTACION O I TRIM",IF(AND(OR(R30&gt;0,O30&gt;0),CI30="X"),"INGRESAR DATO DE PESO",IF(CI30="SD","INGRESAR DATO DE TALLA Y PESO",IF(AND(OR(Tabla1[[#This Row],[MOMENTO EN QUE SE REALIZA EL PESO AL INGRESO A CPN]]="PREGESTACIÓN",NZ30="Menor"),CI30&lt;18.5),"BAJO PESO",IF(AND(OR(Tabla1[[#This Row],[MOMENTO EN QUE SE REALIZA EL PESO AL INGRESO A CPN]]="PREGESTACIÓN",NZ30="Menor"),CI30&lt;25),"NORMAL",IF(AND(OR(Tabla1[[#This Row],[MOMENTO EN QUE SE REALIZA EL PESO AL INGRESO A CPN]]="PREGESTACIÓN",NZ30="Menor"),CI30&lt;30),"SOBREPESO",IF(AND(OR(Tabla1[[#This Row],[MOMENTO EN QUE SE REALIZA EL PESO AL INGRESO A CPN]]="PREGESTACIÓN",NZ30="Menor"),CI30&gt;=30,CI30&lt;50),"OBESIDAD",IF(AND(BS30&gt;0,Tabla1[[#This Row],[MOMENTO EN QUE SE REALIZA EL PESO AL INGRESO A CPN]]="GESTACIÓN"),HLOOKUP(NZ30,$OA$2:PH30,NY30),""))))))))</f>
        <v>#REF!</v>
      </c>
      <c r="CK30" s="212">
        <f t="shared" si="8"/>
        <v>44957</v>
      </c>
      <c r="CL30" s="21"/>
      <c r="CM30" s="214">
        <f t="shared" si="9"/>
        <v>0</v>
      </c>
      <c r="CN30" s="216">
        <f t="shared" si="10"/>
        <v>32</v>
      </c>
      <c r="CO30" s="216" t="e">
        <f>IF(PI30="","",IF(PI30&gt;0,HLOOKUP(PI30,$PJ$2:QQ30,NY30),""))</f>
        <v>#REF!</v>
      </c>
      <c r="CP30" s="21"/>
      <c r="CQ30" s="216" t="e">
        <f>IF(QR30="Menor","NO APLICA-MENOR 13 SEM",IF(AND(CC30="SI",CN30&gt;23),"NO APLICA- GEMELAR",IF(QR30="","",IF(QR30&gt;0,HLOOKUP(QR30,$QS$2:RU30,NY30),""))))</f>
        <v>#REF!</v>
      </c>
      <c r="CR30" s="21">
        <v>110</v>
      </c>
      <c r="CS30" s="21">
        <v>60</v>
      </c>
      <c r="CT30" s="217" t="str">
        <f>IF(R30="","",IF(AND(BS30&gt;1,BS30&lt;12,Tabla1[[#This Row],[T.A. SISTOLICA - ANTES DE SEMANA 12]]="",Tabla1[[#This Row],[T.A. DIASTOLICA - ANTES DE SEMANA 12]]=""),"REGISTRE DATO TA ANTES SEMANA 12",IF(AND(BS30&gt;11,BS30&lt;43,Tabla1[[#This Row],[T.A. SISTOLICA - ANTES DE SEMANA 12]]="",Tabla1[[#This Row],[T.A. DIASTOLICA - ANTES DE SEMANA 12]]=""),"NO APLICA REGISTRO TA-INGRESO TARDIO",IF(AND(OR(O30&gt;0,R30&gt;0),OR(CR30&gt;=140,CS30&gt;=90)),"DEFINIR ESTADIO HTA",IF(AND(OR(O30&gt;0,R30&gt;0),AND(CR30&gt;120,CR30&lt;=139)),"PRE HTA SEGUIMIENTO",IF(AND(OR(O30&gt;0,R30&gt;0),AND(CS30&gt;80,CS30&lt;=89)),"PRE HTA SEGUIMIENTO",IF(AND(OR(O30&gt;0,R30&gt;0),AND(CR30&gt;=80,CR30&lt;=120)),"APARENTEMENTE NORMAL",IF(AND(OR(O30&gt;0,R30&gt;0),AND(CS30&gt;=50,CS30&lt;=80)),"APARENTEMENTE NORMAL",IF(AND(OR(O30&gt;0,R30&gt;0),AND(CR30&gt;1,CR30&lt;=70),AND(CS30&gt;1,CS30&lt;=40)),"HIPOTENSIÓN","")))))))))</f>
        <v>APARENTEMENTE NORMAL</v>
      </c>
      <c r="CU30" s="21"/>
      <c r="CV30" s="21"/>
      <c r="CW30" s="217" t="str">
        <f ca="1">IF(R30="","",IF(AND(CN30&gt;19,CN30&lt;27,Tabla1[[#This Row],[T.A. SISTOLICA (Entre semana 20 y 26)]]="",Tabla1[[#This Row],[T.A. DIATOLICA (Entre semana 20 y 26)]]=""),"ACUDE A CONTROL SEM 20 A 26 REGISTRE TA AHORA",IF(AND(BS30&gt;1,BS30&lt;27,BU30&gt;19,Tabla1[[#This Row],[T.A. SISTOLICA (Entre semana 20 y 26)]]="",Tabla1[[#This Row],[T.A. DIATOLICA (Entre semana 20 y 26)]]=""),"COMPLETE REGISTRO TA CONTROL SEM 20 A26 ",IF(AND(BS30&gt;26,BS30&lt;43,Tabla1[[#This Row],[T.A. SISTOLICA (Entre semana 20 y 26)]]="",Tabla1[[#This Row],[T.A. DIATOLICA (Entre semana 20 y 26)]]=""),"NO APLICA REGISTRO TA-INGRESO TARDIO",IF(AND(OR(O30&gt;0,R30&gt;0),OR(CU30&gt;=140,CV30&gt;=90)),"ALTO RIESGO PREECLAMPSIA,DEFINIR ESTADIO HTA",IF(AND(OR(O30&gt;0,R30&gt;0),AND(CU30&gt;120,CU30&lt;=139)),"PRE HTA SEGUIMIENTO,RIESGO HIPERTENSION INDUCIDA POR EL EMBARAZO",IF(AND(OR(O30&gt;0,R30&gt;0),AND(CV30&gt;80,CV30&lt;=89)),"PRE HTA SEGUIMIENTO, RIESGO HIPERTENSION INDUCIDA POR EL EMBARAZO",IF(AND(OR(O30&lt;&gt;"",R30&lt;&gt;""),CS30&lt;&gt;"",CV30&lt;&gt;"",CS30&lt;=CV30),"VIGILAR CIFRAS PRESION ARTERIAL",IF(AND(OR(O30&gt;0,R30&gt;0),AND(CU30&gt;120,CU30&lt;=139)),"PRE HTA SEGUIMIENTO",IF(AND(OR(O30&gt;0,R30&gt;0),AND(CU30&gt;1,CU30&lt;=70),AND(CV30&gt;1,CV30&lt;=40)),"HIPOTENSIÓN",IF(AND(OR(O30&lt;&gt;"",R30&lt;&gt;""),CS30&lt;&gt;"",CV30&lt;&gt;"",CS30&gt;CV30),"APARENTEMENTE NORMAL",IF(AND(OR(O30&gt;0,R30&gt;0),AND(CU30&gt;=80,CU30&lt;=120)),"APARENTEMENTE NORMAL",IF(AND(OR(O30&gt;0,R30&gt;0),AND(CV30&gt;=50,CV30&lt;=80)),"APARENTEMENTE NORMAL","")))))))))))))</f>
        <v xml:space="preserve">COMPLETE REGISTRO TA CONTROL SEM 20 A26 </v>
      </c>
      <c r="CX30" s="21">
        <v>90</v>
      </c>
      <c r="CY30" s="21">
        <v>60</v>
      </c>
      <c r="CZ30" s="216" t="str">
        <f t="shared" si="11"/>
        <v>APARENTEMENTE NORMAL</v>
      </c>
      <c r="DA30" s="21"/>
      <c r="DB30" s="21"/>
      <c r="DC30" s="217" t="str">
        <f t="shared" si="12"/>
        <v>REGISTRE DATO PRESIÓN ARTERIAL MENSUAL</v>
      </c>
      <c r="DD30" s="22">
        <v>44859</v>
      </c>
      <c r="DE30" s="22">
        <v>44859</v>
      </c>
      <c r="DF30" s="22">
        <v>44957</v>
      </c>
      <c r="DG30" s="22"/>
      <c r="DH30" s="22"/>
      <c r="DI30" s="22"/>
      <c r="DJ30" s="22"/>
      <c r="DK30" s="22"/>
      <c r="DL30" s="22"/>
      <c r="DM30" s="22"/>
      <c r="DN30" s="22"/>
      <c r="DO30" s="22"/>
      <c r="DP30" s="22"/>
      <c r="DQ30" s="22"/>
      <c r="DR30" s="28">
        <v>1</v>
      </c>
      <c r="DS30" s="22"/>
      <c r="DT30" s="22"/>
      <c r="DU30" s="216" t="str">
        <f t="shared" ca="1" si="13"/>
        <v>SALE SIN PLAN DE PARTO</v>
      </c>
      <c r="DV30" s="226" t="str">
        <f t="shared" si="14"/>
        <v>SALIO PROGRAMA</v>
      </c>
      <c r="DW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0" s="216" t="str">
        <f t="shared" ca="1" si="15"/>
        <v/>
      </c>
      <c r="DY30" s="212">
        <f>IF(R30="","",IF(R30&gt;0,MAX(Tabla1[[#This Row],[FECHA C2]:[FECHA C13]],Tabla1[[#This Row],[FECHA CONSULTA PRIMERA VEZ PROGRAMA CPN ]])))</f>
        <v>44957</v>
      </c>
      <c r="DZ30" s="216">
        <f t="shared" si="16"/>
        <v>32</v>
      </c>
      <c r="EA30" s="222">
        <f>IF(R30&gt;0,SUM(COUNTA(DF30:DQ30)+COUNTA(Tabla1[[#This Row],[FECHA CONSULTA PRIMERA VEZ PROGRAMA CPN ]])),"")</f>
        <v>2</v>
      </c>
      <c r="EB30" s="222" t="str">
        <f t="shared" si="17"/>
        <v>NO</v>
      </c>
      <c r="EC30" s="214">
        <f t="shared" si="18"/>
        <v>7</v>
      </c>
      <c r="ED30" s="227">
        <f t="shared" si="19"/>
        <v>0.2857142857142857</v>
      </c>
      <c r="EE30" s="22">
        <v>44859</v>
      </c>
      <c r="EF30" s="22">
        <v>44862</v>
      </c>
      <c r="EG30" s="22">
        <v>44859</v>
      </c>
      <c r="EH30" s="22"/>
      <c r="EI30" s="22">
        <v>44859</v>
      </c>
      <c r="EJ30" s="22">
        <v>44900</v>
      </c>
      <c r="EK30" s="22">
        <v>44900</v>
      </c>
      <c r="EL30" s="21">
        <v>1</v>
      </c>
      <c r="EM30" s="21">
        <v>12.5</v>
      </c>
      <c r="EN30" s="22">
        <v>44849</v>
      </c>
      <c r="EO30" s="222">
        <f t="shared" si="20"/>
        <v>16.857142857142858</v>
      </c>
      <c r="EP30" s="214" t="str">
        <f t="shared" si="21"/>
        <v>NORMAL- SUMINISTRAR SULFATO FERROSO</v>
      </c>
      <c r="EQ30" s="216" t="str">
        <f t="shared" si="22"/>
        <v>II TRIM</v>
      </c>
      <c r="ER30" s="24"/>
      <c r="ES30" s="22"/>
      <c r="ET30" s="29" t="str">
        <f t="shared" ca="1" si="23"/>
        <v>SALE SIN TAMIZAJE HEMOGLOBINA SEM 28</v>
      </c>
      <c r="EU30" s="25" t="str">
        <f t="shared" si="24"/>
        <v/>
      </c>
      <c r="EV30" s="24" t="s">
        <v>1030</v>
      </c>
      <c r="EW30" s="24">
        <v>44849</v>
      </c>
      <c r="EX30" s="22"/>
      <c r="EY30" s="29">
        <f t="shared" si="25"/>
        <v>16.857142857142858</v>
      </c>
      <c r="EZ30" s="25" t="str">
        <f t="shared" ca="1" si="26"/>
        <v/>
      </c>
      <c r="FA30" s="21">
        <v>65</v>
      </c>
      <c r="FB30" s="22">
        <v>44849</v>
      </c>
      <c r="FC30" s="29">
        <f t="shared" si="27"/>
        <v>16.857142857142858</v>
      </c>
      <c r="FD30" s="29"/>
      <c r="FE30" s="29"/>
      <c r="FF30" s="29"/>
      <c r="FG30" s="21" t="str">
        <f t="shared" ca="1" si="28"/>
        <v/>
      </c>
      <c r="FH30" s="31"/>
      <c r="FI30" s="29" t="str">
        <f t="shared" si="29"/>
        <v>TOMAR EXAMEN</v>
      </c>
      <c r="FJ30" s="22"/>
      <c r="FK30" s="22"/>
      <c r="FL30" s="29" t="str">
        <f t="shared" ca="1" si="30"/>
        <v>NO APLICA-INGRESO TARDIO</v>
      </c>
      <c r="FM30" s="22" t="s">
        <v>867</v>
      </c>
      <c r="FN30" s="32">
        <v>44849</v>
      </c>
      <c r="FO30" s="29">
        <f t="shared" ca="1" si="31"/>
        <v>16.857142857142858</v>
      </c>
      <c r="FP30" s="22"/>
      <c r="FQ30" s="32"/>
      <c r="FR30" s="29" t="str">
        <f t="shared" ca="1" si="32"/>
        <v>PIERDE TOMA DE TAMIZAJE</v>
      </c>
      <c r="FS30" s="22"/>
      <c r="FT30" s="32"/>
      <c r="FU30" s="29" t="str">
        <f>IF(AND(FJ30="",FM30="",FP30="",FS30=""),"",IF(OR(OR(Tabla1[[#This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0" s="28"/>
      <c r="FW30" s="22"/>
      <c r="FX30" s="29" t="str">
        <f t="shared" si="33"/>
        <v>TOMAR EXAMEN</v>
      </c>
      <c r="FY30" s="22">
        <v>44849</v>
      </c>
      <c r="FZ30" s="22">
        <v>44849</v>
      </c>
      <c r="GA30" s="29" t="str">
        <f t="shared" si="34"/>
        <v>REGISTRAR EN II TRIMESTRE</v>
      </c>
      <c r="GB30" s="22" t="s">
        <v>868</v>
      </c>
      <c r="GC30" s="22">
        <v>44849</v>
      </c>
      <c r="GD30" s="29">
        <f t="shared" ca="1" si="35"/>
        <v>16.857142857142858</v>
      </c>
      <c r="GE30" s="22"/>
      <c r="GF30" s="22"/>
      <c r="GG30" s="29" t="str">
        <f t="shared" ca="1" si="36"/>
        <v>PIERDE TOMA DE TAMIZAJE</v>
      </c>
      <c r="GH30" s="22"/>
      <c r="GI30" s="29"/>
      <c r="GJ30" s="22"/>
      <c r="GK30" s="22"/>
      <c r="GL30" s="22" t="s">
        <v>879</v>
      </c>
      <c r="GM30" s="22"/>
      <c r="GN30" s="28" t="s">
        <v>869</v>
      </c>
      <c r="GO30" s="22">
        <v>44849</v>
      </c>
      <c r="GP30" s="29">
        <f t="shared" si="37"/>
        <v>16.857142857142858</v>
      </c>
      <c r="GQ30" s="28" t="s">
        <v>880</v>
      </c>
      <c r="GR30" s="28" t="s">
        <v>869</v>
      </c>
      <c r="GS30" s="22" t="str">
        <f t="shared" si="38"/>
        <v>SE EXCLUYE INFECCION</v>
      </c>
      <c r="GT30" s="22">
        <v>44849</v>
      </c>
      <c r="GU30" s="29">
        <f t="shared" si="39"/>
        <v>16.857142857142858</v>
      </c>
      <c r="GV30" s="21" t="str">
        <f t="shared" si="40"/>
        <v>II TRIM</v>
      </c>
      <c r="GW30" s="28" t="s">
        <v>869</v>
      </c>
      <c r="GX30" s="30"/>
      <c r="GY30" s="21"/>
      <c r="GZ30" s="21"/>
      <c r="HA30" s="21"/>
      <c r="HB30" s="21"/>
      <c r="HC30" s="21"/>
      <c r="HD30" s="21"/>
      <c r="HE30" s="21"/>
      <c r="HF30" s="22"/>
      <c r="HG30" s="22" t="str">
        <f>IF(OR(O30&gt;0,R30&gt;0),CONCATENATE(IF(Tabla1[[#This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0" s="22" t="e">
        <f t="shared" si="41"/>
        <v>#REF!</v>
      </c>
      <c r="HI30" s="22" t="e">
        <f t="shared" ca="1" si="42"/>
        <v>#REF!</v>
      </c>
      <c r="HJ30" s="21"/>
      <c r="HK30" s="21" t="str">
        <f t="shared" si="44"/>
        <v>SIN ANTECEDENTES DE RIESGO</v>
      </c>
      <c r="HL30" s="24" t="str">
        <f t="shared" si="45"/>
        <v>REGISTRE DATO PRESIÓN ARTERIAL MENSUAL</v>
      </c>
      <c r="HM30" s="21" t="str">
        <f t="shared" ca="1" si="46"/>
        <v/>
      </c>
      <c r="HN30" s="30" t="str">
        <f t="shared" si="47"/>
        <v>SALIO PROGRAMA</v>
      </c>
      <c r="HO30" s="21"/>
      <c r="HP30" s="21"/>
      <c r="HQ30" s="21">
        <v>44859</v>
      </c>
      <c r="HR30" s="21" t="str">
        <f>IF(R30="","",IF(Tabla1[[#This Row],[ALARMA FACTORES DE RIESGO COMPLICACIONES HIPERTENSIVAS3]]="SIN ANTECEDENTES DE RIESGO","No Aplica para suministro de ASA",IF(AND(Tabla1[[#This Row],[FECHA INICIO DE SUMINISTRO DE ASA]]&gt;0,RV30&lt;12),"Inicia ASA ANTES de Sem 12",IF(AND(RV30&gt;11,RV30&lt;17,OR(HK30="RIESGO ALTO DE COMPLICACIONES HIPERTENSIVAS VER MANEJO GUIA SUMINISTRO ASA Y CALCIO",HK30="RIESGO MODERADO (2 O MAS CRITERIOS) VER MANEJO GUIA SUMINISTRO ASA Y CALCIO")),"Inicio oportuno de ASA",IF(AND(RV30&gt;12,OR(HK30="RIESGO ALTO DE COMPLICACIONES HIPERTENSIVAS VER MANEJO GUIA SUMINISTRO ASA Y CALCIO",HK30="RIESGO MODERADO (2 O MAS CRITERIOS) VER MANEJO GUIA SUMINISTRO ASA Y CALCIO")),"Inicio no oportuno mayor a 16 semanas",IF(AND(BU30&lt;12,OR(HK30="RIESGO ALTO DE COMPLICACIONES HIPERTENSIVAS VER MANEJO GUIA SUMINISTRO ASA Y CALCIO",HK30="RIESGO MODERADO (2 O MAS CRITERIOS) VER MANEJO GUIA SUMINISTRO ASA Y CALCIO")),"Pendiente Inicio de ASA a la semana 12",IF(AND(BU30&gt;11,BU30&lt;17,OR(HK30="RIESGO ALTO DE COMPLICACIONES HIPERTENSIVAS VER MANEJO GUIA SUMINISTRO ASA Y CALCIO",HK30="RIESGO MODERADO (2 O MAS CRITERIOS) VER MANEJO GUIA SUMINISTRO ASA Y CALCIO")),"Iniciar de inmediato ASA",IF(AND(BU30&gt;16,OR(HK30="RIESGO ALTO DE COMPLICACIONES HIPERTENSIVAS VER MANEJO GUIA SUMINISTRO ASA Y CALCIO",HK30="RIESGO MODERADO (2 O MAS CRITERIOS) VER MANEJO GUIA SUMINISTRO ASA Y CALCIO")),"Pierde Oportunidad, Inicio tardío de ASA","XXXXX"))))))))</f>
        <v>No Aplica para suministro de ASA</v>
      </c>
      <c r="HS30" s="22">
        <v>44859</v>
      </c>
      <c r="HT30" s="22" t="s">
        <v>870</v>
      </c>
      <c r="HU30" s="22">
        <v>44859</v>
      </c>
      <c r="HV30" s="22" t="s">
        <v>870</v>
      </c>
      <c r="HW30" s="22">
        <v>44859</v>
      </c>
      <c r="HX30" s="22" t="s">
        <v>870</v>
      </c>
      <c r="HY30" s="22"/>
      <c r="HZ30" s="28" t="str">
        <f t="shared" si="48"/>
        <v>PENDIENTE CONSULTA</v>
      </c>
      <c r="IA30" s="26"/>
      <c r="IB30" s="26"/>
      <c r="IC30" s="111"/>
      <c r="ID30" s="22"/>
      <c r="IE30" s="22" t="str">
        <f t="shared" ca="1" si="49"/>
        <v>SALE SIN VACUNA</v>
      </c>
      <c r="IF30" s="22"/>
      <c r="IG30" s="22">
        <f t="shared" si="50"/>
        <v>45011</v>
      </c>
      <c r="IH30" s="29">
        <f t="shared" ca="1" si="51"/>
        <v>-222</v>
      </c>
      <c r="II30" s="22" t="str">
        <f t="shared" ca="1" si="52"/>
        <v>POSIBLEMENTE NACIO</v>
      </c>
      <c r="IJ30" s="22"/>
      <c r="IK30" s="21" t="s">
        <v>898</v>
      </c>
      <c r="IL30" s="21"/>
      <c r="IM30" s="34"/>
      <c r="IN30" s="349">
        <v>45015</v>
      </c>
      <c r="IO30" s="21" t="s">
        <v>1186</v>
      </c>
      <c r="IP30" s="29">
        <f t="shared" si="53"/>
        <v>40.571428571428569</v>
      </c>
      <c r="IQ30" s="35" t="s">
        <v>1650</v>
      </c>
      <c r="IR30" s="21" t="s">
        <v>1651</v>
      </c>
      <c r="IS30" s="21" t="s">
        <v>1646</v>
      </c>
      <c r="IT30" s="21" t="s">
        <v>1642</v>
      </c>
      <c r="IU30" s="21"/>
      <c r="IV30" s="21"/>
      <c r="IW30" s="21"/>
      <c r="IX30" s="21"/>
      <c r="IY30" s="21"/>
      <c r="IZ30" s="21"/>
      <c r="JA30" s="21"/>
      <c r="JB30" s="30">
        <v>1</v>
      </c>
      <c r="JC30" s="21" t="s">
        <v>1647</v>
      </c>
      <c r="JD30" s="36">
        <v>2900</v>
      </c>
      <c r="JE30" s="21" t="str">
        <f t="shared" si="54"/>
        <v>PESO ADECUADO EDAD GESTACIONAL</v>
      </c>
      <c r="JF30" s="30"/>
      <c r="JG30" s="21"/>
      <c r="JH30" s="21"/>
      <c r="JI30" s="21" t="s">
        <v>854</v>
      </c>
      <c r="JJ30" s="30" t="s">
        <v>866</v>
      </c>
      <c r="JK30" s="22"/>
      <c r="JL30" s="22"/>
      <c r="JM30" s="21"/>
      <c r="JN30" s="36"/>
      <c r="JO30" s="21" t="str">
        <f t="shared" si="55"/>
        <v/>
      </c>
      <c r="JP30" s="22"/>
      <c r="JQ30" s="21"/>
      <c r="JR30" s="21"/>
      <c r="JS30" s="21"/>
      <c r="JT30" s="30"/>
      <c r="JU30" s="22"/>
      <c r="JV30" s="22"/>
      <c r="JW30" s="33"/>
      <c r="JX30" s="28" t="str">
        <f t="shared" si="56"/>
        <v>INASISTENTE</v>
      </c>
      <c r="JY30" s="33"/>
      <c r="JZ30" s="28" t="str">
        <f t="shared" si="57"/>
        <v>INASISTENTE</v>
      </c>
      <c r="KA30" s="21"/>
      <c r="KB30" s="21"/>
      <c r="KC30" s="21"/>
      <c r="KD30" s="37"/>
      <c r="KE30" s="28"/>
      <c r="KF30" s="28"/>
      <c r="KG30" s="28"/>
      <c r="KH30" s="39"/>
      <c r="KI30" s="39"/>
      <c r="KJ30" s="66"/>
      <c r="KK30" s="39"/>
      <c r="KL30" s="39"/>
      <c r="KM30" s="66"/>
      <c r="KN30" s="39"/>
      <c r="KO30" s="39"/>
      <c r="KP30" s="39"/>
      <c r="KQ30" s="39"/>
      <c r="KR30" s="39"/>
      <c r="KS30" s="39"/>
      <c r="KT30" s="39"/>
      <c r="KU30" s="38"/>
      <c r="KV30" s="38"/>
      <c r="KW30" s="38"/>
      <c r="KX30" s="38"/>
      <c r="KY30" s="38"/>
      <c r="KZ30" s="38"/>
      <c r="LA30" s="38"/>
      <c r="LB30" s="38"/>
      <c r="LC30" s="38"/>
      <c r="LD30" s="38"/>
      <c r="LE30" s="38"/>
      <c r="LF30" s="38"/>
      <c r="LG30" s="38"/>
      <c r="LH30" s="38"/>
      <c r="LI30" s="38"/>
      <c r="LJ30" s="38"/>
      <c r="LK30" s="38"/>
      <c r="LL30" s="38"/>
      <c r="LM30" s="38"/>
      <c r="LN30" s="38"/>
      <c r="LO30" s="38"/>
      <c r="LP30" s="38"/>
      <c r="LQ30" s="38"/>
      <c r="LR30" s="38"/>
      <c r="LS30" s="38"/>
      <c r="LT30" s="38"/>
      <c r="LU30" s="38"/>
      <c r="LV30" s="38"/>
      <c r="LW30" s="38"/>
      <c r="LX30" s="38"/>
      <c r="LY30" s="38"/>
      <c r="LZ30" s="38"/>
      <c r="MA30" s="38"/>
      <c r="MB30" s="38"/>
      <c r="MC30" s="38"/>
      <c r="MD30" s="38"/>
      <c r="ME30" s="38"/>
      <c r="MF30" s="38"/>
      <c r="MG30" s="38"/>
      <c r="MH30" s="43">
        <f t="shared" si="58"/>
        <v>0</v>
      </c>
      <c r="MI30" s="43" t="str">
        <f t="shared" si="59"/>
        <v/>
      </c>
      <c r="MJ30" s="43" t="str">
        <f t="shared" si="60"/>
        <v/>
      </c>
      <c r="MK30" s="43">
        <f t="shared" si="61"/>
        <v>0</v>
      </c>
      <c r="ML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10</v>
      </c>
      <c r="MM30" s="43">
        <f t="shared" si="62"/>
        <v>16.857142857142858</v>
      </c>
      <c r="MN30" s="43">
        <f t="shared" si="63"/>
        <v>10</v>
      </c>
      <c r="MO30" s="43">
        <f t="shared" si="64"/>
        <v>2022</v>
      </c>
      <c r="MP30" s="43" t="str">
        <f t="shared" si="65"/>
        <v>IV TRIMESTRE AÑO</v>
      </c>
      <c r="MQ30" s="43">
        <f t="shared" si="66"/>
        <v>18.640494962768287</v>
      </c>
      <c r="MR30" s="43">
        <f t="shared" si="67"/>
        <v>0</v>
      </c>
      <c r="MS30" s="43" t="str">
        <f t="shared" si="68"/>
        <v>DE 14 A 19AÑOS</v>
      </c>
      <c r="MT30" s="43">
        <f t="shared" si="69"/>
        <v>0</v>
      </c>
      <c r="MU30" s="43">
        <f t="shared" si="70"/>
        <v>1</v>
      </c>
      <c r="MV30" s="43">
        <f t="shared" si="71"/>
        <v>0</v>
      </c>
      <c r="MW30" s="43">
        <f t="shared" si="72"/>
        <v>0</v>
      </c>
      <c r="MX30" s="43" t="str">
        <f t="shared" si="73"/>
        <v/>
      </c>
      <c r="MY30" s="43" t="str">
        <f t="shared" ca="1" si="74"/>
        <v/>
      </c>
      <c r="MZ30" s="43" t="str">
        <f t="shared" si="75"/>
        <v/>
      </c>
      <c r="NA30" s="43">
        <f t="shared" si="76"/>
        <v>0</v>
      </c>
      <c r="NB30" s="43" t="str">
        <f t="shared" si="77"/>
        <v/>
      </c>
      <c r="NC30" s="43" t="str">
        <f t="shared" si="78"/>
        <v/>
      </c>
      <c r="ND30" s="43">
        <f t="shared" ca="1" si="79"/>
        <v>1.5</v>
      </c>
      <c r="NE30" s="43">
        <f>IF(OR(O30&gt;0,R30&gt;0),SUM(COUNTIF(Tabla1[[#This Row],[AÑOS AL INICIO5 CPN]],"&gt;=40"),COUNTIF(AS30,"0"),COUNTIF(AR30,"SI"),COUNTIF(CC30,"SI"),COUNTIF(BQ30,"&gt;119"),COUNTIF(CI30,"&gt;=35")),"")</f>
        <v>0</v>
      </c>
      <c r="NF30" s="43" t="str">
        <f t="shared" si="80"/>
        <v/>
      </c>
      <c r="NG30" s="43">
        <f t="shared" si="81"/>
        <v>0.5</v>
      </c>
      <c r="NH30" s="43">
        <f t="shared" si="82"/>
        <v>119</v>
      </c>
      <c r="NI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CPN",P30="NO"),"Z",IF(AND(Tabla1[[#This Row],[CITA PROXIMO CONTROL]]="CITA MANUAL",Tabla1[[#This Row],[GESTANTES ACTUALES]]="ACTIVA INGRESO A CPN"),"W",IF(AND(Tabla1[[#This Row],[GESTANTES ACTUALES]]="SALIO PROGRAMA",IN30=""),"S",IF(AND(Tabla1[[#This Row],[CITA PROXIMO CONTROL]]&gt;0,IN30=""),(Tabla1[[#This Row],[CITA PROXIMO CONTROL]]-TODAY()),"SD"))))))))</f>
        <v>SD</v>
      </c>
      <c r="NJ30" s="43">
        <f>MONTH(Tabla1[[#This Row],[FECHA DE SALIDA  DEL PROGRAMA]])</f>
        <v>3</v>
      </c>
      <c r="NK30" s="43">
        <f>YEAR(Tabla1[[#This Row],[FECHA DE SALIDA  DEL PROGRAMA]])</f>
        <v>2023</v>
      </c>
      <c r="NL30" s="43">
        <f t="shared" si="83"/>
        <v>41</v>
      </c>
      <c r="NM30" s="43" t="str">
        <f t="shared" si="84"/>
        <v>NO</v>
      </c>
      <c r="NN30" s="43" t="str">
        <f ca="1">IF(AND(O30&gt;0,R30=""),"NO CPN",IF(AND(O30="",R30=""),"",IF(AND(R30&gt;0,Tabla1[[#This Row],[SEMANAS DE GESTACION ACTUALIZADAS]]&lt;=12),"NO APLICA",IF(AND(FH30&lt;&gt;"",FN30&lt;&gt;""),"SI","NO"))))</f>
        <v>NO</v>
      </c>
      <c r="NO30" s="43" t="str">
        <f ca="1">IF(AND(O30&gt;0,R30=""),"NO CPN",IF(AND(O30="",R30=""),"",IF(AND(R30&gt;0,Tabla1[[#This Row],[SEMANAS DE GESTACION ACTUALIZADAS]]&lt;=27),"NO APLICA",IF(AND(ES30&lt;&gt;"",FQ30&lt;&gt;"",GF30&lt;&gt;""),"SI","NO"))))</f>
        <v>NO</v>
      </c>
      <c r="NP30" s="204" t="str">
        <f t="shared" si="85"/>
        <v>II TRIM</v>
      </c>
      <c r="NQ30" s="21" t="str">
        <f t="shared" si="86"/>
        <v/>
      </c>
      <c r="NR30" s="21">
        <f t="shared" si="87"/>
        <v>2</v>
      </c>
      <c r="NS30" s="205">
        <f t="shared" ca="1" si="88"/>
        <v>1</v>
      </c>
      <c r="NT30" s="21">
        <f t="shared" ca="1" si="89"/>
        <v>1</v>
      </c>
      <c r="NU30" s="21" t="str">
        <f t="shared" ca="1" si="90"/>
        <v>INCOMPLETO</v>
      </c>
      <c r="NV30" s="21" t="str">
        <f t="shared" ca="1" si="91"/>
        <v>INCOMPLETO</v>
      </c>
      <c r="NW30" s="206" t="str">
        <f>IF(AND(O30="",R30=""),"",IF(OR(AND(Tabla1[[#This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0" s="207" t="str">
        <f t="shared" ca="1" si="92"/>
        <v>SIN VACUNAR</v>
      </c>
      <c r="NY30" s="43">
        <f>ROW(Tabla1[[#This Row],['# DE TAMIZAJES SIFILIS TOMADOS ]])</f>
        <v>30</v>
      </c>
      <c r="NZ30" s="43">
        <f t="shared" si="93"/>
        <v>18</v>
      </c>
      <c r="OA30" s="43" t="str">
        <f t="shared" si="94"/>
        <v/>
      </c>
      <c r="OB30" s="43" t="str">
        <f t="shared" si="95"/>
        <v/>
      </c>
      <c r="OC30" s="43" t="str">
        <f t="shared" si="96"/>
        <v/>
      </c>
      <c r="OD30" s="43" t="str">
        <f t="shared" si="97"/>
        <v/>
      </c>
      <c r="OE30" s="43" t="str">
        <f t="shared" si="98"/>
        <v/>
      </c>
      <c r="OF30" s="43" t="str">
        <f t="shared" si="99"/>
        <v/>
      </c>
      <c r="OG30" s="43" t="str">
        <f t="shared" si="100"/>
        <v/>
      </c>
      <c r="OH30" s="43" t="str">
        <f t="shared" si="101"/>
        <v/>
      </c>
      <c r="OI30" s="43" t="str">
        <f t="shared" si="102"/>
        <v/>
      </c>
      <c r="OJ30" s="43" t="str">
        <f t="shared" si="103"/>
        <v>NORMAL</v>
      </c>
      <c r="OK30" s="43" t="str">
        <f t="shared" si="104"/>
        <v/>
      </c>
      <c r="OL30" s="43" t="str">
        <f t="shared" si="105"/>
        <v/>
      </c>
      <c r="OM30" s="43" t="str">
        <f t="shared" si="106"/>
        <v/>
      </c>
      <c r="ON30" s="43" t="str">
        <f t="shared" si="107"/>
        <v/>
      </c>
      <c r="OO30" s="43" t="str">
        <f t="shared" si="108"/>
        <v/>
      </c>
      <c r="OP30" s="43" t="str">
        <f t="shared" si="109"/>
        <v/>
      </c>
      <c r="OQ30" s="43" t="str">
        <f t="shared" si="110"/>
        <v/>
      </c>
      <c r="OR30" s="43" t="str">
        <f t="shared" si="111"/>
        <v/>
      </c>
      <c r="OS30" s="43" t="str">
        <f t="shared" si="112"/>
        <v/>
      </c>
      <c r="OT30" s="43" t="str">
        <f t="shared" si="113"/>
        <v/>
      </c>
      <c r="OU30" s="43" t="str">
        <f t="shared" si="114"/>
        <v/>
      </c>
      <c r="OV30" s="110" t="str">
        <f t="shared" si="115"/>
        <v/>
      </c>
      <c r="OW30" s="43" t="str">
        <f t="shared" si="116"/>
        <v/>
      </c>
      <c r="OX30" s="43" t="str">
        <f t="shared" si="117"/>
        <v/>
      </c>
      <c r="OY30" s="43" t="str">
        <f t="shared" si="118"/>
        <v/>
      </c>
      <c r="OZ30" s="43" t="str">
        <f t="shared" si="119"/>
        <v/>
      </c>
      <c r="PA30" s="43" t="str">
        <f t="shared" si="120"/>
        <v/>
      </c>
      <c r="PB30" s="43" t="str">
        <f t="shared" si="121"/>
        <v/>
      </c>
      <c r="PC30" s="43" t="str">
        <f t="shared" si="122"/>
        <v/>
      </c>
      <c r="PD30" s="43" t="str">
        <f t="shared" si="123"/>
        <v/>
      </c>
      <c r="PE30" s="43" t="str">
        <f t="shared" si="124"/>
        <v/>
      </c>
      <c r="PF30" s="43" t="str">
        <f t="shared" si="125"/>
        <v/>
      </c>
      <c r="PG30" s="43" t="str">
        <f t="shared" si="126"/>
        <v/>
      </c>
      <c r="PH30" s="43" t="str">
        <f t="shared" si="127"/>
        <v/>
      </c>
      <c r="PI30" s="43">
        <f t="shared" si="128"/>
        <v>32</v>
      </c>
      <c r="PJ30" s="43" t="str">
        <f t="shared" si="129"/>
        <v/>
      </c>
      <c r="PK30" s="43" t="str">
        <f t="shared" si="130"/>
        <v/>
      </c>
      <c r="PL30" s="43" t="str">
        <f t="shared" si="131"/>
        <v/>
      </c>
      <c r="PM30" s="43" t="str">
        <f t="shared" si="132"/>
        <v/>
      </c>
      <c r="PN30" s="43" t="str">
        <f t="shared" si="133"/>
        <v/>
      </c>
      <c r="PO30" s="43" t="str">
        <f t="shared" si="134"/>
        <v/>
      </c>
      <c r="PP30" s="43" t="str">
        <f t="shared" si="135"/>
        <v/>
      </c>
      <c r="PQ30" s="43" t="str">
        <f t="shared" si="136"/>
        <v/>
      </c>
      <c r="PR30" s="43" t="str">
        <f t="shared" si="137"/>
        <v/>
      </c>
      <c r="PS30" s="43" t="str">
        <f t="shared" si="138"/>
        <v/>
      </c>
      <c r="PT30" s="43" t="str">
        <f t="shared" si="139"/>
        <v/>
      </c>
      <c r="PU30" s="43" t="str">
        <f t="shared" si="140"/>
        <v/>
      </c>
      <c r="PV30" s="43" t="str">
        <f t="shared" si="141"/>
        <v/>
      </c>
      <c r="PW30" s="43" t="str">
        <f t="shared" si="142"/>
        <v/>
      </c>
      <c r="PX30" s="43" t="str">
        <f t="shared" si="143"/>
        <v/>
      </c>
      <c r="PY30" s="43" t="str">
        <f t="shared" si="144"/>
        <v/>
      </c>
      <c r="PZ30" s="43" t="str">
        <f t="shared" si="145"/>
        <v/>
      </c>
      <c r="QA30" s="43" t="str">
        <f t="shared" si="146"/>
        <v/>
      </c>
      <c r="QB30" s="43" t="str">
        <f t="shared" si="147"/>
        <v/>
      </c>
      <c r="QC30" s="43" t="str">
        <f t="shared" si="148"/>
        <v/>
      </c>
      <c r="QD30" s="43" t="str">
        <f t="shared" si="149"/>
        <v/>
      </c>
      <c r="QE30" s="43" t="str">
        <f t="shared" si="150"/>
        <v/>
      </c>
      <c r="QF30" s="43" t="str">
        <f t="shared" si="151"/>
        <v/>
      </c>
      <c r="QG30" s="43" t="str">
        <f t="shared" si="152"/>
        <v/>
      </c>
      <c r="QH30" s="43" t="str">
        <f t="shared" si="153"/>
        <v/>
      </c>
      <c r="QI30" s="43" t="str">
        <f t="shared" si="154"/>
        <v/>
      </c>
      <c r="QJ30" s="43" t="str">
        <f t="shared" si="155"/>
        <v/>
      </c>
      <c r="QK30" s="43" t="str">
        <f t="shared" si="156"/>
        <v/>
      </c>
      <c r="QL30" s="43" t="str">
        <f t="shared" si="157"/>
        <v/>
      </c>
      <c r="QM30" s="43" t="str">
        <f t="shared" si="158"/>
        <v/>
      </c>
      <c r="QN30" s="43" t="str">
        <f t="shared" si="159"/>
        <v/>
      </c>
      <c r="QO30" s="43" t="str">
        <f t="shared" si="160"/>
        <v/>
      </c>
      <c r="QP30" s="43" t="str">
        <f t="shared" si="161"/>
        <v/>
      </c>
      <c r="QQ30" s="43" t="str">
        <f t="shared" si="162"/>
        <v/>
      </c>
      <c r="QR30" s="43">
        <f t="shared" si="192"/>
        <v>32</v>
      </c>
      <c r="QS30" s="43"/>
      <c r="QT30" s="21" t="str">
        <f t="shared" si="163"/>
        <v/>
      </c>
      <c r="QU30" s="21" t="str">
        <f t="shared" si="164"/>
        <v/>
      </c>
      <c r="QV30" s="21" t="str">
        <f t="shared" si="165"/>
        <v/>
      </c>
      <c r="QW30" s="21" t="str">
        <f t="shared" si="166"/>
        <v/>
      </c>
      <c r="QX30" s="21" t="str">
        <f t="shared" si="167"/>
        <v/>
      </c>
      <c r="QY30" s="21" t="str">
        <f t="shared" si="168"/>
        <v/>
      </c>
      <c r="QZ30" s="21" t="str">
        <f t="shared" si="169"/>
        <v/>
      </c>
      <c r="RA30" s="21" t="str">
        <f t="shared" si="170"/>
        <v/>
      </c>
      <c r="RB30" s="21" t="str">
        <f t="shared" si="171"/>
        <v/>
      </c>
      <c r="RC30" s="21" t="str">
        <f t="shared" si="172"/>
        <v/>
      </c>
      <c r="RD30" s="21" t="str">
        <f t="shared" si="173"/>
        <v/>
      </c>
      <c r="RE30" s="21" t="str">
        <f t="shared" si="174"/>
        <v/>
      </c>
      <c r="RF30" s="21" t="str">
        <f t="shared" si="175"/>
        <v/>
      </c>
      <c r="RG30" s="21" t="str">
        <f t="shared" si="176"/>
        <v/>
      </c>
      <c r="RH30" s="21" t="str">
        <f t="shared" si="177"/>
        <v/>
      </c>
      <c r="RI30" s="21" t="str">
        <f t="shared" si="178"/>
        <v/>
      </c>
      <c r="RJ30" s="21" t="str">
        <f t="shared" si="179"/>
        <v/>
      </c>
      <c r="RK30" s="21" t="str">
        <f t="shared" si="180"/>
        <v/>
      </c>
      <c r="RL30" s="21" t="str">
        <f t="shared" si="181"/>
        <v/>
      </c>
      <c r="RM30" s="21" t="str">
        <f t="shared" si="182"/>
        <v/>
      </c>
      <c r="RN30" s="21" t="str">
        <f t="shared" si="183"/>
        <v/>
      </c>
      <c r="RO30" s="21" t="str">
        <f t="shared" si="184"/>
        <v/>
      </c>
      <c r="RP30" s="21" t="str">
        <f t="shared" si="185"/>
        <v/>
      </c>
      <c r="RQ30" s="21" t="str">
        <f t="shared" si="186"/>
        <v/>
      </c>
      <c r="RR30" s="21" t="str">
        <f t="shared" si="187"/>
        <v/>
      </c>
      <c r="RS30" s="21" t="str">
        <f t="shared" si="188"/>
        <v/>
      </c>
      <c r="RT30" s="21" t="str">
        <f t="shared" si="189"/>
        <v/>
      </c>
      <c r="RU30" s="21" t="str">
        <f t="shared" si="190"/>
        <v/>
      </c>
      <c r="RV30" s="21">
        <f t="shared" si="191"/>
        <v>18.285714285714285</v>
      </c>
      <c r="RW30" s="284">
        <f>IF(OR(Tabla1[[#This Row],[FUM FORMULA CONFIABLE]]="",Tabla1[[#This Row],[FUM FORMULA CONFIABLE]]="SD"),"",IF(Tabla1[[#This Row],[FUM FORMULA CONFIABLE]]="CORREGIDA",Tabla1[[#This Row],[FUM X ECO 1]],Tabla1[[#This Row],[FUM x AMENORREA]]))</f>
        <v>44731</v>
      </c>
      <c r="RX30" s="21">
        <f>IF(AND(Tabla1[[#This Row],[FUM X ECO 1]]="",Tabla1[[#This Row],[FUM x AMENORREA]]=""),"",IF(AND(Tabla1[[#This Row],[FUM X ECO 1]]="",Tabla1[[#This Row],[FUM x AMENORREA]]&lt;&gt;""),"X",SUM(Tabla1[[#This Row],[FUM X ECO 1]]-Tabla1[[#This Row],[FUM x AMENORREA]])))</f>
        <v>12</v>
      </c>
      <c r="RY30" s="21">
        <f t="shared" si="193"/>
        <v>1</v>
      </c>
    </row>
    <row r="31" spans="1:493" ht="45" customHeight="1" x14ac:dyDescent="0.25">
      <c r="A31" s="109" t="s">
        <v>1031</v>
      </c>
      <c r="B31" s="43" t="s">
        <v>1032</v>
      </c>
      <c r="C31" s="43" t="s">
        <v>845</v>
      </c>
      <c r="D31" s="124" t="s">
        <v>846</v>
      </c>
      <c r="E31" s="43" t="s">
        <v>1033</v>
      </c>
      <c r="F31" s="43" t="s">
        <v>1034</v>
      </c>
      <c r="G31" s="43" t="s">
        <v>1035</v>
      </c>
      <c r="H31" s="43"/>
      <c r="I31" s="109" t="s">
        <v>851</v>
      </c>
      <c r="J31" s="110">
        <v>1059606995</v>
      </c>
      <c r="K31" s="43" t="s">
        <v>852</v>
      </c>
      <c r="L31" s="175" t="s">
        <v>853</v>
      </c>
      <c r="M31" s="22">
        <v>36318</v>
      </c>
      <c r="N31" s="213">
        <f t="shared" ca="1" si="0"/>
        <v>24.424657534246574</v>
      </c>
      <c r="O31" s="22">
        <v>44859</v>
      </c>
      <c r="P31" s="214" t="str">
        <f t="shared" si="1"/>
        <v>SI</v>
      </c>
      <c r="Q31" s="26" t="s">
        <v>855</v>
      </c>
      <c r="R31" s="22">
        <v>44859</v>
      </c>
      <c r="S31" s="21" t="s">
        <v>856</v>
      </c>
      <c r="T31" s="24" t="s">
        <v>690</v>
      </c>
      <c r="U31" s="21" t="s">
        <v>857</v>
      </c>
      <c r="V31" s="21" t="s">
        <v>858</v>
      </c>
      <c r="W31" s="21" t="s">
        <v>970</v>
      </c>
      <c r="X31" s="21" t="s">
        <v>970</v>
      </c>
      <c r="Y31" s="21" t="s">
        <v>859</v>
      </c>
      <c r="Z31" s="21" t="s">
        <v>1036</v>
      </c>
      <c r="AA31" s="21" t="s">
        <v>860</v>
      </c>
      <c r="AB31" s="27" t="s">
        <v>861</v>
      </c>
      <c r="AC31" s="26" t="s">
        <v>888</v>
      </c>
      <c r="AD31" s="38" t="s">
        <v>863</v>
      </c>
      <c r="AE31" s="26" t="s">
        <v>854</v>
      </c>
      <c r="AF31" s="26" t="s">
        <v>854</v>
      </c>
      <c r="AG31" s="23" t="s">
        <v>864</v>
      </c>
      <c r="AH31" s="23" t="s">
        <v>864</v>
      </c>
      <c r="AI31" s="24" t="s">
        <v>863</v>
      </c>
      <c r="AJ31" s="23" t="s">
        <v>864</v>
      </c>
      <c r="AK31" s="220" t="str">
        <f>IF(AND(AD31="",AE31="",AF31="",AG31="",AH31="",AI31="",AJ31=""),"",IF(OR(Tabla1[[#This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EVALUACIÓN",IF(AND(O31="",R31=""),"",IF(AND(OR(O31&gt;0,R31&gt;0),NG31&gt;=0,NG31&lt;2),"SIN RIESGO",IF(AND(OR(O31&gt;0,R31&gt;0),NG31&gt;=2),"CON RIESGO","ASD")))))</f>
        <v>SIN RIESGO</v>
      </c>
      <c r="AL31" s="23" t="s">
        <v>864</v>
      </c>
      <c r="AM31" s="26" t="s">
        <v>864</v>
      </c>
      <c r="AN31" s="26" t="s">
        <v>864</v>
      </c>
      <c r="AO31" s="26" t="s">
        <v>864</v>
      </c>
      <c r="AP31" s="26" t="s">
        <v>864</v>
      </c>
      <c r="AQ31" s="26" t="s">
        <v>864</v>
      </c>
      <c r="AR31" s="26" t="s">
        <v>864</v>
      </c>
      <c r="AS31" s="21">
        <v>3</v>
      </c>
      <c r="AT31" s="21">
        <v>1</v>
      </c>
      <c r="AU31" s="21">
        <v>1</v>
      </c>
      <c r="AV31" s="26" t="s">
        <v>864</v>
      </c>
      <c r="AW31" s="21">
        <v>0</v>
      </c>
      <c r="AX31" s="26" t="s">
        <v>864</v>
      </c>
      <c r="AY31" s="26" t="s">
        <v>864</v>
      </c>
      <c r="AZ31" s="26" t="s">
        <v>864</v>
      </c>
      <c r="BA31" s="26" t="s">
        <v>864</v>
      </c>
      <c r="BB31" s="26" t="s">
        <v>864</v>
      </c>
      <c r="BC31" s="26" t="s">
        <v>864</v>
      </c>
      <c r="BD31" s="26" t="s">
        <v>864</v>
      </c>
      <c r="BE31" s="26" t="s">
        <v>864</v>
      </c>
      <c r="BF31" s="26" t="s">
        <v>864</v>
      </c>
      <c r="BG31" s="26" t="s">
        <v>864</v>
      </c>
      <c r="BH31" s="26" t="s">
        <v>864</v>
      </c>
      <c r="BI31" s="26" t="s">
        <v>864</v>
      </c>
      <c r="BJ31" s="26"/>
      <c r="BK31" s="26"/>
      <c r="BL31" s="26" t="s">
        <v>864</v>
      </c>
      <c r="BM31" s="26" t="s">
        <v>864</v>
      </c>
      <c r="BN31" s="22"/>
      <c r="BO31" s="22">
        <v>44768</v>
      </c>
      <c r="BP31" s="21" t="s">
        <v>854</v>
      </c>
      <c r="BQ31" s="222">
        <f t="shared" si="2"/>
        <v>0</v>
      </c>
      <c r="BR31" s="223">
        <f t="shared" si="3"/>
        <v>44757</v>
      </c>
      <c r="BS31" s="224">
        <f t="shared" si="4"/>
        <v>13</v>
      </c>
      <c r="BT31" s="216" t="str">
        <f t="shared" si="5"/>
        <v>II TRIM</v>
      </c>
      <c r="BU31" s="214" t="str">
        <f t="shared" ca="1" si="6"/>
        <v/>
      </c>
      <c r="BV31" s="25"/>
      <c r="BW31" s="22">
        <v>44862</v>
      </c>
      <c r="BX31" s="28">
        <v>15</v>
      </c>
      <c r="BY31" s="28"/>
      <c r="BZ31" s="22"/>
      <c r="CA31" s="21"/>
      <c r="CB31" s="26"/>
      <c r="CC31" s="26"/>
      <c r="CD31" s="26"/>
      <c r="CE31" s="26"/>
      <c r="CF31" s="22" t="s">
        <v>1517</v>
      </c>
      <c r="CG31" s="21">
        <v>1.51</v>
      </c>
      <c r="CH31" s="21">
        <v>72</v>
      </c>
      <c r="CI31" s="214">
        <f t="shared" si="7"/>
        <v>31.577562387614577</v>
      </c>
      <c r="CJ31" s="225" t="e">
        <f>IF(AND(CI31&lt;10,CH31="SD"),"SIN DATO PESO PREGESTACION O I TRIM",IF(AND(OR(R31&gt;0,O31&gt;0),CI31="X"),"INGRESAR DATO DE PESO",IF(CI31="SD","INGRESAR DATO DE TALLA Y PESO",IF(AND(OR(Tabla1[[#This Row],[MOMENTO EN QUE SE REALIZA EL PESO AL INGRESO A CPN]]="PREGESTACIÓN",NZ31="Menor"),CI31&lt;18.5),"BAJO PESO",IF(AND(OR(Tabla1[[#This Row],[MOMENTO EN QUE SE REALIZA EL PESO AL INGRESO A CPN]]="PREGESTACIÓN",NZ31="Menor"),CI31&lt;25),"NORMAL",IF(AND(OR(Tabla1[[#This Row],[MOMENTO EN QUE SE REALIZA EL PESO AL INGRESO A CPN]]="PREGESTACIÓN",NZ31="Menor"),CI31&lt;30),"SOBREPESO",IF(AND(OR(Tabla1[[#This Row],[MOMENTO EN QUE SE REALIZA EL PESO AL INGRESO A CPN]]="PREGESTACIÓN",NZ31="Menor"),CI31&gt;=30,CI31&lt;50),"OBESIDAD",IF(AND(BS31&gt;0,Tabla1[[#This Row],[MOMENTO EN QUE SE REALIZA EL PESO AL INGRESO A CPN]]="GESTACIÓN"),HLOOKUP(NZ31,$OA$2:PH31,NY31),""))))))))</f>
        <v>#REF!</v>
      </c>
      <c r="CK31" s="212">
        <f t="shared" si="8"/>
        <v>44981</v>
      </c>
      <c r="CL31" s="21"/>
      <c r="CM31" s="214">
        <f t="shared" si="9"/>
        <v>0</v>
      </c>
      <c r="CN31" s="216">
        <f t="shared" si="10"/>
        <v>30</v>
      </c>
      <c r="CO31" s="216" t="e">
        <f>IF(PI31="","",IF(PI31&gt;0,HLOOKUP(PI31,$PJ$2:QQ31,NY31),""))</f>
        <v>#REF!</v>
      </c>
      <c r="CP31" s="21"/>
      <c r="CQ31" s="216" t="e">
        <f>IF(QR31="Menor","NO APLICA-MENOR 13 SEM",IF(AND(CC31="SI",CN31&gt;23),"NO APLICA- GEMELAR",IF(QR31="","",IF(QR31&gt;0,HLOOKUP(QR31,$QS$2:RU31,NY31),""))))</f>
        <v>#REF!</v>
      </c>
      <c r="CR31" s="21"/>
      <c r="CS31" s="21"/>
      <c r="CT31" s="217" t="str">
        <f>IF(R31="","",IF(AND(BS31&gt;1,BS31&lt;12,Tabla1[[#This Row],[T.A. SISTOLICA - ANTES DE SEMANA 12]]="",Tabla1[[#This Row],[T.A. DIASTOLICA - ANTES DE SEMANA 12]]=""),"REGISTRE DATO TA ANTES SEMANA 12",IF(AND(BS31&gt;11,BS31&lt;43,Tabla1[[#This Row],[T.A. SISTOLICA - ANTES DE SEMANA 12]]="",Tabla1[[#This Row],[T.A. DIASTOLICA - ANTES DE SEMANA 12]]=""),"NO APLICA REGISTRO TA-INGRESO TARDIO",IF(AND(OR(O31&gt;0,R31&gt;0),OR(CR31&gt;=140,CS31&gt;=90)),"DEFINIR ESTADIO HTA",IF(AND(OR(O31&gt;0,R31&gt;0),AND(CR31&gt;120,CR31&lt;=139)),"PRE HTA SEGUIMIENTO",IF(AND(OR(O31&gt;0,R31&gt;0),AND(CS31&gt;80,CS31&lt;=89)),"PRE HTA SEGUIMIENTO",IF(AND(OR(O31&gt;0,R31&gt;0),AND(CR31&gt;=80,CR31&lt;=120)),"APARENTEMENTE NORMAL",IF(AND(OR(O31&gt;0,R31&gt;0),AND(CS31&gt;=50,CS31&lt;=80)),"APARENTEMENTE NORMAL",IF(AND(OR(O31&gt;0,R31&gt;0),AND(CR31&gt;1,CR31&lt;=70),AND(CS31&gt;1,CS31&lt;=40)),"HIPOTENSIÓN","")))))))))</f>
        <v>NO APLICA REGISTRO TA-INGRESO TARDIO</v>
      </c>
      <c r="CU31" s="21"/>
      <c r="CV31" s="21"/>
      <c r="CW31" s="217" t="str">
        <f ca="1">IF(R31="","",IF(AND(CN31&gt;19,CN31&lt;27,Tabla1[[#This Row],[T.A. SISTOLICA (Entre semana 20 y 26)]]="",Tabla1[[#This Row],[T.A. DIATOLICA (Entre semana 20 y 26)]]=""),"ACUDE A CONTROL SEM 20 A 26 REGISTRE TA AHORA",IF(AND(BS31&gt;1,BS31&lt;27,BU31&gt;19,Tabla1[[#This Row],[T.A. SISTOLICA (Entre semana 20 y 26)]]="",Tabla1[[#This Row],[T.A. DIATOLICA (Entre semana 20 y 26)]]=""),"COMPLETE REGISTRO TA CONTROL SEM 20 A26 ",IF(AND(BS31&gt;26,BS31&lt;43,Tabla1[[#This Row],[T.A. SISTOLICA (Entre semana 20 y 26)]]="",Tabla1[[#This Row],[T.A. DIATOLICA (Entre semana 20 y 26)]]=""),"NO APLICA REGISTRO TA-INGRESO TARDIO",IF(AND(OR(O31&gt;0,R31&gt;0),OR(CU31&gt;=140,CV31&gt;=90)),"ALTO RIESGO PREECLAMPSIA,DEFINIR ESTADIO HTA",IF(AND(OR(O31&gt;0,R31&gt;0),AND(CU31&gt;120,CU31&lt;=139)),"PRE HTA SEGUIMIENTO,RIESGO HIPERTENSION INDUCIDA POR EL EMBARAZO",IF(AND(OR(O31&gt;0,R31&gt;0),AND(CV31&gt;80,CV31&lt;=89)),"PRE HTA SEGUIMIENTO, RIESGO HIPERTENSION INDUCIDA POR EL EMBARAZO",IF(AND(OR(O31&lt;&gt;"",R31&lt;&gt;""),CS31&lt;&gt;"",CV31&lt;&gt;"",CS31&lt;=CV31),"VIGILAR CIFRAS PRESION ARTERIAL",IF(AND(OR(O31&gt;0,R31&gt;0),AND(CU31&gt;120,CU31&lt;=139)),"PRE HTA SEGUIMIENTO",IF(AND(OR(O31&gt;0,R31&gt;0),AND(CU31&gt;1,CU31&lt;=70),AND(CV31&gt;1,CV31&lt;=40)),"HIPOTENSIÓN",IF(AND(OR(O31&lt;&gt;"",R31&lt;&gt;""),CS31&lt;&gt;"",CV31&lt;&gt;"",CS31&gt;CV31),"APARENTEMENTE NORMAL",IF(AND(OR(O31&gt;0,R31&gt;0),AND(CU31&gt;=80,CU31&lt;=120)),"APARENTEMENTE NORMAL",IF(AND(OR(O31&gt;0,R31&gt;0),AND(CV31&gt;=50,CV31&lt;=80)),"APARENTEMENTE NORMAL","")))))))))))))</f>
        <v xml:space="preserve">COMPLETE REGISTRO TA CONTROL SEM 20 A26 </v>
      </c>
      <c r="CX31" s="21">
        <v>90</v>
      </c>
      <c r="CY31" s="21">
        <v>60</v>
      </c>
      <c r="CZ31" s="216" t="str">
        <f t="shared" si="11"/>
        <v>APARENTEMENTE NORMAL</v>
      </c>
      <c r="DA31" s="21"/>
      <c r="DB31" s="21"/>
      <c r="DC31" s="217" t="str">
        <f t="shared" si="12"/>
        <v>REGISTRE DATO PRESIÓN ARTERIAL MENSUAL</v>
      </c>
      <c r="DD31" s="22">
        <v>44859</v>
      </c>
      <c r="DE31" s="22">
        <v>44859</v>
      </c>
      <c r="DF31" s="22">
        <v>44981</v>
      </c>
      <c r="DG31" s="22"/>
      <c r="DH31" s="22"/>
      <c r="DI31" s="22"/>
      <c r="DJ31" s="22"/>
      <c r="DK31" s="22"/>
      <c r="DL31" s="22"/>
      <c r="DM31" s="22"/>
      <c r="DN31" s="22"/>
      <c r="DO31" s="22"/>
      <c r="DP31" s="22"/>
      <c r="DQ31" s="22"/>
      <c r="DR31" s="28"/>
      <c r="DS31" s="22"/>
      <c r="DT31" s="22"/>
      <c r="DU31" s="216" t="str">
        <f t="shared" ca="1" si="13"/>
        <v>SALE SIN PLAN DE PARTO</v>
      </c>
      <c r="DV31" s="226" t="str">
        <f t="shared" si="14"/>
        <v>SALIO PROGRAMA</v>
      </c>
      <c r="DW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1" s="216" t="str">
        <f t="shared" ca="1" si="15"/>
        <v/>
      </c>
      <c r="DY31" s="212">
        <f>IF(R31="","",IF(R31&gt;0,MAX(Tabla1[[#This Row],[FECHA C2]:[FECHA C13]],Tabla1[[#This Row],[FECHA CONSULTA PRIMERA VEZ PROGRAMA CPN ]])))</f>
        <v>44981</v>
      </c>
      <c r="DZ31" s="216">
        <f t="shared" si="16"/>
        <v>30</v>
      </c>
      <c r="EA31" s="222">
        <f>IF(R31&gt;0,SUM(COUNTA(DF31:DQ31)+COUNTA(Tabla1[[#This Row],[FECHA CONSULTA PRIMERA VEZ PROGRAMA CPN ]])),"")</f>
        <v>2</v>
      </c>
      <c r="EB31" s="222" t="str">
        <f t="shared" si="17"/>
        <v>NO</v>
      </c>
      <c r="EC31" s="214">
        <f t="shared" si="18"/>
        <v>8</v>
      </c>
      <c r="ED31" s="227">
        <f t="shared" si="19"/>
        <v>0.25</v>
      </c>
      <c r="EE31" s="22">
        <v>44859</v>
      </c>
      <c r="EF31" s="22">
        <v>44862</v>
      </c>
      <c r="EG31" s="22">
        <v>44859</v>
      </c>
      <c r="EH31" s="22"/>
      <c r="EI31" s="22">
        <v>44859</v>
      </c>
      <c r="EJ31" s="22">
        <v>44936</v>
      </c>
      <c r="EK31" s="22">
        <v>44936</v>
      </c>
      <c r="EL31" s="21"/>
      <c r="EM31" s="21">
        <v>12.6</v>
      </c>
      <c r="EN31" s="22">
        <v>44862</v>
      </c>
      <c r="EO31" s="222">
        <f t="shared" si="20"/>
        <v>13.428571428571429</v>
      </c>
      <c r="EP31" s="214" t="str">
        <f t="shared" si="21"/>
        <v>NORMAL- SUMINISTRAR SULFATO FERROSO</v>
      </c>
      <c r="EQ31" s="216" t="str">
        <f t="shared" si="22"/>
        <v>II TRIM</v>
      </c>
      <c r="ER31" s="24"/>
      <c r="ES31" s="22"/>
      <c r="ET31" s="29" t="str">
        <f t="shared" ca="1" si="23"/>
        <v>SALE SIN TAMIZAJE HEMOGLOBINA SEM 28</v>
      </c>
      <c r="EU31" s="25" t="str">
        <f t="shared" si="24"/>
        <v/>
      </c>
      <c r="EV31" s="24" t="s">
        <v>866</v>
      </c>
      <c r="EW31" s="24">
        <v>44862</v>
      </c>
      <c r="EX31" s="22"/>
      <c r="EY31" s="29">
        <f t="shared" si="25"/>
        <v>13.428571428571429</v>
      </c>
      <c r="EZ31" s="25" t="str">
        <f t="shared" ca="1" si="26"/>
        <v/>
      </c>
      <c r="FA31" s="21">
        <v>70</v>
      </c>
      <c r="FB31" s="22">
        <v>44862</v>
      </c>
      <c r="FC31" s="29">
        <f t="shared" si="27"/>
        <v>13.428571428571429</v>
      </c>
      <c r="FD31" s="29"/>
      <c r="FE31" s="29"/>
      <c r="FF31" s="29"/>
      <c r="FG31" s="21" t="str">
        <f t="shared" ca="1" si="28"/>
        <v/>
      </c>
      <c r="FH31" s="31"/>
      <c r="FI31" s="29" t="str">
        <f t="shared" si="29"/>
        <v>TOMAR EXAMEN</v>
      </c>
      <c r="FJ31" s="22"/>
      <c r="FK31" s="22"/>
      <c r="FL31" s="29" t="str">
        <f t="shared" ca="1" si="30"/>
        <v>NO APLICA-INGRESO TARDIO</v>
      </c>
      <c r="FM31" s="22" t="s">
        <v>867</v>
      </c>
      <c r="FN31" s="32">
        <v>44862</v>
      </c>
      <c r="FO31" s="29">
        <f t="shared" ca="1" si="31"/>
        <v>13.428571428571429</v>
      </c>
      <c r="FP31" s="22"/>
      <c r="FQ31" s="32"/>
      <c r="FR31" s="29" t="str">
        <f t="shared" ca="1" si="32"/>
        <v>PIERDE TOMA DE TAMIZAJE</v>
      </c>
      <c r="FS31" s="22"/>
      <c r="FT31" s="32"/>
      <c r="FU31" s="29" t="str">
        <f>IF(AND(FJ31="",FM31="",FP31="",FS31=""),"",IF(OR(OR(Tabla1[[#This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1" s="28"/>
      <c r="FW31" s="22"/>
      <c r="FX31" s="29" t="str">
        <f t="shared" si="33"/>
        <v>TOMAR EXAMEN</v>
      </c>
      <c r="FY31" s="22">
        <v>45224</v>
      </c>
      <c r="FZ31" s="22">
        <v>45224</v>
      </c>
      <c r="GA31" s="29">
        <f t="shared" ca="1" si="34"/>
        <v>65.142857142857139</v>
      </c>
      <c r="GB31" s="22" t="s">
        <v>868</v>
      </c>
      <c r="GC31" s="22">
        <v>44862</v>
      </c>
      <c r="GD31" s="29">
        <f t="shared" ca="1" si="35"/>
        <v>13.428571428571429</v>
      </c>
      <c r="GE31" s="22"/>
      <c r="GF31" s="22"/>
      <c r="GG31" s="29" t="str">
        <f t="shared" ca="1" si="36"/>
        <v>PIERDE TOMA DE TAMIZAJE</v>
      </c>
      <c r="GH31" s="22"/>
      <c r="GI31" s="29"/>
      <c r="GJ31" s="22"/>
      <c r="GK31" s="22"/>
      <c r="GL31" s="22" t="s">
        <v>879</v>
      </c>
      <c r="GM31" s="22"/>
      <c r="GN31" s="28" t="s">
        <v>869</v>
      </c>
      <c r="GO31" s="22">
        <v>44862</v>
      </c>
      <c r="GP31" s="29">
        <f t="shared" si="37"/>
        <v>13.428571428571429</v>
      </c>
      <c r="GQ31" s="28" t="s">
        <v>880</v>
      </c>
      <c r="GR31" s="28" t="s">
        <v>869</v>
      </c>
      <c r="GS31" s="22" t="str">
        <f t="shared" si="38"/>
        <v>SE EXCLUYE INFECCION</v>
      </c>
      <c r="GT31" s="22">
        <v>44862</v>
      </c>
      <c r="GU31" s="29">
        <f t="shared" si="39"/>
        <v>13.428571428571429</v>
      </c>
      <c r="GV31" s="21" t="str">
        <f t="shared" si="40"/>
        <v>II TRIM</v>
      </c>
      <c r="GW31" s="28" t="s">
        <v>869</v>
      </c>
      <c r="GX31" s="30"/>
      <c r="GY31" s="21"/>
      <c r="GZ31" s="21"/>
      <c r="HA31" s="21"/>
      <c r="HB31" s="21"/>
      <c r="HC31" s="21"/>
      <c r="HD31" s="21"/>
      <c r="HE31" s="21"/>
      <c r="HF31" s="22"/>
      <c r="HG31" s="22" t="str">
        <f>IF(OR(O31&gt;0,R31&gt;0),CONCATENATE(IF(Tabla1[[#This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1" s="22" t="e">
        <f t="shared" si="41"/>
        <v>#REF!</v>
      </c>
      <c r="HI31" s="22" t="e">
        <f t="shared" ca="1" si="42"/>
        <v>#REF!</v>
      </c>
      <c r="HJ31" s="21"/>
      <c r="HK31" s="21" t="str">
        <f t="shared" si="44"/>
        <v>SIN ANTECEDENTES DE RIESGO</v>
      </c>
      <c r="HL31" s="24" t="str">
        <f t="shared" si="45"/>
        <v>REGISTRE DATO PRESIÓN ARTERIAL MENSUAL</v>
      </c>
      <c r="HM31" s="21" t="str">
        <f t="shared" ca="1" si="46"/>
        <v/>
      </c>
      <c r="HN31" s="30" t="str">
        <f t="shared" si="47"/>
        <v>SALIO PROGRAMA</v>
      </c>
      <c r="HO31" s="21"/>
      <c r="HP31" s="21"/>
      <c r="HQ31" s="21">
        <v>44859</v>
      </c>
      <c r="HR31" s="21" t="str">
        <f>IF(R31="","",IF(Tabla1[[#This Row],[ALARMA FACTORES DE RIESGO COMPLICACIONES HIPERTENSIVAS3]]="SIN ANTECEDENTES DE RIESGO","No Aplica para suministro de ASA",IF(AND(Tabla1[[#This Row],[FECHA INICIO DE SUMINISTRO DE ASA]]&gt;0,RV31&lt;12),"Inicia ASA ANTES de Sem 12",IF(AND(RV31&gt;11,RV31&lt;17,OR(HK31="RIESGO ALTO DE COMPLICACIONES HIPERTENSIVAS VER MANEJO GUIA SUMINISTRO ASA Y CALCIO",HK31="RIESGO MODERADO (2 O MAS CRITERIOS) VER MANEJO GUIA SUMINISTRO ASA Y CALCIO")),"Inicio oportuno de ASA",IF(AND(RV31&gt;12,OR(HK31="RIESGO ALTO DE COMPLICACIONES HIPERTENSIVAS VER MANEJO GUIA SUMINISTRO ASA Y CALCIO",HK31="RIESGO MODERADO (2 O MAS CRITERIOS) VER MANEJO GUIA SUMINISTRO ASA Y CALCIO")),"Inicio no oportuno mayor a 16 semanas",IF(AND(BU31&lt;12,OR(HK31="RIESGO ALTO DE COMPLICACIONES HIPERTENSIVAS VER MANEJO GUIA SUMINISTRO ASA Y CALCIO",HK31="RIESGO MODERADO (2 O MAS CRITERIOS) VER MANEJO GUIA SUMINISTRO ASA Y CALCIO")),"Pendiente Inicio de ASA a la semana 12",IF(AND(BU31&gt;11,BU31&lt;17,OR(HK31="RIESGO ALTO DE COMPLICACIONES HIPERTENSIVAS VER MANEJO GUIA SUMINISTRO ASA Y CALCIO",HK31="RIESGO MODERADO (2 O MAS CRITERIOS) VER MANEJO GUIA SUMINISTRO ASA Y CALCIO")),"Iniciar de inmediato ASA",IF(AND(BU31&gt;16,OR(HK31="RIESGO ALTO DE COMPLICACIONES HIPERTENSIVAS VER MANEJO GUIA SUMINISTRO ASA Y CALCIO",HK31="RIESGO MODERADO (2 O MAS CRITERIOS) VER MANEJO GUIA SUMINISTRO ASA Y CALCIO")),"Pierde Oportunidad, Inicio tardío de ASA","XXXXX"))))))))</f>
        <v>No Aplica para suministro de ASA</v>
      </c>
      <c r="HS31" s="22">
        <v>44859</v>
      </c>
      <c r="HT31" s="22" t="s">
        <v>870</v>
      </c>
      <c r="HU31" s="22">
        <v>44859</v>
      </c>
      <c r="HV31" s="22" t="s">
        <v>870</v>
      </c>
      <c r="HW31" s="22">
        <v>44859</v>
      </c>
      <c r="HX31" s="22" t="s">
        <v>870</v>
      </c>
      <c r="HY31" s="22">
        <v>44859</v>
      </c>
      <c r="HZ31" s="28">
        <f t="shared" si="48"/>
        <v>13</v>
      </c>
      <c r="IA31" s="26" t="s">
        <v>864</v>
      </c>
      <c r="IB31" s="26"/>
      <c r="IC31" s="111"/>
      <c r="ID31" s="22"/>
      <c r="IE31" s="22" t="str">
        <f t="shared" ca="1" si="49"/>
        <v>SALE SIN VACUNA</v>
      </c>
      <c r="IF31" s="22"/>
      <c r="IG31" s="22">
        <f t="shared" si="50"/>
        <v>45048</v>
      </c>
      <c r="IH31" s="29">
        <f t="shared" ca="1" si="51"/>
        <v>-185</v>
      </c>
      <c r="II31" s="22" t="str">
        <f t="shared" ca="1" si="52"/>
        <v>POSIBLEMENTE NACIO</v>
      </c>
      <c r="IJ31" s="22"/>
      <c r="IK31" s="21" t="s">
        <v>898</v>
      </c>
      <c r="IL31" s="21"/>
      <c r="IM31" s="34"/>
      <c r="IN31" s="349">
        <v>45031</v>
      </c>
      <c r="IO31" s="21" t="s">
        <v>1186</v>
      </c>
      <c r="IP31" s="29">
        <f t="shared" si="53"/>
        <v>37.571428571428569</v>
      </c>
      <c r="IQ31" s="35" t="s">
        <v>1650</v>
      </c>
      <c r="IR31" s="21" t="s">
        <v>1651</v>
      </c>
      <c r="IS31" s="21" t="s">
        <v>1646</v>
      </c>
      <c r="IT31" s="21" t="s">
        <v>1642</v>
      </c>
      <c r="IU31" s="21"/>
      <c r="IV31" s="21"/>
      <c r="IW31" s="21"/>
      <c r="IX31" s="21"/>
      <c r="IY31" s="21"/>
      <c r="IZ31" s="21"/>
      <c r="JA31" s="21"/>
      <c r="JB31" s="30">
        <v>1</v>
      </c>
      <c r="JC31" s="21" t="s">
        <v>1643</v>
      </c>
      <c r="JD31" s="36">
        <v>3270</v>
      </c>
      <c r="JE31" s="21" t="str">
        <f t="shared" si="54"/>
        <v>PESO ADECUADO EDAD GESTACIONAL</v>
      </c>
      <c r="JF31" s="30"/>
      <c r="JG31" s="21"/>
      <c r="JH31" s="21"/>
      <c r="JI31" s="21" t="s">
        <v>854</v>
      </c>
      <c r="JJ31" s="30" t="s">
        <v>866</v>
      </c>
      <c r="JK31" s="22"/>
      <c r="JL31" s="22"/>
      <c r="JM31" s="21"/>
      <c r="JN31" s="36"/>
      <c r="JO31" s="21" t="str">
        <f t="shared" si="55"/>
        <v/>
      </c>
      <c r="JP31" s="22"/>
      <c r="JQ31" s="21"/>
      <c r="JR31" s="21"/>
      <c r="JS31" s="21"/>
      <c r="JT31" s="30"/>
      <c r="JU31" s="22"/>
      <c r="JV31" s="22"/>
      <c r="JW31" s="33"/>
      <c r="JX31" s="28" t="str">
        <f t="shared" si="56"/>
        <v>INASISTENTE</v>
      </c>
      <c r="JY31" s="33"/>
      <c r="JZ31" s="28" t="str">
        <f t="shared" si="57"/>
        <v>INASISTENTE</v>
      </c>
      <c r="KA31" s="21"/>
      <c r="KB31" s="21"/>
      <c r="KC31" s="21"/>
      <c r="KD31" s="37"/>
      <c r="KE31" s="28"/>
      <c r="KF31" s="28"/>
      <c r="KG31" s="28"/>
      <c r="KH31" s="39"/>
      <c r="KI31" s="39"/>
      <c r="KJ31" s="66"/>
      <c r="KK31" s="39"/>
      <c r="KL31" s="39"/>
      <c r="KM31" s="66"/>
      <c r="KN31" s="39"/>
      <c r="KO31" s="39"/>
      <c r="KP31" s="39"/>
      <c r="KQ31" s="39"/>
      <c r="KR31" s="39"/>
      <c r="KS31" s="39"/>
      <c r="KT31" s="39"/>
      <c r="KU31" s="38"/>
      <c r="KV31" s="38"/>
      <c r="KW31" s="38"/>
      <c r="KX31" s="38"/>
      <c r="KY31" s="38"/>
      <c r="KZ31" s="38"/>
      <c r="LA31" s="38"/>
      <c r="LB31" s="38"/>
      <c r="LC31" s="38"/>
      <c r="LD31" s="38"/>
      <c r="LE31" s="38"/>
      <c r="LF31" s="38"/>
      <c r="LG31" s="38"/>
      <c r="LH31" s="38"/>
      <c r="LI31" s="38"/>
      <c r="LJ31" s="38"/>
      <c r="LK31" s="38"/>
      <c r="LL31" s="38"/>
      <c r="LM31" s="38"/>
      <c r="LN31" s="38"/>
      <c r="LO31" s="38"/>
      <c r="LP31" s="38"/>
      <c r="LQ31" s="38"/>
      <c r="LR31" s="38"/>
      <c r="LS31" s="38"/>
      <c r="LT31" s="38"/>
      <c r="LU31" s="38"/>
      <c r="LV31" s="38"/>
      <c r="LW31" s="38"/>
      <c r="LX31" s="38"/>
      <c r="LY31" s="38"/>
      <c r="LZ31" s="38"/>
      <c r="MA31" s="38"/>
      <c r="MB31" s="38"/>
      <c r="MC31" s="38"/>
      <c r="MD31" s="38"/>
      <c r="ME31" s="38"/>
      <c r="MF31" s="38"/>
      <c r="MG31" s="38"/>
      <c r="MH31" s="43">
        <f t="shared" si="58"/>
        <v>0</v>
      </c>
      <c r="MI31" s="43" t="str">
        <f t="shared" si="59"/>
        <v/>
      </c>
      <c r="MJ31" s="43" t="str">
        <f t="shared" si="60"/>
        <v/>
      </c>
      <c r="MK31" s="43">
        <f t="shared" si="61"/>
        <v>0</v>
      </c>
      <c r="ML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1" s="43">
        <f t="shared" si="62"/>
        <v>13</v>
      </c>
      <c r="MN31" s="43">
        <f t="shared" si="63"/>
        <v>10</v>
      </c>
      <c r="MO31" s="43">
        <f t="shared" si="64"/>
        <v>2022</v>
      </c>
      <c r="MP31" s="43" t="str">
        <f t="shared" si="65"/>
        <v>IV TRIMESTRE AÑO</v>
      </c>
      <c r="MQ31" s="43">
        <f t="shared" si="66"/>
        <v>23.045335085413928</v>
      </c>
      <c r="MR31" s="43">
        <f t="shared" si="67"/>
        <v>0</v>
      </c>
      <c r="MS31" s="43" t="str">
        <f t="shared" si="68"/>
        <v xml:space="preserve"> DE 20 A 24 AÑOS</v>
      </c>
      <c r="MT31" s="43">
        <f t="shared" si="69"/>
        <v>0</v>
      </c>
      <c r="MU31" s="43">
        <f t="shared" si="70"/>
        <v>0</v>
      </c>
      <c r="MV31" s="43">
        <f t="shared" si="71"/>
        <v>0</v>
      </c>
      <c r="MW31" s="43">
        <f t="shared" si="72"/>
        <v>0</v>
      </c>
      <c r="MX31" s="43" t="str">
        <f t="shared" si="73"/>
        <v/>
      </c>
      <c r="MY31" s="43" t="str">
        <f t="shared" ca="1" si="74"/>
        <v/>
      </c>
      <c r="MZ31" s="43" t="str">
        <f t="shared" si="75"/>
        <v/>
      </c>
      <c r="NA31" s="43" t="str">
        <f t="shared" si="76"/>
        <v/>
      </c>
      <c r="NB31" s="43" t="str">
        <f t="shared" si="77"/>
        <v/>
      </c>
      <c r="NC31" s="43" t="str">
        <f t="shared" si="78"/>
        <v/>
      </c>
      <c r="ND31" s="43">
        <f t="shared" ca="1" si="79"/>
        <v>0</v>
      </c>
      <c r="NE31" s="43">
        <f>IF(OR(O31&gt;0,R31&gt;0),SUM(COUNTIF(Tabla1[[#This Row],[AÑOS AL INICIO5 CPN]],"&gt;=40"),COUNTIF(AS31,"0"),COUNTIF(AR31,"SI"),COUNTIF(CC31,"SI"),COUNTIF(BQ31,"&gt;119"),COUNTIF(CI31,"&gt;=35")),"")</f>
        <v>0</v>
      </c>
      <c r="NF31" s="43" t="str">
        <f t="shared" si="80"/>
        <v/>
      </c>
      <c r="NG31" s="43">
        <f t="shared" si="81"/>
        <v>0</v>
      </c>
      <c r="NH31" s="43">
        <f t="shared" si="82"/>
        <v>105</v>
      </c>
      <c r="NI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CPN",P31="NO"),"Z",IF(AND(Tabla1[[#This Row],[CITA PROXIMO CONTROL]]="CITA MANUAL",Tabla1[[#This Row],[GESTANTES ACTUALES]]="ACTIVA INGRESO A CPN"),"W",IF(AND(Tabla1[[#This Row],[GESTANTES ACTUALES]]="SALIO PROGRAMA",IN31=""),"S",IF(AND(Tabla1[[#This Row],[CITA PROXIMO CONTROL]]&gt;0,IN31=""),(Tabla1[[#This Row],[CITA PROXIMO CONTROL]]-TODAY()),"SD"))))))))</f>
        <v>SD</v>
      </c>
      <c r="NJ31" s="43">
        <f>MONTH(Tabla1[[#This Row],[FECHA DE SALIDA  DEL PROGRAMA]])</f>
        <v>4</v>
      </c>
      <c r="NK31" s="43">
        <f>YEAR(Tabla1[[#This Row],[FECHA DE SALIDA  DEL PROGRAMA]])</f>
        <v>2023</v>
      </c>
      <c r="NL31" s="43">
        <f t="shared" si="83"/>
        <v>77</v>
      </c>
      <c r="NM31" s="43" t="str">
        <f t="shared" si="84"/>
        <v>NO</v>
      </c>
      <c r="NN31" s="43" t="str">
        <f ca="1">IF(AND(O31&gt;0,R31=""),"NO CPN",IF(AND(O31="",R31=""),"",IF(AND(R31&gt;0,Tabla1[[#This Row],[SEMANAS DE GESTACION ACTUALIZADAS]]&lt;=12),"NO APLICA",IF(AND(FH31&lt;&gt;"",FN31&lt;&gt;""),"SI","NO"))))</f>
        <v>NO</v>
      </c>
      <c r="NO31" s="43" t="str">
        <f ca="1">IF(AND(O31&gt;0,R31=""),"NO CPN",IF(AND(O31="",R31=""),"",IF(AND(R31&gt;0,Tabla1[[#This Row],[SEMANAS DE GESTACION ACTUALIZADAS]]&lt;=27),"NO APLICA",IF(AND(ES31&lt;&gt;"",FQ31&lt;&gt;"",GF31&lt;&gt;""),"SI","NO"))))</f>
        <v>NO</v>
      </c>
      <c r="NP31" s="204" t="str">
        <f t="shared" si="85"/>
        <v>II TRIM</v>
      </c>
      <c r="NQ31" s="21">
        <f t="shared" si="86"/>
        <v>3</v>
      </c>
      <c r="NR31" s="21">
        <f t="shared" si="87"/>
        <v>2</v>
      </c>
      <c r="NS31" s="205">
        <f t="shared" ca="1" si="88"/>
        <v>1</v>
      </c>
      <c r="NT31" s="21">
        <f t="shared" ca="1" si="89"/>
        <v>2</v>
      </c>
      <c r="NU31" s="21" t="str">
        <f t="shared" ca="1" si="90"/>
        <v>INCOMPLETO</v>
      </c>
      <c r="NV31" s="21" t="str">
        <f t="shared" ca="1" si="91"/>
        <v>COMPLETO</v>
      </c>
      <c r="NW31" s="206" t="str">
        <f>IF(AND(O31="",R31=""),"",IF(OR(AND(Tabla1[[#This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1" s="207" t="str">
        <f t="shared" ca="1" si="92"/>
        <v>SIN VACUNAR</v>
      </c>
      <c r="NY31" s="43">
        <f>ROW(Tabla1[[#This Row],['# DE TAMIZAJES SIFILIS TOMADOS ]])</f>
        <v>31</v>
      </c>
      <c r="NZ31" s="43">
        <f t="shared" si="93"/>
        <v>13</v>
      </c>
      <c r="OA31" s="43" t="str">
        <f t="shared" si="94"/>
        <v/>
      </c>
      <c r="OB31" s="43" t="str">
        <f t="shared" si="95"/>
        <v/>
      </c>
      <c r="OC31" s="43" t="str">
        <f t="shared" si="96"/>
        <v/>
      </c>
      <c r="OD31" s="43" t="str">
        <f t="shared" si="97"/>
        <v/>
      </c>
      <c r="OE31" s="43" t="str">
        <f t="shared" si="98"/>
        <v>OBESIDAD</v>
      </c>
      <c r="OF31" s="43" t="str">
        <f t="shared" si="99"/>
        <v/>
      </c>
      <c r="OG31" s="43" t="str">
        <f t="shared" si="100"/>
        <v/>
      </c>
      <c r="OH31" s="43" t="str">
        <f t="shared" si="101"/>
        <v/>
      </c>
      <c r="OI31" s="43" t="str">
        <f t="shared" si="102"/>
        <v/>
      </c>
      <c r="OJ31" s="43" t="str">
        <f t="shared" si="103"/>
        <v/>
      </c>
      <c r="OK31" s="43" t="str">
        <f t="shared" si="104"/>
        <v/>
      </c>
      <c r="OL31" s="43" t="str">
        <f t="shared" si="105"/>
        <v/>
      </c>
      <c r="OM31" s="43" t="str">
        <f t="shared" si="106"/>
        <v/>
      </c>
      <c r="ON31" s="43" t="str">
        <f t="shared" si="107"/>
        <v/>
      </c>
      <c r="OO31" s="43" t="str">
        <f t="shared" si="108"/>
        <v/>
      </c>
      <c r="OP31" s="43" t="str">
        <f t="shared" si="109"/>
        <v/>
      </c>
      <c r="OQ31" s="43" t="str">
        <f t="shared" si="110"/>
        <v/>
      </c>
      <c r="OR31" s="43" t="str">
        <f t="shared" si="111"/>
        <v/>
      </c>
      <c r="OS31" s="43" t="str">
        <f t="shared" si="112"/>
        <v/>
      </c>
      <c r="OT31" s="43" t="str">
        <f t="shared" si="113"/>
        <v/>
      </c>
      <c r="OU31" s="43" t="str">
        <f t="shared" si="114"/>
        <v/>
      </c>
      <c r="OV31" s="110" t="str">
        <f t="shared" si="115"/>
        <v/>
      </c>
      <c r="OW31" s="43" t="str">
        <f t="shared" si="116"/>
        <v/>
      </c>
      <c r="OX31" s="43" t="str">
        <f t="shared" si="117"/>
        <v/>
      </c>
      <c r="OY31" s="43" t="str">
        <f t="shared" si="118"/>
        <v/>
      </c>
      <c r="OZ31" s="43" t="str">
        <f t="shared" si="119"/>
        <v/>
      </c>
      <c r="PA31" s="43" t="str">
        <f t="shared" si="120"/>
        <v/>
      </c>
      <c r="PB31" s="43" t="str">
        <f t="shared" si="121"/>
        <v/>
      </c>
      <c r="PC31" s="43" t="str">
        <f t="shared" si="122"/>
        <v/>
      </c>
      <c r="PD31" s="43" t="str">
        <f t="shared" si="123"/>
        <v/>
      </c>
      <c r="PE31" s="43" t="str">
        <f t="shared" si="124"/>
        <v/>
      </c>
      <c r="PF31" s="43" t="str">
        <f t="shared" si="125"/>
        <v/>
      </c>
      <c r="PG31" s="43" t="str">
        <f t="shared" si="126"/>
        <v/>
      </c>
      <c r="PH31" s="43" t="str">
        <f t="shared" si="127"/>
        <v/>
      </c>
      <c r="PI31" s="43">
        <f t="shared" si="128"/>
        <v>30</v>
      </c>
      <c r="PJ31" s="43" t="str">
        <f t="shared" si="129"/>
        <v/>
      </c>
      <c r="PK31" s="43" t="str">
        <f t="shared" si="130"/>
        <v/>
      </c>
      <c r="PL31" s="43" t="str">
        <f t="shared" si="131"/>
        <v/>
      </c>
      <c r="PM31" s="43" t="str">
        <f t="shared" si="132"/>
        <v/>
      </c>
      <c r="PN31" s="43" t="str">
        <f t="shared" si="133"/>
        <v/>
      </c>
      <c r="PO31" s="43" t="str">
        <f t="shared" si="134"/>
        <v/>
      </c>
      <c r="PP31" s="43" t="str">
        <f t="shared" si="135"/>
        <v/>
      </c>
      <c r="PQ31" s="43" t="str">
        <f t="shared" si="136"/>
        <v/>
      </c>
      <c r="PR31" s="43" t="str">
        <f t="shared" si="137"/>
        <v/>
      </c>
      <c r="PS31" s="43" t="str">
        <f t="shared" si="138"/>
        <v/>
      </c>
      <c r="PT31" s="43" t="str">
        <f t="shared" si="139"/>
        <v/>
      </c>
      <c r="PU31" s="43" t="str">
        <f t="shared" si="140"/>
        <v/>
      </c>
      <c r="PV31" s="43" t="str">
        <f t="shared" si="141"/>
        <v/>
      </c>
      <c r="PW31" s="43" t="str">
        <f t="shared" si="142"/>
        <v/>
      </c>
      <c r="PX31" s="43" t="str">
        <f t="shared" si="143"/>
        <v/>
      </c>
      <c r="PY31" s="43" t="str">
        <f t="shared" si="144"/>
        <v/>
      </c>
      <c r="PZ31" s="43" t="str">
        <f t="shared" si="145"/>
        <v/>
      </c>
      <c r="QA31" s="43" t="str">
        <f t="shared" si="146"/>
        <v/>
      </c>
      <c r="QB31" s="43" t="str">
        <f t="shared" si="147"/>
        <v/>
      </c>
      <c r="QC31" s="43" t="str">
        <f t="shared" si="148"/>
        <v/>
      </c>
      <c r="QD31" s="43" t="str">
        <f t="shared" si="149"/>
        <v/>
      </c>
      <c r="QE31" s="43" t="str">
        <f t="shared" si="150"/>
        <v/>
      </c>
      <c r="QF31" s="43" t="str">
        <f t="shared" si="151"/>
        <v/>
      </c>
      <c r="QG31" s="43" t="str">
        <f t="shared" si="152"/>
        <v/>
      </c>
      <c r="QH31" s="43" t="str">
        <f t="shared" si="153"/>
        <v/>
      </c>
      <c r="QI31" s="43" t="str">
        <f t="shared" si="154"/>
        <v/>
      </c>
      <c r="QJ31" s="43" t="str">
        <f t="shared" si="155"/>
        <v/>
      </c>
      <c r="QK31" s="43" t="str">
        <f t="shared" si="156"/>
        <v/>
      </c>
      <c r="QL31" s="43" t="str">
        <f t="shared" si="157"/>
        <v/>
      </c>
      <c r="QM31" s="43" t="str">
        <f t="shared" si="158"/>
        <v/>
      </c>
      <c r="QN31" s="43" t="str">
        <f t="shared" si="159"/>
        <v/>
      </c>
      <c r="QO31" s="43" t="str">
        <f t="shared" si="160"/>
        <v/>
      </c>
      <c r="QP31" s="43" t="str">
        <f t="shared" si="161"/>
        <v/>
      </c>
      <c r="QQ31" s="43" t="str">
        <f t="shared" si="162"/>
        <v/>
      </c>
      <c r="QR31" s="43">
        <f t="shared" si="192"/>
        <v>30</v>
      </c>
      <c r="QS31" s="43"/>
      <c r="QT31" s="21" t="str">
        <f t="shared" si="163"/>
        <v/>
      </c>
      <c r="QU31" s="21" t="str">
        <f t="shared" si="164"/>
        <v/>
      </c>
      <c r="QV31" s="21" t="str">
        <f t="shared" si="165"/>
        <v/>
      </c>
      <c r="QW31" s="21" t="str">
        <f t="shared" si="166"/>
        <v/>
      </c>
      <c r="QX31" s="21" t="str">
        <f t="shared" si="167"/>
        <v/>
      </c>
      <c r="QY31" s="21" t="str">
        <f t="shared" si="168"/>
        <v/>
      </c>
      <c r="QZ31" s="21" t="str">
        <f t="shared" si="169"/>
        <v/>
      </c>
      <c r="RA31" s="21" t="str">
        <f t="shared" si="170"/>
        <v/>
      </c>
      <c r="RB31" s="21" t="str">
        <f t="shared" si="171"/>
        <v/>
      </c>
      <c r="RC31" s="21" t="str">
        <f t="shared" si="172"/>
        <v/>
      </c>
      <c r="RD31" s="21" t="str">
        <f t="shared" si="173"/>
        <v/>
      </c>
      <c r="RE31" s="21" t="str">
        <f t="shared" si="174"/>
        <v/>
      </c>
      <c r="RF31" s="21" t="str">
        <f t="shared" si="175"/>
        <v/>
      </c>
      <c r="RG31" s="21" t="str">
        <f t="shared" si="176"/>
        <v/>
      </c>
      <c r="RH31" s="21" t="str">
        <f t="shared" si="177"/>
        <v/>
      </c>
      <c r="RI31" s="21" t="str">
        <f t="shared" si="178"/>
        <v/>
      </c>
      <c r="RJ31" s="21" t="str">
        <f t="shared" si="179"/>
        <v/>
      </c>
      <c r="RK31" s="21" t="str">
        <f t="shared" si="180"/>
        <v/>
      </c>
      <c r="RL31" s="21" t="str">
        <f t="shared" si="181"/>
        <v/>
      </c>
      <c r="RM31" s="21" t="str">
        <f t="shared" si="182"/>
        <v/>
      </c>
      <c r="RN31" s="21" t="str">
        <f t="shared" si="183"/>
        <v/>
      </c>
      <c r="RO31" s="21" t="str">
        <f t="shared" si="184"/>
        <v/>
      </c>
      <c r="RP31" s="21" t="str">
        <f t="shared" si="185"/>
        <v/>
      </c>
      <c r="RQ31" s="21" t="str">
        <f t="shared" si="186"/>
        <v/>
      </c>
      <c r="RR31" s="21" t="str">
        <f t="shared" si="187"/>
        <v/>
      </c>
      <c r="RS31" s="21" t="str">
        <f t="shared" si="188"/>
        <v/>
      </c>
      <c r="RT31" s="21" t="str">
        <f t="shared" si="189"/>
        <v/>
      </c>
      <c r="RU31" s="21" t="str">
        <f t="shared" si="190"/>
        <v/>
      </c>
      <c r="RV31" s="21">
        <f t="shared" si="191"/>
        <v>13</v>
      </c>
      <c r="RW31" s="284">
        <f>IF(OR(Tabla1[[#This Row],[FUM FORMULA CONFIABLE]]="",Tabla1[[#This Row],[FUM FORMULA CONFIABLE]]="SD"),"",IF(Tabla1[[#This Row],[FUM FORMULA CONFIABLE]]="CORREGIDA",Tabla1[[#This Row],[FUM X ECO 1]],Tabla1[[#This Row],[FUM x AMENORREA]]))</f>
        <v>44768</v>
      </c>
      <c r="RX31" s="21">
        <f>IF(AND(Tabla1[[#This Row],[FUM X ECO 1]]="",Tabla1[[#This Row],[FUM x AMENORREA]]=""),"",IF(AND(Tabla1[[#This Row],[FUM X ECO 1]]="",Tabla1[[#This Row],[FUM x AMENORREA]]&lt;&gt;""),"X",SUM(Tabla1[[#This Row],[FUM X ECO 1]]-Tabla1[[#This Row],[FUM x AMENORREA]])))</f>
        <v>-11</v>
      </c>
      <c r="RY31" s="21">
        <f t="shared" si="193"/>
        <v>1</v>
      </c>
    </row>
    <row r="32" spans="1:493" ht="45" customHeight="1" x14ac:dyDescent="0.25">
      <c r="A32" s="109"/>
      <c r="B32" s="43" t="s">
        <v>895</v>
      </c>
      <c r="C32" s="43" t="s">
        <v>845</v>
      </c>
      <c r="D32" s="124" t="s">
        <v>846</v>
      </c>
      <c r="E32" s="43" t="s">
        <v>1037</v>
      </c>
      <c r="F32" s="43" t="s">
        <v>980</v>
      </c>
      <c r="G32" s="43" t="s">
        <v>1038</v>
      </c>
      <c r="H32" s="43"/>
      <c r="I32" s="109" t="s">
        <v>851</v>
      </c>
      <c r="J32" s="110">
        <v>1002848059</v>
      </c>
      <c r="K32" s="43" t="s">
        <v>852</v>
      </c>
      <c r="L32" s="175" t="s">
        <v>853</v>
      </c>
      <c r="M32" s="22">
        <v>37087</v>
      </c>
      <c r="N32" s="213">
        <f t="shared" ca="1" si="0"/>
        <v>22.317808219178083</v>
      </c>
      <c r="O32" s="22">
        <v>44848</v>
      </c>
      <c r="P32" s="214" t="str">
        <f t="shared" si="1"/>
        <v>SI</v>
      </c>
      <c r="Q32" s="26" t="s">
        <v>855</v>
      </c>
      <c r="R32" s="22">
        <v>44848</v>
      </c>
      <c r="S32" s="21" t="s">
        <v>856</v>
      </c>
      <c r="T32" s="24" t="s">
        <v>690</v>
      </c>
      <c r="U32" s="21" t="s">
        <v>857</v>
      </c>
      <c r="V32" s="21" t="s">
        <v>858</v>
      </c>
      <c r="W32" s="21" t="s">
        <v>859</v>
      </c>
      <c r="X32" s="21" t="s">
        <v>859</v>
      </c>
      <c r="Y32" s="21" t="s">
        <v>859</v>
      </c>
      <c r="Z32" s="21" t="s">
        <v>894</v>
      </c>
      <c r="AA32" s="21" t="s">
        <v>860</v>
      </c>
      <c r="AB32" s="27" t="s">
        <v>861</v>
      </c>
      <c r="AC32" s="26" t="s">
        <v>877</v>
      </c>
      <c r="AD32" s="38" t="s">
        <v>1039</v>
      </c>
      <c r="AE32" s="26" t="s">
        <v>854</v>
      </c>
      <c r="AF32" s="26" t="s">
        <v>854</v>
      </c>
      <c r="AG32" s="23" t="s">
        <v>864</v>
      </c>
      <c r="AH32" s="23" t="s">
        <v>864</v>
      </c>
      <c r="AI32" s="24" t="s">
        <v>863</v>
      </c>
      <c r="AJ32" s="23" t="s">
        <v>864</v>
      </c>
      <c r="AK32" s="220" t="str">
        <f>IF(AND(AD32="",AE32="",AF32="",AG32="",AH32="",AI32="",AJ32=""),"",IF(OR(Tabla1[[#This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EVALUACIÓN",IF(AND(O32="",R32=""),"",IF(AND(OR(O32&gt;0,R32&gt;0),NG32&gt;=0,NG32&lt;2),"SIN RIESGO",IF(AND(OR(O32&gt;0,R32&gt;0),NG32&gt;=2),"CON RIESGO","ASD")))))</f>
        <v>SIN RIESGO</v>
      </c>
      <c r="AL32" s="23" t="s">
        <v>864</v>
      </c>
      <c r="AM32" s="26" t="s">
        <v>864</v>
      </c>
      <c r="AN32" s="26" t="s">
        <v>864</v>
      </c>
      <c r="AO32" s="26" t="s">
        <v>864</v>
      </c>
      <c r="AP32" s="26" t="s">
        <v>864</v>
      </c>
      <c r="AQ32" s="26" t="s">
        <v>864</v>
      </c>
      <c r="AR32" s="26" t="s">
        <v>864</v>
      </c>
      <c r="AS32" s="21">
        <v>2</v>
      </c>
      <c r="AT32" s="21">
        <v>2</v>
      </c>
      <c r="AU32" s="21">
        <v>0</v>
      </c>
      <c r="AV32" s="26" t="s">
        <v>864</v>
      </c>
      <c r="AW32" s="21">
        <v>0</v>
      </c>
      <c r="AX32" s="26" t="s">
        <v>864</v>
      </c>
      <c r="AY32" s="26" t="s">
        <v>864</v>
      </c>
      <c r="AZ32" s="26" t="s">
        <v>864</v>
      </c>
      <c r="BA32" s="26" t="s">
        <v>864</v>
      </c>
      <c r="BB32" s="26" t="s">
        <v>864</v>
      </c>
      <c r="BC32" s="26" t="s">
        <v>864</v>
      </c>
      <c r="BD32" s="26" t="s">
        <v>864</v>
      </c>
      <c r="BE32" s="26" t="s">
        <v>864</v>
      </c>
      <c r="BF32" s="26" t="s">
        <v>864</v>
      </c>
      <c r="BG32" s="26" t="s">
        <v>864</v>
      </c>
      <c r="BH32" s="26" t="s">
        <v>864</v>
      </c>
      <c r="BI32" s="26" t="s">
        <v>864</v>
      </c>
      <c r="BJ32" s="26"/>
      <c r="BK32" s="26"/>
      <c r="BL32" s="26" t="s">
        <v>864</v>
      </c>
      <c r="BM32" s="26" t="s">
        <v>864</v>
      </c>
      <c r="BN32" s="22">
        <v>43928</v>
      </c>
      <c r="BO32" s="22">
        <v>44799</v>
      </c>
      <c r="BP32" s="21" t="s">
        <v>854</v>
      </c>
      <c r="BQ32" s="222">
        <f t="shared" si="2"/>
        <v>29.033333333333335</v>
      </c>
      <c r="BR32" s="223">
        <f t="shared" si="3"/>
        <v>44799</v>
      </c>
      <c r="BS32" s="224">
        <f t="shared" si="4"/>
        <v>7</v>
      </c>
      <c r="BT32" s="216" t="str">
        <f t="shared" si="5"/>
        <v>I TRIM</v>
      </c>
      <c r="BU32" s="214" t="str">
        <f t="shared" ca="1" si="6"/>
        <v/>
      </c>
      <c r="BV32" s="25"/>
      <c r="BW32" s="22">
        <v>44862</v>
      </c>
      <c r="BX32" s="28">
        <v>9</v>
      </c>
      <c r="BY32" s="28"/>
      <c r="BZ32" s="22">
        <v>44918</v>
      </c>
      <c r="CA32" s="21">
        <v>17</v>
      </c>
      <c r="CB32" s="26" t="s">
        <v>864</v>
      </c>
      <c r="CC32" s="26" t="s">
        <v>864</v>
      </c>
      <c r="CD32" s="26" t="s">
        <v>878</v>
      </c>
      <c r="CE32" s="26" t="s">
        <v>864</v>
      </c>
      <c r="CF32" s="22" t="s">
        <v>1517</v>
      </c>
      <c r="CG32" s="21">
        <v>1.45</v>
      </c>
      <c r="CH32" s="21">
        <v>51.9</v>
      </c>
      <c r="CI32" s="214">
        <f t="shared" si="7"/>
        <v>24.684898929845421</v>
      </c>
      <c r="CJ32" s="225" t="str">
        <f>IF(AND(CI32&lt;10,CH32="SD"),"SIN DATO PESO PREGESTACION O I TRIM",IF(AND(OR(R32&gt;0,O32&gt;0),CI32="X"),"INGRESAR DATO DE PESO",IF(CI32="SD","INGRESAR DATO DE TALLA Y PESO",IF(AND(OR(Tabla1[[#This Row],[MOMENTO EN QUE SE REALIZA EL PESO AL INGRESO A CPN]]="PREGESTACIÓN",NZ32="Menor"),CI32&lt;18.5),"BAJO PESO",IF(AND(OR(Tabla1[[#This Row],[MOMENTO EN QUE SE REALIZA EL PESO AL INGRESO A CPN]]="PREGESTACIÓN",NZ32="Menor"),CI32&lt;25),"NORMAL",IF(AND(OR(Tabla1[[#This Row],[MOMENTO EN QUE SE REALIZA EL PESO AL INGRESO A CPN]]="PREGESTACIÓN",NZ32="Menor"),CI32&lt;30),"SOBREPESO",IF(AND(OR(Tabla1[[#This Row],[MOMENTO EN QUE SE REALIZA EL PESO AL INGRESO A CPN]]="PREGESTACIÓN",NZ32="Menor"),CI32&gt;=30,CI32&lt;50),"OBESIDAD",IF(AND(BS32&gt;0,Tabla1[[#This Row],[MOMENTO EN QUE SE REALIZA EL PESO AL INGRESO A CPN]]="GESTACIÓN"),HLOOKUP(NZ32,$OA$2:PH32,NY32),""))))))))</f>
        <v>NORMAL</v>
      </c>
      <c r="CK32" s="212">
        <f t="shared" si="8"/>
        <v>45069</v>
      </c>
      <c r="CL32" s="21">
        <v>62</v>
      </c>
      <c r="CM32" s="214">
        <f t="shared" si="9"/>
        <v>29.488703923900118</v>
      </c>
      <c r="CN32" s="216">
        <f t="shared" si="10"/>
        <v>38</v>
      </c>
      <c r="CO32" s="216" t="e">
        <f>IF(PI32="","",IF(PI32&gt;0,HLOOKUP(PI32,$PJ$2:QQ32,NY32),""))</f>
        <v>#REF!</v>
      </c>
      <c r="CP32" s="21">
        <v>36</v>
      </c>
      <c r="CQ32" s="216" t="e">
        <f>IF(QR32="Menor","NO APLICA-MENOR 13 SEM",IF(AND(CC32="SI",CN32&gt;23),"NO APLICA- GEMELAR",IF(QR32="","",IF(QR32&gt;0,HLOOKUP(QR32,$QS$2:RU32,NY32),""))))</f>
        <v>#REF!</v>
      </c>
      <c r="CR32" s="21">
        <v>100</v>
      </c>
      <c r="CS32" s="21">
        <v>60</v>
      </c>
      <c r="CT32" s="217" t="str">
        <f>IF(R32="","",IF(AND(BS32&gt;1,BS32&lt;12,Tabla1[[#This Row],[T.A. SISTOLICA - ANTES DE SEMANA 12]]="",Tabla1[[#This Row],[T.A. DIASTOLICA - ANTES DE SEMANA 12]]=""),"REGISTRE DATO TA ANTES SEMANA 12",IF(AND(BS32&gt;11,BS32&lt;43,Tabla1[[#This Row],[T.A. SISTOLICA - ANTES DE SEMANA 12]]="",Tabla1[[#This Row],[T.A. DIASTOLICA - ANTES DE SEMANA 12]]=""),"NO APLICA REGISTRO TA-INGRESO TARDIO",IF(AND(OR(O32&gt;0,R32&gt;0),OR(CR32&gt;=140,CS32&gt;=90)),"DEFINIR ESTADIO HTA",IF(AND(OR(O32&gt;0,R32&gt;0),AND(CR32&gt;120,CR32&lt;=139)),"PRE HTA SEGUIMIENTO",IF(AND(OR(O32&gt;0,R32&gt;0),AND(CS32&gt;80,CS32&lt;=89)),"PRE HTA SEGUIMIENTO",IF(AND(OR(O32&gt;0,R32&gt;0),AND(CR32&gt;=80,CR32&lt;=120)),"APARENTEMENTE NORMAL",IF(AND(OR(O32&gt;0,R32&gt;0),AND(CS32&gt;=50,CS32&lt;=80)),"APARENTEMENTE NORMAL",IF(AND(OR(O32&gt;0,R32&gt;0),AND(CR32&gt;1,CR32&lt;=70),AND(CS32&gt;1,CS32&lt;=40)),"HIPOTENSIÓN","")))))))))</f>
        <v>APARENTEMENTE NORMAL</v>
      </c>
      <c r="CU32" s="21"/>
      <c r="CV32" s="21"/>
      <c r="CW32" s="217" t="str">
        <f ca="1">IF(R32="","",IF(AND(CN32&gt;19,CN32&lt;27,Tabla1[[#This Row],[T.A. SISTOLICA (Entre semana 20 y 26)]]="",Tabla1[[#This Row],[T.A. DIATOLICA (Entre semana 20 y 26)]]=""),"ACUDE A CONTROL SEM 20 A 26 REGISTRE TA AHORA",IF(AND(BS32&gt;1,BS32&lt;27,BU32&gt;19,Tabla1[[#This Row],[T.A. SISTOLICA (Entre semana 20 y 26)]]="",Tabla1[[#This Row],[T.A. DIATOLICA (Entre semana 20 y 26)]]=""),"COMPLETE REGISTRO TA CONTROL SEM 20 A26 ",IF(AND(BS32&gt;26,BS32&lt;43,Tabla1[[#This Row],[T.A. SISTOLICA (Entre semana 20 y 26)]]="",Tabla1[[#This Row],[T.A. DIATOLICA (Entre semana 20 y 26)]]=""),"NO APLICA REGISTRO TA-INGRESO TARDIO",IF(AND(OR(O32&gt;0,R32&gt;0),OR(CU32&gt;=140,CV32&gt;=90)),"ALTO RIESGO PREECLAMPSIA,DEFINIR ESTADIO HTA",IF(AND(OR(O32&gt;0,R32&gt;0),AND(CU32&gt;120,CU32&lt;=139)),"PRE HTA SEGUIMIENTO,RIESGO HIPERTENSION INDUCIDA POR EL EMBARAZO",IF(AND(OR(O32&gt;0,R32&gt;0),AND(CV32&gt;80,CV32&lt;=89)),"PRE HTA SEGUIMIENTO, RIESGO HIPERTENSION INDUCIDA POR EL EMBARAZO",IF(AND(OR(O32&lt;&gt;"",R32&lt;&gt;""),CS32&lt;&gt;"",CV32&lt;&gt;"",CS32&lt;=CV32),"VIGILAR CIFRAS PRESION ARTERIAL",IF(AND(OR(O32&gt;0,R32&gt;0),AND(CU32&gt;120,CU32&lt;=139)),"PRE HTA SEGUIMIENTO",IF(AND(OR(O32&gt;0,R32&gt;0),AND(CU32&gt;1,CU32&lt;=70),AND(CV32&gt;1,CV32&lt;=40)),"HIPOTENSIÓN",IF(AND(OR(O32&lt;&gt;"",R32&lt;&gt;""),CS32&lt;&gt;"",CV32&lt;&gt;"",CS32&gt;CV32),"APARENTEMENTE NORMAL",IF(AND(OR(O32&gt;0,R32&gt;0),AND(CU32&gt;=80,CU32&lt;=120)),"APARENTEMENTE NORMAL",IF(AND(OR(O32&gt;0,R32&gt;0),AND(CV32&gt;=50,CV32&lt;=80)),"APARENTEMENTE NORMAL","")))))))))))))</f>
        <v xml:space="preserve">COMPLETE REGISTRO TA CONTROL SEM 20 A26 </v>
      </c>
      <c r="CX32" s="21">
        <v>100</v>
      </c>
      <c r="CY32" s="21">
        <v>60</v>
      </c>
      <c r="CZ32" s="216" t="str">
        <f t="shared" si="11"/>
        <v>APARENTEMENTE NORMAL</v>
      </c>
      <c r="DA32" s="21">
        <v>100</v>
      </c>
      <c r="DB32" s="21">
        <v>60</v>
      </c>
      <c r="DC32" s="217" t="str">
        <f t="shared" si="12"/>
        <v>APARENTEMENTE NORMAL</v>
      </c>
      <c r="DD32" s="22">
        <v>44848</v>
      </c>
      <c r="DE32" s="22">
        <v>44848</v>
      </c>
      <c r="DF32" s="22">
        <v>44888</v>
      </c>
      <c r="DG32" s="22">
        <v>44918</v>
      </c>
      <c r="DH32" s="22">
        <v>45016</v>
      </c>
      <c r="DI32" s="22">
        <v>45069</v>
      </c>
      <c r="DJ32" s="22"/>
      <c r="DK32" s="22"/>
      <c r="DL32" s="22"/>
      <c r="DM32" s="22"/>
      <c r="DN32" s="22"/>
      <c r="DO32" s="22"/>
      <c r="DP32" s="22"/>
      <c r="DQ32" s="22"/>
      <c r="DR32" s="28">
        <v>2</v>
      </c>
      <c r="DS32" s="22"/>
      <c r="DT32" s="22"/>
      <c r="DU32" s="216" t="str">
        <f t="shared" ca="1" si="13"/>
        <v>SALE SIN PLAN DE PARTO</v>
      </c>
      <c r="DV32" s="226" t="str">
        <f t="shared" si="14"/>
        <v>SALIO PROGRAMA</v>
      </c>
      <c r="DW3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2" s="216" t="str">
        <f t="shared" ca="1" si="15"/>
        <v/>
      </c>
      <c r="DY32" s="212">
        <f>IF(R32="","",IF(R32&gt;0,MAX(Tabla1[[#This Row],[FECHA C2]:[FECHA C13]],Tabla1[[#This Row],[FECHA CONSULTA PRIMERA VEZ PROGRAMA CPN ]])))</f>
        <v>45069</v>
      </c>
      <c r="DZ32" s="216">
        <f t="shared" si="16"/>
        <v>38</v>
      </c>
      <c r="EA32" s="222">
        <f>IF(R32&gt;0,SUM(COUNTA(DF32:DQ32)+COUNTA(Tabla1[[#This Row],[FECHA CONSULTA PRIMERA VEZ PROGRAMA CPN ]])),"")</f>
        <v>5</v>
      </c>
      <c r="EB32" s="222" t="str">
        <f t="shared" si="17"/>
        <v>SI</v>
      </c>
      <c r="EC32" s="214">
        <f t="shared" si="18"/>
        <v>10</v>
      </c>
      <c r="ED32" s="227">
        <f t="shared" si="19"/>
        <v>0.5</v>
      </c>
      <c r="EE32" s="22">
        <v>44848</v>
      </c>
      <c r="EF32" s="22">
        <v>44862</v>
      </c>
      <c r="EG32" s="22">
        <v>44848</v>
      </c>
      <c r="EH32" s="22"/>
      <c r="EI32" s="22">
        <v>44848</v>
      </c>
      <c r="EJ32" s="22"/>
      <c r="EK32" s="22"/>
      <c r="EL32" s="21"/>
      <c r="EM32" s="21">
        <v>15</v>
      </c>
      <c r="EN32" s="22">
        <v>44862</v>
      </c>
      <c r="EO32" s="222">
        <f t="shared" si="20"/>
        <v>9</v>
      </c>
      <c r="EP32" s="214" t="str">
        <f t="shared" si="21"/>
        <v>NO DAR SULFATO FERROSO</v>
      </c>
      <c r="EQ32" s="216" t="str">
        <f t="shared" si="22"/>
        <v>I TRIM</v>
      </c>
      <c r="ER32" s="24"/>
      <c r="ES32" s="22"/>
      <c r="ET32" s="29" t="str">
        <f t="shared" ca="1" si="23"/>
        <v>SALE SIN TAMIZAJE HEMOGLOBINA SEM 28</v>
      </c>
      <c r="EU32" s="25" t="str">
        <f t="shared" si="24"/>
        <v/>
      </c>
      <c r="EV32" s="24" t="s">
        <v>866</v>
      </c>
      <c r="EW32" s="24">
        <v>44862</v>
      </c>
      <c r="EX32" s="22"/>
      <c r="EY32" s="29">
        <f t="shared" si="25"/>
        <v>9</v>
      </c>
      <c r="EZ32" s="25" t="str">
        <f t="shared" ca="1" si="26"/>
        <v/>
      </c>
      <c r="FA32" s="21">
        <v>101</v>
      </c>
      <c r="FB32" s="22">
        <v>44862</v>
      </c>
      <c r="FC32" s="29">
        <f t="shared" si="27"/>
        <v>9</v>
      </c>
      <c r="FD32" s="29"/>
      <c r="FE32" s="29"/>
      <c r="FF32" s="29"/>
      <c r="FG32" s="21" t="str">
        <f t="shared" ca="1" si="28"/>
        <v/>
      </c>
      <c r="FH32" s="31"/>
      <c r="FI32" s="29" t="str">
        <f t="shared" si="29"/>
        <v>TOMAR EXAMEN</v>
      </c>
      <c r="FJ32" s="22" t="s">
        <v>867</v>
      </c>
      <c r="FK32" s="22">
        <v>44862</v>
      </c>
      <c r="FL32" s="29">
        <f t="shared" ca="1" si="30"/>
        <v>9</v>
      </c>
      <c r="FM32" s="22"/>
      <c r="FN32" s="32"/>
      <c r="FO32" s="29" t="str">
        <f t="shared" ca="1" si="31"/>
        <v>PIERDE TOMA DE TAMIZAJE</v>
      </c>
      <c r="FP32" s="22" t="s">
        <v>867</v>
      </c>
      <c r="FQ32" s="32">
        <v>45072</v>
      </c>
      <c r="FR32" s="29">
        <f t="shared" ca="1" si="32"/>
        <v>39</v>
      </c>
      <c r="FS32" s="22"/>
      <c r="FT32" s="32"/>
      <c r="FU32" s="29" t="str">
        <f>IF(AND(FJ32="",FM32="",FP32="",FS32=""),"",IF(OR(OR(Tabla1[[#This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2" s="28"/>
      <c r="FW32" s="22"/>
      <c r="FX32" s="29" t="str">
        <f t="shared" si="33"/>
        <v>TOMAR EXAMEN</v>
      </c>
      <c r="FY32" s="22">
        <v>44862</v>
      </c>
      <c r="FZ32" s="22">
        <v>44862</v>
      </c>
      <c r="GA32" s="29">
        <f t="shared" ca="1" si="34"/>
        <v>9</v>
      </c>
      <c r="GB32" s="22"/>
      <c r="GC32" s="22"/>
      <c r="GD32" s="29" t="str">
        <f t="shared" ca="1" si="35"/>
        <v>PIERDE TOMA DE TAMIZAJE</v>
      </c>
      <c r="GE32" s="22" t="s">
        <v>868</v>
      </c>
      <c r="GF32" s="22">
        <v>45072</v>
      </c>
      <c r="GG32" s="29">
        <f t="shared" ca="1" si="36"/>
        <v>39</v>
      </c>
      <c r="GH32" s="22"/>
      <c r="GI32" s="29"/>
      <c r="GJ32" s="22"/>
      <c r="GK32" s="22"/>
      <c r="GL32" s="22" t="s">
        <v>879</v>
      </c>
      <c r="GM32" s="22"/>
      <c r="GN32" s="28" t="s">
        <v>869</v>
      </c>
      <c r="GO32" s="22">
        <v>44862</v>
      </c>
      <c r="GP32" s="29">
        <f t="shared" si="37"/>
        <v>9</v>
      </c>
      <c r="GQ32" s="28" t="s">
        <v>869</v>
      </c>
      <c r="GR32" s="28" t="s">
        <v>869</v>
      </c>
      <c r="GS32" s="22" t="str">
        <f t="shared" si="38"/>
        <v>CONTROL Igm</v>
      </c>
      <c r="GT32" s="22">
        <v>44862</v>
      </c>
      <c r="GU32" s="29">
        <f t="shared" si="39"/>
        <v>9</v>
      </c>
      <c r="GV32" s="21" t="str">
        <f t="shared" si="40"/>
        <v>I TRIM</v>
      </c>
      <c r="GW32" s="28" t="s">
        <v>869</v>
      </c>
      <c r="GX32" s="30"/>
      <c r="GY32" s="21"/>
      <c r="GZ32" s="21"/>
      <c r="HA32" s="21"/>
      <c r="HB32" s="21"/>
      <c r="HC32" s="21"/>
      <c r="HD32" s="21"/>
      <c r="HE32" s="21"/>
      <c r="HF32" s="22"/>
      <c r="HG32" s="22" t="str">
        <f>IF(OR(O32&gt;0,R32&gt;0),CONCATENATE(IF(Tabla1[[#This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2" s="22" t="e">
        <f t="shared" si="41"/>
        <v>#REF!</v>
      </c>
      <c r="HI32" s="22" t="e">
        <f t="shared" ca="1" si="42"/>
        <v>#REF!</v>
      </c>
      <c r="HJ32" s="21"/>
      <c r="HK32" s="21" t="str">
        <f t="shared" si="44"/>
        <v>SIN ANTECEDENTES DE RIESGO</v>
      </c>
      <c r="HL32" s="24" t="str">
        <f t="shared" si="45"/>
        <v>APARENTEMENTE NORMAL</v>
      </c>
      <c r="HM32" s="21" t="str">
        <f t="shared" ca="1" si="46"/>
        <v/>
      </c>
      <c r="HN32" s="30" t="str">
        <f t="shared" si="47"/>
        <v>SALIO PROGRAMA</v>
      </c>
      <c r="HO32" s="21"/>
      <c r="HP32" s="21"/>
      <c r="HQ32" s="21">
        <v>44848</v>
      </c>
      <c r="HR32" s="21" t="str">
        <f>IF(R32="","",IF(Tabla1[[#This Row],[ALARMA FACTORES DE RIESGO COMPLICACIONES HIPERTENSIVAS3]]="SIN ANTECEDENTES DE RIESGO","No Aplica para suministro de ASA",IF(AND(Tabla1[[#This Row],[FECHA INICIO DE SUMINISTRO DE ASA]]&gt;0,RV32&lt;12),"Inicia ASA ANTES de Sem 12",IF(AND(RV32&gt;11,RV32&lt;17,OR(HK32="RIESGO ALTO DE COMPLICACIONES HIPERTENSIVAS VER MANEJO GUIA SUMINISTRO ASA Y CALCIO",HK32="RIESGO MODERADO (2 O MAS CRITERIOS) VER MANEJO GUIA SUMINISTRO ASA Y CALCIO")),"Inicio oportuno de ASA",IF(AND(RV32&gt;12,OR(HK32="RIESGO ALTO DE COMPLICACIONES HIPERTENSIVAS VER MANEJO GUIA SUMINISTRO ASA Y CALCIO",HK32="RIESGO MODERADO (2 O MAS CRITERIOS) VER MANEJO GUIA SUMINISTRO ASA Y CALCIO")),"Inicio no oportuno mayor a 16 semanas",IF(AND(BU32&lt;12,OR(HK32="RIESGO ALTO DE COMPLICACIONES HIPERTENSIVAS VER MANEJO GUIA SUMINISTRO ASA Y CALCIO",HK32="RIESGO MODERADO (2 O MAS CRITERIOS) VER MANEJO GUIA SUMINISTRO ASA Y CALCIO")),"Pendiente Inicio de ASA a la semana 12",IF(AND(BU32&gt;11,BU32&lt;17,OR(HK32="RIESGO ALTO DE COMPLICACIONES HIPERTENSIVAS VER MANEJO GUIA SUMINISTRO ASA Y CALCIO",HK32="RIESGO MODERADO (2 O MAS CRITERIOS) VER MANEJO GUIA SUMINISTRO ASA Y CALCIO")),"Iniciar de inmediato ASA",IF(AND(BU32&gt;16,OR(HK32="RIESGO ALTO DE COMPLICACIONES HIPERTENSIVAS VER MANEJO GUIA SUMINISTRO ASA Y CALCIO",HK32="RIESGO MODERADO (2 O MAS CRITERIOS) VER MANEJO GUIA SUMINISTRO ASA Y CALCIO")),"Pierde Oportunidad, Inicio tardío de ASA","XXXXX"))))))))</f>
        <v>No Aplica para suministro de ASA</v>
      </c>
      <c r="HS32" s="22">
        <v>44848</v>
      </c>
      <c r="HT32" s="22" t="s">
        <v>870</v>
      </c>
      <c r="HU32" s="22">
        <v>44848</v>
      </c>
      <c r="HV32" s="22" t="s">
        <v>870</v>
      </c>
      <c r="HW32" s="22">
        <v>44848</v>
      </c>
      <c r="HX32" s="22" t="s">
        <v>870</v>
      </c>
      <c r="HY32" s="22">
        <v>44862</v>
      </c>
      <c r="HZ32" s="28">
        <f t="shared" si="48"/>
        <v>9</v>
      </c>
      <c r="IA32" s="26" t="s">
        <v>864</v>
      </c>
      <c r="IB32" s="26"/>
      <c r="IC32" s="111"/>
      <c r="ID32" s="22"/>
      <c r="IE32" s="22" t="str">
        <f t="shared" ca="1" si="49"/>
        <v>SALE SIN VACUNA</v>
      </c>
      <c r="IF32" s="22"/>
      <c r="IG32" s="22">
        <f t="shared" si="50"/>
        <v>45079</v>
      </c>
      <c r="IH32" s="29">
        <f t="shared" ca="1" si="51"/>
        <v>-154</v>
      </c>
      <c r="II32" s="22" t="str">
        <f t="shared" ca="1" si="52"/>
        <v>POSIBLEMENTE NACIO</v>
      </c>
      <c r="IJ32" s="22"/>
      <c r="IK32" s="21" t="s">
        <v>898</v>
      </c>
      <c r="IL32" s="21"/>
      <c r="IM32" s="34"/>
      <c r="IN32" s="349">
        <v>45075</v>
      </c>
      <c r="IO32" s="21" t="s">
        <v>1186</v>
      </c>
      <c r="IP32" s="29">
        <f t="shared" si="53"/>
        <v>39.428571428571431</v>
      </c>
      <c r="IQ32" s="35" t="s">
        <v>1650</v>
      </c>
      <c r="IR32" s="21" t="s">
        <v>1651</v>
      </c>
      <c r="IS32" s="21" t="s">
        <v>1646</v>
      </c>
      <c r="IT32" s="21" t="s">
        <v>1642</v>
      </c>
      <c r="IU32" s="21"/>
      <c r="IV32" s="21"/>
      <c r="IW32" s="21"/>
      <c r="IX32" s="21"/>
      <c r="IY32" s="21"/>
      <c r="IZ32" s="21"/>
      <c r="JA32" s="21"/>
      <c r="JB32" s="30">
        <v>1</v>
      </c>
      <c r="JC32" s="21" t="s">
        <v>1647</v>
      </c>
      <c r="JD32" s="36">
        <v>3620</v>
      </c>
      <c r="JE32" s="21" t="str">
        <f t="shared" si="54"/>
        <v>PESO ADECUADO EDAD GESTACIONAL</v>
      </c>
      <c r="JF32" s="30"/>
      <c r="JG32" s="21"/>
      <c r="JH32" s="21"/>
      <c r="JI32" s="21" t="s">
        <v>854</v>
      </c>
      <c r="JJ32" s="30" t="s">
        <v>926</v>
      </c>
      <c r="JK32" s="22"/>
      <c r="JL32" s="22"/>
      <c r="JM32" s="21"/>
      <c r="JN32" s="36"/>
      <c r="JO32" s="21" t="str">
        <f t="shared" si="55"/>
        <v/>
      </c>
      <c r="JP32" s="22"/>
      <c r="JQ32" s="21"/>
      <c r="JR32" s="21"/>
      <c r="JS32" s="21"/>
      <c r="JT32" s="30"/>
      <c r="JU32" s="22"/>
      <c r="JV32" s="22"/>
      <c r="JW32" s="33"/>
      <c r="JX32" s="28" t="str">
        <f t="shared" si="56"/>
        <v>INASISTENTE</v>
      </c>
      <c r="JY32" s="33"/>
      <c r="JZ32" s="28" t="str">
        <f t="shared" si="57"/>
        <v>INASISTENTE</v>
      </c>
      <c r="KA32" s="21"/>
      <c r="KB32" s="21"/>
      <c r="KC32" s="21"/>
      <c r="KD32" s="37"/>
      <c r="KE32" s="28"/>
      <c r="KF32" s="28"/>
      <c r="KG32" s="28"/>
      <c r="KH32" s="39"/>
      <c r="KI32" s="39"/>
      <c r="KJ32" s="66"/>
      <c r="KK32" s="39"/>
      <c r="KL32" s="39"/>
      <c r="KM32" s="66"/>
      <c r="KN32" s="39"/>
      <c r="KO32" s="39"/>
      <c r="KP32" s="39"/>
      <c r="KQ32" s="39"/>
      <c r="KR32" s="39"/>
      <c r="KS32" s="39"/>
      <c r="KT32" s="39"/>
      <c r="KU32" s="38"/>
      <c r="KV32" s="38"/>
      <c r="KW32" s="38"/>
      <c r="KX32" s="38"/>
      <c r="KY32" s="38"/>
      <c r="KZ32" s="38"/>
      <c r="LA32" s="38"/>
      <c r="LB32" s="38"/>
      <c r="LC32" s="38"/>
      <c r="LD32" s="38"/>
      <c r="LE32" s="38"/>
      <c r="LF32" s="38"/>
      <c r="LG32" s="38"/>
      <c r="LH32" s="38"/>
      <c r="LI32" s="38"/>
      <c r="LJ32" s="38"/>
      <c r="LK32" s="38"/>
      <c r="LL32" s="38"/>
      <c r="LM32" s="38"/>
      <c r="LN32" s="38"/>
      <c r="LO32" s="38"/>
      <c r="LP32" s="38"/>
      <c r="LQ32" s="38"/>
      <c r="LR32" s="38"/>
      <c r="LS32" s="38"/>
      <c r="LT32" s="38"/>
      <c r="LU32" s="38"/>
      <c r="LV32" s="38"/>
      <c r="LW32" s="38"/>
      <c r="LX32" s="38"/>
      <c r="LY32" s="38"/>
      <c r="LZ32" s="38"/>
      <c r="MA32" s="38"/>
      <c r="MB32" s="38"/>
      <c r="MC32" s="38"/>
      <c r="MD32" s="38"/>
      <c r="ME32" s="38"/>
      <c r="MF32" s="38"/>
      <c r="MG32" s="38"/>
      <c r="MH32" s="43">
        <f t="shared" si="58"/>
        <v>0</v>
      </c>
      <c r="MI32" s="43" t="str">
        <f t="shared" si="59"/>
        <v/>
      </c>
      <c r="MJ32" s="43" t="str">
        <f t="shared" si="60"/>
        <v/>
      </c>
      <c r="MK32" s="43">
        <f t="shared" si="61"/>
        <v>0</v>
      </c>
      <c r="ML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2" s="43">
        <f t="shared" si="62"/>
        <v>7</v>
      </c>
      <c r="MN32" s="43">
        <f t="shared" si="63"/>
        <v>10</v>
      </c>
      <c r="MO32" s="43">
        <f t="shared" si="64"/>
        <v>2022</v>
      </c>
      <c r="MP32" s="43" t="str">
        <f t="shared" si="65"/>
        <v>IV TRIMESTRE AÑO</v>
      </c>
      <c r="MQ32" s="43">
        <f t="shared" si="66"/>
        <v>20.940100744634254</v>
      </c>
      <c r="MR32" s="43">
        <f t="shared" si="67"/>
        <v>0</v>
      </c>
      <c r="MS32" s="43" t="str">
        <f t="shared" si="68"/>
        <v xml:space="preserve"> DE 20 A 24 AÑOS</v>
      </c>
      <c r="MT32" s="43">
        <f t="shared" si="69"/>
        <v>0</v>
      </c>
      <c r="MU32" s="43">
        <f t="shared" si="70"/>
        <v>0</v>
      </c>
      <c r="MV32" s="43">
        <f t="shared" si="71"/>
        <v>0</v>
      </c>
      <c r="MW32" s="43">
        <f t="shared" si="72"/>
        <v>0</v>
      </c>
      <c r="MX32" s="43" t="str">
        <f t="shared" si="73"/>
        <v/>
      </c>
      <c r="MY32" s="43" t="str">
        <f t="shared" ca="1" si="74"/>
        <v/>
      </c>
      <c r="MZ32" s="43" t="str">
        <f t="shared" si="75"/>
        <v/>
      </c>
      <c r="NA32" s="43">
        <f t="shared" si="76"/>
        <v>0</v>
      </c>
      <c r="NB32" s="43" t="str">
        <f t="shared" si="77"/>
        <v/>
      </c>
      <c r="NC32" s="43" t="str">
        <f t="shared" si="78"/>
        <v/>
      </c>
      <c r="ND32" s="43">
        <f t="shared" ca="1" si="79"/>
        <v>0</v>
      </c>
      <c r="NE32" s="43">
        <f>IF(OR(O32&gt;0,R32&gt;0),SUM(COUNTIF(Tabla1[[#This Row],[AÑOS AL INICIO5 CPN]],"&gt;=40"),COUNTIF(AS32,"0"),COUNTIF(AR32,"SI"),COUNTIF(CC32,"SI"),COUNTIF(BQ32,"&gt;119"),COUNTIF(CI32,"&gt;=35")),"")</f>
        <v>0</v>
      </c>
      <c r="NF32" s="43" t="str">
        <f t="shared" si="80"/>
        <v/>
      </c>
      <c r="NG32" s="43">
        <f t="shared" si="81"/>
        <v>0</v>
      </c>
      <c r="NH32" s="43">
        <f t="shared" si="82"/>
        <v>63</v>
      </c>
      <c r="NI3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CPN",P32="NO"),"Z",IF(AND(Tabla1[[#This Row],[CITA PROXIMO CONTROL]]="CITA MANUAL",Tabla1[[#This Row],[GESTANTES ACTUALES]]="ACTIVA INGRESO A CPN"),"W",IF(AND(Tabla1[[#This Row],[GESTANTES ACTUALES]]="SALIO PROGRAMA",IN32=""),"S",IF(AND(Tabla1[[#This Row],[CITA PROXIMO CONTROL]]&gt;0,IN32=""),(Tabla1[[#This Row],[CITA PROXIMO CONTROL]]-TODAY()),"SD"))))))))</f>
        <v>SD</v>
      </c>
      <c r="NJ32" s="43">
        <f>MONTH(Tabla1[[#This Row],[FECHA DE SALIDA  DEL PROGRAMA]])</f>
        <v>5</v>
      </c>
      <c r="NK32" s="43">
        <f>YEAR(Tabla1[[#This Row],[FECHA DE SALIDA  DEL PROGRAMA]])</f>
        <v>2023</v>
      </c>
      <c r="NL32" s="43" t="str">
        <f t="shared" si="83"/>
        <v>X</v>
      </c>
      <c r="NM32" s="43" t="str">
        <f t="shared" si="84"/>
        <v>NO</v>
      </c>
      <c r="NN32" s="43" t="str">
        <f ca="1">IF(AND(O32&gt;0,R32=""),"NO CPN",IF(AND(O32="",R32=""),"",IF(AND(R32&gt;0,Tabla1[[#This Row],[SEMANAS DE GESTACION ACTUALIZADAS]]&lt;=12),"NO APLICA",IF(AND(FH32&lt;&gt;"",FN32&lt;&gt;""),"SI","NO"))))</f>
        <v>NO</v>
      </c>
      <c r="NO32" s="43" t="str">
        <f ca="1">IF(AND(O32&gt;0,R32=""),"NO CPN",IF(AND(O32="",R32=""),"",IF(AND(R32&gt;0,Tabla1[[#This Row],[SEMANAS DE GESTACION ACTUALIZADAS]]&lt;=27),"NO APLICA",IF(AND(ES32&lt;&gt;"",FQ32&lt;&gt;"",GF32&lt;&gt;""),"SI","NO"))))</f>
        <v>NO</v>
      </c>
      <c r="NP32" s="204" t="str">
        <f t="shared" si="85"/>
        <v>I TRIM</v>
      </c>
      <c r="NQ32" s="21">
        <f t="shared" si="86"/>
        <v>1</v>
      </c>
      <c r="NR32" s="21">
        <f t="shared" si="87"/>
        <v>3</v>
      </c>
      <c r="NS32" s="205">
        <f t="shared" ca="1" si="88"/>
        <v>2</v>
      </c>
      <c r="NT32" s="21">
        <f t="shared" ca="1" si="89"/>
        <v>2</v>
      </c>
      <c r="NU32" s="21" t="str">
        <f t="shared" ca="1" si="90"/>
        <v>INCOMPLETO</v>
      </c>
      <c r="NV32" s="21" t="str">
        <f t="shared" ca="1" si="91"/>
        <v>INCOMPLETO</v>
      </c>
      <c r="NW32" s="206" t="str">
        <f>IF(AND(O32="",R32=""),"",IF(OR(AND(Tabla1[[#This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32" s="207" t="str">
        <f t="shared" ca="1" si="92"/>
        <v>SIN VACUNAR</v>
      </c>
      <c r="NY32" s="43">
        <f>ROW(Tabla1[[#This Row],['# DE TAMIZAJES SIFILIS TOMADOS ]])</f>
        <v>32</v>
      </c>
      <c r="NZ32" s="43" t="str">
        <f t="shared" si="93"/>
        <v>Menor</v>
      </c>
      <c r="OA32" s="43" t="str">
        <f t="shared" si="94"/>
        <v>NORMAL</v>
      </c>
      <c r="OB32" s="43" t="str">
        <f t="shared" si="95"/>
        <v/>
      </c>
      <c r="OC32" s="43" t="str">
        <f t="shared" si="96"/>
        <v/>
      </c>
      <c r="OD32" s="43" t="str">
        <f t="shared" si="97"/>
        <v/>
      </c>
      <c r="OE32" s="43" t="str">
        <f t="shared" si="98"/>
        <v/>
      </c>
      <c r="OF32" s="43" t="str">
        <f t="shared" si="99"/>
        <v/>
      </c>
      <c r="OG32" s="43" t="str">
        <f t="shared" si="100"/>
        <v/>
      </c>
      <c r="OH32" s="43" t="str">
        <f t="shared" si="101"/>
        <v/>
      </c>
      <c r="OI32" s="43" t="str">
        <f t="shared" si="102"/>
        <v/>
      </c>
      <c r="OJ32" s="43" t="str">
        <f t="shared" si="103"/>
        <v/>
      </c>
      <c r="OK32" s="43" t="str">
        <f t="shared" si="104"/>
        <v/>
      </c>
      <c r="OL32" s="43" t="str">
        <f t="shared" si="105"/>
        <v/>
      </c>
      <c r="OM32" s="43" t="str">
        <f t="shared" si="106"/>
        <v/>
      </c>
      <c r="ON32" s="43" t="str">
        <f t="shared" si="107"/>
        <v/>
      </c>
      <c r="OO32" s="43" t="str">
        <f t="shared" si="108"/>
        <v/>
      </c>
      <c r="OP32" s="43" t="str">
        <f t="shared" si="109"/>
        <v/>
      </c>
      <c r="OQ32" s="43" t="str">
        <f t="shared" si="110"/>
        <v/>
      </c>
      <c r="OR32" s="43" t="str">
        <f t="shared" si="111"/>
        <v/>
      </c>
      <c r="OS32" s="43" t="str">
        <f t="shared" si="112"/>
        <v/>
      </c>
      <c r="OT32" s="43" t="str">
        <f t="shared" si="113"/>
        <v/>
      </c>
      <c r="OU32" s="43" t="str">
        <f t="shared" si="114"/>
        <v/>
      </c>
      <c r="OV32" s="110" t="str">
        <f t="shared" si="115"/>
        <v/>
      </c>
      <c r="OW32" s="43" t="str">
        <f t="shared" si="116"/>
        <v/>
      </c>
      <c r="OX32" s="43" t="str">
        <f t="shared" si="117"/>
        <v/>
      </c>
      <c r="OY32" s="43" t="str">
        <f t="shared" si="118"/>
        <v/>
      </c>
      <c r="OZ32" s="43" t="str">
        <f t="shared" si="119"/>
        <v/>
      </c>
      <c r="PA32" s="43" t="str">
        <f t="shared" si="120"/>
        <v/>
      </c>
      <c r="PB32" s="43" t="str">
        <f t="shared" si="121"/>
        <v/>
      </c>
      <c r="PC32" s="43" t="str">
        <f t="shared" si="122"/>
        <v/>
      </c>
      <c r="PD32" s="43" t="str">
        <f t="shared" si="123"/>
        <v/>
      </c>
      <c r="PE32" s="43" t="str">
        <f t="shared" si="124"/>
        <v/>
      </c>
      <c r="PF32" s="43" t="str">
        <f t="shared" si="125"/>
        <v/>
      </c>
      <c r="PG32" s="43" t="str">
        <f t="shared" si="126"/>
        <v/>
      </c>
      <c r="PH32" s="43" t="str">
        <f t="shared" si="127"/>
        <v/>
      </c>
      <c r="PI32" s="43">
        <f t="shared" si="128"/>
        <v>38</v>
      </c>
      <c r="PJ32" s="43" t="str">
        <f t="shared" si="129"/>
        <v/>
      </c>
      <c r="PK32" s="43" t="str">
        <f t="shared" si="130"/>
        <v/>
      </c>
      <c r="PL32" s="43" t="str">
        <f t="shared" si="131"/>
        <v/>
      </c>
      <c r="PM32" s="43" t="str">
        <f t="shared" si="132"/>
        <v/>
      </c>
      <c r="PN32" s="43" t="str">
        <f t="shared" si="133"/>
        <v/>
      </c>
      <c r="PO32" s="43" t="str">
        <f t="shared" si="134"/>
        <v/>
      </c>
      <c r="PP32" s="43" t="str">
        <f t="shared" si="135"/>
        <v/>
      </c>
      <c r="PQ32" s="43" t="str">
        <f t="shared" si="136"/>
        <v/>
      </c>
      <c r="PR32" s="43" t="str">
        <f t="shared" si="137"/>
        <v/>
      </c>
      <c r="PS32" s="43" t="str">
        <f t="shared" si="138"/>
        <v/>
      </c>
      <c r="PT32" s="43" t="str">
        <f t="shared" si="139"/>
        <v/>
      </c>
      <c r="PU32" s="43" t="str">
        <f t="shared" si="140"/>
        <v/>
      </c>
      <c r="PV32" s="43" t="str">
        <f t="shared" si="141"/>
        <v/>
      </c>
      <c r="PW32" s="43" t="str">
        <f t="shared" si="142"/>
        <v/>
      </c>
      <c r="PX32" s="43" t="str">
        <f t="shared" si="143"/>
        <v/>
      </c>
      <c r="PY32" s="43" t="str">
        <f t="shared" si="144"/>
        <v/>
      </c>
      <c r="PZ32" s="43" t="str">
        <f t="shared" si="145"/>
        <v/>
      </c>
      <c r="QA32" s="43" t="str">
        <f t="shared" si="146"/>
        <v/>
      </c>
      <c r="QB32" s="43" t="str">
        <f t="shared" si="147"/>
        <v/>
      </c>
      <c r="QC32" s="43" t="str">
        <f t="shared" si="148"/>
        <v/>
      </c>
      <c r="QD32" s="43" t="str">
        <f t="shared" si="149"/>
        <v/>
      </c>
      <c r="QE32" s="43" t="str">
        <f t="shared" si="150"/>
        <v/>
      </c>
      <c r="QF32" s="43" t="str">
        <f t="shared" si="151"/>
        <v/>
      </c>
      <c r="QG32" s="43" t="str">
        <f t="shared" si="152"/>
        <v/>
      </c>
      <c r="QH32" s="43" t="str">
        <f t="shared" si="153"/>
        <v/>
      </c>
      <c r="QI32" s="43" t="str">
        <f t="shared" si="154"/>
        <v/>
      </c>
      <c r="QJ32" s="43" t="str">
        <f t="shared" si="155"/>
        <v/>
      </c>
      <c r="QK32" s="43" t="str">
        <f t="shared" si="156"/>
        <v/>
      </c>
      <c r="QL32" s="43" t="str">
        <f t="shared" si="157"/>
        <v/>
      </c>
      <c r="QM32" s="43" t="str">
        <f t="shared" si="158"/>
        <v>SOBREPESO</v>
      </c>
      <c r="QN32" s="43" t="str">
        <f t="shared" si="159"/>
        <v/>
      </c>
      <c r="QO32" s="43" t="str">
        <f t="shared" si="160"/>
        <v/>
      </c>
      <c r="QP32" s="43" t="str">
        <f t="shared" si="161"/>
        <v/>
      </c>
      <c r="QQ32" s="43" t="str">
        <f t="shared" si="162"/>
        <v/>
      </c>
      <c r="QR32" s="43">
        <f t="shared" si="192"/>
        <v>38</v>
      </c>
      <c r="QS32" s="43"/>
      <c r="QT32" s="21" t="str">
        <f t="shared" si="163"/>
        <v/>
      </c>
      <c r="QU32" s="21" t="str">
        <f t="shared" si="164"/>
        <v/>
      </c>
      <c r="QV32" s="21" t="str">
        <f t="shared" si="165"/>
        <v/>
      </c>
      <c r="QW32" s="21" t="str">
        <f t="shared" si="166"/>
        <v/>
      </c>
      <c r="QX32" s="21" t="str">
        <f t="shared" si="167"/>
        <v/>
      </c>
      <c r="QY32" s="21" t="str">
        <f t="shared" si="168"/>
        <v/>
      </c>
      <c r="QZ32" s="21" t="str">
        <f t="shared" si="169"/>
        <v/>
      </c>
      <c r="RA32" s="21" t="str">
        <f t="shared" si="170"/>
        <v/>
      </c>
      <c r="RB32" s="21" t="str">
        <f t="shared" si="171"/>
        <v/>
      </c>
      <c r="RC32" s="21" t="str">
        <f t="shared" si="172"/>
        <v/>
      </c>
      <c r="RD32" s="21" t="str">
        <f t="shared" si="173"/>
        <v/>
      </c>
      <c r="RE32" s="21" t="str">
        <f t="shared" si="174"/>
        <v/>
      </c>
      <c r="RF32" s="21" t="str">
        <f t="shared" si="175"/>
        <v/>
      </c>
      <c r="RG32" s="21" t="str">
        <f t="shared" si="176"/>
        <v/>
      </c>
      <c r="RH32" s="21" t="str">
        <f t="shared" si="177"/>
        <v/>
      </c>
      <c r="RI32" s="21" t="str">
        <f t="shared" si="178"/>
        <v/>
      </c>
      <c r="RJ32" s="21" t="str">
        <f t="shared" si="179"/>
        <v/>
      </c>
      <c r="RK32" s="21" t="str">
        <f t="shared" si="180"/>
        <v/>
      </c>
      <c r="RL32" s="21" t="str">
        <f t="shared" si="181"/>
        <v/>
      </c>
      <c r="RM32" s="21" t="str">
        <f t="shared" si="182"/>
        <v/>
      </c>
      <c r="RN32" s="21" t="str">
        <f t="shared" si="183"/>
        <v/>
      </c>
      <c r="RO32" s="21" t="str">
        <f t="shared" si="184"/>
        <v/>
      </c>
      <c r="RP32" s="21" t="str">
        <f t="shared" si="185"/>
        <v/>
      </c>
      <c r="RQ32" s="21" t="str">
        <f t="shared" si="186"/>
        <v/>
      </c>
      <c r="RR32" s="21" t="str">
        <f t="shared" si="187"/>
        <v/>
      </c>
      <c r="RS32" s="21" t="str">
        <f t="shared" si="188"/>
        <v>ALTO PARA EDAD GESTACIONAL</v>
      </c>
      <c r="RT32" s="21" t="str">
        <f t="shared" si="189"/>
        <v/>
      </c>
      <c r="RU32" s="21" t="str">
        <f t="shared" si="190"/>
        <v/>
      </c>
      <c r="RV32" s="21">
        <f t="shared" si="191"/>
        <v>7</v>
      </c>
      <c r="RW32" s="284">
        <f>IF(OR(Tabla1[[#This Row],[FUM FORMULA CONFIABLE]]="",Tabla1[[#This Row],[FUM FORMULA CONFIABLE]]="SD"),"",IF(Tabla1[[#This Row],[FUM FORMULA CONFIABLE]]="CORREGIDA",Tabla1[[#This Row],[FUM X ECO 1]],Tabla1[[#This Row],[FUM x AMENORREA]]))</f>
        <v>44799</v>
      </c>
      <c r="RX32" s="21">
        <f>IF(AND(Tabla1[[#This Row],[FUM X ECO 1]]="",Tabla1[[#This Row],[FUM x AMENORREA]]=""),"",IF(AND(Tabla1[[#This Row],[FUM X ECO 1]]="",Tabla1[[#This Row],[FUM x AMENORREA]]&lt;&gt;""),"X",SUM(Tabla1[[#This Row],[FUM X ECO 1]]-Tabla1[[#This Row],[FUM x AMENORREA]])))</f>
        <v>0</v>
      </c>
      <c r="RY32" s="21">
        <f t="shared" si="193"/>
        <v>0</v>
      </c>
    </row>
    <row r="33" spans="1:493" ht="45" customHeight="1" x14ac:dyDescent="0.25">
      <c r="A33" s="109" t="s">
        <v>1040</v>
      </c>
      <c r="B33" s="43" t="s">
        <v>900</v>
      </c>
      <c r="C33" s="43" t="s">
        <v>845</v>
      </c>
      <c r="D33" s="124" t="s">
        <v>846</v>
      </c>
      <c r="E33" s="43" t="s">
        <v>1041</v>
      </c>
      <c r="F33" s="43" t="s">
        <v>915</v>
      </c>
      <c r="G33" s="43" t="s">
        <v>1042</v>
      </c>
      <c r="H33" s="43" t="s">
        <v>1043</v>
      </c>
      <c r="I33" s="109" t="s">
        <v>851</v>
      </c>
      <c r="J33" s="110">
        <v>1059599632</v>
      </c>
      <c r="K33" s="43" t="s">
        <v>932</v>
      </c>
      <c r="L33" s="175" t="s">
        <v>853</v>
      </c>
      <c r="M33" s="22">
        <v>33361</v>
      </c>
      <c r="N33" s="213">
        <f t="shared" ca="1" si="0"/>
        <v>32.526027397260272</v>
      </c>
      <c r="O33" s="22">
        <v>44859</v>
      </c>
      <c r="P33" s="214" t="str">
        <f t="shared" si="1"/>
        <v>SI</v>
      </c>
      <c r="Q33" s="26" t="s">
        <v>855</v>
      </c>
      <c r="R33" s="22">
        <v>44859</v>
      </c>
      <c r="S33" s="21" t="s">
        <v>856</v>
      </c>
      <c r="T33" s="24" t="s">
        <v>690</v>
      </c>
      <c r="U33" s="21" t="s">
        <v>857</v>
      </c>
      <c r="V33" s="21" t="s">
        <v>858</v>
      </c>
      <c r="W33" s="21" t="s">
        <v>859</v>
      </c>
      <c r="X33" s="21" t="s">
        <v>1044</v>
      </c>
      <c r="Y33" s="21" t="s">
        <v>859</v>
      </c>
      <c r="Z33" s="21">
        <v>3215656426</v>
      </c>
      <c r="AA33" s="21" t="s">
        <v>860</v>
      </c>
      <c r="AB33" s="27" t="s">
        <v>861</v>
      </c>
      <c r="AC33" s="26" t="s">
        <v>888</v>
      </c>
      <c r="AD33" s="38" t="s">
        <v>863</v>
      </c>
      <c r="AE33" s="26" t="s">
        <v>854</v>
      </c>
      <c r="AF33" s="26" t="s">
        <v>854</v>
      </c>
      <c r="AG33" s="23" t="s">
        <v>864</v>
      </c>
      <c r="AH33" s="23" t="s">
        <v>864</v>
      </c>
      <c r="AI33" s="24" t="s">
        <v>863</v>
      </c>
      <c r="AJ33" s="23" t="s">
        <v>864</v>
      </c>
      <c r="AK33" s="220" t="str">
        <f>IF(AND(AD33="",AE33="",AF33="",AG33="",AH33="",AI33="",AJ33=""),"",IF(OR(Tabla1[[#This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EVALUACIÓN",IF(AND(O33="",R33=""),"",IF(AND(OR(O33&gt;0,R33&gt;0),NG33&gt;=0,NG33&lt;2),"SIN RIESGO",IF(AND(OR(O33&gt;0,R33&gt;0),NG33&gt;=2),"CON RIESGO","ASD")))))</f>
        <v>SIN RIESGO</v>
      </c>
      <c r="AL33" s="23" t="s">
        <v>864</v>
      </c>
      <c r="AM33" s="26" t="s">
        <v>864</v>
      </c>
      <c r="AN33" s="26" t="s">
        <v>864</v>
      </c>
      <c r="AO33" s="26" t="s">
        <v>864</v>
      </c>
      <c r="AP33" s="26" t="s">
        <v>864</v>
      </c>
      <c r="AQ33" s="26" t="s">
        <v>864</v>
      </c>
      <c r="AR33" s="26" t="s">
        <v>864</v>
      </c>
      <c r="AS33" s="21">
        <v>0</v>
      </c>
      <c r="AT33" s="21">
        <v>0</v>
      </c>
      <c r="AU33" s="21">
        <v>0</v>
      </c>
      <c r="AV33" s="26" t="s">
        <v>864</v>
      </c>
      <c r="AW33" s="21">
        <v>0</v>
      </c>
      <c r="AX33" s="26" t="s">
        <v>864</v>
      </c>
      <c r="AY33" s="26" t="s">
        <v>864</v>
      </c>
      <c r="AZ33" s="26" t="s">
        <v>864</v>
      </c>
      <c r="BA33" s="26" t="s">
        <v>864</v>
      </c>
      <c r="BB33" s="26" t="s">
        <v>864</v>
      </c>
      <c r="BC33" s="26" t="s">
        <v>864</v>
      </c>
      <c r="BD33" s="26" t="s">
        <v>864</v>
      </c>
      <c r="BE33" s="26" t="s">
        <v>864</v>
      </c>
      <c r="BF33" s="26" t="s">
        <v>864</v>
      </c>
      <c r="BG33" s="26" t="s">
        <v>864</v>
      </c>
      <c r="BH33" s="26" t="s">
        <v>864</v>
      </c>
      <c r="BI33" s="26" t="s">
        <v>864</v>
      </c>
      <c r="BJ33" s="26"/>
      <c r="BK33" s="26"/>
      <c r="BL33" s="26" t="s">
        <v>864</v>
      </c>
      <c r="BM33" s="26" t="s">
        <v>864</v>
      </c>
      <c r="BN33" s="22"/>
      <c r="BO33" s="22">
        <v>44733</v>
      </c>
      <c r="BP33" s="21" t="s">
        <v>854</v>
      </c>
      <c r="BQ33" s="222">
        <f t="shared" si="2"/>
        <v>0</v>
      </c>
      <c r="BR33" s="223">
        <f t="shared" si="3"/>
        <v>44733.9</v>
      </c>
      <c r="BS33" s="224">
        <f t="shared" si="4"/>
        <v>18</v>
      </c>
      <c r="BT33" s="216" t="str">
        <f t="shared" si="5"/>
        <v>II TRIM</v>
      </c>
      <c r="BU33" s="214" t="str">
        <f t="shared" ca="1" si="6"/>
        <v/>
      </c>
      <c r="BV33" s="25"/>
      <c r="BW33" s="22">
        <v>44862</v>
      </c>
      <c r="BX33" s="28">
        <v>18.3</v>
      </c>
      <c r="BY33" s="28"/>
      <c r="BZ33" s="22">
        <v>44895</v>
      </c>
      <c r="CA33" s="21">
        <v>23</v>
      </c>
      <c r="CB33" s="26" t="s">
        <v>864</v>
      </c>
      <c r="CC33" s="26" t="s">
        <v>864</v>
      </c>
      <c r="CD33" s="26" t="s">
        <v>878</v>
      </c>
      <c r="CE33" s="26" t="s">
        <v>864</v>
      </c>
      <c r="CF33" s="22" t="s">
        <v>1517</v>
      </c>
      <c r="CG33" s="21">
        <v>1.55</v>
      </c>
      <c r="CH33" s="21">
        <v>62.3</v>
      </c>
      <c r="CI33" s="214">
        <f t="shared" si="7"/>
        <v>25.931321540062431</v>
      </c>
      <c r="CJ33" s="225" t="e">
        <f>IF(AND(CI33&lt;10,CH33="SD"),"SIN DATO PESO PREGESTACION O I TRIM",IF(AND(OR(R33&gt;0,O33&gt;0),CI33="X"),"INGRESAR DATO DE PESO",IF(CI33="SD","INGRESAR DATO DE TALLA Y PESO",IF(AND(OR(Tabla1[[#This Row],[MOMENTO EN QUE SE REALIZA EL PESO AL INGRESO A CPN]]="PREGESTACIÓN",NZ33="Menor"),CI33&lt;18.5),"BAJO PESO",IF(AND(OR(Tabla1[[#This Row],[MOMENTO EN QUE SE REALIZA EL PESO AL INGRESO A CPN]]="PREGESTACIÓN",NZ33="Menor"),CI33&lt;25),"NORMAL",IF(AND(OR(Tabla1[[#This Row],[MOMENTO EN QUE SE REALIZA EL PESO AL INGRESO A CPN]]="PREGESTACIÓN",NZ33="Menor"),CI33&lt;30),"SOBREPESO",IF(AND(OR(Tabla1[[#This Row],[MOMENTO EN QUE SE REALIZA EL PESO AL INGRESO A CPN]]="PREGESTACIÓN",NZ33="Menor"),CI33&gt;=30,CI33&lt;50),"OBESIDAD",IF(AND(BS33&gt;0,Tabla1[[#This Row],[MOMENTO EN QUE SE REALIZA EL PESO AL INGRESO A CPN]]="GESTACIÓN"),HLOOKUP(NZ33,$OA$2:PH33,NY33),""))))))))</f>
        <v>#REF!</v>
      </c>
      <c r="CK33" s="212">
        <f t="shared" si="8"/>
        <v>44965</v>
      </c>
      <c r="CL33" s="21"/>
      <c r="CM33" s="214">
        <f t="shared" si="9"/>
        <v>0</v>
      </c>
      <c r="CN33" s="216">
        <f t="shared" si="10"/>
        <v>33</v>
      </c>
      <c r="CO33" s="216" t="e">
        <f>IF(PI33="","",IF(PI33&gt;0,HLOOKUP(PI33,$PJ$2:QQ33,NY33),""))</f>
        <v>#REF!</v>
      </c>
      <c r="CP33" s="21"/>
      <c r="CQ33" s="216" t="e">
        <f>IF(QR33="Menor","NO APLICA-MENOR 13 SEM",IF(AND(CC33="SI",CN33&gt;23),"NO APLICA- GEMELAR",IF(QR33="","",IF(QR33&gt;0,HLOOKUP(QR33,$QS$2:RU33,NY33),""))))</f>
        <v>#REF!</v>
      </c>
      <c r="CR33" s="21">
        <v>120</v>
      </c>
      <c r="CS33" s="21">
        <v>65</v>
      </c>
      <c r="CT33" s="217" t="str">
        <f>IF(R33="","",IF(AND(BS33&gt;1,BS33&lt;12,Tabla1[[#This Row],[T.A. SISTOLICA - ANTES DE SEMANA 12]]="",Tabla1[[#This Row],[T.A. DIASTOLICA - ANTES DE SEMANA 12]]=""),"REGISTRE DATO TA ANTES SEMANA 12",IF(AND(BS33&gt;11,BS33&lt;43,Tabla1[[#This Row],[T.A. SISTOLICA - ANTES DE SEMANA 12]]="",Tabla1[[#This Row],[T.A. DIASTOLICA - ANTES DE SEMANA 12]]=""),"NO APLICA REGISTRO TA-INGRESO TARDIO",IF(AND(OR(O33&gt;0,R33&gt;0),OR(CR33&gt;=140,CS33&gt;=90)),"DEFINIR ESTADIO HTA",IF(AND(OR(O33&gt;0,R33&gt;0),AND(CR33&gt;120,CR33&lt;=139)),"PRE HTA SEGUIMIENTO",IF(AND(OR(O33&gt;0,R33&gt;0),AND(CS33&gt;80,CS33&lt;=89)),"PRE HTA SEGUIMIENTO",IF(AND(OR(O33&gt;0,R33&gt;0),AND(CR33&gt;=80,CR33&lt;=120)),"APARENTEMENTE NORMAL",IF(AND(OR(O33&gt;0,R33&gt;0),AND(CS33&gt;=50,CS33&lt;=80)),"APARENTEMENTE NORMAL",IF(AND(OR(O33&gt;0,R33&gt;0),AND(CR33&gt;1,CR33&lt;=70),AND(CS33&gt;1,CS33&lt;=40)),"HIPOTENSIÓN","")))))))))</f>
        <v>APARENTEMENTE NORMAL</v>
      </c>
      <c r="CU33" s="21">
        <v>100</v>
      </c>
      <c r="CV33" s="21">
        <v>70</v>
      </c>
      <c r="CW33" s="217" t="str">
        <f ca="1">IF(R33="","",IF(AND(CN33&gt;19,CN33&lt;27,Tabla1[[#This Row],[T.A. SISTOLICA (Entre semana 20 y 26)]]="",Tabla1[[#This Row],[T.A. DIATOLICA (Entre semana 20 y 26)]]=""),"ACUDE A CONTROL SEM 20 A 26 REGISTRE TA AHORA",IF(AND(BS33&gt;1,BS33&lt;27,BU33&gt;19,Tabla1[[#This Row],[T.A. SISTOLICA (Entre semana 20 y 26)]]="",Tabla1[[#This Row],[T.A. DIATOLICA (Entre semana 20 y 26)]]=""),"COMPLETE REGISTRO TA CONTROL SEM 20 A26 ",IF(AND(BS33&gt;26,BS33&lt;43,Tabla1[[#This Row],[T.A. SISTOLICA (Entre semana 20 y 26)]]="",Tabla1[[#This Row],[T.A. DIATOLICA (Entre semana 20 y 26)]]=""),"NO APLICA REGISTRO TA-INGRESO TARDIO",IF(AND(OR(O33&gt;0,R33&gt;0),OR(CU33&gt;=140,CV33&gt;=90)),"ALTO RIESGO PREECLAMPSIA,DEFINIR ESTADIO HTA",IF(AND(OR(O33&gt;0,R33&gt;0),AND(CU33&gt;120,CU33&lt;=139)),"PRE HTA SEGUIMIENTO,RIESGO HIPERTENSION INDUCIDA POR EL EMBARAZO",IF(AND(OR(O33&gt;0,R33&gt;0),AND(CV33&gt;80,CV33&lt;=89)),"PRE HTA SEGUIMIENTO, RIESGO HIPERTENSION INDUCIDA POR EL EMBARAZO",IF(AND(OR(O33&lt;&gt;"",R33&lt;&gt;""),CS33&lt;&gt;"",CV33&lt;&gt;"",CS33&lt;=CV33),"VIGILAR CIFRAS PRESION ARTERIAL",IF(AND(OR(O33&gt;0,R33&gt;0),AND(CU33&gt;120,CU33&lt;=139)),"PRE HTA SEGUIMIENTO",IF(AND(OR(O33&gt;0,R33&gt;0),AND(CU33&gt;1,CU33&lt;=70),AND(CV33&gt;1,CV33&lt;=40)),"HIPOTENSIÓN",IF(AND(OR(O33&lt;&gt;"",R33&lt;&gt;""),CS33&lt;&gt;"",CV33&lt;&gt;"",CS33&gt;CV33),"APARENTEMENTE NORMAL",IF(AND(OR(O33&gt;0,R33&gt;0),AND(CU33&gt;=80,CU33&lt;=120)),"APARENTEMENTE NORMAL",IF(AND(OR(O33&gt;0,R33&gt;0),AND(CV33&gt;=50,CV33&lt;=80)),"APARENTEMENTE NORMAL","")))))))))))))</f>
        <v>VIGILAR CIFRAS PRESION ARTERIAL</v>
      </c>
      <c r="CX33" s="21">
        <v>90</v>
      </c>
      <c r="CY33" s="21">
        <v>60</v>
      </c>
      <c r="CZ33" s="216" t="str">
        <f t="shared" si="11"/>
        <v>APARENTEMENTE NORMAL</v>
      </c>
      <c r="DA33" s="21"/>
      <c r="DB33" s="21"/>
      <c r="DC33" s="217" t="str">
        <f t="shared" si="12"/>
        <v>REGISTRE DATO PRESIÓN ARTERIAL MENSUAL</v>
      </c>
      <c r="DD33" s="22">
        <v>44859</v>
      </c>
      <c r="DE33" s="22">
        <v>44859</v>
      </c>
      <c r="DF33" s="22">
        <v>44825</v>
      </c>
      <c r="DG33" s="22">
        <v>44859</v>
      </c>
      <c r="DH33" s="22">
        <v>44894</v>
      </c>
      <c r="DI33" s="22">
        <v>44938</v>
      </c>
      <c r="DJ33" s="22">
        <v>44965</v>
      </c>
      <c r="DK33" s="22"/>
      <c r="DL33" s="22"/>
      <c r="DM33" s="22"/>
      <c r="DN33" s="22"/>
      <c r="DO33" s="22"/>
      <c r="DP33" s="22"/>
      <c r="DQ33" s="22"/>
      <c r="DR33" s="28">
        <v>2</v>
      </c>
      <c r="DS33" s="22"/>
      <c r="DT33" s="22"/>
      <c r="DU33" s="216" t="str">
        <f t="shared" ca="1" si="13"/>
        <v>SALE SIN PLAN DE PARTO</v>
      </c>
      <c r="DV33" s="226" t="str">
        <f t="shared" si="14"/>
        <v>SALIO PROGRAMA</v>
      </c>
      <c r="DW3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3" s="216" t="str">
        <f t="shared" ca="1" si="15"/>
        <v/>
      </c>
      <c r="DY33" s="212">
        <f>IF(R33="","",IF(R33&gt;0,MAX(Tabla1[[#This Row],[FECHA C2]:[FECHA C13]],Tabla1[[#This Row],[FECHA CONSULTA PRIMERA VEZ PROGRAMA CPN ]])))</f>
        <v>44965</v>
      </c>
      <c r="DZ33" s="216">
        <f t="shared" si="16"/>
        <v>33</v>
      </c>
      <c r="EA33" s="222">
        <f>IF(R33&gt;0,SUM(COUNTA(DF33:DQ33)+COUNTA(Tabla1[[#This Row],[FECHA CONSULTA PRIMERA VEZ PROGRAMA CPN ]])),"")</f>
        <v>6</v>
      </c>
      <c r="EB33" s="222" t="str">
        <f t="shared" si="17"/>
        <v>SI</v>
      </c>
      <c r="EC33" s="214">
        <f t="shared" si="18"/>
        <v>7</v>
      </c>
      <c r="ED33" s="227">
        <f t="shared" si="19"/>
        <v>0.8571428571428571</v>
      </c>
      <c r="EE33" s="22">
        <v>44859</v>
      </c>
      <c r="EF33" s="22">
        <v>44836</v>
      </c>
      <c r="EG33" s="22">
        <v>44859</v>
      </c>
      <c r="EH33" s="22"/>
      <c r="EI33" s="22">
        <v>44859</v>
      </c>
      <c r="EJ33" s="22">
        <v>44950</v>
      </c>
      <c r="EK33" s="22">
        <v>44950</v>
      </c>
      <c r="EL33" s="21"/>
      <c r="EM33" s="21">
        <v>13.1</v>
      </c>
      <c r="EN33" s="22">
        <v>44861</v>
      </c>
      <c r="EO33" s="222">
        <f t="shared" si="20"/>
        <v>18.285714285714285</v>
      </c>
      <c r="EP33" s="214" t="str">
        <f t="shared" si="21"/>
        <v>NORMAL- SUMINISTRAR SULFATO FERROSO</v>
      </c>
      <c r="EQ33" s="216" t="str">
        <f t="shared" si="22"/>
        <v>II TRIM</v>
      </c>
      <c r="ER33" s="24"/>
      <c r="ES33" s="22"/>
      <c r="ET33" s="29" t="str">
        <f t="shared" ca="1" si="23"/>
        <v>SALE SIN TAMIZAJE HEMOGLOBINA SEM 28</v>
      </c>
      <c r="EU33" s="25" t="str">
        <f t="shared" si="24"/>
        <v/>
      </c>
      <c r="EV33" s="24" t="s">
        <v>866</v>
      </c>
      <c r="EW33" s="24">
        <v>44861</v>
      </c>
      <c r="EX33" s="22"/>
      <c r="EY33" s="29">
        <f t="shared" si="25"/>
        <v>18.285714285714285</v>
      </c>
      <c r="EZ33" s="25" t="str">
        <f t="shared" ca="1" si="26"/>
        <v/>
      </c>
      <c r="FA33" s="21">
        <v>75</v>
      </c>
      <c r="FB33" s="22">
        <v>44861</v>
      </c>
      <c r="FC33" s="29">
        <f t="shared" si="27"/>
        <v>18.285714285714285</v>
      </c>
      <c r="FD33" s="29">
        <v>86</v>
      </c>
      <c r="FE33" s="29">
        <v>120</v>
      </c>
      <c r="FF33" s="29">
        <v>117</v>
      </c>
      <c r="FG33" s="21" t="str">
        <f t="shared" ca="1" si="28"/>
        <v>NORMAL</v>
      </c>
      <c r="FH33" s="31">
        <v>44939</v>
      </c>
      <c r="FI33" s="29">
        <f t="shared" si="29"/>
        <v>29.428571428571427</v>
      </c>
      <c r="FJ33" s="22"/>
      <c r="FK33" s="22"/>
      <c r="FL33" s="29" t="str">
        <f t="shared" ca="1" si="30"/>
        <v>NO APLICA-INGRESO TARDIO</v>
      </c>
      <c r="FM33" s="22" t="s">
        <v>867</v>
      </c>
      <c r="FN33" s="32">
        <v>44861</v>
      </c>
      <c r="FO33" s="29">
        <f t="shared" ca="1" si="31"/>
        <v>18.285714285714285</v>
      </c>
      <c r="FP33" s="22"/>
      <c r="FQ33" s="32"/>
      <c r="FR33" s="29" t="str">
        <f t="shared" ca="1" si="32"/>
        <v>PIERDE TOMA DE TAMIZAJE</v>
      </c>
      <c r="FS33" s="22"/>
      <c r="FT33" s="32"/>
      <c r="FU33" s="29" t="str">
        <f>IF(AND(FJ33="",FM33="",FP33="",FS33=""),"",IF(OR(OR(Tabla1[[#This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3" s="28"/>
      <c r="FW33" s="22"/>
      <c r="FX33" s="29" t="str">
        <f t="shared" si="33"/>
        <v>TOMAR EXAMEN</v>
      </c>
      <c r="FY33" s="22">
        <v>44859</v>
      </c>
      <c r="FZ33" s="22">
        <v>44859</v>
      </c>
      <c r="GA33" s="29" t="str">
        <f t="shared" si="34"/>
        <v>REGISTRAR EN II TRIMESTRE</v>
      </c>
      <c r="GB33" s="22" t="s">
        <v>868</v>
      </c>
      <c r="GC33" s="22">
        <v>44861</v>
      </c>
      <c r="GD33" s="29">
        <f t="shared" ca="1" si="35"/>
        <v>18.285714285714285</v>
      </c>
      <c r="GE33" s="22"/>
      <c r="GF33" s="22"/>
      <c r="GG33" s="29" t="str">
        <f t="shared" ca="1" si="36"/>
        <v>PIERDE TOMA DE TAMIZAJE</v>
      </c>
      <c r="GH33" s="22"/>
      <c r="GI33" s="29"/>
      <c r="GJ33" s="22"/>
      <c r="GK33" s="22"/>
      <c r="GL33" s="22" t="s">
        <v>879</v>
      </c>
      <c r="GM33" s="22"/>
      <c r="GN33" s="28" t="s">
        <v>869</v>
      </c>
      <c r="GO33" s="22">
        <v>44861</v>
      </c>
      <c r="GP33" s="29">
        <f t="shared" si="37"/>
        <v>18.285714285714285</v>
      </c>
      <c r="GQ33" s="28" t="s">
        <v>869</v>
      </c>
      <c r="GR33" s="28" t="s">
        <v>869</v>
      </c>
      <c r="GS33" s="22" t="str">
        <f t="shared" si="38"/>
        <v>CONTROL Igm</v>
      </c>
      <c r="GT33" s="22"/>
      <c r="GU33" s="29" t="str">
        <f t="shared" si="39"/>
        <v>TOMAR EXAMEN</v>
      </c>
      <c r="GV33" s="21" t="str">
        <f t="shared" si="40"/>
        <v>POR DEFINIR</v>
      </c>
      <c r="GW33" s="28" t="s">
        <v>869</v>
      </c>
      <c r="GX33" s="30"/>
      <c r="GY33" s="21"/>
      <c r="GZ33" s="21"/>
      <c r="HA33" s="21"/>
      <c r="HB33" s="21"/>
      <c r="HC33" s="21"/>
      <c r="HD33" s="21"/>
      <c r="HE33" s="21"/>
      <c r="HF33" s="22"/>
      <c r="HG33" s="22" t="str">
        <f>IF(OR(O33&gt;0,R33&gt;0),CONCATENATE(IF(Tabla1[[#This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3" s="22" t="e">
        <f t="shared" si="41"/>
        <v>#REF!</v>
      </c>
      <c r="HI33" s="22" t="e">
        <f t="shared" ca="1" si="42"/>
        <v>#REF!</v>
      </c>
      <c r="HJ33" s="21"/>
      <c r="HK33" s="21" t="str">
        <f t="shared" si="44"/>
        <v>SIN ANTECEDENTES DE RIESGO</v>
      </c>
      <c r="HL33" s="24" t="str">
        <f t="shared" si="45"/>
        <v>REGISTRE DATO PRESIÓN ARTERIAL MENSUAL</v>
      </c>
      <c r="HM33" s="21" t="str">
        <f t="shared" ca="1" si="46"/>
        <v/>
      </c>
      <c r="HN33" s="30" t="str">
        <f t="shared" si="47"/>
        <v>SALIO PROGRAMA</v>
      </c>
      <c r="HO33" s="21"/>
      <c r="HP33" s="21"/>
      <c r="HQ33" s="21">
        <v>44859</v>
      </c>
      <c r="HR33" s="21" t="str">
        <f>IF(R33="","",IF(Tabla1[[#This Row],[ALARMA FACTORES DE RIESGO COMPLICACIONES HIPERTENSIVAS3]]="SIN ANTECEDENTES DE RIESGO","No Aplica para suministro de ASA",IF(AND(Tabla1[[#This Row],[FECHA INICIO DE SUMINISTRO DE ASA]]&gt;0,RV33&lt;12),"Inicia ASA ANTES de Sem 12",IF(AND(RV33&gt;11,RV33&lt;17,OR(HK33="RIESGO ALTO DE COMPLICACIONES HIPERTENSIVAS VER MANEJO GUIA SUMINISTRO ASA Y CALCIO",HK33="RIESGO MODERADO (2 O MAS CRITERIOS) VER MANEJO GUIA SUMINISTRO ASA Y CALCIO")),"Inicio oportuno de ASA",IF(AND(RV33&gt;12,OR(HK33="RIESGO ALTO DE COMPLICACIONES HIPERTENSIVAS VER MANEJO GUIA SUMINISTRO ASA Y CALCIO",HK33="RIESGO MODERADO (2 O MAS CRITERIOS) VER MANEJO GUIA SUMINISTRO ASA Y CALCIO")),"Inicio no oportuno mayor a 16 semanas",IF(AND(BU33&lt;12,OR(HK33="RIESGO ALTO DE COMPLICACIONES HIPERTENSIVAS VER MANEJO GUIA SUMINISTRO ASA Y CALCIO",HK33="RIESGO MODERADO (2 O MAS CRITERIOS) VER MANEJO GUIA SUMINISTRO ASA Y CALCIO")),"Pendiente Inicio de ASA a la semana 12",IF(AND(BU33&gt;11,BU33&lt;17,OR(HK33="RIESGO ALTO DE COMPLICACIONES HIPERTENSIVAS VER MANEJO GUIA SUMINISTRO ASA Y CALCIO",HK33="RIESGO MODERADO (2 O MAS CRITERIOS) VER MANEJO GUIA SUMINISTRO ASA Y CALCIO")),"Iniciar de inmediato ASA",IF(AND(BU33&gt;16,OR(HK33="RIESGO ALTO DE COMPLICACIONES HIPERTENSIVAS VER MANEJO GUIA SUMINISTRO ASA Y CALCIO",HK33="RIESGO MODERADO (2 O MAS CRITERIOS) VER MANEJO GUIA SUMINISTRO ASA Y CALCIO")),"Pierde Oportunidad, Inicio tardío de ASA","XXXXX"))))))))</f>
        <v>No Aplica para suministro de ASA</v>
      </c>
      <c r="HS33" s="22">
        <v>44859</v>
      </c>
      <c r="HT33" s="22" t="s">
        <v>870</v>
      </c>
      <c r="HU33" s="22"/>
      <c r="HV33" s="22"/>
      <c r="HW33" s="22">
        <v>44859</v>
      </c>
      <c r="HX33" s="22" t="s">
        <v>870</v>
      </c>
      <c r="HY33" s="22">
        <v>44862</v>
      </c>
      <c r="HZ33" s="28">
        <f t="shared" si="48"/>
        <v>18.428571428571427</v>
      </c>
      <c r="IA33" s="26" t="s">
        <v>864</v>
      </c>
      <c r="IB33" s="26"/>
      <c r="IC33" s="111">
        <v>44840</v>
      </c>
      <c r="ID33" s="22"/>
      <c r="IE33" s="22" t="str">
        <f t="shared" ca="1" si="49"/>
        <v>SALE SIN VACUNA</v>
      </c>
      <c r="IF33" s="22"/>
      <c r="IG33" s="22">
        <f t="shared" si="50"/>
        <v>45013</v>
      </c>
      <c r="IH33" s="29">
        <f t="shared" ca="1" si="51"/>
        <v>-220</v>
      </c>
      <c r="II33" s="22" t="str">
        <f t="shared" ca="1" si="52"/>
        <v>POSIBLEMENTE NACIO</v>
      </c>
      <c r="IJ33" s="22"/>
      <c r="IK33" s="21" t="s">
        <v>898</v>
      </c>
      <c r="IL33" s="21"/>
      <c r="IM33" s="34"/>
      <c r="IN33" s="349">
        <v>45015</v>
      </c>
      <c r="IO33" s="21" t="s">
        <v>1186</v>
      </c>
      <c r="IP33" s="29">
        <f t="shared" si="53"/>
        <v>40.285714285714285</v>
      </c>
      <c r="IQ33" s="110" t="s">
        <v>1654</v>
      </c>
      <c r="IR33" s="21" t="s">
        <v>1651</v>
      </c>
      <c r="IS33" s="21" t="s">
        <v>1646</v>
      </c>
      <c r="IT33" s="21" t="s">
        <v>1642</v>
      </c>
      <c r="IU33" s="21"/>
      <c r="IV33" s="21"/>
      <c r="IW33" s="21"/>
      <c r="IX33" s="21"/>
      <c r="IY33" s="21"/>
      <c r="IZ33" s="21"/>
      <c r="JA33" s="21"/>
      <c r="JB33" s="30">
        <v>1</v>
      </c>
      <c r="JC33" s="21" t="s">
        <v>1643</v>
      </c>
      <c r="JD33" s="36">
        <v>3680</v>
      </c>
      <c r="JE33" s="21" t="str">
        <f t="shared" si="54"/>
        <v>PESO ADECUADO EDAD GESTACIONAL</v>
      </c>
      <c r="JF33" s="30"/>
      <c r="JG33" s="21"/>
      <c r="JH33" s="21"/>
      <c r="JI33" s="21" t="s">
        <v>854</v>
      </c>
      <c r="JJ33" s="30" t="s">
        <v>866</v>
      </c>
      <c r="JK33" s="22"/>
      <c r="JL33" s="22"/>
      <c r="JM33" s="21"/>
      <c r="JN33" s="36"/>
      <c r="JO33" s="21" t="str">
        <f t="shared" si="55"/>
        <v/>
      </c>
      <c r="JP33" s="22"/>
      <c r="JQ33" s="21"/>
      <c r="JR33" s="21"/>
      <c r="JS33" s="21"/>
      <c r="JT33" s="30"/>
      <c r="JU33" s="22"/>
      <c r="JV33" s="22"/>
      <c r="JW33" s="33"/>
      <c r="JX33" s="28" t="str">
        <f t="shared" si="56"/>
        <v>INASISTENTE</v>
      </c>
      <c r="JY33" s="33"/>
      <c r="JZ33" s="28" t="str">
        <f t="shared" si="57"/>
        <v>INASISTENTE</v>
      </c>
      <c r="KA33" s="21"/>
      <c r="KB33" s="21"/>
      <c r="KC33" s="21"/>
      <c r="KD33" s="37"/>
      <c r="KE33" s="28"/>
      <c r="KF33" s="28"/>
      <c r="KG33" s="28"/>
      <c r="KH33" s="39"/>
      <c r="KI33" s="39"/>
      <c r="KJ33" s="66"/>
      <c r="KK33" s="39"/>
      <c r="KL33" s="39"/>
      <c r="KM33" s="66"/>
      <c r="KN33" s="39"/>
      <c r="KO33" s="39"/>
      <c r="KP33" s="39"/>
      <c r="KQ33" s="39"/>
      <c r="KR33" s="39"/>
      <c r="KS33" s="39"/>
      <c r="KT33" s="39"/>
      <c r="KU33" s="38"/>
      <c r="KV33" s="38"/>
      <c r="KW33" s="38"/>
      <c r="KX33" s="38"/>
      <c r="KY33" s="38"/>
      <c r="KZ33" s="38"/>
      <c r="LA33" s="38"/>
      <c r="LB33" s="38"/>
      <c r="LC33" s="38"/>
      <c r="LD33" s="38"/>
      <c r="LE33" s="38"/>
      <c r="LF33" s="38"/>
      <c r="LG33" s="38"/>
      <c r="LH33" s="38"/>
      <c r="LI33" s="38"/>
      <c r="LJ33" s="38"/>
      <c r="LK33" s="38"/>
      <c r="LL33" s="38"/>
      <c r="LM33" s="38"/>
      <c r="LN33" s="38"/>
      <c r="LO33" s="38"/>
      <c r="LP33" s="38"/>
      <c r="LQ33" s="38"/>
      <c r="LR33" s="38"/>
      <c r="LS33" s="38"/>
      <c r="LT33" s="38"/>
      <c r="LU33" s="38"/>
      <c r="LV33" s="38"/>
      <c r="LW33" s="38"/>
      <c r="LX33" s="38"/>
      <c r="LY33" s="38"/>
      <c r="LZ33" s="38"/>
      <c r="MA33" s="38"/>
      <c r="MB33" s="38"/>
      <c r="MC33" s="38"/>
      <c r="MD33" s="38"/>
      <c r="ME33" s="38"/>
      <c r="MF33" s="38"/>
      <c r="MG33" s="38"/>
      <c r="MH33" s="43">
        <f t="shared" si="58"/>
        <v>0</v>
      </c>
      <c r="MI33" s="43" t="str">
        <f t="shared" si="59"/>
        <v/>
      </c>
      <c r="MJ33" s="43" t="str">
        <f t="shared" si="60"/>
        <v/>
      </c>
      <c r="MK33" s="43">
        <f t="shared" si="61"/>
        <v>0</v>
      </c>
      <c r="ML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3" s="43">
        <f t="shared" si="62"/>
        <v>18</v>
      </c>
      <c r="MN33" s="43">
        <f t="shared" si="63"/>
        <v>10</v>
      </c>
      <c r="MO33" s="43">
        <f t="shared" si="64"/>
        <v>2022</v>
      </c>
      <c r="MP33" s="43" t="str">
        <f t="shared" si="65"/>
        <v>IV TRIMESTRE AÑO</v>
      </c>
      <c r="MQ33" s="43">
        <f t="shared" si="66"/>
        <v>31.022777047744196</v>
      </c>
      <c r="MR33" s="43">
        <f t="shared" si="67"/>
        <v>0</v>
      </c>
      <c r="MS33" s="43" t="str">
        <f t="shared" si="68"/>
        <v xml:space="preserve"> DE 30 A 34 AÑOS</v>
      </c>
      <c r="MT33" s="43">
        <f t="shared" si="69"/>
        <v>0</v>
      </c>
      <c r="MU33" s="43">
        <f t="shared" si="70"/>
        <v>1</v>
      </c>
      <c r="MV33" s="43">
        <f t="shared" si="71"/>
        <v>0</v>
      </c>
      <c r="MW33" s="43">
        <f t="shared" si="72"/>
        <v>0</v>
      </c>
      <c r="MX33" s="43" t="str">
        <f t="shared" si="73"/>
        <v/>
      </c>
      <c r="MY33" s="43" t="str">
        <f t="shared" ca="1" si="74"/>
        <v/>
      </c>
      <c r="MZ33" s="43" t="str">
        <f t="shared" si="75"/>
        <v/>
      </c>
      <c r="NA33" s="43">
        <f t="shared" si="76"/>
        <v>0</v>
      </c>
      <c r="NB33" s="43" t="str">
        <f t="shared" si="77"/>
        <v/>
      </c>
      <c r="NC33" s="43" t="str">
        <f t="shared" si="78"/>
        <v/>
      </c>
      <c r="ND33" s="43">
        <f t="shared" ca="1" si="79"/>
        <v>1</v>
      </c>
      <c r="NE33" s="43">
        <f>IF(OR(O33&gt;0,R33&gt;0),SUM(COUNTIF(Tabla1[[#This Row],[AÑOS AL INICIO5 CPN]],"&gt;=40"),COUNTIF(AS33,"0"),COUNTIF(AR33,"SI"),COUNTIF(CC33,"SI"),COUNTIF(BQ33,"&gt;119"),COUNTIF(CI33,"&gt;=35")),"")</f>
        <v>1</v>
      </c>
      <c r="NF33" s="43" t="str">
        <f t="shared" si="80"/>
        <v/>
      </c>
      <c r="NG33" s="43">
        <f t="shared" si="81"/>
        <v>0</v>
      </c>
      <c r="NH33" s="43">
        <f t="shared" si="82"/>
        <v>128.1</v>
      </c>
      <c r="NI3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CPN",P33="NO"),"Z",IF(AND(Tabla1[[#This Row],[CITA PROXIMO CONTROL]]="CITA MANUAL",Tabla1[[#This Row],[GESTANTES ACTUALES]]="ACTIVA INGRESO A CPN"),"W",IF(AND(Tabla1[[#This Row],[GESTANTES ACTUALES]]="SALIO PROGRAMA",IN33=""),"S",IF(AND(Tabla1[[#This Row],[CITA PROXIMO CONTROL]]&gt;0,IN33=""),(Tabla1[[#This Row],[CITA PROXIMO CONTROL]]-TODAY()),"SD"))))))))</f>
        <v>SD</v>
      </c>
      <c r="NJ33" s="43">
        <f>MONTH(Tabla1[[#This Row],[FECHA DE SALIDA  DEL PROGRAMA]])</f>
        <v>3</v>
      </c>
      <c r="NK33" s="43">
        <f>YEAR(Tabla1[[#This Row],[FECHA DE SALIDA  DEL PROGRAMA]])</f>
        <v>2023</v>
      </c>
      <c r="NL33" s="43">
        <f t="shared" si="83"/>
        <v>91</v>
      </c>
      <c r="NM33" s="43" t="str">
        <f t="shared" si="84"/>
        <v>NO</v>
      </c>
      <c r="NN33" s="43" t="str">
        <f ca="1">IF(AND(O33&gt;0,R33=""),"NO CPN",IF(AND(O33="",R33=""),"",IF(AND(R33&gt;0,Tabla1[[#This Row],[SEMANAS DE GESTACION ACTUALIZADAS]]&lt;=12),"NO APLICA",IF(AND(FH33&lt;&gt;"",FN33&lt;&gt;""),"SI","NO"))))</f>
        <v>SI</v>
      </c>
      <c r="NO33" s="43" t="str">
        <f ca="1">IF(AND(O33&gt;0,R33=""),"NO CPN",IF(AND(O33="",R33=""),"",IF(AND(R33&gt;0,Tabla1[[#This Row],[SEMANAS DE GESTACION ACTUALIZADAS]]&lt;=27),"NO APLICA",IF(AND(ES33&lt;&gt;"",FQ33&lt;&gt;"",GF33&lt;&gt;""),"SI","NO"))))</f>
        <v>NO</v>
      </c>
      <c r="NP33" s="204" t="str">
        <f t="shared" si="85"/>
        <v>II TRIM</v>
      </c>
      <c r="NQ33" s="21">
        <f t="shared" si="86"/>
        <v>1</v>
      </c>
      <c r="NR33" s="21">
        <f t="shared" si="87"/>
        <v>2</v>
      </c>
      <c r="NS33" s="205">
        <f t="shared" ca="1" si="88"/>
        <v>1</v>
      </c>
      <c r="NT33" s="21">
        <f t="shared" ca="1" si="89"/>
        <v>1</v>
      </c>
      <c r="NU33" s="21" t="str">
        <f t="shared" ca="1" si="90"/>
        <v>INCOMPLETO</v>
      </c>
      <c r="NV33" s="21" t="str">
        <f t="shared" ca="1" si="91"/>
        <v>INCOMPLETO</v>
      </c>
      <c r="NW33" s="206" t="str">
        <f>IF(AND(O33="",R33=""),"",IF(OR(AND(Tabla1[[#This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3" s="207" t="str">
        <f t="shared" ca="1" si="92"/>
        <v>SIN VACUNAR</v>
      </c>
      <c r="NY33" s="43">
        <f>ROW(Tabla1[[#This Row],['# DE TAMIZAJES SIFILIS TOMADOS ]])</f>
        <v>33</v>
      </c>
      <c r="NZ33" s="43">
        <f t="shared" si="93"/>
        <v>18</v>
      </c>
      <c r="OA33" s="43" t="str">
        <f t="shared" si="94"/>
        <v/>
      </c>
      <c r="OB33" s="43" t="str">
        <f t="shared" si="95"/>
        <v/>
      </c>
      <c r="OC33" s="43" t="str">
        <f t="shared" si="96"/>
        <v/>
      </c>
      <c r="OD33" s="43" t="str">
        <f t="shared" si="97"/>
        <v/>
      </c>
      <c r="OE33" s="43" t="str">
        <f t="shared" si="98"/>
        <v/>
      </c>
      <c r="OF33" s="43" t="str">
        <f t="shared" si="99"/>
        <v/>
      </c>
      <c r="OG33" s="43" t="str">
        <f t="shared" si="100"/>
        <v/>
      </c>
      <c r="OH33" s="43" t="str">
        <f t="shared" si="101"/>
        <v/>
      </c>
      <c r="OI33" s="43" t="str">
        <f t="shared" si="102"/>
        <v/>
      </c>
      <c r="OJ33" s="43" t="str">
        <f t="shared" si="103"/>
        <v>NORMAL</v>
      </c>
      <c r="OK33" s="43" t="str">
        <f t="shared" si="104"/>
        <v/>
      </c>
      <c r="OL33" s="43" t="str">
        <f t="shared" si="105"/>
        <v/>
      </c>
      <c r="OM33" s="43" t="str">
        <f t="shared" si="106"/>
        <v/>
      </c>
      <c r="ON33" s="43" t="str">
        <f t="shared" si="107"/>
        <v/>
      </c>
      <c r="OO33" s="43" t="str">
        <f t="shared" si="108"/>
        <v/>
      </c>
      <c r="OP33" s="43" t="str">
        <f t="shared" si="109"/>
        <v/>
      </c>
      <c r="OQ33" s="43" t="str">
        <f t="shared" si="110"/>
        <v/>
      </c>
      <c r="OR33" s="43" t="str">
        <f t="shared" si="111"/>
        <v/>
      </c>
      <c r="OS33" s="43" t="str">
        <f t="shared" si="112"/>
        <v/>
      </c>
      <c r="OT33" s="43" t="str">
        <f t="shared" si="113"/>
        <v/>
      </c>
      <c r="OU33" s="43" t="str">
        <f t="shared" si="114"/>
        <v/>
      </c>
      <c r="OV33" s="110" t="str">
        <f t="shared" si="115"/>
        <v/>
      </c>
      <c r="OW33" s="43" t="str">
        <f t="shared" si="116"/>
        <v/>
      </c>
      <c r="OX33" s="43" t="str">
        <f t="shared" si="117"/>
        <v/>
      </c>
      <c r="OY33" s="43" t="str">
        <f t="shared" si="118"/>
        <v/>
      </c>
      <c r="OZ33" s="43" t="str">
        <f t="shared" si="119"/>
        <v/>
      </c>
      <c r="PA33" s="43" t="str">
        <f t="shared" si="120"/>
        <v/>
      </c>
      <c r="PB33" s="43" t="str">
        <f t="shared" si="121"/>
        <v/>
      </c>
      <c r="PC33" s="43" t="str">
        <f t="shared" si="122"/>
        <v/>
      </c>
      <c r="PD33" s="43" t="str">
        <f t="shared" si="123"/>
        <v/>
      </c>
      <c r="PE33" s="43" t="str">
        <f t="shared" si="124"/>
        <v/>
      </c>
      <c r="PF33" s="43" t="str">
        <f t="shared" si="125"/>
        <v/>
      </c>
      <c r="PG33" s="43" t="str">
        <f t="shared" si="126"/>
        <v/>
      </c>
      <c r="PH33" s="43" t="str">
        <f t="shared" si="127"/>
        <v/>
      </c>
      <c r="PI33" s="43">
        <f t="shared" si="128"/>
        <v>33</v>
      </c>
      <c r="PJ33" s="43" t="str">
        <f t="shared" si="129"/>
        <v/>
      </c>
      <c r="PK33" s="43" t="str">
        <f t="shared" si="130"/>
        <v/>
      </c>
      <c r="PL33" s="43" t="str">
        <f t="shared" si="131"/>
        <v/>
      </c>
      <c r="PM33" s="43" t="str">
        <f t="shared" si="132"/>
        <v/>
      </c>
      <c r="PN33" s="43" t="str">
        <f t="shared" si="133"/>
        <v/>
      </c>
      <c r="PO33" s="43" t="str">
        <f t="shared" si="134"/>
        <v/>
      </c>
      <c r="PP33" s="43" t="str">
        <f t="shared" si="135"/>
        <v/>
      </c>
      <c r="PQ33" s="43" t="str">
        <f t="shared" si="136"/>
        <v/>
      </c>
      <c r="PR33" s="43" t="str">
        <f t="shared" si="137"/>
        <v/>
      </c>
      <c r="PS33" s="43" t="str">
        <f t="shared" si="138"/>
        <v/>
      </c>
      <c r="PT33" s="43" t="str">
        <f t="shared" si="139"/>
        <v/>
      </c>
      <c r="PU33" s="43" t="str">
        <f t="shared" si="140"/>
        <v/>
      </c>
      <c r="PV33" s="43" t="str">
        <f t="shared" si="141"/>
        <v/>
      </c>
      <c r="PW33" s="43" t="str">
        <f t="shared" si="142"/>
        <v/>
      </c>
      <c r="PX33" s="43" t="str">
        <f t="shared" si="143"/>
        <v/>
      </c>
      <c r="PY33" s="43" t="str">
        <f t="shared" si="144"/>
        <v/>
      </c>
      <c r="PZ33" s="43" t="str">
        <f t="shared" si="145"/>
        <v/>
      </c>
      <c r="QA33" s="43" t="str">
        <f t="shared" si="146"/>
        <v/>
      </c>
      <c r="QB33" s="43" t="str">
        <f t="shared" si="147"/>
        <v/>
      </c>
      <c r="QC33" s="43" t="str">
        <f t="shared" si="148"/>
        <v/>
      </c>
      <c r="QD33" s="43" t="str">
        <f t="shared" si="149"/>
        <v/>
      </c>
      <c r="QE33" s="43" t="str">
        <f t="shared" si="150"/>
        <v/>
      </c>
      <c r="QF33" s="43" t="str">
        <f t="shared" si="151"/>
        <v/>
      </c>
      <c r="QG33" s="43" t="str">
        <f t="shared" si="152"/>
        <v/>
      </c>
      <c r="QH33" s="43" t="str">
        <f t="shared" si="153"/>
        <v/>
      </c>
      <c r="QI33" s="43" t="str">
        <f t="shared" si="154"/>
        <v/>
      </c>
      <c r="QJ33" s="43" t="str">
        <f t="shared" si="155"/>
        <v/>
      </c>
      <c r="QK33" s="43" t="str">
        <f t="shared" si="156"/>
        <v/>
      </c>
      <c r="QL33" s="43" t="str">
        <f t="shared" si="157"/>
        <v/>
      </c>
      <c r="QM33" s="43" t="str">
        <f t="shared" si="158"/>
        <v/>
      </c>
      <c r="QN33" s="43" t="str">
        <f t="shared" si="159"/>
        <v/>
      </c>
      <c r="QO33" s="43" t="str">
        <f t="shared" si="160"/>
        <v/>
      </c>
      <c r="QP33" s="43" t="str">
        <f t="shared" si="161"/>
        <v/>
      </c>
      <c r="QQ33" s="43" t="str">
        <f t="shared" si="162"/>
        <v/>
      </c>
      <c r="QR33" s="43">
        <f t="shared" si="192"/>
        <v>33</v>
      </c>
      <c r="QS33" s="43"/>
      <c r="QT33" s="21" t="str">
        <f t="shared" si="163"/>
        <v/>
      </c>
      <c r="QU33" s="21" t="str">
        <f t="shared" si="164"/>
        <v/>
      </c>
      <c r="QV33" s="21" t="str">
        <f t="shared" si="165"/>
        <v/>
      </c>
      <c r="QW33" s="21" t="str">
        <f t="shared" si="166"/>
        <v/>
      </c>
      <c r="QX33" s="21" t="str">
        <f t="shared" si="167"/>
        <v/>
      </c>
      <c r="QY33" s="21" t="str">
        <f t="shared" si="168"/>
        <v/>
      </c>
      <c r="QZ33" s="21" t="str">
        <f t="shared" si="169"/>
        <v/>
      </c>
      <c r="RA33" s="21" t="str">
        <f t="shared" si="170"/>
        <v/>
      </c>
      <c r="RB33" s="21" t="str">
        <f t="shared" si="171"/>
        <v/>
      </c>
      <c r="RC33" s="21" t="str">
        <f t="shared" si="172"/>
        <v/>
      </c>
      <c r="RD33" s="21" t="str">
        <f t="shared" si="173"/>
        <v/>
      </c>
      <c r="RE33" s="21" t="str">
        <f t="shared" si="174"/>
        <v/>
      </c>
      <c r="RF33" s="21" t="str">
        <f t="shared" si="175"/>
        <v/>
      </c>
      <c r="RG33" s="21" t="str">
        <f t="shared" si="176"/>
        <v/>
      </c>
      <c r="RH33" s="21" t="str">
        <f t="shared" si="177"/>
        <v/>
      </c>
      <c r="RI33" s="21" t="str">
        <f t="shared" si="178"/>
        <v/>
      </c>
      <c r="RJ33" s="21" t="str">
        <f t="shared" si="179"/>
        <v/>
      </c>
      <c r="RK33" s="21" t="str">
        <f t="shared" si="180"/>
        <v/>
      </c>
      <c r="RL33" s="21" t="str">
        <f t="shared" si="181"/>
        <v/>
      </c>
      <c r="RM33" s="21" t="str">
        <f t="shared" si="182"/>
        <v/>
      </c>
      <c r="RN33" s="21" t="str">
        <f t="shared" si="183"/>
        <v/>
      </c>
      <c r="RO33" s="21" t="str">
        <f t="shared" si="184"/>
        <v/>
      </c>
      <c r="RP33" s="21" t="str">
        <f t="shared" si="185"/>
        <v/>
      </c>
      <c r="RQ33" s="21" t="str">
        <f t="shared" si="186"/>
        <v/>
      </c>
      <c r="RR33" s="21" t="str">
        <f t="shared" si="187"/>
        <v/>
      </c>
      <c r="RS33" s="21" t="str">
        <f t="shared" si="188"/>
        <v/>
      </c>
      <c r="RT33" s="21" t="str">
        <f t="shared" si="189"/>
        <v/>
      </c>
      <c r="RU33" s="21" t="str">
        <f t="shared" si="190"/>
        <v/>
      </c>
      <c r="RV33" s="21">
        <f t="shared" si="191"/>
        <v>18</v>
      </c>
      <c r="RW33" s="284">
        <f>IF(OR(Tabla1[[#This Row],[FUM FORMULA CONFIABLE]]="",Tabla1[[#This Row],[FUM FORMULA CONFIABLE]]="SD"),"",IF(Tabla1[[#This Row],[FUM FORMULA CONFIABLE]]="CORREGIDA",Tabla1[[#This Row],[FUM X ECO 1]],Tabla1[[#This Row],[FUM x AMENORREA]]))</f>
        <v>44733</v>
      </c>
      <c r="RX33" s="21">
        <f>IF(AND(Tabla1[[#This Row],[FUM X ECO 1]]="",Tabla1[[#This Row],[FUM x AMENORREA]]=""),"",IF(AND(Tabla1[[#This Row],[FUM X ECO 1]]="",Tabla1[[#This Row],[FUM x AMENORREA]]&lt;&gt;""),"X",SUM(Tabla1[[#This Row],[FUM X ECO 1]]-Tabla1[[#This Row],[FUM x AMENORREA]])))</f>
        <v>0.90000000000145519</v>
      </c>
      <c r="RY33" s="21">
        <f t="shared" si="193"/>
        <v>0</v>
      </c>
    </row>
    <row r="34" spans="1:493" ht="45" customHeight="1" x14ac:dyDescent="0.25">
      <c r="A34" s="109" t="s">
        <v>1045</v>
      </c>
      <c r="B34" s="43"/>
      <c r="C34" s="43" t="s">
        <v>845</v>
      </c>
      <c r="D34" s="124" t="s">
        <v>846</v>
      </c>
      <c r="E34" s="43" t="s">
        <v>848</v>
      </c>
      <c r="F34" s="43" t="s">
        <v>874</v>
      </c>
      <c r="G34" s="43" t="s">
        <v>1046</v>
      </c>
      <c r="H34" s="43" t="s">
        <v>1047</v>
      </c>
      <c r="I34" s="109" t="s">
        <v>851</v>
      </c>
      <c r="J34" s="110">
        <v>1059594475</v>
      </c>
      <c r="K34" s="43" t="s">
        <v>852</v>
      </c>
      <c r="L34" s="175" t="s">
        <v>886</v>
      </c>
      <c r="M34" s="22">
        <v>37962</v>
      </c>
      <c r="N34" s="213">
        <f t="shared" ca="1" si="0"/>
        <v>19.920547945205481</v>
      </c>
      <c r="O34" s="22">
        <v>44820</v>
      </c>
      <c r="P34" s="214" t="str">
        <f t="shared" si="1"/>
        <v>SI</v>
      </c>
      <c r="Q34" s="26" t="s">
        <v>855</v>
      </c>
      <c r="R34" s="22">
        <v>44820</v>
      </c>
      <c r="S34" s="21" t="s">
        <v>856</v>
      </c>
      <c r="T34" s="24" t="s">
        <v>690</v>
      </c>
      <c r="U34" s="21" t="s">
        <v>857</v>
      </c>
      <c r="V34" s="21" t="s">
        <v>858</v>
      </c>
      <c r="W34" s="21" t="s">
        <v>876</v>
      </c>
      <c r="X34" s="21" t="s">
        <v>1048</v>
      </c>
      <c r="Y34" s="21" t="s">
        <v>859</v>
      </c>
      <c r="Z34" s="21" t="s">
        <v>846</v>
      </c>
      <c r="AA34" s="21" t="s">
        <v>860</v>
      </c>
      <c r="AB34" s="27" t="s">
        <v>861</v>
      </c>
      <c r="AC34" s="26" t="s">
        <v>897</v>
      </c>
      <c r="AD34" s="38" t="s">
        <v>1049</v>
      </c>
      <c r="AE34" s="26" t="s">
        <v>854</v>
      </c>
      <c r="AF34" s="26" t="s">
        <v>854</v>
      </c>
      <c r="AG34" s="23" t="s">
        <v>864</v>
      </c>
      <c r="AH34" s="23" t="s">
        <v>864</v>
      </c>
      <c r="AI34" s="24" t="s">
        <v>863</v>
      </c>
      <c r="AJ34" s="23" t="s">
        <v>864</v>
      </c>
      <c r="AK34" s="220" t="str">
        <f>IF(AND(AD34="",AE34="",AF34="",AG34="",AH34="",AI34="",AJ34=""),"",IF(OR(Tabla1[[#This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EVALUACIÓN",IF(AND(O34="",R34=""),"",IF(AND(OR(O34&gt;0,R34&gt;0),NG34&gt;=0,NG34&lt;2),"SIN RIESGO",IF(AND(OR(O34&gt;0,R34&gt;0),NG34&gt;=2),"CON RIESGO","ASD")))))</f>
        <v>SIN RIESGO</v>
      </c>
      <c r="AL34" s="23" t="s">
        <v>864</v>
      </c>
      <c r="AM34" s="26" t="s">
        <v>864</v>
      </c>
      <c r="AN34" s="26" t="s">
        <v>864</v>
      </c>
      <c r="AO34" s="26" t="s">
        <v>864</v>
      </c>
      <c r="AP34" s="26" t="s">
        <v>864</v>
      </c>
      <c r="AQ34" s="26" t="s">
        <v>864</v>
      </c>
      <c r="AR34" s="26" t="s">
        <v>864</v>
      </c>
      <c r="AS34" s="21">
        <v>0</v>
      </c>
      <c r="AT34" s="21">
        <v>0</v>
      </c>
      <c r="AU34" s="21">
        <v>0</v>
      </c>
      <c r="AV34" s="26" t="s">
        <v>864</v>
      </c>
      <c r="AW34" s="21">
        <v>0</v>
      </c>
      <c r="AX34" s="26" t="s">
        <v>864</v>
      </c>
      <c r="AY34" s="26" t="s">
        <v>864</v>
      </c>
      <c r="AZ34" s="26" t="s">
        <v>864</v>
      </c>
      <c r="BA34" s="26" t="s">
        <v>864</v>
      </c>
      <c r="BB34" s="26" t="s">
        <v>864</v>
      </c>
      <c r="BC34" s="26" t="s">
        <v>864</v>
      </c>
      <c r="BD34" s="26" t="s">
        <v>864</v>
      </c>
      <c r="BE34" s="26" t="s">
        <v>864</v>
      </c>
      <c r="BF34" s="26" t="s">
        <v>864</v>
      </c>
      <c r="BG34" s="26" t="s">
        <v>864</v>
      </c>
      <c r="BH34" s="26" t="s">
        <v>864</v>
      </c>
      <c r="BI34" s="26" t="s">
        <v>864</v>
      </c>
      <c r="BJ34" s="26"/>
      <c r="BK34" s="26"/>
      <c r="BL34" s="26" t="s">
        <v>864</v>
      </c>
      <c r="BM34" s="26" t="s">
        <v>864</v>
      </c>
      <c r="BN34" s="22"/>
      <c r="BO34" s="22">
        <v>44732</v>
      </c>
      <c r="BP34" s="21" t="s">
        <v>854</v>
      </c>
      <c r="BQ34" s="222">
        <f t="shared" si="2"/>
        <v>0</v>
      </c>
      <c r="BR34" s="223">
        <f t="shared" si="3"/>
        <v>44732.5</v>
      </c>
      <c r="BS34" s="224">
        <f t="shared" si="4"/>
        <v>12.571428571428571</v>
      </c>
      <c r="BT34" s="216" t="str">
        <f t="shared" si="5"/>
        <v>II TRIM</v>
      </c>
      <c r="BU34" s="214" t="str">
        <f t="shared" ca="1" si="6"/>
        <v/>
      </c>
      <c r="BV34" s="25"/>
      <c r="BW34" s="22">
        <v>44862</v>
      </c>
      <c r="BX34" s="28">
        <v>18.5</v>
      </c>
      <c r="BY34" s="28"/>
      <c r="BZ34" s="22"/>
      <c r="CA34" s="21"/>
      <c r="CB34" s="26" t="s">
        <v>864</v>
      </c>
      <c r="CC34" s="26" t="s">
        <v>864</v>
      </c>
      <c r="CD34" s="26" t="s">
        <v>878</v>
      </c>
      <c r="CE34" s="26" t="s">
        <v>864</v>
      </c>
      <c r="CF34" s="22" t="s">
        <v>1517</v>
      </c>
      <c r="CG34" s="21">
        <v>1.45</v>
      </c>
      <c r="CH34" s="21">
        <v>47</v>
      </c>
      <c r="CI34" s="214">
        <f t="shared" si="7"/>
        <v>22.354340071343639</v>
      </c>
      <c r="CJ34" s="225" t="e">
        <f>IF(AND(CI34&lt;10,CH34="SD"),"SIN DATO PESO PREGESTACION O I TRIM",IF(AND(OR(R34&gt;0,O34&gt;0),CI34="X"),"INGRESAR DATO DE PESO",IF(CI34="SD","INGRESAR DATO DE TALLA Y PESO",IF(AND(OR(Tabla1[[#This Row],[MOMENTO EN QUE SE REALIZA EL PESO AL INGRESO A CPN]]="PREGESTACIÓN",NZ34="Menor"),CI34&lt;18.5),"BAJO PESO",IF(AND(OR(Tabla1[[#This Row],[MOMENTO EN QUE SE REALIZA EL PESO AL INGRESO A CPN]]="PREGESTACIÓN",NZ34="Menor"),CI34&lt;25),"NORMAL",IF(AND(OR(Tabla1[[#This Row],[MOMENTO EN QUE SE REALIZA EL PESO AL INGRESO A CPN]]="PREGESTACIÓN",NZ34="Menor"),CI34&lt;30),"SOBREPESO",IF(AND(OR(Tabla1[[#This Row],[MOMENTO EN QUE SE REALIZA EL PESO AL INGRESO A CPN]]="PREGESTACIÓN",NZ34="Menor"),CI34&gt;=30,CI34&lt;50),"OBESIDAD",IF(AND(BS34&gt;0,Tabla1[[#This Row],[MOMENTO EN QUE SE REALIZA EL PESO AL INGRESO A CPN]]="GESTACIÓN"),HLOOKUP(NZ34,$OA$2:PH34,NY34),""))))))))</f>
        <v>#REF!</v>
      </c>
      <c r="CK34" s="212">
        <f t="shared" si="8"/>
        <v>44989</v>
      </c>
      <c r="CL34" s="21"/>
      <c r="CM34" s="214">
        <f t="shared" si="9"/>
        <v>0</v>
      </c>
      <c r="CN34" s="216">
        <f t="shared" si="10"/>
        <v>36</v>
      </c>
      <c r="CO34" s="216" t="e">
        <f>IF(PI34="","",IF(PI34&gt;0,HLOOKUP(PI34,$PJ$2:QQ34,NY34),""))</f>
        <v>#REF!</v>
      </c>
      <c r="CP34" s="21"/>
      <c r="CQ34" s="216" t="e">
        <f>IF(QR34="Menor","NO APLICA-MENOR 13 SEM",IF(AND(CC34="SI",CN34&gt;23),"NO APLICA- GEMELAR",IF(QR34="","",IF(QR34&gt;0,HLOOKUP(QR34,$QS$2:RU34,NY34),""))))</f>
        <v>#REF!</v>
      </c>
      <c r="CR34" s="21">
        <v>100</v>
      </c>
      <c r="CS34" s="21">
        <v>60</v>
      </c>
      <c r="CT34" s="217" t="str">
        <f>IF(R34="","",IF(AND(BS34&gt;1,BS34&lt;12,Tabla1[[#This Row],[T.A. SISTOLICA - ANTES DE SEMANA 12]]="",Tabla1[[#This Row],[T.A. DIASTOLICA - ANTES DE SEMANA 12]]=""),"REGISTRE DATO TA ANTES SEMANA 12",IF(AND(BS34&gt;11,BS34&lt;43,Tabla1[[#This Row],[T.A. SISTOLICA - ANTES DE SEMANA 12]]="",Tabla1[[#This Row],[T.A. DIASTOLICA - ANTES DE SEMANA 12]]=""),"NO APLICA REGISTRO TA-INGRESO TARDIO",IF(AND(OR(O34&gt;0,R34&gt;0),OR(CR34&gt;=140,CS34&gt;=90)),"DEFINIR ESTADIO HTA",IF(AND(OR(O34&gt;0,R34&gt;0),AND(CR34&gt;120,CR34&lt;=139)),"PRE HTA SEGUIMIENTO",IF(AND(OR(O34&gt;0,R34&gt;0),AND(CS34&gt;80,CS34&lt;=89)),"PRE HTA SEGUIMIENTO",IF(AND(OR(O34&gt;0,R34&gt;0),AND(CR34&gt;=80,CR34&lt;=120)),"APARENTEMENTE NORMAL",IF(AND(OR(O34&gt;0,R34&gt;0),AND(CS34&gt;=50,CS34&lt;=80)),"APARENTEMENTE NORMAL",IF(AND(OR(O34&gt;0,R34&gt;0),AND(CR34&gt;1,CR34&lt;=70),AND(CS34&gt;1,CS34&lt;=40)),"HIPOTENSIÓN","")))))))))</f>
        <v>APARENTEMENTE NORMAL</v>
      </c>
      <c r="CU34" s="21">
        <v>90</v>
      </c>
      <c r="CV34" s="21">
        <v>60</v>
      </c>
      <c r="CW34" s="217" t="str">
        <f ca="1">IF(R34="","",IF(AND(CN34&gt;19,CN34&lt;27,Tabla1[[#This Row],[T.A. SISTOLICA (Entre semana 20 y 26)]]="",Tabla1[[#This Row],[T.A. DIATOLICA (Entre semana 20 y 26)]]=""),"ACUDE A CONTROL SEM 20 A 26 REGISTRE TA AHORA",IF(AND(BS34&gt;1,BS34&lt;27,BU34&gt;19,Tabla1[[#This Row],[T.A. SISTOLICA (Entre semana 20 y 26)]]="",Tabla1[[#This Row],[T.A. DIATOLICA (Entre semana 20 y 26)]]=""),"COMPLETE REGISTRO TA CONTROL SEM 20 A26 ",IF(AND(BS34&gt;26,BS34&lt;43,Tabla1[[#This Row],[T.A. SISTOLICA (Entre semana 20 y 26)]]="",Tabla1[[#This Row],[T.A. DIATOLICA (Entre semana 20 y 26)]]=""),"NO APLICA REGISTRO TA-INGRESO TARDIO",IF(AND(OR(O34&gt;0,R34&gt;0),OR(CU34&gt;=140,CV34&gt;=90)),"ALTO RIESGO PREECLAMPSIA,DEFINIR ESTADIO HTA",IF(AND(OR(O34&gt;0,R34&gt;0),AND(CU34&gt;120,CU34&lt;=139)),"PRE HTA SEGUIMIENTO,RIESGO HIPERTENSION INDUCIDA POR EL EMBARAZO",IF(AND(OR(O34&gt;0,R34&gt;0),AND(CV34&gt;80,CV34&lt;=89)),"PRE HTA SEGUIMIENTO, RIESGO HIPERTENSION INDUCIDA POR EL EMBARAZO",IF(AND(OR(O34&lt;&gt;"",R34&lt;&gt;""),CS34&lt;&gt;"",CV34&lt;&gt;"",CS34&lt;=CV34),"VIGILAR CIFRAS PRESION ARTERIAL",IF(AND(OR(O34&gt;0,R34&gt;0),AND(CU34&gt;120,CU34&lt;=139)),"PRE HTA SEGUIMIENTO",IF(AND(OR(O34&gt;0,R34&gt;0),AND(CU34&gt;1,CU34&lt;=70),AND(CV34&gt;1,CV34&lt;=40)),"HIPOTENSIÓN",IF(AND(OR(O34&lt;&gt;"",R34&lt;&gt;""),CS34&lt;&gt;"",CV34&lt;&gt;"",CS34&gt;CV34),"APARENTEMENTE NORMAL",IF(AND(OR(O34&gt;0,R34&gt;0),AND(CU34&gt;=80,CU34&lt;=120)),"APARENTEMENTE NORMAL",IF(AND(OR(O34&gt;0,R34&gt;0),AND(CV34&gt;=50,CV34&lt;=80)),"APARENTEMENTE NORMAL","")))))))))))))</f>
        <v>VIGILAR CIFRAS PRESION ARTERIAL</v>
      </c>
      <c r="CX34" s="21"/>
      <c r="CY34" s="21"/>
      <c r="CZ34" s="216" t="str">
        <f t="shared" si="11"/>
        <v/>
      </c>
      <c r="DA34" s="21"/>
      <c r="DB34" s="21"/>
      <c r="DC34" s="217" t="str">
        <f t="shared" si="12"/>
        <v>REGISTRE DATO PRESIÓN ARTERIAL MENSUAL</v>
      </c>
      <c r="DD34" s="22">
        <v>44820</v>
      </c>
      <c r="DE34" s="22">
        <v>44820</v>
      </c>
      <c r="DF34" s="22">
        <v>44854</v>
      </c>
      <c r="DG34" s="22">
        <v>44916</v>
      </c>
      <c r="DH34" s="22"/>
      <c r="DI34" s="22">
        <v>44989</v>
      </c>
      <c r="DJ34" s="22"/>
      <c r="DK34" s="22"/>
      <c r="DL34" s="22"/>
      <c r="DM34" s="22"/>
      <c r="DN34" s="22"/>
      <c r="DO34" s="22"/>
      <c r="DP34" s="22"/>
      <c r="DQ34" s="22"/>
      <c r="DR34" s="28">
        <v>2</v>
      </c>
      <c r="DS34" s="22"/>
      <c r="DT34" s="22"/>
      <c r="DU34" s="216" t="str">
        <f t="shared" ca="1" si="13"/>
        <v>SALE SIN PLAN DE PARTO</v>
      </c>
      <c r="DV34" s="226" t="str">
        <f t="shared" si="14"/>
        <v>SALIO PROGRAMA</v>
      </c>
      <c r="DW3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4" s="216" t="str">
        <f t="shared" ca="1" si="15"/>
        <v/>
      </c>
      <c r="DY34" s="212">
        <f>IF(R34="","",IF(R34&gt;0,MAX(Tabla1[[#This Row],[FECHA C2]:[FECHA C13]],Tabla1[[#This Row],[FECHA CONSULTA PRIMERA VEZ PROGRAMA CPN ]])))</f>
        <v>44989</v>
      </c>
      <c r="DZ34" s="216">
        <f t="shared" si="16"/>
        <v>36</v>
      </c>
      <c r="EA34" s="222">
        <f>IF(R34&gt;0,SUM(COUNTA(DF34:DQ34)+COUNTA(Tabla1[[#This Row],[FECHA CONSULTA PRIMERA VEZ PROGRAMA CPN ]])),"")</f>
        <v>4</v>
      </c>
      <c r="EB34" s="222" t="str">
        <f t="shared" si="17"/>
        <v>SI</v>
      </c>
      <c r="EC34" s="214">
        <f t="shared" si="18"/>
        <v>8</v>
      </c>
      <c r="ED34" s="227">
        <f t="shared" si="19"/>
        <v>0.5</v>
      </c>
      <c r="EE34" s="22">
        <v>44820</v>
      </c>
      <c r="EF34" s="22">
        <v>44862</v>
      </c>
      <c r="EG34" s="22">
        <v>44820</v>
      </c>
      <c r="EH34" s="22"/>
      <c r="EI34" s="22">
        <v>44820</v>
      </c>
      <c r="EJ34" s="22"/>
      <c r="EK34" s="22"/>
      <c r="EL34" s="21"/>
      <c r="EM34" s="21"/>
      <c r="EN34" s="22"/>
      <c r="EO34" s="222" t="str">
        <f t="shared" si="20"/>
        <v>TOMAR EXAMEN</v>
      </c>
      <c r="EP34" s="214" t="str">
        <f t="shared" si="21"/>
        <v/>
      </c>
      <c r="EQ34" s="216" t="str">
        <f t="shared" si="22"/>
        <v>POR DEFINIR</v>
      </c>
      <c r="ER34" s="24">
        <v>13.1</v>
      </c>
      <c r="ES34" s="22">
        <v>44981</v>
      </c>
      <c r="ET34" s="29">
        <f t="shared" ca="1" si="23"/>
        <v>35.571428571428569</v>
      </c>
      <c r="EU34" s="25" t="str">
        <f t="shared" si="24"/>
        <v>NORMAL- SUMINISTRAR SULFATO FERROSO</v>
      </c>
      <c r="EV34" s="24" t="s">
        <v>866</v>
      </c>
      <c r="EW34" s="24">
        <v>44981</v>
      </c>
      <c r="EX34" s="22"/>
      <c r="EY34" s="29">
        <f t="shared" si="25"/>
        <v>35.571428571428569</v>
      </c>
      <c r="EZ34" s="25" t="str">
        <f t="shared" ca="1" si="26"/>
        <v/>
      </c>
      <c r="FA34" s="21">
        <v>73</v>
      </c>
      <c r="FB34" s="22">
        <v>44981</v>
      </c>
      <c r="FC34" s="29" t="str">
        <f t="shared" si="27"/>
        <v>NO APLICA &gt; 23 SEM -TOMAR PTOG</v>
      </c>
      <c r="FD34" s="29"/>
      <c r="FE34" s="29"/>
      <c r="FF34" s="29"/>
      <c r="FG34" s="21" t="str">
        <f t="shared" ca="1" si="28"/>
        <v/>
      </c>
      <c r="FH34" s="31">
        <v>44981</v>
      </c>
      <c r="FI34" s="29">
        <f t="shared" si="29"/>
        <v>35.571428571428569</v>
      </c>
      <c r="FJ34" s="22"/>
      <c r="FK34" s="22"/>
      <c r="FL34" s="29" t="str">
        <f t="shared" ca="1" si="30"/>
        <v>PIERDE TOMA DE TAMIZAJE</v>
      </c>
      <c r="FM34" s="22"/>
      <c r="FN34" s="32"/>
      <c r="FO34" s="29" t="str">
        <f t="shared" ca="1" si="31"/>
        <v>PIERDE TOMA DE TAMIZAJE</v>
      </c>
      <c r="FP34" s="22" t="s">
        <v>867</v>
      </c>
      <c r="FQ34" s="32">
        <v>44981</v>
      </c>
      <c r="FR34" s="29">
        <f t="shared" ca="1" si="32"/>
        <v>35.571428571428569</v>
      </c>
      <c r="FS34" s="22"/>
      <c r="FT34" s="32"/>
      <c r="FU34" s="29" t="str">
        <f>IF(AND(FJ34="",FM34="",FP34="",FS34=""),"",IF(OR(OR(Tabla1[[#This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4" s="28"/>
      <c r="FW34" s="22"/>
      <c r="FX34" s="29" t="str">
        <f t="shared" si="33"/>
        <v>TOMAR EXAMEN</v>
      </c>
      <c r="FY34" s="22">
        <v>44981</v>
      </c>
      <c r="FZ34" s="22">
        <v>44981</v>
      </c>
      <c r="GA34" s="29" t="str">
        <f t="shared" si="34"/>
        <v>REGISTRAR EN III TRIMESTRE</v>
      </c>
      <c r="GB34" s="22"/>
      <c r="GC34" s="22"/>
      <c r="GD34" s="29" t="str">
        <f t="shared" ca="1" si="35"/>
        <v>PIERDE TOMA DE TAMIZAJE</v>
      </c>
      <c r="GE34" s="22" t="s">
        <v>868</v>
      </c>
      <c r="GF34" s="22">
        <v>44981</v>
      </c>
      <c r="GG34" s="29">
        <f t="shared" ca="1" si="36"/>
        <v>35.571428571428569</v>
      </c>
      <c r="GH34" s="22"/>
      <c r="GI34" s="29"/>
      <c r="GJ34" s="22"/>
      <c r="GK34" s="22"/>
      <c r="GL34" s="22" t="s">
        <v>879</v>
      </c>
      <c r="GM34" s="22"/>
      <c r="GN34" s="28" t="s">
        <v>869</v>
      </c>
      <c r="GO34" s="22">
        <v>44981</v>
      </c>
      <c r="GP34" s="29">
        <f t="shared" si="37"/>
        <v>35.571428571428569</v>
      </c>
      <c r="GQ34" s="28" t="s">
        <v>869</v>
      </c>
      <c r="GR34" s="28" t="s">
        <v>869</v>
      </c>
      <c r="GS34" s="22" t="str">
        <f t="shared" si="38"/>
        <v>CONTROL Igm</v>
      </c>
      <c r="GT34" s="22">
        <v>44981</v>
      </c>
      <c r="GU34" s="29">
        <f t="shared" si="39"/>
        <v>35.571428571428569</v>
      </c>
      <c r="GV34" s="21" t="str">
        <f t="shared" si="40"/>
        <v>III TRIM</v>
      </c>
      <c r="GW34" s="28" t="s">
        <v>869</v>
      </c>
      <c r="GX34" s="30"/>
      <c r="GY34" s="21"/>
      <c r="GZ34" s="21"/>
      <c r="HA34" s="21"/>
      <c r="HB34" s="21"/>
      <c r="HC34" s="21"/>
      <c r="HD34" s="21"/>
      <c r="HE34" s="21"/>
      <c r="HF34" s="22"/>
      <c r="HG34" s="22" t="str">
        <f>IF(OR(O34&gt;0,R34&gt;0),CONCATENATE(IF(Tabla1[[#This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4" s="22" t="e">
        <f t="shared" si="41"/>
        <v>#REF!</v>
      </c>
      <c r="HI34" s="22" t="e">
        <f t="shared" ca="1" si="42"/>
        <v>#REF!</v>
      </c>
      <c r="HJ34" s="21"/>
      <c r="HK34" s="21" t="str">
        <f t="shared" si="44"/>
        <v>SIN ANTECEDENTES DE RIESGO</v>
      </c>
      <c r="HL34" s="24" t="str">
        <f t="shared" si="45"/>
        <v>REGISTRE DATO PRESIÓN ARTERIAL MENSUAL</v>
      </c>
      <c r="HM34" s="21" t="str">
        <f t="shared" ca="1" si="46"/>
        <v/>
      </c>
      <c r="HN34" s="30" t="str">
        <f t="shared" si="47"/>
        <v>SALIO PROGRAMA</v>
      </c>
      <c r="HO34" s="21"/>
      <c r="HP34" s="21"/>
      <c r="HQ34" s="21">
        <v>44989</v>
      </c>
      <c r="HR34" s="21" t="str">
        <f>IF(R34="","",IF(Tabla1[[#This Row],[ALARMA FACTORES DE RIESGO COMPLICACIONES HIPERTENSIVAS3]]="SIN ANTECEDENTES DE RIESGO","No Aplica para suministro de ASA",IF(AND(Tabla1[[#This Row],[FECHA INICIO DE SUMINISTRO DE ASA]]&gt;0,RV34&lt;12),"Inicia ASA ANTES de Sem 12",IF(AND(RV34&gt;11,RV34&lt;17,OR(HK34="RIESGO ALTO DE COMPLICACIONES HIPERTENSIVAS VER MANEJO GUIA SUMINISTRO ASA Y CALCIO",HK34="RIESGO MODERADO (2 O MAS CRITERIOS) VER MANEJO GUIA SUMINISTRO ASA Y CALCIO")),"Inicio oportuno de ASA",IF(AND(RV34&gt;12,OR(HK34="RIESGO ALTO DE COMPLICACIONES HIPERTENSIVAS VER MANEJO GUIA SUMINISTRO ASA Y CALCIO",HK34="RIESGO MODERADO (2 O MAS CRITERIOS) VER MANEJO GUIA SUMINISTRO ASA Y CALCIO")),"Inicio no oportuno mayor a 16 semanas",IF(AND(BU34&lt;12,OR(HK34="RIESGO ALTO DE COMPLICACIONES HIPERTENSIVAS VER MANEJO GUIA SUMINISTRO ASA Y CALCIO",HK34="RIESGO MODERADO (2 O MAS CRITERIOS) VER MANEJO GUIA SUMINISTRO ASA Y CALCIO")),"Pendiente Inicio de ASA a la semana 12",IF(AND(BU34&gt;11,BU34&lt;17,OR(HK34="RIESGO ALTO DE COMPLICACIONES HIPERTENSIVAS VER MANEJO GUIA SUMINISTRO ASA Y CALCIO",HK34="RIESGO MODERADO (2 O MAS CRITERIOS) VER MANEJO GUIA SUMINISTRO ASA Y CALCIO")),"Iniciar de inmediato ASA",IF(AND(BU34&gt;16,OR(HK34="RIESGO ALTO DE COMPLICACIONES HIPERTENSIVAS VER MANEJO GUIA SUMINISTRO ASA Y CALCIO",HK34="RIESGO MODERADO (2 O MAS CRITERIOS) VER MANEJO GUIA SUMINISTRO ASA Y CALCIO")),"Pierde Oportunidad, Inicio tardío de ASA","XXXXX"))))))))</f>
        <v>No Aplica para suministro de ASA</v>
      </c>
      <c r="HS34" s="22">
        <v>44989</v>
      </c>
      <c r="HT34" s="22" t="s">
        <v>870</v>
      </c>
      <c r="HU34" s="22">
        <v>44989</v>
      </c>
      <c r="HV34" s="22"/>
      <c r="HW34" s="22">
        <v>44989</v>
      </c>
      <c r="HX34" s="22" t="s">
        <v>870</v>
      </c>
      <c r="HY34" s="22"/>
      <c r="HZ34" s="28" t="str">
        <f t="shared" si="48"/>
        <v>PENDIENTE CONSULTA</v>
      </c>
      <c r="IA34" s="26" t="s">
        <v>864</v>
      </c>
      <c r="IB34" s="26"/>
      <c r="IC34" s="111"/>
      <c r="ID34" s="22"/>
      <c r="IE34" s="22" t="str">
        <f t="shared" ca="1" si="49"/>
        <v>SALE SIN VACUNA</v>
      </c>
      <c r="IF34" s="22"/>
      <c r="IG34" s="22">
        <f t="shared" si="50"/>
        <v>45012</v>
      </c>
      <c r="IH34" s="29">
        <f t="shared" ca="1" si="51"/>
        <v>-221</v>
      </c>
      <c r="II34" s="22" t="str">
        <f t="shared" ca="1" si="52"/>
        <v>POSIBLEMENTE NACIO</v>
      </c>
      <c r="IJ34" s="22"/>
      <c r="IK34" s="21" t="s">
        <v>898</v>
      </c>
      <c r="IL34" s="21"/>
      <c r="IM34" s="34"/>
      <c r="IN34" s="349">
        <v>44998</v>
      </c>
      <c r="IO34" s="21" t="s">
        <v>1186</v>
      </c>
      <c r="IP34" s="29">
        <f t="shared" si="53"/>
        <v>38</v>
      </c>
      <c r="IQ34" s="110" t="s">
        <v>1654</v>
      </c>
      <c r="IR34" s="21" t="s">
        <v>1651</v>
      </c>
      <c r="IS34" s="21" t="s">
        <v>1646</v>
      </c>
      <c r="IT34" s="21" t="s">
        <v>1642</v>
      </c>
      <c r="IU34" s="21"/>
      <c r="IV34" s="21"/>
      <c r="IW34" s="21"/>
      <c r="IX34" s="21"/>
      <c r="IY34" s="21"/>
      <c r="IZ34" s="21"/>
      <c r="JA34" s="21"/>
      <c r="JB34" s="30">
        <v>1</v>
      </c>
      <c r="JC34" s="21" t="s">
        <v>1643</v>
      </c>
      <c r="JD34" s="36">
        <v>2360</v>
      </c>
      <c r="JE34" s="21" t="str">
        <f t="shared" si="54"/>
        <v>BAJO PESO AL NACER</v>
      </c>
      <c r="JF34" s="30"/>
      <c r="JG34" s="21"/>
      <c r="JH34" s="21"/>
      <c r="JI34" s="21" t="s">
        <v>854</v>
      </c>
      <c r="JJ34" s="30" t="s">
        <v>866</v>
      </c>
      <c r="JK34" s="22"/>
      <c r="JL34" s="22"/>
      <c r="JM34" s="21"/>
      <c r="JN34" s="36"/>
      <c r="JO34" s="21" t="str">
        <f t="shared" si="55"/>
        <v/>
      </c>
      <c r="JP34" s="22"/>
      <c r="JQ34" s="21"/>
      <c r="JR34" s="21"/>
      <c r="JS34" s="21"/>
      <c r="JT34" s="30"/>
      <c r="JU34" s="22"/>
      <c r="JV34" s="22"/>
      <c r="JW34" s="33"/>
      <c r="JX34" s="28" t="str">
        <f t="shared" si="56"/>
        <v>INASISTENTE</v>
      </c>
      <c r="JY34" s="33"/>
      <c r="JZ34" s="28" t="str">
        <f t="shared" si="57"/>
        <v>INASISTENTE</v>
      </c>
      <c r="KA34" s="21"/>
      <c r="KB34" s="21"/>
      <c r="KC34" s="21"/>
      <c r="KD34" s="37"/>
      <c r="KE34" s="28"/>
      <c r="KF34" s="28"/>
      <c r="KG34" s="28"/>
      <c r="KH34" s="39"/>
      <c r="KI34" s="39"/>
      <c r="KJ34" s="66"/>
      <c r="KK34" s="39"/>
      <c r="KL34" s="39"/>
      <c r="KM34" s="66"/>
      <c r="KN34" s="39"/>
      <c r="KO34" s="39"/>
      <c r="KP34" s="39"/>
      <c r="KQ34" s="39"/>
      <c r="KR34" s="39"/>
      <c r="KS34" s="39"/>
      <c r="KT34" s="39"/>
      <c r="KU34" s="38"/>
      <c r="KV34" s="38"/>
      <c r="KW34" s="38"/>
      <c r="KX34" s="38"/>
      <c r="KY34" s="38"/>
      <c r="KZ34" s="38"/>
      <c r="LA34" s="38"/>
      <c r="LB34" s="38"/>
      <c r="LC34" s="38"/>
      <c r="LD34" s="38"/>
      <c r="LE34" s="38"/>
      <c r="LF34" s="38"/>
      <c r="LG34" s="38"/>
      <c r="LH34" s="38"/>
      <c r="LI34" s="38"/>
      <c r="LJ34" s="38"/>
      <c r="LK34" s="38"/>
      <c r="LL34" s="38"/>
      <c r="LM34" s="38"/>
      <c r="LN34" s="38"/>
      <c r="LO34" s="38"/>
      <c r="LP34" s="38"/>
      <c r="LQ34" s="38"/>
      <c r="LR34" s="38"/>
      <c r="LS34" s="38"/>
      <c r="LT34" s="38"/>
      <c r="LU34" s="38"/>
      <c r="LV34" s="38"/>
      <c r="LW34" s="38"/>
      <c r="LX34" s="38"/>
      <c r="LY34" s="38"/>
      <c r="LZ34" s="38"/>
      <c r="MA34" s="38"/>
      <c r="MB34" s="38"/>
      <c r="MC34" s="38"/>
      <c r="MD34" s="38"/>
      <c r="ME34" s="38"/>
      <c r="MF34" s="38"/>
      <c r="MG34" s="38"/>
      <c r="MH34" s="43">
        <f t="shared" si="58"/>
        <v>0</v>
      </c>
      <c r="MI34" s="43" t="str">
        <f t="shared" si="59"/>
        <v/>
      </c>
      <c r="MJ34" s="43" t="str">
        <f t="shared" si="60"/>
        <v/>
      </c>
      <c r="MK34" s="43">
        <f t="shared" si="61"/>
        <v>0</v>
      </c>
      <c r="ML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4" s="43">
        <f t="shared" si="62"/>
        <v>12.571428571428571</v>
      </c>
      <c r="MN34" s="43">
        <f t="shared" si="63"/>
        <v>9</v>
      </c>
      <c r="MO34" s="43">
        <f t="shared" si="64"/>
        <v>2022</v>
      </c>
      <c r="MP34" s="43" t="str">
        <f t="shared" si="65"/>
        <v>III TRIMESTRE AÑO</v>
      </c>
      <c r="MQ34" s="43">
        <f t="shared" si="66"/>
        <v>18.503613666228645</v>
      </c>
      <c r="MR34" s="43">
        <f t="shared" si="67"/>
        <v>0</v>
      </c>
      <c r="MS34" s="43" t="str">
        <f t="shared" si="68"/>
        <v>DE 14 A 19AÑOS</v>
      </c>
      <c r="MT34" s="43">
        <f t="shared" si="69"/>
        <v>0</v>
      </c>
      <c r="MU34" s="43">
        <f t="shared" si="70"/>
        <v>1</v>
      </c>
      <c r="MV34" s="43">
        <f t="shared" si="71"/>
        <v>0</v>
      </c>
      <c r="MW34" s="43">
        <f t="shared" si="72"/>
        <v>0</v>
      </c>
      <c r="MX34" s="43" t="str">
        <f t="shared" si="73"/>
        <v/>
      </c>
      <c r="MY34" s="43" t="str">
        <f t="shared" ca="1" si="74"/>
        <v/>
      </c>
      <c r="MZ34" s="43" t="str">
        <f t="shared" si="75"/>
        <v/>
      </c>
      <c r="NA34" s="43">
        <f t="shared" si="76"/>
        <v>0</v>
      </c>
      <c r="NB34" s="43" t="str">
        <f t="shared" si="77"/>
        <v/>
      </c>
      <c r="NC34" s="43" t="str">
        <f t="shared" si="78"/>
        <v/>
      </c>
      <c r="ND34" s="43">
        <f t="shared" ca="1" si="79"/>
        <v>1</v>
      </c>
      <c r="NE34" s="43">
        <f>IF(OR(O34&gt;0,R34&gt;0),SUM(COUNTIF(Tabla1[[#This Row],[AÑOS AL INICIO5 CPN]],"&gt;=40"),COUNTIF(AS34,"0"),COUNTIF(AR34,"SI"),COUNTIF(CC34,"SI"),COUNTIF(BQ34,"&gt;119"),COUNTIF(CI34,"&gt;=35")),"")</f>
        <v>1</v>
      </c>
      <c r="NF34" s="43" t="str">
        <f t="shared" si="80"/>
        <v/>
      </c>
      <c r="NG34" s="43">
        <f t="shared" si="81"/>
        <v>0</v>
      </c>
      <c r="NH34" s="43">
        <f t="shared" si="82"/>
        <v>129.5</v>
      </c>
      <c r="NI3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CPN",P34="NO"),"Z",IF(AND(Tabla1[[#This Row],[CITA PROXIMO CONTROL]]="CITA MANUAL",Tabla1[[#This Row],[GESTANTES ACTUALES]]="ACTIVA INGRESO A CPN"),"W",IF(AND(Tabla1[[#This Row],[GESTANTES ACTUALES]]="SALIO PROGRAMA",IN34=""),"S",IF(AND(Tabla1[[#This Row],[CITA PROXIMO CONTROL]]&gt;0,IN34=""),(Tabla1[[#This Row],[CITA PROXIMO CONTROL]]-TODAY()),"SD"))))))))</f>
        <v>SD</v>
      </c>
      <c r="NJ34" s="43">
        <f>MONTH(Tabla1[[#This Row],[FECHA DE SALIDA  DEL PROGRAMA]])</f>
        <v>3</v>
      </c>
      <c r="NK34" s="43">
        <f>YEAR(Tabla1[[#This Row],[FECHA DE SALIDA  DEL PROGRAMA]])</f>
        <v>2023</v>
      </c>
      <c r="NL34" s="43" t="str">
        <f t="shared" si="83"/>
        <v>X</v>
      </c>
      <c r="NM34" s="43" t="str">
        <f t="shared" si="84"/>
        <v>NO</v>
      </c>
      <c r="NN34" s="43" t="str">
        <f ca="1">IF(AND(O34&gt;0,R34=""),"NO CPN",IF(AND(O34="",R34=""),"",IF(AND(R34&gt;0,Tabla1[[#This Row],[SEMANAS DE GESTACION ACTUALIZADAS]]&lt;=12),"NO APLICA",IF(AND(FH34&lt;&gt;"",FN34&lt;&gt;""),"SI","NO"))))</f>
        <v>NO</v>
      </c>
      <c r="NO34" s="43" t="str">
        <f ca="1">IF(AND(O34&gt;0,R34=""),"NO CPN",IF(AND(O34="",R34=""),"",IF(AND(R34&gt;0,Tabla1[[#This Row],[SEMANAS DE GESTACION ACTUALIZADAS]]&lt;=27),"NO APLICA",IF(AND(ES34&lt;&gt;"",FQ34&lt;&gt;"",GF34&lt;&gt;""),"SI","NO"))))</f>
        <v>SI</v>
      </c>
      <c r="NP34" s="204" t="str">
        <f t="shared" si="85"/>
        <v>II TRIM</v>
      </c>
      <c r="NQ34" s="21">
        <f t="shared" si="86"/>
        <v>10</v>
      </c>
      <c r="NR34" s="21">
        <f t="shared" si="87"/>
        <v>2</v>
      </c>
      <c r="NS34" s="205">
        <f t="shared" ca="1" si="88"/>
        <v>1</v>
      </c>
      <c r="NT34" s="21">
        <f t="shared" ca="1" si="89"/>
        <v>1</v>
      </c>
      <c r="NU34" s="21" t="str">
        <f t="shared" ca="1" si="90"/>
        <v>INCOMPLETO</v>
      </c>
      <c r="NV34" s="21" t="str">
        <f t="shared" ca="1" si="91"/>
        <v>INCOMPLETO</v>
      </c>
      <c r="NW34" s="206" t="str">
        <f>IF(AND(O34="",R34=""),"",IF(OR(AND(Tabla1[[#This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4" s="207" t="str">
        <f t="shared" ca="1" si="92"/>
        <v>SIN VACUNAR</v>
      </c>
      <c r="NY34" s="43">
        <f>ROW(Tabla1[[#This Row],['# DE TAMIZAJES SIFILIS TOMADOS ]])</f>
        <v>34</v>
      </c>
      <c r="NZ34" s="43">
        <f t="shared" si="93"/>
        <v>12</v>
      </c>
      <c r="OA34" s="43" t="str">
        <f t="shared" si="94"/>
        <v/>
      </c>
      <c r="OB34" s="43" t="str">
        <f t="shared" si="95"/>
        <v/>
      </c>
      <c r="OC34" s="43" t="str">
        <f t="shared" si="96"/>
        <v/>
      </c>
      <c r="OD34" s="43" t="str">
        <f t="shared" si="97"/>
        <v>NORMAL</v>
      </c>
      <c r="OE34" s="43" t="str">
        <f t="shared" si="98"/>
        <v/>
      </c>
      <c r="OF34" s="43" t="str">
        <f t="shared" si="99"/>
        <v/>
      </c>
      <c r="OG34" s="43" t="str">
        <f t="shared" si="100"/>
        <v/>
      </c>
      <c r="OH34" s="43" t="str">
        <f t="shared" si="101"/>
        <v/>
      </c>
      <c r="OI34" s="43" t="str">
        <f t="shared" si="102"/>
        <v/>
      </c>
      <c r="OJ34" s="43" t="str">
        <f t="shared" si="103"/>
        <v/>
      </c>
      <c r="OK34" s="43" t="str">
        <f t="shared" si="104"/>
        <v/>
      </c>
      <c r="OL34" s="43" t="str">
        <f t="shared" si="105"/>
        <v/>
      </c>
      <c r="OM34" s="43" t="str">
        <f t="shared" si="106"/>
        <v/>
      </c>
      <c r="ON34" s="43" t="str">
        <f t="shared" si="107"/>
        <v/>
      </c>
      <c r="OO34" s="43" t="str">
        <f t="shared" si="108"/>
        <v/>
      </c>
      <c r="OP34" s="43" t="str">
        <f t="shared" si="109"/>
        <v/>
      </c>
      <c r="OQ34" s="43" t="str">
        <f t="shared" si="110"/>
        <v/>
      </c>
      <c r="OR34" s="43" t="str">
        <f t="shared" si="111"/>
        <v/>
      </c>
      <c r="OS34" s="43" t="str">
        <f t="shared" si="112"/>
        <v/>
      </c>
      <c r="OT34" s="43" t="str">
        <f t="shared" si="113"/>
        <v/>
      </c>
      <c r="OU34" s="43" t="str">
        <f t="shared" si="114"/>
        <v/>
      </c>
      <c r="OV34" s="110" t="str">
        <f t="shared" si="115"/>
        <v/>
      </c>
      <c r="OW34" s="43" t="str">
        <f t="shared" si="116"/>
        <v/>
      </c>
      <c r="OX34" s="43" t="str">
        <f t="shared" si="117"/>
        <v/>
      </c>
      <c r="OY34" s="43" t="str">
        <f t="shared" si="118"/>
        <v/>
      </c>
      <c r="OZ34" s="43" t="str">
        <f t="shared" si="119"/>
        <v/>
      </c>
      <c r="PA34" s="43" t="str">
        <f t="shared" si="120"/>
        <v/>
      </c>
      <c r="PB34" s="43" t="str">
        <f t="shared" si="121"/>
        <v/>
      </c>
      <c r="PC34" s="43" t="str">
        <f t="shared" si="122"/>
        <v/>
      </c>
      <c r="PD34" s="43" t="str">
        <f t="shared" si="123"/>
        <v/>
      </c>
      <c r="PE34" s="43" t="str">
        <f t="shared" si="124"/>
        <v/>
      </c>
      <c r="PF34" s="43" t="str">
        <f t="shared" si="125"/>
        <v/>
      </c>
      <c r="PG34" s="43" t="str">
        <f t="shared" si="126"/>
        <v/>
      </c>
      <c r="PH34" s="43" t="str">
        <f t="shared" si="127"/>
        <v/>
      </c>
      <c r="PI34" s="43">
        <f t="shared" si="128"/>
        <v>36</v>
      </c>
      <c r="PJ34" s="43" t="str">
        <f t="shared" si="129"/>
        <v/>
      </c>
      <c r="PK34" s="43" t="str">
        <f t="shared" si="130"/>
        <v/>
      </c>
      <c r="PL34" s="43" t="str">
        <f t="shared" si="131"/>
        <v/>
      </c>
      <c r="PM34" s="43" t="str">
        <f t="shared" si="132"/>
        <v/>
      </c>
      <c r="PN34" s="43" t="str">
        <f t="shared" si="133"/>
        <v/>
      </c>
      <c r="PO34" s="43" t="str">
        <f t="shared" si="134"/>
        <v/>
      </c>
      <c r="PP34" s="43" t="str">
        <f t="shared" si="135"/>
        <v/>
      </c>
      <c r="PQ34" s="43" t="str">
        <f t="shared" si="136"/>
        <v/>
      </c>
      <c r="PR34" s="43" t="str">
        <f t="shared" si="137"/>
        <v/>
      </c>
      <c r="PS34" s="43" t="str">
        <f t="shared" si="138"/>
        <v/>
      </c>
      <c r="PT34" s="43" t="str">
        <f t="shared" si="139"/>
        <v/>
      </c>
      <c r="PU34" s="43" t="str">
        <f t="shared" si="140"/>
        <v/>
      </c>
      <c r="PV34" s="43" t="str">
        <f t="shared" si="141"/>
        <v/>
      </c>
      <c r="PW34" s="43" t="str">
        <f t="shared" si="142"/>
        <v/>
      </c>
      <c r="PX34" s="43" t="str">
        <f t="shared" si="143"/>
        <v/>
      </c>
      <c r="PY34" s="43" t="str">
        <f t="shared" si="144"/>
        <v/>
      </c>
      <c r="PZ34" s="43" t="str">
        <f t="shared" si="145"/>
        <v/>
      </c>
      <c r="QA34" s="43" t="str">
        <f t="shared" si="146"/>
        <v/>
      </c>
      <c r="QB34" s="43" t="str">
        <f t="shared" si="147"/>
        <v/>
      </c>
      <c r="QC34" s="43" t="str">
        <f t="shared" si="148"/>
        <v/>
      </c>
      <c r="QD34" s="43" t="str">
        <f t="shared" si="149"/>
        <v/>
      </c>
      <c r="QE34" s="43" t="str">
        <f t="shared" si="150"/>
        <v/>
      </c>
      <c r="QF34" s="43" t="str">
        <f t="shared" si="151"/>
        <v/>
      </c>
      <c r="QG34" s="43" t="str">
        <f t="shared" si="152"/>
        <v/>
      </c>
      <c r="QH34" s="43" t="str">
        <f t="shared" si="153"/>
        <v/>
      </c>
      <c r="QI34" s="43" t="str">
        <f t="shared" si="154"/>
        <v/>
      </c>
      <c r="QJ34" s="43" t="str">
        <f t="shared" si="155"/>
        <v/>
      </c>
      <c r="QK34" s="43" t="str">
        <f t="shared" si="156"/>
        <v/>
      </c>
      <c r="QL34" s="43" t="str">
        <f t="shared" si="157"/>
        <v/>
      </c>
      <c r="QM34" s="43" t="str">
        <f t="shared" si="158"/>
        <v/>
      </c>
      <c r="QN34" s="43" t="str">
        <f t="shared" si="159"/>
        <v/>
      </c>
      <c r="QO34" s="43" t="str">
        <f t="shared" si="160"/>
        <v/>
      </c>
      <c r="QP34" s="43" t="str">
        <f t="shared" si="161"/>
        <v/>
      </c>
      <c r="QQ34" s="43" t="str">
        <f t="shared" si="162"/>
        <v/>
      </c>
      <c r="QR34" s="43">
        <f t="shared" si="192"/>
        <v>36</v>
      </c>
      <c r="QS34" s="43"/>
      <c r="QT34" s="21" t="str">
        <f t="shared" si="163"/>
        <v/>
      </c>
      <c r="QU34" s="21" t="str">
        <f t="shared" si="164"/>
        <v/>
      </c>
      <c r="QV34" s="21" t="str">
        <f t="shared" si="165"/>
        <v/>
      </c>
      <c r="QW34" s="21" t="str">
        <f t="shared" si="166"/>
        <v/>
      </c>
      <c r="QX34" s="21" t="str">
        <f t="shared" si="167"/>
        <v/>
      </c>
      <c r="QY34" s="21" t="str">
        <f t="shared" si="168"/>
        <v/>
      </c>
      <c r="QZ34" s="21" t="str">
        <f t="shared" si="169"/>
        <v/>
      </c>
      <c r="RA34" s="21" t="str">
        <f t="shared" si="170"/>
        <v/>
      </c>
      <c r="RB34" s="21" t="str">
        <f t="shared" si="171"/>
        <v/>
      </c>
      <c r="RC34" s="21" t="str">
        <f t="shared" si="172"/>
        <v/>
      </c>
      <c r="RD34" s="21" t="str">
        <f t="shared" si="173"/>
        <v/>
      </c>
      <c r="RE34" s="21" t="str">
        <f t="shared" si="174"/>
        <v/>
      </c>
      <c r="RF34" s="21" t="str">
        <f t="shared" si="175"/>
        <v/>
      </c>
      <c r="RG34" s="21" t="str">
        <f t="shared" si="176"/>
        <v/>
      </c>
      <c r="RH34" s="21" t="str">
        <f t="shared" si="177"/>
        <v/>
      </c>
      <c r="RI34" s="21" t="str">
        <f t="shared" si="178"/>
        <v/>
      </c>
      <c r="RJ34" s="21" t="str">
        <f t="shared" si="179"/>
        <v/>
      </c>
      <c r="RK34" s="21" t="str">
        <f t="shared" si="180"/>
        <v/>
      </c>
      <c r="RL34" s="21" t="str">
        <f t="shared" si="181"/>
        <v/>
      </c>
      <c r="RM34" s="21" t="str">
        <f t="shared" si="182"/>
        <v/>
      </c>
      <c r="RN34" s="21" t="str">
        <f t="shared" si="183"/>
        <v/>
      </c>
      <c r="RO34" s="21" t="str">
        <f t="shared" si="184"/>
        <v/>
      </c>
      <c r="RP34" s="21" t="str">
        <f t="shared" si="185"/>
        <v/>
      </c>
      <c r="RQ34" s="21" t="str">
        <f t="shared" si="186"/>
        <v/>
      </c>
      <c r="RR34" s="21" t="str">
        <f t="shared" si="187"/>
        <v/>
      </c>
      <c r="RS34" s="21" t="str">
        <f t="shared" si="188"/>
        <v/>
      </c>
      <c r="RT34" s="21" t="str">
        <f t="shared" si="189"/>
        <v/>
      </c>
      <c r="RU34" s="21" t="str">
        <f t="shared" si="190"/>
        <v/>
      </c>
      <c r="RV34" s="21">
        <f t="shared" si="191"/>
        <v>36.714285714285715</v>
      </c>
      <c r="RW34" s="284">
        <f>IF(OR(Tabla1[[#This Row],[FUM FORMULA CONFIABLE]]="",Tabla1[[#This Row],[FUM FORMULA CONFIABLE]]="SD"),"",IF(Tabla1[[#This Row],[FUM FORMULA CONFIABLE]]="CORREGIDA",Tabla1[[#This Row],[FUM X ECO 1]],Tabla1[[#This Row],[FUM x AMENORREA]]))</f>
        <v>44732</v>
      </c>
      <c r="RX34" s="21">
        <f>IF(AND(Tabla1[[#This Row],[FUM X ECO 1]]="",Tabla1[[#This Row],[FUM x AMENORREA]]=""),"",IF(AND(Tabla1[[#This Row],[FUM X ECO 1]]="",Tabla1[[#This Row],[FUM x AMENORREA]]&lt;&gt;""),"X",SUM(Tabla1[[#This Row],[FUM X ECO 1]]-Tabla1[[#This Row],[FUM x AMENORREA]])))</f>
        <v>0.5</v>
      </c>
      <c r="RY34" s="21">
        <f t="shared" si="193"/>
        <v>0</v>
      </c>
    </row>
    <row r="35" spans="1:493" ht="45" customHeight="1" x14ac:dyDescent="0.25">
      <c r="A35" s="109" t="s">
        <v>1050</v>
      </c>
      <c r="B35" s="43" t="s">
        <v>1051</v>
      </c>
      <c r="C35" s="43" t="s">
        <v>845</v>
      </c>
      <c r="D35" s="124" t="s">
        <v>846</v>
      </c>
      <c r="E35" s="43" t="s">
        <v>1052</v>
      </c>
      <c r="F35" s="43" t="s">
        <v>953</v>
      </c>
      <c r="G35" s="43" t="s">
        <v>1053</v>
      </c>
      <c r="H35" s="43"/>
      <c r="I35" s="109" t="s">
        <v>851</v>
      </c>
      <c r="J35" s="110">
        <v>1059594776</v>
      </c>
      <c r="K35" s="43" t="s">
        <v>852</v>
      </c>
      <c r="L35" s="175" t="s">
        <v>886</v>
      </c>
      <c r="M35" s="22">
        <v>38280</v>
      </c>
      <c r="N35" s="213">
        <f t="shared" ca="1" si="0"/>
        <v>19.049315068493151</v>
      </c>
      <c r="O35" s="22">
        <v>44854</v>
      </c>
      <c r="P35" s="214" t="str">
        <f t="shared" ref="P35:P66" si="194">IF(AND(O35="",R35&gt;0),"ACUDE ESPONTANEAMENTE",IF(AND(AND(O35&gt;0,R35=""),OR(IN35&gt;0,IK35&lt;&gt;"")),"NA",IF(AND(O35&gt;0,IN35="",R35=""),"NO",IF(AND(O35&gt;0,R35&gt;0),"SI",""))))</f>
        <v>SI</v>
      </c>
      <c r="Q35" s="26" t="s">
        <v>855</v>
      </c>
      <c r="R35" s="22">
        <v>44854</v>
      </c>
      <c r="S35" s="21" t="s">
        <v>856</v>
      </c>
      <c r="T35" s="24" t="s">
        <v>690</v>
      </c>
      <c r="U35" s="21" t="s">
        <v>857</v>
      </c>
      <c r="V35" s="21" t="s">
        <v>858</v>
      </c>
      <c r="W35" s="21" t="s">
        <v>1054</v>
      </c>
      <c r="X35" s="21" t="s">
        <v>1054</v>
      </c>
      <c r="Y35" s="21" t="s">
        <v>859</v>
      </c>
      <c r="Z35" s="21">
        <v>3217584252</v>
      </c>
      <c r="AA35" s="21" t="s">
        <v>860</v>
      </c>
      <c r="AB35" s="27" t="s">
        <v>861</v>
      </c>
      <c r="AC35" s="26" t="s">
        <v>897</v>
      </c>
      <c r="AD35" s="38" t="s">
        <v>863</v>
      </c>
      <c r="AE35" s="26" t="s">
        <v>854</v>
      </c>
      <c r="AF35" s="26" t="s">
        <v>854</v>
      </c>
      <c r="AG35" s="23" t="s">
        <v>864</v>
      </c>
      <c r="AH35" s="23" t="s">
        <v>864</v>
      </c>
      <c r="AI35" s="24" t="s">
        <v>863</v>
      </c>
      <c r="AJ35" s="23" t="s">
        <v>864</v>
      </c>
      <c r="AK35" s="220" t="str">
        <f>IF(AND(AD35="",AE35="",AF35="",AG35="",AH35="",AI35="",AJ35=""),"",IF(OR(Tabla1[[#This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EVALUACIÓN",IF(AND(O35="",R35=""),"",IF(AND(OR(O35&gt;0,R35&gt;0),NG35&gt;=0,NG35&lt;2),"SIN RIESGO",IF(AND(OR(O35&gt;0,R35&gt;0),NG35&gt;=2),"CON RIESGO","ASD")))))</f>
        <v>SIN RIESGO</v>
      </c>
      <c r="AL35" s="23" t="s">
        <v>864</v>
      </c>
      <c r="AM35" s="26" t="s">
        <v>864</v>
      </c>
      <c r="AN35" s="26" t="s">
        <v>864</v>
      </c>
      <c r="AO35" s="26" t="s">
        <v>864</v>
      </c>
      <c r="AP35" s="26" t="s">
        <v>864</v>
      </c>
      <c r="AQ35" s="26" t="s">
        <v>864</v>
      </c>
      <c r="AR35" s="26" t="s">
        <v>864</v>
      </c>
      <c r="AS35" s="21">
        <v>1</v>
      </c>
      <c r="AT35" s="21">
        <v>0</v>
      </c>
      <c r="AU35" s="21">
        <v>1</v>
      </c>
      <c r="AV35" s="26" t="s">
        <v>864</v>
      </c>
      <c r="AW35" s="21">
        <v>0</v>
      </c>
      <c r="AX35" s="26" t="s">
        <v>864</v>
      </c>
      <c r="AY35" s="26" t="s">
        <v>864</v>
      </c>
      <c r="AZ35" s="26" t="s">
        <v>864</v>
      </c>
      <c r="BA35" s="26" t="s">
        <v>864</v>
      </c>
      <c r="BB35" s="26" t="s">
        <v>864</v>
      </c>
      <c r="BC35" s="26" t="s">
        <v>864</v>
      </c>
      <c r="BD35" s="26" t="s">
        <v>864</v>
      </c>
      <c r="BE35" s="26" t="s">
        <v>864</v>
      </c>
      <c r="BF35" s="26" t="s">
        <v>864</v>
      </c>
      <c r="BG35" s="26" t="s">
        <v>864</v>
      </c>
      <c r="BH35" s="26" t="s">
        <v>864</v>
      </c>
      <c r="BI35" s="26" t="s">
        <v>864</v>
      </c>
      <c r="BJ35" s="26"/>
      <c r="BK35" s="26"/>
      <c r="BL35" s="26" t="s">
        <v>864</v>
      </c>
      <c r="BM35" s="26" t="s">
        <v>864</v>
      </c>
      <c r="BN35" s="22"/>
      <c r="BO35" s="22">
        <v>44804</v>
      </c>
      <c r="BP35" s="21" t="s">
        <v>854</v>
      </c>
      <c r="BQ35" s="222">
        <f t="shared" si="2"/>
        <v>0</v>
      </c>
      <c r="BR35" s="223">
        <f t="shared" si="3"/>
        <v>44804.2</v>
      </c>
      <c r="BS35" s="224">
        <f t="shared" si="4"/>
        <v>7.1428571428571432</v>
      </c>
      <c r="BT35" s="216" t="str">
        <f t="shared" si="5"/>
        <v>I TRIM</v>
      </c>
      <c r="BU35" s="214" t="str">
        <f t="shared" ca="1" si="6"/>
        <v/>
      </c>
      <c r="BV35" s="25"/>
      <c r="BW35" s="22">
        <v>44856</v>
      </c>
      <c r="BX35" s="28">
        <v>7.4</v>
      </c>
      <c r="BY35" s="28"/>
      <c r="BZ35" s="22">
        <v>44890</v>
      </c>
      <c r="CA35" s="21">
        <v>13.1</v>
      </c>
      <c r="CB35" s="26" t="s">
        <v>864</v>
      </c>
      <c r="CC35" s="26" t="s">
        <v>864</v>
      </c>
      <c r="CD35" s="26" t="s">
        <v>878</v>
      </c>
      <c r="CE35" s="26" t="s">
        <v>864</v>
      </c>
      <c r="CF35" s="22" t="s">
        <v>1517</v>
      </c>
      <c r="CG35" s="21">
        <v>1.51</v>
      </c>
      <c r="CH35" s="21">
        <v>43</v>
      </c>
      <c r="CI35" s="214">
        <f t="shared" si="7"/>
        <v>18.858821981492039</v>
      </c>
      <c r="CJ35" s="225" t="str">
        <f>IF(AND(CI35&lt;10,CH35="SD"),"SIN DATO PESO PREGESTACION O I TRIM",IF(AND(OR(R35&gt;0,O35&gt;0),CI35="X"),"INGRESAR DATO DE PESO",IF(CI35="SD","INGRESAR DATO DE TALLA Y PESO",IF(AND(OR(Tabla1[[#This Row],[MOMENTO EN QUE SE REALIZA EL PESO AL INGRESO A CPN]]="PREGESTACIÓN",NZ35="Menor"),CI35&lt;18.5),"BAJO PESO",IF(AND(OR(Tabla1[[#This Row],[MOMENTO EN QUE SE REALIZA EL PESO AL INGRESO A CPN]]="PREGESTACIÓN",NZ35="Menor"),CI35&lt;25),"NORMAL",IF(AND(OR(Tabla1[[#This Row],[MOMENTO EN QUE SE REALIZA EL PESO AL INGRESO A CPN]]="PREGESTACIÓN",NZ35="Menor"),CI35&lt;30),"SOBREPESO",IF(AND(OR(Tabla1[[#This Row],[MOMENTO EN QUE SE REALIZA EL PESO AL INGRESO A CPN]]="PREGESTACIÓN",NZ35="Menor"),CI35&gt;=30,CI35&lt;50),"OBESIDAD",IF(AND(BS35&gt;0,Tabla1[[#This Row],[MOMENTO EN QUE SE REALIZA EL PESO AL INGRESO A CPN]]="GESTACIÓN"),HLOOKUP(NZ35,$OA$2:PH35,NY35),""))))))))</f>
        <v>NORMAL</v>
      </c>
      <c r="CK35" s="212">
        <f t="shared" si="8"/>
        <v>45041</v>
      </c>
      <c r="CL35" s="21"/>
      <c r="CM35" s="214">
        <f t="shared" si="9"/>
        <v>0</v>
      </c>
      <c r="CN35" s="216">
        <f t="shared" si="10"/>
        <v>33</v>
      </c>
      <c r="CO35" s="216" t="e">
        <f>IF(PI35="","",IF(PI35&gt;0,HLOOKUP(PI35,$PJ$2:QQ35,NY35),""))</f>
        <v>#REF!</v>
      </c>
      <c r="CP35" s="21"/>
      <c r="CQ35" s="216" t="e">
        <f>IF(QR35="Menor","NO APLICA-MENOR 13 SEM",IF(AND(CC35="SI",CN35&gt;23),"NO APLICA- GEMELAR",IF(QR35="","",IF(QR35&gt;0,HLOOKUP(QR35,$QS$2:RU35,NY35),""))))</f>
        <v>#REF!</v>
      </c>
      <c r="CR35" s="21">
        <v>90</v>
      </c>
      <c r="CS35" s="21">
        <v>60</v>
      </c>
      <c r="CT35" s="217" t="str">
        <f>IF(R35="","",IF(AND(BS35&gt;1,BS35&lt;12,Tabla1[[#This Row],[T.A. SISTOLICA - ANTES DE SEMANA 12]]="",Tabla1[[#This Row],[T.A. DIASTOLICA - ANTES DE SEMANA 12]]=""),"REGISTRE DATO TA ANTES SEMANA 12",IF(AND(BS35&gt;11,BS35&lt;43,Tabla1[[#This Row],[T.A. SISTOLICA - ANTES DE SEMANA 12]]="",Tabla1[[#This Row],[T.A. DIASTOLICA - ANTES DE SEMANA 12]]=""),"NO APLICA REGISTRO TA-INGRESO TARDIO",IF(AND(OR(O35&gt;0,R35&gt;0),OR(CR35&gt;=140,CS35&gt;=90)),"DEFINIR ESTADIO HTA",IF(AND(OR(O35&gt;0,R35&gt;0),AND(CR35&gt;120,CR35&lt;=139)),"PRE HTA SEGUIMIENTO",IF(AND(OR(O35&gt;0,R35&gt;0),AND(CS35&gt;80,CS35&lt;=89)),"PRE HTA SEGUIMIENTO",IF(AND(OR(O35&gt;0,R35&gt;0),AND(CR35&gt;=80,CR35&lt;=120)),"APARENTEMENTE NORMAL",IF(AND(OR(O35&gt;0,R35&gt;0),AND(CS35&gt;=50,CS35&lt;=80)),"APARENTEMENTE NORMAL",IF(AND(OR(O35&gt;0,R35&gt;0),AND(CR35&gt;1,CR35&lt;=70),AND(CS35&gt;1,CS35&lt;=40)),"HIPOTENSIÓN","")))))))))</f>
        <v>APARENTEMENTE NORMAL</v>
      </c>
      <c r="CU35" s="21">
        <v>90</v>
      </c>
      <c r="CV35" s="21">
        <v>60</v>
      </c>
      <c r="CW35" s="217" t="str">
        <f ca="1">IF(R35="","",IF(AND(CN35&gt;19,CN35&lt;27,Tabla1[[#This Row],[T.A. SISTOLICA (Entre semana 20 y 26)]]="",Tabla1[[#This Row],[T.A. DIATOLICA (Entre semana 20 y 26)]]=""),"ACUDE A CONTROL SEM 20 A 26 REGISTRE TA AHORA",IF(AND(BS35&gt;1,BS35&lt;27,BU35&gt;19,Tabla1[[#This Row],[T.A. SISTOLICA (Entre semana 20 y 26)]]="",Tabla1[[#This Row],[T.A. DIATOLICA (Entre semana 20 y 26)]]=""),"COMPLETE REGISTRO TA CONTROL SEM 20 A26 ",IF(AND(BS35&gt;26,BS35&lt;43,Tabla1[[#This Row],[T.A. SISTOLICA (Entre semana 20 y 26)]]="",Tabla1[[#This Row],[T.A. DIATOLICA (Entre semana 20 y 26)]]=""),"NO APLICA REGISTRO TA-INGRESO TARDIO",IF(AND(OR(O35&gt;0,R35&gt;0),OR(CU35&gt;=140,CV35&gt;=90)),"ALTO RIESGO PREECLAMPSIA,DEFINIR ESTADIO HTA",IF(AND(OR(O35&gt;0,R35&gt;0),AND(CU35&gt;120,CU35&lt;=139)),"PRE HTA SEGUIMIENTO,RIESGO HIPERTENSION INDUCIDA POR EL EMBARAZO",IF(AND(OR(O35&gt;0,R35&gt;0),AND(CV35&gt;80,CV35&lt;=89)),"PRE HTA SEGUIMIENTO, RIESGO HIPERTENSION INDUCIDA POR EL EMBARAZO",IF(AND(OR(O35&lt;&gt;"",R35&lt;&gt;""),CS35&lt;&gt;"",CV35&lt;&gt;"",CS35&lt;=CV35),"VIGILAR CIFRAS PRESION ARTERIAL",IF(AND(OR(O35&gt;0,R35&gt;0),AND(CU35&gt;120,CU35&lt;=139)),"PRE HTA SEGUIMIENTO",IF(AND(OR(O35&gt;0,R35&gt;0),AND(CU35&gt;1,CU35&lt;=70),AND(CV35&gt;1,CV35&lt;=40)),"HIPOTENSIÓN",IF(AND(OR(O35&lt;&gt;"",R35&lt;&gt;""),CS35&lt;&gt;"",CV35&lt;&gt;"",CS35&gt;CV35),"APARENTEMENTE NORMAL",IF(AND(OR(O35&gt;0,R35&gt;0),AND(CU35&gt;=80,CU35&lt;=120)),"APARENTEMENTE NORMAL",IF(AND(OR(O35&gt;0,R35&gt;0),AND(CV35&gt;=50,CV35&lt;=80)),"APARENTEMENTE NORMAL","")))))))))))))</f>
        <v>VIGILAR CIFRAS PRESION ARTERIAL</v>
      </c>
      <c r="CX35" s="21">
        <v>90</v>
      </c>
      <c r="CY35" s="21">
        <v>60</v>
      </c>
      <c r="CZ35" s="216" t="str">
        <f t="shared" ref="CZ35:CZ66" si="195">IF(R35="","",IF(AND(CN35&gt;31,CN35&lt;35,CX35="",CY35=""),"ACUDE A CONTROL SEM 30 A 34- REGISTRE AHORA",IF(AND(BS35&gt;34,BS35&lt;43,CX36="",CY36=""),"NO APLICA-INGRESO TARDIO",IF(AND(OR(O35&gt;0,R35&gt;0),OR(CX35&gt;=140,CY35&gt;=90)),"ESTUDIO INMEDIATO HTA PARA DESCARTAR PREECLAMSIA",IF(AND(OR(O35&gt;0,R35&gt;0),AND(CX35&gt;=130,CX35&lt;=139)),"PRE HTA,RIESGO ALTO PREECLAMPSIA",IF(AND(OR(O35&gt;0,R35&gt;0),AND(CY35&gt;80,CY35&lt;=89)),"PRE HTA,RIESGO ALTO PREECLAMPSIA",IF(AND(OR(O35&gt;0,R35&gt;0),AND(CX35&gt;120,CX35&lt;=129)),"RANGO PREHIPERTENSIVO SEGUIMIENTO HTA",IF(AND(OR(O35&lt;&gt;"",R35&lt;&gt;""),CS35&lt;&gt;"",CY35&lt;&gt;"",CS35&lt;CY35),"VIGILAR CIFRAS PRESION ARTERIAL",IF(AND(OR(O35&lt;&gt;"",R35&lt;&gt;""),CS35&lt;&gt;"",CY35&lt;&gt;"",CS35=CY35),"APARENTEMENTE NORMAL",IF(AND(OR(O35&gt;0,R35&gt;0),CX35&gt;=80,CX35&lt;=120),"APARENTEMENTE NORMAL",IF(AND(OR(O35&gt;0,R35&gt;0),CY35&gt;=50,CY35&lt;=80),"APARENTEMENTE NORMAL","")))))))))))</f>
        <v>APARENTEMENTE NORMAL</v>
      </c>
      <c r="DA35" s="21"/>
      <c r="DB35" s="21"/>
      <c r="DC35" s="217" t="str">
        <f t="shared" si="12"/>
        <v>REGISTRE DATO PRESIÓN ARTERIAL MENSUAL</v>
      </c>
      <c r="DD35" s="22">
        <v>44854</v>
      </c>
      <c r="DE35" s="22">
        <v>44854</v>
      </c>
      <c r="DF35" s="22">
        <v>44917</v>
      </c>
      <c r="DG35" s="22">
        <v>44950</v>
      </c>
      <c r="DH35" s="22">
        <v>44984</v>
      </c>
      <c r="DI35" s="22">
        <v>45013</v>
      </c>
      <c r="DJ35" s="22">
        <v>45041</v>
      </c>
      <c r="DK35" s="22"/>
      <c r="DL35" s="22"/>
      <c r="DM35" s="22"/>
      <c r="DN35" s="22"/>
      <c r="DO35" s="22"/>
      <c r="DP35" s="22"/>
      <c r="DQ35" s="22"/>
      <c r="DR35" s="28">
        <v>2</v>
      </c>
      <c r="DS35" s="22"/>
      <c r="DT35" s="22"/>
      <c r="DU35" s="216" t="str">
        <f t="shared" ref="DU35:DU66" ca="1" si="196">IF(AND(BT35="ERROR FUM O INGRESO",DS35&gt;0),"ERROR FUM O INGRESO",IF(AND(DS35="",R35="",O35=""),"",IF(OR(AND(DS35&lt;&gt;"",DS35&lt;RW35),AND(DS35&lt;&gt;"",AND(SUM((DS35-RW35)/7)&gt;0,SUM((DS35-RW35)/7)&lt;28))),"PLAN REALIZADO ANTES III TRIM", IF(AND(DS35="",OR(O35&gt;0,R35&gt;0),AND(BU35&gt;=28, BU35&lt;35,DV35="ACTIVA INGRESO A CPN")),"PLANEAR PLAN DE PARTO", IF(AND(DS35="",OR(O35&gt;0,R35&gt;0),BU35&gt;=35,DV35="ACTIVA INGRESO A CPN"),"CONCERTAR PLAN DE PARTO INMEDIATO", IF(AND(DS35="",OR(O35&gt;0,R35&gt;0),AND(BU35&gt;0, BU35&lt;28),OR(DV35="ACTIVA INGRESO A CPN", DV35=" ACTIVA SIN INGRESO CPN")),"EN ESPERA", IF(AND(DS35="",OR(O35&gt;0,R35&gt;0),AND(IP35&gt;0, IP35&lt;28)),"NO APLICA SALE PROGRAMA ANTES III TRIM", IF(AND(DS35="",OR(O35&gt;0,R35&gt;0),AND(IP35&gt;=28, IP35&lt;35)),"SALE PROGRAMA ANTES SEMANA 35", IF(AND(DS35="",OR(O35&gt;0,R35&gt;0),IP35&gt;35),"SALE SIN PLAN DE PARTO",IF(DS35&gt;0,SUM(DS35-BO35)/7,""))))))))))</f>
        <v>SALE SIN PLAN DE PARTO</v>
      </c>
      <c r="DV35" s="226" t="str">
        <f t="shared" ref="DV35:DV71" si="197">IF(AND(R35&lt;&gt;"",IK35="CAMBIO DE RESIDENCIA",IK35="CAMBIO DE IPS",IK35="CAMBIO DE EPS"),"SEGUIMIENTO REPORTE EPS",IF(IK35="IVE","IVE",IF(AND(R35&lt;&gt;"",OR(IK35&lt;&gt;"",IN35&lt;&gt;"")),"SALIO PROGRAMA",IF(AND(AND(R35="",O35&gt;0),OR(IK35&lt;&gt;"",IN35&lt;&gt;"")),"SALE SIN INGRESO CPN",IF(AND(R35="",O35&gt;0,IK35="",IN35=""),"ACTIVA SIN INGRESO CPN",IF(AND(R35&lt;&gt;"",OR(IK35="",IN35="")),"ACTIVA INGRESO A CPN",""))))))</f>
        <v>SALIO PROGRAMA</v>
      </c>
      <c r="DW3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5" s="216" t="str">
        <f t="shared" ca="1" si="15"/>
        <v/>
      </c>
      <c r="DY35" s="212">
        <f>IF(R35="","",IF(R35&gt;0,MAX(Tabla1[[#This Row],[FECHA C2]:[FECHA C13]],Tabla1[[#This Row],[FECHA CONSULTA PRIMERA VEZ PROGRAMA CPN ]])))</f>
        <v>45041</v>
      </c>
      <c r="DZ35" s="216">
        <f t="shared" si="16"/>
        <v>33</v>
      </c>
      <c r="EA35" s="222">
        <f>IF(R35&gt;0,SUM(COUNTA(DF35:DQ35)+COUNTA(Tabla1[[#This Row],[FECHA CONSULTA PRIMERA VEZ PROGRAMA CPN ]])),"")</f>
        <v>6</v>
      </c>
      <c r="EB35" s="222" t="str">
        <f t="shared" si="17"/>
        <v>SI</v>
      </c>
      <c r="EC35" s="214">
        <f t="shared" si="18"/>
        <v>10</v>
      </c>
      <c r="ED35" s="227">
        <f t="shared" si="19"/>
        <v>0.6</v>
      </c>
      <c r="EE35" s="22">
        <v>44854</v>
      </c>
      <c r="EF35" s="22">
        <v>44866</v>
      </c>
      <c r="EG35" s="22">
        <v>44854</v>
      </c>
      <c r="EH35" s="22"/>
      <c r="EI35" s="22">
        <v>44854</v>
      </c>
      <c r="EJ35" s="22">
        <v>45008</v>
      </c>
      <c r="EK35" s="22">
        <v>45030</v>
      </c>
      <c r="EL35" s="21"/>
      <c r="EM35" s="21">
        <v>13</v>
      </c>
      <c r="EN35" s="22">
        <v>44854</v>
      </c>
      <c r="EO35" s="222">
        <f t="shared" si="20"/>
        <v>7.1428571428571432</v>
      </c>
      <c r="EP35" s="214" t="str">
        <f t="shared" si="21"/>
        <v>NORMAL- SUMINISTRAR SULFATO FERROSO</v>
      </c>
      <c r="EQ35" s="216" t="str">
        <f t="shared" si="22"/>
        <v>I TRIM</v>
      </c>
      <c r="ER35" s="24"/>
      <c r="ES35" s="22"/>
      <c r="ET35" s="29" t="str">
        <f t="shared" ref="ET35:ET66" ca="1" si="198">IF(AND(BT35="ERROR FUM O INGRESO",ES35&gt;0),"ERROR FUM O INGRESO",IF(AND(ES35="",R35="",O35=""),"",IF(OR(AND(ES35&lt;&gt;"",ES35&lt;RW35),AND(ES35&lt;&gt;"",SUM((ES35-RW35)/7)&gt;40)),"CORREGIR FECHA RESULTADO",IF(AND(BU35&gt;1,BU35&lt;23,ER35="",ES35=""),"EN ESPERA PARA TOMA EXAMEN",IF(AND(BU35&gt;22,BU35&lt;26,ER35="",ES35=""),"PROGRAMAR TOMA HEMOGLOBINA A SEM 28",IF(AND(BU35&gt;25,BU35&lt;28,ER35="",ES35=""),"TOMA HEMOGLOBINA A SEM 28 EN 1 SEMANA",IF(AND(BU35&gt;27,BU35&lt;31,ES35="",OR(O35&gt;0,R35&gt;0)),"EN SEMANA 28 TOMA INMEDIATA DE EXAMEN",IF(AND(IP35&gt;0,IP35&lt;28,ES35="",OR(O35&gt;0,R35&gt;0)),"NO APLICA-SALE ANTES SEM 28",IF(AND(IP35&gt;28,IP35&lt;43,ES35="",OR(O35&gt;0,R35&gt;0)),"SALE SIN TAMIZAJE HEMOGLOBINA SEM 28",IF(AND(BS35&gt;0,ES35="",OR(O35&gt;0,R35&gt;0)),"TOMA DE HEMOGLOBINA TARDÍA",IF(ES35&gt;0,SUM(ES35-RW35)/7,"")))))))))))</f>
        <v>SALE SIN TAMIZAJE HEMOGLOBINA SEM 28</v>
      </c>
      <c r="EU35" s="25" t="str">
        <f t="shared" si="24"/>
        <v/>
      </c>
      <c r="EV35" s="24" t="s">
        <v>866</v>
      </c>
      <c r="EW35" s="24">
        <v>44854</v>
      </c>
      <c r="EX35" s="22"/>
      <c r="EY35" s="29">
        <f t="shared" ref="EY35:EY59" si="199">IF(AND(BT35="ERROR FUM O INGRESO",EW35&gt;0),"ERROR FUM O INGRESO",IF(AND(EW35="",R35="",O35=""),"",IF(OR(AND(EW35&lt;&gt;"",EW35&lt;RW35),AND(EW35&lt;&gt;"",SUM((EW35-RW35)/7)&gt;40)),"CORREGIR FECHA RESULTADO",IF(AND(EW35="",OR(O35&gt;0,R35&gt;0)),"TOMAR EXAMEN",IF(EW35&gt;0,SUM(EW35-RW35)/7,"")))))</f>
        <v>7.1428571428571432</v>
      </c>
      <c r="EZ35" s="25" t="str">
        <f t="shared" ref="EZ35:EZ59" ca="1" si="200">IF(EV35="RH POSITIVO","SIN RIESGO DE ISOINMUNIZACIÓN",IF(AND(EV35="RH NEGATIVO CON COOMBS NEGATIVO",EX35="",BU35&lt;=24),"COOMBS C/MES Y APLICAR RHESUMAN SEM 28",IF(AND(EV35="RH NEGATIVO CON COOMBS NEGATIVO",EX35="",AND(BU35&gt;24,BU35&lt;27)),"FALTAN DE 4 A 2 SEMANAS PARA APLICAR RHESUMAN A SEM 28",IF(AND(EV35="RH NEGATIVO CON COOMBS NEGATIVO",EX35="",AND(BU35&gt;26.99,BU35&lt;27.99)),"FALTAN 1 SEMANAS PARA APLICAR RHESUMAN A SEM 28",IF(AND(EV35="RH NEGATIVO CON COOMBS NEGATIVO",EX35="",AND(BU35&gt;27.99,BU35&lt;29)),"SEMANA 28 APLICAR DE INMEDIATO RHESUMAN",IF(AND(EV35="RH NEGATIVO CON COOMBS NEGATIVO",EX35="",AND(BU35&gt;28.99,BU35&lt;42)),"DEBE APLICAR RHESUMAN, ES NO OPORTUNO &gt; 28 SEMANAS",IF(AND(EV35="RH NEGATIVO CON COOMBS NEGATIVO",EX35&gt;0),SUM(EX35-RW35)/7,IF(EV35="RH NEGATIVO SIN COOMBS","TOMAR COOMBS INMEDIATO PARA DEFINIR MANEJO",IF(EV35="RH NEGATIVO CON COOMBS POSITIVO","TOMAR COOMBS CUANTITATIVO Y REMISIÓN","")))))))))</f>
        <v/>
      </c>
      <c r="FA35" s="21">
        <v>77</v>
      </c>
      <c r="FB35" s="22">
        <v>44854</v>
      </c>
      <c r="FC35" s="29">
        <f t="shared" si="27"/>
        <v>7.1428571428571432</v>
      </c>
      <c r="FD35" s="29">
        <v>71</v>
      </c>
      <c r="FE35" s="29">
        <v>90</v>
      </c>
      <c r="FF35" s="29">
        <v>96</v>
      </c>
      <c r="FG35" s="21" t="str">
        <f t="shared" si="28"/>
        <v xml:space="preserve">NORMAL, NO DESCARTA DIABETES POR REALIZARLO ANTES DE  SEMANA 24, </v>
      </c>
      <c r="FH35" s="31">
        <v>44961</v>
      </c>
      <c r="FI35" s="29">
        <f t="shared" si="29"/>
        <v>22.428571428571427</v>
      </c>
      <c r="FJ35" s="22" t="s">
        <v>867</v>
      </c>
      <c r="FK35" s="22">
        <v>44854</v>
      </c>
      <c r="FL35" s="29">
        <f t="shared" ca="1" si="30"/>
        <v>7.1428571428571432</v>
      </c>
      <c r="FM35" s="22" t="s">
        <v>867</v>
      </c>
      <c r="FN35" s="32">
        <v>44950</v>
      </c>
      <c r="FO35" s="29">
        <f t="shared" ref="FO35:FO66" ca="1" si="201">IF(AND(BT35="ERROR FUM O INGRESO",FN35&gt;0),"ERROR FUM O INGRESO",IF(AND(FN35="",R35="",O35=""),"",IF(AND(FN35&lt;&gt;"",FN35&lt;RW35), "INCOHERENCIA FUM Y FECHA TAMIZAJE",IF(AND(FN35="",DV35="ACTIVA INGRESO A CPN",AND(BU35&gt;0,BU35&lt;13)),"EN ESPERA-ESTÁ I TRIM", IF(AND(FN35="",AND(BS35&gt;0, BS35&lt;13),OR(O35&gt;0,R35&gt;0),AND(IP35&gt;0,IP35&lt;13)),"NO APLICA-SALIO DEL PROGRAMA I TRIM",IF(AND(FN35&lt;&gt;"",AND(SUM((FN35-RW35)/7)&gt;0,SUM((FN35-RW35)/7)&lt;13)),"REGISTRAR EN I TRIMESTRE",IF(AND(FN35&lt;&gt;"",AND(SUM((FN35-RW35)/7)&gt;=27,SUM((FN35-RW35)/7)&lt;44)),"REGISTRAR EN III TRIMESTRE",IF(AND(FN35="",OR(O35&gt;0,R35&gt;0),AND(BU35&gt;=13,BU35&lt;24),DV35="ACTIVA INGRESO A CPN"),"EN RANGO PARA TOMAR EXAMEN",IF(AND(FN35="",OR(O35&gt;0,R35&gt;0),AND(BU35&gt;=25,BU35&lt;27),DV35="ACTIVA INGRESO A CPN"),"TOMA INMEDIATA DE TAMIZAJE",IF(AND(FN35="",OR(O35&gt;0,R35&gt;0),AND(BS35&gt;=27,BS35&lt;44)),"NO APLICA-INGRESO TARDIO",IF(AND(FN35="",BS35&lt;27,OR(AND(IP35&gt;12,IP35&lt;44),BU35&gt;12)),"PIERDE TOMA DE TAMIZAJE",IF(FN35&gt;0,SUM(FN35-RW35)/7,""))))))))))))</f>
        <v>20.857142857142858</v>
      </c>
      <c r="FP35" s="22" t="s">
        <v>867</v>
      </c>
      <c r="FQ35" s="32">
        <v>45041</v>
      </c>
      <c r="FR35" s="29">
        <f t="shared" ref="FR35:FR66" ca="1" si="202">IF(AND(BT35="ERROR FUM O INGRESO",FQ35&gt;0),"ERROR FUM O INGRESO",IF(AND(FQ35="",R35="",O35=""),"",IF(AND(FQ35&lt;&gt;"",FQ35&lt;RW35), "INCOHERENCIA FUM Y FECHA TAMIZAJE",IF(AND(FQ35="",DV35="ACTIVA INGRESO A CPN",AND(BU35&gt;0,BU35&lt;27)),"EN ESPERA-ESTÁ I TRIM O II TRIM", IF(AND(FQ35="",AND(BS35&gt;0, BS35&lt;27),OR(O35&gt;0,R35&gt;0),AND(IP35&gt;0,IP35&lt;27)),"NO APLICA-SALIO DEL PROGRAMA I O II TRIM",IF(AND(FQ35&lt;&gt;"",AND(SUM((FQ35-RW35)/7)&gt;0,SUM((FQ35-RW35)/7)&lt;13)),"REGISTAR EN I TRIMESTRE",IF(AND(FQ35&lt;&gt;"",AND(SUM((FQ35-RW35)/7)&gt;=13,SUM((FQ35-RW35)/7)&lt;27)),"REGISTRAR EN II TRIMESTRE",IF(AND(FQ35="",OR(O35&gt;0,R35&gt;0),AND(BU35&gt;=28,BU35&lt;35),DV35="ACTIVA INGRESO A CPN"),"EN RANGO PARA TOMAR EXAMEN",IF(AND(FQ35="",OR(O35&gt;0,R35&gt;0),BU35&gt;=35, DV35="ACTIVA INGRESO A CPN"),"TOMA INMEDIATA DE TAMIZAJE",IF(AND(FQ35="",DV35= "SALE SIN INGRESO CPN"),"NO APLICA-SIN CPN",IF(AND(FQ35="",AND(IP35&gt;26,IP35&lt;43)),"PIERDE TOMA DE TAMIZAJE",IF(FQ35&gt;0,SUM(FQ35-RW35)/7,""))))))))))))</f>
        <v>33.857142857142854</v>
      </c>
      <c r="FS35" s="22"/>
      <c r="FT35" s="32"/>
      <c r="FU35" s="29" t="str">
        <f>IF(AND(FJ35="",FM35="",FP35="",FS35=""),"",IF(OR(OR(Tabla1[[#This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5" s="28"/>
      <c r="FW35" s="22"/>
      <c r="FX35" s="29" t="str">
        <f t="shared" si="33"/>
        <v>TOMAR EXAMEN</v>
      </c>
      <c r="FY35" s="22">
        <v>44854</v>
      </c>
      <c r="FZ35" s="22">
        <v>44854</v>
      </c>
      <c r="GA35" s="29">
        <f t="shared" ref="GA35:GA59" ca="1" si="203">IF(AND(BT35="ERROR FUM O INGRESO",FZ35&gt;0),"ERROR FUM O INGRESO",IF(AND(FZ35="",R35="",O35=""),"",IF(OR(AND(FZ35&lt;&gt;"",FZ35&lt;RW35),AND(FZ35&lt;&gt;"",AND(SUM((FZ35-RW35)/7)&gt;=13,SUM((FZ35-RW35)/7)&lt;27))),"REGISTRAR EN II TRIMESTRE",IF(OR(AND(FZ35&lt;&gt;"",FZ35&lt;RW35),AND(FZ35&lt;&gt;"",AND(SUM((FZ35-RW35)/7)&gt;=27,SUM((FZ35-RW35)/7)&lt;44))),"REGISTRAR EN III TRIMESTRE",IF(AND(FZ35="",OR(O35&gt;0,R35&gt;0),AND(BU35&gt;1,BU35&lt;10)),"EN RANGO PARA TOMAR EXAMEN",IF(AND(FZ35="",OR(O35&gt;0,R35&gt;0),AND(BU35&gt;=10,BU35&lt;12)),"TOMA INMEDIATA DE TAMIZAJE",IF(AND(FZ35="",BS35&lt;12,OR(O35&gt;0,R35&gt;0)),"PIERDE TOMA DE TAMIZAJE",IF(AND(FZ35="",OR(O35&gt;0,R35&gt;0),AND(BS35&gt;=13,BS35&lt;44)),"NO APLICA-INGRESO TARDIO",IF(FZ35&gt;0,SUM(FZ35-RW35)/7,"")))))))))</f>
        <v>7.1428571428571432</v>
      </c>
      <c r="GB35" s="22"/>
      <c r="GC35" s="22"/>
      <c r="GD35" s="29" t="str">
        <f t="shared" ref="GD35:GD66" ca="1" si="204">IF(AND(BT35="ERROR FUM O INGRESO",GC35&gt;0),"ERROR FUM O INGRESO",IF(AND(GC35="",R35="",O35=""),"",IF(AND(GC35&lt;&gt;"",GC35&lt;RW35), "INCOHERENCIA FUM Y FECHA TAMIZAJE",IF(AND(GC35="",DV35="ACTIVA INGRESO A CPN",AND(BU35&gt;0,BU35&lt;13)),"EN ESPERA-ESTÁ I TRIM", IF(AND(GC35="",AND(BS35&gt;0, BS35&lt;12),OR(O35&gt;0,R35&gt;0),AND(IP35&gt;0,IP35&lt;13)),"NO APLICA-SALIO DEL PROGRAMA I TRIM",IF(AND(GC35&lt;&gt;"",AND(SUM((GC35-RW35)/7)&gt;0,SUM((GC35-RW35)/7)&lt;13)),"REGISTRAR EN I TRIMESTRE",IF(AND(GC35&lt;&gt;"",AND(SUM((GC35-RW35)/7)&gt;=27,SUM((GC35-RW35)/7)&lt;44)),"REGISTRAR EN III TRIMESTRE",IF(AND(GC35="",OR(O35&gt;0,R35&gt;0),AND(BU35&gt;=12,BU35&lt;25),DV35="ACTIVA INGRESO A CPN"),"EN RANGO PARA TOMAR EXAMEN",IF(AND(GC35="",OR(O35&gt;0,R35&gt;0),AND(BU35&gt;=25,BU35&lt;27),DV35="ACTIVA INGRESO A CPN"),"TOMA INMEDIATA DE TAMIZAJE",IF(AND(GC35="",OR(O35&gt;0,R35&gt;0),AND(BS35&gt;=27,BS35&lt;43)),"NO APLICA-INGRESO TARDIO",IF(AND(GC35="",BS35&lt;27),"PIERDE TOMA DE TAMIZAJE",IF(GC35&gt;0,SUM(GC35-RW35)/7,""))))))))))))</f>
        <v>PIERDE TOMA DE TAMIZAJE</v>
      </c>
      <c r="GE35" s="22" t="s">
        <v>868</v>
      </c>
      <c r="GF35" s="22">
        <v>45044</v>
      </c>
      <c r="GG35" s="29">
        <f t="shared" ref="GG35:GG66" ca="1" si="205">IF(AND(BT35="ERROR FUM O INGRESO",GF35&gt;0),"ERROR FUM O INGRESO",IF(AND(GF35="",R35="",O35=""),"",IF(AND(GF35&lt;&gt;"",GF35&lt;RW35), "INCOHERENCIA FUM Y FECHA TAMIZAJE",IF(AND(GF35="",DV35="ACTIVA INGRESO A CPN",AND(BU35&gt;0,BU35&lt;27)),"EN ESPERA-ESTÁ I TRIM O II TRIM", IF(AND(GF35="",AND(BS35&gt;0, BS35&lt;28),OR(O35&gt;0,R35&gt;0),AND(IP35&gt;0,IP35&lt;28)),"NO APLICA-SALIO DEL PROGRAMA I O II TRIM",IF(AND(GF35&lt;&gt;"",AND(SUM((GF35-RW35)/7)&gt;0,SUM((GF35-RW35)/7)&lt;13)),"REGISTAR EN I TRIMESTRE",IF(AND(GF35&lt;&gt;"",AND(SUM((GF35-RW35)/7)&gt;=13,SUM((GF35-RW35)/7)&lt;27)),"REGISTRAR EN II TRIMESTRE",IF(AND(GF35="",OR(O35&gt;0,R35&gt;0),AND(BU35&gt;=28,BU35&lt;35),DV35="ACTIVA INGRESO A CPN"),"EN RANGO PARA TOMAR EXAMEN",IF(AND(GF35="",OR(O35&gt;0,R35&gt;0),BU35&gt;=35, DV35="ACTIVA INGRESO A CPN"),"TOMA INMEDIATA DE TAMIZAJE",IF(AND(GF35="",DV35= "SALE SIN INGRESO CPN"),"NO APLICA-SIN CPN",IF(AND(GF35="",BS35&lt;44),"PIERDE TOMA DE TAMIZAJE",IF(GF35&gt;0,SUM(GF35-RW35)/7,""))))))))))))</f>
        <v>34.285714285714285</v>
      </c>
      <c r="GH35" s="22"/>
      <c r="GI35" s="29"/>
      <c r="GJ35" s="22"/>
      <c r="GK35" s="22"/>
      <c r="GL35" s="22" t="s">
        <v>879</v>
      </c>
      <c r="GM35" s="22"/>
      <c r="GN35" s="28" t="s">
        <v>869</v>
      </c>
      <c r="GO35" s="22">
        <v>44854</v>
      </c>
      <c r="GP35" s="29">
        <f t="shared" si="37"/>
        <v>7.1428571428571432</v>
      </c>
      <c r="GQ35" s="28" t="s">
        <v>880</v>
      </c>
      <c r="GR35" s="28" t="s">
        <v>869</v>
      </c>
      <c r="GS35" s="22" t="str">
        <f t="shared" ref="GS35:GS66" si="206">IF(GQ35="NEGATIVO","CONTROL Igm",IF(AND(GQ35="POSITIVO",GR35="NEGATIVO"),"SE EXCLUYE INFECCION",IF(AND(GQ35="POSITIVO",GR35="POSITIVO"),"TOXOPLASMOSIS, REMITIR PARA MANEJO","")))</f>
        <v>SE EXCLUYE INFECCION</v>
      </c>
      <c r="GT35" s="22">
        <v>44854</v>
      </c>
      <c r="GU35" s="29">
        <f t="shared" si="39"/>
        <v>7.1428571428571432</v>
      </c>
      <c r="GV35" s="21" t="str">
        <f t="shared" si="40"/>
        <v>I TRIM</v>
      </c>
      <c r="GW35" s="28" t="s">
        <v>869</v>
      </c>
      <c r="GX35" s="30"/>
      <c r="GY35" s="21" t="s">
        <v>906</v>
      </c>
      <c r="GZ35" s="21"/>
      <c r="HA35" s="21"/>
      <c r="HB35" s="21"/>
      <c r="HC35" s="21"/>
      <c r="HD35" s="21"/>
      <c r="HE35" s="21"/>
      <c r="HF35" s="22"/>
      <c r="HG35" s="22" t="str">
        <f>IF(OR(O35&gt;0,R35&gt;0),CONCATENATE(IF(Tabla1[[#This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5" s="22" t="e">
        <f t="shared" si="41"/>
        <v>#REF!</v>
      </c>
      <c r="HI35" s="22" t="e">
        <f t="shared" ca="1" si="42"/>
        <v>#REF!</v>
      </c>
      <c r="HJ35" s="21"/>
      <c r="HK35" s="21" t="str">
        <f t="shared" si="44"/>
        <v>SIN ANTECEDENTES DE RIESGO</v>
      </c>
      <c r="HL35" s="24" t="str">
        <f t="shared" si="45"/>
        <v>REGISTRE DATO PRESIÓN ARTERIAL MENSUAL</v>
      </c>
      <c r="HM35" s="21" t="str">
        <f t="shared" ca="1" si="46"/>
        <v/>
      </c>
      <c r="HN35" s="30" t="str">
        <f t="shared" ref="HN35:HN71" si="207">IF(AND(R35&lt;&gt;"",IK35="CAMBIO DE RESIDENCIA"),"SEGUIMIENTO REPORTE EPS",IF(AND(R35&lt;&gt;"",OR(IK35&lt;&gt;"",IN35&lt;&gt;"")),"SALIO PROGRAMA",IF(AND(AND(R35="",O35&gt;0),OR(IK35&lt;&gt;"",IN35&lt;&gt;"")),"SALE SIN INGRESO CPN",IF(AND(R35="",O35&gt;0,IK35="",IN35=""),"ACTIVA SIN INGRESO CPN",IF(AND(R35&lt;&gt;"",OR(IK35="",IN35="")),"ACTIVA INGRESO A CPN","")))))</f>
        <v>SALIO PROGRAMA</v>
      </c>
      <c r="HO35" s="21"/>
      <c r="HP35" s="21"/>
      <c r="HQ35" s="21">
        <v>44854</v>
      </c>
      <c r="HR35" s="21" t="str">
        <f>IF(R35="","",IF(Tabla1[[#This Row],[ALARMA FACTORES DE RIESGO COMPLICACIONES HIPERTENSIVAS3]]="SIN ANTECEDENTES DE RIESGO","No Aplica para suministro de ASA",IF(AND(Tabla1[[#This Row],[FECHA INICIO DE SUMINISTRO DE ASA]]&gt;0,RV35&lt;12),"Inicia ASA ANTES de Sem 12",IF(AND(RV35&gt;11,RV35&lt;17,OR(HK35="RIESGO ALTO DE COMPLICACIONES HIPERTENSIVAS VER MANEJO GUIA SUMINISTRO ASA Y CALCIO",HK35="RIESGO MODERADO (2 O MAS CRITERIOS) VER MANEJO GUIA SUMINISTRO ASA Y CALCIO")),"Inicio oportuno de ASA",IF(AND(RV35&gt;12,OR(HK35="RIESGO ALTO DE COMPLICACIONES HIPERTENSIVAS VER MANEJO GUIA SUMINISTRO ASA Y CALCIO",HK35="RIESGO MODERADO (2 O MAS CRITERIOS) VER MANEJO GUIA SUMINISTRO ASA Y CALCIO")),"Inicio no oportuno mayor a 16 semanas",IF(AND(BU35&lt;12,OR(HK35="RIESGO ALTO DE COMPLICACIONES HIPERTENSIVAS VER MANEJO GUIA SUMINISTRO ASA Y CALCIO",HK35="RIESGO MODERADO (2 O MAS CRITERIOS) VER MANEJO GUIA SUMINISTRO ASA Y CALCIO")),"Pendiente Inicio de ASA a la semana 12",IF(AND(BU35&gt;11,BU35&lt;17,OR(HK35="RIESGO ALTO DE COMPLICACIONES HIPERTENSIVAS VER MANEJO GUIA SUMINISTRO ASA Y CALCIO",HK35="RIESGO MODERADO (2 O MAS CRITERIOS) VER MANEJO GUIA SUMINISTRO ASA Y CALCIO")),"Iniciar de inmediato ASA",IF(AND(BU35&gt;16,OR(HK35="RIESGO ALTO DE COMPLICACIONES HIPERTENSIVAS VER MANEJO GUIA SUMINISTRO ASA Y CALCIO",HK35="RIESGO MODERADO (2 O MAS CRITERIOS) VER MANEJO GUIA SUMINISTRO ASA Y CALCIO")),"Pierde Oportunidad, Inicio tardío de ASA","XXXXX"))))))))</f>
        <v>No Aplica para suministro de ASA</v>
      </c>
      <c r="HS35" s="22">
        <v>44854</v>
      </c>
      <c r="HT35" s="22" t="s">
        <v>870</v>
      </c>
      <c r="HU35" s="22">
        <v>44854</v>
      </c>
      <c r="HV35" s="22" t="s">
        <v>935</v>
      </c>
      <c r="HW35" s="22">
        <v>44854</v>
      </c>
      <c r="HX35" s="22" t="s">
        <v>935</v>
      </c>
      <c r="HY35" s="22">
        <v>44854</v>
      </c>
      <c r="HZ35" s="28">
        <f t="shared" si="48"/>
        <v>7.1428571428571432</v>
      </c>
      <c r="IA35" s="26" t="s">
        <v>864</v>
      </c>
      <c r="IB35" s="26"/>
      <c r="IC35" s="111"/>
      <c r="ID35" s="22">
        <v>44961</v>
      </c>
      <c r="IE35" s="22" t="str">
        <f t="shared" ca="1" si="49"/>
        <v>VACUNA APLICADA ENTRE SEMANA 20 Y SEMANA 26</v>
      </c>
      <c r="IF35" s="22"/>
      <c r="IG35" s="22">
        <f t="shared" si="50"/>
        <v>45084</v>
      </c>
      <c r="IH35" s="29">
        <f t="shared" ca="1" si="51"/>
        <v>-149</v>
      </c>
      <c r="II35" s="22" t="str">
        <f t="shared" ca="1" si="52"/>
        <v>POSIBLEMENTE NACIO</v>
      </c>
      <c r="IJ35" s="22"/>
      <c r="IK35" s="21" t="s">
        <v>898</v>
      </c>
      <c r="IL35" s="21"/>
      <c r="IM35" s="34"/>
      <c r="IN35" s="349">
        <v>45062</v>
      </c>
      <c r="IO35" s="21" t="s">
        <v>1186</v>
      </c>
      <c r="IP35" s="29">
        <f t="shared" ref="IP35:IP66" si="208">IF(AND(IN35&gt;0,IK35&lt;&gt;""),SUM(IN35-RW35)/7,"")</f>
        <v>36.857142857142854</v>
      </c>
      <c r="IQ35" s="35" t="s">
        <v>1650</v>
      </c>
      <c r="IR35" s="21" t="s">
        <v>1651</v>
      </c>
      <c r="IS35" s="21" t="s">
        <v>1646</v>
      </c>
      <c r="IT35" s="21" t="s">
        <v>1642</v>
      </c>
      <c r="IU35" s="21"/>
      <c r="IV35" s="21"/>
      <c r="IW35" s="21"/>
      <c r="IX35" s="21"/>
      <c r="IY35" s="21"/>
      <c r="IZ35" s="21"/>
      <c r="JA35" s="21"/>
      <c r="JB35" s="30">
        <v>1</v>
      </c>
      <c r="JC35" s="21" t="s">
        <v>1647</v>
      </c>
      <c r="JD35" s="36">
        <v>3680</v>
      </c>
      <c r="JE35" s="21" t="str">
        <f t="shared" ref="JE35:JE66" si="209">IF(AND(JD35&gt;700,JD35&lt;2500,IP35&gt;36),"BAJO PESO AL NACER",IF(AND(JD35&gt;500,JD35&lt;2500,IP35&lt;37),"PREMATURO",IF(AND(JD35&gt;2499,JD35&lt;5000,IP35&lt;37),"ERROR VERIFICAR DATO EDAD GESTACIONAL VS PESO",IF(AND(JD35&gt;2499,JD35&lt;4000,IP35&gt;36),"PESO ADECUADO EDAD GESTACIONAL",IF(AND(JD35&gt;3999,JD35&lt;6000,IP35&gt;36),"PESO GRANDE EDAD GESTACIONAL","")))))</f>
        <v>ERROR VERIFICAR DATO EDAD GESTACIONAL VS PESO</v>
      </c>
      <c r="JF35" s="30"/>
      <c r="JG35" s="21"/>
      <c r="JH35" s="21"/>
      <c r="JI35" s="21" t="s">
        <v>854</v>
      </c>
      <c r="JJ35" s="30" t="s">
        <v>866</v>
      </c>
      <c r="JK35" s="22"/>
      <c r="JL35" s="22"/>
      <c r="JM35" s="21"/>
      <c r="JN35" s="36"/>
      <c r="JO35" s="21" t="str">
        <f t="shared" ref="JO35:JO66" si="210">IF(AND(JN35&gt;700,JN35&lt;2500,IP35&gt;36,IP35&lt;43),"BAJO PESO AL NACER",IF(AND(JN35&gt;700,JN35&lt;2500,IP35&lt;37),"PREMATURO",IF(AND(JN35&gt;2499,JN35&lt;5000,IP35&lt;37),"ERROR VERIFICAR DATO EDAD GESTACIONAL VS PESO",IF(AND(JN35&gt;2499,JN35&lt;4000,IP35&gt;36,IP35&lt;43),"PESO ADECUADO EDAD GESTACIONAL",IF(AND(JN35&gt;3999,JN35&lt;6000,IP35&gt;36,IP35&lt;43),"PESO GRANDE EDAD GESTACIONAL","")))))</f>
        <v/>
      </c>
      <c r="JP35" s="22"/>
      <c r="JQ35" s="21"/>
      <c r="JR35" s="21"/>
      <c r="JS35" s="21"/>
      <c r="JT35" s="30"/>
      <c r="JU35" s="22"/>
      <c r="JV35" s="22"/>
      <c r="JW35" s="33"/>
      <c r="JX35" s="28" t="str">
        <f t="shared" ref="JX35:JX66" si="211">IF(AND(JW35&lt;&gt;"",JW35&lt;IN35),"INCONSISTENCIA FECHA CONTROL",IF(AND(OR(IK35="Parto",IK35="Cesarea"),JW35&gt;0,IN35&gt;0),SUM(JW35-IN35),IF(AND(OR(IK35="Parto",IK35="Cesarea"),JW35="",IN35&gt;0),"INASISTENTE","")))</f>
        <v>INASISTENTE</v>
      </c>
      <c r="JY35" s="33"/>
      <c r="JZ35" s="28" t="str">
        <f t="shared" ref="JZ35:JZ66" si="212">IF(AND(JY35&lt;&gt;"",JY35&lt;IN35),"INCONSISTENCIA FECHA CONTROL",IF(AND(OR(IK35="Parto",IK35="Cesarea",IK35="Aborto Espontaneo",IK35="Aborto Inducido",IK35="IVE"),JY35&gt;0,IN35&gt;0),SUM(JY35-IN35),IF(AND(JY35&lt;&gt;"",JY35&lt;IN35),"INCONSISTENCIA FECHA CONTROL",IF(AND(OR(IK35="Parto",IK35="Cesarea",IK35="Aborto Espontaneo",IK35="Aborto Inducido",IK35="IVE"),JY35="",IN35&gt;0),"INASISTENTE",""))))</f>
        <v>INASISTENTE</v>
      </c>
      <c r="KA35" s="21"/>
      <c r="KB35" s="21"/>
      <c r="KC35" s="21"/>
      <c r="KD35" s="37"/>
      <c r="KE35" s="28"/>
      <c r="KF35" s="28"/>
      <c r="KG35" s="28"/>
      <c r="KH35" s="39"/>
      <c r="KI35" s="39"/>
      <c r="KJ35" s="66"/>
      <c r="KK35" s="39"/>
      <c r="KL35" s="39"/>
      <c r="KM35" s="66"/>
      <c r="KN35" s="39"/>
      <c r="KO35" s="39"/>
      <c r="KP35" s="39"/>
      <c r="KQ35" s="39"/>
      <c r="KR35" s="39"/>
      <c r="KS35" s="39"/>
      <c r="KT35" s="39"/>
      <c r="KU35" s="38"/>
      <c r="KV35" s="38"/>
      <c r="KW35" s="38"/>
      <c r="KX35" s="38"/>
      <c r="KY35" s="38"/>
      <c r="KZ35" s="38"/>
      <c r="LA35" s="38"/>
      <c r="LB35" s="38"/>
      <c r="LC35" s="38"/>
      <c r="LD35" s="38"/>
      <c r="LE35" s="38"/>
      <c r="LF35" s="38"/>
      <c r="LG35" s="38"/>
      <c r="LH35" s="38"/>
      <c r="LI35" s="38"/>
      <c r="LJ35" s="38"/>
      <c r="LK35" s="38"/>
      <c r="LL35" s="38"/>
      <c r="LM35" s="38"/>
      <c r="LN35" s="38"/>
      <c r="LO35" s="38"/>
      <c r="LP35" s="38"/>
      <c r="LQ35" s="38"/>
      <c r="LR35" s="38"/>
      <c r="LS35" s="38"/>
      <c r="LT35" s="38"/>
      <c r="LU35" s="38"/>
      <c r="LV35" s="38"/>
      <c r="LW35" s="38"/>
      <c r="LX35" s="38"/>
      <c r="LY35" s="38"/>
      <c r="LZ35" s="38"/>
      <c r="MA35" s="38"/>
      <c r="MB35" s="38"/>
      <c r="MC35" s="38"/>
      <c r="MD35" s="38"/>
      <c r="ME35" s="38"/>
      <c r="MF35" s="38"/>
      <c r="MG35" s="38"/>
      <c r="MH35" s="43">
        <f t="shared" ref="MH35:MH66" si="213">SUM(COUNTIF(KU35,"PARTERO (A)"),COUNTIF(KY35,"PARTERO (A)"),COUNTIF(LC35,"PARTERO (A)"),COUNTIF(LG35,"PARTERO (A)"),COUNTIF(LK35,"PARTERO (A)"),COUNTIF(LO35,"PARTERO (A)"),COUNTIF(ME35,"PARTERO (A)"))</f>
        <v>0</v>
      </c>
      <c r="MI35" s="43" t="str">
        <f t="shared" ref="MI35:MI66" si="214">IF(AND(R35="",O35=""),"",IF(AND(OR(O35&gt;0,R35&gt;0),KT35&gt;0),SUM(KT35-RW35)/7,""))</f>
        <v/>
      </c>
      <c r="MJ35" s="43" t="str">
        <f t="shared" ref="MJ35:MJ66" si="215">IF(AND(MI35="",BT35=""),"",IF(AND(MI35&lt;&gt;"",BT35="SIN DATO"),"SIN DATO",IF(AND(MI35="",BT35&lt;&gt;""),"",IF(AND(MI35&lt;0,BT35&gt;0),"ERROR FUM O INGRESO",IF(MI35&lt;=13,"I TRIM",IF(MI35&lt;28,"II TRIM",IF(AND(MI35&gt;27,MI35&lt;45),"III TRIM","POR DEFINIR")))))))</f>
        <v/>
      </c>
      <c r="MK35" s="43">
        <f t="shared" ref="MK35:MK66" si="216">SUM(COUNTIF(KU35,"MEDICO (A) TRADICIONAL"),COUNTIF(KY35,"MEDICO (A) TRADICIONAL"),COUNTIF(LC35,"MEDICO (A) TRADICIONAL"),COUNTIF(LG35,"MEDICO (A) TRADICIONAL"),COUNTIF(LK35,"MEDICO (A) TRADICIONAL"),COUNTIF(LO35,"MEDICO (A) TRADICIONAL"),COUNTIF(ME35,"MEDICO (A) TRADICIONAL"))</f>
        <v>0</v>
      </c>
      <c r="ML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5" s="43">
        <f t="shared" ref="MM35:MM66" si="217">IF(AND(O35&gt;0,RW35&gt;0),SUM(O35-RW35)/7,"")</f>
        <v>7.1428571428571432</v>
      </c>
      <c r="MN35" s="43">
        <f t="shared" ref="MN35:MN66" si="218">IF(R35&gt;0,MONTH(R35),"")</f>
        <v>10</v>
      </c>
      <c r="MO35" s="43">
        <f t="shared" ref="MO35:MO66" si="219">IF(R35&gt;0,YEAR(R35),"")</f>
        <v>2022</v>
      </c>
      <c r="MP35" s="43" t="str">
        <f t="shared" ref="MP35:MP66" si="220">IF(AND(MN35&gt;=1,MN35&lt;=3),"I TRIMESTRE AÑO",IF(AND(MN35&gt;=4,MN35&lt;=6),"II TRIMESTRE AÑO",IF(AND(MN35&gt;=7,MN35&lt;=9),"III TRIMESTRE AÑO",IF(AND(MN35&gt;=10,MN35&lt;=12),"IV TRIMESTRE AÑO",""))))</f>
        <v>IV TRIMESTRE AÑO</v>
      </c>
      <c r="MQ35" s="43">
        <f t="shared" ref="MQ35:MQ66" si="221">IF(AND(M35&gt;0,R35&gt;0),DAYS360(M35,R35)/30.44/12,IF(AND(M35&gt;0,O35&gt;0,R35=""),DAYS360(M35,O35)/30.44/12,""))</f>
        <v>17.739816031537451</v>
      </c>
      <c r="MR35" s="43">
        <f t="shared" ref="MR35:MR66" si="222">IF(AND(MQ35&gt;7,MQ35&lt;14),2,IF(MQ35&lt;16,1,IF(MQ35&lt;=35,0,IF(AND(MQ35&gt;35,MQ35&lt;50),2,""))))</f>
        <v>0</v>
      </c>
      <c r="MS35" s="43" t="str">
        <f t="shared" ref="MS35:MS66" si="223">+IF(MQ35="","",IF(MQ35&lt;14,"MENOR 14 AÑOS",IF(MQ35&lt;20,"DE 14 A 19AÑOS",IF(MQ35&lt;25," DE 20 A 24 AÑOS",IF(MQ35&lt;30," DE 25 A 29 AÑOS",IF(MQ35&lt;35," DE 30 A 34 AÑOS",IF(MQ35&lt;40," DE 35 A 39 AÑOS"," DE 40 Y MAS")))))))</f>
        <v>DE 14 A 19AÑOS</v>
      </c>
      <c r="MT35" s="43">
        <f t="shared" ref="MT35:MT66" si="224">IF(OR(AX35="SI",BA35="SI"),1,IF(AND(AX35="NO",BA35="NO"),0,""))</f>
        <v>0</v>
      </c>
      <c r="MU35" s="43">
        <f t="shared" ref="MU35:MU66" si="225">IF(AT35="","",IF(AT35=0,1,IF(AND(AT35&gt;=1,AT35&lt;=4),0,IF(AT35&gt;=5,2,"X"))))</f>
        <v>1</v>
      </c>
      <c r="MV35" s="43">
        <f t="shared" ref="MV35:MV66" si="226">IF(AW35="","",IF(AW35=0,0,IF(AW35=1,1,IF(OR(AW35=2,AW35="3 o MAS"),2,"X"))))</f>
        <v>0</v>
      </c>
      <c r="MW35" s="43">
        <f t="shared" ref="MW35:MW66" si="227">IF(AY35="SI",1,IF(AY35="NO",0,""))</f>
        <v>0</v>
      </c>
      <c r="MX35" s="43" t="str">
        <f t="shared" ref="MX35:MX66" si="228">IF(OR(AND(EM35&gt;0,EM35&lt;11),AND(ER35&gt;0,ER35&lt;10.5)),1,"")</f>
        <v/>
      </c>
      <c r="MY35" s="43" t="str">
        <f t="shared" ref="MY35:MY71" ca="1" si="229">IF(AND(AND(BU35&gt;40.9,BU35&lt;43),IN35=""),1,"")</f>
        <v/>
      </c>
      <c r="MZ35" s="43" t="str">
        <f t="shared" ref="MZ35:MZ66" si="230">IF(AND(GJ35="",GL35="",BB35=""),"",IF(OR(OR(GJ35="P.R REACTIVA",GJ35="ELISA REACTIVA"),OR(BB35="SI",GL35="POSITIVA",GL35="NO CONCLUYENTE")),3,""))</f>
        <v/>
      </c>
      <c r="NA35" s="43">
        <f t="shared" ref="NA35:NA66" si="231">IF(CD35="","",IF(OR(CD35="CEFÁLICA",CD35="SD"),0,IF(OR(CD35="PODÁLICA",CD35="TRANSVERSA O DE FRENTE",CD35="OBLICUA"),3,"")))</f>
        <v>0</v>
      </c>
      <c r="NB35" s="43" t="str">
        <f t="shared" ref="NB35:NB66" si="232">IF(GZ35="","",IF(GZ35="POSITIVO",2,"0"))</f>
        <v/>
      </c>
      <c r="NC35" s="43" t="str">
        <f t="shared" ref="NC35:NC66" si="233">IF(AND(HB35="",HD35=""),"",IF(OR(HB35="POSITIVO",HD35="POSITIVO"),3,0))</f>
        <v/>
      </c>
      <c r="ND35" s="43">
        <f t="shared" ref="ND35:ND66" ca="1" si="234">IF(AND(O35="",R35=""),"",IF(OR(O35&lt;&gt;"",R35&lt;&gt;""),SUM(COUNTIF(AL35:AR35,"SI"),COUNTIF(AV35,"SI"),COUNTIF(BC35,"SI, CONTROLADA"),COUNTIF(BI35,"SI"),COUNTIF(BM35,"SI"),SUM(COUNTIF(BC35,"SI, SIN MANEJO")*3),SUM(COUNTIF(BC35,"SI, NO CONTROLADA")*3),SUM(COUNTIF(BD35:BG35,"SI")*3),SUM(COUNTIF(CB35:CC35,"SI")*3),SUM(COUNTIF(AD35,"Consumo Actual")*3),SUM(COUNTIF(AD35,"Hasta Antes de la Gestación")*2),SUM(COUNTIF(BK35,"SI")*3),SUM(COUNTIF(BL35,"SI")*2),SUM(COUNTIF(CE35,"SI")*2),SUM(COUNTIF(BH35,"SI")*2),SUM(COUNTIF(FG35,"DIABETES, REMITIR")*2),SUM(MT35:NC35),SUM(MR35),SUM(NG35),SUM(COUNTIF(EZ35,"COOMBS C/MES Y RESUMAN SEM 28")*2),SUM(COUNTIF(EZ35,"TOMAR COOMBS CUANTITATIVO Y REMISIÓN")*3),SUM(COUNTIF(FU35,"SIFILIS GESTACIONAL")*3)),""))</f>
        <v>1</v>
      </c>
      <c r="NE35" s="43">
        <f>IF(OR(O35&gt;0,R35&gt;0),SUM(COUNTIF(Tabla1[[#This Row],[AÑOS AL INICIO5 CPN]],"&gt;=40"),COUNTIF(AS35,"0"),COUNTIF(AR35,"SI"),COUNTIF(CC35,"SI"),COUNTIF(BQ35,"&gt;119"),COUNTIF(CI35,"&gt;=35")),"")</f>
        <v>0</v>
      </c>
      <c r="NF35" s="43">
        <f t="shared" ref="NF35:NF66" si="235">IF(AND(R35="",O35=""),"",IF(AND(OR(O35&gt;0,R35&gt;0),RW35=""),"SD",IF(AND(OR(O35&gt;0,R35&gt;0),ID35&gt;0),SUM(ID35-RW35)/7,"")))</f>
        <v>22.428571428571427</v>
      </c>
      <c r="NG35" s="43">
        <f t="shared" ref="NG35:NG66" si="236">IF(AND(AD35="",AE35="",AF35="",AG35="",AH35="",AI35="",AJ35=""),"",SUM(COUNTIF(AD35,"Hasta Antes de la Gestación")/2,SUM(COUNTIF(AE35,"NO")/2),COUNTIF(AF35,"NO"),SUM(COUNTIF(AG35,"SI")/2),COUNTIF(AH35,"SI"),SUM(COUNTIF(AJ35,"SI")*2),COUNTIF(AD35,"Consumo Actual"),COUNTIF(AI35,"HABITANTE DE CALLE"),COUNTIF(AI35,"DESPLAZADA"),COUNTIF(AI35,"MIGRATORIA"),COUNTIF(AI35,"DISCAPACIDAD FISICA"),COUNTIF(AI35,"DISCAPACIDAD CONDUCTUAL"),COUNTIF(AI35,"DISCAPACIDAD VISUAL"),COUNTIF(AI35,"DISCAPACIDAD AUDITIVA"),COUNTIF(AI35,"DISCAPACIDAD MULTIPLE"),COUNTIF(AI35,"DISCAPACIDAD SISTEMICA")))</f>
        <v>0</v>
      </c>
      <c r="NH35" s="43">
        <f t="shared" ref="NH35:NH66" si="237">IF(BX35&gt;0,BX35*7,"")</f>
        <v>51.800000000000004</v>
      </c>
      <c r="NI3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CPN",P35="NO"),"Z",IF(AND(Tabla1[[#This Row],[CITA PROXIMO CONTROL]]="CITA MANUAL",Tabla1[[#This Row],[GESTANTES ACTUALES]]="ACTIVA INGRESO A CPN"),"W",IF(AND(Tabla1[[#This Row],[GESTANTES ACTUALES]]="SALIO PROGRAMA",IN35=""),"S",IF(AND(Tabla1[[#This Row],[CITA PROXIMO CONTROL]]&gt;0,IN35=""),(Tabla1[[#This Row],[CITA PROXIMO CONTROL]]-TODAY()),"SD"))))))))</f>
        <v>SD</v>
      </c>
      <c r="NJ35" s="43">
        <f>MONTH(Tabla1[[#This Row],[FECHA DE SALIDA  DEL PROGRAMA]])</f>
        <v>5</v>
      </c>
      <c r="NK35" s="43">
        <f>YEAR(Tabla1[[#This Row],[FECHA DE SALIDA  DEL PROGRAMA]])</f>
        <v>2023</v>
      </c>
      <c r="NL35" s="43">
        <f t="shared" ref="NL35:NL66" si="238">IF(AND(O35&gt;0,R35=""),"NO CPN",IF(AND(O35="",R35=""),"",IF(AND(R35&gt;0,EJ35&gt;0,EI35&gt;0),_xlfn.DAYS(EJ35,EI35),IF(AND(R35&gt;0,EJ35&gt;0,EI35=""),"NO CITA","X"))))</f>
        <v>154</v>
      </c>
      <c r="NM35" s="43" t="str">
        <f t="shared" ref="NM35:NM59" si="239">IF(AND(O35&gt;0,R35=""),"NO CPN",IF(AND(O35="",R35=""),"",IF(AND(EN35&lt;&gt;"",EX35&lt;&gt;"",FB35&lt;&gt;"",FK35&lt;&gt;"",FW35&lt;&gt;"",FZ35&lt;&gt;"",GO35&lt;&gt;"",GQ35&lt;&gt;"",GR35&lt;&gt;""),"SI","NO")))</f>
        <v>NO</v>
      </c>
      <c r="NN35" s="43" t="str">
        <f ca="1">IF(AND(O35&gt;0,R35=""),"NO CPN",IF(AND(O35="",R35=""),"",IF(AND(R35&gt;0,Tabla1[[#This Row],[SEMANAS DE GESTACION ACTUALIZADAS]]&lt;=12),"NO APLICA",IF(AND(FH35&lt;&gt;"",FN35&lt;&gt;""),"SI","NO"))))</f>
        <v>SI</v>
      </c>
      <c r="NO35" s="43" t="str">
        <f ca="1">IF(AND(O35&gt;0,R35=""),"NO CPN",IF(AND(O35="",R35=""),"",IF(AND(R35&gt;0,Tabla1[[#This Row],[SEMANAS DE GESTACION ACTUALIZADAS]]&lt;=27),"NO APLICA",IF(AND(ES35&lt;&gt;"",FQ35&lt;&gt;"",GF35&lt;&gt;""),"SI","NO"))))</f>
        <v>NO</v>
      </c>
      <c r="NP35" s="204" t="str">
        <f t="shared" ref="NP35:NP66" si="240">IF(AND(BS35="",IG35=""),"",IF(AND(BS35="",IG35="DEFINIR FPP POR ECO"),"SIN DATO",IF(BS35&lt;0,"ERROR FUM O INGRESO",IF(BP35="NO","DEFINIR CON ECO",IF(BS35&lt;12,"I TRIM",IF(BS35&lt;27,"II TRIM",IF(AND(BS35&gt;26,BS35&lt;45),"III TRIM","ERROR FUM O INGRESO")))))))</f>
        <v>I TRIM</v>
      </c>
      <c r="NQ35" s="21">
        <f t="shared" ref="NQ35:NQ70" si="241">IF(AND(IP36&gt;0,IP36&lt;37),10,IF(OR(CD36="Transversa",CD36="Oblicua"),9,IF(CC36="SI",8,IF(AND(AT36=0,AW36=0,CC36="NO",CD36="Cefálica",IP36&gt;=37,IT36="INICIO ESPONTÁNEO"),1,IF(AND(AND(AT36=0,AW36=0,CC36="NO",CD36="Cefálica",IP36&gt;=37),OR(IT36="LE HACEN INDUCCIÓN",IT36="LE HACEN CESÁREA SIN INICIO TRABAJO DE PARTO")),2,IF(AND(AT36&gt;=1,AW36=0,CC36="NO",CD36="Cefálica",IP36&gt;=37,IT36="INICIO ESPONTÁNEO"),3,IF(AND(AND(AT36&gt;=1,AW36=0,CC36="NO",CD36="Cefálica",IP36&gt;=37),OR(IT36="LE HACEN INDUCCIÓN",IT36="LE HACEN CESÁREA SIN INICIO TRABAJO DE PARTO")),4,IF(AND(AND(AT36&gt;=1,AW36&gt;=1,CC36="NO",CD36="Cefálica",IP36&gt;=37),OR(IT36="LE HACEN INDUCCIÓN",IT36="LE HACEN CESÁREA SIN INICIO TRABAJO DE PARTO",IT36="INICIO ESPONTÁNEO")),5,IF(AND(AND(AT36=0,AW36=0,CC36="NO",CD36="Podálica",IP36&gt;=1),OR(IT36="LE HACEN INDUCCIÓN",IT36="LE HACEN CESÁREA SIN INICIO TRABAJO DE PARTO",IT36="INICIO ESPONTÁNEO")),6,IF(AND(AND(AT36&gt;=1,CC36="NO",CD36="Podálica",IP36&gt;=1),OR(IT36="LE HACEN INDUCCIÓN",IT36="LE HACEN CESÁREA SIN INICIO TRABAJO DE PARTO",IT36="INICIO ESPONTÁNEO"),OR(AW36=0,AW36&gt;=1)),7,""))))))))))</f>
        <v>10</v>
      </c>
      <c r="NR35" s="21">
        <f t="shared" ref="NR35:NR71" si="242">IF(AND(O35="",R35=""),"",IF(AND(BS35&gt;0,BS35&lt;12,IP35&gt;28,IP35&lt;44),3, IF(OR(AND(BS35&gt;=12,BS35&lt;28,IP35&gt;=28,IP35&lt;44),AND(BS35&gt;0,BS35&lt;12,IP35&gt;=12,IP35&lt;29)),2,IF(OR(AND(BS35&gt;=28,BS35&lt;44),AND(BS35&gt;0,BS35&lt;12,IP35&gt;0,IP35&lt;12),AND(BS35&gt;=12,BS35&lt;28,IP35&gt;=12,IP35&lt;28)),1,IF(AND(BS35&gt;0,BS35&lt;12,BU35&gt;=28,BU35&lt;44,DV35="ACTIVA INGRESO A CPN"),3,IF(OR(AND(BS35&gt;0,BS35&lt;12,BU35&gt;=12,BU35&lt;28,DV35="ACTIVA INGRESO A CPN"),AND(BS35&gt;=12,BS35&lt;28,BU35&gt;=28,BU35&lt;44,DV35="ACTIVA INGRESO A CPN")),2,IF(OR(AND(BS35&gt;0,BS35&lt;12,BU35&gt;0,BU35&lt;12,DV35="ACTIVA INGRESO A CPN"),AND(BS35&gt;=12,BS35&lt;28,BU35&gt;=12,BU35&lt;28,DV35="ACTIVA INGRESO A CPN")),1,"REVISAR FUM O FECHA SALIDA PROGRAMA")))))))</f>
        <v>3</v>
      </c>
      <c r="NS35" s="205">
        <f t="shared" ref="NS35:NS66" ca="1" si="243">COUNT(FL35,FO35,FR35,FT35)</f>
        <v>3</v>
      </c>
      <c r="NT35" s="21">
        <f t="shared" ref="NT35:NT66" ca="1" si="244">COUNT(GA35,GD35,GG35,GI35)</f>
        <v>2</v>
      </c>
      <c r="NU35" s="21" t="str">
        <f t="shared" ref="NU35:NU66" ca="1" si="245">IF(NR35="","",IF(NR35="REVISAR FUM O FECHA SALIDA PROGRAMA","POR DEFINIR",IF(OR(NR35=NS35,NS35&gt;NR35),"COMPLETO",IF(NS35&lt;NR35,"INCOMPLETO",""))))</f>
        <v>COMPLETO</v>
      </c>
      <c r="NV35" s="21" t="str">
        <f t="shared" ref="NV35:NV66" ca="1" si="246">IF(NR35="","",IF(NR35="REVISAR FUM O FECHA SALIDA PROGRAMA","POR DEFINIR",IF(OR(NR35=NT35,NT35&gt;NR35),"COMPLETO",IF(NT35&lt;NR35,"INCOMPLETO",""))))</f>
        <v>INCOMPLETO</v>
      </c>
      <c r="NW35" s="206" t="str">
        <f>IF(AND(O35="",R35=""),"",IF(OR(AND(Tabla1[[#This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5" s="207" t="str">
        <f t="shared" ref="NX35:NX66" ca="1" si="247">IF(AND(O35="",R35=""),"",IF(OR(IE35="VACUNA APLICADA ENTRE SEMANA 20 Y SEMANA 26",IE35="VACUNA APLICADA ENTRE SEMANA 27 Y EL PARTO",IE35="VACUNA APLICADA ANTES SEMANA 20"),"VACUNADA","SIN VACUNAR"))</f>
        <v>VACUNADA</v>
      </c>
      <c r="NY35" s="43">
        <f>ROW(Tabla1[[#This Row],['# DE TAMIZAJES SIFILIS TOMADOS ]])</f>
        <v>35</v>
      </c>
      <c r="NZ35" s="43" t="str">
        <f t="shared" si="93"/>
        <v>Menor</v>
      </c>
      <c r="OA35" s="43" t="str">
        <f t="shared" si="94"/>
        <v>NORMAL</v>
      </c>
      <c r="OB35" s="43" t="str">
        <f t="shared" si="95"/>
        <v/>
      </c>
      <c r="OC35" s="43" t="str">
        <f t="shared" si="96"/>
        <v/>
      </c>
      <c r="OD35" s="43" t="str">
        <f t="shared" si="97"/>
        <v/>
      </c>
      <c r="OE35" s="43" t="str">
        <f t="shared" si="98"/>
        <v/>
      </c>
      <c r="OF35" s="43" t="str">
        <f t="shared" si="99"/>
        <v/>
      </c>
      <c r="OG35" s="43" t="str">
        <f t="shared" si="100"/>
        <v/>
      </c>
      <c r="OH35" s="43" t="str">
        <f t="shared" si="101"/>
        <v/>
      </c>
      <c r="OI35" s="43" t="str">
        <f t="shared" si="102"/>
        <v/>
      </c>
      <c r="OJ35" s="43" t="str">
        <f t="shared" si="103"/>
        <v/>
      </c>
      <c r="OK35" s="43" t="str">
        <f t="shared" si="104"/>
        <v/>
      </c>
      <c r="OL35" s="43" t="str">
        <f t="shared" si="105"/>
        <v/>
      </c>
      <c r="OM35" s="43" t="str">
        <f t="shared" si="106"/>
        <v/>
      </c>
      <c r="ON35" s="43" t="str">
        <f t="shared" si="107"/>
        <v/>
      </c>
      <c r="OO35" s="43" t="str">
        <f t="shared" si="108"/>
        <v/>
      </c>
      <c r="OP35" s="43" t="str">
        <f t="shared" si="109"/>
        <v/>
      </c>
      <c r="OQ35" s="43" t="str">
        <f t="shared" si="110"/>
        <v/>
      </c>
      <c r="OR35" s="43" t="str">
        <f t="shared" si="111"/>
        <v/>
      </c>
      <c r="OS35" s="43" t="str">
        <f t="shared" si="112"/>
        <v/>
      </c>
      <c r="OT35" s="43" t="str">
        <f t="shared" si="113"/>
        <v/>
      </c>
      <c r="OU35" s="43" t="str">
        <f t="shared" si="114"/>
        <v/>
      </c>
      <c r="OV35" s="110" t="str">
        <f t="shared" si="115"/>
        <v/>
      </c>
      <c r="OW35" s="43" t="str">
        <f t="shared" si="116"/>
        <v/>
      </c>
      <c r="OX35" s="43" t="str">
        <f t="shared" si="117"/>
        <v/>
      </c>
      <c r="OY35" s="43" t="str">
        <f t="shared" si="118"/>
        <v/>
      </c>
      <c r="OZ35" s="43" t="str">
        <f t="shared" si="119"/>
        <v/>
      </c>
      <c r="PA35" s="43" t="str">
        <f t="shared" si="120"/>
        <v/>
      </c>
      <c r="PB35" s="43" t="str">
        <f t="shared" si="121"/>
        <v/>
      </c>
      <c r="PC35" s="43" t="str">
        <f t="shared" si="122"/>
        <v/>
      </c>
      <c r="PD35" s="43" t="str">
        <f t="shared" si="123"/>
        <v/>
      </c>
      <c r="PE35" s="43" t="str">
        <f t="shared" si="124"/>
        <v/>
      </c>
      <c r="PF35" s="43" t="str">
        <f t="shared" si="125"/>
        <v/>
      </c>
      <c r="PG35" s="43" t="str">
        <f t="shared" si="126"/>
        <v/>
      </c>
      <c r="PH35" s="43" t="str">
        <f t="shared" si="127"/>
        <v/>
      </c>
      <c r="PI35" s="43">
        <f t="shared" si="128"/>
        <v>33</v>
      </c>
      <c r="PJ35" s="43" t="str">
        <f t="shared" si="129"/>
        <v/>
      </c>
      <c r="PK35" s="43" t="str">
        <f t="shared" si="130"/>
        <v/>
      </c>
      <c r="PL35" s="43" t="str">
        <f t="shared" si="131"/>
        <v/>
      </c>
      <c r="PM35" s="43" t="str">
        <f t="shared" si="132"/>
        <v/>
      </c>
      <c r="PN35" s="43" t="str">
        <f t="shared" si="133"/>
        <v/>
      </c>
      <c r="PO35" s="43" t="str">
        <f t="shared" si="134"/>
        <v/>
      </c>
      <c r="PP35" s="43" t="str">
        <f t="shared" si="135"/>
        <v/>
      </c>
      <c r="PQ35" s="43" t="str">
        <f t="shared" si="136"/>
        <v/>
      </c>
      <c r="PR35" s="43" t="str">
        <f t="shared" si="137"/>
        <v/>
      </c>
      <c r="PS35" s="43" t="str">
        <f t="shared" si="138"/>
        <v/>
      </c>
      <c r="PT35" s="43" t="str">
        <f t="shared" si="139"/>
        <v/>
      </c>
      <c r="PU35" s="43" t="str">
        <f t="shared" si="140"/>
        <v/>
      </c>
      <c r="PV35" s="43" t="str">
        <f t="shared" si="141"/>
        <v/>
      </c>
      <c r="PW35" s="43" t="str">
        <f t="shared" si="142"/>
        <v/>
      </c>
      <c r="PX35" s="43" t="str">
        <f t="shared" si="143"/>
        <v/>
      </c>
      <c r="PY35" s="43" t="str">
        <f t="shared" si="144"/>
        <v/>
      </c>
      <c r="PZ35" s="43" t="str">
        <f t="shared" si="145"/>
        <v/>
      </c>
      <c r="QA35" s="43" t="str">
        <f t="shared" si="146"/>
        <v/>
      </c>
      <c r="QB35" s="43" t="str">
        <f t="shared" si="147"/>
        <v/>
      </c>
      <c r="QC35" s="43" t="str">
        <f t="shared" si="148"/>
        <v/>
      </c>
      <c r="QD35" s="43" t="str">
        <f t="shared" si="149"/>
        <v/>
      </c>
      <c r="QE35" s="43" t="str">
        <f t="shared" si="150"/>
        <v/>
      </c>
      <c r="QF35" s="43" t="str">
        <f t="shared" si="151"/>
        <v/>
      </c>
      <c r="QG35" s="43" t="str">
        <f t="shared" si="152"/>
        <v/>
      </c>
      <c r="QH35" s="43" t="str">
        <f t="shared" si="153"/>
        <v/>
      </c>
      <c r="QI35" s="43" t="str">
        <f t="shared" si="154"/>
        <v/>
      </c>
      <c r="QJ35" s="43" t="str">
        <f t="shared" si="155"/>
        <v/>
      </c>
      <c r="QK35" s="43" t="str">
        <f t="shared" si="156"/>
        <v/>
      </c>
      <c r="QL35" s="43" t="str">
        <f t="shared" si="157"/>
        <v/>
      </c>
      <c r="QM35" s="43" t="str">
        <f t="shared" si="158"/>
        <v/>
      </c>
      <c r="QN35" s="43" t="str">
        <f t="shared" si="159"/>
        <v/>
      </c>
      <c r="QO35" s="43" t="str">
        <f t="shared" si="160"/>
        <v/>
      </c>
      <c r="QP35" s="43" t="str">
        <f t="shared" si="161"/>
        <v/>
      </c>
      <c r="QQ35" s="43" t="str">
        <f t="shared" si="162"/>
        <v/>
      </c>
      <c r="QR35" s="43">
        <f t="shared" si="192"/>
        <v>33</v>
      </c>
      <c r="QS35" s="43"/>
      <c r="QT35" s="21" t="str">
        <f t="shared" si="163"/>
        <v/>
      </c>
      <c r="QU35" s="21" t="str">
        <f t="shared" si="164"/>
        <v/>
      </c>
      <c r="QV35" s="21" t="str">
        <f t="shared" si="165"/>
        <v/>
      </c>
      <c r="QW35" s="21" t="str">
        <f t="shared" si="166"/>
        <v/>
      </c>
      <c r="QX35" s="21" t="str">
        <f t="shared" si="167"/>
        <v/>
      </c>
      <c r="QY35" s="21" t="str">
        <f t="shared" si="168"/>
        <v/>
      </c>
      <c r="QZ35" s="21" t="str">
        <f t="shared" si="169"/>
        <v/>
      </c>
      <c r="RA35" s="21" t="str">
        <f t="shared" si="170"/>
        <v/>
      </c>
      <c r="RB35" s="21" t="str">
        <f t="shared" si="171"/>
        <v/>
      </c>
      <c r="RC35" s="21" t="str">
        <f t="shared" si="172"/>
        <v/>
      </c>
      <c r="RD35" s="21" t="str">
        <f t="shared" si="173"/>
        <v/>
      </c>
      <c r="RE35" s="21" t="str">
        <f t="shared" si="174"/>
        <v/>
      </c>
      <c r="RF35" s="21" t="str">
        <f t="shared" si="175"/>
        <v/>
      </c>
      <c r="RG35" s="21" t="str">
        <f t="shared" si="176"/>
        <v/>
      </c>
      <c r="RH35" s="21" t="str">
        <f t="shared" si="177"/>
        <v/>
      </c>
      <c r="RI35" s="21" t="str">
        <f t="shared" si="178"/>
        <v/>
      </c>
      <c r="RJ35" s="21" t="str">
        <f t="shared" si="179"/>
        <v/>
      </c>
      <c r="RK35" s="21" t="str">
        <f t="shared" si="180"/>
        <v/>
      </c>
      <c r="RL35" s="21" t="str">
        <f t="shared" si="181"/>
        <v/>
      </c>
      <c r="RM35" s="21" t="str">
        <f t="shared" si="182"/>
        <v/>
      </c>
      <c r="RN35" s="21" t="str">
        <f t="shared" si="183"/>
        <v/>
      </c>
      <c r="RO35" s="21" t="str">
        <f t="shared" si="184"/>
        <v/>
      </c>
      <c r="RP35" s="21" t="str">
        <f t="shared" si="185"/>
        <v/>
      </c>
      <c r="RQ35" s="21" t="str">
        <f t="shared" si="186"/>
        <v/>
      </c>
      <c r="RR35" s="21" t="str">
        <f t="shared" si="187"/>
        <v/>
      </c>
      <c r="RS35" s="21" t="str">
        <f t="shared" si="188"/>
        <v/>
      </c>
      <c r="RT35" s="21" t="str">
        <f t="shared" si="189"/>
        <v/>
      </c>
      <c r="RU35" s="21" t="str">
        <f t="shared" si="190"/>
        <v/>
      </c>
      <c r="RV35" s="21">
        <f t="shared" si="191"/>
        <v>7.1428571428571432</v>
      </c>
      <c r="RW35" s="284">
        <f>IF(OR(Tabla1[[#This Row],[FUM FORMULA CONFIABLE]]="",Tabla1[[#This Row],[FUM FORMULA CONFIABLE]]="SD"),"",IF(Tabla1[[#This Row],[FUM FORMULA CONFIABLE]]="CORREGIDA",Tabla1[[#This Row],[FUM X ECO 1]],Tabla1[[#This Row],[FUM x AMENORREA]]))</f>
        <v>44804</v>
      </c>
      <c r="RX35" s="21">
        <f>IF(AND(Tabla1[[#This Row],[FUM X ECO 1]]="",Tabla1[[#This Row],[FUM x AMENORREA]]=""),"",IF(AND(Tabla1[[#This Row],[FUM X ECO 1]]="",Tabla1[[#This Row],[FUM x AMENORREA]]&lt;&gt;""),"X",SUM(Tabla1[[#This Row],[FUM X ECO 1]]-Tabla1[[#This Row],[FUM x AMENORREA]])))</f>
        <v>0.19999999999708962</v>
      </c>
      <c r="RY35" s="21">
        <f t="shared" si="193"/>
        <v>0</v>
      </c>
    </row>
    <row r="36" spans="1:493" ht="45" customHeight="1" x14ac:dyDescent="0.25">
      <c r="A36" s="109"/>
      <c r="B36" s="43"/>
      <c r="C36" s="43" t="s">
        <v>845</v>
      </c>
      <c r="D36" s="124" t="s">
        <v>846</v>
      </c>
      <c r="E36" s="43" t="s">
        <v>992</v>
      </c>
      <c r="F36" s="43" t="s">
        <v>908</v>
      </c>
      <c r="G36" s="43" t="s">
        <v>1055</v>
      </c>
      <c r="H36" s="43"/>
      <c r="I36" s="109" t="s">
        <v>851</v>
      </c>
      <c r="J36" s="110">
        <v>1059602228</v>
      </c>
      <c r="K36" s="43" t="s">
        <v>852</v>
      </c>
      <c r="L36" s="175" t="s">
        <v>853</v>
      </c>
      <c r="M36" s="22">
        <v>34307</v>
      </c>
      <c r="N36" s="213">
        <f t="shared" ca="1" si="0"/>
        <v>29.934246575342467</v>
      </c>
      <c r="O36" s="22">
        <v>44856</v>
      </c>
      <c r="P36" s="214" t="str">
        <f t="shared" si="194"/>
        <v>SI</v>
      </c>
      <c r="Q36" s="26" t="s">
        <v>855</v>
      </c>
      <c r="R36" s="22">
        <v>44856</v>
      </c>
      <c r="S36" s="21" t="s">
        <v>856</v>
      </c>
      <c r="T36" s="24" t="s">
        <v>690</v>
      </c>
      <c r="U36" s="21" t="s">
        <v>857</v>
      </c>
      <c r="V36" s="21" t="s">
        <v>858</v>
      </c>
      <c r="W36" s="21" t="s">
        <v>1056</v>
      </c>
      <c r="X36" s="21" t="s">
        <v>1056</v>
      </c>
      <c r="Y36" s="21" t="s">
        <v>859</v>
      </c>
      <c r="Z36" s="21">
        <v>3506257486</v>
      </c>
      <c r="AA36" s="21" t="s">
        <v>860</v>
      </c>
      <c r="AB36" s="27" t="s">
        <v>861</v>
      </c>
      <c r="AC36" s="26" t="s">
        <v>877</v>
      </c>
      <c r="AD36" s="38" t="s">
        <v>846</v>
      </c>
      <c r="AE36" s="26" t="s">
        <v>854</v>
      </c>
      <c r="AF36" s="26" t="s">
        <v>854</v>
      </c>
      <c r="AG36" s="23" t="s">
        <v>864</v>
      </c>
      <c r="AH36" s="23" t="s">
        <v>864</v>
      </c>
      <c r="AI36" s="24" t="s">
        <v>863</v>
      </c>
      <c r="AJ36" s="23" t="s">
        <v>864</v>
      </c>
      <c r="AK36" s="220" t="str">
        <f>IF(AND(AD36="",AE36="",AF36="",AG36="",AH36="",AI36="",AJ36=""),"",IF(OR(Tabla1[[#This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EVALUACIÓN",IF(AND(O36="",R36=""),"",IF(AND(OR(O36&gt;0,R36&gt;0),NG36&gt;=0,NG36&lt;2),"SIN RIESGO",IF(AND(OR(O36&gt;0,R36&gt;0),NG36&gt;=2),"CON RIESGO","ASD")))))</f>
        <v>SIN RIESGO</v>
      </c>
      <c r="AL36" s="23" t="s">
        <v>864</v>
      </c>
      <c r="AM36" s="26" t="s">
        <v>864</v>
      </c>
      <c r="AN36" s="26" t="s">
        <v>864</v>
      </c>
      <c r="AO36" s="26" t="s">
        <v>864</v>
      </c>
      <c r="AP36" s="26" t="s">
        <v>864</v>
      </c>
      <c r="AQ36" s="26" t="s">
        <v>864</v>
      </c>
      <c r="AR36" s="26" t="s">
        <v>864</v>
      </c>
      <c r="AS36" s="21">
        <v>3</v>
      </c>
      <c r="AT36" s="21">
        <v>3</v>
      </c>
      <c r="AU36" s="21">
        <v>0</v>
      </c>
      <c r="AV36" s="26" t="s">
        <v>864</v>
      </c>
      <c r="AW36" s="21">
        <v>0</v>
      </c>
      <c r="AX36" s="26" t="s">
        <v>864</v>
      </c>
      <c r="AY36" s="26" t="s">
        <v>864</v>
      </c>
      <c r="AZ36" s="26" t="s">
        <v>864</v>
      </c>
      <c r="BA36" s="26" t="s">
        <v>864</v>
      </c>
      <c r="BB36" s="26" t="s">
        <v>864</v>
      </c>
      <c r="BC36" s="26" t="s">
        <v>864</v>
      </c>
      <c r="BD36" s="26" t="s">
        <v>864</v>
      </c>
      <c r="BE36" s="26" t="s">
        <v>864</v>
      </c>
      <c r="BF36" s="26" t="s">
        <v>864</v>
      </c>
      <c r="BG36" s="26" t="s">
        <v>864</v>
      </c>
      <c r="BH36" s="26" t="s">
        <v>864</v>
      </c>
      <c r="BI36" s="26" t="s">
        <v>864</v>
      </c>
      <c r="BJ36" s="26"/>
      <c r="BK36" s="26" t="s">
        <v>864</v>
      </c>
      <c r="BL36" s="26" t="s">
        <v>864</v>
      </c>
      <c r="BM36" s="26" t="s">
        <v>864</v>
      </c>
      <c r="BN36" s="22">
        <v>43007</v>
      </c>
      <c r="BO36" s="22">
        <v>44830</v>
      </c>
      <c r="BP36" s="21" t="s">
        <v>854</v>
      </c>
      <c r="BQ36" s="222">
        <f t="shared" si="2"/>
        <v>60.766666666666666</v>
      </c>
      <c r="BR36" s="223">
        <f t="shared" si="3"/>
        <v>44830.9</v>
      </c>
      <c r="BS36" s="224">
        <f t="shared" si="4"/>
        <v>3.7142857142857144</v>
      </c>
      <c r="BT36" s="216" t="str">
        <f t="shared" si="5"/>
        <v>I TRIM</v>
      </c>
      <c r="BU36" s="214" t="str">
        <f t="shared" ca="1" si="6"/>
        <v/>
      </c>
      <c r="BV36" s="25" t="s">
        <v>988</v>
      </c>
      <c r="BW36" s="22">
        <v>44987</v>
      </c>
      <c r="BX36" s="28">
        <v>22.3</v>
      </c>
      <c r="BY36" s="28" t="s">
        <v>988</v>
      </c>
      <c r="BZ36" s="22">
        <v>44995</v>
      </c>
      <c r="CA36" s="21">
        <v>27.2</v>
      </c>
      <c r="CB36" s="26" t="s">
        <v>864</v>
      </c>
      <c r="CC36" s="26" t="s">
        <v>864</v>
      </c>
      <c r="CD36" s="26"/>
      <c r="CE36" s="26" t="s">
        <v>864</v>
      </c>
      <c r="CF36" s="22" t="s">
        <v>1517</v>
      </c>
      <c r="CG36" s="21">
        <v>1.49</v>
      </c>
      <c r="CH36" s="21">
        <v>62</v>
      </c>
      <c r="CI36" s="214">
        <f t="shared" si="7"/>
        <v>27.92666996982118</v>
      </c>
      <c r="CJ36" s="225" t="str">
        <f>IF(AND(CI36&lt;10,CH36="SD"),"SIN DATO PESO PREGESTACION O I TRIM",IF(AND(OR(R36&gt;0,O36&gt;0),CI36="X"),"INGRESAR DATO DE PESO",IF(CI36="SD","INGRESAR DATO DE TALLA Y PESO",IF(AND(OR(Tabla1[[#This Row],[MOMENTO EN QUE SE REALIZA EL PESO AL INGRESO A CPN]]="PREGESTACIÓN",NZ36="Menor"),CI36&lt;18.5),"BAJO PESO",IF(AND(OR(Tabla1[[#This Row],[MOMENTO EN QUE SE REALIZA EL PESO AL INGRESO A CPN]]="PREGESTACIÓN",NZ36="Menor"),CI36&lt;25),"NORMAL",IF(AND(OR(Tabla1[[#This Row],[MOMENTO EN QUE SE REALIZA EL PESO AL INGRESO A CPN]]="PREGESTACIÓN",NZ36="Menor"),CI36&lt;30),"SOBREPESO",IF(AND(OR(Tabla1[[#This Row],[MOMENTO EN QUE SE REALIZA EL PESO AL INGRESO A CPN]]="PREGESTACIÓN",NZ36="Menor"),CI36&gt;=30,CI36&lt;50),"OBESIDAD",IF(AND(BS36&gt;0,Tabla1[[#This Row],[MOMENTO EN QUE SE REALIZA EL PESO AL INGRESO A CPN]]="GESTACIÓN"),HLOOKUP(NZ36,$OA$2:PH36,NY36),""))))))))</f>
        <v>SOBREPESO</v>
      </c>
      <c r="CK36" s="212">
        <f t="shared" si="8"/>
        <v>45057</v>
      </c>
      <c r="CL36" s="21">
        <v>69.3</v>
      </c>
      <c r="CM36" s="214">
        <f t="shared" si="9"/>
        <v>31.21481014368722</v>
      </c>
      <c r="CN36" s="216">
        <f t="shared" si="10"/>
        <v>32</v>
      </c>
      <c r="CO36" s="216" t="e">
        <f>IF(PI36="","",IF(PI36&gt;0,HLOOKUP(PI36,$PJ$2:QQ36,NY36),""))</f>
        <v>#REF!</v>
      </c>
      <c r="CP36" s="21">
        <v>34</v>
      </c>
      <c r="CQ36" s="216" t="e">
        <f>IF(QR36="Menor","NO APLICA-MENOR 13 SEM",IF(AND(CC36="SI",CN36&gt;23),"NO APLICA- GEMELAR",IF(QR36="","",IF(QR36&gt;0,HLOOKUP(QR36,$QS$2:RU36,NY36),""))))</f>
        <v>#REF!</v>
      </c>
      <c r="CR36" s="21">
        <v>110</v>
      </c>
      <c r="CS36" s="21">
        <v>70</v>
      </c>
      <c r="CT36" s="217" t="str">
        <f>IF(R36="","",IF(AND(BS36&gt;1,BS36&lt;12,Tabla1[[#This Row],[T.A. SISTOLICA - ANTES DE SEMANA 12]]="",Tabla1[[#This Row],[T.A. DIASTOLICA - ANTES DE SEMANA 12]]=""),"REGISTRE DATO TA ANTES SEMANA 12",IF(AND(BS36&gt;11,BS36&lt;43,Tabla1[[#This Row],[T.A. SISTOLICA - ANTES DE SEMANA 12]]="",Tabla1[[#This Row],[T.A. DIASTOLICA - ANTES DE SEMANA 12]]=""),"NO APLICA REGISTRO TA-INGRESO TARDIO",IF(AND(OR(O36&gt;0,R36&gt;0),OR(CR36&gt;=140,CS36&gt;=90)),"DEFINIR ESTADIO HTA",IF(AND(OR(O36&gt;0,R36&gt;0),AND(CR36&gt;120,CR36&lt;=139)),"PRE HTA SEGUIMIENTO",IF(AND(OR(O36&gt;0,R36&gt;0),AND(CS36&gt;80,CS36&lt;=89)),"PRE HTA SEGUIMIENTO",IF(AND(OR(O36&gt;0,R36&gt;0),AND(CR36&gt;=80,CR36&lt;=120)),"APARENTEMENTE NORMAL",IF(AND(OR(O36&gt;0,R36&gt;0),AND(CS36&gt;=50,CS36&lt;=80)),"APARENTEMENTE NORMAL",IF(AND(OR(O36&gt;0,R36&gt;0),AND(CR36&gt;1,CR36&lt;=70),AND(CS36&gt;1,CS36&lt;=40)),"HIPOTENSIÓN","")))))))))</f>
        <v>APARENTEMENTE NORMAL</v>
      </c>
      <c r="CU36" s="21">
        <v>90</v>
      </c>
      <c r="CV36" s="21">
        <v>50</v>
      </c>
      <c r="CW36" s="217" t="str">
        <f ca="1">IF(R36="","",IF(AND(CN36&gt;19,CN36&lt;27,Tabla1[[#This Row],[T.A. SISTOLICA (Entre semana 20 y 26)]]="",Tabla1[[#This Row],[T.A. DIATOLICA (Entre semana 20 y 26)]]=""),"ACUDE A CONTROL SEM 20 A 26 REGISTRE TA AHORA",IF(AND(BS36&gt;1,BS36&lt;27,BU36&gt;19,Tabla1[[#This Row],[T.A. SISTOLICA (Entre semana 20 y 26)]]="",Tabla1[[#This Row],[T.A. DIATOLICA (Entre semana 20 y 26)]]=""),"COMPLETE REGISTRO TA CONTROL SEM 20 A26 ",IF(AND(BS36&gt;26,BS36&lt;43,Tabla1[[#This Row],[T.A. SISTOLICA (Entre semana 20 y 26)]]="",Tabla1[[#This Row],[T.A. DIATOLICA (Entre semana 20 y 26)]]=""),"NO APLICA REGISTRO TA-INGRESO TARDIO",IF(AND(OR(O36&gt;0,R36&gt;0),OR(CU36&gt;=140,CV36&gt;=90)),"ALTO RIESGO PREECLAMPSIA,DEFINIR ESTADIO HTA",IF(AND(OR(O36&gt;0,R36&gt;0),AND(CU36&gt;120,CU36&lt;=139)),"PRE HTA SEGUIMIENTO,RIESGO HIPERTENSION INDUCIDA POR EL EMBARAZO",IF(AND(OR(O36&gt;0,R36&gt;0),AND(CV36&gt;80,CV36&lt;=89)),"PRE HTA SEGUIMIENTO, RIESGO HIPERTENSION INDUCIDA POR EL EMBARAZO",IF(AND(OR(O36&lt;&gt;"",R36&lt;&gt;""),CS36&lt;&gt;"",CV36&lt;&gt;"",CS36&lt;=CV36),"VIGILAR CIFRAS PRESION ARTERIAL",IF(AND(OR(O36&gt;0,R36&gt;0),AND(CU36&gt;120,CU36&lt;=139)),"PRE HTA SEGUIMIENTO",IF(AND(OR(O36&gt;0,R36&gt;0),AND(CU36&gt;1,CU36&lt;=70),AND(CV36&gt;1,CV36&lt;=40)),"HIPOTENSIÓN",IF(AND(OR(O36&lt;&gt;"",R36&lt;&gt;""),CS36&lt;&gt;"",CV36&lt;&gt;"",CS36&gt;CV36),"APARENTEMENTE NORMAL",IF(AND(OR(O36&gt;0,R36&gt;0),AND(CU36&gt;=80,CU36&lt;=120)),"APARENTEMENTE NORMAL",IF(AND(OR(O36&gt;0,R36&gt;0),AND(CV36&gt;=50,CV36&lt;=80)),"APARENTEMENTE NORMAL","")))))))))))))</f>
        <v>APARENTEMENTE NORMAL</v>
      </c>
      <c r="CX36" s="21"/>
      <c r="CY36" s="21"/>
      <c r="CZ36" s="216" t="str">
        <f t="shared" si="195"/>
        <v>ACUDE A CONTROL SEM 30 A 34- REGISTRE AHORA</v>
      </c>
      <c r="DA36" s="21">
        <v>110</v>
      </c>
      <c r="DB36" s="21">
        <v>70</v>
      </c>
      <c r="DC36" s="217" t="str">
        <f t="shared" si="12"/>
        <v>APARENTEMENTE NORMAL</v>
      </c>
      <c r="DD36" s="22">
        <v>44856</v>
      </c>
      <c r="DE36" s="22">
        <v>44856</v>
      </c>
      <c r="DF36" s="22">
        <v>44890</v>
      </c>
      <c r="DG36" s="22">
        <v>44943</v>
      </c>
      <c r="DH36" s="22">
        <v>44979</v>
      </c>
      <c r="DI36" s="22">
        <v>45010</v>
      </c>
      <c r="DJ36" s="22">
        <v>45057</v>
      </c>
      <c r="DK36" s="22"/>
      <c r="DL36" s="22"/>
      <c r="DM36" s="22"/>
      <c r="DN36" s="22"/>
      <c r="DO36" s="22"/>
      <c r="DP36" s="22"/>
      <c r="DQ36" s="22"/>
      <c r="DR36" s="28">
        <v>2</v>
      </c>
      <c r="DS36" s="22"/>
      <c r="DT36" s="22"/>
      <c r="DU36" s="216" t="str">
        <f t="shared" ca="1" si="196"/>
        <v>SALE PROGRAMA ANTES SEMANA 35</v>
      </c>
      <c r="DV36" s="226" t="str">
        <f t="shared" si="197"/>
        <v>SALIO PROGRAMA</v>
      </c>
      <c r="DW3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6" s="216" t="str">
        <f t="shared" ca="1" si="15"/>
        <v/>
      </c>
      <c r="DY36" s="212">
        <f>IF(R36="","",IF(R36&gt;0,MAX(Tabla1[[#This Row],[FECHA C2]:[FECHA C13]],Tabla1[[#This Row],[FECHA CONSULTA PRIMERA VEZ PROGRAMA CPN ]])))</f>
        <v>45057</v>
      </c>
      <c r="DZ36" s="216">
        <f t="shared" si="16"/>
        <v>32</v>
      </c>
      <c r="EA36" s="222">
        <f>IF(R36&gt;0,SUM(COUNTA(DF36:DQ36)+COUNTA(Tabla1[[#This Row],[FECHA CONSULTA PRIMERA VEZ PROGRAMA CPN ]])),"")</f>
        <v>6</v>
      </c>
      <c r="EB36" s="222" t="str">
        <f t="shared" si="17"/>
        <v>SI</v>
      </c>
      <c r="EC36" s="214">
        <f t="shared" si="18"/>
        <v>11</v>
      </c>
      <c r="ED36" s="227">
        <f t="shared" si="19"/>
        <v>0.54545454545454541</v>
      </c>
      <c r="EE36" s="22">
        <v>44856</v>
      </c>
      <c r="EF36" s="22">
        <v>44856</v>
      </c>
      <c r="EG36" s="22">
        <v>44856</v>
      </c>
      <c r="EH36" s="22">
        <v>44907</v>
      </c>
      <c r="EI36" s="22">
        <v>44856</v>
      </c>
      <c r="EJ36" s="22"/>
      <c r="EK36" s="22"/>
      <c r="EL36" s="21"/>
      <c r="EM36" s="21">
        <v>14.3</v>
      </c>
      <c r="EN36" s="22">
        <v>44856</v>
      </c>
      <c r="EO36" s="222">
        <f t="shared" si="20"/>
        <v>3.7142857142857144</v>
      </c>
      <c r="EP36" s="214" t="str">
        <f t="shared" si="21"/>
        <v>NO DAR SULFATO FERROSO</v>
      </c>
      <c r="EQ36" s="216" t="str">
        <f t="shared" si="22"/>
        <v>I TRIM</v>
      </c>
      <c r="ER36" s="24"/>
      <c r="ES36" s="22"/>
      <c r="ET36" s="29" t="str">
        <f t="shared" ca="1" si="198"/>
        <v>SALE SIN TAMIZAJE HEMOGLOBINA SEM 28</v>
      </c>
      <c r="EU36" s="25" t="str">
        <f t="shared" si="24"/>
        <v/>
      </c>
      <c r="EV36" s="24" t="s">
        <v>1510</v>
      </c>
      <c r="EW36" s="32">
        <v>44856</v>
      </c>
      <c r="EX36" s="22"/>
      <c r="EY36" s="29">
        <f t="shared" si="199"/>
        <v>3.7142857142857144</v>
      </c>
      <c r="EZ36" s="25" t="str">
        <f t="shared" si="200"/>
        <v>SIN RIESGO DE ISOINMUNIZACIÓN</v>
      </c>
      <c r="FA36" s="21">
        <v>96</v>
      </c>
      <c r="FB36" s="22">
        <v>44856</v>
      </c>
      <c r="FC36" s="29">
        <f t="shared" si="27"/>
        <v>3.7142857142857144</v>
      </c>
      <c r="FD36" s="29">
        <v>66</v>
      </c>
      <c r="FE36" s="29">
        <v>133</v>
      </c>
      <c r="FF36" s="29">
        <v>132</v>
      </c>
      <c r="FG36" s="21" t="str">
        <f t="shared" si="28"/>
        <v xml:space="preserve">NORMAL, NO DESCARTA DIABETES POR REALIZARLO ANTES DE  SEMANA 24, </v>
      </c>
      <c r="FH36" s="31">
        <v>44995</v>
      </c>
      <c r="FI36" s="29">
        <f t="shared" si="29"/>
        <v>23.571428571428573</v>
      </c>
      <c r="FJ36" s="22" t="s">
        <v>867</v>
      </c>
      <c r="FK36" s="22">
        <v>44856</v>
      </c>
      <c r="FL36" s="29">
        <f t="shared" ca="1" si="30"/>
        <v>3.7142857142857144</v>
      </c>
      <c r="FM36" s="22" t="s">
        <v>867</v>
      </c>
      <c r="FN36" s="32">
        <v>44995</v>
      </c>
      <c r="FO36" s="29">
        <f t="shared" ca="1" si="201"/>
        <v>23.571428571428573</v>
      </c>
      <c r="FP36" s="22"/>
      <c r="FQ36" s="32"/>
      <c r="FR36" s="29" t="str">
        <f t="shared" ca="1" si="202"/>
        <v>PIERDE TOMA DE TAMIZAJE</v>
      </c>
      <c r="FS36" s="22"/>
      <c r="FT36" s="32"/>
      <c r="FU36" s="29" t="str">
        <f>IF(AND(FJ36="",FM36="",FP36="",FS36=""),"",IF(OR(OR(Tabla1[[#This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6" s="28"/>
      <c r="FW36" s="22"/>
      <c r="FX36" s="29" t="str">
        <f t="shared" si="33"/>
        <v>TOMAR EXAMEN</v>
      </c>
      <c r="FY36" s="22">
        <v>44856</v>
      </c>
      <c r="FZ36" s="22">
        <v>44856</v>
      </c>
      <c r="GA36" s="29">
        <f t="shared" ca="1" si="203"/>
        <v>3.7142857142857144</v>
      </c>
      <c r="GB36" s="22" t="s">
        <v>868</v>
      </c>
      <c r="GC36" s="22">
        <v>44995</v>
      </c>
      <c r="GD36" s="29">
        <f t="shared" ca="1" si="204"/>
        <v>23.571428571428573</v>
      </c>
      <c r="GE36" s="22"/>
      <c r="GF36" s="22"/>
      <c r="GG36" s="29" t="str">
        <f t="shared" ca="1" si="205"/>
        <v>PIERDE TOMA DE TAMIZAJE</v>
      </c>
      <c r="GH36" s="22"/>
      <c r="GI36" s="29"/>
      <c r="GJ36" s="22"/>
      <c r="GK36" s="22"/>
      <c r="GL36" s="22" t="s">
        <v>879</v>
      </c>
      <c r="GM36" s="22"/>
      <c r="GN36" s="28" t="s">
        <v>869</v>
      </c>
      <c r="GO36" s="22">
        <v>44856</v>
      </c>
      <c r="GP36" s="29">
        <f t="shared" si="37"/>
        <v>3.7142857142857144</v>
      </c>
      <c r="GQ36" s="28" t="s">
        <v>869</v>
      </c>
      <c r="GR36" s="28" t="s">
        <v>869</v>
      </c>
      <c r="GS36" s="22" t="str">
        <f t="shared" si="206"/>
        <v>CONTROL Igm</v>
      </c>
      <c r="GT36" s="22">
        <v>44856</v>
      </c>
      <c r="GU36" s="29">
        <f t="shared" si="39"/>
        <v>3.7142857142857144</v>
      </c>
      <c r="GV36" s="21" t="str">
        <f t="shared" si="40"/>
        <v>I TRIM</v>
      </c>
      <c r="GW36" s="28" t="s">
        <v>869</v>
      </c>
      <c r="GX36" s="30"/>
      <c r="GY36" s="21" t="s">
        <v>906</v>
      </c>
      <c r="GZ36" s="21"/>
      <c r="HA36" s="21"/>
      <c r="HB36" s="21"/>
      <c r="HC36" s="21"/>
      <c r="HD36" s="21"/>
      <c r="HE36" s="21"/>
      <c r="HF36" s="22"/>
      <c r="HG36" s="22" t="str">
        <f>IF(OR(O36&gt;0,R36&gt;0),CONCATENATE(IF(Tabla1[[#This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6" s="22" t="e">
        <f t="shared" si="41"/>
        <v>#REF!</v>
      </c>
      <c r="HI36" s="22" t="e">
        <f t="shared" ca="1" si="42"/>
        <v>#REF!</v>
      </c>
      <c r="HJ36" s="21"/>
      <c r="HK36" s="21" t="str">
        <f t="shared" si="44"/>
        <v>SIN ANTECEDENTES DE RIESGO</v>
      </c>
      <c r="HL36" s="24" t="str">
        <f t="shared" si="45"/>
        <v>APARENTEMENTE NORMAL</v>
      </c>
      <c r="HM36" s="21" t="str">
        <f t="shared" ca="1" si="46"/>
        <v/>
      </c>
      <c r="HN36" s="30" t="str">
        <f t="shared" si="207"/>
        <v>SALIO PROGRAMA</v>
      </c>
      <c r="HO36" s="21"/>
      <c r="HP36" s="21"/>
      <c r="HQ36" s="21">
        <v>44856</v>
      </c>
      <c r="HR36" s="21" t="str">
        <f>IF(R36="","",IF(Tabla1[[#This Row],[ALARMA FACTORES DE RIESGO COMPLICACIONES HIPERTENSIVAS3]]="SIN ANTECEDENTES DE RIESGO","No Aplica para suministro de ASA",IF(AND(Tabla1[[#This Row],[FECHA INICIO DE SUMINISTRO DE ASA]]&gt;0,RV36&lt;12),"Inicia ASA ANTES de Sem 12",IF(AND(RV36&gt;11,RV36&lt;17,OR(HK36="RIESGO ALTO DE COMPLICACIONES HIPERTENSIVAS VER MANEJO GUIA SUMINISTRO ASA Y CALCIO",HK36="RIESGO MODERADO (2 O MAS CRITERIOS) VER MANEJO GUIA SUMINISTRO ASA Y CALCIO")),"Inicio oportuno de ASA",IF(AND(RV36&gt;12,OR(HK36="RIESGO ALTO DE COMPLICACIONES HIPERTENSIVAS VER MANEJO GUIA SUMINISTRO ASA Y CALCIO",HK36="RIESGO MODERADO (2 O MAS CRITERIOS) VER MANEJO GUIA SUMINISTRO ASA Y CALCIO")),"Inicio no oportuno mayor a 16 semanas",IF(AND(BU36&lt;12,OR(HK36="RIESGO ALTO DE COMPLICACIONES HIPERTENSIVAS VER MANEJO GUIA SUMINISTRO ASA Y CALCIO",HK36="RIESGO MODERADO (2 O MAS CRITERIOS) VER MANEJO GUIA SUMINISTRO ASA Y CALCIO")),"Pendiente Inicio de ASA a la semana 12",IF(AND(BU36&gt;11,BU36&lt;17,OR(HK36="RIESGO ALTO DE COMPLICACIONES HIPERTENSIVAS VER MANEJO GUIA SUMINISTRO ASA Y CALCIO",HK36="RIESGO MODERADO (2 O MAS CRITERIOS) VER MANEJO GUIA SUMINISTRO ASA Y CALCIO")),"Iniciar de inmediato ASA",IF(AND(BU36&gt;16,OR(HK36="RIESGO ALTO DE COMPLICACIONES HIPERTENSIVAS VER MANEJO GUIA SUMINISTRO ASA Y CALCIO",HK36="RIESGO MODERADO (2 O MAS CRITERIOS) VER MANEJO GUIA SUMINISTRO ASA Y CALCIO")),"Pierde Oportunidad, Inicio tardío de ASA","XXXXX"))))))))</f>
        <v>No Aplica para suministro de ASA</v>
      </c>
      <c r="HS36" s="22">
        <v>44856</v>
      </c>
      <c r="HT36" s="22" t="s">
        <v>935</v>
      </c>
      <c r="HU36" s="22">
        <v>44856</v>
      </c>
      <c r="HV36" s="22" t="s">
        <v>1523</v>
      </c>
      <c r="HW36" s="22">
        <v>44856</v>
      </c>
      <c r="HX36" s="22" t="s">
        <v>870</v>
      </c>
      <c r="HY36" s="22">
        <v>44856</v>
      </c>
      <c r="HZ36" s="28">
        <f t="shared" si="48"/>
        <v>3.7142857142857144</v>
      </c>
      <c r="IA36" s="26" t="s">
        <v>864</v>
      </c>
      <c r="IB36" s="26"/>
      <c r="IC36" s="111"/>
      <c r="ID36" s="22">
        <v>44988</v>
      </c>
      <c r="IE36" s="22" t="str">
        <f t="shared" ca="1" si="49"/>
        <v>VACUNA APLICADA ENTRE SEMANA 20 Y SEMANA 26</v>
      </c>
      <c r="IF36" s="22"/>
      <c r="IG36" s="22">
        <f t="shared" si="50"/>
        <v>45110</v>
      </c>
      <c r="IH36" s="29">
        <f t="shared" ca="1" si="51"/>
        <v>-123</v>
      </c>
      <c r="II36" s="22" t="str">
        <f t="shared" ca="1" si="52"/>
        <v>POSIBLEMENTE NACIO</v>
      </c>
      <c r="IJ36" s="22"/>
      <c r="IK36" s="21" t="s">
        <v>898</v>
      </c>
      <c r="IL36" s="21"/>
      <c r="IM36" s="34"/>
      <c r="IN36" s="349">
        <v>45069</v>
      </c>
      <c r="IO36" s="21" t="s">
        <v>1640</v>
      </c>
      <c r="IP36" s="29">
        <f t="shared" si="208"/>
        <v>34.142857142857146</v>
      </c>
      <c r="IQ36" s="110"/>
      <c r="IR36" s="21" t="s">
        <v>879</v>
      </c>
      <c r="IS36" s="21" t="s">
        <v>1641</v>
      </c>
      <c r="IT36" s="21" t="s">
        <v>1642</v>
      </c>
      <c r="IU36" s="21"/>
      <c r="IV36" s="21"/>
      <c r="IW36" s="21"/>
      <c r="IX36" s="21"/>
      <c r="IY36" s="21"/>
      <c r="IZ36" s="21"/>
      <c r="JA36" s="21"/>
      <c r="JB36" s="30">
        <v>1</v>
      </c>
      <c r="JC36" s="21" t="s">
        <v>1647</v>
      </c>
      <c r="JD36" s="36">
        <v>2700</v>
      </c>
      <c r="JE36" s="21" t="str">
        <f t="shared" si="209"/>
        <v>ERROR VERIFICAR DATO EDAD GESTACIONAL VS PESO</v>
      </c>
      <c r="JF36" s="30"/>
      <c r="JG36" s="21"/>
      <c r="JH36" s="21"/>
      <c r="JI36" s="21"/>
      <c r="JJ36" s="30"/>
      <c r="JK36" s="22"/>
      <c r="JL36" s="22"/>
      <c r="JM36" s="21"/>
      <c r="JN36" s="36"/>
      <c r="JO36" s="21" t="str">
        <f t="shared" si="210"/>
        <v/>
      </c>
      <c r="JP36" s="22"/>
      <c r="JQ36" s="21"/>
      <c r="JR36" s="21"/>
      <c r="JS36" s="21"/>
      <c r="JT36" s="30"/>
      <c r="JU36" s="22"/>
      <c r="JV36" s="22"/>
      <c r="JW36" s="33"/>
      <c r="JX36" s="28" t="str">
        <f t="shared" si="211"/>
        <v>INASISTENTE</v>
      </c>
      <c r="JY36" s="33"/>
      <c r="JZ36" s="28" t="str">
        <f t="shared" si="212"/>
        <v>INASISTENTE</v>
      </c>
      <c r="KA36" s="21"/>
      <c r="KB36" s="21"/>
      <c r="KC36" s="21"/>
      <c r="KD36" s="37"/>
      <c r="KE36" s="28"/>
      <c r="KF36" s="28"/>
      <c r="KG36" s="28"/>
      <c r="KH36" s="39"/>
      <c r="KI36" s="39"/>
      <c r="KJ36" s="66"/>
      <c r="KK36" s="39"/>
      <c r="KL36" s="39"/>
      <c r="KM36" s="66"/>
      <c r="KN36" s="39"/>
      <c r="KO36" s="39"/>
      <c r="KP36" s="39"/>
      <c r="KQ36" s="39"/>
      <c r="KR36" s="39"/>
      <c r="KS36" s="39"/>
      <c r="KT36" s="39"/>
      <c r="KU36" s="38"/>
      <c r="KV36" s="38"/>
      <c r="KW36" s="38"/>
      <c r="KX36" s="38"/>
      <c r="KY36" s="38"/>
      <c r="KZ36" s="38"/>
      <c r="LA36" s="38"/>
      <c r="LB36" s="38"/>
      <c r="LC36" s="38"/>
      <c r="LD36" s="38"/>
      <c r="LE36" s="38"/>
      <c r="LF36" s="38"/>
      <c r="LG36" s="38"/>
      <c r="LH36" s="38"/>
      <c r="LI36" s="38"/>
      <c r="LJ36" s="38"/>
      <c r="LK36" s="38"/>
      <c r="LL36" s="38"/>
      <c r="LM36" s="38"/>
      <c r="LN36" s="38"/>
      <c r="LO36" s="38"/>
      <c r="LP36" s="38"/>
      <c r="LQ36" s="38"/>
      <c r="LR36" s="38"/>
      <c r="LS36" s="38"/>
      <c r="LT36" s="38"/>
      <c r="LU36" s="38"/>
      <c r="LV36" s="38"/>
      <c r="LW36" s="38"/>
      <c r="LX36" s="38"/>
      <c r="LY36" s="38"/>
      <c r="LZ36" s="38"/>
      <c r="MA36" s="38"/>
      <c r="MB36" s="38"/>
      <c r="MC36" s="38"/>
      <c r="MD36" s="38"/>
      <c r="ME36" s="38"/>
      <c r="MF36" s="38"/>
      <c r="MG36" s="38"/>
      <c r="MH36" s="43">
        <f t="shared" si="213"/>
        <v>0</v>
      </c>
      <c r="MI36" s="43" t="str">
        <f t="shared" si="214"/>
        <v/>
      </c>
      <c r="MJ36" s="43" t="str">
        <f t="shared" si="215"/>
        <v/>
      </c>
      <c r="MK36" s="43">
        <f t="shared" si="216"/>
        <v>0</v>
      </c>
      <c r="ML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6" s="43">
        <f t="shared" si="217"/>
        <v>3.7142857142857144</v>
      </c>
      <c r="MN36" s="43">
        <f t="shared" si="218"/>
        <v>10</v>
      </c>
      <c r="MO36" s="43">
        <f t="shared" si="219"/>
        <v>2022</v>
      </c>
      <c r="MP36" s="43" t="str">
        <f t="shared" si="220"/>
        <v>IV TRIMESTRE AÑO</v>
      </c>
      <c r="MQ36" s="43">
        <f t="shared" si="221"/>
        <v>28.465834428383705</v>
      </c>
      <c r="MR36" s="43">
        <f t="shared" si="222"/>
        <v>0</v>
      </c>
      <c r="MS36" s="43" t="str">
        <f t="shared" si="223"/>
        <v xml:space="preserve"> DE 25 A 29 AÑOS</v>
      </c>
      <c r="MT36" s="43">
        <f t="shared" si="224"/>
        <v>0</v>
      </c>
      <c r="MU36" s="43">
        <f t="shared" si="225"/>
        <v>0</v>
      </c>
      <c r="MV36" s="43">
        <f t="shared" si="226"/>
        <v>0</v>
      </c>
      <c r="MW36" s="43">
        <f t="shared" si="227"/>
        <v>0</v>
      </c>
      <c r="MX36" s="43" t="str">
        <f t="shared" si="228"/>
        <v/>
      </c>
      <c r="MY36" s="43" t="str">
        <f t="shared" ca="1" si="229"/>
        <v/>
      </c>
      <c r="MZ36" s="43" t="str">
        <f t="shared" si="230"/>
        <v/>
      </c>
      <c r="NA36" s="43" t="str">
        <f t="shared" si="231"/>
        <v/>
      </c>
      <c r="NB36" s="43" t="str">
        <f t="shared" si="232"/>
        <v/>
      </c>
      <c r="NC36" s="43" t="str">
        <f t="shared" si="233"/>
        <v/>
      </c>
      <c r="ND36" s="43">
        <f t="shared" ca="1" si="234"/>
        <v>0</v>
      </c>
      <c r="NE36" s="43">
        <f>IF(OR(O36&gt;0,R36&gt;0),SUM(COUNTIF(Tabla1[[#This Row],[AÑOS AL INICIO5 CPN]],"&gt;=40"),COUNTIF(AS36,"0"),COUNTIF(AR36,"SI"),COUNTIF(CC36,"SI"),COUNTIF(BQ36,"&gt;119"),COUNTIF(CI36,"&gt;=35")),"")</f>
        <v>0</v>
      </c>
      <c r="NF36" s="43">
        <f t="shared" si="235"/>
        <v>22.571428571428573</v>
      </c>
      <c r="NG36" s="43">
        <f t="shared" si="236"/>
        <v>0</v>
      </c>
      <c r="NH36" s="43">
        <f t="shared" si="237"/>
        <v>156.1</v>
      </c>
      <c r="NI3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CPN",P36="NO"),"Z",IF(AND(Tabla1[[#This Row],[CITA PROXIMO CONTROL]]="CITA MANUAL",Tabla1[[#This Row],[GESTANTES ACTUALES]]="ACTIVA INGRESO A CPN"),"W",IF(AND(Tabla1[[#This Row],[GESTANTES ACTUALES]]="SALIO PROGRAMA",IN36=""),"S",IF(AND(Tabla1[[#This Row],[CITA PROXIMO CONTROL]]&gt;0,IN36=""),(Tabla1[[#This Row],[CITA PROXIMO CONTROL]]-TODAY()),"SD"))))))))</f>
        <v>SD</v>
      </c>
      <c r="NJ36" s="43">
        <f>MONTH(Tabla1[[#This Row],[FECHA DE SALIDA  DEL PROGRAMA]])</f>
        <v>5</v>
      </c>
      <c r="NK36" s="43">
        <f>YEAR(Tabla1[[#This Row],[FECHA DE SALIDA  DEL PROGRAMA]])</f>
        <v>2023</v>
      </c>
      <c r="NL36" s="43" t="str">
        <f t="shared" si="238"/>
        <v>X</v>
      </c>
      <c r="NM36" s="43" t="str">
        <f t="shared" si="239"/>
        <v>NO</v>
      </c>
      <c r="NN36" s="43" t="str">
        <f ca="1">IF(AND(O36&gt;0,R36=""),"NO CPN",IF(AND(O36="",R36=""),"",IF(AND(R36&gt;0,Tabla1[[#This Row],[SEMANAS DE GESTACION ACTUALIZADAS]]&lt;=12),"NO APLICA",IF(AND(FH36&lt;&gt;"",FN36&lt;&gt;""),"SI","NO"))))</f>
        <v>SI</v>
      </c>
      <c r="NO36" s="43" t="str">
        <f ca="1">IF(AND(O36&gt;0,R36=""),"NO CPN",IF(AND(O36="",R36=""),"",IF(AND(R36&gt;0,Tabla1[[#This Row],[SEMANAS DE GESTACION ACTUALIZADAS]]&lt;=27),"NO APLICA",IF(AND(ES36&lt;&gt;"",FQ36&lt;&gt;"",GF36&lt;&gt;""),"SI","NO"))))</f>
        <v>NO</v>
      </c>
      <c r="NP36" s="204" t="str">
        <f t="shared" si="240"/>
        <v>I TRIM</v>
      </c>
      <c r="NQ36" s="21">
        <f t="shared" si="241"/>
        <v>1</v>
      </c>
      <c r="NR36" s="21">
        <f t="shared" si="242"/>
        <v>3</v>
      </c>
      <c r="NS36" s="205">
        <f t="shared" ca="1" si="243"/>
        <v>2</v>
      </c>
      <c r="NT36" s="21">
        <f t="shared" ca="1" si="244"/>
        <v>2</v>
      </c>
      <c r="NU36" s="21" t="str">
        <f t="shared" ca="1" si="245"/>
        <v>INCOMPLETO</v>
      </c>
      <c r="NV36" s="21" t="str">
        <f t="shared" ca="1" si="246"/>
        <v>INCOMPLETO</v>
      </c>
      <c r="NW36" s="206" t="str">
        <f>IF(AND(O36="",R36=""),"",IF(OR(AND(Tabla1[[#This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6" s="207" t="str">
        <f t="shared" ca="1" si="247"/>
        <v>VACUNADA</v>
      </c>
      <c r="NY36" s="43">
        <f>ROW(Tabla1[[#This Row],['# DE TAMIZAJES SIFILIS TOMADOS ]])</f>
        <v>36</v>
      </c>
      <c r="NZ36" s="43" t="str">
        <f t="shared" si="93"/>
        <v>Menor</v>
      </c>
      <c r="OA36" s="43" t="str">
        <f t="shared" si="94"/>
        <v>SOBREPESO</v>
      </c>
      <c r="OB36" s="43" t="str">
        <f t="shared" si="95"/>
        <v/>
      </c>
      <c r="OC36" s="43" t="str">
        <f t="shared" si="96"/>
        <v/>
      </c>
      <c r="OD36" s="43" t="str">
        <f t="shared" si="97"/>
        <v/>
      </c>
      <c r="OE36" s="43" t="str">
        <f t="shared" si="98"/>
        <v/>
      </c>
      <c r="OF36" s="43" t="str">
        <f t="shared" si="99"/>
        <v/>
      </c>
      <c r="OG36" s="43" t="str">
        <f t="shared" si="100"/>
        <v/>
      </c>
      <c r="OH36" s="43" t="str">
        <f t="shared" si="101"/>
        <v/>
      </c>
      <c r="OI36" s="43" t="str">
        <f t="shared" si="102"/>
        <v/>
      </c>
      <c r="OJ36" s="43" t="str">
        <f t="shared" si="103"/>
        <v/>
      </c>
      <c r="OK36" s="43" t="str">
        <f t="shared" si="104"/>
        <v/>
      </c>
      <c r="OL36" s="43" t="str">
        <f t="shared" si="105"/>
        <v/>
      </c>
      <c r="OM36" s="43" t="str">
        <f t="shared" si="106"/>
        <v/>
      </c>
      <c r="ON36" s="43" t="str">
        <f t="shared" si="107"/>
        <v/>
      </c>
      <c r="OO36" s="43" t="str">
        <f t="shared" si="108"/>
        <v/>
      </c>
      <c r="OP36" s="43" t="str">
        <f t="shared" si="109"/>
        <v/>
      </c>
      <c r="OQ36" s="43" t="str">
        <f t="shared" si="110"/>
        <v/>
      </c>
      <c r="OR36" s="43" t="str">
        <f t="shared" si="111"/>
        <v/>
      </c>
      <c r="OS36" s="43" t="str">
        <f t="shared" si="112"/>
        <v/>
      </c>
      <c r="OT36" s="43" t="str">
        <f t="shared" si="113"/>
        <v/>
      </c>
      <c r="OU36" s="43" t="str">
        <f t="shared" si="114"/>
        <v/>
      </c>
      <c r="OV36" s="110" t="str">
        <f t="shared" si="115"/>
        <v/>
      </c>
      <c r="OW36" s="43" t="str">
        <f t="shared" si="116"/>
        <v/>
      </c>
      <c r="OX36" s="43" t="str">
        <f t="shared" si="117"/>
        <v/>
      </c>
      <c r="OY36" s="43" t="str">
        <f t="shared" si="118"/>
        <v/>
      </c>
      <c r="OZ36" s="43" t="str">
        <f t="shared" si="119"/>
        <v/>
      </c>
      <c r="PA36" s="43" t="str">
        <f t="shared" si="120"/>
        <v/>
      </c>
      <c r="PB36" s="43" t="str">
        <f t="shared" si="121"/>
        <v/>
      </c>
      <c r="PC36" s="43" t="str">
        <f t="shared" si="122"/>
        <v/>
      </c>
      <c r="PD36" s="43" t="str">
        <f t="shared" si="123"/>
        <v/>
      </c>
      <c r="PE36" s="43" t="str">
        <f t="shared" si="124"/>
        <v/>
      </c>
      <c r="PF36" s="43" t="str">
        <f t="shared" si="125"/>
        <v/>
      </c>
      <c r="PG36" s="43" t="str">
        <f t="shared" si="126"/>
        <v/>
      </c>
      <c r="PH36" s="43" t="str">
        <f t="shared" si="127"/>
        <v/>
      </c>
      <c r="PI36" s="43">
        <f t="shared" si="128"/>
        <v>32</v>
      </c>
      <c r="PJ36" s="43" t="str">
        <f t="shared" si="129"/>
        <v/>
      </c>
      <c r="PK36" s="43" t="str">
        <f t="shared" si="130"/>
        <v/>
      </c>
      <c r="PL36" s="43" t="str">
        <f t="shared" si="131"/>
        <v/>
      </c>
      <c r="PM36" s="43" t="str">
        <f t="shared" si="132"/>
        <v/>
      </c>
      <c r="PN36" s="43" t="str">
        <f t="shared" si="133"/>
        <v/>
      </c>
      <c r="PO36" s="43" t="str">
        <f t="shared" si="134"/>
        <v/>
      </c>
      <c r="PP36" s="43" t="str">
        <f t="shared" si="135"/>
        <v/>
      </c>
      <c r="PQ36" s="43" t="str">
        <f t="shared" si="136"/>
        <v/>
      </c>
      <c r="PR36" s="43" t="str">
        <f t="shared" si="137"/>
        <v/>
      </c>
      <c r="PS36" s="43" t="str">
        <f t="shared" si="138"/>
        <v/>
      </c>
      <c r="PT36" s="43" t="str">
        <f t="shared" si="139"/>
        <v/>
      </c>
      <c r="PU36" s="43" t="str">
        <f t="shared" si="140"/>
        <v/>
      </c>
      <c r="PV36" s="43" t="str">
        <f t="shared" si="141"/>
        <v/>
      </c>
      <c r="PW36" s="43" t="str">
        <f t="shared" si="142"/>
        <v/>
      </c>
      <c r="PX36" s="43" t="str">
        <f t="shared" si="143"/>
        <v/>
      </c>
      <c r="PY36" s="43" t="str">
        <f t="shared" si="144"/>
        <v/>
      </c>
      <c r="PZ36" s="43" t="str">
        <f t="shared" si="145"/>
        <v/>
      </c>
      <c r="QA36" s="43" t="str">
        <f t="shared" si="146"/>
        <v/>
      </c>
      <c r="QB36" s="43" t="str">
        <f t="shared" si="147"/>
        <v/>
      </c>
      <c r="QC36" s="43" t="str">
        <f t="shared" si="148"/>
        <v/>
      </c>
      <c r="QD36" s="43" t="str">
        <f t="shared" si="149"/>
        <v/>
      </c>
      <c r="QE36" s="43" t="str">
        <f t="shared" si="150"/>
        <v/>
      </c>
      <c r="QF36" s="43" t="str">
        <f t="shared" si="151"/>
        <v/>
      </c>
      <c r="QG36" s="43" t="str">
        <f t="shared" si="152"/>
        <v>SOBREPESO</v>
      </c>
      <c r="QH36" s="43" t="str">
        <f t="shared" si="153"/>
        <v/>
      </c>
      <c r="QI36" s="43" t="str">
        <f t="shared" si="154"/>
        <v/>
      </c>
      <c r="QJ36" s="43" t="str">
        <f t="shared" si="155"/>
        <v/>
      </c>
      <c r="QK36" s="43" t="str">
        <f t="shared" si="156"/>
        <v/>
      </c>
      <c r="QL36" s="43" t="str">
        <f t="shared" si="157"/>
        <v/>
      </c>
      <c r="QM36" s="43" t="str">
        <f t="shared" si="158"/>
        <v/>
      </c>
      <c r="QN36" s="43" t="str">
        <f t="shared" si="159"/>
        <v/>
      </c>
      <c r="QO36" s="43" t="str">
        <f t="shared" si="160"/>
        <v/>
      </c>
      <c r="QP36" s="43" t="str">
        <f t="shared" si="161"/>
        <v/>
      </c>
      <c r="QQ36" s="43" t="str">
        <f t="shared" si="162"/>
        <v/>
      </c>
      <c r="QR36" s="43">
        <f t="shared" si="192"/>
        <v>32</v>
      </c>
      <c r="QS36" s="43"/>
      <c r="QT36" s="21" t="str">
        <f t="shared" si="163"/>
        <v/>
      </c>
      <c r="QU36" s="21" t="str">
        <f t="shared" si="164"/>
        <v/>
      </c>
      <c r="QV36" s="21" t="str">
        <f t="shared" si="165"/>
        <v/>
      </c>
      <c r="QW36" s="21" t="str">
        <f t="shared" si="166"/>
        <v/>
      </c>
      <c r="QX36" s="21" t="str">
        <f t="shared" si="167"/>
        <v/>
      </c>
      <c r="QY36" s="21" t="str">
        <f t="shared" si="168"/>
        <v/>
      </c>
      <c r="QZ36" s="21" t="str">
        <f t="shared" si="169"/>
        <v/>
      </c>
      <c r="RA36" s="21" t="str">
        <f t="shared" si="170"/>
        <v/>
      </c>
      <c r="RB36" s="21" t="str">
        <f t="shared" si="171"/>
        <v/>
      </c>
      <c r="RC36" s="21" t="str">
        <f t="shared" si="172"/>
        <v/>
      </c>
      <c r="RD36" s="21" t="str">
        <f t="shared" si="173"/>
        <v/>
      </c>
      <c r="RE36" s="21" t="str">
        <f t="shared" si="174"/>
        <v/>
      </c>
      <c r="RF36" s="21" t="str">
        <f t="shared" si="175"/>
        <v/>
      </c>
      <c r="RG36" s="21" t="str">
        <f t="shared" si="176"/>
        <v/>
      </c>
      <c r="RH36" s="21" t="str">
        <f t="shared" si="177"/>
        <v/>
      </c>
      <c r="RI36" s="21" t="str">
        <f t="shared" si="178"/>
        <v/>
      </c>
      <c r="RJ36" s="21" t="str">
        <f t="shared" si="179"/>
        <v/>
      </c>
      <c r="RK36" s="21" t="str">
        <f t="shared" si="180"/>
        <v/>
      </c>
      <c r="RL36" s="21" t="str">
        <f t="shared" si="181"/>
        <v/>
      </c>
      <c r="RM36" s="21" t="str">
        <f t="shared" si="182"/>
        <v>ALTO PARA EDAD GESTACIONAL</v>
      </c>
      <c r="RN36" s="21" t="str">
        <f t="shared" si="183"/>
        <v/>
      </c>
      <c r="RO36" s="21" t="str">
        <f t="shared" si="184"/>
        <v/>
      </c>
      <c r="RP36" s="21" t="str">
        <f t="shared" si="185"/>
        <v/>
      </c>
      <c r="RQ36" s="21" t="str">
        <f t="shared" si="186"/>
        <v/>
      </c>
      <c r="RR36" s="21" t="str">
        <f t="shared" si="187"/>
        <v/>
      </c>
      <c r="RS36" s="21" t="str">
        <f t="shared" si="188"/>
        <v/>
      </c>
      <c r="RT36" s="21" t="str">
        <f t="shared" si="189"/>
        <v/>
      </c>
      <c r="RU36" s="21" t="str">
        <f t="shared" si="190"/>
        <v/>
      </c>
      <c r="RV36" s="21">
        <f t="shared" si="191"/>
        <v>3.7142857142857144</v>
      </c>
      <c r="RW36" s="284">
        <f>IF(OR(Tabla1[[#This Row],[FUM FORMULA CONFIABLE]]="",Tabla1[[#This Row],[FUM FORMULA CONFIABLE]]="SD"),"",IF(Tabla1[[#This Row],[FUM FORMULA CONFIABLE]]="CORREGIDA",Tabla1[[#This Row],[FUM X ECO 1]],Tabla1[[#This Row],[FUM x AMENORREA]]))</f>
        <v>44830</v>
      </c>
      <c r="RX36" s="21">
        <f>IF(AND(Tabla1[[#This Row],[FUM X ECO 1]]="",Tabla1[[#This Row],[FUM x AMENORREA]]=""),"",IF(AND(Tabla1[[#This Row],[FUM X ECO 1]]="",Tabla1[[#This Row],[FUM x AMENORREA]]&lt;&gt;""),"X",SUM(Tabla1[[#This Row],[FUM X ECO 1]]-Tabla1[[#This Row],[FUM x AMENORREA]])))</f>
        <v>0.90000000000145519</v>
      </c>
      <c r="RY36" s="21">
        <f t="shared" si="193"/>
        <v>0</v>
      </c>
    </row>
    <row r="37" spans="1:493" ht="45" customHeight="1" x14ac:dyDescent="0.25">
      <c r="A37" s="109"/>
      <c r="B37" s="43" t="s">
        <v>1057</v>
      </c>
      <c r="C37" s="43" t="s">
        <v>845</v>
      </c>
      <c r="D37" s="124" t="s">
        <v>846</v>
      </c>
      <c r="E37" s="43" t="s">
        <v>1058</v>
      </c>
      <c r="F37" s="43" t="s">
        <v>883</v>
      </c>
      <c r="G37" s="43" t="s">
        <v>1059</v>
      </c>
      <c r="H37" s="43" t="s">
        <v>1060</v>
      </c>
      <c r="I37" s="109" t="s">
        <v>851</v>
      </c>
      <c r="J37" s="110">
        <v>1067462101</v>
      </c>
      <c r="K37" s="43" t="s">
        <v>852</v>
      </c>
      <c r="L37" s="175" t="s">
        <v>853</v>
      </c>
      <c r="M37" s="22">
        <v>38678</v>
      </c>
      <c r="N37" s="213">
        <f t="shared" ca="1" si="0"/>
        <v>17.958904109589042</v>
      </c>
      <c r="O37" s="22">
        <v>44856</v>
      </c>
      <c r="P37" s="214" t="str">
        <f t="shared" si="194"/>
        <v>SI</v>
      </c>
      <c r="Q37" s="26" t="s">
        <v>855</v>
      </c>
      <c r="R37" s="22">
        <v>44856</v>
      </c>
      <c r="S37" s="21" t="s">
        <v>856</v>
      </c>
      <c r="T37" s="24" t="s">
        <v>690</v>
      </c>
      <c r="U37" s="21" t="s">
        <v>857</v>
      </c>
      <c r="V37" s="21" t="s">
        <v>858</v>
      </c>
      <c r="W37" s="21" t="s">
        <v>1061</v>
      </c>
      <c r="X37" s="21" t="s">
        <v>1061</v>
      </c>
      <c r="Y37" s="21" t="s">
        <v>859</v>
      </c>
      <c r="Z37" s="21">
        <v>3166421565</v>
      </c>
      <c r="AA37" s="21" t="s">
        <v>860</v>
      </c>
      <c r="AB37" s="27" t="s">
        <v>861</v>
      </c>
      <c r="AC37" s="26" t="s">
        <v>877</v>
      </c>
      <c r="AD37" s="38" t="s">
        <v>846</v>
      </c>
      <c r="AE37" s="26" t="s">
        <v>854</v>
      </c>
      <c r="AF37" s="26" t="s">
        <v>854</v>
      </c>
      <c r="AG37" s="23" t="s">
        <v>864</v>
      </c>
      <c r="AH37" s="23" t="s">
        <v>864</v>
      </c>
      <c r="AI37" s="24" t="s">
        <v>863</v>
      </c>
      <c r="AJ37" s="23" t="s">
        <v>864</v>
      </c>
      <c r="AK37" s="220" t="str">
        <f>IF(AND(AD37="",AE37="",AF37="",AG37="",AH37="",AI37="",AJ37=""),"",IF(OR(Tabla1[[#This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EVALUACIÓN",IF(AND(O37="",R37=""),"",IF(AND(OR(O37&gt;0,R37&gt;0),NG37&gt;=0,NG37&lt;2),"SIN RIESGO",IF(AND(OR(O37&gt;0,R37&gt;0),NG37&gt;=2),"CON RIESGO","ASD")))))</f>
        <v>SIN RIESGO</v>
      </c>
      <c r="AL37" s="23" t="s">
        <v>864</v>
      </c>
      <c r="AM37" s="26" t="s">
        <v>864</v>
      </c>
      <c r="AN37" s="26" t="s">
        <v>864</v>
      </c>
      <c r="AO37" s="26" t="s">
        <v>864</v>
      </c>
      <c r="AP37" s="26" t="s">
        <v>864</v>
      </c>
      <c r="AQ37" s="26" t="s">
        <v>864</v>
      </c>
      <c r="AR37" s="26" t="s">
        <v>864</v>
      </c>
      <c r="AS37" s="21">
        <v>0</v>
      </c>
      <c r="AT37" s="21">
        <v>0</v>
      </c>
      <c r="AU37" s="21">
        <v>0</v>
      </c>
      <c r="AV37" s="26" t="s">
        <v>864</v>
      </c>
      <c r="AW37" s="21">
        <v>0</v>
      </c>
      <c r="AX37" s="26" t="s">
        <v>864</v>
      </c>
      <c r="AY37" s="26" t="s">
        <v>864</v>
      </c>
      <c r="AZ37" s="26" t="s">
        <v>864</v>
      </c>
      <c r="BA37" s="26" t="s">
        <v>864</v>
      </c>
      <c r="BB37" s="26" t="s">
        <v>864</v>
      </c>
      <c r="BC37" s="26" t="s">
        <v>864</v>
      </c>
      <c r="BD37" s="26" t="s">
        <v>864</v>
      </c>
      <c r="BE37" s="26" t="s">
        <v>864</v>
      </c>
      <c r="BF37" s="26" t="s">
        <v>864</v>
      </c>
      <c r="BG37" s="26" t="s">
        <v>864</v>
      </c>
      <c r="BH37" s="26" t="s">
        <v>864</v>
      </c>
      <c r="BI37" s="26" t="s">
        <v>864</v>
      </c>
      <c r="BJ37" s="26"/>
      <c r="BK37" s="26"/>
      <c r="BL37" s="26" t="s">
        <v>864</v>
      </c>
      <c r="BM37" s="26" t="s">
        <v>864</v>
      </c>
      <c r="BN37" s="22"/>
      <c r="BO37" s="22">
        <v>44769</v>
      </c>
      <c r="BP37" s="21" t="s">
        <v>854</v>
      </c>
      <c r="BQ37" s="222">
        <f t="shared" si="2"/>
        <v>0</v>
      </c>
      <c r="BR37" s="223">
        <f t="shared" si="3"/>
        <v>44769.599999999999</v>
      </c>
      <c r="BS37" s="224">
        <f t="shared" si="4"/>
        <v>12.428571428571429</v>
      </c>
      <c r="BT37" s="216" t="str">
        <f t="shared" si="5"/>
        <v>II TRIM</v>
      </c>
      <c r="BU37" s="214" t="str">
        <f t="shared" ca="1" si="6"/>
        <v/>
      </c>
      <c r="BV37" s="25"/>
      <c r="BW37" s="22">
        <v>44918</v>
      </c>
      <c r="BX37" s="28">
        <v>21.2</v>
      </c>
      <c r="BY37" s="28"/>
      <c r="BZ37" s="22"/>
      <c r="CA37" s="21"/>
      <c r="CB37" s="26" t="s">
        <v>864</v>
      </c>
      <c r="CC37" s="26" t="s">
        <v>864</v>
      </c>
      <c r="CD37" s="26" t="s">
        <v>878</v>
      </c>
      <c r="CE37" s="26" t="s">
        <v>864</v>
      </c>
      <c r="CF37" s="22" t="s">
        <v>1517</v>
      </c>
      <c r="CG37" s="21">
        <v>1.43</v>
      </c>
      <c r="CH37" s="21">
        <v>51</v>
      </c>
      <c r="CI37" s="214">
        <f t="shared" si="7"/>
        <v>24.940094870164803</v>
      </c>
      <c r="CJ37" s="225" t="e">
        <f>IF(AND(CI37&lt;10,CH37="SD"),"SIN DATO PESO PREGESTACION O I TRIM",IF(AND(OR(R37&gt;0,O37&gt;0),CI37="X"),"INGRESAR DATO DE PESO",IF(CI37="SD","INGRESAR DATO DE TALLA Y PESO",IF(AND(OR(Tabla1[[#This Row],[MOMENTO EN QUE SE REALIZA EL PESO AL INGRESO A CPN]]="PREGESTACIÓN",NZ37="Menor"),CI37&lt;18.5),"BAJO PESO",IF(AND(OR(Tabla1[[#This Row],[MOMENTO EN QUE SE REALIZA EL PESO AL INGRESO A CPN]]="PREGESTACIÓN",NZ37="Menor"),CI37&lt;25),"NORMAL",IF(AND(OR(Tabla1[[#This Row],[MOMENTO EN QUE SE REALIZA EL PESO AL INGRESO A CPN]]="PREGESTACIÓN",NZ37="Menor"),CI37&lt;30),"SOBREPESO",IF(AND(OR(Tabla1[[#This Row],[MOMENTO EN QUE SE REALIZA EL PESO AL INGRESO A CPN]]="PREGESTACIÓN",NZ37="Menor"),CI37&gt;=30,CI37&lt;50),"OBESIDAD",IF(AND(BS37&gt;0,Tabla1[[#This Row],[MOMENTO EN QUE SE REALIZA EL PESO AL INGRESO A CPN]]="GESTACIÓN"),HLOOKUP(NZ37,$OA$2:PH37,NY37),""))))))))</f>
        <v>#REF!</v>
      </c>
      <c r="CK37" s="212">
        <f t="shared" si="8"/>
        <v>45042</v>
      </c>
      <c r="CL37" s="21"/>
      <c r="CM37" s="214">
        <f t="shared" si="9"/>
        <v>0</v>
      </c>
      <c r="CN37" s="216">
        <f t="shared" si="10"/>
        <v>39</v>
      </c>
      <c r="CO37" s="216" t="e">
        <f>IF(PI37="","",IF(PI37&gt;0,HLOOKUP(PI37,$PJ$2:QQ37,NY37),""))</f>
        <v>#REF!</v>
      </c>
      <c r="CP37" s="21"/>
      <c r="CQ37" s="216" t="e">
        <f>IF(QR37="Menor","NO APLICA-MENOR 13 SEM",IF(AND(CC37="SI",CN37&gt;23),"NO APLICA- GEMELAR",IF(QR37="","",IF(QR37&gt;0,HLOOKUP(QR37,$QS$2:RU37,NY37),""))))</f>
        <v>#REF!</v>
      </c>
      <c r="CR37" s="21">
        <v>90</v>
      </c>
      <c r="CS37" s="21">
        <v>60</v>
      </c>
      <c r="CT37" s="217" t="str">
        <f>IF(R37="","",IF(AND(BS37&gt;1,BS37&lt;12,Tabla1[[#This Row],[T.A. SISTOLICA - ANTES DE SEMANA 12]]="",Tabla1[[#This Row],[T.A. DIASTOLICA - ANTES DE SEMANA 12]]=""),"REGISTRE DATO TA ANTES SEMANA 12",IF(AND(BS37&gt;11,BS37&lt;43,Tabla1[[#This Row],[T.A. SISTOLICA - ANTES DE SEMANA 12]]="",Tabla1[[#This Row],[T.A. DIASTOLICA - ANTES DE SEMANA 12]]=""),"NO APLICA REGISTRO TA-INGRESO TARDIO",IF(AND(OR(O37&gt;0,R37&gt;0),OR(CR37&gt;=140,CS37&gt;=90)),"DEFINIR ESTADIO HTA",IF(AND(OR(O37&gt;0,R37&gt;0),AND(CR37&gt;120,CR37&lt;=139)),"PRE HTA SEGUIMIENTO",IF(AND(OR(O37&gt;0,R37&gt;0),AND(CS37&gt;80,CS37&lt;=89)),"PRE HTA SEGUIMIENTO",IF(AND(OR(O37&gt;0,R37&gt;0),AND(CR37&gt;=80,CR37&lt;=120)),"APARENTEMENTE NORMAL",IF(AND(OR(O37&gt;0,R37&gt;0),AND(CS37&gt;=50,CS37&lt;=80)),"APARENTEMENTE NORMAL",IF(AND(OR(O37&gt;0,R37&gt;0),AND(CR37&gt;1,CR37&lt;=70),AND(CS37&gt;1,CS37&lt;=40)),"HIPOTENSIÓN","")))))))))</f>
        <v>APARENTEMENTE NORMAL</v>
      </c>
      <c r="CU37" s="21">
        <v>90</v>
      </c>
      <c r="CV37" s="21">
        <v>60</v>
      </c>
      <c r="CW37" s="217" t="str">
        <f ca="1">IF(R37="","",IF(AND(CN37&gt;19,CN37&lt;27,Tabla1[[#This Row],[T.A. SISTOLICA (Entre semana 20 y 26)]]="",Tabla1[[#This Row],[T.A. DIATOLICA (Entre semana 20 y 26)]]=""),"ACUDE A CONTROL SEM 20 A 26 REGISTRE TA AHORA",IF(AND(BS37&gt;1,BS37&lt;27,BU37&gt;19,Tabla1[[#This Row],[T.A. SISTOLICA (Entre semana 20 y 26)]]="",Tabla1[[#This Row],[T.A. DIATOLICA (Entre semana 20 y 26)]]=""),"COMPLETE REGISTRO TA CONTROL SEM 20 A26 ",IF(AND(BS37&gt;26,BS37&lt;43,Tabla1[[#This Row],[T.A. SISTOLICA (Entre semana 20 y 26)]]="",Tabla1[[#This Row],[T.A. DIATOLICA (Entre semana 20 y 26)]]=""),"NO APLICA REGISTRO TA-INGRESO TARDIO",IF(AND(OR(O37&gt;0,R37&gt;0),OR(CU37&gt;=140,CV37&gt;=90)),"ALTO RIESGO PREECLAMPSIA,DEFINIR ESTADIO HTA",IF(AND(OR(O37&gt;0,R37&gt;0),AND(CU37&gt;120,CU37&lt;=139)),"PRE HTA SEGUIMIENTO,RIESGO HIPERTENSION INDUCIDA POR EL EMBARAZO",IF(AND(OR(O37&gt;0,R37&gt;0),AND(CV37&gt;80,CV37&lt;=89)),"PRE HTA SEGUIMIENTO, RIESGO HIPERTENSION INDUCIDA POR EL EMBARAZO",IF(AND(OR(O37&lt;&gt;"",R37&lt;&gt;""),CS37&lt;&gt;"",CV37&lt;&gt;"",CS37&lt;=CV37),"VIGILAR CIFRAS PRESION ARTERIAL",IF(AND(OR(O37&gt;0,R37&gt;0),AND(CU37&gt;120,CU37&lt;=139)),"PRE HTA SEGUIMIENTO",IF(AND(OR(O37&gt;0,R37&gt;0),AND(CU37&gt;1,CU37&lt;=70),AND(CV37&gt;1,CV37&lt;=40)),"HIPOTENSIÓN",IF(AND(OR(O37&lt;&gt;"",R37&lt;&gt;""),CS37&lt;&gt;"",CV37&lt;&gt;"",CS37&gt;CV37),"APARENTEMENTE NORMAL",IF(AND(OR(O37&gt;0,R37&gt;0),AND(CU37&gt;=80,CU37&lt;=120)),"APARENTEMENTE NORMAL",IF(AND(OR(O37&gt;0,R37&gt;0),AND(CV37&gt;=50,CV37&lt;=80)),"APARENTEMENTE NORMAL","")))))))))))))</f>
        <v>VIGILAR CIFRAS PRESION ARTERIAL</v>
      </c>
      <c r="CX37" s="21"/>
      <c r="CY37" s="21"/>
      <c r="CZ37" s="216" t="str">
        <f t="shared" si="195"/>
        <v/>
      </c>
      <c r="DA37" s="21"/>
      <c r="DB37" s="21"/>
      <c r="DC37" s="217" t="str">
        <f t="shared" si="12"/>
        <v>REGISTRE DATO PRESIÓN ARTERIAL MENSUAL</v>
      </c>
      <c r="DD37" s="22">
        <v>44856</v>
      </c>
      <c r="DE37" s="22">
        <v>44856</v>
      </c>
      <c r="DF37" s="22">
        <v>44908</v>
      </c>
      <c r="DG37" s="22">
        <v>45042</v>
      </c>
      <c r="DH37" s="22"/>
      <c r="DI37" s="22"/>
      <c r="DJ37" s="22"/>
      <c r="DK37" s="22"/>
      <c r="DL37" s="22"/>
      <c r="DM37" s="22"/>
      <c r="DN37" s="22"/>
      <c r="DO37" s="22"/>
      <c r="DP37" s="22"/>
      <c r="DQ37" s="22"/>
      <c r="DR37" s="28">
        <v>1</v>
      </c>
      <c r="DS37" s="22"/>
      <c r="DT37" s="22"/>
      <c r="DU37" s="216" t="str">
        <f t="shared" ca="1" si="196"/>
        <v>SALE SIN PLAN DE PARTO</v>
      </c>
      <c r="DV37" s="226" t="str">
        <f t="shared" si="197"/>
        <v>SALIO PROGRAMA</v>
      </c>
      <c r="DW3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7" s="216" t="str">
        <f t="shared" ca="1" si="15"/>
        <v/>
      </c>
      <c r="DY37" s="212">
        <f>IF(R37="","",IF(R37&gt;0,MAX(Tabla1[[#This Row],[FECHA C2]:[FECHA C13]],Tabla1[[#This Row],[FECHA CONSULTA PRIMERA VEZ PROGRAMA CPN ]])))</f>
        <v>45042</v>
      </c>
      <c r="DZ37" s="216">
        <f t="shared" si="16"/>
        <v>39</v>
      </c>
      <c r="EA37" s="222">
        <f>IF(R37&gt;0,SUM(COUNTA(DF37:DQ37)+COUNTA(Tabla1[[#This Row],[FECHA CONSULTA PRIMERA VEZ PROGRAMA CPN ]])),"")</f>
        <v>3</v>
      </c>
      <c r="EB37" s="222" t="str">
        <f t="shared" si="17"/>
        <v>NO</v>
      </c>
      <c r="EC37" s="214">
        <f t="shared" si="18"/>
        <v>8</v>
      </c>
      <c r="ED37" s="227">
        <f t="shared" si="19"/>
        <v>0.375</v>
      </c>
      <c r="EE37" s="22">
        <v>44856</v>
      </c>
      <c r="EF37" s="22">
        <v>44856</v>
      </c>
      <c r="EG37" s="22">
        <v>44856</v>
      </c>
      <c r="EH37" s="22"/>
      <c r="EI37" s="22">
        <v>44856</v>
      </c>
      <c r="EJ37" s="22"/>
      <c r="EK37" s="22"/>
      <c r="EL37" s="21"/>
      <c r="EM37" s="21">
        <v>13.3</v>
      </c>
      <c r="EN37" s="22">
        <v>44856</v>
      </c>
      <c r="EO37" s="222">
        <f t="shared" si="20"/>
        <v>12.428571428571429</v>
      </c>
      <c r="EP37" s="214" t="str">
        <f t="shared" si="21"/>
        <v>NORMAL- SUMINISTRAR SULFATO FERROSO</v>
      </c>
      <c r="EQ37" s="216" t="str">
        <f t="shared" si="22"/>
        <v>I TRIM</v>
      </c>
      <c r="ER37" s="24"/>
      <c r="ES37" s="22"/>
      <c r="ET37" s="29" t="str">
        <f t="shared" ca="1" si="198"/>
        <v>SALE SIN TAMIZAJE HEMOGLOBINA SEM 28</v>
      </c>
      <c r="EU37" s="25" t="str">
        <f t="shared" si="24"/>
        <v/>
      </c>
      <c r="EV37" s="24" t="s">
        <v>866</v>
      </c>
      <c r="EW37" s="24">
        <v>44859</v>
      </c>
      <c r="EX37" s="22"/>
      <c r="EY37" s="29">
        <f t="shared" si="199"/>
        <v>12.857142857142858</v>
      </c>
      <c r="EZ37" s="25" t="str">
        <f t="shared" ca="1" si="200"/>
        <v/>
      </c>
      <c r="FA37" s="21">
        <v>78</v>
      </c>
      <c r="FB37" s="22">
        <v>44859</v>
      </c>
      <c r="FC37" s="29">
        <f t="shared" si="27"/>
        <v>12.857142857142858</v>
      </c>
      <c r="FD37" s="29"/>
      <c r="FE37" s="29"/>
      <c r="FF37" s="29"/>
      <c r="FG37" s="21" t="str">
        <f t="shared" ca="1" si="28"/>
        <v/>
      </c>
      <c r="FH37" s="31"/>
      <c r="FI37" s="29" t="str">
        <f t="shared" si="29"/>
        <v>TOMAR EXAMEN</v>
      </c>
      <c r="FJ37" s="22" t="s">
        <v>867</v>
      </c>
      <c r="FK37" s="22">
        <v>44859</v>
      </c>
      <c r="FL37" s="29">
        <f t="shared" ca="1" si="30"/>
        <v>12.857142857142858</v>
      </c>
      <c r="FM37" s="22"/>
      <c r="FN37" s="32"/>
      <c r="FO37" s="29" t="str">
        <f t="shared" ca="1" si="201"/>
        <v>PIERDE TOMA DE TAMIZAJE</v>
      </c>
      <c r="FP37" s="22"/>
      <c r="FQ37" s="32"/>
      <c r="FR37" s="29" t="str">
        <f t="shared" ca="1" si="202"/>
        <v>PIERDE TOMA DE TAMIZAJE</v>
      </c>
      <c r="FS37" s="22"/>
      <c r="FT37" s="32"/>
      <c r="FU37" s="29" t="str">
        <f>IF(AND(FJ37="",FM37="",FP37="",FS37=""),"",IF(OR(OR(Tabla1[[#This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7" s="28"/>
      <c r="FW37" s="22"/>
      <c r="FX37" s="29" t="str">
        <f t="shared" si="33"/>
        <v>TOMAR EXAMEN</v>
      </c>
      <c r="FY37" s="22"/>
      <c r="FZ37" s="22"/>
      <c r="GA37" s="29" t="str">
        <f t="shared" ca="1" si="203"/>
        <v/>
      </c>
      <c r="GB37" s="22"/>
      <c r="GC37" s="22"/>
      <c r="GD37" s="29" t="str">
        <f t="shared" ca="1" si="204"/>
        <v>PIERDE TOMA DE TAMIZAJE</v>
      </c>
      <c r="GE37" s="22"/>
      <c r="GF37" s="22"/>
      <c r="GG37" s="29" t="str">
        <f t="shared" ca="1" si="205"/>
        <v>PIERDE TOMA DE TAMIZAJE</v>
      </c>
      <c r="GH37" s="22"/>
      <c r="GI37" s="29"/>
      <c r="GJ37" s="22"/>
      <c r="GK37" s="22"/>
      <c r="GL37" s="22" t="s">
        <v>879</v>
      </c>
      <c r="GM37" s="22"/>
      <c r="GN37" s="28" t="s">
        <v>869</v>
      </c>
      <c r="GO37" s="22">
        <v>44859</v>
      </c>
      <c r="GP37" s="29">
        <f t="shared" si="37"/>
        <v>12.857142857142858</v>
      </c>
      <c r="GQ37" s="28" t="s">
        <v>869</v>
      </c>
      <c r="GR37" s="28" t="s">
        <v>869</v>
      </c>
      <c r="GS37" s="22" t="str">
        <f t="shared" si="206"/>
        <v>CONTROL Igm</v>
      </c>
      <c r="GT37" s="22">
        <v>44859</v>
      </c>
      <c r="GU37" s="29">
        <f t="shared" si="39"/>
        <v>12.857142857142858</v>
      </c>
      <c r="GV37" s="21" t="str">
        <f t="shared" si="40"/>
        <v>I TRIM</v>
      </c>
      <c r="GW37" s="28" t="s">
        <v>869</v>
      </c>
      <c r="GX37" s="30"/>
      <c r="GY37" s="21"/>
      <c r="GZ37" s="21"/>
      <c r="HA37" s="21"/>
      <c r="HB37" s="21"/>
      <c r="HC37" s="21"/>
      <c r="HD37" s="21"/>
      <c r="HE37" s="21"/>
      <c r="HF37" s="22"/>
      <c r="HG37" s="22" t="str">
        <f>IF(OR(O37&gt;0,R37&gt;0),CONCATENATE(IF(Tabla1[[#This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7" s="22" t="e">
        <f t="shared" si="41"/>
        <v>#REF!</v>
      </c>
      <c r="HI37" s="22" t="e">
        <f t="shared" ca="1" si="42"/>
        <v>#REF!</v>
      </c>
      <c r="HJ37" s="21"/>
      <c r="HK37" s="21" t="str">
        <f t="shared" si="44"/>
        <v>SIN ANTECEDENTES DE RIESGO</v>
      </c>
      <c r="HL37" s="24" t="str">
        <f t="shared" si="45"/>
        <v>REGISTRE DATO PRESIÓN ARTERIAL MENSUAL</v>
      </c>
      <c r="HM37" s="21" t="str">
        <f t="shared" ca="1" si="46"/>
        <v/>
      </c>
      <c r="HN37" s="30" t="str">
        <f t="shared" si="207"/>
        <v>SALIO PROGRAMA</v>
      </c>
      <c r="HO37" s="21"/>
      <c r="HP37" s="21"/>
      <c r="HQ37" s="21"/>
      <c r="HR37" s="21" t="str">
        <f>IF(R37="","",IF(Tabla1[[#This Row],[ALARMA FACTORES DE RIESGO COMPLICACIONES HIPERTENSIVAS3]]="SIN ANTECEDENTES DE RIESGO","No Aplica para suministro de ASA",IF(AND(Tabla1[[#This Row],[FECHA INICIO DE SUMINISTRO DE ASA]]&gt;0,RV37&lt;12),"Inicia ASA ANTES de Sem 12",IF(AND(RV37&gt;11,RV37&lt;17,OR(HK37="RIESGO ALTO DE COMPLICACIONES HIPERTENSIVAS VER MANEJO GUIA SUMINISTRO ASA Y CALCIO",HK37="RIESGO MODERADO (2 O MAS CRITERIOS) VER MANEJO GUIA SUMINISTRO ASA Y CALCIO")),"Inicio oportuno de ASA",IF(AND(RV37&gt;12,OR(HK37="RIESGO ALTO DE COMPLICACIONES HIPERTENSIVAS VER MANEJO GUIA SUMINISTRO ASA Y CALCIO",HK37="RIESGO MODERADO (2 O MAS CRITERIOS) VER MANEJO GUIA SUMINISTRO ASA Y CALCIO")),"Inicio no oportuno mayor a 16 semanas",IF(AND(BU37&lt;12,OR(HK37="RIESGO ALTO DE COMPLICACIONES HIPERTENSIVAS VER MANEJO GUIA SUMINISTRO ASA Y CALCIO",HK37="RIESGO MODERADO (2 O MAS CRITERIOS) VER MANEJO GUIA SUMINISTRO ASA Y CALCIO")),"Pendiente Inicio de ASA a la semana 12",IF(AND(BU37&gt;11,BU37&lt;17,OR(HK37="RIESGO ALTO DE COMPLICACIONES HIPERTENSIVAS VER MANEJO GUIA SUMINISTRO ASA Y CALCIO",HK37="RIESGO MODERADO (2 O MAS CRITERIOS) VER MANEJO GUIA SUMINISTRO ASA Y CALCIO")),"Iniciar de inmediato ASA",IF(AND(BU37&gt;16,OR(HK37="RIESGO ALTO DE COMPLICACIONES HIPERTENSIVAS VER MANEJO GUIA SUMINISTRO ASA Y CALCIO",HK37="RIESGO MODERADO (2 O MAS CRITERIOS) VER MANEJO GUIA SUMINISTRO ASA Y CALCIO")),"Pierde Oportunidad, Inicio tardío de ASA","XXXXX"))))))))</f>
        <v>No Aplica para suministro de ASA</v>
      </c>
      <c r="HS37" s="22"/>
      <c r="HT37" s="22"/>
      <c r="HU37" s="22"/>
      <c r="HV37" s="22"/>
      <c r="HW37" s="22"/>
      <c r="HX37" s="22"/>
      <c r="HY37" s="22">
        <v>44856</v>
      </c>
      <c r="HZ37" s="28">
        <f t="shared" si="48"/>
        <v>12.428571428571429</v>
      </c>
      <c r="IA37" s="26"/>
      <c r="IB37" s="26"/>
      <c r="IC37" s="111"/>
      <c r="ID37" s="22"/>
      <c r="IE37" s="22" t="str">
        <f t="shared" ca="1" si="49"/>
        <v>SALE SIN VACUNA</v>
      </c>
      <c r="IF37" s="22"/>
      <c r="IG37" s="22">
        <f t="shared" si="50"/>
        <v>45049</v>
      </c>
      <c r="IH37" s="29">
        <f t="shared" ca="1" si="51"/>
        <v>-184</v>
      </c>
      <c r="II37" s="22" t="str">
        <f t="shared" ca="1" si="52"/>
        <v>POSIBLEMENTE NACIO</v>
      </c>
      <c r="IJ37" s="22"/>
      <c r="IK37" s="21" t="s">
        <v>1652</v>
      </c>
      <c r="IL37" s="21"/>
      <c r="IM37" s="34"/>
      <c r="IN37" s="349">
        <v>45050</v>
      </c>
      <c r="IO37" s="21" t="s">
        <v>1186</v>
      </c>
      <c r="IP37" s="29">
        <f t="shared" si="208"/>
        <v>40.142857142857146</v>
      </c>
      <c r="IQ37" s="35" t="s">
        <v>1650</v>
      </c>
      <c r="IR37" s="21" t="s">
        <v>1651</v>
      </c>
      <c r="IS37" s="21" t="s">
        <v>1646</v>
      </c>
      <c r="IT37" s="21" t="s">
        <v>1642</v>
      </c>
      <c r="IU37" s="21"/>
      <c r="IV37" s="21"/>
      <c r="IW37" s="21"/>
      <c r="IX37" s="21"/>
      <c r="IY37" s="21"/>
      <c r="IZ37" s="21"/>
      <c r="JA37" s="21"/>
      <c r="JB37" s="30">
        <v>1</v>
      </c>
      <c r="JC37" s="21" t="s">
        <v>1647</v>
      </c>
      <c r="JD37" s="36">
        <v>3215</v>
      </c>
      <c r="JE37" s="21" t="str">
        <f t="shared" si="209"/>
        <v>PESO ADECUADO EDAD GESTACIONAL</v>
      </c>
      <c r="JF37" s="30"/>
      <c r="JG37" s="21"/>
      <c r="JH37" s="21"/>
      <c r="JI37" s="21" t="s">
        <v>854</v>
      </c>
      <c r="JJ37" s="30" t="s">
        <v>866</v>
      </c>
      <c r="JK37" s="22"/>
      <c r="JL37" s="22"/>
      <c r="JM37" s="21"/>
      <c r="JN37" s="36"/>
      <c r="JO37" s="21" t="str">
        <f t="shared" si="210"/>
        <v/>
      </c>
      <c r="JP37" s="22"/>
      <c r="JQ37" s="21"/>
      <c r="JR37" s="21"/>
      <c r="JS37" s="21"/>
      <c r="JT37" s="30"/>
      <c r="JU37" s="22"/>
      <c r="JV37" s="22"/>
      <c r="JW37" s="33"/>
      <c r="JX37" s="28" t="str">
        <f t="shared" si="211"/>
        <v>INASISTENTE</v>
      </c>
      <c r="JY37" s="33"/>
      <c r="JZ37" s="28" t="str">
        <f t="shared" si="212"/>
        <v>INASISTENTE</v>
      </c>
      <c r="KA37" s="21"/>
      <c r="KB37" s="21"/>
      <c r="KC37" s="21"/>
      <c r="KD37" s="37"/>
      <c r="KE37" s="28"/>
      <c r="KF37" s="28"/>
      <c r="KG37" s="28"/>
      <c r="KH37" s="39"/>
      <c r="KI37" s="39"/>
      <c r="KJ37" s="66"/>
      <c r="KK37" s="39"/>
      <c r="KL37" s="39"/>
      <c r="KM37" s="66"/>
      <c r="KN37" s="39"/>
      <c r="KO37" s="39"/>
      <c r="KP37" s="39"/>
      <c r="KQ37" s="39"/>
      <c r="KR37" s="39"/>
      <c r="KS37" s="39"/>
      <c r="KT37" s="39"/>
      <c r="KU37" s="38"/>
      <c r="KV37" s="38"/>
      <c r="KW37" s="38"/>
      <c r="KX37" s="38"/>
      <c r="KY37" s="38"/>
      <c r="KZ37" s="38"/>
      <c r="LA37" s="38"/>
      <c r="LB37" s="38"/>
      <c r="LC37" s="38"/>
      <c r="LD37" s="38"/>
      <c r="LE37" s="38"/>
      <c r="LF37" s="38"/>
      <c r="LG37" s="38"/>
      <c r="LH37" s="38"/>
      <c r="LI37" s="38"/>
      <c r="LJ37" s="38"/>
      <c r="LK37" s="38"/>
      <c r="LL37" s="38"/>
      <c r="LM37" s="38"/>
      <c r="LN37" s="38"/>
      <c r="LO37" s="38"/>
      <c r="LP37" s="38"/>
      <c r="LQ37" s="38"/>
      <c r="LR37" s="38"/>
      <c r="LS37" s="38"/>
      <c r="LT37" s="38"/>
      <c r="LU37" s="38"/>
      <c r="LV37" s="38"/>
      <c r="LW37" s="38"/>
      <c r="LX37" s="38"/>
      <c r="LY37" s="38"/>
      <c r="LZ37" s="38"/>
      <c r="MA37" s="38"/>
      <c r="MB37" s="38"/>
      <c r="MC37" s="38"/>
      <c r="MD37" s="38"/>
      <c r="ME37" s="38"/>
      <c r="MF37" s="38"/>
      <c r="MG37" s="38"/>
      <c r="MH37" s="43">
        <f t="shared" si="213"/>
        <v>0</v>
      </c>
      <c r="MI37" s="43" t="str">
        <f t="shared" si="214"/>
        <v/>
      </c>
      <c r="MJ37" s="43" t="str">
        <f t="shared" si="215"/>
        <v/>
      </c>
      <c r="MK37" s="43">
        <f t="shared" si="216"/>
        <v>0</v>
      </c>
      <c r="ML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7" s="43">
        <f t="shared" si="217"/>
        <v>12.428571428571429</v>
      </c>
      <c r="MN37" s="43">
        <f t="shared" si="218"/>
        <v>10</v>
      </c>
      <c r="MO37" s="43">
        <f t="shared" si="219"/>
        <v>2022</v>
      </c>
      <c r="MP37" s="43" t="str">
        <f t="shared" si="220"/>
        <v>IV TRIMESTRE AÑO</v>
      </c>
      <c r="MQ37" s="43">
        <f t="shared" si="221"/>
        <v>16.672141918528251</v>
      </c>
      <c r="MR37" s="43">
        <f t="shared" si="222"/>
        <v>0</v>
      </c>
      <c r="MS37" s="43" t="str">
        <f t="shared" si="223"/>
        <v>DE 14 A 19AÑOS</v>
      </c>
      <c r="MT37" s="43">
        <f t="shared" si="224"/>
        <v>0</v>
      </c>
      <c r="MU37" s="43">
        <f t="shared" si="225"/>
        <v>1</v>
      </c>
      <c r="MV37" s="43">
        <f t="shared" si="226"/>
        <v>0</v>
      </c>
      <c r="MW37" s="43">
        <f t="shared" si="227"/>
        <v>0</v>
      </c>
      <c r="MX37" s="43" t="str">
        <f t="shared" si="228"/>
        <v/>
      </c>
      <c r="MY37" s="43" t="str">
        <f t="shared" ca="1" si="229"/>
        <v/>
      </c>
      <c r="MZ37" s="43" t="str">
        <f t="shared" si="230"/>
        <v/>
      </c>
      <c r="NA37" s="43">
        <f t="shared" si="231"/>
        <v>0</v>
      </c>
      <c r="NB37" s="43" t="str">
        <f t="shared" si="232"/>
        <v/>
      </c>
      <c r="NC37" s="43" t="str">
        <f t="shared" si="233"/>
        <v/>
      </c>
      <c r="ND37" s="43">
        <f t="shared" ca="1" si="234"/>
        <v>1</v>
      </c>
      <c r="NE37" s="43">
        <f>IF(OR(O37&gt;0,R37&gt;0),SUM(COUNTIF(Tabla1[[#This Row],[AÑOS AL INICIO5 CPN]],"&gt;=40"),COUNTIF(AS37,"0"),COUNTIF(AR37,"SI"),COUNTIF(CC37,"SI"),COUNTIF(BQ37,"&gt;119"),COUNTIF(CI37,"&gt;=35")),"")</f>
        <v>1</v>
      </c>
      <c r="NF37" s="43" t="str">
        <f t="shared" si="235"/>
        <v/>
      </c>
      <c r="NG37" s="43">
        <f t="shared" si="236"/>
        <v>0</v>
      </c>
      <c r="NH37" s="43">
        <f t="shared" si="237"/>
        <v>148.4</v>
      </c>
      <c r="NI3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CPN",P37="NO"),"Z",IF(AND(Tabla1[[#This Row],[CITA PROXIMO CONTROL]]="CITA MANUAL",Tabla1[[#This Row],[GESTANTES ACTUALES]]="ACTIVA INGRESO A CPN"),"W",IF(AND(Tabla1[[#This Row],[GESTANTES ACTUALES]]="SALIO PROGRAMA",IN37=""),"S",IF(AND(Tabla1[[#This Row],[CITA PROXIMO CONTROL]]&gt;0,IN37=""),(Tabla1[[#This Row],[CITA PROXIMO CONTROL]]-TODAY()),"SD"))))))))</f>
        <v>SD</v>
      </c>
      <c r="NJ37" s="43">
        <f>MONTH(Tabla1[[#This Row],[FECHA DE SALIDA  DEL PROGRAMA]])</f>
        <v>5</v>
      </c>
      <c r="NK37" s="43">
        <f>YEAR(Tabla1[[#This Row],[FECHA DE SALIDA  DEL PROGRAMA]])</f>
        <v>2023</v>
      </c>
      <c r="NL37" s="43" t="str">
        <f t="shared" si="238"/>
        <v>X</v>
      </c>
      <c r="NM37" s="43" t="str">
        <f t="shared" si="239"/>
        <v>NO</v>
      </c>
      <c r="NN37" s="43" t="str">
        <f ca="1">IF(AND(O37&gt;0,R37=""),"NO CPN",IF(AND(O37="",R37=""),"",IF(AND(R37&gt;0,Tabla1[[#This Row],[SEMANAS DE GESTACION ACTUALIZADAS]]&lt;=12),"NO APLICA",IF(AND(FH37&lt;&gt;"",FN37&lt;&gt;""),"SI","NO"))))</f>
        <v>NO</v>
      </c>
      <c r="NO37" s="43" t="str">
        <f ca="1">IF(AND(O37&gt;0,R37=""),"NO CPN",IF(AND(O37="",R37=""),"",IF(AND(R37&gt;0,Tabla1[[#This Row],[SEMANAS DE GESTACION ACTUALIZADAS]]&lt;=27),"NO APLICA",IF(AND(ES37&lt;&gt;"",FQ37&lt;&gt;"",GF37&lt;&gt;""),"SI","NO"))))</f>
        <v>NO</v>
      </c>
      <c r="NP37" s="204" t="str">
        <f t="shared" si="240"/>
        <v>II TRIM</v>
      </c>
      <c r="NQ37" s="21">
        <f t="shared" si="241"/>
        <v>3</v>
      </c>
      <c r="NR37" s="21">
        <f t="shared" si="242"/>
        <v>2</v>
      </c>
      <c r="NS37" s="205">
        <f t="shared" ca="1" si="243"/>
        <v>1</v>
      </c>
      <c r="NT37" s="21">
        <f t="shared" ca="1" si="244"/>
        <v>0</v>
      </c>
      <c r="NU37" s="21" t="str">
        <f t="shared" ca="1" si="245"/>
        <v>INCOMPLETO</v>
      </c>
      <c r="NV37" s="21" t="str">
        <f t="shared" ca="1" si="246"/>
        <v>INCOMPLETO</v>
      </c>
      <c r="NW37" s="206" t="str">
        <f>IF(AND(O37="",R37=""),"",IF(OR(AND(Tabla1[[#This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7" s="207" t="str">
        <f t="shared" ca="1" si="247"/>
        <v>SIN VACUNAR</v>
      </c>
      <c r="NY37" s="43">
        <f>ROW(Tabla1[[#This Row],['# DE TAMIZAJES SIFILIS TOMADOS ]])</f>
        <v>37</v>
      </c>
      <c r="NZ37" s="43">
        <f t="shared" si="93"/>
        <v>12</v>
      </c>
      <c r="OA37" s="43" t="str">
        <f t="shared" si="94"/>
        <v/>
      </c>
      <c r="OB37" s="43" t="str">
        <f t="shared" si="95"/>
        <v/>
      </c>
      <c r="OC37" s="43" t="str">
        <f t="shared" si="96"/>
        <v/>
      </c>
      <c r="OD37" s="43" t="str">
        <f t="shared" si="97"/>
        <v>NORMAL</v>
      </c>
      <c r="OE37" s="43" t="str">
        <f t="shared" si="98"/>
        <v/>
      </c>
      <c r="OF37" s="43" t="str">
        <f t="shared" si="99"/>
        <v/>
      </c>
      <c r="OG37" s="43" t="str">
        <f t="shared" si="100"/>
        <v/>
      </c>
      <c r="OH37" s="43" t="str">
        <f t="shared" si="101"/>
        <v/>
      </c>
      <c r="OI37" s="43" t="str">
        <f t="shared" si="102"/>
        <v/>
      </c>
      <c r="OJ37" s="43" t="str">
        <f t="shared" si="103"/>
        <v/>
      </c>
      <c r="OK37" s="43" t="str">
        <f t="shared" si="104"/>
        <v/>
      </c>
      <c r="OL37" s="43" t="str">
        <f t="shared" si="105"/>
        <v/>
      </c>
      <c r="OM37" s="43" t="str">
        <f t="shared" si="106"/>
        <v/>
      </c>
      <c r="ON37" s="43" t="str">
        <f t="shared" si="107"/>
        <v/>
      </c>
      <c r="OO37" s="43" t="str">
        <f t="shared" si="108"/>
        <v/>
      </c>
      <c r="OP37" s="43" t="str">
        <f t="shared" si="109"/>
        <v/>
      </c>
      <c r="OQ37" s="43" t="str">
        <f t="shared" si="110"/>
        <v/>
      </c>
      <c r="OR37" s="43" t="str">
        <f t="shared" si="111"/>
        <v/>
      </c>
      <c r="OS37" s="43" t="str">
        <f t="shared" si="112"/>
        <v/>
      </c>
      <c r="OT37" s="43" t="str">
        <f t="shared" si="113"/>
        <v/>
      </c>
      <c r="OU37" s="43" t="str">
        <f t="shared" si="114"/>
        <v/>
      </c>
      <c r="OV37" s="110" t="str">
        <f t="shared" si="115"/>
        <v/>
      </c>
      <c r="OW37" s="43" t="str">
        <f t="shared" si="116"/>
        <v/>
      </c>
      <c r="OX37" s="43" t="str">
        <f t="shared" si="117"/>
        <v/>
      </c>
      <c r="OY37" s="43" t="str">
        <f t="shared" si="118"/>
        <v/>
      </c>
      <c r="OZ37" s="43" t="str">
        <f t="shared" si="119"/>
        <v/>
      </c>
      <c r="PA37" s="43" t="str">
        <f t="shared" si="120"/>
        <v/>
      </c>
      <c r="PB37" s="43" t="str">
        <f t="shared" si="121"/>
        <v/>
      </c>
      <c r="PC37" s="43" t="str">
        <f t="shared" si="122"/>
        <v/>
      </c>
      <c r="PD37" s="43" t="str">
        <f t="shared" si="123"/>
        <v/>
      </c>
      <c r="PE37" s="43" t="str">
        <f t="shared" si="124"/>
        <v/>
      </c>
      <c r="PF37" s="43" t="str">
        <f t="shared" si="125"/>
        <v/>
      </c>
      <c r="PG37" s="43" t="str">
        <f t="shared" si="126"/>
        <v/>
      </c>
      <c r="PH37" s="43" t="str">
        <f t="shared" si="127"/>
        <v/>
      </c>
      <c r="PI37" s="43">
        <f t="shared" si="128"/>
        <v>39</v>
      </c>
      <c r="PJ37" s="43" t="str">
        <f t="shared" si="129"/>
        <v/>
      </c>
      <c r="PK37" s="43" t="str">
        <f t="shared" si="130"/>
        <v/>
      </c>
      <c r="PL37" s="43" t="str">
        <f t="shared" si="131"/>
        <v/>
      </c>
      <c r="PM37" s="43" t="str">
        <f t="shared" si="132"/>
        <v/>
      </c>
      <c r="PN37" s="43" t="str">
        <f t="shared" si="133"/>
        <v/>
      </c>
      <c r="PO37" s="43" t="str">
        <f t="shared" si="134"/>
        <v/>
      </c>
      <c r="PP37" s="43" t="str">
        <f t="shared" si="135"/>
        <v/>
      </c>
      <c r="PQ37" s="43" t="str">
        <f t="shared" si="136"/>
        <v/>
      </c>
      <c r="PR37" s="43" t="str">
        <f t="shared" si="137"/>
        <v/>
      </c>
      <c r="PS37" s="43" t="str">
        <f t="shared" si="138"/>
        <v/>
      </c>
      <c r="PT37" s="43" t="str">
        <f t="shared" si="139"/>
        <v/>
      </c>
      <c r="PU37" s="43" t="str">
        <f t="shared" si="140"/>
        <v/>
      </c>
      <c r="PV37" s="43" t="str">
        <f t="shared" si="141"/>
        <v/>
      </c>
      <c r="PW37" s="43" t="str">
        <f t="shared" si="142"/>
        <v/>
      </c>
      <c r="PX37" s="43" t="str">
        <f t="shared" si="143"/>
        <v/>
      </c>
      <c r="PY37" s="43" t="str">
        <f t="shared" si="144"/>
        <v/>
      </c>
      <c r="PZ37" s="43" t="str">
        <f t="shared" si="145"/>
        <v/>
      </c>
      <c r="QA37" s="43" t="str">
        <f t="shared" si="146"/>
        <v/>
      </c>
      <c r="QB37" s="43" t="str">
        <f t="shared" si="147"/>
        <v/>
      </c>
      <c r="QC37" s="43" t="str">
        <f t="shared" si="148"/>
        <v/>
      </c>
      <c r="QD37" s="43" t="str">
        <f t="shared" si="149"/>
        <v/>
      </c>
      <c r="QE37" s="43" t="str">
        <f t="shared" si="150"/>
        <v/>
      </c>
      <c r="QF37" s="43" t="str">
        <f t="shared" si="151"/>
        <v/>
      </c>
      <c r="QG37" s="43" t="str">
        <f t="shared" si="152"/>
        <v/>
      </c>
      <c r="QH37" s="43" t="str">
        <f t="shared" si="153"/>
        <v/>
      </c>
      <c r="QI37" s="43" t="str">
        <f t="shared" si="154"/>
        <v/>
      </c>
      <c r="QJ37" s="43" t="str">
        <f t="shared" si="155"/>
        <v/>
      </c>
      <c r="QK37" s="43" t="str">
        <f t="shared" si="156"/>
        <v/>
      </c>
      <c r="QL37" s="43" t="str">
        <f t="shared" si="157"/>
        <v/>
      </c>
      <c r="QM37" s="43" t="str">
        <f t="shared" si="158"/>
        <v/>
      </c>
      <c r="QN37" s="43" t="str">
        <f t="shared" si="159"/>
        <v/>
      </c>
      <c r="QO37" s="43" t="str">
        <f t="shared" si="160"/>
        <v/>
      </c>
      <c r="QP37" s="43" t="str">
        <f t="shared" si="161"/>
        <v/>
      </c>
      <c r="QQ37" s="43" t="str">
        <f t="shared" si="162"/>
        <v/>
      </c>
      <c r="QR37" s="43">
        <f t="shared" si="192"/>
        <v>39</v>
      </c>
      <c r="QS37" s="43"/>
      <c r="QT37" s="21" t="str">
        <f t="shared" si="163"/>
        <v/>
      </c>
      <c r="QU37" s="21" t="str">
        <f t="shared" si="164"/>
        <v/>
      </c>
      <c r="QV37" s="21" t="str">
        <f t="shared" si="165"/>
        <v/>
      </c>
      <c r="QW37" s="21" t="str">
        <f t="shared" si="166"/>
        <v/>
      </c>
      <c r="QX37" s="21" t="str">
        <f t="shared" si="167"/>
        <v/>
      </c>
      <c r="QY37" s="21" t="str">
        <f t="shared" si="168"/>
        <v/>
      </c>
      <c r="QZ37" s="21" t="str">
        <f t="shared" si="169"/>
        <v/>
      </c>
      <c r="RA37" s="21" t="str">
        <f t="shared" si="170"/>
        <v/>
      </c>
      <c r="RB37" s="21" t="str">
        <f t="shared" si="171"/>
        <v/>
      </c>
      <c r="RC37" s="21" t="str">
        <f t="shared" si="172"/>
        <v/>
      </c>
      <c r="RD37" s="21" t="str">
        <f t="shared" si="173"/>
        <v/>
      </c>
      <c r="RE37" s="21" t="str">
        <f t="shared" si="174"/>
        <v/>
      </c>
      <c r="RF37" s="21" t="str">
        <f t="shared" si="175"/>
        <v/>
      </c>
      <c r="RG37" s="21" t="str">
        <f t="shared" si="176"/>
        <v/>
      </c>
      <c r="RH37" s="21" t="str">
        <f t="shared" si="177"/>
        <v/>
      </c>
      <c r="RI37" s="21" t="str">
        <f t="shared" si="178"/>
        <v/>
      </c>
      <c r="RJ37" s="21" t="str">
        <f t="shared" si="179"/>
        <v/>
      </c>
      <c r="RK37" s="21" t="str">
        <f t="shared" si="180"/>
        <v/>
      </c>
      <c r="RL37" s="21" t="str">
        <f t="shared" si="181"/>
        <v/>
      </c>
      <c r="RM37" s="21" t="str">
        <f t="shared" si="182"/>
        <v/>
      </c>
      <c r="RN37" s="21" t="str">
        <f t="shared" si="183"/>
        <v/>
      </c>
      <c r="RO37" s="21" t="str">
        <f t="shared" si="184"/>
        <v/>
      </c>
      <c r="RP37" s="21" t="str">
        <f t="shared" si="185"/>
        <v/>
      </c>
      <c r="RQ37" s="21" t="str">
        <f t="shared" si="186"/>
        <v/>
      </c>
      <c r="RR37" s="21" t="str">
        <f t="shared" si="187"/>
        <v/>
      </c>
      <c r="RS37" s="21" t="str">
        <f t="shared" si="188"/>
        <v/>
      </c>
      <c r="RT37" s="21" t="str">
        <f t="shared" si="189"/>
        <v/>
      </c>
      <c r="RU37" s="21" t="str">
        <f t="shared" si="190"/>
        <v/>
      </c>
      <c r="RV37" s="21">
        <f t="shared" si="191"/>
        <v>-1</v>
      </c>
      <c r="RW37" s="284">
        <f>IF(OR(Tabla1[[#This Row],[FUM FORMULA CONFIABLE]]="",Tabla1[[#This Row],[FUM FORMULA CONFIABLE]]="SD"),"",IF(Tabla1[[#This Row],[FUM FORMULA CONFIABLE]]="CORREGIDA",Tabla1[[#This Row],[FUM X ECO 1]],Tabla1[[#This Row],[FUM x AMENORREA]]))</f>
        <v>44769</v>
      </c>
      <c r="RX37" s="21">
        <f>IF(AND(Tabla1[[#This Row],[FUM X ECO 1]]="",Tabla1[[#This Row],[FUM x AMENORREA]]=""),"",IF(AND(Tabla1[[#This Row],[FUM X ECO 1]]="",Tabla1[[#This Row],[FUM x AMENORREA]]&lt;&gt;""),"X",SUM(Tabla1[[#This Row],[FUM X ECO 1]]-Tabla1[[#This Row],[FUM x AMENORREA]])))</f>
        <v>0.59999999999854481</v>
      </c>
      <c r="RY37" s="21">
        <f t="shared" si="193"/>
        <v>0</v>
      </c>
    </row>
    <row r="38" spans="1:493" ht="45" customHeight="1" x14ac:dyDescent="0.25">
      <c r="A38" s="109"/>
      <c r="B38" s="43" t="s">
        <v>1062</v>
      </c>
      <c r="C38" s="43" t="s">
        <v>845</v>
      </c>
      <c r="D38" s="124" t="s">
        <v>846</v>
      </c>
      <c r="E38" s="43" t="s">
        <v>848</v>
      </c>
      <c r="F38" s="43"/>
      <c r="G38" s="43" t="s">
        <v>1063</v>
      </c>
      <c r="H38" s="43"/>
      <c r="I38" s="109" t="s">
        <v>851</v>
      </c>
      <c r="J38" s="110">
        <v>1059598027</v>
      </c>
      <c r="K38" s="43" t="s">
        <v>852</v>
      </c>
      <c r="L38" s="175" t="s">
        <v>853</v>
      </c>
      <c r="M38" s="22">
        <v>32872</v>
      </c>
      <c r="N38" s="213">
        <f t="shared" ca="1" si="0"/>
        <v>33.865753424657534</v>
      </c>
      <c r="O38" s="22">
        <v>44856</v>
      </c>
      <c r="P38" s="214" t="str">
        <f t="shared" si="194"/>
        <v>SI</v>
      </c>
      <c r="Q38" s="26" t="s">
        <v>855</v>
      </c>
      <c r="R38" s="22">
        <v>44856</v>
      </c>
      <c r="S38" s="21" t="s">
        <v>856</v>
      </c>
      <c r="T38" s="24" t="s">
        <v>690</v>
      </c>
      <c r="U38" s="21" t="s">
        <v>857</v>
      </c>
      <c r="V38" s="21" t="s">
        <v>858</v>
      </c>
      <c r="W38" s="21" t="s">
        <v>1064</v>
      </c>
      <c r="X38" s="21" t="s">
        <v>1064</v>
      </c>
      <c r="Y38" s="21" t="s">
        <v>859</v>
      </c>
      <c r="Z38" s="21">
        <v>3176972636</v>
      </c>
      <c r="AA38" s="21" t="s">
        <v>860</v>
      </c>
      <c r="AB38" s="27" t="s">
        <v>861</v>
      </c>
      <c r="AC38" s="26" t="s">
        <v>862</v>
      </c>
      <c r="AD38" s="38" t="s">
        <v>846</v>
      </c>
      <c r="AE38" s="26" t="s">
        <v>1065</v>
      </c>
      <c r="AF38" s="26" t="s">
        <v>854</v>
      </c>
      <c r="AG38" s="23" t="s">
        <v>864</v>
      </c>
      <c r="AH38" s="23" t="s">
        <v>864</v>
      </c>
      <c r="AI38" s="24" t="s">
        <v>863</v>
      </c>
      <c r="AJ38" s="23" t="s">
        <v>864</v>
      </c>
      <c r="AK38" s="220" t="str">
        <f>IF(AND(AD38="",AE38="",AF38="",AG38="",AH38="",AI38="",AJ38=""),"",IF(OR(Tabla1[[#This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EVALUACIÓN",IF(AND(O38="",R38=""),"",IF(AND(OR(O38&gt;0,R38&gt;0),NG38&gt;=0,NG38&lt;2),"SIN RIESGO",IF(AND(OR(O38&gt;0,R38&gt;0),NG38&gt;=2),"CON RIESGO","ASD")))))</f>
        <v>SIN RIESGO</v>
      </c>
      <c r="AL38" s="23" t="s">
        <v>864</v>
      </c>
      <c r="AM38" s="26" t="s">
        <v>864</v>
      </c>
      <c r="AN38" s="26" t="s">
        <v>864</v>
      </c>
      <c r="AO38" s="26" t="s">
        <v>864</v>
      </c>
      <c r="AP38" s="26" t="s">
        <v>864</v>
      </c>
      <c r="AQ38" s="26" t="s">
        <v>864</v>
      </c>
      <c r="AR38" s="26" t="s">
        <v>864</v>
      </c>
      <c r="AS38" s="21">
        <v>3</v>
      </c>
      <c r="AT38" s="21">
        <v>3</v>
      </c>
      <c r="AU38" s="21">
        <v>0</v>
      </c>
      <c r="AV38" s="26" t="s">
        <v>864</v>
      </c>
      <c r="AW38" s="21">
        <v>0</v>
      </c>
      <c r="AX38" s="26" t="s">
        <v>864</v>
      </c>
      <c r="AY38" s="26" t="s">
        <v>864</v>
      </c>
      <c r="AZ38" s="26" t="s">
        <v>864</v>
      </c>
      <c r="BA38" s="26" t="s">
        <v>864</v>
      </c>
      <c r="BB38" s="26" t="s">
        <v>864</v>
      </c>
      <c r="BC38" s="26" t="s">
        <v>864</v>
      </c>
      <c r="BD38" s="26" t="s">
        <v>864</v>
      </c>
      <c r="BE38" s="26" t="s">
        <v>864</v>
      </c>
      <c r="BF38" s="26" t="s">
        <v>864</v>
      </c>
      <c r="BG38" s="26" t="s">
        <v>864</v>
      </c>
      <c r="BH38" s="26" t="s">
        <v>864</v>
      </c>
      <c r="BI38" s="26" t="s">
        <v>864</v>
      </c>
      <c r="BJ38" s="26"/>
      <c r="BK38" s="26"/>
      <c r="BL38" s="26" t="s">
        <v>864</v>
      </c>
      <c r="BM38" s="26" t="s">
        <v>864</v>
      </c>
      <c r="BN38" s="22"/>
      <c r="BO38" s="22">
        <v>44721</v>
      </c>
      <c r="BP38" s="21" t="s">
        <v>854</v>
      </c>
      <c r="BQ38" s="222">
        <f t="shared" si="2"/>
        <v>0</v>
      </c>
      <c r="BR38" s="223">
        <f t="shared" si="3"/>
        <v>44785.8</v>
      </c>
      <c r="BS38" s="224">
        <f t="shared" si="4"/>
        <v>19.285714285714285</v>
      </c>
      <c r="BT38" s="216" t="str">
        <f t="shared" si="5"/>
        <v>II TRIM</v>
      </c>
      <c r="BU38" s="214" t="str">
        <f t="shared" ca="1" si="6"/>
        <v/>
      </c>
      <c r="BV38" s="25" t="s">
        <v>988</v>
      </c>
      <c r="BW38" s="22">
        <v>45028</v>
      </c>
      <c r="BX38" s="28">
        <v>34.6</v>
      </c>
      <c r="BY38" s="28"/>
      <c r="BZ38" s="22">
        <v>45051</v>
      </c>
      <c r="CA38" s="21">
        <v>38.200000000000003</v>
      </c>
      <c r="CB38" s="26" t="s">
        <v>864</v>
      </c>
      <c r="CC38" s="26" t="s">
        <v>864</v>
      </c>
      <c r="CD38" s="26" t="s">
        <v>878</v>
      </c>
      <c r="CE38" s="26" t="s">
        <v>864</v>
      </c>
      <c r="CF38" s="22" t="s">
        <v>1517</v>
      </c>
      <c r="CG38" s="21">
        <v>1.51</v>
      </c>
      <c r="CH38" s="21">
        <v>58</v>
      </c>
      <c r="CI38" s="214">
        <f t="shared" si="7"/>
        <v>25.437480812245077</v>
      </c>
      <c r="CJ38" s="225" t="e">
        <f>IF(AND(CI38&lt;10,CH38="SD"),"SIN DATO PESO PREGESTACION O I TRIM",IF(AND(OR(R38&gt;0,O38&gt;0),CI38="X"),"INGRESAR DATO DE PESO",IF(CI38="SD","INGRESAR DATO DE TALLA Y PESO",IF(AND(OR(Tabla1[[#This Row],[MOMENTO EN QUE SE REALIZA EL PESO AL INGRESO A CPN]]="PREGESTACIÓN",NZ38="Menor"),CI38&lt;18.5),"BAJO PESO",IF(AND(OR(Tabla1[[#This Row],[MOMENTO EN QUE SE REALIZA EL PESO AL INGRESO A CPN]]="PREGESTACIÓN",NZ38="Menor"),CI38&lt;25),"NORMAL",IF(AND(OR(Tabla1[[#This Row],[MOMENTO EN QUE SE REALIZA EL PESO AL INGRESO A CPN]]="PREGESTACIÓN",NZ38="Menor"),CI38&lt;30),"SOBREPESO",IF(AND(OR(Tabla1[[#This Row],[MOMENTO EN QUE SE REALIZA EL PESO AL INGRESO A CPN]]="PREGESTACIÓN",NZ38="Menor"),CI38&gt;=30,CI38&lt;50),"OBESIDAD",IF(AND(BS38&gt;0,Tabla1[[#This Row],[MOMENTO EN QUE SE REALIZA EL PESO AL INGRESO A CPN]]="GESTACIÓN"),HLOOKUP(NZ38,$OA$2:PH38,NY38),""))))))))</f>
        <v>#REF!</v>
      </c>
      <c r="CK38" s="212">
        <f t="shared" si="8"/>
        <v>45052</v>
      </c>
      <c r="CL38" s="21">
        <v>64</v>
      </c>
      <c r="CM38" s="214">
        <f t="shared" si="9"/>
        <v>28.068944344546292</v>
      </c>
      <c r="CN38" s="216">
        <f t="shared" si="10"/>
        <v>47</v>
      </c>
      <c r="CO38" s="216" t="e">
        <f>IF(PI38="","",IF(PI38&gt;0,HLOOKUP(PI38,$PJ$2:QQ38,NY38),""))</f>
        <v>#REF!</v>
      </c>
      <c r="CP38" s="21"/>
      <c r="CQ38" s="216" t="e">
        <f>IF(QR38="Menor","NO APLICA-MENOR 13 SEM",IF(AND(CC38="SI",CN38&gt;23),"NO APLICA- GEMELAR",IF(QR38="","",IF(QR38&gt;0,HLOOKUP(QR38,$QS$2:RU38,NY38),""))))</f>
        <v>#REF!</v>
      </c>
      <c r="CR38" s="21">
        <v>110</v>
      </c>
      <c r="CS38" s="21">
        <v>60</v>
      </c>
      <c r="CT38" s="217" t="str">
        <f>IF(R38="","",IF(AND(BS38&gt;1,BS38&lt;12,Tabla1[[#This Row],[T.A. SISTOLICA - ANTES DE SEMANA 12]]="",Tabla1[[#This Row],[T.A. DIASTOLICA - ANTES DE SEMANA 12]]=""),"REGISTRE DATO TA ANTES SEMANA 12",IF(AND(BS38&gt;11,BS38&lt;43,Tabla1[[#This Row],[T.A. SISTOLICA - ANTES DE SEMANA 12]]="",Tabla1[[#This Row],[T.A. DIASTOLICA - ANTES DE SEMANA 12]]=""),"NO APLICA REGISTRO TA-INGRESO TARDIO",IF(AND(OR(O38&gt;0,R38&gt;0),OR(CR38&gt;=140,CS38&gt;=90)),"DEFINIR ESTADIO HTA",IF(AND(OR(O38&gt;0,R38&gt;0),AND(CR38&gt;120,CR38&lt;=139)),"PRE HTA SEGUIMIENTO",IF(AND(OR(O38&gt;0,R38&gt;0),AND(CS38&gt;80,CS38&lt;=89)),"PRE HTA SEGUIMIENTO",IF(AND(OR(O38&gt;0,R38&gt;0),AND(CR38&gt;=80,CR38&lt;=120)),"APARENTEMENTE NORMAL",IF(AND(OR(O38&gt;0,R38&gt;0),AND(CS38&gt;=50,CS38&lt;=80)),"APARENTEMENTE NORMAL",IF(AND(OR(O38&gt;0,R38&gt;0),AND(CR38&gt;1,CR38&lt;=70),AND(CS38&gt;1,CS38&lt;=40)),"HIPOTENSIÓN","")))))))))</f>
        <v>APARENTEMENTE NORMAL</v>
      </c>
      <c r="CU38" s="21"/>
      <c r="CV38" s="21"/>
      <c r="CW38" s="217" t="str">
        <f ca="1">IF(R38="","",IF(AND(CN38&gt;19,CN38&lt;27,Tabla1[[#This Row],[T.A. SISTOLICA (Entre semana 20 y 26)]]="",Tabla1[[#This Row],[T.A. DIATOLICA (Entre semana 20 y 26)]]=""),"ACUDE A CONTROL SEM 20 A 26 REGISTRE TA AHORA",IF(AND(BS38&gt;1,BS38&lt;27,BU38&gt;19,Tabla1[[#This Row],[T.A. SISTOLICA (Entre semana 20 y 26)]]="",Tabla1[[#This Row],[T.A. DIATOLICA (Entre semana 20 y 26)]]=""),"COMPLETE REGISTRO TA CONTROL SEM 20 A26 ",IF(AND(BS38&gt;26,BS38&lt;43,Tabla1[[#This Row],[T.A. SISTOLICA (Entre semana 20 y 26)]]="",Tabla1[[#This Row],[T.A. DIATOLICA (Entre semana 20 y 26)]]=""),"NO APLICA REGISTRO TA-INGRESO TARDIO",IF(AND(OR(O38&gt;0,R38&gt;0),OR(CU38&gt;=140,CV38&gt;=90)),"ALTO RIESGO PREECLAMPSIA,DEFINIR ESTADIO HTA",IF(AND(OR(O38&gt;0,R38&gt;0),AND(CU38&gt;120,CU38&lt;=139)),"PRE HTA SEGUIMIENTO,RIESGO HIPERTENSION INDUCIDA POR EL EMBARAZO",IF(AND(OR(O38&gt;0,R38&gt;0),AND(CV38&gt;80,CV38&lt;=89)),"PRE HTA SEGUIMIENTO, RIESGO HIPERTENSION INDUCIDA POR EL EMBARAZO",IF(AND(OR(O38&lt;&gt;"",R38&lt;&gt;""),CS38&lt;&gt;"",CV38&lt;&gt;"",CS38&lt;=CV38),"VIGILAR CIFRAS PRESION ARTERIAL",IF(AND(OR(O38&gt;0,R38&gt;0),AND(CU38&gt;120,CU38&lt;=139)),"PRE HTA SEGUIMIENTO",IF(AND(OR(O38&gt;0,R38&gt;0),AND(CU38&gt;1,CU38&lt;=70),AND(CV38&gt;1,CV38&lt;=40)),"HIPOTENSIÓN",IF(AND(OR(O38&lt;&gt;"",R38&lt;&gt;""),CS38&lt;&gt;"",CV38&lt;&gt;"",CS38&gt;CV38),"APARENTEMENTE NORMAL",IF(AND(OR(O38&gt;0,R38&gt;0),AND(CU38&gt;=80,CU38&lt;=120)),"APARENTEMENTE NORMAL",IF(AND(OR(O38&gt;0,R38&gt;0),AND(CV38&gt;=50,CV38&lt;=80)),"APARENTEMENTE NORMAL","")))))))))))))</f>
        <v xml:space="preserve">COMPLETE REGISTRO TA CONTROL SEM 20 A26 </v>
      </c>
      <c r="CX38" s="21">
        <v>110</v>
      </c>
      <c r="CY38" s="21">
        <v>80</v>
      </c>
      <c r="CZ38" s="216" t="str">
        <f t="shared" si="195"/>
        <v>VIGILAR CIFRAS PRESION ARTERIAL</v>
      </c>
      <c r="DA38" s="21">
        <v>100</v>
      </c>
      <c r="DB38" s="21">
        <v>70</v>
      </c>
      <c r="DC38" s="217" t="str">
        <f t="shared" si="12"/>
        <v>APARENTEMENTE NORMAL</v>
      </c>
      <c r="DD38" s="22">
        <v>44856</v>
      </c>
      <c r="DE38" s="22">
        <v>44856</v>
      </c>
      <c r="DF38" s="22">
        <v>44888</v>
      </c>
      <c r="DG38" s="22">
        <v>44968</v>
      </c>
      <c r="DH38" s="22">
        <v>45008</v>
      </c>
      <c r="DI38" s="22">
        <v>45038</v>
      </c>
      <c r="DJ38" s="22">
        <v>45052</v>
      </c>
      <c r="DK38" s="22"/>
      <c r="DL38" s="22"/>
      <c r="DM38" s="22"/>
      <c r="DN38" s="22"/>
      <c r="DO38" s="22"/>
      <c r="DP38" s="22"/>
      <c r="DQ38" s="22"/>
      <c r="DR38" s="28">
        <v>2</v>
      </c>
      <c r="DS38" s="22"/>
      <c r="DT38" s="22"/>
      <c r="DU38" s="216" t="str">
        <f t="shared" ca="1" si="196"/>
        <v>SALE SIN PLAN DE PARTO</v>
      </c>
      <c r="DV38" s="226" t="str">
        <f t="shared" si="197"/>
        <v>SALIO PROGRAMA</v>
      </c>
      <c r="DW3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8" s="216" t="str">
        <f t="shared" ca="1" si="15"/>
        <v/>
      </c>
      <c r="DY38" s="212">
        <f>IF(R38="","",IF(R38&gt;0,MAX(Tabla1[[#This Row],[FECHA C2]:[FECHA C13]],Tabla1[[#This Row],[FECHA CONSULTA PRIMERA VEZ PROGRAMA CPN ]])))</f>
        <v>45052</v>
      </c>
      <c r="DZ38" s="216">
        <f t="shared" si="16"/>
        <v>47</v>
      </c>
      <c r="EA38" s="222">
        <f>IF(R38&gt;0,SUM(COUNTA(DF38:DQ38)+COUNTA(Tabla1[[#This Row],[FECHA CONSULTA PRIMERA VEZ PROGRAMA CPN ]])),"")</f>
        <v>6</v>
      </c>
      <c r="EB38" s="222" t="str">
        <f t="shared" si="17"/>
        <v>SI</v>
      </c>
      <c r="EC38" s="214">
        <f t="shared" si="18"/>
        <v>7</v>
      </c>
      <c r="ED38" s="227">
        <f t="shared" si="19"/>
        <v>0.8571428571428571</v>
      </c>
      <c r="EE38" s="22">
        <v>44856</v>
      </c>
      <c r="EF38" s="22">
        <v>44835</v>
      </c>
      <c r="EG38" s="22">
        <v>44856</v>
      </c>
      <c r="EH38" s="22"/>
      <c r="EI38" s="22">
        <v>45008</v>
      </c>
      <c r="EJ38" s="22"/>
      <c r="EK38" s="22"/>
      <c r="EL38" s="21"/>
      <c r="EM38" s="21">
        <v>13.6</v>
      </c>
      <c r="EN38" s="22">
        <v>44856</v>
      </c>
      <c r="EO38" s="222">
        <f t="shared" si="20"/>
        <v>19.285714285714285</v>
      </c>
      <c r="EP38" s="214" t="str">
        <f t="shared" si="21"/>
        <v>NORMAL- SUMINISTRAR SULFATO FERROSO</v>
      </c>
      <c r="EQ38" s="216" t="str">
        <f t="shared" si="22"/>
        <v>II TRIM</v>
      </c>
      <c r="ER38" s="24"/>
      <c r="ES38" s="22"/>
      <c r="ET38" s="29" t="str">
        <f t="shared" ca="1" si="198"/>
        <v>TOMA DE HEMOGLOBINA TARDÍA</v>
      </c>
      <c r="EU38" s="25" t="str">
        <f t="shared" si="24"/>
        <v/>
      </c>
      <c r="EV38" s="24" t="s">
        <v>866</v>
      </c>
      <c r="EW38" s="24">
        <v>44856</v>
      </c>
      <c r="EX38" s="22"/>
      <c r="EY38" s="29">
        <f t="shared" si="199"/>
        <v>19.285714285714285</v>
      </c>
      <c r="EZ38" s="25" t="str">
        <f t="shared" ca="1" si="200"/>
        <v/>
      </c>
      <c r="FA38" s="21">
        <v>78</v>
      </c>
      <c r="FB38" s="22">
        <v>44856</v>
      </c>
      <c r="FC38" s="29">
        <f t="shared" si="27"/>
        <v>19.285714285714285</v>
      </c>
      <c r="FD38" s="29"/>
      <c r="FE38" s="29"/>
      <c r="FF38" s="29"/>
      <c r="FG38" s="21" t="str">
        <f t="shared" ca="1" si="28"/>
        <v/>
      </c>
      <c r="FH38" s="31"/>
      <c r="FI38" s="29" t="str">
        <f t="shared" si="29"/>
        <v>TOMAR EXAMEN</v>
      </c>
      <c r="FJ38" s="22"/>
      <c r="FK38" s="22"/>
      <c r="FL38" s="29" t="str">
        <f t="shared" ca="1" si="30"/>
        <v>NO APLICA-INGRESO TARDIO</v>
      </c>
      <c r="FM38" s="22" t="s">
        <v>867</v>
      </c>
      <c r="FN38" s="32">
        <v>44856</v>
      </c>
      <c r="FO38" s="29">
        <f t="shared" ca="1" si="201"/>
        <v>19.285714285714285</v>
      </c>
      <c r="FP38" s="22" t="s">
        <v>867</v>
      </c>
      <c r="FQ38" s="32">
        <v>45038</v>
      </c>
      <c r="FR38" s="29">
        <f t="shared" ca="1" si="202"/>
        <v>45.285714285714285</v>
      </c>
      <c r="FS38" s="22"/>
      <c r="FT38" s="32"/>
      <c r="FU38" s="29" t="str">
        <f>IF(AND(FJ38="",FM38="",FP38="",FS38=""),"",IF(OR(OR(Tabla1[[#This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8" s="28"/>
      <c r="FW38" s="22"/>
      <c r="FX38" s="29" t="str">
        <f t="shared" si="33"/>
        <v>TOMAR EXAMEN</v>
      </c>
      <c r="FY38" s="22">
        <v>44856</v>
      </c>
      <c r="FZ38" s="22">
        <v>44856</v>
      </c>
      <c r="GA38" s="29" t="str">
        <f t="shared" si="203"/>
        <v>REGISTRAR EN II TRIMESTRE</v>
      </c>
      <c r="GB38" s="22" t="s">
        <v>868</v>
      </c>
      <c r="GC38" s="22">
        <v>44856</v>
      </c>
      <c r="GD38" s="29">
        <f t="shared" ca="1" si="204"/>
        <v>19.285714285714285</v>
      </c>
      <c r="GE38" s="22" t="s">
        <v>868</v>
      </c>
      <c r="GF38" s="22">
        <v>45038</v>
      </c>
      <c r="GG38" s="29">
        <f t="shared" ca="1" si="205"/>
        <v>45.285714285714285</v>
      </c>
      <c r="GH38" s="22"/>
      <c r="GI38" s="29"/>
      <c r="GJ38" s="22"/>
      <c r="GK38" s="22"/>
      <c r="GL38" s="22" t="s">
        <v>879</v>
      </c>
      <c r="GM38" s="22"/>
      <c r="GN38" s="28" t="s">
        <v>869</v>
      </c>
      <c r="GO38" s="22">
        <v>44856</v>
      </c>
      <c r="GP38" s="29">
        <f t="shared" si="37"/>
        <v>19.285714285714285</v>
      </c>
      <c r="GQ38" s="28" t="s">
        <v>869</v>
      </c>
      <c r="GR38" s="28" t="s">
        <v>869</v>
      </c>
      <c r="GS38" s="22" t="str">
        <f t="shared" si="206"/>
        <v>CONTROL Igm</v>
      </c>
      <c r="GT38" s="22">
        <v>44856</v>
      </c>
      <c r="GU38" s="29">
        <f t="shared" si="39"/>
        <v>19.285714285714285</v>
      </c>
      <c r="GV38" s="21" t="str">
        <f t="shared" si="40"/>
        <v>II TRIM</v>
      </c>
      <c r="GW38" s="28" t="s">
        <v>869</v>
      </c>
      <c r="GX38" s="30"/>
      <c r="GY38" s="21"/>
      <c r="GZ38" s="21"/>
      <c r="HA38" s="21"/>
      <c r="HB38" s="21"/>
      <c r="HC38" s="21"/>
      <c r="HD38" s="21"/>
      <c r="HE38" s="21"/>
      <c r="HF38" s="22"/>
      <c r="HG38" s="22" t="str">
        <f>IF(OR(O38&gt;0,R38&gt;0),CONCATENATE(IF(Tabla1[[#This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8" s="22" t="e">
        <f t="shared" si="41"/>
        <v>#REF!</v>
      </c>
      <c r="HI38" s="22" t="e">
        <f t="shared" ca="1" si="42"/>
        <v>#REF!</v>
      </c>
      <c r="HJ38" s="21"/>
      <c r="HK38" s="21" t="str">
        <f t="shared" si="44"/>
        <v>SIN ANTECEDENTES DE RIESGO</v>
      </c>
      <c r="HL38" s="24" t="str">
        <f t="shared" si="45"/>
        <v>APARENTEMENTE NORMAL</v>
      </c>
      <c r="HM38" s="21" t="str">
        <f t="shared" ca="1" si="46"/>
        <v/>
      </c>
      <c r="HN38" s="30" t="str">
        <f t="shared" si="207"/>
        <v>SALIO PROGRAMA</v>
      </c>
      <c r="HO38" s="21"/>
      <c r="HP38" s="21"/>
      <c r="HQ38" s="21">
        <v>44856</v>
      </c>
      <c r="HR38" s="21" t="str">
        <f>IF(R38="","",IF(Tabla1[[#This Row],[ALARMA FACTORES DE RIESGO COMPLICACIONES HIPERTENSIVAS3]]="SIN ANTECEDENTES DE RIESGO","No Aplica para suministro de ASA",IF(AND(Tabla1[[#This Row],[FECHA INICIO DE SUMINISTRO DE ASA]]&gt;0,RV38&lt;12),"Inicia ASA ANTES de Sem 12",IF(AND(RV38&gt;11,RV38&lt;17,OR(HK38="RIESGO ALTO DE COMPLICACIONES HIPERTENSIVAS VER MANEJO GUIA SUMINISTRO ASA Y CALCIO",HK38="RIESGO MODERADO (2 O MAS CRITERIOS) VER MANEJO GUIA SUMINISTRO ASA Y CALCIO")),"Inicio oportuno de ASA",IF(AND(RV38&gt;12,OR(HK38="RIESGO ALTO DE COMPLICACIONES HIPERTENSIVAS VER MANEJO GUIA SUMINISTRO ASA Y CALCIO",HK38="RIESGO MODERADO (2 O MAS CRITERIOS) VER MANEJO GUIA SUMINISTRO ASA Y CALCIO")),"Inicio no oportuno mayor a 16 semanas",IF(AND(BU38&lt;12,OR(HK38="RIESGO ALTO DE COMPLICACIONES HIPERTENSIVAS VER MANEJO GUIA SUMINISTRO ASA Y CALCIO",HK38="RIESGO MODERADO (2 O MAS CRITERIOS) VER MANEJO GUIA SUMINISTRO ASA Y CALCIO")),"Pendiente Inicio de ASA a la semana 12",IF(AND(BU38&gt;11,BU38&lt;17,OR(HK38="RIESGO ALTO DE COMPLICACIONES HIPERTENSIVAS VER MANEJO GUIA SUMINISTRO ASA Y CALCIO",HK38="RIESGO MODERADO (2 O MAS CRITERIOS) VER MANEJO GUIA SUMINISTRO ASA Y CALCIO")),"Iniciar de inmediato ASA",IF(AND(BU38&gt;16,OR(HK38="RIESGO ALTO DE COMPLICACIONES HIPERTENSIVAS VER MANEJO GUIA SUMINISTRO ASA Y CALCIO",HK38="RIESGO MODERADO (2 O MAS CRITERIOS) VER MANEJO GUIA SUMINISTRO ASA Y CALCIO")),"Pierde Oportunidad, Inicio tardío de ASA","XXXXX"))))))))</f>
        <v>No Aplica para suministro de ASA</v>
      </c>
      <c r="HS38" s="22">
        <v>44856</v>
      </c>
      <c r="HT38" s="22" t="s">
        <v>870</v>
      </c>
      <c r="HU38" s="22"/>
      <c r="HV38" s="22"/>
      <c r="HW38" s="22">
        <v>44856</v>
      </c>
      <c r="HX38" s="22" t="s">
        <v>870</v>
      </c>
      <c r="HY38" s="22">
        <v>44856</v>
      </c>
      <c r="HZ38" s="28">
        <f t="shared" si="48"/>
        <v>19.285714285714285</v>
      </c>
      <c r="IA38" s="26" t="s">
        <v>864</v>
      </c>
      <c r="IB38" s="26"/>
      <c r="IC38" s="111"/>
      <c r="ID38" s="22">
        <v>45038</v>
      </c>
      <c r="IE38" s="22" t="str">
        <f t="shared" ca="1" si="49"/>
        <v>VACUNA APLICADA ENTRE SEMANA 27 Y EL PARTO</v>
      </c>
      <c r="IF38" s="22"/>
      <c r="IG38" s="22">
        <f t="shared" si="50"/>
        <v>45001</v>
      </c>
      <c r="IH38" s="29">
        <f t="shared" ca="1" si="51"/>
        <v>-232</v>
      </c>
      <c r="II38" s="22" t="str">
        <f t="shared" ca="1" si="52"/>
        <v>POSIBLEMENTE NACIO</v>
      </c>
      <c r="IJ38" s="22"/>
      <c r="IK38" s="21" t="s">
        <v>898</v>
      </c>
      <c r="IL38" s="21"/>
      <c r="IM38" s="34"/>
      <c r="IN38" s="349">
        <v>45055</v>
      </c>
      <c r="IO38" s="21" t="s">
        <v>1186</v>
      </c>
      <c r="IP38" s="29">
        <f t="shared" si="208"/>
        <v>47.714285714285715</v>
      </c>
      <c r="IQ38" s="110" t="s">
        <v>1644</v>
      </c>
      <c r="IR38" s="21" t="s">
        <v>1645</v>
      </c>
      <c r="IS38" s="21" t="s">
        <v>1646</v>
      </c>
      <c r="IT38" s="21" t="s">
        <v>1642</v>
      </c>
      <c r="IU38" s="21"/>
      <c r="IV38" s="21"/>
      <c r="IW38" s="21"/>
      <c r="IX38" s="21"/>
      <c r="IY38" s="21"/>
      <c r="IZ38" s="21"/>
      <c r="JA38" s="21"/>
      <c r="JB38" s="30">
        <v>1</v>
      </c>
      <c r="JC38" s="21" t="s">
        <v>1643</v>
      </c>
      <c r="JD38" s="36">
        <v>3280</v>
      </c>
      <c r="JE38" s="21" t="str">
        <f t="shared" si="209"/>
        <v>PESO ADECUADO EDAD GESTACIONAL</v>
      </c>
      <c r="JF38" s="30"/>
      <c r="JG38" s="21"/>
      <c r="JH38" s="21"/>
      <c r="JI38" s="21" t="s">
        <v>854</v>
      </c>
      <c r="JJ38" s="30" t="s">
        <v>866</v>
      </c>
      <c r="JK38" s="22"/>
      <c r="JL38" s="22"/>
      <c r="JM38" s="21"/>
      <c r="JN38" s="36"/>
      <c r="JO38" s="21" t="str">
        <f t="shared" si="210"/>
        <v/>
      </c>
      <c r="JP38" s="22"/>
      <c r="JQ38" s="21"/>
      <c r="JR38" s="21"/>
      <c r="JS38" s="21"/>
      <c r="JT38" s="30"/>
      <c r="JU38" s="22"/>
      <c r="JV38" s="22"/>
      <c r="JW38" s="33"/>
      <c r="JX38" s="28" t="str">
        <f t="shared" si="211"/>
        <v>INASISTENTE</v>
      </c>
      <c r="JY38" s="33"/>
      <c r="JZ38" s="28" t="str">
        <f t="shared" si="212"/>
        <v>INASISTENTE</v>
      </c>
      <c r="KA38" s="21"/>
      <c r="KB38" s="21"/>
      <c r="KC38" s="21"/>
      <c r="KD38" s="37"/>
      <c r="KE38" s="28"/>
      <c r="KF38" s="28"/>
      <c r="KG38" s="28"/>
      <c r="KH38" s="39"/>
      <c r="KI38" s="39"/>
      <c r="KJ38" s="66"/>
      <c r="KK38" s="39"/>
      <c r="KL38" s="39"/>
      <c r="KM38" s="66"/>
      <c r="KN38" s="39"/>
      <c r="KO38" s="39"/>
      <c r="KP38" s="39"/>
      <c r="KQ38" s="39"/>
      <c r="KR38" s="39"/>
      <c r="KS38" s="39"/>
      <c r="KT38" s="39"/>
      <c r="KU38" s="38"/>
      <c r="KV38" s="38"/>
      <c r="KW38" s="38"/>
      <c r="KX38" s="38"/>
      <c r="KY38" s="38"/>
      <c r="KZ38" s="38"/>
      <c r="LA38" s="38"/>
      <c r="LB38" s="38"/>
      <c r="LC38" s="38"/>
      <c r="LD38" s="38"/>
      <c r="LE38" s="38"/>
      <c r="LF38" s="38"/>
      <c r="LG38" s="38"/>
      <c r="LH38" s="38"/>
      <c r="LI38" s="38"/>
      <c r="LJ38" s="38"/>
      <c r="LK38" s="38"/>
      <c r="LL38" s="38"/>
      <c r="LM38" s="38"/>
      <c r="LN38" s="38"/>
      <c r="LO38" s="38"/>
      <c r="LP38" s="38"/>
      <c r="LQ38" s="38"/>
      <c r="LR38" s="38"/>
      <c r="LS38" s="38"/>
      <c r="LT38" s="38"/>
      <c r="LU38" s="38"/>
      <c r="LV38" s="38"/>
      <c r="LW38" s="38"/>
      <c r="LX38" s="38"/>
      <c r="LY38" s="38"/>
      <c r="LZ38" s="38"/>
      <c r="MA38" s="38"/>
      <c r="MB38" s="38"/>
      <c r="MC38" s="38"/>
      <c r="MD38" s="38"/>
      <c r="ME38" s="38"/>
      <c r="MF38" s="38"/>
      <c r="MG38" s="38"/>
      <c r="MH38" s="43">
        <f t="shared" si="213"/>
        <v>0</v>
      </c>
      <c r="MI38" s="43" t="str">
        <f t="shared" si="214"/>
        <v/>
      </c>
      <c r="MJ38" s="43" t="str">
        <f t="shared" si="215"/>
        <v/>
      </c>
      <c r="MK38" s="43">
        <f t="shared" si="216"/>
        <v>0</v>
      </c>
      <c r="ML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8" s="43">
        <f t="shared" si="217"/>
        <v>19.285714285714285</v>
      </c>
      <c r="MN38" s="43">
        <f t="shared" si="218"/>
        <v>10</v>
      </c>
      <c r="MO38" s="43">
        <f t="shared" si="219"/>
        <v>2022</v>
      </c>
      <c r="MP38" s="43" t="str">
        <f t="shared" si="220"/>
        <v>IV TRIMESTRE AÑO</v>
      </c>
      <c r="MQ38" s="43">
        <f t="shared" si="221"/>
        <v>32.336837494524751</v>
      </c>
      <c r="MR38" s="43">
        <f t="shared" si="222"/>
        <v>0</v>
      </c>
      <c r="MS38" s="43" t="str">
        <f t="shared" si="223"/>
        <v xml:space="preserve"> DE 30 A 34 AÑOS</v>
      </c>
      <c r="MT38" s="43">
        <f t="shared" si="224"/>
        <v>0</v>
      </c>
      <c r="MU38" s="43">
        <f t="shared" si="225"/>
        <v>0</v>
      </c>
      <c r="MV38" s="43">
        <f t="shared" si="226"/>
        <v>0</v>
      </c>
      <c r="MW38" s="43">
        <f t="shared" si="227"/>
        <v>0</v>
      </c>
      <c r="MX38" s="43" t="str">
        <f t="shared" si="228"/>
        <v/>
      </c>
      <c r="MY38" s="43" t="str">
        <f t="shared" ca="1" si="229"/>
        <v/>
      </c>
      <c r="MZ38" s="43" t="str">
        <f t="shared" si="230"/>
        <v/>
      </c>
      <c r="NA38" s="43">
        <f t="shared" si="231"/>
        <v>0</v>
      </c>
      <c r="NB38" s="43" t="str">
        <f t="shared" si="232"/>
        <v/>
      </c>
      <c r="NC38" s="43" t="str">
        <f t="shared" si="233"/>
        <v/>
      </c>
      <c r="ND38" s="43">
        <f t="shared" ca="1" si="234"/>
        <v>0</v>
      </c>
      <c r="NE38" s="43">
        <f>IF(OR(O38&gt;0,R38&gt;0),SUM(COUNTIF(Tabla1[[#This Row],[AÑOS AL INICIO5 CPN]],"&gt;=40"),COUNTIF(AS38,"0"),COUNTIF(AR38,"SI"),COUNTIF(CC38,"SI"),COUNTIF(BQ38,"&gt;119"),COUNTIF(CI38,"&gt;=35")),"")</f>
        <v>0</v>
      </c>
      <c r="NF38" s="43">
        <f t="shared" si="235"/>
        <v>45.285714285714285</v>
      </c>
      <c r="NG38" s="43">
        <f t="shared" si="236"/>
        <v>0</v>
      </c>
      <c r="NH38" s="43">
        <f t="shared" si="237"/>
        <v>242.20000000000002</v>
      </c>
      <c r="NI3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CPN",P38="NO"),"Z",IF(AND(Tabla1[[#This Row],[CITA PROXIMO CONTROL]]="CITA MANUAL",Tabla1[[#This Row],[GESTANTES ACTUALES]]="ACTIVA INGRESO A CPN"),"W",IF(AND(Tabla1[[#This Row],[GESTANTES ACTUALES]]="SALIO PROGRAMA",IN38=""),"S",IF(AND(Tabla1[[#This Row],[CITA PROXIMO CONTROL]]&gt;0,IN38=""),(Tabla1[[#This Row],[CITA PROXIMO CONTROL]]-TODAY()),"SD"))))))))</f>
        <v>SD</v>
      </c>
      <c r="NJ38" s="43">
        <f>MONTH(Tabla1[[#This Row],[FECHA DE SALIDA  DEL PROGRAMA]])</f>
        <v>5</v>
      </c>
      <c r="NK38" s="43">
        <f>YEAR(Tabla1[[#This Row],[FECHA DE SALIDA  DEL PROGRAMA]])</f>
        <v>2023</v>
      </c>
      <c r="NL38" s="43" t="str">
        <f t="shared" si="238"/>
        <v>X</v>
      </c>
      <c r="NM38" s="43" t="str">
        <f t="shared" si="239"/>
        <v>NO</v>
      </c>
      <c r="NN38" s="43" t="str">
        <f ca="1">IF(AND(O38&gt;0,R38=""),"NO CPN",IF(AND(O38="",R38=""),"",IF(AND(R38&gt;0,Tabla1[[#This Row],[SEMANAS DE GESTACION ACTUALIZADAS]]&lt;=12),"NO APLICA",IF(AND(FH38&lt;&gt;"",FN38&lt;&gt;""),"SI","NO"))))</f>
        <v>NO</v>
      </c>
      <c r="NO38" s="43" t="str">
        <f ca="1">IF(AND(O38&gt;0,R38=""),"NO CPN",IF(AND(O38="",R38=""),"",IF(AND(R38&gt;0,Tabla1[[#This Row],[SEMANAS DE GESTACION ACTUALIZADAS]]&lt;=27),"NO APLICA",IF(AND(ES38&lt;&gt;"",FQ38&lt;&gt;"",GF38&lt;&gt;""),"SI","NO"))))</f>
        <v>NO</v>
      </c>
      <c r="NP38" s="204" t="str">
        <f t="shared" si="240"/>
        <v>II TRIM</v>
      </c>
      <c r="NQ38" s="21" t="str">
        <f t="shared" si="241"/>
        <v/>
      </c>
      <c r="NR38" s="21" t="str">
        <f t="shared" ca="1" si="242"/>
        <v>REVISAR FUM O FECHA SALIDA PROGRAMA</v>
      </c>
      <c r="NS38" s="205">
        <f t="shared" ca="1" si="243"/>
        <v>2</v>
      </c>
      <c r="NT38" s="21">
        <f t="shared" ca="1" si="244"/>
        <v>2</v>
      </c>
      <c r="NU38" s="21" t="str">
        <f t="shared" ca="1" si="245"/>
        <v>POR DEFINIR</v>
      </c>
      <c r="NV38" s="21" t="str">
        <f t="shared" ca="1" si="246"/>
        <v>POR DEFINIR</v>
      </c>
      <c r="NW38" s="206" t="str">
        <f>IF(AND(O38="",R38=""),"",IF(OR(AND(Tabla1[[#This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8" s="207" t="str">
        <f t="shared" ca="1" si="247"/>
        <v>VACUNADA</v>
      </c>
      <c r="NY38" s="43">
        <f>ROW(Tabla1[[#This Row],['# DE TAMIZAJES SIFILIS TOMADOS ]])</f>
        <v>38</v>
      </c>
      <c r="NZ38" s="43">
        <f t="shared" si="93"/>
        <v>19</v>
      </c>
      <c r="OA38" s="43" t="str">
        <f t="shared" si="94"/>
        <v/>
      </c>
      <c r="OB38" s="43" t="str">
        <f t="shared" si="95"/>
        <v/>
      </c>
      <c r="OC38" s="43" t="str">
        <f t="shared" si="96"/>
        <v/>
      </c>
      <c r="OD38" s="43" t="str">
        <f t="shared" si="97"/>
        <v/>
      </c>
      <c r="OE38" s="43" t="str">
        <f t="shared" si="98"/>
        <v/>
      </c>
      <c r="OF38" s="43" t="str">
        <f t="shared" si="99"/>
        <v/>
      </c>
      <c r="OG38" s="43" t="str">
        <f t="shared" si="100"/>
        <v/>
      </c>
      <c r="OH38" s="43" t="str">
        <f t="shared" si="101"/>
        <v/>
      </c>
      <c r="OI38" s="43" t="str">
        <f t="shared" si="102"/>
        <v/>
      </c>
      <c r="OJ38" s="43" t="str">
        <f t="shared" si="103"/>
        <v/>
      </c>
      <c r="OK38" s="43" t="str">
        <f t="shared" si="104"/>
        <v>NORMAL</v>
      </c>
      <c r="OL38" s="43" t="str">
        <f t="shared" si="105"/>
        <v/>
      </c>
      <c r="OM38" s="43" t="str">
        <f t="shared" si="106"/>
        <v/>
      </c>
      <c r="ON38" s="43" t="str">
        <f t="shared" si="107"/>
        <v/>
      </c>
      <c r="OO38" s="43" t="str">
        <f t="shared" si="108"/>
        <v/>
      </c>
      <c r="OP38" s="43" t="str">
        <f t="shared" si="109"/>
        <v/>
      </c>
      <c r="OQ38" s="43" t="str">
        <f t="shared" si="110"/>
        <v/>
      </c>
      <c r="OR38" s="43" t="str">
        <f t="shared" si="111"/>
        <v/>
      </c>
      <c r="OS38" s="43" t="str">
        <f t="shared" si="112"/>
        <v/>
      </c>
      <c r="OT38" s="43" t="str">
        <f t="shared" si="113"/>
        <v/>
      </c>
      <c r="OU38" s="43" t="str">
        <f t="shared" si="114"/>
        <v/>
      </c>
      <c r="OV38" s="110" t="str">
        <f t="shared" si="115"/>
        <v/>
      </c>
      <c r="OW38" s="43" t="str">
        <f t="shared" si="116"/>
        <v/>
      </c>
      <c r="OX38" s="43" t="str">
        <f t="shared" si="117"/>
        <v/>
      </c>
      <c r="OY38" s="43" t="str">
        <f t="shared" si="118"/>
        <v/>
      </c>
      <c r="OZ38" s="43" t="str">
        <f t="shared" si="119"/>
        <v/>
      </c>
      <c r="PA38" s="43" t="str">
        <f t="shared" si="120"/>
        <v/>
      </c>
      <c r="PB38" s="43" t="str">
        <f t="shared" si="121"/>
        <v/>
      </c>
      <c r="PC38" s="43" t="str">
        <f t="shared" si="122"/>
        <v/>
      </c>
      <c r="PD38" s="43" t="str">
        <f t="shared" si="123"/>
        <v/>
      </c>
      <c r="PE38" s="43" t="str">
        <f t="shared" si="124"/>
        <v/>
      </c>
      <c r="PF38" s="43" t="str">
        <f t="shared" si="125"/>
        <v/>
      </c>
      <c r="PG38" s="43" t="str">
        <f t="shared" si="126"/>
        <v/>
      </c>
      <c r="PH38" s="43" t="str">
        <f t="shared" si="127"/>
        <v/>
      </c>
      <c r="PI38" s="43">
        <f t="shared" si="128"/>
        <v>47</v>
      </c>
      <c r="PJ38" s="43" t="str">
        <f t="shared" si="129"/>
        <v/>
      </c>
      <c r="PK38" s="43" t="str">
        <f t="shared" si="130"/>
        <v/>
      </c>
      <c r="PL38" s="43" t="str">
        <f t="shared" si="131"/>
        <v/>
      </c>
      <c r="PM38" s="43" t="str">
        <f t="shared" si="132"/>
        <v/>
      </c>
      <c r="PN38" s="43" t="str">
        <f t="shared" si="133"/>
        <v/>
      </c>
      <c r="PO38" s="43" t="str">
        <f t="shared" si="134"/>
        <v/>
      </c>
      <c r="PP38" s="43" t="str">
        <f t="shared" si="135"/>
        <v/>
      </c>
      <c r="PQ38" s="43" t="str">
        <f t="shared" si="136"/>
        <v/>
      </c>
      <c r="PR38" s="43" t="str">
        <f t="shared" si="137"/>
        <v/>
      </c>
      <c r="PS38" s="43" t="str">
        <f t="shared" si="138"/>
        <v/>
      </c>
      <c r="PT38" s="43" t="str">
        <f t="shared" si="139"/>
        <v/>
      </c>
      <c r="PU38" s="43" t="str">
        <f t="shared" si="140"/>
        <v/>
      </c>
      <c r="PV38" s="43" t="str">
        <f t="shared" si="141"/>
        <v/>
      </c>
      <c r="PW38" s="43" t="str">
        <f t="shared" si="142"/>
        <v/>
      </c>
      <c r="PX38" s="43" t="str">
        <f t="shared" si="143"/>
        <v/>
      </c>
      <c r="PY38" s="43" t="str">
        <f t="shared" si="144"/>
        <v/>
      </c>
      <c r="PZ38" s="43" t="str">
        <f t="shared" si="145"/>
        <v/>
      </c>
      <c r="QA38" s="43" t="str">
        <f t="shared" si="146"/>
        <v/>
      </c>
      <c r="QB38" s="43" t="str">
        <f t="shared" si="147"/>
        <v/>
      </c>
      <c r="QC38" s="43" t="str">
        <f t="shared" si="148"/>
        <v/>
      </c>
      <c r="QD38" s="43" t="str">
        <f t="shared" si="149"/>
        <v/>
      </c>
      <c r="QE38" s="43" t="str">
        <f t="shared" si="150"/>
        <v/>
      </c>
      <c r="QF38" s="43" t="str">
        <f t="shared" si="151"/>
        <v/>
      </c>
      <c r="QG38" s="43" t="str">
        <f t="shared" si="152"/>
        <v/>
      </c>
      <c r="QH38" s="43" t="str">
        <f t="shared" si="153"/>
        <v/>
      </c>
      <c r="QI38" s="43" t="str">
        <f t="shared" si="154"/>
        <v/>
      </c>
      <c r="QJ38" s="43" t="str">
        <f t="shared" si="155"/>
        <v/>
      </c>
      <c r="QK38" s="43" t="str">
        <f t="shared" si="156"/>
        <v/>
      </c>
      <c r="QL38" s="43" t="str">
        <f t="shared" si="157"/>
        <v/>
      </c>
      <c r="QM38" s="43" t="str">
        <f t="shared" si="158"/>
        <v/>
      </c>
      <c r="QN38" s="43" t="str">
        <f t="shared" si="159"/>
        <v/>
      </c>
      <c r="QO38" s="43" t="str">
        <f t="shared" si="160"/>
        <v/>
      </c>
      <c r="QP38" s="43" t="str">
        <f t="shared" si="161"/>
        <v/>
      </c>
      <c r="QQ38" s="43" t="str">
        <f t="shared" si="162"/>
        <v/>
      </c>
      <c r="QR38" s="43" t="str">
        <f t="shared" si="192"/>
        <v>Mayor</v>
      </c>
      <c r="QS38" s="43"/>
      <c r="QT38" s="21" t="str">
        <f t="shared" si="163"/>
        <v/>
      </c>
      <c r="QU38" s="21" t="str">
        <f t="shared" si="164"/>
        <v/>
      </c>
      <c r="QV38" s="21" t="str">
        <f t="shared" si="165"/>
        <v/>
      </c>
      <c r="QW38" s="21" t="str">
        <f t="shared" si="166"/>
        <v/>
      </c>
      <c r="QX38" s="21" t="str">
        <f t="shared" si="167"/>
        <v/>
      </c>
      <c r="QY38" s="21" t="str">
        <f t="shared" si="168"/>
        <v/>
      </c>
      <c r="QZ38" s="21" t="str">
        <f t="shared" si="169"/>
        <v/>
      </c>
      <c r="RA38" s="21" t="str">
        <f t="shared" si="170"/>
        <v/>
      </c>
      <c r="RB38" s="21" t="str">
        <f t="shared" si="171"/>
        <v/>
      </c>
      <c r="RC38" s="21" t="str">
        <f t="shared" si="172"/>
        <v/>
      </c>
      <c r="RD38" s="21" t="str">
        <f t="shared" si="173"/>
        <v/>
      </c>
      <c r="RE38" s="21" t="str">
        <f t="shared" si="174"/>
        <v/>
      </c>
      <c r="RF38" s="21" t="str">
        <f t="shared" si="175"/>
        <v/>
      </c>
      <c r="RG38" s="21" t="str">
        <f t="shared" si="176"/>
        <v/>
      </c>
      <c r="RH38" s="21" t="str">
        <f t="shared" si="177"/>
        <v/>
      </c>
      <c r="RI38" s="21" t="str">
        <f t="shared" si="178"/>
        <v/>
      </c>
      <c r="RJ38" s="21" t="str">
        <f t="shared" si="179"/>
        <v/>
      </c>
      <c r="RK38" s="21" t="str">
        <f t="shared" si="180"/>
        <v/>
      </c>
      <c r="RL38" s="21" t="str">
        <f t="shared" si="181"/>
        <v/>
      </c>
      <c r="RM38" s="21" t="str">
        <f t="shared" si="182"/>
        <v/>
      </c>
      <c r="RN38" s="21" t="str">
        <f t="shared" si="183"/>
        <v/>
      </c>
      <c r="RO38" s="21" t="str">
        <f t="shared" si="184"/>
        <v/>
      </c>
      <c r="RP38" s="21" t="str">
        <f t="shared" si="185"/>
        <v/>
      </c>
      <c r="RQ38" s="21" t="str">
        <f t="shared" si="186"/>
        <v/>
      </c>
      <c r="RR38" s="21" t="str">
        <f t="shared" si="187"/>
        <v/>
      </c>
      <c r="RS38" s="21" t="str">
        <f t="shared" si="188"/>
        <v/>
      </c>
      <c r="RT38" s="21" t="str">
        <f t="shared" si="189"/>
        <v/>
      </c>
      <c r="RU38" s="21" t="str">
        <f t="shared" si="190"/>
        <v/>
      </c>
      <c r="RV38" s="21">
        <f t="shared" si="191"/>
        <v>19.285714285714285</v>
      </c>
      <c r="RW38" s="284">
        <f>IF(OR(Tabla1[[#This Row],[FUM FORMULA CONFIABLE]]="",Tabla1[[#This Row],[FUM FORMULA CONFIABLE]]="SD"),"",IF(Tabla1[[#This Row],[FUM FORMULA CONFIABLE]]="CORREGIDA",Tabla1[[#This Row],[FUM X ECO 1]],Tabla1[[#This Row],[FUM x AMENORREA]]))</f>
        <v>44721</v>
      </c>
      <c r="RX38" s="21">
        <f>IF(AND(Tabla1[[#This Row],[FUM X ECO 1]]="",Tabla1[[#This Row],[FUM x AMENORREA]]=""),"",IF(AND(Tabla1[[#This Row],[FUM X ECO 1]]="",Tabla1[[#This Row],[FUM x AMENORREA]]&lt;&gt;""),"X",SUM(Tabla1[[#This Row],[FUM X ECO 1]]-Tabla1[[#This Row],[FUM x AMENORREA]])))</f>
        <v>64.80000000000291</v>
      </c>
      <c r="RY38" s="21">
        <f t="shared" si="193"/>
        <v>1</v>
      </c>
    </row>
    <row r="39" spans="1:493" ht="45" customHeight="1" x14ac:dyDescent="0.25">
      <c r="A39" s="109" t="s">
        <v>1066</v>
      </c>
      <c r="B39" s="43" t="s">
        <v>1067</v>
      </c>
      <c r="C39" s="43" t="s">
        <v>845</v>
      </c>
      <c r="D39" s="124" t="s">
        <v>846</v>
      </c>
      <c r="E39" s="43" t="s">
        <v>1068</v>
      </c>
      <c r="F39" s="43" t="s">
        <v>1069</v>
      </c>
      <c r="G39" s="43" t="s">
        <v>1070</v>
      </c>
      <c r="H39" s="43" t="s">
        <v>1071</v>
      </c>
      <c r="I39" s="109" t="s">
        <v>851</v>
      </c>
      <c r="J39" s="110">
        <v>1061708805</v>
      </c>
      <c r="K39" s="43" t="s">
        <v>852</v>
      </c>
      <c r="L39" s="175" t="s">
        <v>853</v>
      </c>
      <c r="M39" s="22">
        <v>32229</v>
      </c>
      <c r="N39" s="213">
        <f t="shared" ca="1" si="0"/>
        <v>35.627397260273973</v>
      </c>
      <c r="O39" s="22">
        <v>44859</v>
      </c>
      <c r="P39" s="214" t="str">
        <f t="shared" si="194"/>
        <v>SI</v>
      </c>
      <c r="Q39" s="26" t="s">
        <v>855</v>
      </c>
      <c r="R39" s="22">
        <v>44859</v>
      </c>
      <c r="S39" s="21" t="s">
        <v>856</v>
      </c>
      <c r="T39" s="24" t="s">
        <v>690</v>
      </c>
      <c r="U39" s="21" t="s">
        <v>857</v>
      </c>
      <c r="V39" s="21" t="s">
        <v>858</v>
      </c>
      <c r="W39" s="21" t="s">
        <v>1072</v>
      </c>
      <c r="X39" s="21" t="s">
        <v>1072</v>
      </c>
      <c r="Y39" s="21" t="s">
        <v>859</v>
      </c>
      <c r="Z39" s="21">
        <v>3104344705</v>
      </c>
      <c r="AA39" s="21" t="s">
        <v>860</v>
      </c>
      <c r="AB39" s="27" t="s">
        <v>861</v>
      </c>
      <c r="AC39" s="26" t="s">
        <v>888</v>
      </c>
      <c r="AD39" s="38" t="s">
        <v>846</v>
      </c>
      <c r="AE39" s="26" t="s">
        <v>854</v>
      </c>
      <c r="AF39" s="26" t="s">
        <v>854</v>
      </c>
      <c r="AG39" s="23" t="s">
        <v>864</v>
      </c>
      <c r="AH39" s="23" t="s">
        <v>864</v>
      </c>
      <c r="AI39" s="24" t="s">
        <v>863</v>
      </c>
      <c r="AJ39" s="23" t="s">
        <v>864</v>
      </c>
      <c r="AK39" s="220" t="str">
        <f>IF(AND(AD39="",AE39="",AF39="",AG39="",AH39="",AI39="",AJ39=""),"",IF(OR(Tabla1[[#This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EVALUACIÓN",IF(AND(O39="",R39=""),"",IF(AND(OR(O39&gt;0,R39&gt;0),NG39&gt;=0,NG39&lt;2),"SIN RIESGO",IF(AND(OR(O39&gt;0,R39&gt;0),NG39&gt;=2),"CON RIESGO","ASD")))))</f>
        <v>SIN RIESGO</v>
      </c>
      <c r="AL39" s="23" t="s">
        <v>864</v>
      </c>
      <c r="AM39" s="26" t="s">
        <v>864</v>
      </c>
      <c r="AN39" s="26" t="s">
        <v>864</v>
      </c>
      <c r="AO39" s="26" t="s">
        <v>864</v>
      </c>
      <c r="AP39" s="26" t="s">
        <v>864</v>
      </c>
      <c r="AQ39" s="26" t="s">
        <v>864</v>
      </c>
      <c r="AR39" s="26" t="s">
        <v>864</v>
      </c>
      <c r="AS39" s="21">
        <v>1</v>
      </c>
      <c r="AT39" s="21">
        <v>1</v>
      </c>
      <c r="AU39" s="21">
        <v>0</v>
      </c>
      <c r="AV39" s="26" t="s">
        <v>864</v>
      </c>
      <c r="AW39" s="21">
        <v>0</v>
      </c>
      <c r="AX39" s="26" t="s">
        <v>864</v>
      </c>
      <c r="AY39" s="26" t="s">
        <v>864</v>
      </c>
      <c r="AZ39" s="26" t="s">
        <v>864</v>
      </c>
      <c r="BA39" s="26" t="s">
        <v>864</v>
      </c>
      <c r="BB39" s="26" t="s">
        <v>864</v>
      </c>
      <c r="BC39" s="26" t="s">
        <v>864</v>
      </c>
      <c r="BD39" s="26" t="s">
        <v>864</v>
      </c>
      <c r="BE39" s="26" t="s">
        <v>864</v>
      </c>
      <c r="BF39" s="26" t="s">
        <v>864</v>
      </c>
      <c r="BG39" s="26" t="s">
        <v>864</v>
      </c>
      <c r="BH39" s="26" t="s">
        <v>864</v>
      </c>
      <c r="BI39" s="26" t="s">
        <v>864</v>
      </c>
      <c r="BJ39" s="26"/>
      <c r="BK39" s="26"/>
      <c r="BL39" s="26" t="s">
        <v>864</v>
      </c>
      <c r="BM39" s="26" t="s">
        <v>864</v>
      </c>
      <c r="BN39" s="22">
        <v>39249</v>
      </c>
      <c r="BO39" s="22">
        <v>44732</v>
      </c>
      <c r="BP39" s="21" t="s">
        <v>854</v>
      </c>
      <c r="BQ39" s="222">
        <f t="shared" si="2"/>
        <v>182.76666666666668</v>
      </c>
      <c r="BR39" s="223">
        <f t="shared" si="3"/>
        <v>44758.5</v>
      </c>
      <c r="BS39" s="224">
        <f t="shared" si="4"/>
        <v>18.142857142857142</v>
      </c>
      <c r="BT39" s="216" t="str">
        <f t="shared" si="5"/>
        <v>II TRIM</v>
      </c>
      <c r="BU39" s="214" t="str">
        <f t="shared" ca="1" si="6"/>
        <v/>
      </c>
      <c r="BV39" s="25"/>
      <c r="BW39" s="22">
        <v>44804</v>
      </c>
      <c r="BX39" s="28">
        <v>6.5</v>
      </c>
      <c r="BY39" s="28"/>
      <c r="BZ39" s="22">
        <v>44854</v>
      </c>
      <c r="CA39" s="21">
        <v>13.6</v>
      </c>
      <c r="CB39" s="26"/>
      <c r="CC39" s="26"/>
      <c r="CD39" s="26"/>
      <c r="CE39" s="26"/>
      <c r="CF39" s="22" t="s">
        <v>1517</v>
      </c>
      <c r="CG39" s="21">
        <v>1.62</v>
      </c>
      <c r="CH39" s="21">
        <v>112</v>
      </c>
      <c r="CI39" s="214">
        <f t="shared" si="7"/>
        <v>42.676421277244316</v>
      </c>
      <c r="CJ39" s="225" t="e">
        <f>IF(AND(CI39&lt;10,CH39="SD"),"SIN DATO PESO PREGESTACION O I TRIM",IF(AND(OR(R39&gt;0,O39&gt;0),CI39="X"),"INGRESAR DATO DE PESO",IF(CI39="SD","INGRESAR DATO DE TALLA Y PESO",IF(AND(OR(Tabla1[[#This Row],[MOMENTO EN QUE SE REALIZA EL PESO AL INGRESO A CPN]]="PREGESTACIÓN",NZ39="Menor"),CI39&lt;18.5),"BAJO PESO",IF(AND(OR(Tabla1[[#This Row],[MOMENTO EN QUE SE REALIZA EL PESO AL INGRESO A CPN]]="PREGESTACIÓN",NZ39="Menor"),CI39&lt;25),"NORMAL",IF(AND(OR(Tabla1[[#This Row],[MOMENTO EN QUE SE REALIZA EL PESO AL INGRESO A CPN]]="PREGESTACIÓN",NZ39="Menor"),CI39&lt;30),"SOBREPESO",IF(AND(OR(Tabla1[[#This Row],[MOMENTO EN QUE SE REALIZA EL PESO AL INGRESO A CPN]]="PREGESTACIÓN",NZ39="Menor"),CI39&gt;=30,CI39&lt;50),"OBESIDAD",IF(AND(BS39&gt;0,Tabla1[[#This Row],[MOMENTO EN QUE SE REALIZA EL PESO AL INGRESO A CPN]]="GESTACIÓN"),HLOOKUP(NZ39,$OA$2:PH39,NY39),""))))))))</f>
        <v>#REF!</v>
      </c>
      <c r="CK39" s="212">
        <f t="shared" si="8"/>
        <v>44972</v>
      </c>
      <c r="CL39" s="21"/>
      <c r="CM39" s="214">
        <f t="shared" si="9"/>
        <v>0</v>
      </c>
      <c r="CN39" s="216">
        <f t="shared" si="10"/>
        <v>34</v>
      </c>
      <c r="CO39" s="216" t="e">
        <f>IF(PI39="","",IF(PI39&gt;0,HLOOKUP(PI39,$PJ$2:QQ39,NY39),""))</f>
        <v>#REF!</v>
      </c>
      <c r="CP39" s="21"/>
      <c r="CQ39" s="216" t="e">
        <f>IF(QR39="Menor","NO APLICA-MENOR 13 SEM",IF(AND(CC39="SI",CN39&gt;23),"NO APLICA- GEMELAR",IF(QR39="","",IF(QR39&gt;0,HLOOKUP(QR39,$QS$2:RU39,NY39),""))))</f>
        <v>#REF!</v>
      </c>
      <c r="CR39" s="21">
        <v>120</v>
      </c>
      <c r="CS39" s="21">
        <v>70</v>
      </c>
      <c r="CT39" s="217" t="str">
        <f>IF(R39="","",IF(AND(BS39&gt;1,BS39&lt;12,Tabla1[[#This Row],[T.A. SISTOLICA - ANTES DE SEMANA 12]]="",Tabla1[[#This Row],[T.A. DIASTOLICA - ANTES DE SEMANA 12]]=""),"REGISTRE DATO TA ANTES SEMANA 12",IF(AND(BS39&gt;11,BS39&lt;43,Tabla1[[#This Row],[T.A. SISTOLICA - ANTES DE SEMANA 12]]="",Tabla1[[#This Row],[T.A. DIASTOLICA - ANTES DE SEMANA 12]]=""),"NO APLICA REGISTRO TA-INGRESO TARDIO",IF(AND(OR(O39&gt;0,R39&gt;0),OR(CR39&gt;=140,CS39&gt;=90)),"DEFINIR ESTADIO HTA",IF(AND(OR(O39&gt;0,R39&gt;0),AND(CR39&gt;120,CR39&lt;=139)),"PRE HTA SEGUIMIENTO",IF(AND(OR(O39&gt;0,R39&gt;0),AND(CS39&gt;80,CS39&lt;=89)),"PRE HTA SEGUIMIENTO",IF(AND(OR(O39&gt;0,R39&gt;0),AND(CR39&gt;=80,CR39&lt;=120)),"APARENTEMENTE NORMAL",IF(AND(OR(O39&gt;0,R39&gt;0),AND(CS39&gt;=50,CS39&lt;=80)),"APARENTEMENTE NORMAL",IF(AND(OR(O39&gt;0,R39&gt;0),AND(CR39&gt;1,CR39&lt;=70),AND(CS39&gt;1,CS39&lt;=40)),"HIPOTENSIÓN","")))))))))</f>
        <v>APARENTEMENTE NORMAL</v>
      </c>
      <c r="CU39" s="21"/>
      <c r="CV39" s="21"/>
      <c r="CW39" s="217" t="str">
        <f ca="1">IF(R39="","",IF(AND(CN39&gt;19,CN39&lt;27,Tabla1[[#This Row],[T.A. SISTOLICA (Entre semana 20 y 26)]]="",Tabla1[[#This Row],[T.A. DIATOLICA (Entre semana 20 y 26)]]=""),"ACUDE A CONTROL SEM 20 A 26 REGISTRE TA AHORA",IF(AND(BS39&gt;1,BS39&lt;27,BU39&gt;19,Tabla1[[#This Row],[T.A. SISTOLICA (Entre semana 20 y 26)]]="",Tabla1[[#This Row],[T.A. DIATOLICA (Entre semana 20 y 26)]]=""),"COMPLETE REGISTRO TA CONTROL SEM 20 A26 ",IF(AND(BS39&gt;26,BS39&lt;43,Tabla1[[#This Row],[T.A. SISTOLICA (Entre semana 20 y 26)]]="",Tabla1[[#This Row],[T.A. DIATOLICA (Entre semana 20 y 26)]]=""),"NO APLICA REGISTRO TA-INGRESO TARDIO",IF(AND(OR(O39&gt;0,R39&gt;0),OR(CU39&gt;=140,CV39&gt;=90)),"ALTO RIESGO PREECLAMPSIA,DEFINIR ESTADIO HTA",IF(AND(OR(O39&gt;0,R39&gt;0),AND(CU39&gt;120,CU39&lt;=139)),"PRE HTA SEGUIMIENTO,RIESGO HIPERTENSION INDUCIDA POR EL EMBARAZO",IF(AND(OR(O39&gt;0,R39&gt;0),AND(CV39&gt;80,CV39&lt;=89)),"PRE HTA SEGUIMIENTO, RIESGO HIPERTENSION INDUCIDA POR EL EMBARAZO",IF(AND(OR(O39&lt;&gt;"",R39&lt;&gt;""),CS39&lt;&gt;"",CV39&lt;&gt;"",CS39&lt;=CV39),"VIGILAR CIFRAS PRESION ARTERIAL",IF(AND(OR(O39&gt;0,R39&gt;0),AND(CU39&gt;120,CU39&lt;=139)),"PRE HTA SEGUIMIENTO",IF(AND(OR(O39&gt;0,R39&gt;0),AND(CU39&gt;1,CU39&lt;=70),AND(CV39&gt;1,CV39&lt;=40)),"HIPOTENSIÓN",IF(AND(OR(O39&lt;&gt;"",R39&lt;&gt;""),CS39&lt;&gt;"",CV39&lt;&gt;"",CS39&gt;CV39),"APARENTEMENTE NORMAL",IF(AND(OR(O39&gt;0,R39&gt;0),AND(CU39&gt;=80,CU39&lt;=120)),"APARENTEMENTE NORMAL",IF(AND(OR(O39&gt;0,R39&gt;0),AND(CV39&gt;=50,CV39&lt;=80)),"APARENTEMENTE NORMAL","")))))))))))))</f>
        <v xml:space="preserve">COMPLETE REGISTRO TA CONTROL SEM 20 A26 </v>
      </c>
      <c r="CX39" s="21">
        <v>110</v>
      </c>
      <c r="CY39" s="21">
        <v>60</v>
      </c>
      <c r="CZ39" s="216" t="str">
        <f t="shared" si="195"/>
        <v>APARENTEMENTE NORMAL</v>
      </c>
      <c r="DA39" s="21"/>
      <c r="DB39" s="21"/>
      <c r="DC39" s="217" t="str">
        <f t="shared" si="12"/>
        <v>REGISTRE DATO PRESIÓN ARTERIAL MENSUAL</v>
      </c>
      <c r="DD39" s="22">
        <v>44859</v>
      </c>
      <c r="DE39" s="22">
        <v>44859</v>
      </c>
      <c r="DF39" s="22">
        <v>44972</v>
      </c>
      <c r="DG39" s="22"/>
      <c r="DH39" s="22"/>
      <c r="DI39" s="22"/>
      <c r="DJ39" s="22"/>
      <c r="DK39" s="22"/>
      <c r="DL39" s="22"/>
      <c r="DM39" s="22"/>
      <c r="DN39" s="22"/>
      <c r="DO39" s="22"/>
      <c r="DP39" s="22"/>
      <c r="DQ39" s="22"/>
      <c r="DR39" s="28">
        <v>1</v>
      </c>
      <c r="DS39" s="22"/>
      <c r="DT39" s="22"/>
      <c r="DU39" s="216" t="str">
        <f t="shared" ca="1" si="196"/>
        <v>SALE SIN PLAN DE PARTO</v>
      </c>
      <c r="DV39" s="226" t="str">
        <f t="shared" si="197"/>
        <v>SALIO PROGRAMA</v>
      </c>
      <c r="DW3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39" s="216" t="str">
        <f t="shared" ca="1" si="15"/>
        <v/>
      </c>
      <c r="DY39" s="212">
        <f>IF(R39="","",IF(R39&gt;0,MAX(Tabla1[[#This Row],[FECHA C2]:[FECHA C13]],Tabla1[[#This Row],[FECHA CONSULTA PRIMERA VEZ PROGRAMA CPN ]])))</f>
        <v>44972</v>
      </c>
      <c r="DZ39" s="216">
        <f t="shared" si="16"/>
        <v>34</v>
      </c>
      <c r="EA39" s="222">
        <f>IF(R39&gt;0,SUM(COUNTA(DF39:DQ39)+COUNTA(Tabla1[[#This Row],[FECHA CONSULTA PRIMERA VEZ PROGRAMA CPN ]])),"")</f>
        <v>2</v>
      </c>
      <c r="EB39" s="222" t="str">
        <f t="shared" si="17"/>
        <v>NO</v>
      </c>
      <c r="EC39" s="214">
        <f t="shared" si="18"/>
        <v>7</v>
      </c>
      <c r="ED39" s="227">
        <f t="shared" si="19"/>
        <v>0.2857142857142857</v>
      </c>
      <c r="EE39" s="22">
        <v>44859</v>
      </c>
      <c r="EF39" s="22"/>
      <c r="EG39" s="22">
        <v>44859</v>
      </c>
      <c r="EH39" s="22"/>
      <c r="EI39" s="22">
        <v>44859</v>
      </c>
      <c r="EJ39" s="22">
        <v>44945</v>
      </c>
      <c r="EK39" s="22">
        <v>44945</v>
      </c>
      <c r="EL39" s="21"/>
      <c r="EM39" s="21">
        <v>16.7</v>
      </c>
      <c r="EN39" s="22">
        <v>44859</v>
      </c>
      <c r="EO39" s="222">
        <f t="shared" si="20"/>
        <v>18.142857142857142</v>
      </c>
      <c r="EP39" s="214" t="str">
        <f t="shared" si="21"/>
        <v>NO DAR SULFATO FERROSO</v>
      </c>
      <c r="EQ39" s="216" t="str">
        <f t="shared" si="22"/>
        <v>II TRIM</v>
      </c>
      <c r="ER39" s="24"/>
      <c r="ES39" s="22"/>
      <c r="ET39" s="29" t="str">
        <f t="shared" ca="1" si="198"/>
        <v>SALE SIN TAMIZAJE HEMOGLOBINA SEM 28</v>
      </c>
      <c r="EU39" s="25" t="str">
        <f t="shared" si="24"/>
        <v/>
      </c>
      <c r="EV39" s="24" t="s">
        <v>866</v>
      </c>
      <c r="EW39" s="24">
        <v>44859</v>
      </c>
      <c r="EX39" s="22"/>
      <c r="EY39" s="29">
        <f t="shared" si="199"/>
        <v>18.142857142857142</v>
      </c>
      <c r="EZ39" s="25" t="str">
        <f t="shared" ca="1" si="200"/>
        <v/>
      </c>
      <c r="FA39" s="21">
        <v>86</v>
      </c>
      <c r="FB39" s="22">
        <v>44859</v>
      </c>
      <c r="FC39" s="29">
        <f t="shared" si="27"/>
        <v>18.142857142857142</v>
      </c>
      <c r="FD39" s="29">
        <v>91</v>
      </c>
      <c r="FE39" s="29">
        <v>140</v>
      </c>
      <c r="FF39" s="29">
        <v>178</v>
      </c>
      <c r="FG39" s="21" t="str">
        <f t="shared" ca="1" si="28"/>
        <v>DIABETES, REMITIR</v>
      </c>
      <c r="FH39" s="31">
        <v>44931</v>
      </c>
      <c r="FI39" s="29">
        <f t="shared" si="29"/>
        <v>28.428571428571427</v>
      </c>
      <c r="FJ39" s="22"/>
      <c r="FK39" s="22"/>
      <c r="FL39" s="29" t="str">
        <f t="shared" ca="1" si="30"/>
        <v>NO APLICA-INGRESO TARDIO</v>
      </c>
      <c r="FM39" s="22" t="s">
        <v>867</v>
      </c>
      <c r="FN39" s="32">
        <v>44859</v>
      </c>
      <c r="FO39" s="29">
        <f t="shared" ca="1" si="201"/>
        <v>18.142857142857142</v>
      </c>
      <c r="FP39" s="22"/>
      <c r="FQ39" s="32"/>
      <c r="FR39" s="29" t="str">
        <f t="shared" ca="1" si="202"/>
        <v>PIERDE TOMA DE TAMIZAJE</v>
      </c>
      <c r="FS39" s="22"/>
      <c r="FT39" s="32"/>
      <c r="FU39" s="29" t="str">
        <f>IF(AND(FJ39="",FM39="",FP39="",FS39=""),"",IF(OR(OR(Tabla1[[#This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39" s="28"/>
      <c r="FW39" s="22"/>
      <c r="FX39" s="29" t="str">
        <f t="shared" si="33"/>
        <v>TOMAR EXAMEN</v>
      </c>
      <c r="FY39" s="22">
        <v>44859</v>
      </c>
      <c r="FZ39" s="22">
        <v>44859</v>
      </c>
      <c r="GA39" s="29" t="str">
        <f t="shared" si="203"/>
        <v>REGISTRAR EN II TRIMESTRE</v>
      </c>
      <c r="GB39" s="22" t="s">
        <v>868</v>
      </c>
      <c r="GC39" s="22">
        <v>44859</v>
      </c>
      <c r="GD39" s="29">
        <f t="shared" ca="1" si="204"/>
        <v>18.142857142857142</v>
      </c>
      <c r="GE39" s="22"/>
      <c r="GF39" s="22"/>
      <c r="GG39" s="29" t="str">
        <f t="shared" ca="1" si="205"/>
        <v>PIERDE TOMA DE TAMIZAJE</v>
      </c>
      <c r="GH39" s="22"/>
      <c r="GI39" s="29"/>
      <c r="GJ39" s="22"/>
      <c r="GK39" s="22"/>
      <c r="GL39" s="22" t="s">
        <v>879</v>
      </c>
      <c r="GM39" s="22"/>
      <c r="GN39" s="28" t="s">
        <v>869</v>
      </c>
      <c r="GO39" s="22">
        <v>44859</v>
      </c>
      <c r="GP39" s="29">
        <f t="shared" si="37"/>
        <v>18.142857142857142</v>
      </c>
      <c r="GQ39" s="28" t="s">
        <v>869</v>
      </c>
      <c r="GR39" s="28" t="s">
        <v>869</v>
      </c>
      <c r="GS39" s="22" t="str">
        <f t="shared" si="206"/>
        <v>CONTROL Igm</v>
      </c>
      <c r="GT39" s="22">
        <v>44859</v>
      </c>
      <c r="GU39" s="29">
        <f t="shared" si="39"/>
        <v>18.142857142857142</v>
      </c>
      <c r="GV39" s="21" t="str">
        <f t="shared" si="40"/>
        <v>II TRIM</v>
      </c>
      <c r="GW39" s="28" t="s">
        <v>869</v>
      </c>
      <c r="GX39" s="30"/>
      <c r="GY39" s="21"/>
      <c r="GZ39" s="21"/>
      <c r="HA39" s="21"/>
      <c r="HB39" s="21"/>
      <c r="HC39" s="21"/>
      <c r="HD39" s="21"/>
      <c r="HE39" s="21"/>
      <c r="HF39" s="22"/>
      <c r="HG39" s="22" t="str">
        <f>IF(OR(O39&gt;0,R39&gt;0),CONCATENATE(IF(Tabla1[[#This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39" s="22" t="e">
        <f t="shared" si="41"/>
        <v>#REF!</v>
      </c>
      <c r="HI39" s="22" t="str">
        <f t="shared" si="42"/>
        <v>ALTO RIESGO</v>
      </c>
      <c r="HJ39" s="21"/>
      <c r="HK39" s="21" t="str">
        <f t="shared" si="44"/>
        <v>RIESGO MODERADO (2 O MAS CRITERIOS) VER MANEJO GUIA SUMINISTRO ASA Y CALCIO</v>
      </c>
      <c r="HL39" s="24" t="str">
        <f t="shared" si="45"/>
        <v>REGISTRE DATO PRESIÓN ARTERIAL MENSUAL</v>
      </c>
      <c r="HM39" s="21" t="str">
        <f t="shared" ca="1" si="46"/>
        <v/>
      </c>
      <c r="HN39" s="30" t="str">
        <f t="shared" si="207"/>
        <v>SALIO PROGRAMA</v>
      </c>
      <c r="HO39" s="21"/>
      <c r="HP39" s="21"/>
      <c r="HQ39" s="21">
        <v>44859</v>
      </c>
      <c r="HR39" s="21" t="str">
        <f>IF(R39="","",IF(Tabla1[[#This Row],[ALARMA FACTORES DE RIESGO COMPLICACIONES HIPERTENSIVAS3]]="SIN ANTECEDENTES DE RIESGO","No Aplica para suministro de ASA",IF(AND(Tabla1[[#This Row],[FECHA INICIO DE SUMINISTRO DE ASA]]&gt;0,RV39&lt;12),"Inicia ASA ANTES de Sem 12",IF(AND(RV39&gt;11,RV39&lt;17,OR(HK39="RIESGO ALTO DE COMPLICACIONES HIPERTENSIVAS VER MANEJO GUIA SUMINISTRO ASA Y CALCIO",HK39="RIESGO MODERADO (2 O MAS CRITERIOS) VER MANEJO GUIA SUMINISTRO ASA Y CALCIO")),"Inicio oportuno de ASA",IF(AND(RV39&gt;12,OR(HK39="RIESGO ALTO DE COMPLICACIONES HIPERTENSIVAS VER MANEJO GUIA SUMINISTRO ASA Y CALCIO",HK39="RIESGO MODERADO (2 O MAS CRITERIOS) VER MANEJO GUIA SUMINISTRO ASA Y CALCIO")),"Inicio no oportuno mayor a 16 semanas",IF(AND(BU39&lt;12,OR(HK39="RIESGO ALTO DE COMPLICACIONES HIPERTENSIVAS VER MANEJO GUIA SUMINISTRO ASA Y CALCIO",HK39="RIESGO MODERADO (2 O MAS CRITERIOS) VER MANEJO GUIA SUMINISTRO ASA Y CALCIO")),"Pendiente Inicio de ASA a la semana 12",IF(AND(BU39&gt;11,BU39&lt;17,OR(HK39="RIESGO ALTO DE COMPLICACIONES HIPERTENSIVAS VER MANEJO GUIA SUMINISTRO ASA Y CALCIO",HK39="RIESGO MODERADO (2 O MAS CRITERIOS) VER MANEJO GUIA SUMINISTRO ASA Y CALCIO")),"Iniciar de inmediato ASA",IF(AND(BU39&gt;16,OR(HK39="RIESGO ALTO DE COMPLICACIONES HIPERTENSIVAS VER MANEJO GUIA SUMINISTRO ASA Y CALCIO",HK39="RIESGO MODERADO (2 O MAS CRITERIOS) VER MANEJO GUIA SUMINISTRO ASA Y CALCIO")),"Pierde Oportunidad, Inicio tardío de ASA","XXXXX"))))))))</f>
        <v>Inicio no oportuno mayor a 16 semanas</v>
      </c>
      <c r="HS39" s="22">
        <v>44859</v>
      </c>
      <c r="HT39" s="22" t="s">
        <v>870</v>
      </c>
      <c r="HU39" s="22"/>
      <c r="HV39" s="22"/>
      <c r="HW39" s="22">
        <v>44859</v>
      </c>
      <c r="HX39" s="22" t="s">
        <v>870</v>
      </c>
      <c r="HY39" s="22">
        <v>44859</v>
      </c>
      <c r="HZ39" s="28">
        <f t="shared" si="48"/>
        <v>18.142857142857142</v>
      </c>
      <c r="IA39" s="26" t="s">
        <v>864</v>
      </c>
      <c r="IB39" s="26"/>
      <c r="IC39" s="111"/>
      <c r="ID39" s="22"/>
      <c r="IE39" s="22" t="str">
        <f t="shared" ca="1" si="49"/>
        <v>SALE SIN VACUNA</v>
      </c>
      <c r="IF39" s="22"/>
      <c r="IG39" s="22">
        <f t="shared" si="50"/>
        <v>45012</v>
      </c>
      <c r="IH39" s="29">
        <f t="shared" ca="1" si="51"/>
        <v>-221</v>
      </c>
      <c r="II39" s="22" t="str">
        <f t="shared" ca="1" si="52"/>
        <v>POSIBLEMENTE NACIO</v>
      </c>
      <c r="IJ39" s="22"/>
      <c r="IK39" s="21" t="s">
        <v>898</v>
      </c>
      <c r="IL39" s="21"/>
      <c r="IM39" s="34"/>
      <c r="IN39" s="349">
        <v>45026</v>
      </c>
      <c r="IO39" s="21" t="s">
        <v>1186</v>
      </c>
      <c r="IP39" s="29">
        <f t="shared" si="208"/>
        <v>42</v>
      </c>
      <c r="IQ39" s="110" t="s">
        <v>1654</v>
      </c>
      <c r="IR39" s="21" t="s">
        <v>1651</v>
      </c>
      <c r="IS39" s="21" t="s">
        <v>1646</v>
      </c>
      <c r="IT39" s="21" t="s">
        <v>1642</v>
      </c>
      <c r="IU39" s="21"/>
      <c r="IV39" s="21"/>
      <c r="IW39" s="21"/>
      <c r="IX39" s="21"/>
      <c r="IY39" s="21"/>
      <c r="IZ39" s="21"/>
      <c r="JA39" s="21"/>
      <c r="JB39" s="30">
        <v>1</v>
      </c>
      <c r="JC39" s="21" t="s">
        <v>1647</v>
      </c>
      <c r="JD39" s="36">
        <v>3650</v>
      </c>
      <c r="JE39" s="21" t="str">
        <f t="shared" si="209"/>
        <v>PESO ADECUADO EDAD GESTACIONAL</v>
      </c>
      <c r="JF39" s="30"/>
      <c r="JG39" s="21"/>
      <c r="JH39" s="21"/>
      <c r="JI39" s="21" t="s">
        <v>854</v>
      </c>
      <c r="JJ39" s="30" t="s">
        <v>866</v>
      </c>
      <c r="JK39" s="22"/>
      <c r="JL39" s="22"/>
      <c r="JM39" s="21"/>
      <c r="JN39" s="36"/>
      <c r="JO39" s="21" t="str">
        <f t="shared" si="210"/>
        <v/>
      </c>
      <c r="JP39" s="22"/>
      <c r="JQ39" s="21"/>
      <c r="JR39" s="21"/>
      <c r="JS39" s="21"/>
      <c r="JT39" s="30"/>
      <c r="JU39" s="22"/>
      <c r="JV39" s="22"/>
      <c r="JW39" s="33"/>
      <c r="JX39" s="28" t="str">
        <f t="shared" si="211"/>
        <v>INASISTENTE</v>
      </c>
      <c r="JY39" s="33"/>
      <c r="JZ39" s="28" t="str">
        <f t="shared" si="212"/>
        <v>INASISTENTE</v>
      </c>
      <c r="KA39" s="21"/>
      <c r="KB39" s="21"/>
      <c r="KC39" s="21"/>
      <c r="KD39" s="37"/>
      <c r="KE39" s="28"/>
      <c r="KF39" s="28"/>
      <c r="KG39" s="28"/>
      <c r="KH39" s="39"/>
      <c r="KI39" s="39"/>
      <c r="KJ39" s="66"/>
      <c r="KK39" s="39"/>
      <c r="KL39" s="39"/>
      <c r="KM39" s="66"/>
      <c r="KN39" s="39"/>
      <c r="KO39" s="39"/>
      <c r="KP39" s="39"/>
      <c r="KQ39" s="39"/>
      <c r="KR39" s="39"/>
      <c r="KS39" s="39"/>
      <c r="KT39" s="39"/>
      <c r="KU39" s="38"/>
      <c r="KV39" s="38"/>
      <c r="KW39" s="38"/>
      <c r="KX39" s="38"/>
      <c r="KY39" s="38"/>
      <c r="KZ39" s="38"/>
      <c r="LA39" s="38"/>
      <c r="LB39" s="38"/>
      <c r="LC39" s="38"/>
      <c r="LD39" s="38"/>
      <c r="LE39" s="38"/>
      <c r="LF39" s="38"/>
      <c r="LG39" s="38"/>
      <c r="LH39" s="38"/>
      <c r="LI39" s="38"/>
      <c r="LJ39" s="38"/>
      <c r="LK39" s="38"/>
      <c r="LL39" s="38"/>
      <c r="LM39" s="38"/>
      <c r="LN39" s="38"/>
      <c r="LO39" s="38"/>
      <c r="LP39" s="38"/>
      <c r="LQ39" s="38"/>
      <c r="LR39" s="38"/>
      <c r="LS39" s="38"/>
      <c r="LT39" s="38"/>
      <c r="LU39" s="38"/>
      <c r="LV39" s="38"/>
      <c r="LW39" s="38"/>
      <c r="LX39" s="38"/>
      <c r="LY39" s="38"/>
      <c r="LZ39" s="38"/>
      <c r="MA39" s="38"/>
      <c r="MB39" s="38"/>
      <c r="MC39" s="38"/>
      <c r="MD39" s="38"/>
      <c r="ME39" s="38"/>
      <c r="MF39" s="38"/>
      <c r="MG39" s="38"/>
      <c r="MH39" s="43">
        <f t="shared" si="213"/>
        <v>0</v>
      </c>
      <c r="MI39" s="43" t="str">
        <f t="shared" si="214"/>
        <v/>
      </c>
      <c r="MJ39" s="43" t="str">
        <f t="shared" si="215"/>
        <v/>
      </c>
      <c r="MK39" s="43">
        <f t="shared" si="216"/>
        <v>0</v>
      </c>
      <c r="ML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39" s="43">
        <f t="shared" si="217"/>
        <v>18.142857142857142</v>
      </c>
      <c r="MN39" s="43">
        <f t="shared" si="218"/>
        <v>10</v>
      </c>
      <c r="MO39" s="43">
        <f t="shared" si="219"/>
        <v>2022</v>
      </c>
      <c r="MP39" s="43" t="str">
        <f t="shared" si="220"/>
        <v>IV TRIMESTRE AÑO</v>
      </c>
      <c r="MQ39" s="43">
        <f t="shared" si="221"/>
        <v>34.077967586508976</v>
      </c>
      <c r="MR39" s="43">
        <f t="shared" si="222"/>
        <v>0</v>
      </c>
      <c r="MS39" s="43" t="str">
        <f t="shared" si="223"/>
        <v xml:space="preserve"> DE 30 A 34 AÑOS</v>
      </c>
      <c r="MT39" s="43">
        <f t="shared" si="224"/>
        <v>0</v>
      </c>
      <c r="MU39" s="43">
        <f t="shared" si="225"/>
        <v>0</v>
      </c>
      <c r="MV39" s="43">
        <f t="shared" si="226"/>
        <v>0</v>
      </c>
      <c r="MW39" s="43">
        <f t="shared" si="227"/>
        <v>0</v>
      </c>
      <c r="MX39" s="43" t="str">
        <f t="shared" si="228"/>
        <v/>
      </c>
      <c r="MY39" s="43" t="str">
        <f t="shared" ca="1" si="229"/>
        <v/>
      </c>
      <c r="MZ39" s="43" t="str">
        <f t="shared" si="230"/>
        <v/>
      </c>
      <c r="NA39" s="43" t="str">
        <f t="shared" si="231"/>
        <v/>
      </c>
      <c r="NB39" s="43" t="str">
        <f t="shared" si="232"/>
        <v/>
      </c>
      <c r="NC39" s="43" t="str">
        <f t="shared" si="233"/>
        <v/>
      </c>
      <c r="ND39" s="43">
        <f t="shared" ca="1" si="234"/>
        <v>2</v>
      </c>
      <c r="NE39" s="43">
        <f>IF(OR(O39&gt;0,R39&gt;0),SUM(COUNTIF(Tabla1[[#This Row],[AÑOS AL INICIO5 CPN]],"&gt;=40"),COUNTIF(AS39,"0"),COUNTIF(AR39,"SI"),COUNTIF(CC39,"SI"),COUNTIF(BQ39,"&gt;119"),COUNTIF(CI39,"&gt;=35")),"")</f>
        <v>2</v>
      </c>
      <c r="NF39" s="43" t="str">
        <f t="shared" si="235"/>
        <v/>
      </c>
      <c r="NG39" s="43">
        <f t="shared" si="236"/>
        <v>0</v>
      </c>
      <c r="NH39" s="43">
        <f t="shared" si="237"/>
        <v>45.5</v>
      </c>
      <c r="NI3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CPN",P39="NO"),"Z",IF(AND(Tabla1[[#This Row],[CITA PROXIMO CONTROL]]="CITA MANUAL",Tabla1[[#This Row],[GESTANTES ACTUALES]]="ACTIVA INGRESO A CPN"),"W",IF(AND(Tabla1[[#This Row],[GESTANTES ACTUALES]]="SALIO PROGRAMA",IN39=""),"S",IF(AND(Tabla1[[#This Row],[CITA PROXIMO CONTROL]]&gt;0,IN39=""),(Tabla1[[#This Row],[CITA PROXIMO CONTROL]]-TODAY()),"SD"))))))))</f>
        <v>SD</v>
      </c>
      <c r="NJ39" s="43">
        <f>MONTH(Tabla1[[#This Row],[FECHA DE SALIDA  DEL PROGRAMA]])</f>
        <v>4</v>
      </c>
      <c r="NK39" s="43">
        <f>YEAR(Tabla1[[#This Row],[FECHA DE SALIDA  DEL PROGRAMA]])</f>
        <v>2023</v>
      </c>
      <c r="NL39" s="43">
        <f t="shared" si="238"/>
        <v>86</v>
      </c>
      <c r="NM39" s="43" t="str">
        <f t="shared" si="239"/>
        <v>NO</v>
      </c>
      <c r="NN39" s="43" t="str">
        <f ca="1">IF(AND(O39&gt;0,R39=""),"NO CPN",IF(AND(O39="",R39=""),"",IF(AND(R39&gt;0,Tabla1[[#This Row],[SEMANAS DE GESTACION ACTUALIZADAS]]&lt;=12),"NO APLICA",IF(AND(FH39&lt;&gt;"",FN39&lt;&gt;""),"SI","NO"))))</f>
        <v>SI</v>
      </c>
      <c r="NO39" s="43" t="str">
        <f ca="1">IF(AND(O39&gt;0,R39=""),"NO CPN",IF(AND(O39="",R39=""),"",IF(AND(R39&gt;0,Tabla1[[#This Row],[SEMANAS DE GESTACION ACTUALIZADAS]]&lt;=27),"NO APLICA",IF(AND(ES39&lt;&gt;"",FQ39&lt;&gt;"",GF39&lt;&gt;""),"SI","NO"))))</f>
        <v>NO</v>
      </c>
      <c r="NP39" s="204" t="str">
        <f t="shared" si="240"/>
        <v>II TRIM</v>
      </c>
      <c r="NQ39" s="21" t="str">
        <f t="shared" si="241"/>
        <v/>
      </c>
      <c r="NR39" s="21">
        <f t="shared" si="242"/>
        <v>2</v>
      </c>
      <c r="NS39" s="205">
        <f t="shared" ca="1" si="243"/>
        <v>1</v>
      </c>
      <c r="NT39" s="21">
        <f t="shared" ca="1" si="244"/>
        <v>1</v>
      </c>
      <c r="NU39" s="21" t="str">
        <f t="shared" ca="1" si="245"/>
        <v>INCOMPLETO</v>
      </c>
      <c r="NV39" s="21" t="str">
        <f t="shared" ca="1" si="246"/>
        <v>INCOMPLETO</v>
      </c>
      <c r="NW39" s="206" t="str">
        <f>IF(AND(O39="",R39=""),"",IF(OR(AND(Tabla1[[#This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39" s="207" t="str">
        <f t="shared" ca="1" si="247"/>
        <v>SIN VACUNAR</v>
      </c>
      <c r="NY39" s="43">
        <f>ROW(Tabla1[[#This Row],['# DE TAMIZAJES SIFILIS TOMADOS ]])</f>
        <v>39</v>
      </c>
      <c r="NZ39" s="43">
        <f t="shared" si="93"/>
        <v>18</v>
      </c>
      <c r="OA39" s="43" t="str">
        <f t="shared" si="94"/>
        <v/>
      </c>
      <c r="OB39" s="43" t="str">
        <f t="shared" si="95"/>
        <v/>
      </c>
      <c r="OC39" s="43" t="str">
        <f t="shared" si="96"/>
        <v/>
      </c>
      <c r="OD39" s="43" t="str">
        <f t="shared" si="97"/>
        <v/>
      </c>
      <c r="OE39" s="43" t="str">
        <f t="shared" si="98"/>
        <v/>
      </c>
      <c r="OF39" s="43" t="str">
        <f t="shared" si="99"/>
        <v/>
      </c>
      <c r="OG39" s="43" t="str">
        <f t="shared" si="100"/>
        <v/>
      </c>
      <c r="OH39" s="43" t="str">
        <f t="shared" si="101"/>
        <v/>
      </c>
      <c r="OI39" s="43" t="str">
        <f t="shared" si="102"/>
        <v/>
      </c>
      <c r="OJ39" s="43" t="str">
        <f t="shared" si="103"/>
        <v>OBESIDAD</v>
      </c>
      <c r="OK39" s="43" t="str">
        <f t="shared" si="104"/>
        <v/>
      </c>
      <c r="OL39" s="43" t="str">
        <f t="shared" si="105"/>
        <v/>
      </c>
      <c r="OM39" s="43" t="str">
        <f t="shared" si="106"/>
        <v/>
      </c>
      <c r="ON39" s="43" t="str">
        <f t="shared" si="107"/>
        <v/>
      </c>
      <c r="OO39" s="43" t="str">
        <f t="shared" si="108"/>
        <v/>
      </c>
      <c r="OP39" s="43" t="str">
        <f t="shared" si="109"/>
        <v/>
      </c>
      <c r="OQ39" s="43" t="str">
        <f t="shared" si="110"/>
        <v/>
      </c>
      <c r="OR39" s="43" t="str">
        <f t="shared" si="111"/>
        <v/>
      </c>
      <c r="OS39" s="43" t="str">
        <f t="shared" si="112"/>
        <v/>
      </c>
      <c r="OT39" s="43" t="str">
        <f t="shared" si="113"/>
        <v/>
      </c>
      <c r="OU39" s="43" t="str">
        <f t="shared" si="114"/>
        <v/>
      </c>
      <c r="OV39" s="110" t="str">
        <f t="shared" si="115"/>
        <v/>
      </c>
      <c r="OW39" s="43" t="str">
        <f t="shared" si="116"/>
        <v/>
      </c>
      <c r="OX39" s="43" t="str">
        <f t="shared" si="117"/>
        <v/>
      </c>
      <c r="OY39" s="43" t="str">
        <f t="shared" si="118"/>
        <v/>
      </c>
      <c r="OZ39" s="43" t="str">
        <f t="shared" si="119"/>
        <v/>
      </c>
      <c r="PA39" s="43" t="str">
        <f t="shared" si="120"/>
        <v/>
      </c>
      <c r="PB39" s="43" t="str">
        <f t="shared" si="121"/>
        <v/>
      </c>
      <c r="PC39" s="43" t="str">
        <f t="shared" si="122"/>
        <v/>
      </c>
      <c r="PD39" s="43" t="str">
        <f t="shared" si="123"/>
        <v/>
      </c>
      <c r="PE39" s="43" t="str">
        <f t="shared" si="124"/>
        <v/>
      </c>
      <c r="PF39" s="43" t="str">
        <f t="shared" si="125"/>
        <v/>
      </c>
      <c r="PG39" s="43" t="str">
        <f t="shared" si="126"/>
        <v/>
      </c>
      <c r="PH39" s="43" t="str">
        <f t="shared" si="127"/>
        <v/>
      </c>
      <c r="PI39" s="43">
        <f t="shared" si="128"/>
        <v>34</v>
      </c>
      <c r="PJ39" s="43" t="str">
        <f t="shared" si="129"/>
        <v/>
      </c>
      <c r="PK39" s="43" t="str">
        <f t="shared" si="130"/>
        <v/>
      </c>
      <c r="PL39" s="43" t="str">
        <f t="shared" si="131"/>
        <v/>
      </c>
      <c r="PM39" s="43" t="str">
        <f t="shared" si="132"/>
        <v/>
      </c>
      <c r="PN39" s="43" t="str">
        <f t="shared" si="133"/>
        <v/>
      </c>
      <c r="PO39" s="43" t="str">
        <f t="shared" si="134"/>
        <v/>
      </c>
      <c r="PP39" s="43" t="str">
        <f t="shared" si="135"/>
        <v/>
      </c>
      <c r="PQ39" s="43" t="str">
        <f t="shared" si="136"/>
        <v/>
      </c>
      <c r="PR39" s="43" t="str">
        <f t="shared" si="137"/>
        <v/>
      </c>
      <c r="PS39" s="43" t="str">
        <f t="shared" si="138"/>
        <v/>
      </c>
      <c r="PT39" s="43" t="str">
        <f t="shared" si="139"/>
        <v/>
      </c>
      <c r="PU39" s="43" t="str">
        <f t="shared" si="140"/>
        <v/>
      </c>
      <c r="PV39" s="43" t="str">
        <f t="shared" si="141"/>
        <v/>
      </c>
      <c r="PW39" s="43" t="str">
        <f t="shared" si="142"/>
        <v/>
      </c>
      <c r="PX39" s="43" t="str">
        <f t="shared" si="143"/>
        <v/>
      </c>
      <c r="PY39" s="43" t="str">
        <f t="shared" si="144"/>
        <v/>
      </c>
      <c r="PZ39" s="43" t="str">
        <f t="shared" si="145"/>
        <v/>
      </c>
      <c r="QA39" s="43" t="str">
        <f t="shared" si="146"/>
        <v/>
      </c>
      <c r="QB39" s="43" t="str">
        <f t="shared" si="147"/>
        <v/>
      </c>
      <c r="QC39" s="43" t="str">
        <f t="shared" si="148"/>
        <v/>
      </c>
      <c r="QD39" s="43" t="str">
        <f t="shared" si="149"/>
        <v/>
      </c>
      <c r="QE39" s="43" t="str">
        <f t="shared" si="150"/>
        <v/>
      </c>
      <c r="QF39" s="43" t="str">
        <f t="shared" si="151"/>
        <v/>
      </c>
      <c r="QG39" s="43" t="str">
        <f t="shared" si="152"/>
        <v/>
      </c>
      <c r="QH39" s="43" t="str">
        <f t="shared" si="153"/>
        <v/>
      </c>
      <c r="QI39" s="43" t="str">
        <f t="shared" si="154"/>
        <v/>
      </c>
      <c r="QJ39" s="43" t="str">
        <f t="shared" si="155"/>
        <v/>
      </c>
      <c r="QK39" s="43" t="str">
        <f t="shared" si="156"/>
        <v/>
      </c>
      <c r="QL39" s="43" t="str">
        <f t="shared" si="157"/>
        <v/>
      </c>
      <c r="QM39" s="43" t="str">
        <f t="shared" si="158"/>
        <v/>
      </c>
      <c r="QN39" s="43" t="str">
        <f t="shared" si="159"/>
        <v/>
      </c>
      <c r="QO39" s="43" t="str">
        <f t="shared" si="160"/>
        <v/>
      </c>
      <c r="QP39" s="43" t="str">
        <f t="shared" si="161"/>
        <v/>
      </c>
      <c r="QQ39" s="43" t="str">
        <f t="shared" si="162"/>
        <v/>
      </c>
      <c r="QR39" s="43">
        <f t="shared" si="192"/>
        <v>34</v>
      </c>
      <c r="QS39" s="43"/>
      <c r="QT39" s="21" t="str">
        <f t="shared" si="163"/>
        <v/>
      </c>
      <c r="QU39" s="21" t="str">
        <f t="shared" si="164"/>
        <v/>
      </c>
      <c r="QV39" s="21" t="str">
        <f t="shared" si="165"/>
        <v/>
      </c>
      <c r="QW39" s="21" t="str">
        <f t="shared" si="166"/>
        <v/>
      </c>
      <c r="QX39" s="21" t="str">
        <f t="shared" si="167"/>
        <v/>
      </c>
      <c r="QY39" s="21" t="str">
        <f t="shared" si="168"/>
        <v/>
      </c>
      <c r="QZ39" s="21" t="str">
        <f t="shared" si="169"/>
        <v/>
      </c>
      <c r="RA39" s="21" t="str">
        <f t="shared" si="170"/>
        <v/>
      </c>
      <c r="RB39" s="21" t="str">
        <f t="shared" si="171"/>
        <v/>
      </c>
      <c r="RC39" s="21" t="str">
        <f t="shared" si="172"/>
        <v/>
      </c>
      <c r="RD39" s="21" t="str">
        <f t="shared" si="173"/>
        <v/>
      </c>
      <c r="RE39" s="21" t="str">
        <f t="shared" si="174"/>
        <v/>
      </c>
      <c r="RF39" s="21" t="str">
        <f t="shared" si="175"/>
        <v/>
      </c>
      <c r="RG39" s="21" t="str">
        <f t="shared" si="176"/>
        <v/>
      </c>
      <c r="RH39" s="21" t="str">
        <f t="shared" si="177"/>
        <v/>
      </c>
      <c r="RI39" s="21" t="str">
        <f t="shared" si="178"/>
        <v/>
      </c>
      <c r="RJ39" s="21" t="str">
        <f t="shared" si="179"/>
        <v/>
      </c>
      <c r="RK39" s="21" t="str">
        <f t="shared" si="180"/>
        <v/>
      </c>
      <c r="RL39" s="21" t="str">
        <f t="shared" si="181"/>
        <v/>
      </c>
      <c r="RM39" s="21" t="str">
        <f t="shared" si="182"/>
        <v/>
      </c>
      <c r="RN39" s="21" t="str">
        <f t="shared" si="183"/>
        <v/>
      </c>
      <c r="RO39" s="21" t="str">
        <f t="shared" si="184"/>
        <v/>
      </c>
      <c r="RP39" s="21" t="str">
        <f t="shared" si="185"/>
        <v/>
      </c>
      <c r="RQ39" s="21" t="str">
        <f t="shared" si="186"/>
        <v/>
      </c>
      <c r="RR39" s="21" t="str">
        <f t="shared" si="187"/>
        <v/>
      </c>
      <c r="RS39" s="21" t="str">
        <f t="shared" si="188"/>
        <v/>
      </c>
      <c r="RT39" s="21" t="str">
        <f t="shared" si="189"/>
        <v/>
      </c>
      <c r="RU39" s="21" t="str">
        <f t="shared" si="190"/>
        <v/>
      </c>
      <c r="RV39" s="21">
        <f t="shared" si="191"/>
        <v>18.142857142857142</v>
      </c>
      <c r="RW39" s="284">
        <f>IF(OR(Tabla1[[#This Row],[FUM FORMULA CONFIABLE]]="",Tabla1[[#This Row],[FUM FORMULA CONFIABLE]]="SD"),"",IF(Tabla1[[#This Row],[FUM FORMULA CONFIABLE]]="CORREGIDA",Tabla1[[#This Row],[FUM X ECO 1]],Tabla1[[#This Row],[FUM x AMENORREA]]))</f>
        <v>44732</v>
      </c>
      <c r="RX39" s="21">
        <f>IF(AND(Tabla1[[#This Row],[FUM X ECO 1]]="",Tabla1[[#This Row],[FUM x AMENORREA]]=""),"",IF(AND(Tabla1[[#This Row],[FUM X ECO 1]]="",Tabla1[[#This Row],[FUM x AMENORREA]]&lt;&gt;""),"X",SUM(Tabla1[[#This Row],[FUM X ECO 1]]-Tabla1[[#This Row],[FUM x AMENORREA]])))</f>
        <v>26.5</v>
      </c>
      <c r="RY39" s="21">
        <f t="shared" si="193"/>
        <v>1</v>
      </c>
    </row>
    <row r="40" spans="1:493" ht="45" customHeight="1" x14ac:dyDescent="0.25">
      <c r="A40" s="109" t="s">
        <v>1073</v>
      </c>
      <c r="B40" s="43"/>
      <c r="C40" s="43" t="s">
        <v>845</v>
      </c>
      <c r="D40" s="124" t="s">
        <v>846</v>
      </c>
      <c r="E40" s="43" t="s">
        <v>1041</v>
      </c>
      <c r="F40" s="43" t="s">
        <v>953</v>
      </c>
      <c r="G40" s="43" t="s">
        <v>1074</v>
      </c>
      <c r="H40" s="43"/>
      <c r="I40" s="109" t="s">
        <v>851</v>
      </c>
      <c r="J40" s="110">
        <v>1059601540</v>
      </c>
      <c r="K40" s="43" t="s">
        <v>852</v>
      </c>
      <c r="L40" s="175" t="s">
        <v>853</v>
      </c>
      <c r="M40" s="22">
        <v>34011</v>
      </c>
      <c r="N40" s="213">
        <f t="shared" ca="1" si="0"/>
        <v>30.745205479452054</v>
      </c>
      <c r="O40" s="22">
        <v>44863</v>
      </c>
      <c r="P40" s="214" t="str">
        <f t="shared" si="194"/>
        <v>SI</v>
      </c>
      <c r="Q40" s="26" t="s">
        <v>855</v>
      </c>
      <c r="R40" s="22">
        <v>44863</v>
      </c>
      <c r="S40" s="21" t="s">
        <v>856</v>
      </c>
      <c r="T40" s="24" t="s">
        <v>690</v>
      </c>
      <c r="U40" s="21" t="s">
        <v>857</v>
      </c>
      <c r="V40" s="21" t="s">
        <v>858</v>
      </c>
      <c r="W40" s="21" t="s">
        <v>1075</v>
      </c>
      <c r="X40" s="21" t="s">
        <v>1075</v>
      </c>
      <c r="Y40" s="21" t="s">
        <v>859</v>
      </c>
      <c r="Z40" s="21">
        <v>3177983200</v>
      </c>
      <c r="AA40" s="21" t="s">
        <v>860</v>
      </c>
      <c r="AB40" s="27" t="s">
        <v>861</v>
      </c>
      <c r="AC40" s="26" t="s">
        <v>877</v>
      </c>
      <c r="AD40" s="38" t="s">
        <v>846</v>
      </c>
      <c r="AE40" s="26" t="s">
        <v>864</v>
      </c>
      <c r="AF40" s="26" t="s">
        <v>854</v>
      </c>
      <c r="AG40" s="23" t="s">
        <v>864</v>
      </c>
      <c r="AH40" s="23" t="s">
        <v>864</v>
      </c>
      <c r="AI40" s="24" t="s">
        <v>863</v>
      </c>
      <c r="AJ40" s="23" t="s">
        <v>864</v>
      </c>
      <c r="AK40" s="220" t="str">
        <f>IF(AND(AD40="",AE40="",AF40="",AG40="",AH40="",AI40="",AJ40=""),"",IF(OR(Tabla1[[#This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EVALUACIÓN",IF(AND(O40="",R40=""),"",IF(AND(OR(O40&gt;0,R40&gt;0),NG40&gt;=0,NG40&lt;2),"SIN RIESGO",IF(AND(OR(O40&gt;0,R40&gt;0),NG40&gt;=2),"CON RIESGO","ASD")))))</f>
        <v>SIN RIESGO</v>
      </c>
      <c r="AL40" s="23" t="s">
        <v>864</v>
      </c>
      <c r="AM40" s="26" t="s">
        <v>864</v>
      </c>
      <c r="AN40" s="26" t="s">
        <v>864</v>
      </c>
      <c r="AO40" s="26" t="s">
        <v>864</v>
      </c>
      <c r="AP40" s="26" t="s">
        <v>864</v>
      </c>
      <c r="AQ40" s="26" t="s">
        <v>864</v>
      </c>
      <c r="AR40" s="26" t="s">
        <v>864</v>
      </c>
      <c r="AS40" s="21">
        <v>3</v>
      </c>
      <c r="AT40" s="21">
        <v>3</v>
      </c>
      <c r="AU40" s="21">
        <v>0</v>
      </c>
      <c r="AV40" s="26" t="s">
        <v>864</v>
      </c>
      <c r="AW40" s="21">
        <v>0</v>
      </c>
      <c r="AX40" s="26" t="s">
        <v>864</v>
      </c>
      <c r="AY40" s="26" t="s">
        <v>864</v>
      </c>
      <c r="AZ40" s="26" t="s">
        <v>864</v>
      </c>
      <c r="BA40" s="26" t="s">
        <v>864</v>
      </c>
      <c r="BB40" s="26" t="s">
        <v>864</v>
      </c>
      <c r="BC40" s="26" t="s">
        <v>864</v>
      </c>
      <c r="BD40" s="26" t="s">
        <v>864</v>
      </c>
      <c r="BE40" s="26" t="s">
        <v>864</v>
      </c>
      <c r="BF40" s="26" t="s">
        <v>864</v>
      </c>
      <c r="BG40" s="26" t="s">
        <v>864</v>
      </c>
      <c r="BH40" s="26" t="s">
        <v>864</v>
      </c>
      <c r="BI40" s="26" t="s">
        <v>864</v>
      </c>
      <c r="BJ40" s="26"/>
      <c r="BK40" s="26"/>
      <c r="BL40" s="26" t="s">
        <v>864</v>
      </c>
      <c r="BM40" s="26" t="s">
        <v>864</v>
      </c>
      <c r="BN40" s="22">
        <v>40330</v>
      </c>
      <c r="BO40" s="22">
        <v>44727</v>
      </c>
      <c r="BP40" s="21" t="s">
        <v>864</v>
      </c>
      <c r="BQ40" s="222">
        <f t="shared" si="2"/>
        <v>146.56666666666666</v>
      </c>
      <c r="BR40" s="223" t="str">
        <f t="shared" si="3"/>
        <v/>
      </c>
      <c r="BS40" s="224">
        <f t="shared" si="4"/>
        <v>19.428571428571427</v>
      </c>
      <c r="BT40" s="216" t="str">
        <f t="shared" si="5"/>
        <v>DEFINIR CON ECO</v>
      </c>
      <c r="BU40" s="214" t="str">
        <f t="shared" ca="1" si="6"/>
        <v/>
      </c>
      <c r="BV40" s="25"/>
      <c r="BW40" s="22"/>
      <c r="BX40" s="28"/>
      <c r="BY40" s="28"/>
      <c r="BZ40" s="22"/>
      <c r="CA40" s="21"/>
      <c r="CB40" s="26"/>
      <c r="CC40" s="26"/>
      <c r="CD40" s="26"/>
      <c r="CE40" s="26"/>
      <c r="CF40" s="22" t="s">
        <v>1517</v>
      </c>
      <c r="CG40" s="21">
        <v>1.48</v>
      </c>
      <c r="CH40" s="21">
        <v>70</v>
      </c>
      <c r="CI40" s="214">
        <f t="shared" si="7"/>
        <v>31.957633308984661</v>
      </c>
      <c r="CJ40" s="225" t="e">
        <f>IF(AND(CI40&lt;10,CH40="SD"),"SIN DATO PESO PREGESTACION O I TRIM",IF(AND(OR(R40&gt;0,O40&gt;0),CI40="X"),"INGRESAR DATO DE PESO",IF(CI40="SD","INGRESAR DATO DE TALLA Y PESO",IF(AND(OR(Tabla1[[#This Row],[MOMENTO EN QUE SE REALIZA EL PESO AL INGRESO A CPN]]="PREGESTACIÓN",NZ40="Menor"),CI40&lt;18.5),"BAJO PESO",IF(AND(OR(Tabla1[[#This Row],[MOMENTO EN QUE SE REALIZA EL PESO AL INGRESO A CPN]]="PREGESTACIÓN",NZ40="Menor"),CI40&lt;25),"NORMAL",IF(AND(OR(Tabla1[[#This Row],[MOMENTO EN QUE SE REALIZA EL PESO AL INGRESO A CPN]]="PREGESTACIÓN",NZ40="Menor"),CI40&lt;30),"SOBREPESO",IF(AND(OR(Tabla1[[#This Row],[MOMENTO EN QUE SE REALIZA EL PESO AL INGRESO A CPN]]="PREGESTACIÓN",NZ40="Menor"),CI40&gt;=30,CI40&lt;50),"OBESIDAD",IF(AND(BS40&gt;0,Tabla1[[#This Row],[MOMENTO EN QUE SE REALIZA EL PESO AL INGRESO A CPN]]="GESTACIÓN"),HLOOKUP(NZ40,$OA$2:PH40,NY40),""))))))))</f>
        <v>#REF!</v>
      </c>
      <c r="CK40" s="212">
        <f t="shared" si="8"/>
        <v>44863</v>
      </c>
      <c r="CL40" s="21"/>
      <c r="CM40" s="214">
        <f t="shared" si="9"/>
        <v>0</v>
      </c>
      <c r="CN40" s="216">
        <f t="shared" si="10"/>
        <v>19</v>
      </c>
      <c r="CO40" s="216" t="e">
        <f>IF(PI40="","",IF(PI40&gt;0,HLOOKUP(PI40,$PJ$2:QQ40,NY40),""))</f>
        <v>#REF!</v>
      </c>
      <c r="CP40" s="21"/>
      <c r="CQ40" s="216" t="e">
        <f>IF(QR40="Menor","NO APLICA-MENOR 13 SEM",IF(AND(CC40="SI",CN40&gt;23),"NO APLICA- GEMELAR",IF(QR40="","",IF(QR40&gt;0,HLOOKUP(QR40,$QS$2:RU40,NY40),""))))</f>
        <v>#REF!</v>
      </c>
      <c r="CR40" s="21"/>
      <c r="CS40" s="21"/>
      <c r="CT40" s="217" t="str">
        <f>IF(R40="","",IF(AND(BS40&gt;1,BS40&lt;12,Tabla1[[#This Row],[T.A. SISTOLICA - ANTES DE SEMANA 12]]="",Tabla1[[#This Row],[T.A. DIASTOLICA - ANTES DE SEMANA 12]]=""),"REGISTRE DATO TA ANTES SEMANA 12",IF(AND(BS40&gt;11,BS40&lt;43,Tabla1[[#This Row],[T.A. SISTOLICA - ANTES DE SEMANA 12]]="",Tabla1[[#This Row],[T.A. DIASTOLICA - ANTES DE SEMANA 12]]=""),"NO APLICA REGISTRO TA-INGRESO TARDIO",IF(AND(OR(O40&gt;0,R40&gt;0),OR(CR40&gt;=140,CS40&gt;=90)),"DEFINIR ESTADIO HTA",IF(AND(OR(O40&gt;0,R40&gt;0),AND(CR40&gt;120,CR40&lt;=139)),"PRE HTA SEGUIMIENTO",IF(AND(OR(O40&gt;0,R40&gt;0),AND(CS40&gt;80,CS40&lt;=89)),"PRE HTA SEGUIMIENTO",IF(AND(OR(O40&gt;0,R40&gt;0),AND(CR40&gt;=80,CR40&lt;=120)),"APARENTEMENTE NORMAL",IF(AND(OR(O40&gt;0,R40&gt;0),AND(CS40&gt;=50,CS40&lt;=80)),"APARENTEMENTE NORMAL",IF(AND(OR(O40&gt;0,R40&gt;0),AND(CR40&gt;1,CR40&lt;=70),AND(CS40&gt;1,CS40&lt;=40)),"HIPOTENSIÓN","")))))))))</f>
        <v>NO APLICA REGISTRO TA-INGRESO TARDIO</v>
      </c>
      <c r="CU40" s="21">
        <v>120</v>
      </c>
      <c r="CV40" s="21">
        <v>60</v>
      </c>
      <c r="CW40" s="217" t="str">
        <f ca="1">IF(R40="","",IF(AND(CN40&gt;19,CN40&lt;27,Tabla1[[#This Row],[T.A. SISTOLICA (Entre semana 20 y 26)]]="",Tabla1[[#This Row],[T.A. DIATOLICA (Entre semana 20 y 26)]]=""),"ACUDE A CONTROL SEM 20 A 26 REGISTRE TA AHORA",IF(AND(BS40&gt;1,BS40&lt;27,BU40&gt;19,Tabla1[[#This Row],[T.A. SISTOLICA (Entre semana 20 y 26)]]="",Tabla1[[#This Row],[T.A. DIATOLICA (Entre semana 20 y 26)]]=""),"COMPLETE REGISTRO TA CONTROL SEM 20 A26 ",IF(AND(BS40&gt;26,BS40&lt;43,Tabla1[[#This Row],[T.A. SISTOLICA (Entre semana 20 y 26)]]="",Tabla1[[#This Row],[T.A. DIATOLICA (Entre semana 20 y 26)]]=""),"NO APLICA REGISTRO TA-INGRESO TARDIO",IF(AND(OR(O40&gt;0,R40&gt;0),OR(CU40&gt;=140,CV40&gt;=90)),"ALTO RIESGO PREECLAMPSIA,DEFINIR ESTADIO HTA",IF(AND(OR(O40&gt;0,R40&gt;0),AND(CU40&gt;120,CU40&lt;=139)),"PRE HTA SEGUIMIENTO,RIESGO HIPERTENSION INDUCIDA POR EL EMBARAZO",IF(AND(OR(O40&gt;0,R40&gt;0),AND(CV40&gt;80,CV40&lt;=89)),"PRE HTA SEGUIMIENTO, RIESGO HIPERTENSION INDUCIDA POR EL EMBARAZO",IF(AND(OR(O40&lt;&gt;"",R40&lt;&gt;""),CS40&lt;&gt;"",CV40&lt;&gt;"",CS40&lt;=CV40),"VIGILAR CIFRAS PRESION ARTERIAL",IF(AND(OR(O40&gt;0,R40&gt;0),AND(CU40&gt;120,CU40&lt;=139)),"PRE HTA SEGUIMIENTO",IF(AND(OR(O40&gt;0,R40&gt;0),AND(CU40&gt;1,CU40&lt;=70),AND(CV40&gt;1,CV40&lt;=40)),"HIPOTENSIÓN",IF(AND(OR(O40&lt;&gt;"",R40&lt;&gt;""),CS40&lt;&gt;"",CV40&lt;&gt;"",CS40&gt;CV40),"APARENTEMENTE NORMAL",IF(AND(OR(O40&gt;0,R40&gt;0),AND(CU40&gt;=80,CU40&lt;=120)),"APARENTEMENTE NORMAL",IF(AND(OR(O40&gt;0,R40&gt;0),AND(CV40&gt;=50,CV40&lt;=80)),"APARENTEMENTE NORMAL","")))))))))))))</f>
        <v>APARENTEMENTE NORMAL</v>
      </c>
      <c r="CX40" s="21"/>
      <c r="CY40" s="21"/>
      <c r="CZ40" s="216" t="str">
        <f t="shared" si="195"/>
        <v/>
      </c>
      <c r="DA40" s="21"/>
      <c r="DB40" s="21"/>
      <c r="DC40" s="217" t="str">
        <f t="shared" si="12"/>
        <v>REGISTRE DATO PRESIÓN ARTERIAL MENSUAL</v>
      </c>
      <c r="DD40" s="22">
        <v>44862</v>
      </c>
      <c r="DE40" s="22">
        <v>44862</v>
      </c>
      <c r="DF40" s="22"/>
      <c r="DG40" s="22"/>
      <c r="DH40" s="22"/>
      <c r="DI40" s="22"/>
      <c r="DJ40" s="22"/>
      <c r="DK40" s="22"/>
      <c r="DL40" s="22"/>
      <c r="DM40" s="22"/>
      <c r="DN40" s="22"/>
      <c r="DO40" s="22"/>
      <c r="DP40" s="22"/>
      <c r="DQ40" s="22"/>
      <c r="DR40" s="28"/>
      <c r="DS40" s="22"/>
      <c r="DT40" s="22"/>
      <c r="DU40" s="216" t="str">
        <f t="shared" ca="1" si="196"/>
        <v>SALE SIN PLAN DE PARTO</v>
      </c>
      <c r="DV40" s="226" t="str">
        <f t="shared" si="197"/>
        <v>SALIO PROGRAMA</v>
      </c>
      <c r="DW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0" s="216" t="str">
        <f t="shared" ca="1" si="15"/>
        <v/>
      </c>
      <c r="DY40" s="212">
        <f>IF(R40="","",IF(R40&gt;0,MAX(Tabla1[[#This Row],[FECHA C2]:[FECHA C13]],Tabla1[[#This Row],[FECHA CONSULTA PRIMERA VEZ PROGRAMA CPN ]])))</f>
        <v>44863</v>
      </c>
      <c r="DZ40" s="216">
        <f t="shared" si="16"/>
        <v>19</v>
      </c>
      <c r="EA40" s="222">
        <f>IF(R40&gt;0,SUM(COUNTA(DF40:DQ40)+COUNTA(Tabla1[[#This Row],[FECHA CONSULTA PRIMERA VEZ PROGRAMA CPN ]])),"")</f>
        <v>1</v>
      </c>
      <c r="EB40" s="222" t="str">
        <f t="shared" si="17"/>
        <v>NO</v>
      </c>
      <c r="EC40" s="214">
        <f t="shared" si="18"/>
        <v>7</v>
      </c>
      <c r="ED40" s="227">
        <f t="shared" si="19"/>
        <v>0.14285714285714285</v>
      </c>
      <c r="EE40" s="22">
        <v>44862</v>
      </c>
      <c r="EF40" s="22">
        <v>44863</v>
      </c>
      <c r="EG40" s="22">
        <v>44862</v>
      </c>
      <c r="EH40" s="22"/>
      <c r="EI40" s="22">
        <v>44862</v>
      </c>
      <c r="EJ40" s="22">
        <v>44942</v>
      </c>
      <c r="EK40" s="22">
        <v>44942</v>
      </c>
      <c r="EL40" s="21"/>
      <c r="EM40" s="21">
        <v>12.2</v>
      </c>
      <c r="EN40" s="22">
        <v>44863</v>
      </c>
      <c r="EO40" s="222">
        <f t="shared" si="20"/>
        <v>19.428571428571427</v>
      </c>
      <c r="EP40" s="214" t="str">
        <f t="shared" si="21"/>
        <v>NORMAL- SUMINISTRAR SULFATO FERROSO</v>
      </c>
      <c r="EQ40" s="216" t="str">
        <f t="shared" si="22"/>
        <v>II TRIM</v>
      </c>
      <c r="ER40" s="24"/>
      <c r="ES40" s="22"/>
      <c r="ET40" s="29" t="str">
        <f t="shared" ca="1" si="198"/>
        <v>SALE SIN TAMIZAJE HEMOGLOBINA SEM 28</v>
      </c>
      <c r="EU40" s="25" t="str">
        <f t="shared" si="24"/>
        <v/>
      </c>
      <c r="EV40" s="24" t="s">
        <v>866</v>
      </c>
      <c r="EW40" s="24">
        <v>44863</v>
      </c>
      <c r="EX40" s="22"/>
      <c r="EY40" s="29">
        <f t="shared" si="199"/>
        <v>19.428571428571427</v>
      </c>
      <c r="EZ40" s="25" t="str">
        <f t="shared" ca="1" si="200"/>
        <v/>
      </c>
      <c r="FA40" s="21">
        <v>70</v>
      </c>
      <c r="FB40" s="22">
        <v>44863</v>
      </c>
      <c r="FC40" s="29">
        <f t="shared" si="27"/>
        <v>19.428571428571427</v>
      </c>
      <c r="FD40" s="29"/>
      <c r="FE40" s="29"/>
      <c r="FF40" s="29"/>
      <c r="FG40" s="21" t="str">
        <f t="shared" ca="1" si="28"/>
        <v/>
      </c>
      <c r="FH40" s="31"/>
      <c r="FI40" s="29" t="str">
        <f t="shared" si="29"/>
        <v>TOMAR EXAMEN</v>
      </c>
      <c r="FJ40" s="22"/>
      <c r="FK40" s="22"/>
      <c r="FL40" s="29" t="str">
        <f t="shared" ca="1" si="30"/>
        <v>NO APLICA-INGRESO TARDIO</v>
      </c>
      <c r="FM40" s="22" t="s">
        <v>867</v>
      </c>
      <c r="FN40" s="32">
        <v>44863</v>
      </c>
      <c r="FO40" s="29">
        <f t="shared" ca="1" si="201"/>
        <v>19.428571428571427</v>
      </c>
      <c r="FP40" s="22"/>
      <c r="FQ40" s="32"/>
      <c r="FR40" s="29" t="str">
        <f t="shared" ca="1" si="202"/>
        <v>PIERDE TOMA DE TAMIZAJE</v>
      </c>
      <c r="FS40" s="22"/>
      <c r="FT40" s="32"/>
      <c r="FU40" s="29" t="str">
        <f>IF(AND(FJ40="",FM40="",FP40="",FS40=""),"",IF(OR(OR(Tabla1[[#This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0" s="28"/>
      <c r="FW40" s="22"/>
      <c r="FX40" s="29" t="str">
        <f t="shared" si="33"/>
        <v>TOMAR EXAMEN</v>
      </c>
      <c r="FY40" s="22">
        <v>44863</v>
      </c>
      <c r="FZ40" s="22">
        <v>44863</v>
      </c>
      <c r="GA40" s="29" t="str">
        <f t="shared" si="203"/>
        <v>REGISTRAR EN II TRIMESTRE</v>
      </c>
      <c r="GB40" s="22" t="s">
        <v>868</v>
      </c>
      <c r="GC40" s="22">
        <v>44863</v>
      </c>
      <c r="GD40" s="29">
        <f t="shared" ca="1" si="204"/>
        <v>19.428571428571427</v>
      </c>
      <c r="GE40" s="22"/>
      <c r="GF40" s="22"/>
      <c r="GG40" s="29" t="str">
        <f t="shared" ca="1" si="205"/>
        <v>PIERDE TOMA DE TAMIZAJE</v>
      </c>
      <c r="GH40" s="22"/>
      <c r="GI40" s="29"/>
      <c r="GJ40" s="22"/>
      <c r="GK40" s="22"/>
      <c r="GL40" s="22" t="s">
        <v>879</v>
      </c>
      <c r="GM40" s="22"/>
      <c r="GN40" s="28" t="s">
        <v>869</v>
      </c>
      <c r="GO40" s="22">
        <v>44863</v>
      </c>
      <c r="GP40" s="29">
        <f t="shared" si="37"/>
        <v>19.428571428571427</v>
      </c>
      <c r="GQ40" s="28" t="s">
        <v>880</v>
      </c>
      <c r="GR40" s="28" t="s">
        <v>869</v>
      </c>
      <c r="GS40" s="22" t="str">
        <f t="shared" si="206"/>
        <v>SE EXCLUYE INFECCION</v>
      </c>
      <c r="GT40" s="22">
        <v>44863</v>
      </c>
      <c r="GU40" s="29">
        <f t="shared" si="39"/>
        <v>19.428571428571427</v>
      </c>
      <c r="GV40" s="21" t="str">
        <f t="shared" si="40"/>
        <v>II TRIM</v>
      </c>
      <c r="GW40" s="28" t="s">
        <v>869</v>
      </c>
      <c r="GX40" s="30"/>
      <c r="GY40" s="21" t="s">
        <v>906</v>
      </c>
      <c r="GZ40" s="21"/>
      <c r="HA40" s="21"/>
      <c r="HB40" s="21"/>
      <c r="HC40" s="21"/>
      <c r="HD40" s="21"/>
      <c r="HE40" s="21"/>
      <c r="HF40" s="22"/>
      <c r="HG40" s="22" t="str">
        <f>IF(OR(O40&gt;0,R40&gt;0),CONCATENATE(IF(Tabla1[[#This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0" s="22" t="e">
        <f t="shared" si="41"/>
        <v>#REF!</v>
      </c>
      <c r="HI40" s="22" t="e">
        <f t="shared" ca="1" si="42"/>
        <v>#REF!</v>
      </c>
      <c r="HJ40" s="21"/>
      <c r="HK40" s="21" t="str">
        <f t="shared" si="44"/>
        <v>SIN ANTECEDENTES DE RIESGO</v>
      </c>
      <c r="HL40" s="24" t="str">
        <f t="shared" si="45"/>
        <v>REGISTRE DATO PRESIÓN ARTERIAL MENSUAL</v>
      </c>
      <c r="HM40" s="21" t="str">
        <f t="shared" ca="1" si="46"/>
        <v/>
      </c>
      <c r="HN40" s="30" t="str">
        <f t="shared" si="207"/>
        <v>SALIO PROGRAMA</v>
      </c>
      <c r="HO40" s="21"/>
      <c r="HP40" s="21"/>
      <c r="HQ40" s="21">
        <v>44863</v>
      </c>
      <c r="HR40" s="21" t="str">
        <f>IF(R40="","",IF(Tabla1[[#This Row],[ALARMA FACTORES DE RIESGO COMPLICACIONES HIPERTENSIVAS3]]="SIN ANTECEDENTES DE RIESGO","No Aplica para suministro de ASA",IF(AND(Tabla1[[#This Row],[FECHA INICIO DE SUMINISTRO DE ASA]]&gt;0,RV40&lt;12),"Inicia ASA ANTES de Sem 12",IF(AND(RV40&gt;11,RV40&lt;17,OR(HK40="RIESGO ALTO DE COMPLICACIONES HIPERTENSIVAS VER MANEJO GUIA SUMINISTRO ASA Y CALCIO",HK40="RIESGO MODERADO (2 O MAS CRITERIOS) VER MANEJO GUIA SUMINISTRO ASA Y CALCIO")),"Inicio oportuno de ASA",IF(AND(RV40&gt;12,OR(HK40="RIESGO ALTO DE COMPLICACIONES HIPERTENSIVAS VER MANEJO GUIA SUMINISTRO ASA Y CALCIO",HK40="RIESGO MODERADO (2 O MAS CRITERIOS) VER MANEJO GUIA SUMINISTRO ASA Y CALCIO")),"Inicio no oportuno mayor a 16 semanas",IF(AND(BU40&lt;12,OR(HK40="RIESGO ALTO DE COMPLICACIONES HIPERTENSIVAS VER MANEJO GUIA SUMINISTRO ASA Y CALCIO",HK40="RIESGO MODERADO (2 O MAS CRITERIOS) VER MANEJO GUIA SUMINISTRO ASA Y CALCIO")),"Pendiente Inicio de ASA a la semana 12",IF(AND(BU40&gt;11,BU40&lt;17,OR(HK40="RIESGO ALTO DE COMPLICACIONES HIPERTENSIVAS VER MANEJO GUIA SUMINISTRO ASA Y CALCIO",HK40="RIESGO MODERADO (2 O MAS CRITERIOS) VER MANEJO GUIA SUMINISTRO ASA Y CALCIO")),"Iniciar de inmediato ASA",IF(AND(BU40&gt;16,OR(HK40="RIESGO ALTO DE COMPLICACIONES HIPERTENSIVAS VER MANEJO GUIA SUMINISTRO ASA Y CALCIO",HK40="RIESGO MODERADO (2 O MAS CRITERIOS) VER MANEJO GUIA SUMINISTRO ASA Y CALCIO")),"Pierde Oportunidad, Inicio tardío de ASA","XXXXX"))))))))</f>
        <v>No Aplica para suministro de ASA</v>
      </c>
      <c r="HS40" s="22">
        <v>44863</v>
      </c>
      <c r="HT40" s="22" t="s">
        <v>870</v>
      </c>
      <c r="HU40" s="22"/>
      <c r="HV40" s="22"/>
      <c r="HW40" s="22">
        <v>44863</v>
      </c>
      <c r="HX40" s="22" t="s">
        <v>870</v>
      </c>
      <c r="HY40" s="22">
        <v>44870</v>
      </c>
      <c r="HZ40" s="28">
        <f t="shared" si="48"/>
        <v>20.428571428571427</v>
      </c>
      <c r="IA40" s="26" t="s">
        <v>864</v>
      </c>
      <c r="IB40" s="26"/>
      <c r="IC40" s="111"/>
      <c r="ID40" s="22"/>
      <c r="IE40" s="22" t="str">
        <f t="shared" ca="1" si="49"/>
        <v>SALE SIN VACUNA</v>
      </c>
      <c r="IF40" s="22"/>
      <c r="IG40" s="22">
        <f t="shared" si="50"/>
        <v>45007</v>
      </c>
      <c r="IH40" s="29">
        <f t="shared" ca="1" si="51"/>
        <v>-226</v>
      </c>
      <c r="II40" s="22" t="str">
        <f t="shared" ca="1" si="52"/>
        <v>POSIBLEMENTE NACIO</v>
      </c>
      <c r="IJ40" s="22"/>
      <c r="IK40" s="21" t="s">
        <v>898</v>
      </c>
      <c r="IL40" s="21"/>
      <c r="IM40" s="34"/>
      <c r="IN40" s="349">
        <v>44986</v>
      </c>
      <c r="IO40" s="21" t="s">
        <v>1186</v>
      </c>
      <c r="IP40" s="29">
        <f t="shared" si="208"/>
        <v>37</v>
      </c>
      <c r="IQ40" s="110" t="s">
        <v>1654</v>
      </c>
      <c r="IR40" s="21" t="s">
        <v>1651</v>
      </c>
      <c r="IS40" s="21" t="s">
        <v>1646</v>
      </c>
      <c r="IT40" s="21" t="s">
        <v>1642</v>
      </c>
      <c r="IU40" s="21"/>
      <c r="IV40" s="21"/>
      <c r="IW40" s="21"/>
      <c r="IX40" s="21"/>
      <c r="IY40" s="21"/>
      <c r="IZ40" s="21"/>
      <c r="JA40" s="21"/>
      <c r="JB40" s="30">
        <v>1</v>
      </c>
      <c r="JC40" s="21" t="s">
        <v>1647</v>
      </c>
      <c r="JD40" s="36">
        <v>3450</v>
      </c>
      <c r="JE40" s="21" t="str">
        <f t="shared" si="209"/>
        <v>PESO ADECUADO EDAD GESTACIONAL</v>
      </c>
      <c r="JF40" s="30"/>
      <c r="JG40" s="21"/>
      <c r="JH40" s="21"/>
      <c r="JI40" s="21" t="s">
        <v>854</v>
      </c>
      <c r="JJ40" s="30" t="s">
        <v>866</v>
      </c>
      <c r="JK40" s="22"/>
      <c r="JL40" s="22"/>
      <c r="JM40" s="21"/>
      <c r="JN40" s="36"/>
      <c r="JO40" s="21" t="str">
        <f t="shared" si="210"/>
        <v/>
      </c>
      <c r="JP40" s="22"/>
      <c r="JQ40" s="21"/>
      <c r="JR40" s="21"/>
      <c r="JS40" s="21"/>
      <c r="JT40" s="30"/>
      <c r="JU40" s="22"/>
      <c r="JV40" s="22"/>
      <c r="JW40" s="33"/>
      <c r="JX40" s="28" t="str">
        <f t="shared" si="211"/>
        <v>INASISTENTE</v>
      </c>
      <c r="JY40" s="33"/>
      <c r="JZ40" s="28" t="str">
        <f t="shared" si="212"/>
        <v>INASISTENTE</v>
      </c>
      <c r="KA40" s="21"/>
      <c r="KB40" s="21"/>
      <c r="KC40" s="21"/>
      <c r="KD40" s="37"/>
      <c r="KE40" s="28"/>
      <c r="KF40" s="28"/>
      <c r="KG40" s="28"/>
      <c r="KH40" s="39"/>
      <c r="KI40" s="39"/>
      <c r="KJ40" s="66"/>
      <c r="KK40" s="39"/>
      <c r="KL40" s="39"/>
      <c r="KM40" s="66"/>
      <c r="KN40" s="39"/>
      <c r="KO40" s="39"/>
      <c r="KP40" s="39"/>
      <c r="KQ40" s="39"/>
      <c r="KR40" s="39"/>
      <c r="KS40" s="39"/>
      <c r="KT40" s="39"/>
      <c r="KU40" s="38"/>
      <c r="KV40" s="38"/>
      <c r="KW40" s="38"/>
      <c r="KX40" s="38"/>
      <c r="KY40" s="38"/>
      <c r="KZ40" s="38"/>
      <c r="LA40" s="38"/>
      <c r="LB40" s="38"/>
      <c r="LC40" s="38"/>
      <c r="LD40" s="38"/>
      <c r="LE40" s="38"/>
      <c r="LF40" s="38"/>
      <c r="LG40" s="38"/>
      <c r="LH40" s="38"/>
      <c r="LI40" s="38"/>
      <c r="LJ40" s="38"/>
      <c r="LK40" s="38"/>
      <c r="LL40" s="38"/>
      <c r="LM40" s="38"/>
      <c r="LN40" s="38"/>
      <c r="LO40" s="38"/>
      <c r="LP40" s="38"/>
      <c r="LQ40" s="38"/>
      <c r="LR40" s="38"/>
      <c r="LS40" s="38"/>
      <c r="LT40" s="38"/>
      <c r="LU40" s="38"/>
      <c r="LV40" s="38"/>
      <c r="LW40" s="38"/>
      <c r="LX40" s="38"/>
      <c r="LY40" s="38"/>
      <c r="LZ40" s="38"/>
      <c r="MA40" s="38"/>
      <c r="MB40" s="38"/>
      <c r="MC40" s="38"/>
      <c r="MD40" s="38"/>
      <c r="ME40" s="38"/>
      <c r="MF40" s="38"/>
      <c r="MG40" s="38"/>
      <c r="MH40" s="43">
        <f t="shared" si="213"/>
        <v>0</v>
      </c>
      <c r="MI40" s="43" t="str">
        <f t="shared" si="214"/>
        <v/>
      </c>
      <c r="MJ40" s="43" t="str">
        <f t="shared" si="215"/>
        <v/>
      </c>
      <c r="MK40" s="43">
        <f t="shared" si="216"/>
        <v>0</v>
      </c>
      <c r="ML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0" s="43">
        <f t="shared" si="217"/>
        <v>19.428571428571427</v>
      </c>
      <c r="MN40" s="43">
        <f t="shared" si="218"/>
        <v>10</v>
      </c>
      <c r="MO40" s="43">
        <f t="shared" si="219"/>
        <v>2022</v>
      </c>
      <c r="MP40" s="43" t="str">
        <f t="shared" si="220"/>
        <v>IV TRIMESTRE AÑO</v>
      </c>
      <c r="MQ40" s="43">
        <f t="shared" si="221"/>
        <v>29.28712220762155</v>
      </c>
      <c r="MR40" s="43">
        <f t="shared" si="222"/>
        <v>0</v>
      </c>
      <c r="MS40" s="43" t="str">
        <f t="shared" si="223"/>
        <v xml:space="preserve"> DE 25 A 29 AÑOS</v>
      </c>
      <c r="MT40" s="43">
        <f t="shared" si="224"/>
        <v>0</v>
      </c>
      <c r="MU40" s="43">
        <f t="shared" si="225"/>
        <v>0</v>
      </c>
      <c r="MV40" s="43">
        <f t="shared" si="226"/>
        <v>0</v>
      </c>
      <c r="MW40" s="43">
        <f t="shared" si="227"/>
        <v>0</v>
      </c>
      <c r="MX40" s="43" t="str">
        <f t="shared" si="228"/>
        <v/>
      </c>
      <c r="MY40" s="43" t="str">
        <f t="shared" ca="1" si="229"/>
        <v/>
      </c>
      <c r="MZ40" s="43" t="str">
        <f t="shared" si="230"/>
        <v/>
      </c>
      <c r="NA40" s="43" t="str">
        <f t="shared" si="231"/>
        <v/>
      </c>
      <c r="NB40" s="43" t="str">
        <f t="shared" si="232"/>
        <v/>
      </c>
      <c r="NC40" s="43" t="str">
        <f t="shared" si="233"/>
        <v/>
      </c>
      <c r="ND40" s="43">
        <f t="shared" ca="1" si="234"/>
        <v>0.5</v>
      </c>
      <c r="NE40" s="43">
        <f>IF(OR(O40&gt;0,R40&gt;0),SUM(COUNTIF(Tabla1[[#This Row],[AÑOS AL INICIO5 CPN]],"&gt;=40"),COUNTIF(AS40,"0"),COUNTIF(AR40,"SI"),COUNTIF(CC40,"SI"),COUNTIF(BQ40,"&gt;119"),COUNTIF(CI40,"&gt;=35")),"")</f>
        <v>1</v>
      </c>
      <c r="NF40" s="43" t="str">
        <f t="shared" si="235"/>
        <v/>
      </c>
      <c r="NG40" s="43">
        <f t="shared" si="236"/>
        <v>0.5</v>
      </c>
      <c r="NH40" s="43" t="str">
        <f t="shared" si="237"/>
        <v/>
      </c>
      <c r="NI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CPN",P40="NO"),"Z",IF(AND(Tabla1[[#This Row],[CITA PROXIMO CONTROL]]="CITA MANUAL",Tabla1[[#This Row],[GESTANTES ACTUALES]]="ACTIVA INGRESO A CPN"),"W",IF(AND(Tabla1[[#This Row],[GESTANTES ACTUALES]]="SALIO PROGRAMA",IN40=""),"S",IF(AND(Tabla1[[#This Row],[CITA PROXIMO CONTROL]]&gt;0,IN40=""),(Tabla1[[#This Row],[CITA PROXIMO CONTROL]]-TODAY()),"SD"))))))))</f>
        <v>SD</v>
      </c>
      <c r="NJ40" s="43">
        <f>MONTH(Tabla1[[#This Row],[FECHA DE SALIDA  DEL PROGRAMA]])</f>
        <v>3</v>
      </c>
      <c r="NK40" s="43">
        <f>YEAR(Tabla1[[#This Row],[FECHA DE SALIDA  DEL PROGRAMA]])</f>
        <v>2023</v>
      </c>
      <c r="NL40" s="43">
        <f t="shared" si="238"/>
        <v>80</v>
      </c>
      <c r="NM40" s="43" t="str">
        <f t="shared" si="239"/>
        <v>NO</v>
      </c>
      <c r="NN40" s="43" t="str">
        <f ca="1">IF(AND(O40&gt;0,R40=""),"NO CPN",IF(AND(O40="",R40=""),"",IF(AND(R40&gt;0,Tabla1[[#This Row],[SEMANAS DE GESTACION ACTUALIZADAS]]&lt;=12),"NO APLICA",IF(AND(FH40&lt;&gt;"",FN40&lt;&gt;""),"SI","NO"))))</f>
        <v>NO</v>
      </c>
      <c r="NO40" s="43" t="str">
        <f ca="1">IF(AND(O40&gt;0,R40=""),"NO CPN",IF(AND(O40="",R40=""),"",IF(AND(R40&gt;0,Tabla1[[#This Row],[SEMANAS DE GESTACION ACTUALIZADAS]]&lt;=27),"NO APLICA",IF(AND(ES40&lt;&gt;"",FQ40&lt;&gt;"",GF40&lt;&gt;""),"SI","NO"))))</f>
        <v>NO</v>
      </c>
      <c r="NP40" s="204" t="str">
        <f t="shared" si="240"/>
        <v>DEFINIR CON ECO</v>
      </c>
      <c r="NQ40" s="21" t="str">
        <f t="shared" si="241"/>
        <v/>
      </c>
      <c r="NR40" s="21">
        <f t="shared" si="242"/>
        <v>2</v>
      </c>
      <c r="NS40" s="205">
        <f t="shared" ca="1" si="243"/>
        <v>1</v>
      </c>
      <c r="NT40" s="21">
        <f t="shared" ca="1" si="244"/>
        <v>1</v>
      </c>
      <c r="NU40" s="21" t="str">
        <f t="shared" ca="1" si="245"/>
        <v>INCOMPLETO</v>
      </c>
      <c r="NV40" s="21" t="str">
        <f t="shared" ca="1" si="246"/>
        <v>INCOMPLETO</v>
      </c>
      <c r="NW40" s="206" t="str">
        <f>IF(AND(O40="",R40=""),"",IF(OR(AND(Tabla1[[#This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0" s="207" t="str">
        <f t="shared" ca="1" si="247"/>
        <v>SIN VACUNAR</v>
      </c>
      <c r="NY40" s="43">
        <f>ROW(Tabla1[[#This Row],['# DE TAMIZAJES SIFILIS TOMADOS ]])</f>
        <v>40</v>
      </c>
      <c r="NZ40" s="43">
        <f t="shared" si="93"/>
        <v>19</v>
      </c>
      <c r="OA40" s="43" t="str">
        <f t="shared" si="94"/>
        <v/>
      </c>
      <c r="OB40" s="43" t="str">
        <f t="shared" si="95"/>
        <v/>
      </c>
      <c r="OC40" s="43" t="str">
        <f t="shared" si="96"/>
        <v/>
      </c>
      <c r="OD40" s="43" t="str">
        <f t="shared" si="97"/>
        <v/>
      </c>
      <c r="OE40" s="43" t="str">
        <f t="shared" si="98"/>
        <v/>
      </c>
      <c r="OF40" s="43" t="str">
        <f t="shared" si="99"/>
        <v/>
      </c>
      <c r="OG40" s="43" t="str">
        <f t="shared" si="100"/>
        <v/>
      </c>
      <c r="OH40" s="43" t="str">
        <f t="shared" si="101"/>
        <v/>
      </c>
      <c r="OI40" s="43" t="str">
        <f t="shared" si="102"/>
        <v/>
      </c>
      <c r="OJ40" s="43" t="str">
        <f t="shared" si="103"/>
        <v/>
      </c>
      <c r="OK40" s="43" t="str">
        <f t="shared" si="104"/>
        <v>OBESIDAD</v>
      </c>
      <c r="OL40" s="43" t="str">
        <f t="shared" si="105"/>
        <v/>
      </c>
      <c r="OM40" s="43" t="str">
        <f t="shared" si="106"/>
        <v/>
      </c>
      <c r="ON40" s="43" t="str">
        <f t="shared" si="107"/>
        <v/>
      </c>
      <c r="OO40" s="43" t="str">
        <f t="shared" si="108"/>
        <v/>
      </c>
      <c r="OP40" s="43" t="str">
        <f t="shared" si="109"/>
        <v/>
      </c>
      <c r="OQ40" s="43" t="str">
        <f t="shared" si="110"/>
        <v/>
      </c>
      <c r="OR40" s="43" t="str">
        <f t="shared" si="111"/>
        <v/>
      </c>
      <c r="OS40" s="43" t="str">
        <f t="shared" si="112"/>
        <v/>
      </c>
      <c r="OT40" s="43" t="str">
        <f t="shared" si="113"/>
        <v/>
      </c>
      <c r="OU40" s="43" t="str">
        <f t="shared" si="114"/>
        <v/>
      </c>
      <c r="OV40" s="110" t="str">
        <f t="shared" si="115"/>
        <v/>
      </c>
      <c r="OW40" s="43" t="str">
        <f t="shared" si="116"/>
        <v/>
      </c>
      <c r="OX40" s="43" t="str">
        <f t="shared" si="117"/>
        <v/>
      </c>
      <c r="OY40" s="43" t="str">
        <f t="shared" si="118"/>
        <v/>
      </c>
      <c r="OZ40" s="43" t="str">
        <f t="shared" si="119"/>
        <v/>
      </c>
      <c r="PA40" s="43" t="str">
        <f t="shared" si="120"/>
        <v/>
      </c>
      <c r="PB40" s="43" t="str">
        <f t="shared" si="121"/>
        <v/>
      </c>
      <c r="PC40" s="43" t="str">
        <f t="shared" si="122"/>
        <v/>
      </c>
      <c r="PD40" s="43" t="str">
        <f t="shared" si="123"/>
        <v/>
      </c>
      <c r="PE40" s="43" t="str">
        <f t="shared" si="124"/>
        <v/>
      </c>
      <c r="PF40" s="43" t="str">
        <f t="shared" si="125"/>
        <v/>
      </c>
      <c r="PG40" s="43" t="str">
        <f t="shared" si="126"/>
        <v/>
      </c>
      <c r="PH40" s="43" t="str">
        <f t="shared" si="127"/>
        <v/>
      </c>
      <c r="PI40" s="43">
        <f t="shared" si="128"/>
        <v>19</v>
      </c>
      <c r="PJ40" s="43" t="str">
        <f t="shared" si="129"/>
        <v/>
      </c>
      <c r="PK40" s="43" t="str">
        <f t="shared" si="130"/>
        <v/>
      </c>
      <c r="PL40" s="43" t="str">
        <f t="shared" si="131"/>
        <v/>
      </c>
      <c r="PM40" s="43" t="str">
        <f t="shared" si="132"/>
        <v/>
      </c>
      <c r="PN40" s="43" t="str">
        <f t="shared" si="133"/>
        <v/>
      </c>
      <c r="PO40" s="43" t="str">
        <f t="shared" si="134"/>
        <v/>
      </c>
      <c r="PP40" s="43" t="str">
        <f t="shared" si="135"/>
        <v/>
      </c>
      <c r="PQ40" s="43" t="str">
        <f t="shared" si="136"/>
        <v/>
      </c>
      <c r="PR40" s="43" t="str">
        <f t="shared" si="137"/>
        <v/>
      </c>
      <c r="PS40" s="43" t="str">
        <f t="shared" si="138"/>
        <v/>
      </c>
      <c r="PT40" s="43" t="str">
        <f t="shared" si="139"/>
        <v/>
      </c>
      <c r="PU40" s="43" t="str">
        <f t="shared" si="140"/>
        <v/>
      </c>
      <c r="PV40" s="43" t="str">
        <f t="shared" si="141"/>
        <v/>
      </c>
      <c r="PW40" s="43" t="str">
        <f t="shared" si="142"/>
        <v/>
      </c>
      <c r="PX40" s="43" t="str">
        <f t="shared" si="143"/>
        <v/>
      </c>
      <c r="PY40" s="43" t="str">
        <f t="shared" si="144"/>
        <v/>
      </c>
      <c r="PZ40" s="43" t="str">
        <f t="shared" si="145"/>
        <v/>
      </c>
      <c r="QA40" s="43" t="str">
        <f t="shared" si="146"/>
        <v/>
      </c>
      <c r="QB40" s="43" t="str">
        <f t="shared" si="147"/>
        <v/>
      </c>
      <c r="QC40" s="43" t="str">
        <f t="shared" si="148"/>
        <v/>
      </c>
      <c r="QD40" s="43" t="str">
        <f t="shared" si="149"/>
        <v/>
      </c>
      <c r="QE40" s="43" t="str">
        <f t="shared" si="150"/>
        <v/>
      </c>
      <c r="QF40" s="43" t="str">
        <f t="shared" si="151"/>
        <v/>
      </c>
      <c r="QG40" s="43" t="str">
        <f t="shared" si="152"/>
        <v/>
      </c>
      <c r="QH40" s="43" t="str">
        <f t="shared" si="153"/>
        <v/>
      </c>
      <c r="QI40" s="43" t="str">
        <f t="shared" si="154"/>
        <v/>
      </c>
      <c r="QJ40" s="43" t="str">
        <f t="shared" si="155"/>
        <v/>
      </c>
      <c r="QK40" s="43" t="str">
        <f t="shared" si="156"/>
        <v/>
      </c>
      <c r="QL40" s="43" t="str">
        <f t="shared" si="157"/>
        <v/>
      </c>
      <c r="QM40" s="43" t="str">
        <f t="shared" si="158"/>
        <v/>
      </c>
      <c r="QN40" s="43" t="str">
        <f t="shared" si="159"/>
        <v/>
      </c>
      <c r="QO40" s="43" t="str">
        <f t="shared" si="160"/>
        <v/>
      </c>
      <c r="QP40" s="43" t="str">
        <f t="shared" si="161"/>
        <v/>
      </c>
      <c r="QQ40" s="43" t="str">
        <f t="shared" si="162"/>
        <v/>
      </c>
      <c r="QR40" s="43">
        <f t="shared" si="192"/>
        <v>19</v>
      </c>
      <c r="QS40" s="43"/>
      <c r="QT40" s="21" t="str">
        <f t="shared" si="163"/>
        <v/>
      </c>
      <c r="QU40" s="21" t="str">
        <f t="shared" si="164"/>
        <v/>
      </c>
      <c r="QV40" s="21" t="str">
        <f t="shared" si="165"/>
        <v/>
      </c>
      <c r="QW40" s="21" t="str">
        <f t="shared" si="166"/>
        <v/>
      </c>
      <c r="QX40" s="21" t="str">
        <f t="shared" si="167"/>
        <v/>
      </c>
      <c r="QY40" s="21" t="str">
        <f t="shared" si="168"/>
        <v/>
      </c>
      <c r="QZ40" s="21" t="str">
        <f t="shared" si="169"/>
        <v/>
      </c>
      <c r="RA40" s="21" t="str">
        <f t="shared" si="170"/>
        <v/>
      </c>
      <c r="RB40" s="21" t="str">
        <f t="shared" si="171"/>
        <v/>
      </c>
      <c r="RC40" s="21" t="str">
        <f t="shared" si="172"/>
        <v/>
      </c>
      <c r="RD40" s="21" t="str">
        <f t="shared" si="173"/>
        <v/>
      </c>
      <c r="RE40" s="21" t="str">
        <f t="shared" si="174"/>
        <v/>
      </c>
      <c r="RF40" s="21" t="str">
        <f t="shared" si="175"/>
        <v/>
      </c>
      <c r="RG40" s="21" t="str">
        <f t="shared" si="176"/>
        <v/>
      </c>
      <c r="RH40" s="21" t="str">
        <f t="shared" si="177"/>
        <v/>
      </c>
      <c r="RI40" s="21" t="str">
        <f t="shared" si="178"/>
        <v/>
      </c>
      <c r="RJ40" s="21" t="str">
        <f t="shared" si="179"/>
        <v/>
      </c>
      <c r="RK40" s="21" t="str">
        <f t="shared" si="180"/>
        <v/>
      </c>
      <c r="RL40" s="21" t="str">
        <f t="shared" si="181"/>
        <v/>
      </c>
      <c r="RM40" s="21" t="str">
        <f t="shared" si="182"/>
        <v/>
      </c>
      <c r="RN40" s="21" t="str">
        <f t="shared" si="183"/>
        <v/>
      </c>
      <c r="RO40" s="21" t="str">
        <f t="shared" si="184"/>
        <v/>
      </c>
      <c r="RP40" s="21" t="str">
        <f t="shared" si="185"/>
        <v/>
      </c>
      <c r="RQ40" s="21" t="str">
        <f t="shared" si="186"/>
        <v/>
      </c>
      <c r="RR40" s="21" t="str">
        <f t="shared" si="187"/>
        <v/>
      </c>
      <c r="RS40" s="21" t="str">
        <f t="shared" si="188"/>
        <v/>
      </c>
      <c r="RT40" s="21" t="str">
        <f t="shared" si="189"/>
        <v/>
      </c>
      <c r="RU40" s="21" t="str">
        <f t="shared" si="190"/>
        <v/>
      </c>
      <c r="RV40" s="21">
        <f t="shared" si="191"/>
        <v>19.428571428571427</v>
      </c>
      <c r="RW40" s="284">
        <f>IF(OR(Tabla1[[#This Row],[FUM FORMULA CONFIABLE]]="",Tabla1[[#This Row],[FUM FORMULA CONFIABLE]]="SD"),"",IF(Tabla1[[#This Row],[FUM FORMULA CONFIABLE]]="CORREGIDA",Tabla1[[#This Row],[FUM X ECO 1]],Tabla1[[#This Row],[FUM x AMENORREA]]))</f>
        <v>44727</v>
      </c>
      <c r="RX40" s="21" t="str">
        <f>IF(AND(Tabla1[[#This Row],[FUM X ECO 1]]="",Tabla1[[#This Row],[FUM x AMENORREA]]=""),"",IF(AND(Tabla1[[#This Row],[FUM X ECO 1]]="",Tabla1[[#This Row],[FUM x AMENORREA]]&lt;&gt;""),"X",SUM(Tabla1[[#This Row],[FUM X ECO 1]]-Tabla1[[#This Row],[FUM x AMENORREA]])))</f>
        <v>X</v>
      </c>
      <c r="RY40" s="21" t="str">
        <f t="shared" si="193"/>
        <v>x</v>
      </c>
    </row>
    <row r="41" spans="1:493" ht="45" customHeight="1" x14ac:dyDescent="0.25">
      <c r="A41" s="109" t="s">
        <v>1076</v>
      </c>
      <c r="B41" s="43"/>
      <c r="C41" s="43" t="s">
        <v>845</v>
      </c>
      <c r="D41" s="124" t="s">
        <v>846</v>
      </c>
      <c r="E41" s="43" t="s">
        <v>1077</v>
      </c>
      <c r="F41" s="43" t="s">
        <v>1078</v>
      </c>
      <c r="G41" s="43" t="s">
        <v>1079</v>
      </c>
      <c r="H41" s="43" t="s">
        <v>1080</v>
      </c>
      <c r="I41" s="109" t="s">
        <v>851</v>
      </c>
      <c r="J41" s="110">
        <v>1007459317</v>
      </c>
      <c r="K41" s="43" t="s">
        <v>852</v>
      </c>
      <c r="L41" s="175" t="s">
        <v>1081</v>
      </c>
      <c r="M41" s="22">
        <v>36940</v>
      </c>
      <c r="N41" s="213">
        <f t="shared" ca="1" si="0"/>
        <v>22.720547945205478</v>
      </c>
      <c r="O41" s="22">
        <v>44867</v>
      </c>
      <c r="P41" s="214" t="str">
        <f t="shared" si="194"/>
        <v>SI</v>
      </c>
      <c r="Q41" s="26" t="s">
        <v>855</v>
      </c>
      <c r="R41" s="22">
        <v>44867</v>
      </c>
      <c r="S41" s="21" t="s">
        <v>856</v>
      </c>
      <c r="T41" s="24" t="s">
        <v>690</v>
      </c>
      <c r="U41" s="21" t="s">
        <v>857</v>
      </c>
      <c r="V41" s="21" t="s">
        <v>858</v>
      </c>
      <c r="W41" s="21" t="s">
        <v>1082</v>
      </c>
      <c r="X41" s="21" t="s">
        <v>1082</v>
      </c>
      <c r="Y41" s="21" t="s">
        <v>859</v>
      </c>
      <c r="Z41" s="21">
        <v>3126722712</v>
      </c>
      <c r="AA41" s="21" t="s">
        <v>860</v>
      </c>
      <c r="AB41" s="27" t="s">
        <v>861</v>
      </c>
      <c r="AC41" s="26" t="s">
        <v>897</v>
      </c>
      <c r="AD41" s="38" t="s">
        <v>846</v>
      </c>
      <c r="AE41" s="26" t="s">
        <v>854</v>
      </c>
      <c r="AF41" s="26" t="s">
        <v>854</v>
      </c>
      <c r="AG41" s="23" t="s">
        <v>864</v>
      </c>
      <c r="AH41" s="23" t="s">
        <v>864</v>
      </c>
      <c r="AI41" s="24" t="s">
        <v>863</v>
      </c>
      <c r="AJ41" s="23" t="s">
        <v>864</v>
      </c>
      <c r="AK41" s="220" t="str">
        <f>IF(AND(AD41="",AE41="",AF41="",AG41="",AH41="",AI41="",AJ41=""),"",IF(OR(Tabla1[[#This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EVALUACIÓN",IF(AND(O41="",R41=""),"",IF(AND(OR(O41&gt;0,R41&gt;0),NG41&gt;=0,NG41&lt;2),"SIN RIESGO",IF(AND(OR(O41&gt;0,R41&gt;0),NG41&gt;=2),"CON RIESGO","ASD")))))</f>
        <v>SIN RIESGO</v>
      </c>
      <c r="AL41" s="23" t="s">
        <v>864</v>
      </c>
      <c r="AM41" s="26" t="s">
        <v>864</v>
      </c>
      <c r="AN41" s="26" t="s">
        <v>864</v>
      </c>
      <c r="AO41" s="26" t="s">
        <v>864</v>
      </c>
      <c r="AP41" s="26" t="s">
        <v>864</v>
      </c>
      <c r="AQ41" s="26" t="s">
        <v>864</v>
      </c>
      <c r="AR41" s="26" t="s">
        <v>864</v>
      </c>
      <c r="AS41" s="21">
        <v>1</v>
      </c>
      <c r="AT41" s="21">
        <v>1</v>
      </c>
      <c r="AU41" s="21">
        <v>0</v>
      </c>
      <c r="AV41" s="26" t="s">
        <v>864</v>
      </c>
      <c r="AW41" s="21">
        <v>0</v>
      </c>
      <c r="AX41" s="26" t="s">
        <v>864</v>
      </c>
      <c r="AY41" s="26" t="s">
        <v>864</v>
      </c>
      <c r="AZ41" s="26" t="s">
        <v>864</v>
      </c>
      <c r="BA41" s="26" t="s">
        <v>864</v>
      </c>
      <c r="BB41" s="26" t="s">
        <v>864</v>
      </c>
      <c r="BC41" s="26" t="s">
        <v>864</v>
      </c>
      <c r="BD41" s="26" t="s">
        <v>864</v>
      </c>
      <c r="BE41" s="26" t="s">
        <v>864</v>
      </c>
      <c r="BF41" s="26" t="s">
        <v>864</v>
      </c>
      <c r="BG41" s="26" t="s">
        <v>864</v>
      </c>
      <c r="BH41" s="26" t="s">
        <v>864</v>
      </c>
      <c r="BI41" s="26" t="s">
        <v>864</v>
      </c>
      <c r="BJ41" s="26"/>
      <c r="BK41" s="26"/>
      <c r="BL41" s="26" t="s">
        <v>864</v>
      </c>
      <c r="BM41" s="26" t="s">
        <v>864</v>
      </c>
      <c r="BN41" s="22">
        <v>44505</v>
      </c>
      <c r="BO41" s="22">
        <v>44660</v>
      </c>
      <c r="BP41" s="21" t="s">
        <v>854</v>
      </c>
      <c r="BQ41" s="222">
        <f t="shared" si="2"/>
        <v>5.166666666666667</v>
      </c>
      <c r="BR41" s="223">
        <f t="shared" si="3"/>
        <v>44657</v>
      </c>
      <c r="BS41" s="224">
        <f t="shared" si="4"/>
        <v>29.571428571428573</v>
      </c>
      <c r="BT41" s="216" t="str">
        <f t="shared" si="5"/>
        <v>III TRIM</v>
      </c>
      <c r="BU41" s="214" t="str">
        <f t="shared" ca="1" si="6"/>
        <v/>
      </c>
      <c r="BV41" s="25"/>
      <c r="BW41" s="22">
        <v>44895</v>
      </c>
      <c r="BX41" s="28">
        <v>34</v>
      </c>
      <c r="BY41" s="28"/>
      <c r="BZ41" s="22">
        <v>44898</v>
      </c>
      <c r="CA41" s="21">
        <v>34</v>
      </c>
      <c r="CB41" s="26" t="s">
        <v>864</v>
      </c>
      <c r="CC41" s="26" t="s">
        <v>864</v>
      </c>
      <c r="CD41" s="26" t="s">
        <v>878</v>
      </c>
      <c r="CE41" s="26" t="s">
        <v>854</v>
      </c>
      <c r="CF41" s="22" t="s">
        <v>1517</v>
      </c>
      <c r="CG41" s="21">
        <v>1.48</v>
      </c>
      <c r="CH41" s="21">
        <v>59</v>
      </c>
      <c r="CI41" s="214">
        <f t="shared" si="7"/>
        <v>26.935719503287071</v>
      </c>
      <c r="CJ41" s="225" t="e">
        <f>IF(AND(CI41&lt;10,CH41="SD"),"SIN DATO PESO PREGESTACION O I TRIM",IF(AND(OR(R41&gt;0,O41&gt;0),CI41="X"),"INGRESAR DATO DE PESO",IF(CI41="SD","INGRESAR DATO DE TALLA Y PESO",IF(AND(OR(Tabla1[[#This Row],[MOMENTO EN QUE SE REALIZA EL PESO AL INGRESO A CPN]]="PREGESTACIÓN",NZ41="Menor"),CI41&lt;18.5),"BAJO PESO",IF(AND(OR(Tabla1[[#This Row],[MOMENTO EN QUE SE REALIZA EL PESO AL INGRESO A CPN]]="PREGESTACIÓN",NZ41="Menor"),CI41&lt;25),"NORMAL",IF(AND(OR(Tabla1[[#This Row],[MOMENTO EN QUE SE REALIZA EL PESO AL INGRESO A CPN]]="PREGESTACIÓN",NZ41="Menor"),CI41&lt;30),"SOBREPESO",IF(AND(OR(Tabla1[[#This Row],[MOMENTO EN QUE SE REALIZA EL PESO AL INGRESO A CPN]]="PREGESTACIÓN",NZ41="Menor"),CI41&gt;=30,CI41&lt;50),"OBESIDAD",IF(AND(BS41&gt;0,Tabla1[[#This Row],[MOMENTO EN QUE SE REALIZA EL PESO AL INGRESO A CPN]]="GESTACIÓN"),HLOOKUP(NZ41,$OA$2:PH41,NY41),""))))))))</f>
        <v>#REF!</v>
      </c>
      <c r="CK41" s="212">
        <f t="shared" si="8"/>
        <v>44897</v>
      </c>
      <c r="CL41" s="21"/>
      <c r="CM41" s="214">
        <f t="shared" si="9"/>
        <v>0</v>
      </c>
      <c r="CN41" s="216">
        <f t="shared" si="10"/>
        <v>33</v>
      </c>
      <c r="CO41" s="216" t="e">
        <f>IF(PI41="","",IF(PI41&gt;0,HLOOKUP(PI41,$PJ$2:QQ41,NY41),""))</f>
        <v>#REF!</v>
      </c>
      <c r="CP41" s="21"/>
      <c r="CQ41" s="216" t="e">
        <f>IF(QR41="Menor","NO APLICA-MENOR 13 SEM",IF(AND(CC41="SI",CN41&gt;23),"NO APLICA- GEMELAR",IF(QR41="","",IF(QR41&gt;0,HLOOKUP(QR41,$QS$2:RU41,NY41),""))))</f>
        <v>#REF!</v>
      </c>
      <c r="CR41" s="21"/>
      <c r="CS41" s="21"/>
      <c r="CT41" s="217" t="str">
        <f>IF(R41="","",IF(AND(BS41&gt;1,BS41&lt;12,Tabla1[[#This Row],[T.A. SISTOLICA - ANTES DE SEMANA 12]]="",Tabla1[[#This Row],[T.A. DIASTOLICA - ANTES DE SEMANA 12]]=""),"REGISTRE DATO TA ANTES SEMANA 12",IF(AND(BS41&gt;11,BS41&lt;43,Tabla1[[#This Row],[T.A. SISTOLICA - ANTES DE SEMANA 12]]="",Tabla1[[#This Row],[T.A. DIASTOLICA - ANTES DE SEMANA 12]]=""),"NO APLICA REGISTRO TA-INGRESO TARDIO",IF(AND(OR(O41&gt;0,R41&gt;0),OR(CR41&gt;=140,CS41&gt;=90)),"DEFINIR ESTADIO HTA",IF(AND(OR(O41&gt;0,R41&gt;0),AND(CR41&gt;120,CR41&lt;=139)),"PRE HTA SEGUIMIENTO",IF(AND(OR(O41&gt;0,R41&gt;0),AND(CS41&gt;80,CS41&lt;=89)),"PRE HTA SEGUIMIENTO",IF(AND(OR(O41&gt;0,R41&gt;0),AND(CR41&gt;=80,CR41&lt;=120)),"APARENTEMENTE NORMAL",IF(AND(OR(O41&gt;0,R41&gt;0),AND(CS41&gt;=50,CS41&lt;=80)),"APARENTEMENTE NORMAL",IF(AND(OR(O41&gt;0,R41&gt;0),AND(CR41&gt;1,CR41&lt;=70),AND(CS41&gt;1,CS41&lt;=40)),"HIPOTENSIÓN","")))))))))</f>
        <v>NO APLICA REGISTRO TA-INGRESO TARDIO</v>
      </c>
      <c r="CU41" s="21"/>
      <c r="CV41" s="21"/>
      <c r="CW41" s="217" t="str">
        <f ca="1">IF(R41="","",IF(AND(CN41&gt;19,CN41&lt;27,Tabla1[[#This Row],[T.A. SISTOLICA (Entre semana 20 y 26)]]="",Tabla1[[#This Row],[T.A. DIATOLICA (Entre semana 20 y 26)]]=""),"ACUDE A CONTROL SEM 20 A 26 REGISTRE TA AHORA",IF(AND(BS41&gt;1,BS41&lt;27,BU41&gt;19,Tabla1[[#This Row],[T.A. SISTOLICA (Entre semana 20 y 26)]]="",Tabla1[[#This Row],[T.A. DIATOLICA (Entre semana 20 y 26)]]=""),"COMPLETE REGISTRO TA CONTROL SEM 20 A26 ",IF(AND(BS41&gt;26,BS41&lt;43,Tabla1[[#This Row],[T.A. SISTOLICA (Entre semana 20 y 26)]]="",Tabla1[[#This Row],[T.A. DIATOLICA (Entre semana 20 y 26)]]=""),"NO APLICA REGISTRO TA-INGRESO TARDIO",IF(AND(OR(O41&gt;0,R41&gt;0),OR(CU41&gt;=140,CV41&gt;=90)),"ALTO RIESGO PREECLAMPSIA,DEFINIR ESTADIO HTA",IF(AND(OR(O41&gt;0,R41&gt;0),AND(CU41&gt;120,CU41&lt;=139)),"PRE HTA SEGUIMIENTO,RIESGO HIPERTENSION INDUCIDA POR EL EMBARAZO",IF(AND(OR(O41&gt;0,R41&gt;0),AND(CV41&gt;80,CV41&lt;=89)),"PRE HTA SEGUIMIENTO, RIESGO HIPERTENSION INDUCIDA POR EL EMBARAZO",IF(AND(OR(O41&lt;&gt;"",R41&lt;&gt;""),CS41&lt;&gt;"",CV41&lt;&gt;"",CS41&lt;=CV41),"VIGILAR CIFRAS PRESION ARTERIAL",IF(AND(OR(O41&gt;0,R41&gt;0),AND(CU41&gt;120,CU41&lt;=139)),"PRE HTA SEGUIMIENTO",IF(AND(OR(O41&gt;0,R41&gt;0),AND(CU41&gt;1,CU41&lt;=70),AND(CV41&gt;1,CV41&lt;=40)),"HIPOTENSIÓN",IF(AND(OR(O41&lt;&gt;"",R41&lt;&gt;""),CS41&lt;&gt;"",CV41&lt;&gt;"",CS41&gt;CV41),"APARENTEMENTE NORMAL",IF(AND(OR(O41&gt;0,R41&gt;0),AND(CU41&gt;=80,CU41&lt;=120)),"APARENTEMENTE NORMAL",IF(AND(OR(O41&gt;0,R41&gt;0),AND(CV41&gt;=50,CV41&lt;=80)),"APARENTEMENTE NORMAL","")))))))))))))</f>
        <v>NO APLICA REGISTRO TA-INGRESO TARDIO</v>
      </c>
      <c r="CX41" s="21">
        <v>120</v>
      </c>
      <c r="CY41" s="21">
        <v>60</v>
      </c>
      <c r="CZ41" s="216" t="str">
        <f t="shared" si="195"/>
        <v>APARENTEMENTE NORMAL</v>
      </c>
      <c r="DA41" s="21"/>
      <c r="DB41" s="21"/>
      <c r="DC41" s="217" t="str">
        <f t="shared" si="12"/>
        <v>REGISTRE DATO PRESIÓN ARTERIAL MENSUAL</v>
      </c>
      <c r="DD41" s="22">
        <v>44867</v>
      </c>
      <c r="DE41" s="22">
        <v>44867</v>
      </c>
      <c r="DF41" s="22">
        <v>44897</v>
      </c>
      <c r="DG41" s="22"/>
      <c r="DH41" s="22"/>
      <c r="DI41" s="22"/>
      <c r="DJ41" s="22"/>
      <c r="DK41" s="22"/>
      <c r="DL41" s="22"/>
      <c r="DM41" s="22"/>
      <c r="DN41" s="22"/>
      <c r="DO41" s="22"/>
      <c r="DP41" s="22"/>
      <c r="DQ41" s="22"/>
      <c r="DR41" s="28">
        <v>1</v>
      </c>
      <c r="DS41" s="22"/>
      <c r="DT41" s="22"/>
      <c r="DU41" s="216" t="str">
        <f t="shared" ca="1" si="196"/>
        <v>CONCERTAR PLAN DE PARTO INMEDIATO</v>
      </c>
      <c r="DV41" s="226" t="str">
        <f t="shared" si="197"/>
        <v>ACTIVA INGRESO A CPN</v>
      </c>
      <c r="DW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1" s="216" t="e">
        <f t="shared" ca="1" si="15"/>
        <v>#REF!</v>
      </c>
      <c r="DY41" s="212">
        <f>IF(R41="","",IF(R41&gt;0,MAX(Tabla1[[#This Row],[FECHA C2]:[FECHA C13]],Tabla1[[#This Row],[FECHA CONSULTA PRIMERA VEZ PROGRAMA CPN ]])))</f>
        <v>44897</v>
      </c>
      <c r="DZ41" s="216">
        <f t="shared" si="16"/>
        <v>33</v>
      </c>
      <c r="EA41" s="222">
        <f>IF(R41&gt;0,SUM(COUNTA(DF41:DQ41)+COUNTA(Tabla1[[#This Row],[FECHA CONSULTA PRIMERA VEZ PROGRAMA CPN ]])),"")</f>
        <v>2</v>
      </c>
      <c r="EB41" s="222" t="str">
        <f t="shared" si="17"/>
        <v>NO</v>
      </c>
      <c r="EC41" s="214">
        <f t="shared" si="18"/>
        <v>4</v>
      </c>
      <c r="ED41" s="227">
        <f t="shared" si="19"/>
        <v>0.5</v>
      </c>
      <c r="EE41" s="22">
        <v>44867</v>
      </c>
      <c r="EF41" s="22">
        <v>44870</v>
      </c>
      <c r="EG41" s="22">
        <v>44867</v>
      </c>
      <c r="EH41" s="22"/>
      <c r="EI41" s="22">
        <v>44867</v>
      </c>
      <c r="EJ41" s="22"/>
      <c r="EK41" s="22"/>
      <c r="EL41" s="21"/>
      <c r="EM41" s="21">
        <v>12.6</v>
      </c>
      <c r="EN41" s="22">
        <v>44889</v>
      </c>
      <c r="EO41" s="222">
        <f t="shared" si="20"/>
        <v>32.714285714285715</v>
      </c>
      <c r="EP41" s="214" t="str">
        <f t="shared" si="21"/>
        <v>NORMAL- SUMINISTRAR SULFATO FERROSO</v>
      </c>
      <c r="EQ41" s="216" t="str">
        <f t="shared" si="22"/>
        <v>III TRIM</v>
      </c>
      <c r="ER41" s="24"/>
      <c r="ES41" s="22"/>
      <c r="ET41" s="29" t="str">
        <f t="shared" ca="1" si="198"/>
        <v>TOMA DE HEMOGLOBINA TARDÍA</v>
      </c>
      <c r="EU41" s="25" t="str">
        <f t="shared" si="24"/>
        <v/>
      </c>
      <c r="EV41" s="24" t="s">
        <v>866</v>
      </c>
      <c r="EW41" s="24">
        <v>44889</v>
      </c>
      <c r="EX41" s="22"/>
      <c r="EY41" s="29">
        <f t="shared" si="199"/>
        <v>32.714285714285715</v>
      </c>
      <c r="EZ41" s="25" t="str">
        <f t="shared" ca="1" si="200"/>
        <v/>
      </c>
      <c r="FA41" s="21">
        <v>65</v>
      </c>
      <c r="FB41" s="22">
        <v>44889</v>
      </c>
      <c r="FC41" s="29" t="str">
        <f t="shared" si="27"/>
        <v>NO APLICA &gt; 23 SEM -TOMAR PTOG</v>
      </c>
      <c r="FD41" s="29">
        <v>65</v>
      </c>
      <c r="FE41" s="29">
        <v>80</v>
      </c>
      <c r="FF41" s="29">
        <v>95</v>
      </c>
      <c r="FG41" s="21" t="str">
        <f t="shared" ca="1" si="28"/>
        <v>NORMAL</v>
      </c>
      <c r="FH41" s="31">
        <v>44889</v>
      </c>
      <c r="FI41" s="29">
        <f t="shared" si="29"/>
        <v>32.714285714285715</v>
      </c>
      <c r="FJ41" s="22"/>
      <c r="FK41" s="22"/>
      <c r="FL41" s="29" t="str">
        <f t="shared" ca="1" si="30"/>
        <v>NO APLICA-INGRESO TARDIO</v>
      </c>
      <c r="FM41" s="22"/>
      <c r="FN41" s="32"/>
      <c r="FO41" s="29" t="str">
        <f t="shared" ca="1" si="201"/>
        <v>NO APLICA-INGRESO TARDIO</v>
      </c>
      <c r="FP41" s="22" t="s">
        <v>867</v>
      </c>
      <c r="FQ41" s="32">
        <v>44889</v>
      </c>
      <c r="FR41" s="29">
        <f t="shared" ca="1" si="202"/>
        <v>32.714285714285715</v>
      </c>
      <c r="FS41" s="22"/>
      <c r="FT41" s="32"/>
      <c r="FU41" s="29" t="str">
        <f>IF(AND(FJ41="",FM41="",FP41="",FS41=""),"",IF(OR(OR(Tabla1[[#This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1" s="28"/>
      <c r="FW41" s="22"/>
      <c r="FX41" s="29" t="str">
        <f t="shared" si="33"/>
        <v>TOMAR EXAMEN</v>
      </c>
      <c r="FY41" s="22"/>
      <c r="FZ41" s="22"/>
      <c r="GA41" s="29" t="str">
        <f t="shared" ca="1" si="203"/>
        <v>NO APLICA-INGRESO TARDIO</v>
      </c>
      <c r="GB41" s="22"/>
      <c r="GC41" s="22"/>
      <c r="GD41" s="29" t="str">
        <f t="shared" ca="1" si="204"/>
        <v>NO APLICA-INGRESO TARDIO</v>
      </c>
      <c r="GE41" s="22" t="s">
        <v>868</v>
      </c>
      <c r="GF41" s="22">
        <v>44889</v>
      </c>
      <c r="GG41" s="29">
        <f t="shared" ca="1" si="205"/>
        <v>32.714285714285715</v>
      </c>
      <c r="GH41" s="22"/>
      <c r="GI41" s="29"/>
      <c r="GJ41" s="22"/>
      <c r="GK41" s="22"/>
      <c r="GL41" s="22" t="s">
        <v>879</v>
      </c>
      <c r="GM41" s="22"/>
      <c r="GN41" s="28"/>
      <c r="GO41" s="22"/>
      <c r="GP41" s="29" t="str">
        <f t="shared" si="37"/>
        <v>TOMAR EXAMEN</v>
      </c>
      <c r="GQ41" s="28" t="s">
        <v>869</v>
      </c>
      <c r="GR41" s="28" t="s">
        <v>869</v>
      </c>
      <c r="GS41" s="22" t="str">
        <f t="shared" si="206"/>
        <v>CONTROL Igm</v>
      </c>
      <c r="GT41" s="22">
        <v>44889</v>
      </c>
      <c r="GU41" s="29">
        <f t="shared" si="39"/>
        <v>32.714285714285715</v>
      </c>
      <c r="GV41" s="21" t="str">
        <f t="shared" si="40"/>
        <v>III TRIM</v>
      </c>
      <c r="GW41" s="28" t="s">
        <v>869</v>
      </c>
      <c r="GX41" s="30"/>
      <c r="GY41" s="21"/>
      <c r="GZ41" s="21"/>
      <c r="HA41" s="21"/>
      <c r="HB41" s="21"/>
      <c r="HC41" s="21"/>
      <c r="HD41" s="21"/>
      <c r="HE41" s="21"/>
      <c r="HF41" s="22"/>
      <c r="HG41" s="22" t="str">
        <f>IF(OR(O41&gt;0,R41&gt;0),CONCATENATE(IF(Tabla1[[#This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1" s="22" t="e">
        <f t="shared" si="41"/>
        <v>#REF!</v>
      </c>
      <c r="HI41" s="22" t="e">
        <f t="shared" ca="1" si="42"/>
        <v>#REF!</v>
      </c>
      <c r="HJ41" s="21"/>
      <c r="HK41" s="21" t="str">
        <f t="shared" si="44"/>
        <v>SIN ANTECEDENTES DE RIESGO</v>
      </c>
      <c r="HL41" s="24" t="str">
        <f t="shared" si="45"/>
        <v>REGISTRE DATO PRESIÓN ARTERIAL MENSUAL</v>
      </c>
      <c r="HM41" s="21" t="e">
        <f t="shared" ca="1" si="46"/>
        <v>#REF!</v>
      </c>
      <c r="HN41" s="30" t="str">
        <f t="shared" si="207"/>
        <v>ACTIVA INGRESO A CPN</v>
      </c>
      <c r="HO41" s="21"/>
      <c r="HP41" s="21"/>
      <c r="HQ41" s="21">
        <v>44867</v>
      </c>
      <c r="HR41" s="21" t="str">
        <f>IF(R41="","",IF(Tabla1[[#This Row],[ALARMA FACTORES DE RIESGO COMPLICACIONES HIPERTENSIVAS3]]="SIN ANTECEDENTES DE RIESGO","No Aplica para suministro de ASA",IF(AND(Tabla1[[#This Row],[FECHA INICIO DE SUMINISTRO DE ASA]]&gt;0,RV41&lt;12),"Inicia ASA ANTES de Sem 12",IF(AND(RV41&gt;11,RV41&lt;17,OR(HK41="RIESGO ALTO DE COMPLICACIONES HIPERTENSIVAS VER MANEJO GUIA SUMINISTRO ASA Y CALCIO",HK41="RIESGO MODERADO (2 O MAS CRITERIOS) VER MANEJO GUIA SUMINISTRO ASA Y CALCIO")),"Inicio oportuno de ASA",IF(AND(RV41&gt;12,OR(HK41="RIESGO ALTO DE COMPLICACIONES HIPERTENSIVAS VER MANEJO GUIA SUMINISTRO ASA Y CALCIO",HK41="RIESGO MODERADO (2 O MAS CRITERIOS) VER MANEJO GUIA SUMINISTRO ASA Y CALCIO")),"Inicio no oportuno mayor a 16 semanas",IF(AND(BU41&lt;12,OR(HK41="RIESGO ALTO DE COMPLICACIONES HIPERTENSIVAS VER MANEJO GUIA SUMINISTRO ASA Y CALCIO",HK41="RIESGO MODERADO (2 O MAS CRITERIOS) VER MANEJO GUIA SUMINISTRO ASA Y CALCIO")),"Pendiente Inicio de ASA a la semana 12",IF(AND(BU41&gt;11,BU41&lt;17,OR(HK41="RIESGO ALTO DE COMPLICACIONES HIPERTENSIVAS VER MANEJO GUIA SUMINISTRO ASA Y CALCIO",HK41="RIESGO MODERADO (2 O MAS CRITERIOS) VER MANEJO GUIA SUMINISTRO ASA Y CALCIO")),"Iniciar de inmediato ASA",IF(AND(BU41&gt;16,OR(HK41="RIESGO ALTO DE COMPLICACIONES HIPERTENSIVAS VER MANEJO GUIA SUMINISTRO ASA Y CALCIO",HK41="RIESGO MODERADO (2 O MAS CRITERIOS) VER MANEJO GUIA SUMINISTRO ASA Y CALCIO")),"Pierde Oportunidad, Inicio tardío de ASA","XXXXX"))))))))</f>
        <v>No Aplica para suministro de ASA</v>
      </c>
      <c r="HS41" s="22">
        <v>44867</v>
      </c>
      <c r="HT41" s="22" t="s">
        <v>870</v>
      </c>
      <c r="HU41" s="22"/>
      <c r="HV41" s="22"/>
      <c r="HW41" s="22">
        <v>44867</v>
      </c>
      <c r="HX41" s="22" t="s">
        <v>870</v>
      </c>
      <c r="HY41" s="22">
        <v>44867</v>
      </c>
      <c r="HZ41" s="28">
        <f t="shared" si="48"/>
        <v>29.571428571428573</v>
      </c>
      <c r="IA41" s="26" t="s">
        <v>864</v>
      </c>
      <c r="IB41" s="26"/>
      <c r="IC41" s="111">
        <v>44867</v>
      </c>
      <c r="ID41" s="22">
        <v>44867</v>
      </c>
      <c r="IE41" s="22" t="str">
        <f t="shared" ca="1" si="49"/>
        <v>VACUNA APLICADA ENTRE SEMANA 27 Y EL PARTO</v>
      </c>
      <c r="IF41" s="22"/>
      <c r="IG41" s="22">
        <f t="shared" si="50"/>
        <v>44940</v>
      </c>
      <c r="IH41" s="29">
        <f t="shared" ca="1" si="51"/>
        <v>-293</v>
      </c>
      <c r="II41" s="22" t="str">
        <f t="shared" ca="1" si="52"/>
        <v>POSIBLEMENTE NACIO</v>
      </c>
      <c r="IJ41" s="22"/>
      <c r="IK41" s="21"/>
      <c r="IL41" s="21"/>
      <c r="IM41" s="34"/>
      <c r="IN41" s="349"/>
      <c r="IO41" s="21"/>
      <c r="IP41" s="29" t="str">
        <f t="shared" si="208"/>
        <v/>
      </c>
      <c r="IQ41" s="110"/>
      <c r="IR41" s="21"/>
      <c r="IS41" s="21"/>
      <c r="IT41" s="21"/>
      <c r="IU41" s="21"/>
      <c r="IV41" s="21"/>
      <c r="IW41" s="21"/>
      <c r="IX41" s="21"/>
      <c r="IY41" s="21"/>
      <c r="IZ41" s="21"/>
      <c r="JA41" s="21"/>
      <c r="JB41" s="30"/>
      <c r="JC41" s="21"/>
      <c r="JD41" s="36"/>
      <c r="JE41" s="21" t="str">
        <f t="shared" si="209"/>
        <v/>
      </c>
      <c r="JF41" s="30"/>
      <c r="JG41" s="21"/>
      <c r="JH41" s="21"/>
      <c r="JI41" s="21"/>
      <c r="JJ41" s="30"/>
      <c r="JK41" s="22"/>
      <c r="JL41" s="22"/>
      <c r="JM41" s="21"/>
      <c r="JN41" s="36"/>
      <c r="JO41" s="21" t="str">
        <f t="shared" si="210"/>
        <v/>
      </c>
      <c r="JP41" s="22"/>
      <c r="JQ41" s="21"/>
      <c r="JR41" s="21"/>
      <c r="JS41" s="21"/>
      <c r="JT41" s="30"/>
      <c r="JU41" s="22"/>
      <c r="JV41" s="22"/>
      <c r="JW41" s="33"/>
      <c r="JX41" s="28" t="str">
        <f t="shared" si="211"/>
        <v/>
      </c>
      <c r="JY41" s="33"/>
      <c r="JZ41" s="28" t="str">
        <f t="shared" si="212"/>
        <v/>
      </c>
      <c r="KA41" s="21"/>
      <c r="KB41" s="21"/>
      <c r="KC41" s="21"/>
      <c r="KD41" s="37"/>
      <c r="KE41" s="28"/>
      <c r="KF41" s="28"/>
      <c r="KG41" s="28"/>
      <c r="KH41" s="39"/>
      <c r="KI41" s="39"/>
      <c r="KJ41" s="66"/>
      <c r="KK41" s="39"/>
      <c r="KL41" s="39"/>
      <c r="KM41" s="66"/>
      <c r="KN41" s="39"/>
      <c r="KO41" s="39"/>
      <c r="KP41" s="39"/>
      <c r="KQ41" s="39"/>
      <c r="KR41" s="39"/>
      <c r="KS41" s="39"/>
      <c r="KT41" s="39"/>
      <c r="KU41" s="38"/>
      <c r="KV41" s="38"/>
      <c r="KW41" s="38"/>
      <c r="KX41" s="38"/>
      <c r="KY41" s="38"/>
      <c r="KZ41" s="38"/>
      <c r="LA41" s="38"/>
      <c r="LB41" s="38"/>
      <c r="LC41" s="38"/>
      <c r="LD41" s="38"/>
      <c r="LE41" s="38"/>
      <c r="LF41" s="38"/>
      <c r="LG41" s="38"/>
      <c r="LH41" s="38"/>
      <c r="LI41" s="38"/>
      <c r="LJ41" s="38"/>
      <c r="LK41" s="38"/>
      <c r="LL41" s="38"/>
      <c r="LM41" s="38"/>
      <c r="LN41" s="38"/>
      <c r="LO41" s="38"/>
      <c r="LP41" s="38"/>
      <c r="LQ41" s="38"/>
      <c r="LR41" s="38"/>
      <c r="LS41" s="38"/>
      <c r="LT41" s="38"/>
      <c r="LU41" s="38"/>
      <c r="LV41" s="38"/>
      <c r="LW41" s="38"/>
      <c r="LX41" s="38"/>
      <c r="LY41" s="38"/>
      <c r="LZ41" s="38"/>
      <c r="MA41" s="38"/>
      <c r="MB41" s="38"/>
      <c r="MC41" s="38"/>
      <c r="MD41" s="38"/>
      <c r="ME41" s="38"/>
      <c r="MF41" s="38"/>
      <c r="MG41" s="38"/>
      <c r="MH41" s="43">
        <f t="shared" si="213"/>
        <v>0</v>
      </c>
      <c r="MI41" s="43" t="str">
        <f t="shared" si="214"/>
        <v/>
      </c>
      <c r="MJ41" s="43" t="str">
        <f t="shared" si="215"/>
        <v/>
      </c>
      <c r="MK41" s="43">
        <f t="shared" si="216"/>
        <v>0</v>
      </c>
      <c r="ML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1" s="43">
        <f t="shared" si="217"/>
        <v>29.571428571428573</v>
      </c>
      <c r="MN41" s="43">
        <f t="shared" si="218"/>
        <v>11</v>
      </c>
      <c r="MO41" s="43">
        <f t="shared" si="219"/>
        <v>2022</v>
      </c>
      <c r="MP41" s="43" t="str">
        <f t="shared" si="220"/>
        <v>IV TRIMESTRE AÑO</v>
      </c>
      <c r="MQ41" s="43">
        <f t="shared" si="221"/>
        <v>21.391809023215064</v>
      </c>
      <c r="MR41" s="43">
        <f t="shared" si="222"/>
        <v>0</v>
      </c>
      <c r="MS41" s="43" t="str">
        <f t="shared" si="223"/>
        <v xml:space="preserve"> DE 20 A 24 AÑOS</v>
      </c>
      <c r="MT41" s="43">
        <f t="shared" si="224"/>
        <v>0</v>
      </c>
      <c r="MU41" s="43">
        <f t="shared" si="225"/>
        <v>0</v>
      </c>
      <c r="MV41" s="43">
        <f t="shared" si="226"/>
        <v>0</v>
      </c>
      <c r="MW41" s="43">
        <f t="shared" si="227"/>
        <v>0</v>
      </c>
      <c r="MX41" s="43" t="str">
        <f t="shared" si="228"/>
        <v/>
      </c>
      <c r="MY41" s="43" t="str">
        <f t="shared" ca="1" si="229"/>
        <v/>
      </c>
      <c r="MZ41" s="43" t="str">
        <f t="shared" si="230"/>
        <v/>
      </c>
      <c r="NA41" s="43">
        <f t="shared" si="231"/>
        <v>0</v>
      </c>
      <c r="NB41" s="43" t="str">
        <f t="shared" si="232"/>
        <v/>
      </c>
      <c r="NC41" s="43" t="str">
        <f t="shared" si="233"/>
        <v/>
      </c>
      <c r="ND41" s="43">
        <f t="shared" ca="1" si="234"/>
        <v>2</v>
      </c>
      <c r="NE41" s="43">
        <f>IF(OR(O41&gt;0,R41&gt;0),SUM(COUNTIF(Tabla1[[#This Row],[AÑOS AL INICIO5 CPN]],"&gt;=40"),COUNTIF(AS41,"0"),COUNTIF(AR41,"SI"),COUNTIF(CC41,"SI"),COUNTIF(BQ41,"&gt;119"),COUNTIF(CI41,"&gt;=35")),"")</f>
        <v>0</v>
      </c>
      <c r="NF41" s="43">
        <f t="shared" si="235"/>
        <v>29.571428571428573</v>
      </c>
      <c r="NG41" s="43">
        <f t="shared" si="236"/>
        <v>0</v>
      </c>
      <c r="NH41" s="43">
        <f t="shared" si="237"/>
        <v>238</v>
      </c>
      <c r="NI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CPN",P41="NO"),"Z",IF(AND(Tabla1[[#This Row],[CITA PROXIMO CONTROL]]="CITA MANUAL",Tabla1[[#This Row],[GESTANTES ACTUALES]]="ACTIVA INGRESO A CPN"),"W",IF(AND(Tabla1[[#This Row],[GESTANTES ACTUALES]]="SALIO PROGRAMA",IN41=""),"S",IF(AND(Tabla1[[#This Row],[CITA PROXIMO CONTROL]]&gt;0,IN41=""),(Tabla1[[#This Row],[CITA PROXIMO CONTROL]]-TODAY()),"SD"))))))))</f>
        <v>#REF!</v>
      </c>
      <c r="NJ41" s="43">
        <f>MONTH(Tabla1[[#This Row],[FECHA DE SALIDA  DEL PROGRAMA]])</f>
        <v>1</v>
      </c>
      <c r="NK41" s="43">
        <f>YEAR(Tabla1[[#This Row],[FECHA DE SALIDA  DEL PROGRAMA]])</f>
        <v>1900</v>
      </c>
      <c r="NL41" s="43" t="str">
        <f t="shared" si="238"/>
        <v>X</v>
      </c>
      <c r="NM41" s="43" t="str">
        <f t="shared" si="239"/>
        <v>NO</v>
      </c>
      <c r="NN41" s="43" t="str">
        <f ca="1">IF(AND(O41&gt;0,R41=""),"NO CPN",IF(AND(O41="",R41=""),"",IF(AND(R41&gt;0,Tabla1[[#This Row],[SEMANAS DE GESTACION ACTUALIZADAS]]&lt;=12),"NO APLICA",IF(AND(FH41&lt;&gt;"",FN41&lt;&gt;""),"SI","NO"))))</f>
        <v>NO</v>
      </c>
      <c r="NO41" s="43" t="str">
        <f ca="1">IF(AND(O41&gt;0,R41=""),"NO CPN",IF(AND(O41="",R41=""),"",IF(AND(R41&gt;0,Tabla1[[#This Row],[SEMANAS DE GESTACION ACTUALIZADAS]]&lt;=27),"NO APLICA",IF(AND(ES41&lt;&gt;"",FQ41&lt;&gt;"",GF41&lt;&gt;""),"SI","NO"))))</f>
        <v>NO</v>
      </c>
      <c r="NP41" s="21" t="str">
        <f t="shared" si="240"/>
        <v>III TRIM</v>
      </c>
      <c r="NQ41" s="21">
        <f t="shared" si="241"/>
        <v>10</v>
      </c>
      <c r="NR41" s="21">
        <f t="shared" si="242"/>
        <v>1</v>
      </c>
      <c r="NS41" s="205">
        <f t="shared" ca="1" si="243"/>
        <v>1</v>
      </c>
      <c r="NT41" s="21">
        <f t="shared" ca="1" si="244"/>
        <v>1</v>
      </c>
      <c r="NU41" s="21" t="str">
        <f t="shared" ca="1" si="245"/>
        <v>COMPLETO</v>
      </c>
      <c r="NV41" s="21" t="str">
        <f t="shared" ca="1" si="246"/>
        <v>COMPLETO</v>
      </c>
      <c r="NW41" s="206" t="str">
        <f>IF(AND(O41="",R41=""),"",IF(OR(AND(Tabla1[[#This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1" s="207" t="str">
        <f t="shared" ca="1" si="247"/>
        <v>VACUNADA</v>
      </c>
      <c r="NY41" s="43">
        <f>ROW(Tabla1[[#This Row],['# DE TAMIZAJES SIFILIS TOMADOS ]])</f>
        <v>41</v>
      </c>
      <c r="NZ41" s="43">
        <f t="shared" si="93"/>
        <v>29</v>
      </c>
      <c r="OA41" s="43" t="str">
        <f t="shared" si="94"/>
        <v/>
      </c>
      <c r="OB41" s="43" t="str">
        <f t="shared" si="95"/>
        <v/>
      </c>
      <c r="OC41" s="43" t="str">
        <f t="shared" si="96"/>
        <v/>
      </c>
      <c r="OD41" s="43" t="str">
        <f t="shared" si="97"/>
        <v/>
      </c>
      <c r="OE41" s="43" t="str">
        <f t="shared" si="98"/>
        <v/>
      </c>
      <c r="OF41" s="43" t="str">
        <f t="shared" si="99"/>
        <v/>
      </c>
      <c r="OG41" s="43" t="str">
        <f t="shared" si="100"/>
        <v/>
      </c>
      <c r="OH41" s="43" t="str">
        <f t="shared" si="101"/>
        <v/>
      </c>
      <c r="OI41" s="43" t="str">
        <f t="shared" si="102"/>
        <v/>
      </c>
      <c r="OJ41" s="43" t="str">
        <f t="shared" si="103"/>
        <v/>
      </c>
      <c r="OK41" s="43" t="str">
        <f t="shared" si="104"/>
        <v/>
      </c>
      <c r="OL41" s="43" t="str">
        <f t="shared" si="105"/>
        <v/>
      </c>
      <c r="OM41" s="43" t="str">
        <f t="shared" si="106"/>
        <v/>
      </c>
      <c r="ON41" s="43" t="str">
        <f t="shared" si="107"/>
        <v/>
      </c>
      <c r="OO41" s="43" t="str">
        <f t="shared" si="108"/>
        <v/>
      </c>
      <c r="OP41" s="43" t="str">
        <f t="shared" si="109"/>
        <v/>
      </c>
      <c r="OQ41" s="43" t="str">
        <f t="shared" si="110"/>
        <v/>
      </c>
      <c r="OR41" s="43" t="str">
        <f t="shared" si="111"/>
        <v/>
      </c>
      <c r="OS41" s="43" t="str">
        <f t="shared" si="112"/>
        <v/>
      </c>
      <c r="OT41" s="43" t="str">
        <f t="shared" si="113"/>
        <v/>
      </c>
      <c r="OU41" s="43" t="str">
        <f t="shared" si="114"/>
        <v>NORMAL</v>
      </c>
      <c r="OV41" s="110" t="str">
        <f t="shared" si="115"/>
        <v/>
      </c>
      <c r="OW41" s="43" t="str">
        <f t="shared" si="116"/>
        <v/>
      </c>
      <c r="OX41" s="43" t="str">
        <f t="shared" si="117"/>
        <v/>
      </c>
      <c r="OY41" s="43" t="str">
        <f t="shared" si="118"/>
        <v/>
      </c>
      <c r="OZ41" s="43" t="str">
        <f t="shared" si="119"/>
        <v/>
      </c>
      <c r="PA41" s="43" t="str">
        <f t="shared" si="120"/>
        <v/>
      </c>
      <c r="PB41" s="43" t="str">
        <f t="shared" si="121"/>
        <v/>
      </c>
      <c r="PC41" s="43" t="str">
        <f t="shared" si="122"/>
        <v/>
      </c>
      <c r="PD41" s="43" t="str">
        <f t="shared" si="123"/>
        <v/>
      </c>
      <c r="PE41" s="43" t="str">
        <f t="shared" si="124"/>
        <v/>
      </c>
      <c r="PF41" s="43" t="str">
        <f t="shared" si="125"/>
        <v/>
      </c>
      <c r="PG41" s="43" t="str">
        <f t="shared" si="126"/>
        <v/>
      </c>
      <c r="PH41" s="43" t="str">
        <f t="shared" si="127"/>
        <v/>
      </c>
      <c r="PI41" s="43">
        <f t="shared" si="128"/>
        <v>33</v>
      </c>
      <c r="PJ41" s="43" t="str">
        <f t="shared" si="129"/>
        <v/>
      </c>
      <c r="PK41" s="43" t="str">
        <f t="shared" si="130"/>
        <v/>
      </c>
      <c r="PL41" s="43" t="str">
        <f t="shared" si="131"/>
        <v/>
      </c>
      <c r="PM41" s="43" t="str">
        <f t="shared" si="132"/>
        <v/>
      </c>
      <c r="PN41" s="43" t="str">
        <f t="shared" si="133"/>
        <v/>
      </c>
      <c r="PO41" s="43" t="str">
        <f t="shared" si="134"/>
        <v/>
      </c>
      <c r="PP41" s="43" t="str">
        <f t="shared" si="135"/>
        <v/>
      </c>
      <c r="PQ41" s="43" t="str">
        <f t="shared" si="136"/>
        <v/>
      </c>
      <c r="PR41" s="43" t="str">
        <f t="shared" si="137"/>
        <v/>
      </c>
      <c r="PS41" s="43" t="str">
        <f t="shared" si="138"/>
        <v/>
      </c>
      <c r="PT41" s="43" t="str">
        <f t="shared" si="139"/>
        <v/>
      </c>
      <c r="PU41" s="43" t="str">
        <f t="shared" si="140"/>
        <v/>
      </c>
      <c r="PV41" s="43" t="str">
        <f t="shared" si="141"/>
        <v/>
      </c>
      <c r="PW41" s="43" t="str">
        <f t="shared" si="142"/>
        <v/>
      </c>
      <c r="PX41" s="43" t="str">
        <f t="shared" si="143"/>
        <v/>
      </c>
      <c r="PY41" s="43" t="str">
        <f t="shared" si="144"/>
        <v/>
      </c>
      <c r="PZ41" s="43" t="str">
        <f t="shared" si="145"/>
        <v/>
      </c>
      <c r="QA41" s="43" t="str">
        <f t="shared" si="146"/>
        <v/>
      </c>
      <c r="QB41" s="43" t="str">
        <f t="shared" si="147"/>
        <v/>
      </c>
      <c r="QC41" s="43" t="str">
        <f t="shared" si="148"/>
        <v/>
      </c>
      <c r="QD41" s="43" t="str">
        <f t="shared" si="149"/>
        <v/>
      </c>
      <c r="QE41" s="43" t="str">
        <f t="shared" si="150"/>
        <v/>
      </c>
      <c r="QF41" s="43" t="str">
        <f t="shared" si="151"/>
        <v/>
      </c>
      <c r="QG41" s="43" t="str">
        <f t="shared" si="152"/>
        <v/>
      </c>
      <c r="QH41" s="43" t="str">
        <f t="shared" si="153"/>
        <v/>
      </c>
      <c r="QI41" s="43" t="str">
        <f t="shared" si="154"/>
        <v/>
      </c>
      <c r="QJ41" s="43" t="str">
        <f t="shared" si="155"/>
        <v/>
      </c>
      <c r="QK41" s="43" t="str">
        <f t="shared" si="156"/>
        <v/>
      </c>
      <c r="QL41" s="43" t="str">
        <f t="shared" si="157"/>
        <v/>
      </c>
      <c r="QM41" s="43" t="str">
        <f t="shared" si="158"/>
        <v/>
      </c>
      <c r="QN41" s="43" t="str">
        <f t="shared" si="159"/>
        <v/>
      </c>
      <c r="QO41" s="43" t="str">
        <f t="shared" si="160"/>
        <v/>
      </c>
      <c r="QP41" s="43" t="str">
        <f t="shared" si="161"/>
        <v/>
      </c>
      <c r="QQ41" s="43" t="str">
        <f t="shared" si="162"/>
        <v/>
      </c>
      <c r="QR41" s="43">
        <f t="shared" si="192"/>
        <v>33</v>
      </c>
      <c r="QS41" s="43"/>
      <c r="QT41" s="21" t="str">
        <f t="shared" si="163"/>
        <v/>
      </c>
      <c r="QU41" s="21" t="str">
        <f t="shared" si="164"/>
        <v/>
      </c>
      <c r="QV41" s="21" t="str">
        <f t="shared" si="165"/>
        <v/>
      </c>
      <c r="QW41" s="21" t="str">
        <f t="shared" si="166"/>
        <v/>
      </c>
      <c r="QX41" s="21" t="str">
        <f t="shared" si="167"/>
        <v/>
      </c>
      <c r="QY41" s="21" t="str">
        <f t="shared" si="168"/>
        <v/>
      </c>
      <c r="QZ41" s="21" t="str">
        <f t="shared" si="169"/>
        <v/>
      </c>
      <c r="RA41" s="21" t="str">
        <f t="shared" si="170"/>
        <v/>
      </c>
      <c r="RB41" s="21" t="str">
        <f t="shared" si="171"/>
        <v/>
      </c>
      <c r="RC41" s="21" t="str">
        <f t="shared" si="172"/>
        <v/>
      </c>
      <c r="RD41" s="21" t="str">
        <f t="shared" si="173"/>
        <v/>
      </c>
      <c r="RE41" s="21" t="str">
        <f t="shared" si="174"/>
        <v/>
      </c>
      <c r="RF41" s="21" t="str">
        <f t="shared" si="175"/>
        <v/>
      </c>
      <c r="RG41" s="21" t="str">
        <f t="shared" si="176"/>
        <v/>
      </c>
      <c r="RH41" s="21" t="str">
        <f t="shared" si="177"/>
        <v/>
      </c>
      <c r="RI41" s="21" t="str">
        <f t="shared" si="178"/>
        <v/>
      </c>
      <c r="RJ41" s="21" t="str">
        <f t="shared" si="179"/>
        <v/>
      </c>
      <c r="RK41" s="21" t="str">
        <f t="shared" si="180"/>
        <v/>
      </c>
      <c r="RL41" s="21" t="str">
        <f t="shared" si="181"/>
        <v/>
      </c>
      <c r="RM41" s="21" t="str">
        <f t="shared" si="182"/>
        <v/>
      </c>
      <c r="RN41" s="21" t="str">
        <f t="shared" si="183"/>
        <v/>
      </c>
      <c r="RO41" s="21" t="str">
        <f t="shared" si="184"/>
        <v/>
      </c>
      <c r="RP41" s="21" t="str">
        <f t="shared" si="185"/>
        <v/>
      </c>
      <c r="RQ41" s="21" t="str">
        <f t="shared" si="186"/>
        <v/>
      </c>
      <c r="RR41" s="21" t="str">
        <f t="shared" si="187"/>
        <v/>
      </c>
      <c r="RS41" s="21" t="str">
        <f t="shared" si="188"/>
        <v/>
      </c>
      <c r="RT41" s="21" t="str">
        <f t="shared" si="189"/>
        <v/>
      </c>
      <c r="RU41" s="21" t="str">
        <f t="shared" si="190"/>
        <v/>
      </c>
      <c r="RV41" s="21">
        <f t="shared" si="191"/>
        <v>29.571428571428573</v>
      </c>
      <c r="RW41" s="284">
        <f>IF(OR(Tabla1[[#This Row],[FUM FORMULA CONFIABLE]]="",Tabla1[[#This Row],[FUM FORMULA CONFIABLE]]="SD"),"",IF(Tabla1[[#This Row],[FUM FORMULA CONFIABLE]]="CORREGIDA",Tabla1[[#This Row],[FUM X ECO 1]],Tabla1[[#This Row],[FUM x AMENORREA]]))</f>
        <v>44660</v>
      </c>
      <c r="RX41" s="21">
        <f>IF(AND(Tabla1[[#This Row],[FUM X ECO 1]]="",Tabla1[[#This Row],[FUM x AMENORREA]]=""),"",IF(AND(Tabla1[[#This Row],[FUM X ECO 1]]="",Tabla1[[#This Row],[FUM x AMENORREA]]&lt;&gt;""),"X",SUM(Tabla1[[#This Row],[FUM X ECO 1]]-Tabla1[[#This Row],[FUM x AMENORREA]])))</f>
        <v>-3</v>
      </c>
      <c r="RY41" s="21">
        <f t="shared" si="193"/>
        <v>0</v>
      </c>
    </row>
    <row r="42" spans="1:493" ht="45" customHeight="1" x14ac:dyDescent="0.25">
      <c r="A42" s="109"/>
      <c r="B42" s="43" t="s">
        <v>1083</v>
      </c>
      <c r="C42" s="43" t="s">
        <v>845</v>
      </c>
      <c r="D42" s="124" t="s">
        <v>846</v>
      </c>
      <c r="E42" s="43" t="s">
        <v>953</v>
      </c>
      <c r="F42" s="43" t="s">
        <v>1084</v>
      </c>
      <c r="G42" s="43" t="s">
        <v>1085</v>
      </c>
      <c r="H42" s="43"/>
      <c r="I42" s="109" t="s">
        <v>851</v>
      </c>
      <c r="J42" s="110">
        <v>1059603753</v>
      </c>
      <c r="K42" s="43" t="s">
        <v>852</v>
      </c>
      <c r="L42" s="175" t="s">
        <v>853</v>
      </c>
      <c r="M42" s="22">
        <v>34943</v>
      </c>
      <c r="N42" s="213">
        <f t="shared" ca="1" si="0"/>
        <v>28.19178082191781</v>
      </c>
      <c r="O42" s="22">
        <v>44817</v>
      </c>
      <c r="P42" s="214" t="str">
        <f t="shared" si="194"/>
        <v>SI</v>
      </c>
      <c r="Q42" s="26" t="s">
        <v>855</v>
      </c>
      <c r="R42" s="22">
        <v>44817</v>
      </c>
      <c r="S42" s="21" t="s">
        <v>856</v>
      </c>
      <c r="T42" s="24" t="s">
        <v>690</v>
      </c>
      <c r="U42" s="21" t="s">
        <v>857</v>
      </c>
      <c r="V42" s="21" t="s">
        <v>858</v>
      </c>
      <c r="W42" s="21" t="s">
        <v>1086</v>
      </c>
      <c r="X42" s="21" t="s">
        <v>1086</v>
      </c>
      <c r="Y42" s="21" t="s">
        <v>859</v>
      </c>
      <c r="Z42" s="21" t="s">
        <v>894</v>
      </c>
      <c r="AA42" s="21" t="s">
        <v>860</v>
      </c>
      <c r="AB42" s="27" t="s">
        <v>861</v>
      </c>
      <c r="AC42" s="26" t="s">
        <v>862</v>
      </c>
      <c r="AD42" s="38" t="s">
        <v>846</v>
      </c>
      <c r="AE42" s="26" t="s">
        <v>854</v>
      </c>
      <c r="AF42" s="26" t="s">
        <v>854</v>
      </c>
      <c r="AG42" s="23" t="s">
        <v>864</v>
      </c>
      <c r="AH42" s="23" t="s">
        <v>864</v>
      </c>
      <c r="AI42" s="24" t="s">
        <v>863</v>
      </c>
      <c r="AJ42" s="23" t="s">
        <v>864</v>
      </c>
      <c r="AK42" s="220" t="str">
        <f>IF(AND(AD42="",AE42="",AF42="",AG42="",AH42="",AI42="",AJ42=""),"",IF(OR(Tabla1[[#This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EVALUACIÓN",IF(AND(O42="",R42=""),"",IF(AND(OR(O42&gt;0,R42&gt;0),NG42&gt;=0,NG42&lt;2),"SIN RIESGO",IF(AND(OR(O42&gt;0,R42&gt;0),NG42&gt;=2),"CON RIESGO","ASD")))))</f>
        <v>SIN RIESGO</v>
      </c>
      <c r="AL42" s="23" t="s">
        <v>864</v>
      </c>
      <c r="AM42" s="26" t="s">
        <v>864</v>
      </c>
      <c r="AN42" s="26" t="s">
        <v>864</v>
      </c>
      <c r="AO42" s="26" t="s">
        <v>864</v>
      </c>
      <c r="AP42" s="26" t="s">
        <v>864</v>
      </c>
      <c r="AQ42" s="26" t="s">
        <v>864</v>
      </c>
      <c r="AR42" s="26" t="s">
        <v>864</v>
      </c>
      <c r="AS42" s="21">
        <v>1</v>
      </c>
      <c r="AT42" s="21">
        <v>1</v>
      </c>
      <c r="AU42" s="21">
        <v>0</v>
      </c>
      <c r="AV42" s="26" t="s">
        <v>864</v>
      </c>
      <c r="AW42" s="21">
        <v>0</v>
      </c>
      <c r="AX42" s="26" t="s">
        <v>864</v>
      </c>
      <c r="AY42" s="26" t="s">
        <v>864</v>
      </c>
      <c r="AZ42" s="26" t="s">
        <v>864</v>
      </c>
      <c r="BA42" s="26" t="s">
        <v>864</v>
      </c>
      <c r="BB42" s="26" t="s">
        <v>864</v>
      </c>
      <c r="BC42" s="26" t="s">
        <v>864</v>
      </c>
      <c r="BD42" s="26" t="s">
        <v>864</v>
      </c>
      <c r="BE42" s="26" t="s">
        <v>864</v>
      </c>
      <c r="BF42" s="26" t="s">
        <v>864</v>
      </c>
      <c r="BG42" s="26" t="s">
        <v>864</v>
      </c>
      <c r="BH42" s="26" t="s">
        <v>864</v>
      </c>
      <c r="BI42" s="26" t="s">
        <v>864</v>
      </c>
      <c r="BJ42" s="26"/>
      <c r="BK42" s="26"/>
      <c r="BL42" s="26" t="s">
        <v>864</v>
      </c>
      <c r="BM42" s="26" t="s">
        <v>864</v>
      </c>
      <c r="BN42" s="22"/>
      <c r="BO42" s="22">
        <v>44724</v>
      </c>
      <c r="BP42" s="21" t="s">
        <v>854</v>
      </c>
      <c r="BQ42" s="222">
        <f t="shared" si="2"/>
        <v>0</v>
      </c>
      <c r="BR42" s="223">
        <f t="shared" si="3"/>
        <v>44723</v>
      </c>
      <c r="BS42" s="224">
        <f t="shared" si="4"/>
        <v>13.285714285714286</v>
      </c>
      <c r="BT42" s="216" t="str">
        <f t="shared" si="5"/>
        <v>II TRIM</v>
      </c>
      <c r="BU42" s="214" t="str">
        <f t="shared" ca="1" si="6"/>
        <v/>
      </c>
      <c r="BV42" s="25"/>
      <c r="BW42" s="22">
        <v>44898</v>
      </c>
      <c r="BX42" s="28">
        <v>25</v>
      </c>
      <c r="BY42" s="28"/>
      <c r="BZ42" s="22">
        <v>44960</v>
      </c>
      <c r="CA42" s="21">
        <v>33.5</v>
      </c>
      <c r="CB42" s="26" t="s">
        <v>864</v>
      </c>
      <c r="CC42" s="26" t="s">
        <v>854</v>
      </c>
      <c r="CD42" s="26" t="s">
        <v>1087</v>
      </c>
      <c r="CE42" s="26" t="s">
        <v>864</v>
      </c>
      <c r="CF42" s="22" t="s">
        <v>1517</v>
      </c>
      <c r="CG42" s="21">
        <v>1.49</v>
      </c>
      <c r="CH42" s="21">
        <v>57</v>
      </c>
      <c r="CI42" s="214">
        <f t="shared" si="7"/>
        <v>25.674519165803343</v>
      </c>
      <c r="CJ42" s="225" t="e">
        <f>IF(AND(CI42&lt;10,CH42="SD"),"SIN DATO PESO PREGESTACION O I TRIM",IF(AND(OR(R42&gt;0,O42&gt;0),CI42="X"),"INGRESAR DATO DE PESO",IF(CI42="SD","INGRESAR DATO DE TALLA Y PESO",IF(AND(OR(Tabla1[[#This Row],[MOMENTO EN QUE SE REALIZA EL PESO AL INGRESO A CPN]]="PREGESTACIÓN",NZ42="Menor"),CI42&lt;18.5),"BAJO PESO",IF(AND(OR(Tabla1[[#This Row],[MOMENTO EN QUE SE REALIZA EL PESO AL INGRESO A CPN]]="PREGESTACIÓN",NZ42="Menor"),CI42&lt;25),"NORMAL",IF(AND(OR(Tabla1[[#This Row],[MOMENTO EN QUE SE REALIZA EL PESO AL INGRESO A CPN]]="PREGESTACIÓN",NZ42="Menor"),CI42&lt;30),"SOBREPESO",IF(AND(OR(Tabla1[[#This Row],[MOMENTO EN QUE SE REALIZA EL PESO AL INGRESO A CPN]]="PREGESTACIÓN",NZ42="Menor"),CI42&gt;=30,CI42&lt;50),"OBESIDAD",IF(AND(BS42&gt;0,Tabla1[[#This Row],[MOMENTO EN QUE SE REALIZA EL PESO AL INGRESO A CPN]]="GESTACIÓN"),HLOOKUP(NZ42,$OA$2:PH42,NY42),""))))))))</f>
        <v>#REF!</v>
      </c>
      <c r="CK42" s="212">
        <f t="shared" si="8"/>
        <v>44960</v>
      </c>
      <c r="CL42" s="21"/>
      <c r="CM42" s="214">
        <f t="shared" si="9"/>
        <v>0</v>
      </c>
      <c r="CN42" s="216">
        <f t="shared" si="10"/>
        <v>33</v>
      </c>
      <c r="CO42" s="216" t="e">
        <f>IF(PI42="","",IF(PI42&gt;0,HLOOKUP(PI42,$PJ$2:QQ42,NY42),""))</f>
        <v>#REF!</v>
      </c>
      <c r="CP42" s="21"/>
      <c r="CQ42" s="216" t="str">
        <f>IF(QR42="Menor","NO APLICA-MENOR 13 SEM",IF(AND(CC42="SI",CN42&gt;23),"NO APLICA- GEMELAR",IF(QR42="","",IF(QR42&gt;0,HLOOKUP(QR42,$QS$2:RU42,NY42),""))))</f>
        <v>NO APLICA- GEMELAR</v>
      </c>
      <c r="CR42" s="21"/>
      <c r="CS42" s="21"/>
      <c r="CT42" s="217" t="str">
        <f>IF(R42="","",IF(AND(BS42&gt;1,BS42&lt;12,Tabla1[[#This Row],[T.A. SISTOLICA - ANTES DE SEMANA 12]]="",Tabla1[[#This Row],[T.A. DIASTOLICA - ANTES DE SEMANA 12]]=""),"REGISTRE DATO TA ANTES SEMANA 12",IF(AND(BS42&gt;11,BS42&lt;43,Tabla1[[#This Row],[T.A. SISTOLICA - ANTES DE SEMANA 12]]="",Tabla1[[#This Row],[T.A. DIASTOLICA - ANTES DE SEMANA 12]]=""),"NO APLICA REGISTRO TA-INGRESO TARDIO",IF(AND(OR(O42&gt;0,R42&gt;0),OR(CR42&gt;=140,CS42&gt;=90)),"DEFINIR ESTADIO HTA",IF(AND(OR(O42&gt;0,R42&gt;0),AND(CR42&gt;120,CR42&lt;=139)),"PRE HTA SEGUIMIENTO",IF(AND(OR(O42&gt;0,R42&gt;0),AND(CS42&gt;80,CS42&lt;=89)),"PRE HTA SEGUIMIENTO",IF(AND(OR(O42&gt;0,R42&gt;0),AND(CR42&gt;=80,CR42&lt;=120)),"APARENTEMENTE NORMAL",IF(AND(OR(O42&gt;0,R42&gt;0),AND(CS42&gt;=50,CS42&lt;=80)),"APARENTEMENTE NORMAL",IF(AND(OR(O42&gt;0,R42&gt;0),AND(CR42&gt;1,CR42&lt;=70),AND(CS42&gt;1,CS42&lt;=40)),"HIPOTENSIÓN","")))))))))</f>
        <v>NO APLICA REGISTRO TA-INGRESO TARDIO</v>
      </c>
      <c r="CU42" s="21">
        <v>100</v>
      </c>
      <c r="CV42" s="21">
        <v>60</v>
      </c>
      <c r="CW42" s="217" t="str">
        <f ca="1">IF(R42="","",IF(AND(CN42&gt;19,CN42&lt;27,Tabla1[[#This Row],[T.A. SISTOLICA (Entre semana 20 y 26)]]="",Tabla1[[#This Row],[T.A. DIATOLICA (Entre semana 20 y 26)]]=""),"ACUDE A CONTROL SEM 20 A 26 REGISTRE TA AHORA",IF(AND(BS42&gt;1,BS42&lt;27,BU42&gt;19,Tabla1[[#This Row],[T.A. SISTOLICA (Entre semana 20 y 26)]]="",Tabla1[[#This Row],[T.A. DIATOLICA (Entre semana 20 y 26)]]=""),"COMPLETE REGISTRO TA CONTROL SEM 20 A26 ",IF(AND(BS42&gt;26,BS42&lt;43,Tabla1[[#This Row],[T.A. SISTOLICA (Entre semana 20 y 26)]]="",Tabla1[[#This Row],[T.A. DIATOLICA (Entre semana 20 y 26)]]=""),"NO APLICA REGISTRO TA-INGRESO TARDIO",IF(AND(OR(O42&gt;0,R42&gt;0),OR(CU42&gt;=140,CV42&gt;=90)),"ALTO RIESGO PREECLAMPSIA,DEFINIR ESTADIO HTA",IF(AND(OR(O42&gt;0,R42&gt;0),AND(CU42&gt;120,CU42&lt;=139)),"PRE HTA SEGUIMIENTO,RIESGO HIPERTENSION INDUCIDA POR EL EMBARAZO",IF(AND(OR(O42&gt;0,R42&gt;0),AND(CV42&gt;80,CV42&lt;=89)),"PRE HTA SEGUIMIENTO, RIESGO HIPERTENSION INDUCIDA POR EL EMBARAZO",IF(AND(OR(O42&lt;&gt;"",R42&lt;&gt;""),CS42&lt;&gt;"",CV42&lt;&gt;"",CS42&lt;=CV42),"VIGILAR CIFRAS PRESION ARTERIAL",IF(AND(OR(O42&gt;0,R42&gt;0),AND(CU42&gt;120,CU42&lt;=139)),"PRE HTA SEGUIMIENTO",IF(AND(OR(O42&gt;0,R42&gt;0),AND(CU42&gt;1,CU42&lt;=70),AND(CV42&gt;1,CV42&lt;=40)),"HIPOTENSIÓN",IF(AND(OR(O42&lt;&gt;"",R42&lt;&gt;""),CS42&lt;&gt;"",CV42&lt;&gt;"",CS42&gt;CV42),"APARENTEMENTE NORMAL",IF(AND(OR(O42&gt;0,R42&gt;0),AND(CU42&gt;=80,CU42&lt;=120)),"APARENTEMENTE NORMAL",IF(AND(OR(O42&gt;0,R42&gt;0),AND(CV42&gt;=50,CV42&lt;=80)),"APARENTEMENTE NORMAL","")))))))))))))</f>
        <v>APARENTEMENTE NORMAL</v>
      </c>
      <c r="CX42" s="21">
        <v>110</v>
      </c>
      <c r="CY42" s="21">
        <v>60</v>
      </c>
      <c r="CZ42" s="216" t="str">
        <f t="shared" si="195"/>
        <v>APARENTEMENTE NORMAL</v>
      </c>
      <c r="DA42" s="21"/>
      <c r="DB42" s="21"/>
      <c r="DC42" s="217" t="str">
        <f t="shared" si="12"/>
        <v>REGISTRE DATO PRESIÓN ARTERIAL MENSUAL</v>
      </c>
      <c r="DD42" s="22">
        <v>44817</v>
      </c>
      <c r="DE42" s="22">
        <v>44817</v>
      </c>
      <c r="DF42" s="22">
        <v>44867</v>
      </c>
      <c r="DG42" s="22">
        <v>44897</v>
      </c>
      <c r="DH42" s="22">
        <v>44960</v>
      </c>
      <c r="DI42" s="22"/>
      <c r="DJ42" s="22"/>
      <c r="DK42" s="22"/>
      <c r="DL42" s="22"/>
      <c r="DM42" s="22"/>
      <c r="DN42" s="22"/>
      <c r="DO42" s="22"/>
      <c r="DP42" s="22"/>
      <c r="DQ42" s="22"/>
      <c r="DR42" s="28">
        <v>2</v>
      </c>
      <c r="DS42" s="22"/>
      <c r="DT42" s="22"/>
      <c r="DU42" s="216" t="str">
        <f t="shared" ca="1" si="196"/>
        <v>SALE SIN PLAN DE PARTO</v>
      </c>
      <c r="DV42" s="226" t="str">
        <f t="shared" si="197"/>
        <v>SALIO PROGRAMA</v>
      </c>
      <c r="DW4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2" s="216" t="str">
        <f t="shared" ca="1" si="15"/>
        <v/>
      </c>
      <c r="DY42" s="212">
        <f>IF(R42="","",IF(R42&gt;0,MAX(Tabla1[[#This Row],[FECHA C2]:[FECHA C13]],Tabla1[[#This Row],[FECHA CONSULTA PRIMERA VEZ PROGRAMA CPN ]])))</f>
        <v>44960</v>
      </c>
      <c r="DZ42" s="216">
        <f t="shared" si="16"/>
        <v>33</v>
      </c>
      <c r="EA42" s="222">
        <f>IF(R42&gt;0,SUM(COUNTA(DF42:DQ42)+COUNTA(Tabla1[[#This Row],[FECHA CONSULTA PRIMERA VEZ PROGRAMA CPN ]])),"")</f>
        <v>4</v>
      </c>
      <c r="EB42" s="222" t="str">
        <f t="shared" si="17"/>
        <v>SI</v>
      </c>
      <c r="EC42" s="214">
        <f t="shared" si="18"/>
        <v>8</v>
      </c>
      <c r="ED42" s="227">
        <f t="shared" si="19"/>
        <v>0.5</v>
      </c>
      <c r="EE42" s="22">
        <v>44817</v>
      </c>
      <c r="EF42" s="22"/>
      <c r="EG42" s="22">
        <v>44817</v>
      </c>
      <c r="EH42" s="22"/>
      <c r="EI42" s="22">
        <v>44817</v>
      </c>
      <c r="EJ42" s="22"/>
      <c r="EK42" s="22"/>
      <c r="EL42" s="21"/>
      <c r="EM42" s="21">
        <v>13.7</v>
      </c>
      <c r="EN42" s="22">
        <v>44821</v>
      </c>
      <c r="EO42" s="222">
        <f t="shared" si="20"/>
        <v>13.857142857142858</v>
      </c>
      <c r="EP42" s="214" t="str">
        <f t="shared" si="21"/>
        <v>NORMAL- SUMINISTRAR SULFATO FERROSO</v>
      </c>
      <c r="EQ42" s="216" t="str">
        <f t="shared" si="22"/>
        <v>II TRIM</v>
      </c>
      <c r="ER42" s="24">
        <v>11.8</v>
      </c>
      <c r="ES42" s="22">
        <v>44898</v>
      </c>
      <c r="ET42" s="29">
        <f t="shared" ca="1" si="198"/>
        <v>24.857142857142858</v>
      </c>
      <c r="EU42" s="25" t="str">
        <f t="shared" si="24"/>
        <v>NORMAL- SUMINISTRAR SULFATO FERROSO</v>
      </c>
      <c r="EV42" s="24" t="s">
        <v>866</v>
      </c>
      <c r="EW42" s="24">
        <v>44821</v>
      </c>
      <c r="EX42" s="22"/>
      <c r="EY42" s="29">
        <f t="shared" si="199"/>
        <v>13.857142857142858</v>
      </c>
      <c r="EZ42" s="25" t="str">
        <f t="shared" ca="1" si="200"/>
        <v/>
      </c>
      <c r="FA42" s="21">
        <v>70</v>
      </c>
      <c r="FB42" s="22">
        <v>44821</v>
      </c>
      <c r="FC42" s="29">
        <f t="shared" si="27"/>
        <v>13.857142857142858</v>
      </c>
      <c r="FD42" s="29"/>
      <c r="FE42" s="29"/>
      <c r="FF42" s="29"/>
      <c r="FG42" s="21" t="str">
        <f t="shared" ca="1" si="28"/>
        <v/>
      </c>
      <c r="FH42" s="31"/>
      <c r="FI42" s="29" t="str">
        <f t="shared" si="29"/>
        <v>TOMAR EXAMEN</v>
      </c>
      <c r="FJ42" s="22"/>
      <c r="FK42" s="22"/>
      <c r="FL42" s="29" t="str">
        <f t="shared" ca="1" si="30"/>
        <v>NO APLICA-INGRESO TARDIO</v>
      </c>
      <c r="FM42" s="22" t="s">
        <v>867</v>
      </c>
      <c r="FN42" s="32">
        <v>44898</v>
      </c>
      <c r="FO42" s="29">
        <f t="shared" ca="1" si="201"/>
        <v>24.857142857142858</v>
      </c>
      <c r="FP42" s="22"/>
      <c r="FQ42" s="32"/>
      <c r="FR42" s="29" t="str">
        <f t="shared" ca="1" si="202"/>
        <v>PIERDE TOMA DE TAMIZAJE</v>
      </c>
      <c r="FS42" s="22"/>
      <c r="FT42" s="32"/>
      <c r="FU42" s="29" t="str">
        <f>IF(AND(FJ42="",FM42="",FP42="",FS42=""),"",IF(OR(OR(Tabla1[[#This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2" s="28"/>
      <c r="FW42" s="22"/>
      <c r="FX42" s="29" t="str">
        <f t="shared" si="33"/>
        <v>TOMAR EXAMEN</v>
      </c>
      <c r="FY42" s="22">
        <v>44817</v>
      </c>
      <c r="FZ42" s="22">
        <v>44817</v>
      </c>
      <c r="GA42" s="29" t="str">
        <f t="shared" si="203"/>
        <v>REGISTRAR EN II TRIMESTRE</v>
      </c>
      <c r="GB42" s="22" t="s">
        <v>868</v>
      </c>
      <c r="GC42" s="22">
        <v>44821</v>
      </c>
      <c r="GD42" s="29">
        <f t="shared" ca="1" si="204"/>
        <v>13.857142857142858</v>
      </c>
      <c r="GE42" s="22"/>
      <c r="GF42" s="22"/>
      <c r="GG42" s="29" t="str">
        <f t="shared" ca="1" si="205"/>
        <v>PIERDE TOMA DE TAMIZAJE</v>
      </c>
      <c r="GH42" s="22"/>
      <c r="GI42" s="29"/>
      <c r="GJ42" s="22"/>
      <c r="GK42" s="22"/>
      <c r="GL42" s="22" t="s">
        <v>879</v>
      </c>
      <c r="GM42" s="22"/>
      <c r="GN42" s="28" t="s">
        <v>869</v>
      </c>
      <c r="GO42" s="22">
        <v>44821</v>
      </c>
      <c r="GP42" s="29">
        <f t="shared" si="37"/>
        <v>13.857142857142858</v>
      </c>
      <c r="GQ42" s="28" t="s">
        <v>869</v>
      </c>
      <c r="GR42" s="28" t="s">
        <v>869</v>
      </c>
      <c r="GS42" s="22" t="str">
        <f t="shared" si="206"/>
        <v>CONTROL Igm</v>
      </c>
      <c r="GT42" s="22">
        <v>44821</v>
      </c>
      <c r="GU42" s="29">
        <f t="shared" si="39"/>
        <v>13.857142857142858</v>
      </c>
      <c r="GV42" s="21" t="str">
        <f t="shared" si="40"/>
        <v>II TRIM</v>
      </c>
      <c r="GW42" s="28" t="s">
        <v>869</v>
      </c>
      <c r="GX42" s="30"/>
      <c r="GY42" s="21"/>
      <c r="GZ42" s="21"/>
      <c r="HA42" s="21"/>
      <c r="HB42" s="21"/>
      <c r="HC42" s="21"/>
      <c r="HD42" s="21"/>
      <c r="HE42" s="21"/>
      <c r="HF42" s="22"/>
      <c r="HG42" s="22" t="str">
        <f>IF(OR(O42&gt;0,R42&gt;0),CONCATENATE(IF(Tabla1[[#This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2" s="22" t="e">
        <f t="shared" si="41"/>
        <v>#REF!</v>
      </c>
      <c r="HI42" s="22" t="e">
        <f t="shared" ca="1" si="42"/>
        <v>#REF!</v>
      </c>
      <c r="HJ42" s="21"/>
      <c r="HK42" s="21" t="str">
        <f t="shared" si="44"/>
        <v>SIN ANTECEDENTES DE RIESGO</v>
      </c>
      <c r="HL42" s="24" t="str">
        <f t="shared" si="45"/>
        <v>REGISTRE DATO PRESIÓN ARTERIAL MENSUAL</v>
      </c>
      <c r="HM42" s="21" t="str">
        <f t="shared" ca="1" si="46"/>
        <v/>
      </c>
      <c r="HN42" s="30" t="str">
        <f t="shared" si="207"/>
        <v>SALIO PROGRAMA</v>
      </c>
      <c r="HO42" s="21"/>
      <c r="HP42" s="21"/>
      <c r="HQ42" s="21">
        <v>44817</v>
      </c>
      <c r="HR42" s="21" t="str">
        <f>IF(R42="","",IF(Tabla1[[#This Row],[ALARMA FACTORES DE RIESGO COMPLICACIONES HIPERTENSIVAS3]]="SIN ANTECEDENTES DE RIESGO","No Aplica para suministro de ASA",IF(AND(Tabla1[[#This Row],[FECHA INICIO DE SUMINISTRO DE ASA]]&gt;0,RV42&lt;12),"Inicia ASA ANTES de Sem 12",IF(AND(RV42&gt;11,RV42&lt;17,OR(HK42="RIESGO ALTO DE COMPLICACIONES HIPERTENSIVAS VER MANEJO GUIA SUMINISTRO ASA Y CALCIO",HK42="RIESGO MODERADO (2 O MAS CRITERIOS) VER MANEJO GUIA SUMINISTRO ASA Y CALCIO")),"Inicio oportuno de ASA",IF(AND(RV42&gt;12,OR(HK42="RIESGO ALTO DE COMPLICACIONES HIPERTENSIVAS VER MANEJO GUIA SUMINISTRO ASA Y CALCIO",HK42="RIESGO MODERADO (2 O MAS CRITERIOS) VER MANEJO GUIA SUMINISTRO ASA Y CALCIO")),"Inicio no oportuno mayor a 16 semanas",IF(AND(BU42&lt;12,OR(HK42="RIESGO ALTO DE COMPLICACIONES HIPERTENSIVAS VER MANEJO GUIA SUMINISTRO ASA Y CALCIO",HK42="RIESGO MODERADO (2 O MAS CRITERIOS) VER MANEJO GUIA SUMINISTRO ASA Y CALCIO")),"Pendiente Inicio de ASA a la semana 12",IF(AND(BU42&gt;11,BU42&lt;17,OR(HK42="RIESGO ALTO DE COMPLICACIONES HIPERTENSIVAS VER MANEJO GUIA SUMINISTRO ASA Y CALCIO",HK42="RIESGO MODERADO (2 O MAS CRITERIOS) VER MANEJO GUIA SUMINISTRO ASA Y CALCIO")),"Iniciar de inmediato ASA",IF(AND(BU42&gt;16,OR(HK42="RIESGO ALTO DE COMPLICACIONES HIPERTENSIVAS VER MANEJO GUIA SUMINISTRO ASA Y CALCIO",HK42="RIESGO MODERADO (2 O MAS CRITERIOS) VER MANEJO GUIA SUMINISTRO ASA Y CALCIO")),"Pierde Oportunidad, Inicio tardío de ASA","XXXXX"))))))))</f>
        <v>No Aplica para suministro de ASA</v>
      </c>
      <c r="HS42" s="22">
        <v>44817</v>
      </c>
      <c r="HT42" s="22" t="s">
        <v>870</v>
      </c>
      <c r="HU42" s="22">
        <v>44817</v>
      </c>
      <c r="HV42" s="22" t="s">
        <v>870</v>
      </c>
      <c r="HW42" s="22">
        <v>44817</v>
      </c>
      <c r="HX42" s="22" t="s">
        <v>870</v>
      </c>
      <c r="HY42" s="22">
        <v>44817</v>
      </c>
      <c r="HZ42" s="28">
        <f t="shared" si="48"/>
        <v>13.285714285714286</v>
      </c>
      <c r="IA42" s="26" t="s">
        <v>864</v>
      </c>
      <c r="IB42" s="26"/>
      <c r="IC42" s="111">
        <v>44897</v>
      </c>
      <c r="ID42" s="22">
        <v>44897</v>
      </c>
      <c r="IE42" s="22" t="str">
        <f t="shared" ca="1" si="49"/>
        <v>VACUNA APLICADA ENTRE SEMANA 20 Y SEMANA 26</v>
      </c>
      <c r="IF42" s="22"/>
      <c r="IG42" s="22">
        <f t="shared" si="50"/>
        <v>45004</v>
      </c>
      <c r="IH42" s="29">
        <f t="shared" ca="1" si="51"/>
        <v>-229</v>
      </c>
      <c r="II42" s="22" t="str">
        <f t="shared" ca="1" si="52"/>
        <v>POSIBLEMENTE NACIO</v>
      </c>
      <c r="IJ42" s="22"/>
      <c r="IK42" s="21" t="s">
        <v>898</v>
      </c>
      <c r="IL42" s="21"/>
      <c r="IM42" s="34"/>
      <c r="IN42" s="349">
        <v>44973</v>
      </c>
      <c r="IO42" s="21" t="s">
        <v>1186</v>
      </c>
      <c r="IP42" s="29">
        <f t="shared" si="208"/>
        <v>35.571428571428569</v>
      </c>
      <c r="IQ42" s="110" t="s">
        <v>1644</v>
      </c>
      <c r="IR42" s="21" t="s">
        <v>1645</v>
      </c>
      <c r="IS42" s="21" t="s">
        <v>1646</v>
      </c>
      <c r="IT42" s="21" t="s">
        <v>1642</v>
      </c>
      <c r="IU42" s="21"/>
      <c r="IV42" s="21"/>
      <c r="IW42" s="21"/>
      <c r="IX42" s="21"/>
      <c r="IY42" s="21"/>
      <c r="IZ42" s="21"/>
      <c r="JA42" s="21"/>
      <c r="JB42" s="30">
        <v>1</v>
      </c>
      <c r="JC42" s="21" t="s">
        <v>1643</v>
      </c>
      <c r="JD42" s="36">
        <v>2298</v>
      </c>
      <c r="JE42" s="21" t="str">
        <f t="shared" si="209"/>
        <v>PREMATURO</v>
      </c>
      <c r="JF42" s="30"/>
      <c r="JG42" s="21"/>
      <c r="JH42" s="21"/>
      <c r="JI42" s="21" t="s">
        <v>854</v>
      </c>
      <c r="JJ42" s="30" t="s">
        <v>866</v>
      </c>
      <c r="JK42" s="22"/>
      <c r="JL42" s="22"/>
      <c r="JM42" s="21"/>
      <c r="JN42" s="36"/>
      <c r="JO42" s="21" t="str">
        <f t="shared" si="210"/>
        <v/>
      </c>
      <c r="JP42" s="22"/>
      <c r="JQ42" s="21"/>
      <c r="JR42" s="21"/>
      <c r="JS42" s="21"/>
      <c r="JT42" s="30"/>
      <c r="JU42" s="22"/>
      <c r="JV42" s="22"/>
      <c r="JW42" s="33"/>
      <c r="JX42" s="28" t="str">
        <f t="shared" si="211"/>
        <v>INASISTENTE</v>
      </c>
      <c r="JY42" s="33"/>
      <c r="JZ42" s="28" t="str">
        <f t="shared" si="212"/>
        <v>INASISTENTE</v>
      </c>
      <c r="KA42" s="21"/>
      <c r="KB42" s="21"/>
      <c r="KC42" s="21"/>
      <c r="KD42" s="37"/>
      <c r="KE42" s="28"/>
      <c r="KF42" s="28"/>
      <c r="KG42" s="28"/>
      <c r="KH42" s="39"/>
      <c r="KI42" s="39"/>
      <c r="KJ42" s="66"/>
      <c r="KK42" s="39"/>
      <c r="KL42" s="39"/>
      <c r="KM42" s="66"/>
      <c r="KN42" s="39"/>
      <c r="KO42" s="39"/>
      <c r="KP42" s="39"/>
      <c r="KQ42" s="39"/>
      <c r="KR42" s="39"/>
      <c r="KS42" s="39"/>
      <c r="KT42" s="39"/>
      <c r="KU42" s="38"/>
      <c r="KV42" s="38"/>
      <c r="KW42" s="38"/>
      <c r="KX42" s="38"/>
      <c r="KY42" s="38"/>
      <c r="KZ42" s="38"/>
      <c r="LA42" s="38"/>
      <c r="LB42" s="38"/>
      <c r="LC42" s="38"/>
      <c r="LD42" s="38"/>
      <c r="LE42" s="38"/>
      <c r="LF42" s="38"/>
      <c r="LG42" s="38"/>
      <c r="LH42" s="38"/>
      <c r="LI42" s="38"/>
      <c r="LJ42" s="38"/>
      <c r="LK42" s="38"/>
      <c r="LL42" s="38"/>
      <c r="LM42" s="38"/>
      <c r="LN42" s="38"/>
      <c r="LO42" s="38"/>
      <c r="LP42" s="38"/>
      <c r="LQ42" s="38"/>
      <c r="LR42" s="38"/>
      <c r="LS42" s="38"/>
      <c r="LT42" s="38"/>
      <c r="LU42" s="38"/>
      <c r="LV42" s="38"/>
      <c r="LW42" s="38"/>
      <c r="LX42" s="38"/>
      <c r="LY42" s="38"/>
      <c r="LZ42" s="38"/>
      <c r="MA42" s="38"/>
      <c r="MB42" s="38"/>
      <c r="MC42" s="38"/>
      <c r="MD42" s="38"/>
      <c r="ME42" s="38"/>
      <c r="MF42" s="38"/>
      <c r="MG42" s="38"/>
      <c r="MH42" s="43">
        <f t="shared" si="213"/>
        <v>0</v>
      </c>
      <c r="MI42" s="43" t="str">
        <f t="shared" si="214"/>
        <v/>
      </c>
      <c r="MJ42" s="43" t="str">
        <f t="shared" si="215"/>
        <v/>
      </c>
      <c r="MK42" s="43">
        <f t="shared" si="216"/>
        <v>0</v>
      </c>
      <c r="ML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2" s="43">
        <f t="shared" si="217"/>
        <v>13.285714285714286</v>
      </c>
      <c r="MN42" s="43">
        <f t="shared" si="218"/>
        <v>9</v>
      </c>
      <c r="MO42" s="43">
        <f t="shared" si="219"/>
        <v>2022</v>
      </c>
      <c r="MP42" s="43" t="str">
        <f t="shared" si="220"/>
        <v>III TRIMESTRE AÑO</v>
      </c>
      <c r="MQ42" s="43">
        <f t="shared" si="221"/>
        <v>26.642575558475688</v>
      </c>
      <c r="MR42" s="43">
        <f t="shared" si="222"/>
        <v>0</v>
      </c>
      <c r="MS42" s="43" t="str">
        <f t="shared" si="223"/>
        <v xml:space="preserve"> DE 25 A 29 AÑOS</v>
      </c>
      <c r="MT42" s="43">
        <f t="shared" si="224"/>
        <v>0</v>
      </c>
      <c r="MU42" s="43">
        <f t="shared" si="225"/>
        <v>0</v>
      </c>
      <c r="MV42" s="43">
        <f t="shared" si="226"/>
        <v>0</v>
      </c>
      <c r="MW42" s="43">
        <f t="shared" si="227"/>
        <v>0</v>
      </c>
      <c r="MX42" s="43" t="str">
        <f t="shared" si="228"/>
        <v/>
      </c>
      <c r="MY42" s="43" t="str">
        <f t="shared" ca="1" si="229"/>
        <v/>
      </c>
      <c r="MZ42" s="43" t="str">
        <f t="shared" si="230"/>
        <v/>
      </c>
      <c r="NA42" s="43">
        <f t="shared" si="231"/>
        <v>3</v>
      </c>
      <c r="NB42" s="43" t="str">
        <f t="shared" si="232"/>
        <v/>
      </c>
      <c r="NC42" s="43" t="str">
        <f t="shared" si="233"/>
        <v/>
      </c>
      <c r="ND42" s="43">
        <f t="shared" ca="1" si="234"/>
        <v>6</v>
      </c>
      <c r="NE42" s="43">
        <f>IF(OR(O42&gt;0,R42&gt;0),SUM(COUNTIF(Tabla1[[#This Row],[AÑOS AL INICIO5 CPN]],"&gt;=40"),COUNTIF(AS42,"0"),COUNTIF(AR42,"SI"),COUNTIF(CC42,"SI"),COUNTIF(BQ42,"&gt;119"),COUNTIF(CI42,"&gt;=35")),"")</f>
        <v>1</v>
      </c>
      <c r="NF42" s="43">
        <f t="shared" si="235"/>
        <v>24.714285714285715</v>
      </c>
      <c r="NG42" s="43">
        <f t="shared" si="236"/>
        <v>0</v>
      </c>
      <c r="NH42" s="43">
        <f t="shared" si="237"/>
        <v>175</v>
      </c>
      <c r="NI4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CPN",P42="NO"),"Z",IF(AND(Tabla1[[#This Row],[CITA PROXIMO CONTROL]]="CITA MANUAL",Tabla1[[#This Row],[GESTANTES ACTUALES]]="ACTIVA INGRESO A CPN"),"W",IF(AND(Tabla1[[#This Row],[GESTANTES ACTUALES]]="SALIO PROGRAMA",IN42=""),"S",IF(AND(Tabla1[[#This Row],[CITA PROXIMO CONTROL]]&gt;0,IN42=""),(Tabla1[[#This Row],[CITA PROXIMO CONTROL]]-TODAY()),"SD"))))))))</f>
        <v>SD</v>
      </c>
      <c r="NJ42" s="43">
        <f>MONTH(Tabla1[[#This Row],[FECHA DE SALIDA  DEL PROGRAMA]])</f>
        <v>2</v>
      </c>
      <c r="NK42" s="43">
        <f>YEAR(Tabla1[[#This Row],[FECHA DE SALIDA  DEL PROGRAMA]])</f>
        <v>2023</v>
      </c>
      <c r="NL42" s="43" t="str">
        <f t="shared" si="238"/>
        <v>X</v>
      </c>
      <c r="NM42" s="43" t="str">
        <f t="shared" si="239"/>
        <v>NO</v>
      </c>
      <c r="NN42" s="43" t="str">
        <f ca="1">IF(AND(O42&gt;0,R42=""),"NO CPN",IF(AND(O42="",R42=""),"",IF(AND(R42&gt;0,Tabla1[[#This Row],[SEMANAS DE GESTACION ACTUALIZADAS]]&lt;=12),"NO APLICA",IF(AND(FH42&lt;&gt;"",FN42&lt;&gt;""),"SI","NO"))))</f>
        <v>NO</v>
      </c>
      <c r="NO42" s="43" t="str">
        <f ca="1">IF(AND(O42&gt;0,R42=""),"NO CPN",IF(AND(O42="",R42=""),"",IF(AND(R42&gt;0,Tabla1[[#This Row],[SEMANAS DE GESTACION ACTUALIZADAS]]&lt;=27),"NO APLICA",IF(AND(ES42&lt;&gt;"",FQ42&lt;&gt;"",GF42&lt;&gt;""),"SI","NO"))))</f>
        <v>NO</v>
      </c>
      <c r="NP42" s="204" t="str">
        <f t="shared" si="240"/>
        <v>II TRIM</v>
      </c>
      <c r="NQ42" s="21" t="str">
        <f t="shared" si="241"/>
        <v/>
      </c>
      <c r="NR42" s="21">
        <f t="shared" si="242"/>
        <v>2</v>
      </c>
      <c r="NS42" s="205">
        <f t="shared" ca="1" si="243"/>
        <v>1</v>
      </c>
      <c r="NT42" s="21">
        <f t="shared" ca="1" si="244"/>
        <v>1</v>
      </c>
      <c r="NU42" s="21" t="str">
        <f t="shared" ca="1" si="245"/>
        <v>INCOMPLETO</v>
      </c>
      <c r="NV42" s="21" t="str">
        <f t="shared" ca="1" si="246"/>
        <v>INCOMPLETO</v>
      </c>
      <c r="NW42" s="206" t="str">
        <f>IF(AND(O42="",R42=""),"",IF(OR(AND(Tabla1[[#This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2" s="207" t="str">
        <f t="shared" ca="1" si="247"/>
        <v>VACUNADA</v>
      </c>
      <c r="NY42" s="43">
        <f>ROW(Tabla1[[#This Row],['# DE TAMIZAJES SIFILIS TOMADOS ]])</f>
        <v>42</v>
      </c>
      <c r="NZ42" s="43">
        <f t="shared" si="93"/>
        <v>13</v>
      </c>
      <c r="OA42" s="43" t="str">
        <f t="shared" si="94"/>
        <v/>
      </c>
      <c r="OB42" s="43" t="str">
        <f t="shared" si="95"/>
        <v/>
      </c>
      <c r="OC42" s="43" t="str">
        <f t="shared" si="96"/>
        <v/>
      </c>
      <c r="OD42" s="43" t="str">
        <f t="shared" si="97"/>
        <v/>
      </c>
      <c r="OE42" s="43" t="str">
        <f t="shared" si="98"/>
        <v>NORMAL</v>
      </c>
      <c r="OF42" s="43" t="str">
        <f t="shared" si="99"/>
        <v/>
      </c>
      <c r="OG42" s="43" t="str">
        <f t="shared" si="100"/>
        <v/>
      </c>
      <c r="OH42" s="43" t="str">
        <f t="shared" si="101"/>
        <v/>
      </c>
      <c r="OI42" s="43" t="str">
        <f t="shared" si="102"/>
        <v/>
      </c>
      <c r="OJ42" s="43" t="str">
        <f t="shared" si="103"/>
        <v/>
      </c>
      <c r="OK42" s="43" t="str">
        <f t="shared" si="104"/>
        <v/>
      </c>
      <c r="OL42" s="43" t="str">
        <f t="shared" si="105"/>
        <v/>
      </c>
      <c r="OM42" s="43" t="str">
        <f t="shared" si="106"/>
        <v/>
      </c>
      <c r="ON42" s="43" t="str">
        <f t="shared" si="107"/>
        <v/>
      </c>
      <c r="OO42" s="43" t="str">
        <f t="shared" si="108"/>
        <v/>
      </c>
      <c r="OP42" s="43" t="str">
        <f t="shared" si="109"/>
        <v/>
      </c>
      <c r="OQ42" s="43" t="str">
        <f t="shared" si="110"/>
        <v/>
      </c>
      <c r="OR42" s="43" t="str">
        <f t="shared" si="111"/>
        <v/>
      </c>
      <c r="OS42" s="43" t="str">
        <f t="shared" si="112"/>
        <v/>
      </c>
      <c r="OT42" s="43" t="str">
        <f t="shared" si="113"/>
        <v/>
      </c>
      <c r="OU42" s="43" t="str">
        <f t="shared" si="114"/>
        <v/>
      </c>
      <c r="OV42" s="110" t="str">
        <f t="shared" si="115"/>
        <v/>
      </c>
      <c r="OW42" s="43" t="str">
        <f t="shared" si="116"/>
        <v/>
      </c>
      <c r="OX42" s="43" t="str">
        <f t="shared" si="117"/>
        <v/>
      </c>
      <c r="OY42" s="43" t="str">
        <f t="shared" si="118"/>
        <v/>
      </c>
      <c r="OZ42" s="43" t="str">
        <f t="shared" si="119"/>
        <v/>
      </c>
      <c r="PA42" s="43" t="str">
        <f t="shared" si="120"/>
        <v/>
      </c>
      <c r="PB42" s="43" t="str">
        <f t="shared" si="121"/>
        <v/>
      </c>
      <c r="PC42" s="43" t="str">
        <f t="shared" si="122"/>
        <v/>
      </c>
      <c r="PD42" s="43" t="str">
        <f t="shared" si="123"/>
        <v/>
      </c>
      <c r="PE42" s="43" t="str">
        <f t="shared" si="124"/>
        <v/>
      </c>
      <c r="PF42" s="43" t="str">
        <f t="shared" si="125"/>
        <v/>
      </c>
      <c r="PG42" s="43" t="str">
        <f t="shared" si="126"/>
        <v/>
      </c>
      <c r="PH42" s="43" t="str">
        <f t="shared" si="127"/>
        <v/>
      </c>
      <c r="PI42" s="43">
        <f t="shared" si="128"/>
        <v>33</v>
      </c>
      <c r="PJ42" s="43" t="str">
        <f t="shared" si="129"/>
        <v/>
      </c>
      <c r="PK42" s="43" t="str">
        <f t="shared" si="130"/>
        <v/>
      </c>
      <c r="PL42" s="43" t="str">
        <f t="shared" si="131"/>
        <v/>
      </c>
      <c r="PM42" s="43" t="str">
        <f t="shared" si="132"/>
        <v/>
      </c>
      <c r="PN42" s="43" t="str">
        <f t="shared" si="133"/>
        <v/>
      </c>
      <c r="PO42" s="43" t="str">
        <f t="shared" si="134"/>
        <v/>
      </c>
      <c r="PP42" s="43" t="str">
        <f t="shared" si="135"/>
        <v/>
      </c>
      <c r="PQ42" s="43" t="str">
        <f t="shared" si="136"/>
        <v/>
      </c>
      <c r="PR42" s="43" t="str">
        <f t="shared" si="137"/>
        <v/>
      </c>
      <c r="PS42" s="43" t="str">
        <f t="shared" si="138"/>
        <v/>
      </c>
      <c r="PT42" s="43" t="str">
        <f t="shared" si="139"/>
        <v/>
      </c>
      <c r="PU42" s="43" t="str">
        <f t="shared" si="140"/>
        <v/>
      </c>
      <c r="PV42" s="43" t="str">
        <f t="shared" si="141"/>
        <v/>
      </c>
      <c r="PW42" s="43" t="str">
        <f t="shared" si="142"/>
        <v/>
      </c>
      <c r="PX42" s="43" t="str">
        <f t="shared" si="143"/>
        <v/>
      </c>
      <c r="PY42" s="43" t="str">
        <f t="shared" si="144"/>
        <v/>
      </c>
      <c r="PZ42" s="43" t="str">
        <f t="shared" si="145"/>
        <v/>
      </c>
      <c r="QA42" s="43" t="str">
        <f t="shared" si="146"/>
        <v/>
      </c>
      <c r="QB42" s="43" t="str">
        <f t="shared" si="147"/>
        <v/>
      </c>
      <c r="QC42" s="43" t="str">
        <f t="shared" si="148"/>
        <v/>
      </c>
      <c r="QD42" s="43" t="str">
        <f t="shared" si="149"/>
        <v/>
      </c>
      <c r="QE42" s="43" t="str">
        <f t="shared" si="150"/>
        <v/>
      </c>
      <c r="QF42" s="43" t="str">
        <f t="shared" si="151"/>
        <v/>
      </c>
      <c r="QG42" s="43" t="str">
        <f t="shared" si="152"/>
        <v/>
      </c>
      <c r="QH42" s="43" t="str">
        <f t="shared" si="153"/>
        <v/>
      </c>
      <c r="QI42" s="43" t="str">
        <f t="shared" si="154"/>
        <v/>
      </c>
      <c r="QJ42" s="43" t="str">
        <f t="shared" si="155"/>
        <v/>
      </c>
      <c r="QK42" s="43" t="str">
        <f t="shared" si="156"/>
        <v/>
      </c>
      <c r="QL42" s="43" t="str">
        <f t="shared" si="157"/>
        <v/>
      </c>
      <c r="QM42" s="43" t="str">
        <f t="shared" si="158"/>
        <v/>
      </c>
      <c r="QN42" s="43" t="str">
        <f t="shared" si="159"/>
        <v/>
      </c>
      <c r="QO42" s="43" t="str">
        <f t="shared" si="160"/>
        <v/>
      </c>
      <c r="QP42" s="43" t="str">
        <f t="shared" si="161"/>
        <v/>
      </c>
      <c r="QQ42" s="43" t="str">
        <f t="shared" si="162"/>
        <v/>
      </c>
      <c r="QR42" s="43">
        <f t="shared" si="192"/>
        <v>33</v>
      </c>
      <c r="QS42" s="43"/>
      <c r="QT42" s="21" t="str">
        <f t="shared" si="163"/>
        <v/>
      </c>
      <c r="QU42" s="21" t="str">
        <f t="shared" si="164"/>
        <v/>
      </c>
      <c r="QV42" s="21" t="str">
        <f t="shared" si="165"/>
        <v/>
      </c>
      <c r="QW42" s="21" t="str">
        <f t="shared" si="166"/>
        <v/>
      </c>
      <c r="QX42" s="21" t="str">
        <f t="shared" si="167"/>
        <v/>
      </c>
      <c r="QY42" s="21" t="str">
        <f t="shared" si="168"/>
        <v/>
      </c>
      <c r="QZ42" s="21" t="str">
        <f t="shared" si="169"/>
        <v/>
      </c>
      <c r="RA42" s="21" t="str">
        <f t="shared" si="170"/>
        <v/>
      </c>
      <c r="RB42" s="21" t="str">
        <f t="shared" si="171"/>
        <v/>
      </c>
      <c r="RC42" s="21" t="str">
        <f t="shared" si="172"/>
        <v/>
      </c>
      <c r="RD42" s="21" t="str">
        <f t="shared" si="173"/>
        <v/>
      </c>
      <c r="RE42" s="21" t="str">
        <f t="shared" si="174"/>
        <v/>
      </c>
      <c r="RF42" s="21" t="str">
        <f t="shared" si="175"/>
        <v/>
      </c>
      <c r="RG42" s="21" t="str">
        <f t="shared" si="176"/>
        <v/>
      </c>
      <c r="RH42" s="21" t="str">
        <f t="shared" si="177"/>
        <v/>
      </c>
      <c r="RI42" s="21" t="str">
        <f t="shared" si="178"/>
        <v/>
      </c>
      <c r="RJ42" s="21" t="str">
        <f t="shared" si="179"/>
        <v/>
      </c>
      <c r="RK42" s="21" t="str">
        <f t="shared" si="180"/>
        <v/>
      </c>
      <c r="RL42" s="21" t="str">
        <f t="shared" si="181"/>
        <v/>
      </c>
      <c r="RM42" s="21" t="str">
        <f t="shared" si="182"/>
        <v/>
      </c>
      <c r="RN42" s="21" t="str">
        <f t="shared" si="183"/>
        <v/>
      </c>
      <c r="RO42" s="21" t="str">
        <f t="shared" si="184"/>
        <v/>
      </c>
      <c r="RP42" s="21" t="str">
        <f t="shared" si="185"/>
        <v/>
      </c>
      <c r="RQ42" s="21" t="str">
        <f t="shared" si="186"/>
        <v/>
      </c>
      <c r="RR42" s="21" t="str">
        <f t="shared" si="187"/>
        <v/>
      </c>
      <c r="RS42" s="21" t="str">
        <f t="shared" si="188"/>
        <v/>
      </c>
      <c r="RT42" s="21" t="str">
        <f t="shared" si="189"/>
        <v/>
      </c>
      <c r="RU42" s="21" t="str">
        <f t="shared" si="190"/>
        <v/>
      </c>
      <c r="RV42" s="21">
        <f t="shared" si="191"/>
        <v>13.285714285714286</v>
      </c>
      <c r="RW42" s="284">
        <f>IF(OR(Tabla1[[#This Row],[FUM FORMULA CONFIABLE]]="",Tabla1[[#This Row],[FUM FORMULA CONFIABLE]]="SD"),"",IF(Tabla1[[#This Row],[FUM FORMULA CONFIABLE]]="CORREGIDA",Tabla1[[#This Row],[FUM X ECO 1]],Tabla1[[#This Row],[FUM x AMENORREA]]))</f>
        <v>44724</v>
      </c>
      <c r="RX42" s="21">
        <f>IF(AND(Tabla1[[#This Row],[FUM X ECO 1]]="",Tabla1[[#This Row],[FUM x AMENORREA]]=""),"",IF(AND(Tabla1[[#This Row],[FUM X ECO 1]]="",Tabla1[[#This Row],[FUM x AMENORREA]]&lt;&gt;""),"X",SUM(Tabla1[[#This Row],[FUM X ECO 1]]-Tabla1[[#This Row],[FUM x AMENORREA]])))</f>
        <v>-1</v>
      </c>
      <c r="RY42" s="21">
        <f t="shared" si="193"/>
        <v>0</v>
      </c>
    </row>
    <row r="43" spans="1:493" ht="45" customHeight="1" x14ac:dyDescent="0.25">
      <c r="A43" s="109" t="s">
        <v>1088</v>
      </c>
      <c r="B43" s="43" t="s">
        <v>1089</v>
      </c>
      <c r="C43" s="43" t="s">
        <v>845</v>
      </c>
      <c r="D43" s="124" t="s">
        <v>846</v>
      </c>
      <c r="E43" s="43" t="s">
        <v>1090</v>
      </c>
      <c r="F43" s="43" t="s">
        <v>1091</v>
      </c>
      <c r="G43" s="43" t="s">
        <v>1092</v>
      </c>
      <c r="H43" s="43" t="s">
        <v>1093</v>
      </c>
      <c r="I43" s="109" t="s">
        <v>1094</v>
      </c>
      <c r="J43" s="110">
        <v>1060868929</v>
      </c>
      <c r="K43" s="43" t="s">
        <v>852</v>
      </c>
      <c r="L43" s="175" t="s">
        <v>1081</v>
      </c>
      <c r="M43" s="22">
        <v>38393</v>
      </c>
      <c r="N43" s="213">
        <f t="shared" ca="1" si="0"/>
        <v>18.739726027397261</v>
      </c>
      <c r="O43" s="22">
        <v>44867</v>
      </c>
      <c r="P43" s="214" t="str">
        <f t="shared" si="194"/>
        <v>SI</v>
      </c>
      <c r="Q43" s="26" t="s">
        <v>855</v>
      </c>
      <c r="R43" s="22">
        <v>44867</v>
      </c>
      <c r="S43" s="21" t="s">
        <v>856</v>
      </c>
      <c r="T43" s="24" t="s">
        <v>690</v>
      </c>
      <c r="U43" s="21" t="s">
        <v>857</v>
      </c>
      <c r="V43" s="21" t="s">
        <v>858</v>
      </c>
      <c r="W43" s="21" t="s">
        <v>1095</v>
      </c>
      <c r="X43" s="21" t="s">
        <v>1095</v>
      </c>
      <c r="Y43" s="21" t="s">
        <v>859</v>
      </c>
      <c r="Z43" s="21" t="s">
        <v>894</v>
      </c>
      <c r="AA43" s="21" t="s">
        <v>860</v>
      </c>
      <c r="AB43" s="27" t="s">
        <v>861</v>
      </c>
      <c r="AC43" s="26" t="s">
        <v>897</v>
      </c>
      <c r="AD43" s="38" t="s">
        <v>846</v>
      </c>
      <c r="AE43" s="26" t="s">
        <v>854</v>
      </c>
      <c r="AF43" s="26" t="s">
        <v>854</v>
      </c>
      <c r="AG43" s="23" t="s">
        <v>864</v>
      </c>
      <c r="AH43" s="23" t="s">
        <v>864</v>
      </c>
      <c r="AI43" s="24" t="s">
        <v>863</v>
      </c>
      <c r="AJ43" s="23" t="s">
        <v>864</v>
      </c>
      <c r="AK43" s="220" t="str">
        <f>IF(AND(AD43="",AE43="",AF43="",AG43="",AH43="",AI43="",AJ43=""),"",IF(OR(Tabla1[[#This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EVALUACIÓN",IF(AND(O43="",R43=""),"",IF(AND(OR(O43&gt;0,R43&gt;0),NG43&gt;=0,NG43&lt;2),"SIN RIESGO",IF(AND(OR(O43&gt;0,R43&gt;0),NG43&gt;=2),"CON RIESGO","ASD")))))</f>
        <v>SIN RIESGO</v>
      </c>
      <c r="AL43" s="23" t="s">
        <v>864</v>
      </c>
      <c r="AM43" s="26" t="s">
        <v>864</v>
      </c>
      <c r="AN43" s="26" t="s">
        <v>864</v>
      </c>
      <c r="AO43" s="26" t="s">
        <v>864</v>
      </c>
      <c r="AP43" s="26" t="s">
        <v>864</v>
      </c>
      <c r="AQ43" s="26" t="s">
        <v>864</v>
      </c>
      <c r="AR43" s="26" t="s">
        <v>864</v>
      </c>
      <c r="AS43" s="21">
        <v>0</v>
      </c>
      <c r="AT43" s="21">
        <v>0</v>
      </c>
      <c r="AU43" s="21">
        <v>0</v>
      </c>
      <c r="AV43" s="26" t="s">
        <v>864</v>
      </c>
      <c r="AW43" s="21">
        <v>0</v>
      </c>
      <c r="AX43" s="26" t="s">
        <v>864</v>
      </c>
      <c r="AY43" s="26" t="s">
        <v>864</v>
      </c>
      <c r="AZ43" s="26" t="s">
        <v>864</v>
      </c>
      <c r="BA43" s="26" t="s">
        <v>864</v>
      </c>
      <c r="BB43" s="26" t="s">
        <v>864</v>
      </c>
      <c r="BC43" s="26" t="s">
        <v>864</v>
      </c>
      <c r="BD43" s="26" t="s">
        <v>864</v>
      </c>
      <c r="BE43" s="26" t="s">
        <v>864</v>
      </c>
      <c r="BF43" s="26" t="s">
        <v>864</v>
      </c>
      <c r="BG43" s="26" t="s">
        <v>864</v>
      </c>
      <c r="BH43" s="26" t="s">
        <v>864</v>
      </c>
      <c r="BI43" s="26" t="s">
        <v>864</v>
      </c>
      <c r="BJ43" s="26"/>
      <c r="BK43" s="26"/>
      <c r="BL43" s="26" t="s">
        <v>864</v>
      </c>
      <c r="BM43" s="26" t="s">
        <v>864</v>
      </c>
      <c r="BN43" s="22"/>
      <c r="BO43" s="22">
        <v>44751</v>
      </c>
      <c r="BP43" s="21" t="s">
        <v>864</v>
      </c>
      <c r="BQ43" s="222">
        <f t="shared" si="2"/>
        <v>0</v>
      </c>
      <c r="BR43" s="223" t="str">
        <f t="shared" si="3"/>
        <v/>
      </c>
      <c r="BS43" s="224">
        <f t="shared" si="4"/>
        <v>16.571428571428573</v>
      </c>
      <c r="BT43" s="216" t="str">
        <f t="shared" si="5"/>
        <v>DEFINIR CON ECO</v>
      </c>
      <c r="BU43" s="214" t="str">
        <f t="shared" ca="1" si="6"/>
        <v/>
      </c>
      <c r="BV43" s="25"/>
      <c r="BW43" s="22"/>
      <c r="BX43" s="28"/>
      <c r="BY43" s="28"/>
      <c r="BZ43" s="22"/>
      <c r="CA43" s="21"/>
      <c r="CB43" s="26"/>
      <c r="CC43" s="26"/>
      <c r="CD43" s="26"/>
      <c r="CE43" s="26"/>
      <c r="CF43" s="22" t="s">
        <v>1517</v>
      </c>
      <c r="CG43" s="21">
        <v>1.56</v>
      </c>
      <c r="CH43" s="21">
        <v>57.6</v>
      </c>
      <c r="CI43" s="214">
        <f t="shared" si="7"/>
        <v>23.668639053254438</v>
      </c>
      <c r="CJ43" s="225" t="e">
        <f>IF(AND(CI43&lt;10,CH43="SD"),"SIN DATO PESO PREGESTACION O I TRIM",IF(AND(OR(R43&gt;0,O43&gt;0),CI43="X"),"INGRESAR DATO DE PESO",IF(CI43="SD","INGRESAR DATO DE TALLA Y PESO",IF(AND(OR(Tabla1[[#This Row],[MOMENTO EN QUE SE REALIZA EL PESO AL INGRESO A CPN]]="PREGESTACIÓN",NZ43="Menor"),CI43&lt;18.5),"BAJO PESO",IF(AND(OR(Tabla1[[#This Row],[MOMENTO EN QUE SE REALIZA EL PESO AL INGRESO A CPN]]="PREGESTACIÓN",NZ43="Menor"),CI43&lt;25),"NORMAL",IF(AND(OR(Tabla1[[#This Row],[MOMENTO EN QUE SE REALIZA EL PESO AL INGRESO A CPN]]="PREGESTACIÓN",NZ43="Menor"),CI43&lt;30),"SOBREPESO",IF(AND(OR(Tabla1[[#This Row],[MOMENTO EN QUE SE REALIZA EL PESO AL INGRESO A CPN]]="PREGESTACIÓN",NZ43="Menor"),CI43&gt;=30,CI43&lt;50),"OBESIDAD",IF(AND(BS43&gt;0,Tabla1[[#This Row],[MOMENTO EN QUE SE REALIZA EL PESO AL INGRESO A CPN]]="GESTACIÓN"),HLOOKUP(NZ43,$OA$2:PH43,NY43),""))))))))</f>
        <v>#REF!</v>
      </c>
      <c r="CK43" s="212">
        <f t="shared" si="8"/>
        <v>44908</v>
      </c>
      <c r="CL43" s="21"/>
      <c r="CM43" s="214">
        <f t="shared" si="9"/>
        <v>0</v>
      </c>
      <c r="CN43" s="216">
        <f t="shared" si="10"/>
        <v>22</v>
      </c>
      <c r="CO43" s="216" t="e">
        <f>IF(PI43="","",IF(PI43&gt;0,HLOOKUP(PI43,$PJ$2:QQ43,NY43),""))</f>
        <v>#REF!</v>
      </c>
      <c r="CP43" s="21"/>
      <c r="CQ43" s="216" t="e">
        <f>IF(QR43="Menor","NO APLICA-MENOR 13 SEM",IF(AND(CC43="SI",CN43&gt;23),"NO APLICA- GEMELAR",IF(QR43="","",IF(QR43&gt;0,HLOOKUP(QR43,$QS$2:RU43,NY43),""))))</f>
        <v>#REF!</v>
      </c>
      <c r="CR43" s="21"/>
      <c r="CS43" s="21"/>
      <c r="CT43" s="217" t="str">
        <f>IF(R43="","",IF(AND(BS43&gt;1,BS43&lt;12,Tabla1[[#This Row],[T.A. SISTOLICA - ANTES DE SEMANA 12]]="",Tabla1[[#This Row],[T.A. DIASTOLICA - ANTES DE SEMANA 12]]=""),"REGISTRE DATO TA ANTES SEMANA 12",IF(AND(BS43&gt;11,BS43&lt;43,Tabla1[[#This Row],[T.A. SISTOLICA - ANTES DE SEMANA 12]]="",Tabla1[[#This Row],[T.A. DIASTOLICA - ANTES DE SEMANA 12]]=""),"NO APLICA REGISTRO TA-INGRESO TARDIO",IF(AND(OR(O43&gt;0,R43&gt;0),OR(CR43&gt;=140,CS43&gt;=90)),"DEFINIR ESTADIO HTA",IF(AND(OR(O43&gt;0,R43&gt;0),AND(CR43&gt;120,CR43&lt;=139)),"PRE HTA SEGUIMIENTO",IF(AND(OR(O43&gt;0,R43&gt;0),AND(CS43&gt;80,CS43&lt;=89)),"PRE HTA SEGUIMIENTO",IF(AND(OR(O43&gt;0,R43&gt;0),AND(CR43&gt;=80,CR43&lt;=120)),"APARENTEMENTE NORMAL",IF(AND(OR(O43&gt;0,R43&gt;0),AND(CS43&gt;=50,CS43&lt;=80)),"APARENTEMENTE NORMAL",IF(AND(OR(O43&gt;0,R43&gt;0),AND(CR43&gt;1,CR43&lt;=70),AND(CS43&gt;1,CS43&lt;=40)),"HIPOTENSIÓN","")))))))))</f>
        <v>NO APLICA REGISTRO TA-INGRESO TARDIO</v>
      </c>
      <c r="CU43" s="21"/>
      <c r="CV43" s="21"/>
      <c r="CW43" s="217" t="str">
        <f>IF(R43="","",IF(AND(CN43&gt;19,CN43&lt;27,Tabla1[[#This Row],[T.A. SISTOLICA (Entre semana 20 y 26)]]="",Tabla1[[#This Row],[T.A. DIATOLICA (Entre semana 20 y 26)]]=""),"ACUDE A CONTROL SEM 20 A 26 REGISTRE TA AHORA",IF(AND(BS43&gt;1,BS43&lt;27,BU43&gt;19,Tabla1[[#This Row],[T.A. SISTOLICA (Entre semana 20 y 26)]]="",Tabla1[[#This Row],[T.A. DIATOLICA (Entre semana 20 y 26)]]=""),"COMPLETE REGISTRO TA CONTROL SEM 20 A26 ",IF(AND(BS43&gt;26,BS43&lt;43,Tabla1[[#This Row],[T.A. SISTOLICA (Entre semana 20 y 26)]]="",Tabla1[[#This Row],[T.A. DIATOLICA (Entre semana 20 y 26)]]=""),"NO APLICA REGISTRO TA-INGRESO TARDIO",IF(AND(OR(O43&gt;0,R43&gt;0),OR(CU43&gt;=140,CV43&gt;=90)),"ALTO RIESGO PREECLAMPSIA,DEFINIR ESTADIO HTA",IF(AND(OR(O43&gt;0,R43&gt;0),AND(CU43&gt;120,CU43&lt;=139)),"PRE HTA SEGUIMIENTO,RIESGO HIPERTENSION INDUCIDA POR EL EMBARAZO",IF(AND(OR(O43&gt;0,R43&gt;0),AND(CV43&gt;80,CV43&lt;=89)),"PRE HTA SEGUIMIENTO, RIESGO HIPERTENSION INDUCIDA POR EL EMBARAZO",IF(AND(OR(O43&lt;&gt;"",R43&lt;&gt;""),CS43&lt;&gt;"",CV43&lt;&gt;"",CS43&lt;=CV43),"VIGILAR CIFRAS PRESION ARTERIAL",IF(AND(OR(O43&gt;0,R43&gt;0),AND(CU43&gt;120,CU43&lt;=139)),"PRE HTA SEGUIMIENTO",IF(AND(OR(O43&gt;0,R43&gt;0),AND(CU43&gt;1,CU43&lt;=70),AND(CV43&gt;1,CV43&lt;=40)),"HIPOTENSIÓN",IF(AND(OR(O43&lt;&gt;"",R43&lt;&gt;""),CS43&lt;&gt;"",CV43&lt;&gt;"",CS43&gt;CV43),"APARENTEMENTE NORMAL",IF(AND(OR(O43&gt;0,R43&gt;0),AND(CU43&gt;=80,CU43&lt;=120)),"APARENTEMENTE NORMAL",IF(AND(OR(O43&gt;0,R43&gt;0),AND(CV43&gt;=50,CV43&lt;=80)),"APARENTEMENTE NORMAL","")))))))))))))</f>
        <v>ACUDE A CONTROL SEM 20 A 26 REGISTRE TA AHORA</v>
      </c>
      <c r="CX43" s="21"/>
      <c r="CY43" s="21"/>
      <c r="CZ43" s="216" t="str">
        <f t="shared" si="195"/>
        <v/>
      </c>
      <c r="DA43" s="21"/>
      <c r="DB43" s="21"/>
      <c r="DC43" s="217" t="str">
        <f t="shared" si="12"/>
        <v>REGISTRE DATO PRESIÓN ARTERIAL MENSUAL</v>
      </c>
      <c r="DD43" s="22">
        <v>44867</v>
      </c>
      <c r="DE43" s="22">
        <v>44867</v>
      </c>
      <c r="DF43" s="22">
        <v>44908</v>
      </c>
      <c r="DG43" s="22"/>
      <c r="DH43" s="22"/>
      <c r="DI43" s="22"/>
      <c r="DJ43" s="22"/>
      <c r="DK43" s="22"/>
      <c r="DL43" s="22"/>
      <c r="DM43" s="22"/>
      <c r="DN43" s="22"/>
      <c r="DO43" s="22"/>
      <c r="DP43" s="22"/>
      <c r="DQ43" s="22"/>
      <c r="DR43" s="28">
        <v>2</v>
      </c>
      <c r="DS43" s="22"/>
      <c r="DT43" s="22"/>
      <c r="DU43" s="216" t="str">
        <f t="shared" ca="1" si="196"/>
        <v>SALE SIN PLAN DE PARTO</v>
      </c>
      <c r="DV43" s="226" t="str">
        <f t="shared" si="197"/>
        <v>SALIO PROGRAMA</v>
      </c>
      <c r="DW4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3" s="216" t="str">
        <f t="shared" ca="1" si="15"/>
        <v/>
      </c>
      <c r="DY43" s="212">
        <f>IF(R43="","",IF(R43&gt;0,MAX(Tabla1[[#This Row],[FECHA C2]:[FECHA C13]],Tabla1[[#This Row],[FECHA CONSULTA PRIMERA VEZ PROGRAMA CPN ]])))</f>
        <v>44908</v>
      </c>
      <c r="DZ43" s="216">
        <f t="shared" si="16"/>
        <v>22</v>
      </c>
      <c r="EA43" s="222">
        <f>IF(R43&gt;0,SUM(COUNTA(DF43:DQ43)+COUNTA(Tabla1[[#This Row],[FECHA CONSULTA PRIMERA VEZ PROGRAMA CPN ]])),"")</f>
        <v>2</v>
      </c>
      <c r="EB43" s="222" t="str">
        <f t="shared" si="17"/>
        <v>NO</v>
      </c>
      <c r="EC43" s="214">
        <f t="shared" si="18"/>
        <v>7</v>
      </c>
      <c r="ED43" s="227">
        <f t="shared" si="19"/>
        <v>0.2857142857142857</v>
      </c>
      <c r="EE43" s="22">
        <v>44867</v>
      </c>
      <c r="EF43" s="22"/>
      <c r="EG43" s="22">
        <v>44867</v>
      </c>
      <c r="EH43" s="22"/>
      <c r="EI43" s="22">
        <v>44867</v>
      </c>
      <c r="EJ43" s="22"/>
      <c r="EK43" s="22"/>
      <c r="EL43" s="21"/>
      <c r="EM43" s="21">
        <v>13.1</v>
      </c>
      <c r="EN43" s="22" t="s">
        <v>1096</v>
      </c>
      <c r="EO43" s="222" t="e">
        <f t="shared" si="20"/>
        <v>#VALUE!</v>
      </c>
      <c r="EP43" s="214" t="str">
        <f t="shared" si="21"/>
        <v>NORMAL- SUMINISTRAR SULFATO FERROSO</v>
      </c>
      <c r="EQ43" s="216" t="e">
        <f t="shared" si="22"/>
        <v>#VALUE!</v>
      </c>
      <c r="ER43" s="24">
        <v>13</v>
      </c>
      <c r="ES43" s="22">
        <v>44867</v>
      </c>
      <c r="ET43" s="29">
        <f t="shared" ca="1" si="198"/>
        <v>16.571428571428573</v>
      </c>
      <c r="EU43" s="25" t="str">
        <f t="shared" si="24"/>
        <v>NORMAL- SUMINISTRAR SULFATO FERROSO</v>
      </c>
      <c r="EV43" s="24" t="s">
        <v>866</v>
      </c>
      <c r="EW43" s="24">
        <v>44867</v>
      </c>
      <c r="EX43" s="22"/>
      <c r="EY43" s="29">
        <f t="shared" si="199"/>
        <v>16.571428571428573</v>
      </c>
      <c r="EZ43" s="25" t="str">
        <f t="shared" ca="1" si="200"/>
        <v/>
      </c>
      <c r="FA43" s="21">
        <v>79</v>
      </c>
      <c r="FB43" s="22">
        <v>44867</v>
      </c>
      <c r="FC43" s="29">
        <f t="shared" si="27"/>
        <v>16.571428571428573</v>
      </c>
      <c r="FD43" s="29"/>
      <c r="FE43" s="29"/>
      <c r="FF43" s="29"/>
      <c r="FG43" s="21" t="str">
        <f t="shared" ca="1" si="28"/>
        <v/>
      </c>
      <c r="FH43" s="31"/>
      <c r="FI43" s="29" t="str">
        <f t="shared" si="29"/>
        <v>TOMAR EXAMEN</v>
      </c>
      <c r="FJ43" s="22"/>
      <c r="FK43" s="22"/>
      <c r="FL43" s="29" t="str">
        <f t="shared" ca="1" si="30"/>
        <v>NO APLICA-INGRESO TARDIO</v>
      </c>
      <c r="FM43" s="22" t="s">
        <v>867</v>
      </c>
      <c r="FN43" s="32">
        <v>44867</v>
      </c>
      <c r="FO43" s="29">
        <f t="shared" ca="1" si="201"/>
        <v>16.571428571428573</v>
      </c>
      <c r="FP43" s="22"/>
      <c r="FQ43" s="32"/>
      <c r="FR43" s="29" t="str">
        <f t="shared" ca="1" si="202"/>
        <v>PIERDE TOMA DE TAMIZAJE</v>
      </c>
      <c r="FS43" s="22"/>
      <c r="FT43" s="32"/>
      <c r="FU43" s="29" t="str">
        <f>IF(AND(FJ43="",FM43="",FP43="",FS43=""),"",IF(OR(OR(Tabla1[[#This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3" s="28"/>
      <c r="FW43" s="22"/>
      <c r="FX43" s="29" t="str">
        <f t="shared" si="33"/>
        <v>TOMAR EXAMEN</v>
      </c>
      <c r="FY43" s="22">
        <v>44867</v>
      </c>
      <c r="FZ43" s="22">
        <v>44867</v>
      </c>
      <c r="GA43" s="29" t="str">
        <f t="shared" si="203"/>
        <v>REGISTRAR EN II TRIMESTRE</v>
      </c>
      <c r="GB43" s="22" t="s">
        <v>868</v>
      </c>
      <c r="GC43" s="22"/>
      <c r="GD43" s="29" t="str">
        <f t="shared" ca="1" si="204"/>
        <v>PIERDE TOMA DE TAMIZAJE</v>
      </c>
      <c r="GE43" s="22"/>
      <c r="GF43" s="22"/>
      <c r="GG43" s="29" t="str">
        <f t="shared" ca="1" si="205"/>
        <v>PIERDE TOMA DE TAMIZAJE</v>
      </c>
      <c r="GH43" s="22"/>
      <c r="GI43" s="29"/>
      <c r="GJ43" s="22"/>
      <c r="GK43" s="22"/>
      <c r="GL43" s="22" t="s">
        <v>879</v>
      </c>
      <c r="GM43" s="22"/>
      <c r="GN43" s="28" t="s">
        <v>869</v>
      </c>
      <c r="GO43" s="22">
        <v>44867</v>
      </c>
      <c r="GP43" s="29">
        <f t="shared" si="37"/>
        <v>16.571428571428573</v>
      </c>
      <c r="GQ43" s="28" t="s">
        <v>869</v>
      </c>
      <c r="GR43" s="28" t="s">
        <v>869</v>
      </c>
      <c r="GS43" s="22" t="str">
        <f t="shared" si="206"/>
        <v>CONTROL Igm</v>
      </c>
      <c r="GT43" s="22">
        <v>44867</v>
      </c>
      <c r="GU43" s="29">
        <f t="shared" si="39"/>
        <v>16.571428571428573</v>
      </c>
      <c r="GV43" s="21" t="str">
        <f t="shared" si="40"/>
        <v>II TRIM</v>
      </c>
      <c r="GW43" s="28" t="s">
        <v>869</v>
      </c>
      <c r="GX43" s="30"/>
      <c r="GY43" s="21"/>
      <c r="GZ43" s="21"/>
      <c r="HA43" s="21"/>
      <c r="HB43" s="21"/>
      <c r="HC43" s="21"/>
      <c r="HD43" s="21"/>
      <c r="HE43" s="21"/>
      <c r="HF43" s="22"/>
      <c r="HG43" s="22" t="str">
        <f>IF(OR(O43&gt;0,R43&gt;0),CONCATENATE(IF(Tabla1[[#This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3" s="22" t="e">
        <f t="shared" si="41"/>
        <v>#REF!</v>
      </c>
      <c r="HI43" s="22" t="e">
        <f t="shared" ca="1" si="42"/>
        <v>#REF!</v>
      </c>
      <c r="HJ43" s="21"/>
      <c r="HK43" s="21" t="str">
        <f t="shared" si="44"/>
        <v>SIN ANTECEDENTES DE RIESGO</v>
      </c>
      <c r="HL43" s="24" t="str">
        <f t="shared" si="45"/>
        <v>REGISTRE DATO PRESIÓN ARTERIAL MENSUAL</v>
      </c>
      <c r="HM43" s="21" t="str">
        <f t="shared" ca="1" si="46"/>
        <v/>
      </c>
      <c r="HN43" s="30" t="str">
        <f t="shared" si="207"/>
        <v>SALIO PROGRAMA</v>
      </c>
      <c r="HO43" s="21"/>
      <c r="HP43" s="21"/>
      <c r="HQ43" s="21">
        <v>44867</v>
      </c>
      <c r="HR43" s="21" t="str">
        <f>IF(R43="","",IF(Tabla1[[#This Row],[ALARMA FACTORES DE RIESGO COMPLICACIONES HIPERTENSIVAS3]]="SIN ANTECEDENTES DE RIESGO","No Aplica para suministro de ASA",IF(AND(Tabla1[[#This Row],[FECHA INICIO DE SUMINISTRO DE ASA]]&gt;0,RV43&lt;12),"Inicia ASA ANTES de Sem 12",IF(AND(RV43&gt;11,RV43&lt;17,OR(HK43="RIESGO ALTO DE COMPLICACIONES HIPERTENSIVAS VER MANEJO GUIA SUMINISTRO ASA Y CALCIO",HK43="RIESGO MODERADO (2 O MAS CRITERIOS) VER MANEJO GUIA SUMINISTRO ASA Y CALCIO")),"Inicio oportuno de ASA",IF(AND(RV43&gt;12,OR(HK43="RIESGO ALTO DE COMPLICACIONES HIPERTENSIVAS VER MANEJO GUIA SUMINISTRO ASA Y CALCIO",HK43="RIESGO MODERADO (2 O MAS CRITERIOS) VER MANEJO GUIA SUMINISTRO ASA Y CALCIO")),"Inicio no oportuno mayor a 16 semanas",IF(AND(BU43&lt;12,OR(HK43="RIESGO ALTO DE COMPLICACIONES HIPERTENSIVAS VER MANEJO GUIA SUMINISTRO ASA Y CALCIO",HK43="RIESGO MODERADO (2 O MAS CRITERIOS) VER MANEJO GUIA SUMINISTRO ASA Y CALCIO")),"Pendiente Inicio de ASA a la semana 12",IF(AND(BU43&gt;11,BU43&lt;17,OR(HK43="RIESGO ALTO DE COMPLICACIONES HIPERTENSIVAS VER MANEJO GUIA SUMINISTRO ASA Y CALCIO",HK43="RIESGO MODERADO (2 O MAS CRITERIOS) VER MANEJO GUIA SUMINISTRO ASA Y CALCIO")),"Iniciar de inmediato ASA",IF(AND(BU43&gt;16,OR(HK43="RIESGO ALTO DE COMPLICACIONES HIPERTENSIVAS VER MANEJO GUIA SUMINISTRO ASA Y CALCIO",HK43="RIESGO MODERADO (2 O MAS CRITERIOS) VER MANEJO GUIA SUMINISTRO ASA Y CALCIO")),"Pierde Oportunidad, Inicio tardío de ASA","XXXXX"))))))))</f>
        <v>No Aplica para suministro de ASA</v>
      </c>
      <c r="HS43" s="22">
        <v>44867</v>
      </c>
      <c r="HT43" s="22" t="s">
        <v>870</v>
      </c>
      <c r="HU43" s="22"/>
      <c r="HV43" s="22"/>
      <c r="HW43" s="22">
        <v>44867</v>
      </c>
      <c r="HX43" s="22" t="s">
        <v>870</v>
      </c>
      <c r="HY43" s="22">
        <v>44867</v>
      </c>
      <c r="HZ43" s="28">
        <f t="shared" si="48"/>
        <v>16.571428571428573</v>
      </c>
      <c r="IA43" s="26" t="s">
        <v>864</v>
      </c>
      <c r="IB43" s="26"/>
      <c r="IC43" s="111"/>
      <c r="ID43" s="22"/>
      <c r="IE43" s="22" t="str">
        <f t="shared" ca="1" si="49"/>
        <v>SALE SIN VACUNA</v>
      </c>
      <c r="IF43" s="22"/>
      <c r="IG43" s="22">
        <f t="shared" si="50"/>
        <v>45031</v>
      </c>
      <c r="IH43" s="29">
        <f t="shared" ca="1" si="51"/>
        <v>-202</v>
      </c>
      <c r="II43" s="22" t="str">
        <f t="shared" ca="1" si="52"/>
        <v>POSIBLEMENTE NACIO</v>
      </c>
      <c r="IJ43" s="22"/>
      <c r="IK43" s="21" t="s">
        <v>898</v>
      </c>
      <c r="IL43" s="21"/>
      <c r="IM43" s="34"/>
      <c r="IN43" s="349">
        <v>45022</v>
      </c>
      <c r="IO43" s="21" t="s">
        <v>1640</v>
      </c>
      <c r="IP43" s="29">
        <f t="shared" si="208"/>
        <v>38.714285714285715</v>
      </c>
      <c r="IQ43" s="110"/>
      <c r="IR43" s="21" t="s">
        <v>879</v>
      </c>
      <c r="IS43" s="21" t="s">
        <v>1641</v>
      </c>
      <c r="IT43" s="21" t="s">
        <v>1642</v>
      </c>
      <c r="IU43" s="21"/>
      <c r="IV43" s="21"/>
      <c r="IW43" s="21"/>
      <c r="IX43" s="21"/>
      <c r="IY43" s="21"/>
      <c r="IZ43" s="21"/>
      <c r="JA43" s="21"/>
      <c r="JB43" s="30">
        <v>1</v>
      </c>
      <c r="JC43" s="21" t="s">
        <v>1647</v>
      </c>
      <c r="JD43" s="36">
        <v>3500</v>
      </c>
      <c r="JE43" s="21" t="str">
        <f t="shared" si="209"/>
        <v>PESO ADECUADO EDAD GESTACIONAL</v>
      </c>
      <c r="JF43" s="30"/>
      <c r="JG43" s="21"/>
      <c r="JH43" s="21"/>
      <c r="JI43" s="21"/>
      <c r="JJ43" s="30"/>
      <c r="JK43" s="22"/>
      <c r="JL43" s="22"/>
      <c r="JM43" s="21"/>
      <c r="JN43" s="36"/>
      <c r="JO43" s="21" t="str">
        <f t="shared" si="210"/>
        <v/>
      </c>
      <c r="JP43" s="22"/>
      <c r="JQ43" s="21"/>
      <c r="JR43" s="21"/>
      <c r="JS43" s="21"/>
      <c r="JT43" s="30"/>
      <c r="JU43" s="22"/>
      <c r="JV43" s="22"/>
      <c r="JW43" s="33"/>
      <c r="JX43" s="28" t="str">
        <f t="shared" si="211"/>
        <v>INASISTENTE</v>
      </c>
      <c r="JY43" s="33"/>
      <c r="JZ43" s="28" t="str">
        <f t="shared" si="212"/>
        <v>INASISTENTE</v>
      </c>
      <c r="KA43" s="21"/>
      <c r="KB43" s="21"/>
      <c r="KC43" s="21"/>
      <c r="KD43" s="37"/>
      <c r="KE43" s="28"/>
      <c r="KF43" s="28"/>
      <c r="KG43" s="28"/>
      <c r="KH43" s="39"/>
      <c r="KI43" s="39"/>
      <c r="KJ43" s="66"/>
      <c r="KK43" s="39"/>
      <c r="KL43" s="39"/>
      <c r="KM43" s="66"/>
      <c r="KN43" s="39"/>
      <c r="KO43" s="39"/>
      <c r="KP43" s="39"/>
      <c r="KQ43" s="39"/>
      <c r="KR43" s="39"/>
      <c r="KS43" s="39"/>
      <c r="KT43" s="39"/>
      <c r="KU43" s="38"/>
      <c r="KV43" s="38"/>
      <c r="KW43" s="38"/>
      <c r="KX43" s="38"/>
      <c r="KY43" s="38"/>
      <c r="KZ43" s="38"/>
      <c r="LA43" s="38"/>
      <c r="LB43" s="38"/>
      <c r="LC43" s="38"/>
      <c r="LD43" s="38"/>
      <c r="LE43" s="38"/>
      <c r="LF43" s="38"/>
      <c r="LG43" s="38"/>
      <c r="LH43" s="38"/>
      <c r="LI43" s="38"/>
      <c r="LJ43" s="38"/>
      <c r="LK43" s="38"/>
      <c r="LL43" s="38"/>
      <c r="LM43" s="38"/>
      <c r="LN43" s="38"/>
      <c r="LO43" s="38"/>
      <c r="LP43" s="38"/>
      <c r="LQ43" s="38"/>
      <c r="LR43" s="38"/>
      <c r="LS43" s="38"/>
      <c r="LT43" s="38"/>
      <c r="LU43" s="38"/>
      <c r="LV43" s="38"/>
      <c r="LW43" s="38"/>
      <c r="LX43" s="38"/>
      <c r="LY43" s="38"/>
      <c r="LZ43" s="38"/>
      <c r="MA43" s="38"/>
      <c r="MB43" s="38"/>
      <c r="MC43" s="38"/>
      <c r="MD43" s="38"/>
      <c r="ME43" s="38"/>
      <c r="MF43" s="38"/>
      <c r="MG43" s="38"/>
      <c r="MH43" s="43">
        <f t="shared" si="213"/>
        <v>0</v>
      </c>
      <c r="MI43" s="43" t="str">
        <f t="shared" si="214"/>
        <v/>
      </c>
      <c r="MJ43" s="43" t="str">
        <f t="shared" si="215"/>
        <v/>
      </c>
      <c r="MK43" s="43">
        <f t="shared" si="216"/>
        <v>0</v>
      </c>
      <c r="ML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3" s="43">
        <f t="shared" si="217"/>
        <v>16.571428571428573</v>
      </c>
      <c r="MN43" s="43">
        <f t="shared" si="218"/>
        <v>11</v>
      </c>
      <c r="MO43" s="43">
        <f t="shared" si="219"/>
        <v>2022</v>
      </c>
      <c r="MP43" s="43" t="str">
        <f t="shared" si="220"/>
        <v>IV TRIMESTRE AÑO</v>
      </c>
      <c r="MQ43" s="43">
        <f t="shared" si="221"/>
        <v>17.471528690319754</v>
      </c>
      <c r="MR43" s="43">
        <f t="shared" si="222"/>
        <v>0</v>
      </c>
      <c r="MS43" s="43" t="str">
        <f t="shared" si="223"/>
        <v>DE 14 A 19AÑOS</v>
      </c>
      <c r="MT43" s="43">
        <f t="shared" si="224"/>
        <v>0</v>
      </c>
      <c r="MU43" s="43">
        <f t="shared" si="225"/>
        <v>1</v>
      </c>
      <c r="MV43" s="43">
        <f t="shared" si="226"/>
        <v>0</v>
      </c>
      <c r="MW43" s="43">
        <f t="shared" si="227"/>
        <v>0</v>
      </c>
      <c r="MX43" s="43" t="str">
        <f t="shared" si="228"/>
        <v/>
      </c>
      <c r="MY43" s="43" t="str">
        <f t="shared" ca="1" si="229"/>
        <v/>
      </c>
      <c r="MZ43" s="43" t="str">
        <f t="shared" si="230"/>
        <v/>
      </c>
      <c r="NA43" s="43" t="str">
        <f t="shared" si="231"/>
        <v/>
      </c>
      <c r="NB43" s="43" t="str">
        <f t="shared" si="232"/>
        <v/>
      </c>
      <c r="NC43" s="43" t="str">
        <f t="shared" si="233"/>
        <v/>
      </c>
      <c r="ND43" s="43">
        <f t="shared" ca="1" si="234"/>
        <v>1</v>
      </c>
      <c r="NE43" s="43">
        <f>IF(OR(O43&gt;0,R43&gt;0),SUM(COUNTIF(Tabla1[[#This Row],[AÑOS AL INICIO5 CPN]],"&gt;=40"),COUNTIF(AS43,"0"),COUNTIF(AR43,"SI"),COUNTIF(CC43,"SI"),COUNTIF(BQ43,"&gt;119"),COUNTIF(CI43,"&gt;=35")),"")</f>
        <v>1</v>
      </c>
      <c r="NF43" s="43" t="str">
        <f t="shared" si="235"/>
        <v/>
      </c>
      <c r="NG43" s="43">
        <f t="shared" si="236"/>
        <v>0</v>
      </c>
      <c r="NH43" s="43" t="str">
        <f t="shared" si="237"/>
        <v/>
      </c>
      <c r="NI4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CPN",P43="NO"),"Z",IF(AND(Tabla1[[#This Row],[CITA PROXIMO CONTROL]]="CITA MANUAL",Tabla1[[#This Row],[GESTANTES ACTUALES]]="ACTIVA INGRESO A CPN"),"W",IF(AND(Tabla1[[#This Row],[GESTANTES ACTUALES]]="SALIO PROGRAMA",IN43=""),"S",IF(AND(Tabla1[[#This Row],[CITA PROXIMO CONTROL]]&gt;0,IN43=""),(Tabla1[[#This Row],[CITA PROXIMO CONTROL]]-TODAY()),"SD"))))))))</f>
        <v>SD</v>
      </c>
      <c r="NJ43" s="43">
        <f>MONTH(Tabla1[[#This Row],[FECHA DE SALIDA  DEL PROGRAMA]])</f>
        <v>4</v>
      </c>
      <c r="NK43" s="43">
        <f>YEAR(Tabla1[[#This Row],[FECHA DE SALIDA  DEL PROGRAMA]])</f>
        <v>2023</v>
      </c>
      <c r="NL43" s="43" t="str">
        <f t="shared" si="238"/>
        <v>X</v>
      </c>
      <c r="NM43" s="43" t="str">
        <f t="shared" si="239"/>
        <v>NO</v>
      </c>
      <c r="NN43" s="43" t="str">
        <f ca="1">IF(AND(O43&gt;0,R43=""),"NO CPN",IF(AND(O43="",R43=""),"",IF(AND(R43&gt;0,Tabla1[[#This Row],[SEMANAS DE GESTACION ACTUALIZADAS]]&lt;=12),"NO APLICA",IF(AND(FH43&lt;&gt;"",FN43&lt;&gt;""),"SI","NO"))))</f>
        <v>NO</v>
      </c>
      <c r="NO43" s="43" t="str">
        <f ca="1">IF(AND(O43&gt;0,R43=""),"NO CPN",IF(AND(O43="",R43=""),"",IF(AND(R43&gt;0,Tabla1[[#This Row],[SEMANAS DE GESTACION ACTUALIZADAS]]&lt;=27),"NO APLICA",IF(AND(ES43&lt;&gt;"",FQ43&lt;&gt;"",GF43&lt;&gt;""),"SI","NO"))))</f>
        <v>NO</v>
      </c>
      <c r="NP43" s="204" t="str">
        <f t="shared" si="240"/>
        <v>DEFINIR CON ECO</v>
      </c>
      <c r="NQ43" s="21">
        <f t="shared" si="241"/>
        <v>3</v>
      </c>
      <c r="NR43" s="21">
        <f t="shared" si="242"/>
        <v>2</v>
      </c>
      <c r="NS43" s="205">
        <f t="shared" ca="1" si="243"/>
        <v>1</v>
      </c>
      <c r="NT43" s="21">
        <f t="shared" ca="1" si="244"/>
        <v>0</v>
      </c>
      <c r="NU43" s="21" t="str">
        <f t="shared" ca="1" si="245"/>
        <v>INCOMPLETO</v>
      </c>
      <c r="NV43" s="21" t="str">
        <f t="shared" ca="1" si="246"/>
        <v>INCOMPLETO</v>
      </c>
      <c r="NW43" s="206" t="str">
        <f>IF(AND(O43="",R43=""),"",IF(OR(AND(Tabla1[[#This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3" s="207" t="str">
        <f t="shared" ca="1" si="247"/>
        <v>SIN VACUNAR</v>
      </c>
      <c r="NY43" s="43">
        <f>ROW(Tabla1[[#This Row],['# DE TAMIZAJES SIFILIS TOMADOS ]])</f>
        <v>43</v>
      </c>
      <c r="NZ43" s="43">
        <f t="shared" si="93"/>
        <v>16</v>
      </c>
      <c r="OA43" s="43" t="str">
        <f t="shared" si="94"/>
        <v/>
      </c>
      <c r="OB43" s="43" t="str">
        <f t="shared" si="95"/>
        <v/>
      </c>
      <c r="OC43" s="43" t="str">
        <f t="shared" si="96"/>
        <v/>
      </c>
      <c r="OD43" s="43" t="str">
        <f t="shared" si="97"/>
        <v/>
      </c>
      <c r="OE43" s="43" t="str">
        <f t="shared" si="98"/>
        <v/>
      </c>
      <c r="OF43" s="43" t="str">
        <f t="shared" si="99"/>
        <v/>
      </c>
      <c r="OG43" s="43" t="str">
        <f t="shared" si="100"/>
        <v/>
      </c>
      <c r="OH43" s="43" t="str">
        <f t="shared" si="101"/>
        <v>NORMAL</v>
      </c>
      <c r="OI43" s="43" t="str">
        <f t="shared" si="102"/>
        <v/>
      </c>
      <c r="OJ43" s="43" t="str">
        <f t="shared" si="103"/>
        <v/>
      </c>
      <c r="OK43" s="43" t="str">
        <f t="shared" si="104"/>
        <v/>
      </c>
      <c r="OL43" s="43" t="str">
        <f t="shared" si="105"/>
        <v/>
      </c>
      <c r="OM43" s="43" t="str">
        <f t="shared" si="106"/>
        <v/>
      </c>
      <c r="ON43" s="43" t="str">
        <f t="shared" si="107"/>
        <v/>
      </c>
      <c r="OO43" s="43" t="str">
        <f t="shared" si="108"/>
        <v/>
      </c>
      <c r="OP43" s="43" t="str">
        <f t="shared" si="109"/>
        <v/>
      </c>
      <c r="OQ43" s="43" t="str">
        <f t="shared" si="110"/>
        <v/>
      </c>
      <c r="OR43" s="43" t="str">
        <f t="shared" si="111"/>
        <v/>
      </c>
      <c r="OS43" s="43" t="str">
        <f t="shared" si="112"/>
        <v/>
      </c>
      <c r="OT43" s="43" t="str">
        <f t="shared" si="113"/>
        <v/>
      </c>
      <c r="OU43" s="43" t="str">
        <f t="shared" si="114"/>
        <v/>
      </c>
      <c r="OV43" s="110" t="str">
        <f t="shared" si="115"/>
        <v/>
      </c>
      <c r="OW43" s="43" t="str">
        <f t="shared" si="116"/>
        <v/>
      </c>
      <c r="OX43" s="43" t="str">
        <f t="shared" si="117"/>
        <v/>
      </c>
      <c r="OY43" s="43" t="str">
        <f t="shared" si="118"/>
        <v/>
      </c>
      <c r="OZ43" s="43" t="str">
        <f t="shared" si="119"/>
        <v/>
      </c>
      <c r="PA43" s="43" t="str">
        <f t="shared" si="120"/>
        <v/>
      </c>
      <c r="PB43" s="43" t="str">
        <f t="shared" si="121"/>
        <v/>
      </c>
      <c r="PC43" s="43" t="str">
        <f t="shared" si="122"/>
        <v/>
      </c>
      <c r="PD43" s="43" t="str">
        <f t="shared" si="123"/>
        <v/>
      </c>
      <c r="PE43" s="43" t="str">
        <f t="shared" si="124"/>
        <v/>
      </c>
      <c r="PF43" s="43" t="str">
        <f t="shared" si="125"/>
        <v/>
      </c>
      <c r="PG43" s="43" t="str">
        <f t="shared" si="126"/>
        <v/>
      </c>
      <c r="PH43" s="43" t="str">
        <f t="shared" si="127"/>
        <v/>
      </c>
      <c r="PI43" s="43">
        <f t="shared" si="128"/>
        <v>22</v>
      </c>
      <c r="PJ43" s="43" t="str">
        <f t="shared" si="129"/>
        <v/>
      </c>
      <c r="PK43" s="43" t="str">
        <f t="shared" si="130"/>
        <v/>
      </c>
      <c r="PL43" s="43" t="str">
        <f t="shared" si="131"/>
        <v/>
      </c>
      <c r="PM43" s="43" t="str">
        <f t="shared" si="132"/>
        <v/>
      </c>
      <c r="PN43" s="43" t="str">
        <f t="shared" si="133"/>
        <v/>
      </c>
      <c r="PO43" s="43" t="str">
        <f t="shared" si="134"/>
        <v/>
      </c>
      <c r="PP43" s="43" t="str">
        <f t="shared" si="135"/>
        <v/>
      </c>
      <c r="PQ43" s="43" t="str">
        <f t="shared" si="136"/>
        <v/>
      </c>
      <c r="PR43" s="43" t="str">
        <f t="shared" si="137"/>
        <v/>
      </c>
      <c r="PS43" s="43" t="str">
        <f t="shared" si="138"/>
        <v/>
      </c>
      <c r="PT43" s="43" t="str">
        <f t="shared" si="139"/>
        <v/>
      </c>
      <c r="PU43" s="43" t="str">
        <f t="shared" si="140"/>
        <v/>
      </c>
      <c r="PV43" s="43" t="str">
        <f t="shared" si="141"/>
        <v/>
      </c>
      <c r="PW43" s="43" t="str">
        <f t="shared" si="142"/>
        <v/>
      </c>
      <c r="PX43" s="43" t="str">
        <f t="shared" si="143"/>
        <v/>
      </c>
      <c r="PY43" s="43" t="str">
        <f t="shared" si="144"/>
        <v/>
      </c>
      <c r="PZ43" s="43" t="str">
        <f t="shared" si="145"/>
        <v/>
      </c>
      <c r="QA43" s="43" t="str">
        <f t="shared" si="146"/>
        <v/>
      </c>
      <c r="QB43" s="43" t="str">
        <f t="shared" si="147"/>
        <v/>
      </c>
      <c r="QC43" s="43" t="str">
        <f t="shared" si="148"/>
        <v/>
      </c>
      <c r="QD43" s="43" t="str">
        <f t="shared" si="149"/>
        <v/>
      </c>
      <c r="QE43" s="43" t="str">
        <f t="shared" si="150"/>
        <v/>
      </c>
      <c r="QF43" s="43" t="str">
        <f t="shared" si="151"/>
        <v/>
      </c>
      <c r="QG43" s="43" t="str">
        <f t="shared" si="152"/>
        <v/>
      </c>
      <c r="QH43" s="43" t="str">
        <f t="shared" si="153"/>
        <v/>
      </c>
      <c r="QI43" s="43" t="str">
        <f t="shared" si="154"/>
        <v/>
      </c>
      <c r="QJ43" s="43" t="str">
        <f t="shared" si="155"/>
        <v/>
      </c>
      <c r="QK43" s="43" t="str">
        <f t="shared" si="156"/>
        <v/>
      </c>
      <c r="QL43" s="43" t="str">
        <f t="shared" si="157"/>
        <v/>
      </c>
      <c r="QM43" s="43" t="str">
        <f t="shared" si="158"/>
        <v/>
      </c>
      <c r="QN43" s="43" t="str">
        <f t="shared" si="159"/>
        <v/>
      </c>
      <c r="QO43" s="43" t="str">
        <f t="shared" si="160"/>
        <v/>
      </c>
      <c r="QP43" s="43" t="str">
        <f t="shared" si="161"/>
        <v/>
      </c>
      <c r="QQ43" s="43" t="str">
        <f t="shared" si="162"/>
        <v/>
      </c>
      <c r="QR43" s="43">
        <f t="shared" si="192"/>
        <v>22</v>
      </c>
      <c r="QS43" s="43"/>
      <c r="QT43" s="21" t="str">
        <f t="shared" si="163"/>
        <v/>
      </c>
      <c r="QU43" s="21" t="str">
        <f t="shared" si="164"/>
        <v/>
      </c>
      <c r="QV43" s="21" t="str">
        <f t="shared" si="165"/>
        <v/>
      </c>
      <c r="QW43" s="21" t="str">
        <f t="shared" si="166"/>
        <v/>
      </c>
      <c r="QX43" s="21" t="str">
        <f t="shared" si="167"/>
        <v/>
      </c>
      <c r="QY43" s="21" t="str">
        <f t="shared" si="168"/>
        <v/>
      </c>
      <c r="QZ43" s="21" t="str">
        <f t="shared" si="169"/>
        <v/>
      </c>
      <c r="RA43" s="21" t="str">
        <f t="shared" si="170"/>
        <v/>
      </c>
      <c r="RB43" s="21" t="str">
        <f t="shared" si="171"/>
        <v/>
      </c>
      <c r="RC43" s="21" t="str">
        <f t="shared" si="172"/>
        <v/>
      </c>
      <c r="RD43" s="21" t="str">
        <f t="shared" si="173"/>
        <v/>
      </c>
      <c r="RE43" s="21" t="str">
        <f t="shared" si="174"/>
        <v/>
      </c>
      <c r="RF43" s="21" t="str">
        <f t="shared" si="175"/>
        <v/>
      </c>
      <c r="RG43" s="21" t="str">
        <f t="shared" si="176"/>
        <v/>
      </c>
      <c r="RH43" s="21" t="str">
        <f t="shared" si="177"/>
        <v/>
      </c>
      <c r="RI43" s="21" t="str">
        <f t="shared" si="178"/>
        <v/>
      </c>
      <c r="RJ43" s="21" t="str">
        <f t="shared" si="179"/>
        <v/>
      </c>
      <c r="RK43" s="21" t="str">
        <f t="shared" si="180"/>
        <v/>
      </c>
      <c r="RL43" s="21" t="str">
        <f t="shared" si="181"/>
        <v/>
      </c>
      <c r="RM43" s="21" t="str">
        <f t="shared" si="182"/>
        <v/>
      </c>
      <c r="RN43" s="21" t="str">
        <f t="shared" si="183"/>
        <v/>
      </c>
      <c r="RO43" s="21" t="str">
        <f t="shared" si="184"/>
        <v/>
      </c>
      <c r="RP43" s="21" t="str">
        <f t="shared" si="185"/>
        <v/>
      </c>
      <c r="RQ43" s="21" t="str">
        <f t="shared" si="186"/>
        <v/>
      </c>
      <c r="RR43" s="21" t="str">
        <f t="shared" si="187"/>
        <v/>
      </c>
      <c r="RS43" s="21" t="str">
        <f t="shared" si="188"/>
        <v/>
      </c>
      <c r="RT43" s="21" t="str">
        <f t="shared" si="189"/>
        <v/>
      </c>
      <c r="RU43" s="21" t="str">
        <f t="shared" si="190"/>
        <v/>
      </c>
      <c r="RV43" s="21">
        <f t="shared" si="191"/>
        <v>16.571428571428573</v>
      </c>
      <c r="RW43" s="284">
        <f>IF(OR(Tabla1[[#This Row],[FUM FORMULA CONFIABLE]]="",Tabla1[[#This Row],[FUM FORMULA CONFIABLE]]="SD"),"",IF(Tabla1[[#This Row],[FUM FORMULA CONFIABLE]]="CORREGIDA",Tabla1[[#This Row],[FUM X ECO 1]],Tabla1[[#This Row],[FUM x AMENORREA]]))</f>
        <v>44751</v>
      </c>
      <c r="RX43" s="21" t="str">
        <f>IF(AND(Tabla1[[#This Row],[FUM X ECO 1]]="",Tabla1[[#This Row],[FUM x AMENORREA]]=""),"",IF(AND(Tabla1[[#This Row],[FUM X ECO 1]]="",Tabla1[[#This Row],[FUM x AMENORREA]]&lt;&gt;""),"X",SUM(Tabla1[[#This Row],[FUM X ECO 1]]-Tabla1[[#This Row],[FUM x AMENORREA]])))</f>
        <v>X</v>
      </c>
      <c r="RY43" s="21" t="str">
        <f t="shared" si="193"/>
        <v>x</v>
      </c>
    </row>
    <row r="44" spans="1:493" ht="45" customHeight="1" x14ac:dyDescent="0.25">
      <c r="A44" s="109" t="s">
        <v>1097</v>
      </c>
      <c r="B44" s="43" t="s">
        <v>1051</v>
      </c>
      <c r="C44" s="43" t="s">
        <v>845</v>
      </c>
      <c r="D44" s="124" t="s">
        <v>846</v>
      </c>
      <c r="E44" s="43" t="s">
        <v>1098</v>
      </c>
      <c r="F44" s="43" t="s">
        <v>914</v>
      </c>
      <c r="G44" s="43" t="s">
        <v>1099</v>
      </c>
      <c r="H44" s="43" t="s">
        <v>1100</v>
      </c>
      <c r="I44" s="109" t="s">
        <v>1094</v>
      </c>
      <c r="J44" s="110">
        <v>1002919465</v>
      </c>
      <c r="K44" s="43" t="s">
        <v>852</v>
      </c>
      <c r="L44" s="175" t="s">
        <v>853</v>
      </c>
      <c r="M44" s="22">
        <v>35120</v>
      </c>
      <c r="N44" s="213">
        <f t="shared" ca="1" si="0"/>
        <v>27.706849315068492</v>
      </c>
      <c r="O44" s="22">
        <v>44874</v>
      </c>
      <c r="P44" s="214" t="str">
        <f t="shared" si="194"/>
        <v>SI</v>
      </c>
      <c r="Q44" s="26" t="s">
        <v>855</v>
      </c>
      <c r="R44" s="22">
        <v>44874</v>
      </c>
      <c r="S44" s="21" t="s">
        <v>856</v>
      </c>
      <c r="T44" s="24" t="s">
        <v>690</v>
      </c>
      <c r="U44" s="21" t="s">
        <v>857</v>
      </c>
      <c r="V44" s="21" t="s">
        <v>858</v>
      </c>
      <c r="W44" s="21" t="s">
        <v>1101</v>
      </c>
      <c r="X44" s="21" t="s">
        <v>1101</v>
      </c>
      <c r="Y44" s="21" t="s">
        <v>859</v>
      </c>
      <c r="Z44" s="21">
        <v>3138684634</v>
      </c>
      <c r="AA44" s="21" t="s">
        <v>860</v>
      </c>
      <c r="AB44" s="27" t="s">
        <v>861</v>
      </c>
      <c r="AC44" s="26" t="s">
        <v>862</v>
      </c>
      <c r="AD44" s="38" t="s">
        <v>846</v>
      </c>
      <c r="AE44" s="26" t="s">
        <v>854</v>
      </c>
      <c r="AF44" s="26" t="s">
        <v>854</v>
      </c>
      <c r="AG44" s="23" t="s">
        <v>864</v>
      </c>
      <c r="AH44" s="23" t="s">
        <v>864</v>
      </c>
      <c r="AI44" s="24" t="s">
        <v>863</v>
      </c>
      <c r="AJ44" s="23" t="s">
        <v>864</v>
      </c>
      <c r="AK44" s="220" t="str">
        <f>IF(AND(AD44="",AE44="",AF44="",AG44="",AH44="",AI44="",AJ44=""),"",IF(OR(Tabla1[[#This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EVALUACIÓN",IF(AND(O44="",R44=""),"",IF(AND(OR(O44&gt;0,R44&gt;0),NG44&gt;=0,NG44&lt;2),"SIN RIESGO",IF(AND(OR(O44&gt;0,R44&gt;0),NG44&gt;=2),"CON RIESGO","ASD")))))</f>
        <v>SIN RIESGO</v>
      </c>
      <c r="AL44" s="23" t="s">
        <v>864</v>
      </c>
      <c r="AM44" s="26" t="s">
        <v>864</v>
      </c>
      <c r="AN44" s="26" t="s">
        <v>864</v>
      </c>
      <c r="AO44" s="26" t="s">
        <v>864</v>
      </c>
      <c r="AP44" s="26" t="s">
        <v>864</v>
      </c>
      <c r="AQ44" s="26" t="s">
        <v>864</v>
      </c>
      <c r="AR44" s="26" t="s">
        <v>864</v>
      </c>
      <c r="AS44" s="21">
        <v>2</v>
      </c>
      <c r="AT44" s="21">
        <v>2</v>
      </c>
      <c r="AU44" s="21">
        <v>0</v>
      </c>
      <c r="AV44" s="26" t="s">
        <v>864</v>
      </c>
      <c r="AW44" s="21">
        <v>0</v>
      </c>
      <c r="AX44" s="26" t="s">
        <v>864</v>
      </c>
      <c r="AY44" s="26" t="s">
        <v>864</v>
      </c>
      <c r="AZ44" s="26" t="s">
        <v>864</v>
      </c>
      <c r="BA44" s="26" t="s">
        <v>864</v>
      </c>
      <c r="BB44" s="26" t="s">
        <v>864</v>
      </c>
      <c r="BC44" s="26" t="s">
        <v>864</v>
      </c>
      <c r="BD44" s="26" t="s">
        <v>864</v>
      </c>
      <c r="BE44" s="26" t="s">
        <v>864</v>
      </c>
      <c r="BF44" s="26" t="s">
        <v>864</v>
      </c>
      <c r="BG44" s="26" t="s">
        <v>864</v>
      </c>
      <c r="BH44" s="26" t="s">
        <v>864</v>
      </c>
      <c r="BI44" s="26" t="s">
        <v>864</v>
      </c>
      <c r="BJ44" s="26"/>
      <c r="BK44" s="26"/>
      <c r="BL44" s="26" t="s">
        <v>864</v>
      </c>
      <c r="BM44" s="26" t="s">
        <v>864</v>
      </c>
      <c r="BN44" s="22"/>
      <c r="BO44" s="22">
        <v>44817</v>
      </c>
      <c r="BP44" s="21" t="s">
        <v>854</v>
      </c>
      <c r="BQ44" s="222">
        <f t="shared" si="2"/>
        <v>0</v>
      </c>
      <c r="BR44" s="223">
        <f t="shared" si="3"/>
        <v>44817</v>
      </c>
      <c r="BS44" s="224">
        <f t="shared" si="4"/>
        <v>8.1428571428571423</v>
      </c>
      <c r="BT44" s="216" t="str">
        <f t="shared" si="5"/>
        <v>I TRIM</v>
      </c>
      <c r="BU44" s="214" t="str">
        <f t="shared" ca="1" si="6"/>
        <v/>
      </c>
      <c r="BV44" s="25"/>
      <c r="BW44" s="22">
        <v>44915</v>
      </c>
      <c r="BX44" s="28">
        <v>14</v>
      </c>
      <c r="BY44" s="28"/>
      <c r="BZ44" s="22">
        <v>44936</v>
      </c>
      <c r="CA44" s="21">
        <v>16.600000000000001</v>
      </c>
      <c r="CB44" s="26" t="s">
        <v>864</v>
      </c>
      <c r="CC44" s="26" t="s">
        <v>864</v>
      </c>
      <c r="CD44" s="26" t="s">
        <v>878</v>
      </c>
      <c r="CE44" s="26" t="s">
        <v>864</v>
      </c>
      <c r="CF44" s="22" t="s">
        <v>1517</v>
      </c>
      <c r="CG44" s="21">
        <v>1.52</v>
      </c>
      <c r="CH44" s="21">
        <v>68</v>
      </c>
      <c r="CI44" s="214">
        <f t="shared" si="7"/>
        <v>29.43213296398892</v>
      </c>
      <c r="CJ44" s="225" t="str">
        <f>IF(AND(CI44&lt;10,CH44="SD"),"SIN DATO PESO PREGESTACION O I TRIM",IF(AND(OR(R44&gt;0,O44&gt;0),CI44="X"),"INGRESAR DATO DE PESO",IF(CI44="SD","INGRESAR DATO DE TALLA Y PESO",IF(AND(OR(Tabla1[[#This Row],[MOMENTO EN QUE SE REALIZA EL PESO AL INGRESO A CPN]]="PREGESTACIÓN",NZ44="Menor"),CI44&lt;18.5),"BAJO PESO",IF(AND(OR(Tabla1[[#This Row],[MOMENTO EN QUE SE REALIZA EL PESO AL INGRESO A CPN]]="PREGESTACIÓN",NZ44="Menor"),CI44&lt;25),"NORMAL",IF(AND(OR(Tabla1[[#This Row],[MOMENTO EN QUE SE REALIZA EL PESO AL INGRESO A CPN]]="PREGESTACIÓN",NZ44="Menor"),CI44&lt;30),"SOBREPESO",IF(AND(OR(Tabla1[[#This Row],[MOMENTO EN QUE SE REALIZA EL PESO AL INGRESO A CPN]]="PREGESTACIÓN",NZ44="Menor"),CI44&gt;=30,CI44&lt;50),"OBESIDAD",IF(AND(BS44&gt;0,Tabla1[[#This Row],[MOMENTO EN QUE SE REALIZA EL PESO AL INGRESO A CPN]]="GESTACIÓN"),HLOOKUP(NZ44,$OA$2:PH44,NY44),""))))))))</f>
        <v>SOBREPESO</v>
      </c>
      <c r="CK44" s="212">
        <f t="shared" si="8"/>
        <v>45038</v>
      </c>
      <c r="CL44" s="21"/>
      <c r="CM44" s="214">
        <f t="shared" si="9"/>
        <v>0</v>
      </c>
      <c r="CN44" s="216">
        <f t="shared" si="10"/>
        <v>31</v>
      </c>
      <c r="CO44" s="216" t="e">
        <f>IF(PI44="","",IF(PI44&gt;0,HLOOKUP(PI44,$PJ$2:QQ44,NY44),""))</f>
        <v>#REF!</v>
      </c>
      <c r="CP44" s="21"/>
      <c r="CQ44" s="216" t="e">
        <f>IF(QR44="Menor","NO APLICA-MENOR 13 SEM",IF(AND(CC44="SI",CN44&gt;23),"NO APLICA- GEMELAR",IF(QR44="","",IF(QR44&gt;0,HLOOKUP(QR44,$QS$2:RU44,NY44),""))))</f>
        <v>#REF!</v>
      </c>
      <c r="CR44" s="21">
        <v>90</v>
      </c>
      <c r="CS44" s="21">
        <v>60</v>
      </c>
      <c r="CT44" s="217" t="str">
        <f>IF(R44="","",IF(AND(BS44&gt;1,BS44&lt;12,Tabla1[[#This Row],[T.A. SISTOLICA - ANTES DE SEMANA 12]]="",Tabla1[[#This Row],[T.A. DIASTOLICA - ANTES DE SEMANA 12]]=""),"REGISTRE DATO TA ANTES SEMANA 12",IF(AND(BS44&gt;11,BS44&lt;43,Tabla1[[#This Row],[T.A. SISTOLICA - ANTES DE SEMANA 12]]="",Tabla1[[#This Row],[T.A. DIASTOLICA - ANTES DE SEMANA 12]]=""),"NO APLICA REGISTRO TA-INGRESO TARDIO",IF(AND(OR(O44&gt;0,R44&gt;0),OR(CR44&gt;=140,CS44&gt;=90)),"DEFINIR ESTADIO HTA",IF(AND(OR(O44&gt;0,R44&gt;0),AND(CR44&gt;120,CR44&lt;=139)),"PRE HTA SEGUIMIENTO",IF(AND(OR(O44&gt;0,R44&gt;0),AND(CS44&gt;80,CS44&lt;=89)),"PRE HTA SEGUIMIENTO",IF(AND(OR(O44&gt;0,R44&gt;0),AND(CR44&gt;=80,CR44&lt;=120)),"APARENTEMENTE NORMAL",IF(AND(OR(O44&gt;0,R44&gt;0),AND(CS44&gt;=50,CS44&lt;=80)),"APARENTEMENTE NORMAL",IF(AND(OR(O44&gt;0,R44&gt;0),AND(CR44&gt;1,CR44&lt;=70),AND(CS44&gt;1,CS44&lt;=40)),"HIPOTENSIÓN","")))))))))</f>
        <v>APARENTEMENTE NORMAL</v>
      </c>
      <c r="CU44" s="21">
        <v>90</v>
      </c>
      <c r="CV44" s="21">
        <v>60</v>
      </c>
      <c r="CW44" s="217" t="str">
        <f ca="1">IF(R44="","",IF(AND(CN44&gt;19,CN44&lt;27,Tabla1[[#This Row],[T.A. SISTOLICA (Entre semana 20 y 26)]]="",Tabla1[[#This Row],[T.A. DIATOLICA (Entre semana 20 y 26)]]=""),"ACUDE A CONTROL SEM 20 A 26 REGISTRE TA AHORA",IF(AND(BS44&gt;1,BS44&lt;27,BU44&gt;19,Tabla1[[#This Row],[T.A. SISTOLICA (Entre semana 20 y 26)]]="",Tabla1[[#This Row],[T.A. DIATOLICA (Entre semana 20 y 26)]]=""),"COMPLETE REGISTRO TA CONTROL SEM 20 A26 ",IF(AND(BS44&gt;26,BS44&lt;43,Tabla1[[#This Row],[T.A. SISTOLICA (Entre semana 20 y 26)]]="",Tabla1[[#This Row],[T.A. DIATOLICA (Entre semana 20 y 26)]]=""),"NO APLICA REGISTRO TA-INGRESO TARDIO",IF(AND(OR(O44&gt;0,R44&gt;0),OR(CU44&gt;=140,CV44&gt;=90)),"ALTO RIESGO PREECLAMPSIA,DEFINIR ESTADIO HTA",IF(AND(OR(O44&gt;0,R44&gt;0),AND(CU44&gt;120,CU44&lt;=139)),"PRE HTA SEGUIMIENTO,RIESGO HIPERTENSION INDUCIDA POR EL EMBARAZO",IF(AND(OR(O44&gt;0,R44&gt;0),AND(CV44&gt;80,CV44&lt;=89)),"PRE HTA SEGUIMIENTO, RIESGO HIPERTENSION INDUCIDA POR EL EMBARAZO",IF(AND(OR(O44&lt;&gt;"",R44&lt;&gt;""),CS44&lt;&gt;"",CV44&lt;&gt;"",CS44&lt;=CV44),"VIGILAR CIFRAS PRESION ARTERIAL",IF(AND(OR(O44&gt;0,R44&gt;0),AND(CU44&gt;120,CU44&lt;=139)),"PRE HTA SEGUIMIENTO",IF(AND(OR(O44&gt;0,R44&gt;0),AND(CU44&gt;1,CU44&lt;=70),AND(CV44&gt;1,CV44&lt;=40)),"HIPOTENSIÓN",IF(AND(OR(O44&lt;&gt;"",R44&lt;&gt;""),CS44&lt;&gt;"",CV44&lt;&gt;"",CS44&gt;CV44),"APARENTEMENTE NORMAL",IF(AND(OR(O44&gt;0,R44&gt;0),AND(CU44&gt;=80,CU44&lt;=120)),"APARENTEMENTE NORMAL",IF(AND(OR(O44&gt;0,R44&gt;0),AND(CV44&gt;=50,CV44&lt;=80)),"APARENTEMENTE NORMAL","")))))))))))))</f>
        <v>VIGILAR CIFRAS PRESION ARTERIAL</v>
      </c>
      <c r="CX44" s="21">
        <v>100</v>
      </c>
      <c r="CY44" s="21">
        <v>60</v>
      </c>
      <c r="CZ44" s="216" t="str">
        <f t="shared" si="195"/>
        <v>APARENTEMENTE NORMAL</v>
      </c>
      <c r="DA44" s="21"/>
      <c r="DB44" s="21"/>
      <c r="DC44" s="217" t="str">
        <f t="shared" si="12"/>
        <v>REGISTRE DATO PRESIÓN ARTERIAL MENSUAL</v>
      </c>
      <c r="DD44" s="22">
        <v>44874</v>
      </c>
      <c r="DE44" s="22">
        <v>44874</v>
      </c>
      <c r="DF44" s="22">
        <v>44937</v>
      </c>
      <c r="DG44" s="22">
        <v>44981</v>
      </c>
      <c r="DH44" s="22">
        <v>45002</v>
      </c>
      <c r="DI44" s="22">
        <v>45038</v>
      </c>
      <c r="DJ44" s="22"/>
      <c r="DK44" s="22"/>
      <c r="DL44" s="22"/>
      <c r="DM44" s="22"/>
      <c r="DN44" s="22"/>
      <c r="DO44" s="22"/>
      <c r="DP44" s="22"/>
      <c r="DQ44" s="22"/>
      <c r="DR44" s="28">
        <v>2</v>
      </c>
      <c r="DS44" s="22"/>
      <c r="DT44" s="22"/>
      <c r="DU44" s="216" t="str">
        <f t="shared" ca="1" si="196"/>
        <v>SALE SIN PLAN DE PARTO</v>
      </c>
      <c r="DV44" s="226" t="str">
        <f t="shared" si="197"/>
        <v>SALIO PROGRAMA</v>
      </c>
      <c r="DW4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4" s="216" t="str">
        <f t="shared" ca="1" si="15"/>
        <v/>
      </c>
      <c r="DY44" s="212">
        <f>IF(R44="","",IF(R44&gt;0,MAX(Tabla1[[#This Row],[FECHA C2]:[FECHA C13]],Tabla1[[#This Row],[FECHA CONSULTA PRIMERA VEZ PROGRAMA CPN ]])))</f>
        <v>45038</v>
      </c>
      <c r="DZ44" s="216">
        <f t="shared" si="16"/>
        <v>31</v>
      </c>
      <c r="EA44" s="222">
        <f>IF(R44&gt;0,SUM(COUNTA(DF44:DQ44)+COUNTA(Tabla1[[#This Row],[FECHA CONSULTA PRIMERA VEZ PROGRAMA CPN ]])),"")</f>
        <v>5</v>
      </c>
      <c r="EB44" s="222" t="str">
        <f t="shared" si="17"/>
        <v>SI</v>
      </c>
      <c r="EC44" s="214">
        <f t="shared" si="18"/>
        <v>9</v>
      </c>
      <c r="ED44" s="227">
        <f t="shared" si="19"/>
        <v>0.55555555555555558</v>
      </c>
      <c r="EE44" s="22">
        <v>44874</v>
      </c>
      <c r="EF44" s="22"/>
      <c r="EG44" s="22">
        <v>44874</v>
      </c>
      <c r="EH44" s="22">
        <v>44917</v>
      </c>
      <c r="EI44" s="22">
        <v>44874</v>
      </c>
      <c r="EJ44" s="22">
        <v>44936</v>
      </c>
      <c r="EK44" s="22">
        <v>44980</v>
      </c>
      <c r="EL44" s="21">
        <v>1</v>
      </c>
      <c r="EM44" s="21">
        <v>13.3</v>
      </c>
      <c r="EN44" s="22">
        <v>44875</v>
      </c>
      <c r="EO44" s="222">
        <f t="shared" si="20"/>
        <v>8.2857142857142865</v>
      </c>
      <c r="EP44" s="214" t="str">
        <f t="shared" si="21"/>
        <v>NORMAL- SUMINISTRAR SULFATO FERROSO</v>
      </c>
      <c r="EQ44" s="216" t="str">
        <f t="shared" si="22"/>
        <v>I TRIM</v>
      </c>
      <c r="ER44" s="24"/>
      <c r="ES44" s="22"/>
      <c r="ET44" s="29" t="str">
        <f t="shared" ca="1" si="198"/>
        <v>SALE SIN TAMIZAJE HEMOGLOBINA SEM 28</v>
      </c>
      <c r="EU44" s="25" t="str">
        <f t="shared" si="24"/>
        <v/>
      </c>
      <c r="EV44" s="24" t="s">
        <v>866</v>
      </c>
      <c r="EW44" s="24">
        <v>44875</v>
      </c>
      <c r="EX44" s="22"/>
      <c r="EY44" s="29">
        <f t="shared" si="199"/>
        <v>8.2857142857142865</v>
      </c>
      <c r="EZ44" s="25" t="str">
        <f t="shared" ca="1" si="200"/>
        <v/>
      </c>
      <c r="FA44" s="21">
        <v>82</v>
      </c>
      <c r="FB44" s="22">
        <v>44875</v>
      </c>
      <c r="FC44" s="29">
        <f t="shared" si="27"/>
        <v>8.2857142857142865</v>
      </c>
      <c r="FD44" s="29">
        <v>60</v>
      </c>
      <c r="FE44" s="29">
        <v>94</v>
      </c>
      <c r="FF44" s="29">
        <v>104</v>
      </c>
      <c r="FG44" s="21" t="str">
        <f t="shared" ca="1" si="28"/>
        <v>NORMAL</v>
      </c>
      <c r="FH44" s="31">
        <v>45003</v>
      </c>
      <c r="FI44" s="29">
        <f t="shared" si="29"/>
        <v>26.571428571428573</v>
      </c>
      <c r="FJ44" s="22" t="s">
        <v>867</v>
      </c>
      <c r="FK44" s="22">
        <v>44875</v>
      </c>
      <c r="FL44" s="29">
        <f t="shared" ca="1" si="30"/>
        <v>8.2857142857142865</v>
      </c>
      <c r="FM44" s="22"/>
      <c r="FN44" s="32"/>
      <c r="FO44" s="29" t="str">
        <f t="shared" ca="1" si="201"/>
        <v>PIERDE TOMA DE TAMIZAJE</v>
      </c>
      <c r="FP44" s="22" t="s">
        <v>867</v>
      </c>
      <c r="FQ44" s="32">
        <v>45038</v>
      </c>
      <c r="FR44" s="29">
        <f t="shared" ca="1" si="202"/>
        <v>31.571428571428573</v>
      </c>
      <c r="FS44" s="22"/>
      <c r="FT44" s="32"/>
      <c r="FU44" s="29" t="str">
        <f>IF(AND(FJ44="",FM44="",FP44="",FS44=""),"",IF(OR(OR(Tabla1[[#This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4" s="28"/>
      <c r="FW44" s="22"/>
      <c r="FX44" s="29" t="str">
        <f t="shared" si="33"/>
        <v>TOMAR EXAMEN</v>
      </c>
      <c r="FY44" s="22">
        <v>44875</v>
      </c>
      <c r="FZ44" s="22">
        <v>44875</v>
      </c>
      <c r="GA44" s="29">
        <f t="shared" ca="1" si="203"/>
        <v>8.2857142857142865</v>
      </c>
      <c r="GB44" s="22"/>
      <c r="GC44" s="22"/>
      <c r="GD44" s="29" t="str">
        <f t="shared" ca="1" si="204"/>
        <v>PIERDE TOMA DE TAMIZAJE</v>
      </c>
      <c r="GE44" s="22" t="s">
        <v>868</v>
      </c>
      <c r="GF44" s="22">
        <v>45038</v>
      </c>
      <c r="GG44" s="29">
        <f t="shared" ca="1" si="205"/>
        <v>31.571428571428573</v>
      </c>
      <c r="GH44" s="22"/>
      <c r="GI44" s="29"/>
      <c r="GJ44" s="22"/>
      <c r="GK44" s="22"/>
      <c r="GL44" s="22" t="s">
        <v>879</v>
      </c>
      <c r="GM44" s="22"/>
      <c r="GN44" s="28" t="s">
        <v>869</v>
      </c>
      <c r="GO44" s="22">
        <v>44875</v>
      </c>
      <c r="GP44" s="29">
        <f t="shared" si="37"/>
        <v>8.2857142857142865</v>
      </c>
      <c r="GQ44" s="28" t="s">
        <v>869</v>
      </c>
      <c r="GR44" s="28" t="s">
        <v>869</v>
      </c>
      <c r="GS44" s="22" t="str">
        <f t="shared" si="206"/>
        <v>CONTROL Igm</v>
      </c>
      <c r="GT44" s="22">
        <v>44875</v>
      </c>
      <c r="GU44" s="29">
        <f t="shared" si="39"/>
        <v>8.2857142857142865</v>
      </c>
      <c r="GV44" s="21" t="str">
        <f t="shared" si="40"/>
        <v>I TRIM</v>
      </c>
      <c r="GW44" s="28" t="s">
        <v>869</v>
      </c>
      <c r="GX44" s="30"/>
      <c r="GY44" s="21"/>
      <c r="GZ44" s="21"/>
      <c r="HA44" s="21"/>
      <c r="HB44" s="21"/>
      <c r="HC44" s="21"/>
      <c r="HD44" s="21"/>
      <c r="HE44" s="21"/>
      <c r="HF44" s="22"/>
      <c r="HG44" s="22" t="str">
        <f>IF(OR(O44&gt;0,R44&gt;0),CONCATENATE(IF(Tabla1[[#This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4" s="22" t="e">
        <f t="shared" si="41"/>
        <v>#REF!</v>
      </c>
      <c r="HI44" s="22" t="e">
        <f t="shared" ca="1" si="42"/>
        <v>#REF!</v>
      </c>
      <c r="HJ44" s="21"/>
      <c r="HK44" s="21" t="str">
        <f t="shared" si="44"/>
        <v>SIN ANTECEDENTES DE RIESGO</v>
      </c>
      <c r="HL44" s="24" t="str">
        <f t="shared" si="45"/>
        <v>REGISTRE DATO PRESIÓN ARTERIAL MENSUAL</v>
      </c>
      <c r="HM44" s="21" t="str">
        <f t="shared" ca="1" si="46"/>
        <v/>
      </c>
      <c r="HN44" s="30" t="str">
        <f t="shared" si="207"/>
        <v>SALIO PROGRAMA</v>
      </c>
      <c r="HO44" s="21"/>
      <c r="HP44" s="21"/>
      <c r="HQ44" s="21">
        <v>44981</v>
      </c>
      <c r="HR44" s="21" t="str">
        <f>IF(R44="","",IF(Tabla1[[#This Row],[ALARMA FACTORES DE RIESGO COMPLICACIONES HIPERTENSIVAS3]]="SIN ANTECEDENTES DE RIESGO","No Aplica para suministro de ASA",IF(AND(Tabla1[[#This Row],[FECHA INICIO DE SUMINISTRO DE ASA]]&gt;0,RV44&lt;12),"Inicia ASA ANTES de Sem 12",IF(AND(RV44&gt;11,RV44&lt;17,OR(HK44="RIESGO ALTO DE COMPLICACIONES HIPERTENSIVAS VER MANEJO GUIA SUMINISTRO ASA Y CALCIO",HK44="RIESGO MODERADO (2 O MAS CRITERIOS) VER MANEJO GUIA SUMINISTRO ASA Y CALCIO")),"Inicio oportuno de ASA",IF(AND(RV44&gt;12,OR(HK44="RIESGO ALTO DE COMPLICACIONES HIPERTENSIVAS VER MANEJO GUIA SUMINISTRO ASA Y CALCIO",HK44="RIESGO MODERADO (2 O MAS CRITERIOS) VER MANEJO GUIA SUMINISTRO ASA Y CALCIO")),"Inicio no oportuno mayor a 16 semanas",IF(AND(BU44&lt;12,OR(HK44="RIESGO ALTO DE COMPLICACIONES HIPERTENSIVAS VER MANEJO GUIA SUMINISTRO ASA Y CALCIO",HK44="RIESGO MODERADO (2 O MAS CRITERIOS) VER MANEJO GUIA SUMINISTRO ASA Y CALCIO")),"Pendiente Inicio de ASA a la semana 12",IF(AND(BU44&gt;11,BU44&lt;17,OR(HK44="RIESGO ALTO DE COMPLICACIONES HIPERTENSIVAS VER MANEJO GUIA SUMINISTRO ASA Y CALCIO",HK44="RIESGO MODERADO (2 O MAS CRITERIOS) VER MANEJO GUIA SUMINISTRO ASA Y CALCIO")),"Iniciar de inmediato ASA",IF(AND(BU44&gt;16,OR(HK44="RIESGO ALTO DE COMPLICACIONES HIPERTENSIVAS VER MANEJO GUIA SUMINISTRO ASA Y CALCIO",HK44="RIESGO MODERADO (2 O MAS CRITERIOS) VER MANEJO GUIA SUMINISTRO ASA Y CALCIO")),"Pierde Oportunidad, Inicio tardío de ASA","XXXXX"))))))))</f>
        <v>No Aplica para suministro de ASA</v>
      </c>
      <c r="HS44" s="22">
        <v>44981</v>
      </c>
      <c r="HT44" s="22" t="s">
        <v>870</v>
      </c>
      <c r="HU44" s="22">
        <v>44874</v>
      </c>
      <c r="HV44" s="22" t="s">
        <v>870</v>
      </c>
      <c r="HW44" s="22">
        <v>44981</v>
      </c>
      <c r="HX44" s="22" t="s">
        <v>870</v>
      </c>
      <c r="HY44" s="22">
        <v>44874</v>
      </c>
      <c r="HZ44" s="28">
        <f t="shared" si="48"/>
        <v>8.1428571428571423</v>
      </c>
      <c r="IA44" s="26" t="s">
        <v>864</v>
      </c>
      <c r="IB44" s="26"/>
      <c r="IC44" s="111"/>
      <c r="ID44" s="22">
        <v>45002</v>
      </c>
      <c r="IE44" s="22" t="str">
        <f t="shared" ca="1" si="49"/>
        <v>VACUNA APLICADA ENTRE SEMANA 20 Y SEMANA 26</v>
      </c>
      <c r="IF44" s="22"/>
      <c r="IG44" s="22">
        <f t="shared" si="50"/>
        <v>45097</v>
      </c>
      <c r="IH44" s="29">
        <f t="shared" ca="1" si="51"/>
        <v>-136</v>
      </c>
      <c r="II44" s="22" t="str">
        <f t="shared" ca="1" si="52"/>
        <v>POSIBLEMENTE NACIO</v>
      </c>
      <c r="IJ44" s="22"/>
      <c r="IK44" s="21" t="s">
        <v>898</v>
      </c>
      <c r="IL44" s="21"/>
      <c r="IM44" s="34"/>
      <c r="IN44" s="349">
        <v>45089</v>
      </c>
      <c r="IO44" s="21" t="s">
        <v>1186</v>
      </c>
      <c r="IP44" s="29">
        <f t="shared" si="208"/>
        <v>38.857142857142854</v>
      </c>
      <c r="IQ44" s="35" t="s">
        <v>1650</v>
      </c>
      <c r="IR44" s="21" t="s">
        <v>1651</v>
      </c>
      <c r="IS44" s="21" t="s">
        <v>1646</v>
      </c>
      <c r="IT44" s="21" t="s">
        <v>1642</v>
      </c>
      <c r="IU44" s="21"/>
      <c r="IV44" s="21"/>
      <c r="IW44" s="21"/>
      <c r="IX44" s="21"/>
      <c r="IY44" s="21"/>
      <c r="IZ44" s="21"/>
      <c r="JA44" s="21"/>
      <c r="JB44" s="30">
        <v>1</v>
      </c>
      <c r="JC44" s="21" t="s">
        <v>1647</v>
      </c>
      <c r="JD44" s="36">
        <v>3640</v>
      </c>
      <c r="JE44" s="21" t="str">
        <f t="shared" si="209"/>
        <v>PESO ADECUADO EDAD GESTACIONAL</v>
      </c>
      <c r="JF44" s="30"/>
      <c r="JG44" s="21"/>
      <c r="JH44" s="21"/>
      <c r="JI44" s="21" t="s">
        <v>854</v>
      </c>
      <c r="JJ44" s="30" t="s">
        <v>866</v>
      </c>
      <c r="JK44" s="22"/>
      <c r="JL44" s="22"/>
      <c r="JM44" s="21"/>
      <c r="JN44" s="36"/>
      <c r="JO44" s="21" t="str">
        <f t="shared" si="210"/>
        <v/>
      </c>
      <c r="JP44" s="22"/>
      <c r="JQ44" s="21"/>
      <c r="JR44" s="21"/>
      <c r="JS44" s="21"/>
      <c r="JT44" s="30"/>
      <c r="JU44" s="22"/>
      <c r="JV44" s="22"/>
      <c r="JW44" s="33"/>
      <c r="JX44" s="28" t="str">
        <f t="shared" si="211"/>
        <v>INASISTENTE</v>
      </c>
      <c r="JY44" s="33"/>
      <c r="JZ44" s="28" t="str">
        <f t="shared" si="212"/>
        <v>INASISTENTE</v>
      </c>
      <c r="KA44" s="21"/>
      <c r="KB44" s="21"/>
      <c r="KC44" s="21"/>
      <c r="KD44" s="37"/>
      <c r="KE44" s="28"/>
      <c r="KF44" s="28"/>
      <c r="KG44" s="28"/>
      <c r="KH44" s="39"/>
      <c r="KI44" s="39"/>
      <c r="KJ44" s="66"/>
      <c r="KK44" s="39"/>
      <c r="KL44" s="39"/>
      <c r="KM44" s="66"/>
      <c r="KN44" s="39"/>
      <c r="KO44" s="39"/>
      <c r="KP44" s="39"/>
      <c r="KQ44" s="39"/>
      <c r="KR44" s="39"/>
      <c r="KS44" s="39"/>
      <c r="KT44" s="39"/>
      <c r="KU44" s="38"/>
      <c r="KV44" s="38"/>
      <c r="KW44" s="38"/>
      <c r="KX44" s="38"/>
      <c r="KY44" s="38"/>
      <c r="KZ44" s="38"/>
      <c r="LA44" s="38"/>
      <c r="LB44" s="38"/>
      <c r="LC44" s="38"/>
      <c r="LD44" s="38"/>
      <c r="LE44" s="38"/>
      <c r="LF44" s="38"/>
      <c r="LG44" s="38"/>
      <c r="LH44" s="38"/>
      <c r="LI44" s="38"/>
      <c r="LJ44" s="38"/>
      <c r="LK44" s="38"/>
      <c r="LL44" s="38"/>
      <c r="LM44" s="38"/>
      <c r="LN44" s="38"/>
      <c r="LO44" s="38"/>
      <c r="LP44" s="38"/>
      <c r="LQ44" s="38"/>
      <c r="LR44" s="38"/>
      <c r="LS44" s="38"/>
      <c r="LT44" s="38"/>
      <c r="LU44" s="38"/>
      <c r="LV44" s="38"/>
      <c r="LW44" s="38"/>
      <c r="LX44" s="38"/>
      <c r="LY44" s="38"/>
      <c r="LZ44" s="38"/>
      <c r="MA44" s="38"/>
      <c r="MB44" s="38"/>
      <c r="MC44" s="38"/>
      <c r="MD44" s="38"/>
      <c r="ME44" s="38"/>
      <c r="MF44" s="38"/>
      <c r="MG44" s="38"/>
      <c r="MH44" s="43">
        <f t="shared" si="213"/>
        <v>0</v>
      </c>
      <c r="MI44" s="43" t="str">
        <f t="shared" si="214"/>
        <v/>
      </c>
      <c r="MJ44" s="43" t="str">
        <f t="shared" si="215"/>
        <v/>
      </c>
      <c r="MK44" s="43">
        <f t="shared" si="216"/>
        <v>0</v>
      </c>
      <c r="ML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4" s="43">
        <f t="shared" si="217"/>
        <v>8.1428571428571423</v>
      </c>
      <c r="MN44" s="43">
        <f t="shared" si="218"/>
        <v>11</v>
      </c>
      <c r="MO44" s="43">
        <f t="shared" si="219"/>
        <v>2022</v>
      </c>
      <c r="MP44" s="43" t="str">
        <f t="shared" si="220"/>
        <v>IV TRIMESTRE AÑO</v>
      </c>
      <c r="MQ44" s="43">
        <f t="shared" si="221"/>
        <v>26.319535698642138</v>
      </c>
      <c r="MR44" s="43">
        <f t="shared" si="222"/>
        <v>0</v>
      </c>
      <c r="MS44" s="43" t="str">
        <f t="shared" si="223"/>
        <v xml:space="preserve"> DE 25 A 29 AÑOS</v>
      </c>
      <c r="MT44" s="43">
        <f t="shared" si="224"/>
        <v>0</v>
      </c>
      <c r="MU44" s="43">
        <f t="shared" si="225"/>
        <v>0</v>
      </c>
      <c r="MV44" s="43">
        <f t="shared" si="226"/>
        <v>0</v>
      </c>
      <c r="MW44" s="43">
        <f t="shared" si="227"/>
        <v>0</v>
      </c>
      <c r="MX44" s="43" t="str">
        <f t="shared" si="228"/>
        <v/>
      </c>
      <c r="MY44" s="43" t="str">
        <f t="shared" ca="1" si="229"/>
        <v/>
      </c>
      <c r="MZ44" s="43" t="str">
        <f t="shared" si="230"/>
        <v/>
      </c>
      <c r="NA44" s="43">
        <f t="shared" si="231"/>
        <v>0</v>
      </c>
      <c r="NB44" s="43" t="str">
        <f t="shared" si="232"/>
        <v/>
      </c>
      <c r="NC44" s="43" t="str">
        <f t="shared" si="233"/>
        <v/>
      </c>
      <c r="ND44" s="43">
        <f t="shared" ca="1" si="234"/>
        <v>0</v>
      </c>
      <c r="NE44" s="43">
        <f>IF(OR(O44&gt;0,R44&gt;0),SUM(COUNTIF(Tabla1[[#This Row],[AÑOS AL INICIO5 CPN]],"&gt;=40"),COUNTIF(AS44,"0"),COUNTIF(AR44,"SI"),COUNTIF(CC44,"SI"),COUNTIF(BQ44,"&gt;119"),COUNTIF(CI44,"&gt;=35")),"")</f>
        <v>0</v>
      </c>
      <c r="NF44" s="43">
        <f t="shared" si="235"/>
        <v>26.428571428571427</v>
      </c>
      <c r="NG44" s="43">
        <f t="shared" si="236"/>
        <v>0</v>
      </c>
      <c r="NH44" s="43">
        <f t="shared" si="237"/>
        <v>98</v>
      </c>
      <c r="NI4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CPN",P44="NO"),"Z",IF(AND(Tabla1[[#This Row],[CITA PROXIMO CONTROL]]="CITA MANUAL",Tabla1[[#This Row],[GESTANTES ACTUALES]]="ACTIVA INGRESO A CPN"),"W",IF(AND(Tabla1[[#This Row],[GESTANTES ACTUALES]]="SALIO PROGRAMA",IN44=""),"S",IF(AND(Tabla1[[#This Row],[CITA PROXIMO CONTROL]]&gt;0,IN44=""),(Tabla1[[#This Row],[CITA PROXIMO CONTROL]]-TODAY()),"SD"))))))))</f>
        <v>SD</v>
      </c>
      <c r="NJ44" s="43">
        <f>MONTH(Tabla1[[#This Row],[FECHA DE SALIDA  DEL PROGRAMA]])</f>
        <v>6</v>
      </c>
      <c r="NK44" s="43">
        <f>YEAR(Tabla1[[#This Row],[FECHA DE SALIDA  DEL PROGRAMA]])</f>
        <v>2023</v>
      </c>
      <c r="NL44" s="43">
        <f t="shared" si="238"/>
        <v>62</v>
      </c>
      <c r="NM44" s="43" t="str">
        <f t="shared" si="239"/>
        <v>NO</v>
      </c>
      <c r="NN44" s="43" t="str">
        <f ca="1">IF(AND(O44&gt;0,R44=""),"NO CPN",IF(AND(O44="",R44=""),"",IF(AND(R44&gt;0,Tabla1[[#This Row],[SEMANAS DE GESTACION ACTUALIZADAS]]&lt;=12),"NO APLICA",IF(AND(FH44&lt;&gt;"",FN44&lt;&gt;""),"SI","NO"))))</f>
        <v>NO</v>
      </c>
      <c r="NO44" s="43" t="str">
        <f ca="1">IF(AND(O44&gt;0,R44=""),"NO CPN",IF(AND(O44="",R44=""),"",IF(AND(R44&gt;0,Tabla1[[#This Row],[SEMANAS DE GESTACION ACTUALIZADAS]]&lt;=27),"NO APLICA",IF(AND(ES44&lt;&gt;"",FQ44&lt;&gt;"",GF44&lt;&gt;""),"SI","NO"))))</f>
        <v>NO</v>
      </c>
      <c r="NP44" s="204" t="str">
        <f t="shared" si="240"/>
        <v>I TRIM</v>
      </c>
      <c r="NQ44" s="21" t="str">
        <f t="shared" si="241"/>
        <v/>
      </c>
      <c r="NR44" s="21">
        <f t="shared" si="242"/>
        <v>3</v>
      </c>
      <c r="NS44" s="205">
        <f t="shared" ca="1" si="243"/>
        <v>2</v>
      </c>
      <c r="NT44" s="21">
        <f t="shared" ca="1" si="244"/>
        <v>2</v>
      </c>
      <c r="NU44" s="21" t="str">
        <f t="shared" ca="1" si="245"/>
        <v>INCOMPLETO</v>
      </c>
      <c r="NV44" s="21" t="str">
        <f t="shared" ca="1" si="246"/>
        <v>INCOMPLETO</v>
      </c>
      <c r="NW44" s="206" t="str">
        <f>IF(AND(O44="",R44=""),"",IF(OR(AND(Tabla1[[#This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4" s="207" t="str">
        <f t="shared" ca="1" si="247"/>
        <v>VACUNADA</v>
      </c>
      <c r="NY44" s="43">
        <f>ROW(Tabla1[[#This Row],['# DE TAMIZAJES SIFILIS TOMADOS ]])</f>
        <v>44</v>
      </c>
      <c r="NZ44" s="43" t="str">
        <f t="shared" si="93"/>
        <v>Menor</v>
      </c>
      <c r="OA44" s="43" t="str">
        <f t="shared" si="94"/>
        <v>SOBREPESO</v>
      </c>
      <c r="OB44" s="43" t="str">
        <f t="shared" si="95"/>
        <v/>
      </c>
      <c r="OC44" s="43" t="str">
        <f t="shared" si="96"/>
        <v/>
      </c>
      <c r="OD44" s="43" t="str">
        <f t="shared" si="97"/>
        <v/>
      </c>
      <c r="OE44" s="43" t="str">
        <f t="shared" si="98"/>
        <v/>
      </c>
      <c r="OF44" s="43" t="str">
        <f t="shared" si="99"/>
        <v/>
      </c>
      <c r="OG44" s="43" t="str">
        <f t="shared" si="100"/>
        <v/>
      </c>
      <c r="OH44" s="43" t="str">
        <f t="shared" si="101"/>
        <v/>
      </c>
      <c r="OI44" s="43" t="str">
        <f t="shared" si="102"/>
        <v/>
      </c>
      <c r="OJ44" s="43" t="str">
        <f t="shared" si="103"/>
        <v/>
      </c>
      <c r="OK44" s="43" t="str">
        <f t="shared" si="104"/>
        <v/>
      </c>
      <c r="OL44" s="43" t="str">
        <f t="shared" si="105"/>
        <v/>
      </c>
      <c r="OM44" s="43" t="str">
        <f t="shared" si="106"/>
        <v/>
      </c>
      <c r="ON44" s="43" t="str">
        <f t="shared" si="107"/>
        <v/>
      </c>
      <c r="OO44" s="43" t="str">
        <f t="shared" si="108"/>
        <v/>
      </c>
      <c r="OP44" s="43" t="str">
        <f t="shared" si="109"/>
        <v/>
      </c>
      <c r="OQ44" s="43" t="str">
        <f t="shared" si="110"/>
        <v/>
      </c>
      <c r="OR44" s="43" t="str">
        <f t="shared" si="111"/>
        <v/>
      </c>
      <c r="OS44" s="43" t="str">
        <f t="shared" si="112"/>
        <v/>
      </c>
      <c r="OT44" s="43" t="str">
        <f t="shared" si="113"/>
        <v/>
      </c>
      <c r="OU44" s="43" t="str">
        <f t="shared" si="114"/>
        <v/>
      </c>
      <c r="OV44" s="110" t="str">
        <f t="shared" si="115"/>
        <v/>
      </c>
      <c r="OW44" s="43" t="str">
        <f t="shared" si="116"/>
        <v/>
      </c>
      <c r="OX44" s="43" t="str">
        <f t="shared" si="117"/>
        <v/>
      </c>
      <c r="OY44" s="43" t="str">
        <f t="shared" si="118"/>
        <v/>
      </c>
      <c r="OZ44" s="43" t="str">
        <f t="shared" si="119"/>
        <v/>
      </c>
      <c r="PA44" s="43" t="str">
        <f t="shared" si="120"/>
        <v/>
      </c>
      <c r="PB44" s="43" t="str">
        <f t="shared" si="121"/>
        <v/>
      </c>
      <c r="PC44" s="43" t="str">
        <f t="shared" si="122"/>
        <v/>
      </c>
      <c r="PD44" s="43" t="str">
        <f t="shared" si="123"/>
        <v/>
      </c>
      <c r="PE44" s="43" t="str">
        <f t="shared" si="124"/>
        <v/>
      </c>
      <c r="PF44" s="43" t="str">
        <f t="shared" si="125"/>
        <v/>
      </c>
      <c r="PG44" s="43" t="str">
        <f t="shared" si="126"/>
        <v/>
      </c>
      <c r="PH44" s="43" t="str">
        <f t="shared" si="127"/>
        <v/>
      </c>
      <c r="PI44" s="43">
        <f t="shared" si="128"/>
        <v>31</v>
      </c>
      <c r="PJ44" s="43" t="str">
        <f t="shared" si="129"/>
        <v/>
      </c>
      <c r="PK44" s="43" t="str">
        <f t="shared" si="130"/>
        <v/>
      </c>
      <c r="PL44" s="43" t="str">
        <f t="shared" si="131"/>
        <v/>
      </c>
      <c r="PM44" s="43" t="str">
        <f t="shared" si="132"/>
        <v/>
      </c>
      <c r="PN44" s="43" t="str">
        <f t="shared" si="133"/>
        <v/>
      </c>
      <c r="PO44" s="43" t="str">
        <f t="shared" si="134"/>
        <v/>
      </c>
      <c r="PP44" s="43" t="str">
        <f t="shared" si="135"/>
        <v/>
      </c>
      <c r="PQ44" s="43" t="str">
        <f t="shared" si="136"/>
        <v/>
      </c>
      <c r="PR44" s="43" t="str">
        <f t="shared" si="137"/>
        <v/>
      </c>
      <c r="PS44" s="43" t="str">
        <f t="shared" si="138"/>
        <v/>
      </c>
      <c r="PT44" s="43" t="str">
        <f t="shared" si="139"/>
        <v/>
      </c>
      <c r="PU44" s="43" t="str">
        <f t="shared" si="140"/>
        <v/>
      </c>
      <c r="PV44" s="43" t="str">
        <f t="shared" si="141"/>
        <v/>
      </c>
      <c r="PW44" s="43" t="str">
        <f t="shared" si="142"/>
        <v/>
      </c>
      <c r="PX44" s="43" t="str">
        <f t="shared" si="143"/>
        <v/>
      </c>
      <c r="PY44" s="43" t="str">
        <f t="shared" si="144"/>
        <v/>
      </c>
      <c r="PZ44" s="43" t="str">
        <f t="shared" si="145"/>
        <v/>
      </c>
      <c r="QA44" s="43" t="str">
        <f t="shared" si="146"/>
        <v/>
      </c>
      <c r="QB44" s="43" t="str">
        <f t="shared" si="147"/>
        <v/>
      </c>
      <c r="QC44" s="43" t="str">
        <f t="shared" si="148"/>
        <v/>
      </c>
      <c r="QD44" s="43" t="str">
        <f t="shared" si="149"/>
        <v/>
      </c>
      <c r="QE44" s="43" t="str">
        <f t="shared" si="150"/>
        <v/>
      </c>
      <c r="QF44" s="43" t="str">
        <f t="shared" si="151"/>
        <v/>
      </c>
      <c r="QG44" s="43" t="str">
        <f t="shared" si="152"/>
        <v/>
      </c>
      <c r="QH44" s="43" t="str">
        <f t="shared" si="153"/>
        <v/>
      </c>
      <c r="QI44" s="43" t="str">
        <f t="shared" si="154"/>
        <v/>
      </c>
      <c r="QJ44" s="43" t="str">
        <f t="shared" si="155"/>
        <v/>
      </c>
      <c r="QK44" s="43" t="str">
        <f t="shared" si="156"/>
        <v/>
      </c>
      <c r="QL44" s="43" t="str">
        <f t="shared" si="157"/>
        <v/>
      </c>
      <c r="QM44" s="43" t="str">
        <f t="shared" si="158"/>
        <v/>
      </c>
      <c r="QN44" s="43" t="str">
        <f t="shared" si="159"/>
        <v/>
      </c>
      <c r="QO44" s="43" t="str">
        <f t="shared" si="160"/>
        <v/>
      </c>
      <c r="QP44" s="43" t="str">
        <f t="shared" si="161"/>
        <v/>
      </c>
      <c r="QQ44" s="43" t="str">
        <f t="shared" si="162"/>
        <v/>
      </c>
      <c r="QR44" s="43">
        <f t="shared" si="192"/>
        <v>31</v>
      </c>
      <c r="QS44" s="43"/>
      <c r="QT44" s="21" t="str">
        <f t="shared" si="163"/>
        <v/>
      </c>
      <c r="QU44" s="21" t="str">
        <f t="shared" si="164"/>
        <v/>
      </c>
      <c r="QV44" s="21" t="str">
        <f t="shared" si="165"/>
        <v/>
      </c>
      <c r="QW44" s="21" t="str">
        <f t="shared" si="166"/>
        <v/>
      </c>
      <c r="QX44" s="21" t="str">
        <f t="shared" si="167"/>
        <v/>
      </c>
      <c r="QY44" s="21" t="str">
        <f t="shared" si="168"/>
        <v/>
      </c>
      <c r="QZ44" s="21" t="str">
        <f t="shared" si="169"/>
        <v/>
      </c>
      <c r="RA44" s="21" t="str">
        <f t="shared" si="170"/>
        <v/>
      </c>
      <c r="RB44" s="21" t="str">
        <f t="shared" si="171"/>
        <v/>
      </c>
      <c r="RC44" s="21" t="str">
        <f t="shared" si="172"/>
        <v/>
      </c>
      <c r="RD44" s="21" t="str">
        <f t="shared" si="173"/>
        <v/>
      </c>
      <c r="RE44" s="21" t="str">
        <f t="shared" si="174"/>
        <v/>
      </c>
      <c r="RF44" s="21" t="str">
        <f t="shared" si="175"/>
        <v/>
      </c>
      <c r="RG44" s="21" t="str">
        <f t="shared" si="176"/>
        <v/>
      </c>
      <c r="RH44" s="21" t="str">
        <f t="shared" si="177"/>
        <v/>
      </c>
      <c r="RI44" s="21" t="str">
        <f t="shared" si="178"/>
        <v/>
      </c>
      <c r="RJ44" s="21" t="str">
        <f t="shared" si="179"/>
        <v/>
      </c>
      <c r="RK44" s="21" t="str">
        <f t="shared" si="180"/>
        <v/>
      </c>
      <c r="RL44" s="21" t="str">
        <f t="shared" si="181"/>
        <v/>
      </c>
      <c r="RM44" s="21" t="str">
        <f t="shared" si="182"/>
        <v/>
      </c>
      <c r="RN44" s="21" t="str">
        <f t="shared" si="183"/>
        <v/>
      </c>
      <c r="RO44" s="21" t="str">
        <f t="shared" si="184"/>
        <v/>
      </c>
      <c r="RP44" s="21" t="str">
        <f t="shared" si="185"/>
        <v/>
      </c>
      <c r="RQ44" s="21" t="str">
        <f t="shared" si="186"/>
        <v/>
      </c>
      <c r="RR44" s="21" t="str">
        <f t="shared" si="187"/>
        <v/>
      </c>
      <c r="RS44" s="21" t="str">
        <f t="shared" si="188"/>
        <v/>
      </c>
      <c r="RT44" s="21" t="str">
        <f t="shared" si="189"/>
        <v/>
      </c>
      <c r="RU44" s="21" t="str">
        <f t="shared" si="190"/>
        <v/>
      </c>
      <c r="RV44" s="21">
        <f t="shared" si="191"/>
        <v>23.428571428571427</v>
      </c>
      <c r="RW44" s="284">
        <f>IF(OR(Tabla1[[#This Row],[FUM FORMULA CONFIABLE]]="",Tabla1[[#This Row],[FUM FORMULA CONFIABLE]]="SD"),"",IF(Tabla1[[#This Row],[FUM FORMULA CONFIABLE]]="CORREGIDA",Tabla1[[#This Row],[FUM X ECO 1]],Tabla1[[#This Row],[FUM x AMENORREA]]))</f>
        <v>44817</v>
      </c>
      <c r="RX44" s="21">
        <f>IF(AND(Tabla1[[#This Row],[FUM X ECO 1]]="",Tabla1[[#This Row],[FUM x AMENORREA]]=""),"",IF(AND(Tabla1[[#This Row],[FUM X ECO 1]]="",Tabla1[[#This Row],[FUM x AMENORREA]]&lt;&gt;""),"X",SUM(Tabla1[[#This Row],[FUM X ECO 1]]-Tabla1[[#This Row],[FUM x AMENORREA]])))</f>
        <v>0</v>
      </c>
      <c r="RY44" s="21">
        <f t="shared" si="193"/>
        <v>0</v>
      </c>
    </row>
    <row r="45" spans="1:493" ht="45" customHeight="1" x14ac:dyDescent="0.25">
      <c r="A45" s="109" t="s">
        <v>1102</v>
      </c>
      <c r="B45" s="43" t="s">
        <v>927</v>
      </c>
      <c r="C45" s="43" t="s">
        <v>845</v>
      </c>
      <c r="D45" s="124" t="s">
        <v>846</v>
      </c>
      <c r="E45" s="43" t="s">
        <v>1103</v>
      </c>
      <c r="F45" s="43" t="s">
        <v>1104</v>
      </c>
      <c r="G45" s="43" t="s">
        <v>1105</v>
      </c>
      <c r="H45" s="43"/>
      <c r="I45" s="109" t="s">
        <v>851</v>
      </c>
      <c r="J45" s="110">
        <v>1144068238</v>
      </c>
      <c r="K45" s="43" t="s">
        <v>852</v>
      </c>
      <c r="L45" s="175" t="s">
        <v>853</v>
      </c>
      <c r="M45" s="22">
        <v>34294</v>
      </c>
      <c r="N45" s="213">
        <f t="shared" ca="1" si="0"/>
        <v>29.969863013698632</v>
      </c>
      <c r="O45" s="22">
        <v>44875</v>
      </c>
      <c r="P45" s="214" t="str">
        <f t="shared" si="194"/>
        <v>SI</v>
      </c>
      <c r="Q45" s="26" t="s">
        <v>855</v>
      </c>
      <c r="R45" s="22">
        <v>44875</v>
      </c>
      <c r="S45" s="21" t="s">
        <v>856</v>
      </c>
      <c r="T45" s="24" t="s">
        <v>690</v>
      </c>
      <c r="U45" s="21" t="s">
        <v>857</v>
      </c>
      <c r="V45" s="21" t="s">
        <v>858</v>
      </c>
      <c r="W45" s="21" t="s">
        <v>1106</v>
      </c>
      <c r="X45" s="21" t="s">
        <v>1106</v>
      </c>
      <c r="Y45" s="21" t="s">
        <v>859</v>
      </c>
      <c r="Z45" s="21">
        <v>3153424821</v>
      </c>
      <c r="AA45" s="21" t="s">
        <v>860</v>
      </c>
      <c r="AB45" s="27" t="s">
        <v>861</v>
      </c>
      <c r="AC45" s="26" t="s">
        <v>1107</v>
      </c>
      <c r="AD45" s="38" t="s">
        <v>846</v>
      </c>
      <c r="AE45" s="26" t="s">
        <v>854</v>
      </c>
      <c r="AF45" s="26" t="s">
        <v>854</v>
      </c>
      <c r="AG45" s="23" t="s">
        <v>864</v>
      </c>
      <c r="AH45" s="23" t="s">
        <v>864</v>
      </c>
      <c r="AI45" s="24" t="s">
        <v>863</v>
      </c>
      <c r="AJ45" s="23" t="s">
        <v>864</v>
      </c>
      <c r="AK45" s="220" t="str">
        <f>IF(AND(AD45="",AE45="",AF45="",AG45="",AH45="",AI45="",AJ45=""),"",IF(OR(Tabla1[[#This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EVALUACIÓN",IF(AND(O45="",R45=""),"",IF(AND(OR(O45&gt;0,R45&gt;0),NG45&gt;=0,NG45&lt;2),"SIN RIESGO",IF(AND(OR(O45&gt;0,R45&gt;0),NG45&gt;=2),"CON RIESGO","ASD")))))</f>
        <v>SIN RIESGO</v>
      </c>
      <c r="AL45" s="23" t="s">
        <v>864</v>
      </c>
      <c r="AM45" s="26" t="s">
        <v>864</v>
      </c>
      <c r="AN45" s="26" t="s">
        <v>864</v>
      </c>
      <c r="AO45" s="26" t="s">
        <v>864</v>
      </c>
      <c r="AP45" s="26" t="s">
        <v>864</v>
      </c>
      <c r="AQ45" s="26" t="s">
        <v>864</v>
      </c>
      <c r="AR45" s="26" t="s">
        <v>864</v>
      </c>
      <c r="AS45" s="21">
        <v>1</v>
      </c>
      <c r="AT45" s="21">
        <v>1</v>
      </c>
      <c r="AU45" s="21">
        <v>0</v>
      </c>
      <c r="AV45" s="26" t="s">
        <v>864</v>
      </c>
      <c r="AW45" s="21">
        <v>0</v>
      </c>
      <c r="AX45" s="26" t="s">
        <v>864</v>
      </c>
      <c r="AY45" s="26" t="s">
        <v>864</v>
      </c>
      <c r="AZ45" s="26" t="s">
        <v>864</v>
      </c>
      <c r="BA45" s="26" t="s">
        <v>864</v>
      </c>
      <c r="BB45" s="26" t="s">
        <v>864</v>
      </c>
      <c r="BC45" s="26" t="s">
        <v>864</v>
      </c>
      <c r="BD45" s="26" t="s">
        <v>864</v>
      </c>
      <c r="BE45" s="26" t="s">
        <v>864</v>
      </c>
      <c r="BF45" s="26" t="s">
        <v>864</v>
      </c>
      <c r="BG45" s="26" t="s">
        <v>864</v>
      </c>
      <c r="BH45" s="26" t="s">
        <v>864</v>
      </c>
      <c r="BI45" s="26" t="s">
        <v>864</v>
      </c>
      <c r="BJ45" s="26"/>
      <c r="BK45" s="26"/>
      <c r="BL45" s="26" t="s">
        <v>864</v>
      </c>
      <c r="BM45" s="26" t="s">
        <v>864</v>
      </c>
      <c r="BN45" s="22">
        <v>41868</v>
      </c>
      <c r="BO45" s="22">
        <v>44831</v>
      </c>
      <c r="BP45" s="21" t="s">
        <v>854</v>
      </c>
      <c r="BQ45" s="222">
        <f t="shared" si="2"/>
        <v>98.766666666666666</v>
      </c>
      <c r="BR45" s="223">
        <f t="shared" si="3"/>
        <v>44831.5</v>
      </c>
      <c r="BS45" s="224">
        <f t="shared" si="4"/>
        <v>6.2857142857142856</v>
      </c>
      <c r="BT45" s="216" t="str">
        <f t="shared" si="5"/>
        <v>I TRIM</v>
      </c>
      <c r="BU45" s="214" t="str">
        <f t="shared" ca="1" si="6"/>
        <v/>
      </c>
      <c r="BV45" s="25"/>
      <c r="BW45" s="22">
        <v>44898</v>
      </c>
      <c r="BX45" s="28">
        <v>9.5</v>
      </c>
      <c r="BY45" s="28"/>
      <c r="BZ45" s="22">
        <v>44960</v>
      </c>
      <c r="CA45" s="21">
        <v>19</v>
      </c>
      <c r="CB45" s="26" t="s">
        <v>864</v>
      </c>
      <c r="CC45" s="26" t="s">
        <v>864</v>
      </c>
      <c r="CD45" s="26" t="s">
        <v>865</v>
      </c>
      <c r="CE45" s="26" t="s">
        <v>864</v>
      </c>
      <c r="CF45" s="22" t="s">
        <v>1517</v>
      </c>
      <c r="CG45" s="21">
        <v>1.52</v>
      </c>
      <c r="CH45" s="21">
        <v>64</v>
      </c>
      <c r="CI45" s="214">
        <f t="shared" si="7"/>
        <v>27.700831024930746</v>
      </c>
      <c r="CJ45" s="225" t="str">
        <f>IF(AND(CI45&lt;10,CH45="SD"),"SIN DATO PESO PREGESTACION O I TRIM",IF(AND(OR(R45&gt;0,O45&gt;0),CI45="X"),"INGRESAR DATO DE PESO",IF(CI45="SD","INGRESAR DATO DE TALLA Y PESO",IF(AND(OR(Tabla1[[#This Row],[MOMENTO EN QUE SE REALIZA EL PESO AL INGRESO A CPN]]="PREGESTACIÓN",NZ45="Menor"),CI45&lt;18.5),"BAJO PESO",IF(AND(OR(Tabla1[[#This Row],[MOMENTO EN QUE SE REALIZA EL PESO AL INGRESO A CPN]]="PREGESTACIÓN",NZ45="Menor"),CI45&lt;25),"NORMAL",IF(AND(OR(Tabla1[[#This Row],[MOMENTO EN QUE SE REALIZA EL PESO AL INGRESO A CPN]]="PREGESTACIÓN",NZ45="Menor"),CI45&lt;30),"SOBREPESO",IF(AND(OR(Tabla1[[#This Row],[MOMENTO EN QUE SE REALIZA EL PESO AL INGRESO A CPN]]="PREGESTACIÓN",NZ45="Menor"),CI45&gt;=30,CI45&lt;50),"OBESIDAD",IF(AND(BS45&gt;0,Tabla1[[#This Row],[MOMENTO EN QUE SE REALIZA EL PESO AL INGRESO A CPN]]="GESTACIÓN"),HLOOKUP(NZ45,$OA$2:PH45,NY45),""))))))))</f>
        <v>SOBREPESO</v>
      </c>
      <c r="CK45" s="212">
        <f t="shared" si="8"/>
        <v>44988</v>
      </c>
      <c r="CL45" s="21"/>
      <c r="CM45" s="214">
        <f t="shared" si="9"/>
        <v>0</v>
      </c>
      <c r="CN45" s="216">
        <f t="shared" si="10"/>
        <v>22</v>
      </c>
      <c r="CO45" s="216" t="e">
        <f>IF(PI45="","",IF(PI45&gt;0,HLOOKUP(PI45,$PJ$2:QQ45,NY45),""))</f>
        <v>#REF!</v>
      </c>
      <c r="CP45" s="21"/>
      <c r="CQ45" s="216" t="e">
        <f>IF(QR45="Menor","NO APLICA-MENOR 13 SEM",IF(AND(CC45="SI",CN45&gt;23),"NO APLICA- GEMELAR",IF(QR45="","",IF(QR45&gt;0,HLOOKUP(QR45,$QS$2:RU45,NY45),""))))</f>
        <v>#REF!</v>
      </c>
      <c r="CR45" s="21">
        <v>90</v>
      </c>
      <c r="CS45" s="21">
        <v>60</v>
      </c>
      <c r="CT45" s="217" t="str">
        <f>IF(R45="","",IF(AND(BS45&gt;1,BS45&lt;12,Tabla1[[#This Row],[T.A. SISTOLICA - ANTES DE SEMANA 12]]="",Tabla1[[#This Row],[T.A. DIASTOLICA - ANTES DE SEMANA 12]]=""),"REGISTRE DATO TA ANTES SEMANA 12",IF(AND(BS45&gt;11,BS45&lt;43,Tabla1[[#This Row],[T.A. SISTOLICA - ANTES DE SEMANA 12]]="",Tabla1[[#This Row],[T.A. DIASTOLICA - ANTES DE SEMANA 12]]=""),"NO APLICA REGISTRO TA-INGRESO TARDIO",IF(AND(OR(O45&gt;0,R45&gt;0),OR(CR45&gt;=140,CS45&gt;=90)),"DEFINIR ESTADIO HTA",IF(AND(OR(O45&gt;0,R45&gt;0),AND(CR45&gt;120,CR45&lt;=139)),"PRE HTA SEGUIMIENTO",IF(AND(OR(O45&gt;0,R45&gt;0),AND(CS45&gt;80,CS45&lt;=89)),"PRE HTA SEGUIMIENTO",IF(AND(OR(O45&gt;0,R45&gt;0),AND(CR45&gt;=80,CR45&lt;=120)),"APARENTEMENTE NORMAL",IF(AND(OR(O45&gt;0,R45&gt;0),AND(CS45&gt;=50,CS45&lt;=80)),"APARENTEMENTE NORMAL",IF(AND(OR(O45&gt;0,R45&gt;0),AND(CR45&gt;1,CR45&lt;=70),AND(CS45&gt;1,CS45&lt;=40)),"HIPOTENSIÓN","")))))))))</f>
        <v>APARENTEMENTE NORMAL</v>
      </c>
      <c r="CU45" s="21">
        <v>100</v>
      </c>
      <c r="CV45" s="21">
        <v>60</v>
      </c>
      <c r="CW45" s="217" t="str">
        <f ca="1">IF(R45="","",IF(AND(CN45&gt;19,CN45&lt;27,Tabla1[[#This Row],[T.A. SISTOLICA (Entre semana 20 y 26)]]="",Tabla1[[#This Row],[T.A. DIATOLICA (Entre semana 20 y 26)]]=""),"ACUDE A CONTROL SEM 20 A 26 REGISTRE TA AHORA",IF(AND(BS45&gt;1,BS45&lt;27,BU45&gt;19,Tabla1[[#This Row],[T.A. SISTOLICA (Entre semana 20 y 26)]]="",Tabla1[[#This Row],[T.A. DIATOLICA (Entre semana 20 y 26)]]=""),"COMPLETE REGISTRO TA CONTROL SEM 20 A26 ",IF(AND(BS45&gt;26,BS45&lt;43,Tabla1[[#This Row],[T.A. SISTOLICA (Entre semana 20 y 26)]]="",Tabla1[[#This Row],[T.A. DIATOLICA (Entre semana 20 y 26)]]=""),"NO APLICA REGISTRO TA-INGRESO TARDIO",IF(AND(OR(O45&gt;0,R45&gt;0),OR(CU45&gt;=140,CV45&gt;=90)),"ALTO RIESGO PREECLAMPSIA,DEFINIR ESTADIO HTA",IF(AND(OR(O45&gt;0,R45&gt;0),AND(CU45&gt;120,CU45&lt;=139)),"PRE HTA SEGUIMIENTO,RIESGO HIPERTENSION INDUCIDA POR EL EMBARAZO",IF(AND(OR(O45&gt;0,R45&gt;0),AND(CV45&gt;80,CV45&lt;=89)),"PRE HTA SEGUIMIENTO, RIESGO HIPERTENSION INDUCIDA POR EL EMBARAZO",IF(AND(OR(O45&lt;&gt;"",R45&lt;&gt;""),CS45&lt;&gt;"",CV45&lt;&gt;"",CS45&lt;=CV45),"VIGILAR CIFRAS PRESION ARTERIAL",IF(AND(OR(O45&gt;0,R45&gt;0),AND(CU45&gt;120,CU45&lt;=139)),"PRE HTA SEGUIMIENTO",IF(AND(OR(O45&gt;0,R45&gt;0),AND(CU45&gt;1,CU45&lt;=70),AND(CV45&gt;1,CV45&lt;=40)),"HIPOTENSIÓN",IF(AND(OR(O45&lt;&gt;"",R45&lt;&gt;""),CS45&lt;&gt;"",CV45&lt;&gt;"",CS45&gt;CV45),"APARENTEMENTE NORMAL",IF(AND(OR(O45&gt;0,R45&gt;0),AND(CU45&gt;=80,CU45&lt;=120)),"APARENTEMENTE NORMAL",IF(AND(OR(O45&gt;0,R45&gt;0),AND(CV45&gt;=50,CV45&lt;=80)),"APARENTEMENTE NORMAL","")))))))))))))</f>
        <v>VIGILAR CIFRAS PRESION ARTERIAL</v>
      </c>
      <c r="CX45" s="21"/>
      <c r="CY45" s="21"/>
      <c r="CZ45" s="216" t="str">
        <f t="shared" si="195"/>
        <v/>
      </c>
      <c r="DA45" s="21"/>
      <c r="DB45" s="21"/>
      <c r="DC45" s="217" t="str">
        <f t="shared" si="12"/>
        <v>REGISTRE DATO PRESIÓN ARTERIAL MENSUAL</v>
      </c>
      <c r="DD45" s="22">
        <v>44875</v>
      </c>
      <c r="DE45" s="22">
        <v>44875</v>
      </c>
      <c r="DF45" s="22">
        <v>44930</v>
      </c>
      <c r="DG45" s="22">
        <v>44960</v>
      </c>
      <c r="DH45" s="22">
        <v>44988</v>
      </c>
      <c r="DI45" s="22"/>
      <c r="DJ45" s="22"/>
      <c r="DK45" s="22"/>
      <c r="DL45" s="22"/>
      <c r="DM45" s="22"/>
      <c r="DN45" s="22"/>
      <c r="DO45" s="22"/>
      <c r="DP45" s="22"/>
      <c r="DQ45" s="22"/>
      <c r="DR45" s="28">
        <v>1</v>
      </c>
      <c r="DS45" s="22"/>
      <c r="DT45" s="22"/>
      <c r="DU45" s="216" t="str">
        <f t="shared" ca="1" si="196"/>
        <v>SALE SIN PLAN DE PARTO</v>
      </c>
      <c r="DV45" s="226" t="str">
        <f t="shared" si="197"/>
        <v>SALIO PROGRAMA</v>
      </c>
      <c r="DW4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5" s="216" t="str">
        <f t="shared" ca="1" si="15"/>
        <v/>
      </c>
      <c r="DY45" s="212">
        <f>IF(R45="","",IF(R45&gt;0,MAX(Tabla1[[#This Row],[FECHA C2]:[FECHA C13]],Tabla1[[#This Row],[FECHA CONSULTA PRIMERA VEZ PROGRAMA CPN ]])))</f>
        <v>44988</v>
      </c>
      <c r="DZ45" s="216">
        <f t="shared" si="16"/>
        <v>22</v>
      </c>
      <c r="EA45" s="222">
        <f>IF(R45&gt;0,SUM(COUNTA(DF45:DQ45)+COUNTA(Tabla1[[#This Row],[FECHA CONSULTA PRIMERA VEZ PROGRAMA CPN ]])),"")</f>
        <v>4</v>
      </c>
      <c r="EB45" s="222" t="str">
        <f t="shared" si="17"/>
        <v>SI</v>
      </c>
      <c r="EC45" s="214">
        <f t="shared" si="18"/>
        <v>10</v>
      </c>
      <c r="ED45" s="227">
        <f t="shared" si="19"/>
        <v>0.4</v>
      </c>
      <c r="EE45" s="22">
        <v>44875</v>
      </c>
      <c r="EF45" s="22">
        <v>44875</v>
      </c>
      <c r="EG45" s="22">
        <v>44875</v>
      </c>
      <c r="EH45" s="22"/>
      <c r="EI45" s="22">
        <v>44875</v>
      </c>
      <c r="EJ45" s="22"/>
      <c r="EK45" s="22"/>
      <c r="EL45" s="21"/>
      <c r="EM45" s="21">
        <v>13.5</v>
      </c>
      <c r="EN45" s="22">
        <v>44883</v>
      </c>
      <c r="EO45" s="222">
        <f t="shared" si="20"/>
        <v>7.4285714285714288</v>
      </c>
      <c r="EP45" s="214" t="str">
        <f t="shared" si="21"/>
        <v>NORMAL- SUMINISTRAR SULFATO FERROSO</v>
      </c>
      <c r="EQ45" s="216" t="str">
        <f t="shared" si="22"/>
        <v>I TRIM</v>
      </c>
      <c r="ER45" s="24"/>
      <c r="ES45" s="22"/>
      <c r="ET45" s="29" t="str">
        <f t="shared" ca="1" si="198"/>
        <v>SALE SIN TAMIZAJE HEMOGLOBINA SEM 28</v>
      </c>
      <c r="EU45" s="25" t="str">
        <f t="shared" si="24"/>
        <v/>
      </c>
      <c r="EV45" s="24" t="s">
        <v>866</v>
      </c>
      <c r="EW45" s="24">
        <v>44883</v>
      </c>
      <c r="EX45" s="22"/>
      <c r="EY45" s="29">
        <f t="shared" si="199"/>
        <v>7.4285714285714288</v>
      </c>
      <c r="EZ45" s="25" t="str">
        <f t="shared" ca="1" si="200"/>
        <v/>
      </c>
      <c r="FA45" s="21">
        <v>77</v>
      </c>
      <c r="FB45" s="22">
        <v>44883</v>
      </c>
      <c r="FC45" s="29">
        <f t="shared" si="27"/>
        <v>7.4285714285714288</v>
      </c>
      <c r="FD45" s="29"/>
      <c r="FE45" s="29"/>
      <c r="FF45" s="29"/>
      <c r="FG45" s="21" t="str">
        <f t="shared" ca="1" si="28"/>
        <v/>
      </c>
      <c r="FH45" s="31"/>
      <c r="FI45" s="29" t="str">
        <f t="shared" si="29"/>
        <v>TOMAR EXAMEN</v>
      </c>
      <c r="FJ45" s="22" t="s">
        <v>867</v>
      </c>
      <c r="FK45" s="22">
        <v>44883</v>
      </c>
      <c r="FL45" s="29">
        <f t="shared" ca="1" si="30"/>
        <v>7.4285714285714288</v>
      </c>
      <c r="FM45" s="22"/>
      <c r="FN45" s="32"/>
      <c r="FO45" s="29" t="str">
        <f t="shared" ca="1" si="201"/>
        <v>PIERDE TOMA DE TAMIZAJE</v>
      </c>
      <c r="FP45" s="22"/>
      <c r="FQ45" s="32"/>
      <c r="FR45" s="29" t="str">
        <f t="shared" ca="1" si="202"/>
        <v>PIERDE TOMA DE TAMIZAJE</v>
      </c>
      <c r="FS45" s="22"/>
      <c r="FT45" s="32"/>
      <c r="FU45" s="29" t="str">
        <f>IF(AND(FJ45="",FM45="",FP45="",FS45=""),"",IF(OR(OR(Tabla1[[#This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5" s="28"/>
      <c r="FW45" s="22"/>
      <c r="FX45" s="29" t="str">
        <f t="shared" si="33"/>
        <v>TOMAR EXAMEN</v>
      </c>
      <c r="FY45" s="22">
        <v>44883</v>
      </c>
      <c r="FZ45" s="22">
        <v>44883</v>
      </c>
      <c r="GA45" s="29">
        <f t="shared" ca="1" si="203"/>
        <v>7.4285714285714288</v>
      </c>
      <c r="GB45" s="22"/>
      <c r="GC45" s="22"/>
      <c r="GD45" s="29" t="str">
        <f t="shared" ca="1" si="204"/>
        <v>PIERDE TOMA DE TAMIZAJE</v>
      </c>
      <c r="GE45" s="22"/>
      <c r="GF45" s="22"/>
      <c r="GG45" s="29" t="str">
        <f t="shared" ca="1" si="205"/>
        <v>PIERDE TOMA DE TAMIZAJE</v>
      </c>
      <c r="GH45" s="22"/>
      <c r="GI45" s="29"/>
      <c r="GJ45" s="22"/>
      <c r="GK45" s="22"/>
      <c r="GL45" s="22" t="s">
        <v>879</v>
      </c>
      <c r="GM45" s="22"/>
      <c r="GN45" s="28" t="s">
        <v>869</v>
      </c>
      <c r="GO45" s="22">
        <v>44883</v>
      </c>
      <c r="GP45" s="29">
        <f t="shared" si="37"/>
        <v>7.4285714285714288</v>
      </c>
      <c r="GQ45" s="28" t="s">
        <v>869</v>
      </c>
      <c r="GR45" s="28" t="s">
        <v>846</v>
      </c>
      <c r="GS45" s="22" t="str">
        <f t="shared" si="206"/>
        <v>CONTROL Igm</v>
      </c>
      <c r="GT45" s="22">
        <v>44883</v>
      </c>
      <c r="GU45" s="29">
        <f t="shared" si="39"/>
        <v>7.4285714285714288</v>
      </c>
      <c r="GV45" s="21" t="str">
        <f t="shared" si="40"/>
        <v>I TRIM</v>
      </c>
      <c r="GW45" s="28" t="s">
        <v>846</v>
      </c>
      <c r="GX45" s="30"/>
      <c r="GY45" s="21" t="s">
        <v>906</v>
      </c>
      <c r="GZ45" s="21"/>
      <c r="HA45" s="21"/>
      <c r="HB45" s="21"/>
      <c r="HC45" s="21"/>
      <c r="HD45" s="21"/>
      <c r="HE45" s="21"/>
      <c r="HF45" s="22"/>
      <c r="HG45" s="22" t="str">
        <f>IF(OR(O45&gt;0,R45&gt;0),CONCATENATE(IF(Tabla1[[#This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5" s="22" t="e">
        <f t="shared" si="41"/>
        <v>#REF!</v>
      </c>
      <c r="HI45" s="22" t="e">
        <f t="shared" ca="1" si="42"/>
        <v>#REF!</v>
      </c>
      <c r="HJ45" s="21"/>
      <c r="HK45" s="21" t="str">
        <f t="shared" si="44"/>
        <v>SIN ANTECEDENTES DE RIESGO</v>
      </c>
      <c r="HL45" s="24" t="str">
        <f t="shared" si="45"/>
        <v>REGISTRE DATO PRESIÓN ARTERIAL MENSUAL</v>
      </c>
      <c r="HM45" s="21" t="str">
        <f t="shared" ca="1" si="46"/>
        <v/>
      </c>
      <c r="HN45" s="30" t="str">
        <f t="shared" si="207"/>
        <v>SALIO PROGRAMA</v>
      </c>
      <c r="HO45" s="21"/>
      <c r="HP45" s="21"/>
      <c r="HQ45" s="21">
        <v>44875</v>
      </c>
      <c r="HR45" s="21" t="str">
        <f>IF(R45="","",IF(Tabla1[[#This Row],[ALARMA FACTORES DE RIESGO COMPLICACIONES HIPERTENSIVAS3]]="SIN ANTECEDENTES DE RIESGO","No Aplica para suministro de ASA",IF(AND(Tabla1[[#This Row],[FECHA INICIO DE SUMINISTRO DE ASA]]&gt;0,RV45&lt;12),"Inicia ASA ANTES de Sem 12",IF(AND(RV45&gt;11,RV45&lt;17,OR(HK45="RIESGO ALTO DE COMPLICACIONES HIPERTENSIVAS VER MANEJO GUIA SUMINISTRO ASA Y CALCIO",HK45="RIESGO MODERADO (2 O MAS CRITERIOS) VER MANEJO GUIA SUMINISTRO ASA Y CALCIO")),"Inicio oportuno de ASA",IF(AND(RV45&gt;12,OR(HK45="RIESGO ALTO DE COMPLICACIONES HIPERTENSIVAS VER MANEJO GUIA SUMINISTRO ASA Y CALCIO",HK45="RIESGO MODERADO (2 O MAS CRITERIOS) VER MANEJO GUIA SUMINISTRO ASA Y CALCIO")),"Inicio no oportuno mayor a 16 semanas",IF(AND(BU45&lt;12,OR(HK45="RIESGO ALTO DE COMPLICACIONES HIPERTENSIVAS VER MANEJO GUIA SUMINISTRO ASA Y CALCIO",HK45="RIESGO MODERADO (2 O MAS CRITERIOS) VER MANEJO GUIA SUMINISTRO ASA Y CALCIO")),"Pendiente Inicio de ASA a la semana 12",IF(AND(BU45&gt;11,BU45&lt;17,OR(HK45="RIESGO ALTO DE COMPLICACIONES HIPERTENSIVAS VER MANEJO GUIA SUMINISTRO ASA Y CALCIO",HK45="RIESGO MODERADO (2 O MAS CRITERIOS) VER MANEJO GUIA SUMINISTRO ASA Y CALCIO")),"Iniciar de inmediato ASA",IF(AND(BU45&gt;16,OR(HK45="RIESGO ALTO DE COMPLICACIONES HIPERTENSIVAS VER MANEJO GUIA SUMINISTRO ASA Y CALCIO",HK45="RIESGO MODERADO (2 O MAS CRITERIOS) VER MANEJO GUIA SUMINISTRO ASA Y CALCIO")),"Pierde Oportunidad, Inicio tardío de ASA","XXXXX"))))))))</f>
        <v>No Aplica para suministro de ASA</v>
      </c>
      <c r="HS45" s="22">
        <v>44875</v>
      </c>
      <c r="HT45" s="22" t="s">
        <v>870</v>
      </c>
      <c r="HU45" s="22">
        <v>44875</v>
      </c>
      <c r="HV45" s="22" t="s">
        <v>870</v>
      </c>
      <c r="HW45" s="22">
        <v>44875</v>
      </c>
      <c r="HX45" s="22" t="s">
        <v>870</v>
      </c>
      <c r="HY45" s="22">
        <v>44875</v>
      </c>
      <c r="HZ45" s="28">
        <f t="shared" si="48"/>
        <v>6.2857142857142856</v>
      </c>
      <c r="IA45" s="26" t="s">
        <v>864</v>
      </c>
      <c r="IB45" s="26"/>
      <c r="IC45" s="111"/>
      <c r="ID45" s="22"/>
      <c r="IE45" s="22" t="str">
        <f t="shared" ca="1" si="49"/>
        <v>SALE SIN VACUNA</v>
      </c>
      <c r="IF45" s="22"/>
      <c r="IG45" s="22">
        <f t="shared" si="50"/>
        <v>45111</v>
      </c>
      <c r="IH45" s="29">
        <f t="shared" ca="1" si="51"/>
        <v>-122</v>
      </c>
      <c r="II45" s="22" t="str">
        <f t="shared" ca="1" si="52"/>
        <v>POSIBLEMENTE NACIO</v>
      </c>
      <c r="IJ45" s="22"/>
      <c r="IK45" s="21" t="s">
        <v>898</v>
      </c>
      <c r="IL45" s="21"/>
      <c r="IM45" s="34"/>
      <c r="IN45" s="349">
        <v>45093</v>
      </c>
      <c r="IO45" s="21" t="s">
        <v>1186</v>
      </c>
      <c r="IP45" s="29">
        <f t="shared" si="208"/>
        <v>37.428571428571431</v>
      </c>
      <c r="IQ45" s="110" t="s">
        <v>1654</v>
      </c>
      <c r="IR45" s="21" t="s">
        <v>1651</v>
      </c>
      <c r="IS45" s="21" t="s">
        <v>1646</v>
      </c>
      <c r="IT45" s="21" t="s">
        <v>1642</v>
      </c>
      <c r="IU45" s="21"/>
      <c r="IV45" s="21"/>
      <c r="IW45" s="21"/>
      <c r="IX45" s="21"/>
      <c r="IY45" s="21"/>
      <c r="IZ45" s="21"/>
      <c r="JA45" s="21"/>
      <c r="JB45" s="30">
        <v>1</v>
      </c>
      <c r="JC45" s="21" t="s">
        <v>1643</v>
      </c>
      <c r="JD45" s="36">
        <v>2910</v>
      </c>
      <c r="JE45" s="21" t="str">
        <f t="shared" si="209"/>
        <v>PESO ADECUADO EDAD GESTACIONAL</v>
      </c>
      <c r="JF45" s="30"/>
      <c r="JG45" s="21"/>
      <c r="JH45" s="21"/>
      <c r="JI45" s="21" t="s">
        <v>854</v>
      </c>
      <c r="JJ45" s="30" t="s">
        <v>866</v>
      </c>
      <c r="JK45" s="22"/>
      <c r="JL45" s="22"/>
      <c r="JM45" s="21"/>
      <c r="JN45" s="36"/>
      <c r="JO45" s="21" t="str">
        <f t="shared" si="210"/>
        <v/>
      </c>
      <c r="JP45" s="22"/>
      <c r="JQ45" s="21"/>
      <c r="JR45" s="21"/>
      <c r="JS45" s="21"/>
      <c r="JT45" s="30"/>
      <c r="JU45" s="22"/>
      <c r="JV45" s="22"/>
      <c r="JW45" s="33"/>
      <c r="JX45" s="28" t="str">
        <f t="shared" si="211"/>
        <v>INASISTENTE</v>
      </c>
      <c r="JY45" s="33"/>
      <c r="JZ45" s="28" t="str">
        <f t="shared" si="212"/>
        <v>INASISTENTE</v>
      </c>
      <c r="KA45" s="21"/>
      <c r="KB45" s="21"/>
      <c r="KC45" s="21"/>
      <c r="KD45" s="37"/>
      <c r="KE45" s="28"/>
      <c r="KF45" s="28"/>
      <c r="KG45" s="28"/>
      <c r="KH45" s="39"/>
      <c r="KI45" s="39"/>
      <c r="KJ45" s="66"/>
      <c r="KK45" s="39"/>
      <c r="KL45" s="39"/>
      <c r="KM45" s="66"/>
      <c r="KN45" s="39"/>
      <c r="KO45" s="39"/>
      <c r="KP45" s="39"/>
      <c r="KQ45" s="39"/>
      <c r="KR45" s="39"/>
      <c r="KS45" s="39"/>
      <c r="KT45" s="39"/>
      <c r="KU45" s="38"/>
      <c r="KV45" s="38"/>
      <c r="KW45" s="38"/>
      <c r="KX45" s="38"/>
      <c r="KY45" s="38"/>
      <c r="KZ45" s="38"/>
      <c r="LA45" s="38"/>
      <c r="LB45" s="38"/>
      <c r="LC45" s="38"/>
      <c r="LD45" s="38"/>
      <c r="LE45" s="38"/>
      <c r="LF45" s="38"/>
      <c r="LG45" s="38"/>
      <c r="LH45" s="38"/>
      <c r="LI45" s="38"/>
      <c r="LJ45" s="38"/>
      <c r="LK45" s="38"/>
      <c r="LL45" s="38"/>
      <c r="LM45" s="38"/>
      <c r="LN45" s="38"/>
      <c r="LO45" s="38"/>
      <c r="LP45" s="38"/>
      <c r="LQ45" s="38"/>
      <c r="LR45" s="38"/>
      <c r="LS45" s="38"/>
      <c r="LT45" s="38"/>
      <c r="LU45" s="38"/>
      <c r="LV45" s="38"/>
      <c r="LW45" s="38"/>
      <c r="LX45" s="38"/>
      <c r="LY45" s="38"/>
      <c r="LZ45" s="38"/>
      <c r="MA45" s="38"/>
      <c r="MB45" s="38"/>
      <c r="MC45" s="38"/>
      <c r="MD45" s="38"/>
      <c r="ME45" s="38"/>
      <c r="MF45" s="38"/>
      <c r="MG45" s="38"/>
      <c r="MH45" s="43">
        <f t="shared" si="213"/>
        <v>0</v>
      </c>
      <c r="MI45" s="43" t="str">
        <f t="shared" si="214"/>
        <v/>
      </c>
      <c r="MJ45" s="43" t="str">
        <f t="shared" si="215"/>
        <v/>
      </c>
      <c r="MK45" s="43">
        <f t="shared" si="216"/>
        <v>0</v>
      </c>
      <c r="ML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5" s="43">
        <f t="shared" si="217"/>
        <v>6.2857142857142856</v>
      </c>
      <c r="MN45" s="43">
        <f t="shared" si="218"/>
        <v>11</v>
      </c>
      <c r="MO45" s="43">
        <f t="shared" si="219"/>
        <v>2022</v>
      </c>
      <c r="MP45" s="43" t="str">
        <f t="shared" si="220"/>
        <v>IV TRIMESTRE AÑO</v>
      </c>
      <c r="MQ45" s="43">
        <f t="shared" si="221"/>
        <v>28.550700832238281</v>
      </c>
      <c r="MR45" s="43">
        <f t="shared" si="222"/>
        <v>0</v>
      </c>
      <c r="MS45" s="43" t="str">
        <f t="shared" si="223"/>
        <v xml:space="preserve"> DE 25 A 29 AÑOS</v>
      </c>
      <c r="MT45" s="43">
        <f t="shared" si="224"/>
        <v>0</v>
      </c>
      <c r="MU45" s="43">
        <f t="shared" si="225"/>
        <v>0</v>
      </c>
      <c r="MV45" s="43">
        <f t="shared" si="226"/>
        <v>0</v>
      </c>
      <c r="MW45" s="43">
        <f t="shared" si="227"/>
        <v>0</v>
      </c>
      <c r="MX45" s="43" t="str">
        <f t="shared" si="228"/>
        <v/>
      </c>
      <c r="MY45" s="43" t="str">
        <f t="shared" ca="1" si="229"/>
        <v/>
      </c>
      <c r="MZ45" s="43" t="str">
        <f t="shared" si="230"/>
        <v/>
      </c>
      <c r="NA45" s="43">
        <f t="shared" si="231"/>
        <v>0</v>
      </c>
      <c r="NB45" s="43" t="str">
        <f t="shared" si="232"/>
        <v/>
      </c>
      <c r="NC45" s="43" t="str">
        <f t="shared" si="233"/>
        <v/>
      </c>
      <c r="ND45" s="43">
        <f t="shared" ca="1" si="234"/>
        <v>0</v>
      </c>
      <c r="NE45" s="43">
        <f>IF(OR(O45&gt;0,R45&gt;0),SUM(COUNTIF(Tabla1[[#This Row],[AÑOS AL INICIO5 CPN]],"&gt;=40"),COUNTIF(AS45,"0"),COUNTIF(AR45,"SI"),COUNTIF(CC45,"SI"),COUNTIF(BQ45,"&gt;119"),COUNTIF(CI45,"&gt;=35")),"")</f>
        <v>0</v>
      </c>
      <c r="NF45" s="43" t="str">
        <f t="shared" si="235"/>
        <v/>
      </c>
      <c r="NG45" s="43">
        <f t="shared" si="236"/>
        <v>0</v>
      </c>
      <c r="NH45" s="43">
        <f t="shared" si="237"/>
        <v>66.5</v>
      </c>
      <c r="NI4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CPN",P45="NO"),"Z",IF(AND(Tabla1[[#This Row],[CITA PROXIMO CONTROL]]="CITA MANUAL",Tabla1[[#This Row],[GESTANTES ACTUALES]]="ACTIVA INGRESO A CPN"),"W",IF(AND(Tabla1[[#This Row],[GESTANTES ACTUALES]]="SALIO PROGRAMA",IN45=""),"S",IF(AND(Tabla1[[#This Row],[CITA PROXIMO CONTROL]]&gt;0,IN45=""),(Tabla1[[#This Row],[CITA PROXIMO CONTROL]]-TODAY()),"SD"))))))))</f>
        <v>SD</v>
      </c>
      <c r="NJ45" s="43">
        <f>MONTH(Tabla1[[#This Row],[FECHA DE SALIDA  DEL PROGRAMA]])</f>
        <v>6</v>
      </c>
      <c r="NK45" s="43">
        <f>YEAR(Tabla1[[#This Row],[FECHA DE SALIDA  DEL PROGRAMA]])</f>
        <v>2023</v>
      </c>
      <c r="NL45" s="43" t="str">
        <f t="shared" si="238"/>
        <v>X</v>
      </c>
      <c r="NM45" s="43" t="str">
        <f t="shared" si="239"/>
        <v>NO</v>
      </c>
      <c r="NN45" s="43" t="str">
        <f ca="1">IF(AND(O45&gt;0,R45=""),"NO CPN",IF(AND(O45="",R45=""),"",IF(AND(R45&gt;0,Tabla1[[#This Row],[SEMANAS DE GESTACION ACTUALIZADAS]]&lt;=12),"NO APLICA",IF(AND(FH45&lt;&gt;"",FN45&lt;&gt;""),"SI","NO"))))</f>
        <v>NO</v>
      </c>
      <c r="NO45" s="43" t="str">
        <f ca="1">IF(AND(O45&gt;0,R45=""),"NO CPN",IF(AND(O45="",R45=""),"",IF(AND(R45&gt;0,Tabla1[[#This Row],[SEMANAS DE GESTACION ACTUALIZADAS]]&lt;=27),"NO APLICA",IF(AND(ES45&lt;&gt;"",FQ45&lt;&gt;"",GF45&lt;&gt;""),"SI","NO"))))</f>
        <v>NO</v>
      </c>
      <c r="NP45" s="204" t="str">
        <f t="shared" si="240"/>
        <v>I TRIM</v>
      </c>
      <c r="NQ45" s="21" t="str">
        <f t="shared" si="241"/>
        <v/>
      </c>
      <c r="NR45" s="21">
        <f t="shared" si="242"/>
        <v>3</v>
      </c>
      <c r="NS45" s="205">
        <f t="shared" ca="1" si="243"/>
        <v>1</v>
      </c>
      <c r="NT45" s="21">
        <f t="shared" ca="1" si="244"/>
        <v>1</v>
      </c>
      <c r="NU45" s="21" t="str">
        <f t="shared" ca="1" si="245"/>
        <v>INCOMPLETO</v>
      </c>
      <c r="NV45" s="21" t="str">
        <f t="shared" ca="1" si="246"/>
        <v>INCOMPLETO</v>
      </c>
      <c r="NW45" s="206" t="str">
        <f>IF(AND(O45="",R45=""),"",IF(OR(AND(Tabla1[[#This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5" s="207" t="str">
        <f t="shared" ca="1" si="247"/>
        <v>SIN VACUNAR</v>
      </c>
      <c r="NY45" s="43">
        <f>ROW(Tabla1[[#This Row],['# DE TAMIZAJES SIFILIS TOMADOS ]])</f>
        <v>45</v>
      </c>
      <c r="NZ45" s="43" t="str">
        <f t="shared" si="93"/>
        <v>Menor</v>
      </c>
      <c r="OA45" s="43" t="str">
        <f t="shared" si="94"/>
        <v>SOBREPESO</v>
      </c>
      <c r="OB45" s="43" t="str">
        <f t="shared" si="95"/>
        <v/>
      </c>
      <c r="OC45" s="43" t="str">
        <f t="shared" si="96"/>
        <v/>
      </c>
      <c r="OD45" s="43" t="str">
        <f t="shared" si="97"/>
        <v/>
      </c>
      <c r="OE45" s="43" t="str">
        <f t="shared" si="98"/>
        <v/>
      </c>
      <c r="OF45" s="43" t="str">
        <f t="shared" si="99"/>
        <v/>
      </c>
      <c r="OG45" s="43" t="str">
        <f t="shared" si="100"/>
        <v/>
      </c>
      <c r="OH45" s="43" t="str">
        <f t="shared" si="101"/>
        <v/>
      </c>
      <c r="OI45" s="43" t="str">
        <f t="shared" si="102"/>
        <v/>
      </c>
      <c r="OJ45" s="43" t="str">
        <f t="shared" si="103"/>
        <v/>
      </c>
      <c r="OK45" s="43" t="str">
        <f t="shared" si="104"/>
        <v/>
      </c>
      <c r="OL45" s="43" t="str">
        <f t="shared" si="105"/>
        <v/>
      </c>
      <c r="OM45" s="43" t="str">
        <f t="shared" si="106"/>
        <v/>
      </c>
      <c r="ON45" s="43" t="str">
        <f t="shared" si="107"/>
        <v/>
      </c>
      <c r="OO45" s="43" t="str">
        <f t="shared" si="108"/>
        <v/>
      </c>
      <c r="OP45" s="43" t="str">
        <f t="shared" si="109"/>
        <v/>
      </c>
      <c r="OQ45" s="43" t="str">
        <f t="shared" si="110"/>
        <v/>
      </c>
      <c r="OR45" s="43" t="str">
        <f t="shared" si="111"/>
        <v/>
      </c>
      <c r="OS45" s="43" t="str">
        <f t="shared" si="112"/>
        <v/>
      </c>
      <c r="OT45" s="43" t="str">
        <f t="shared" si="113"/>
        <v/>
      </c>
      <c r="OU45" s="43" t="str">
        <f t="shared" si="114"/>
        <v/>
      </c>
      <c r="OV45" s="110" t="str">
        <f t="shared" si="115"/>
        <v/>
      </c>
      <c r="OW45" s="43" t="str">
        <f t="shared" si="116"/>
        <v/>
      </c>
      <c r="OX45" s="43" t="str">
        <f t="shared" si="117"/>
        <v/>
      </c>
      <c r="OY45" s="43" t="str">
        <f t="shared" si="118"/>
        <v/>
      </c>
      <c r="OZ45" s="43" t="str">
        <f t="shared" si="119"/>
        <v/>
      </c>
      <c r="PA45" s="43" t="str">
        <f t="shared" si="120"/>
        <v/>
      </c>
      <c r="PB45" s="43" t="str">
        <f t="shared" si="121"/>
        <v/>
      </c>
      <c r="PC45" s="43" t="str">
        <f t="shared" si="122"/>
        <v/>
      </c>
      <c r="PD45" s="43" t="str">
        <f t="shared" si="123"/>
        <v/>
      </c>
      <c r="PE45" s="43" t="str">
        <f t="shared" si="124"/>
        <v/>
      </c>
      <c r="PF45" s="43" t="str">
        <f t="shared" si="125"/>
        <v/>
      </c>
      <c r="PG45" s="43" t="str">
        <f t="shared" si="126"/>
        <v/>
      </c>
      <c r="PH45" s="43" t="str">
        <f t="shared" si="127"/>
        <v/>
      </c>
      <c r="PI45" s="43">
        <f t="shared" si="128"/>
        <v>22</v>
      </c>
      <c r="PJ45" s="43" t="str">
        <f t="shared" si="129"/>
        <v/>
      </c>
      <c r="PK45" s="43" t="str">
        <f t="shared" si="130"/>
        <v/>
      </c>
      <c r="PL45" s="43" t="str">
        <f t="shared" si="131"/>
        <v/>
      </c>
      <c r="PM45" s="43" t="str">
        <f t="shared" si="132"/>
        <v/>
      </c>
      <c r="PN45" s="43" t="str">
        <f t="shared" si="133"/>
        <v/>
      </c>
      <c r="PO45" s="43" t="str">
        <f t="shared" si="134"/>
        <v/>
      </c>
      <c r="PP45" s="43" t="str">
        <f t="shared" si="135"/>
        <v/>
      </c>
      <c r="PQ45" s="43" t="str">
        <f t="shared" si="136"/>
        <v/>
      </c>
      <c r="PR45" s="43" t="str">
        <f t="shared" si="137"/>
        <v/>
      </c>
      <c r="PS45" s="43" t="str">
        <f t="shared" si="138"/>
        <v/>
      </c>
      <c r="PT45" s="43" t="str">
        <f t="shared" si="139"/>
        <v/>
      </c>
      <c r="PU45" s="43" t="str">
        <f t="shared" si="140"/>
        <v/>
      </c>
      <c r="PV45" s="43" t="str">
        <f t="shared" si="141"/>
        <v/>
      </c>
      <c r="PW45" s="43" t="str">
        <f t="shared" si="142"/>
        <v/>
      </c>
      <c r="PX45" s="43" t="str">
        <f t="shared" si="143"/>
        <v/>
      </c>
      <c r="PY45" s="43" t="str">
        <f t="shared" si="144"/>
        <v/>
      </c>
      <c r="PZ45" s="43" t="str">
        <f t="shared" si="145"/>
        <v/>
      </c>
      <c r="QA45" s="43" t="str">
        <f t="shared" si="146"/>
        <v/>
      </c>
      <c r="QB45" s="43" t="str">
        <f t="shared" si="147"/>
        <v/>
      </c>
      <c r="QC45" s="43" t="str">
        <f t="shared" si="148"/>
        <v/>
      </c>
      <c r="QD45" s="43" t="str">
        <f t="shared" si="149"/>
        <v/>
      </c>
      <c r="QE45" s="43" t="str">
        <f t="shared" si="150"/>
        <v/>
      </c>
      <c r="QF45" s="43" t="str">
        <f t="shared" si="151"/>
        <v/>
      </c>
      <c r="QG45" s="43" t="str">
        <f t="shared" si="152"/>
        <v/>
      </c>
      <c r="QH45" s="43" t="str">
        <f t="shared" si="153"/>
        <v/>
      </c>
      <c r="QI45" s="43" t="str">
        <f t="shared" si="154"/>
        <v/>
      </c>
      <c r="QJ45" s="43" t="str">
        <f t="shared" si="155"/>
        <v/>
      </c>
      <c r="QK45" s="43" t="str">
        <f t="shared" si="156"/>
        <v/>
      </c>
      <c r="QL45" s="43" t="str">
        <f t="shared" si="157"/>
        <v/>
      </c>
      <c r="QM45" s="43" t="str">
        <f t="shared" si="158"/>
        <v/>
      </c>
      <c r="QN45" s="43" t="str">
        <f t="shared" si="159"/>
        <v/>
      </c>
      <c r="QO45" s="43" t="str">
        <f t="shared" si="160"/>
        <v/>
      </c>
      <c r="QP45" s="43" t="str">
        <f t="shared" si="161"/>
        <v/>
      </c>
      <c r="QQ45" s="43" t="str">
        <f t="shared" si="162"/>
        <v/>
      </c>
      <c r="QR45" s="43">
        <f t="shared" si="192"/>
        <v>22</v>
      </c>
      <c r="QS45" s="43"/>
      <c r="QT45" s="21" t="str">
        <f t="shared" si="163"/>
        <v/>
      </c>
      <c r="QU45" s="21" t="str">
        <f t="shared" si="164"/>
        <v/>
      </c>
      <c r="QV45" s="21" t="str">
        <f t="shared" si="165"/>
        <v/>
      </c>
      <c r="QW45" s="21" t="str">
        <f t="shared" si="166"/>
        <v/>
      </c>
      <c r="QX45" s="21" t="str">
        <f t="shared" si="167"/>
        <v/>
      </c>
      <c r="QY45" s="21" t="str">
        <f t="shared" si="168"/>
        <v/>
      </c>
      <c r="QZ45" s="21" t="str">
        <f t="shared" si="169"/>
        <v/>
      </c>
      <c r="RA45" s="21" t="str">
        <f t="shared" si="170"/>
        <v/>
      </c>
      <c r="RB45" s="21" t="str">
        <f t="shared" si="171"/>
        <v/>
      </c>
      <c r="RC45" s="21" t="str">
        <f t="shared" si="172"/>
        <v/>
      </c>
      <c r="RD45" s="21" t="str">
        <f t="shared" si="173"/>
        <v/>
      </c>
      <c r="RE45" s="21" t="str">
        <f t="shared" si="174"/>
        <v/>
      </c>
      <c r="RF45" s="21" t="str">
        <f t="shared" si="175"/>
        <v/>
      </c>
      <c r="RG45" s="21" t="str">
        <f t="shared" si="176"/>
        <v/>
      </c>
      <c r="RH45" s="21" t="str">
        <f t="shared" si="177"/>
        <v/>
      </c>
      <c r="RI45" s="21" t="str">
        <f t="shared" si="178"/>
        <v/>
      </c>
      <c r="RJ45" s="21" t="str">
        <f t="shared" si="179"/>
        <v/>
      </c>
      <c r="RK45" s="21" t="str">
        <f t="shared" si="180"/>
        <v/>
      </c>
      <c r="RL45" s="21" t="str">
        <f t="shared" si="181"/>
        <v/>
      </c>
      <c r="RM45" s="21" t="str">
        <f t="shared" si="182"/>
        <v/>
      </c>
      <c r="RN45" s="21" t="str">
        <f t="shared" si="183"/>
        <v/>
      </c>
      <c r="RO45" s="21" t="str">
        <f t="shared" si="184"/>
        <v/>
      </c>
      <c r="RP45" s="21" t="str">
        <f t="shared" si="185"/>
        <v/>
      </c>
      <c r="RQ45" s="21" t="str">
        <f t="shared" si="186"/>
        <v/>
      </c>
      <c r="RR45" s="21" t="str">
        <f t="shared" si="187"/>
        <v/>
      </c>
      <c r="RS45" s="21" t="str">
        <f t="shared" si="188"/>
        <v/>
      </c>
      <c r="RT45" s="21" t="str">
        <f t="shared" si="189"/>
        <v/>
      </c>
      <c r="RU45" s="21" t="str">
        <f t="shared" si="190"/>
        <v/>
      </c>
      <c r="RV45" s="21">
        <f t="shared" si="191"/>
        <v>6.2857142857142856</v>
      </c>
      <c r="RW45" s="284">
        <f>IF(OR(Tabla1[[#This Row],[FUM FORMULA CONFIABLE]]="",Tabla1[[#This Row],[FUM FORMULA CONFIABLE]]="SD"),"",IF(Tabla1[[#This Row],[FUM FORMULA CONFIABLE]]="CORREGIDA",Tabla1[[#This Row],[FUM X ECO 1]],Tabla1[[#This Row],[FUM x AMENORREA]]))</f>
        <v>44831</v>
      </c>
      <c r="RX45" s="21">
        <f>IF(AND(Tabla1[[#This Row],[FUM X ECO 1]]="",Tabla1[[#This Row],[FUM x AMENORREA]]=""),"",IF(AND(Tabla1[[#This Row],[FUM X ECO 1]]="",Tabla1[[#This Row],[FUM x AMENORREA]]&lt;&gt;""),"X",SUM(Tabla1[[#This Row],[FUM X ECO 1]]-Tabla1[[#This Row],[FUM x AMENORREA]])))</f>
        <v>0.5</v>
      </c>
      <c r="RY45" s="21">
        <f t="shared" si="193"/>
        <v>0</v>
      </c>
    </row>
    <row r="46" spans="1:493" ht="45" customHeight="1" x14ac:dyDescent="0.25">
      <c r="A46" s="109" t="s">
        <v>1108</v>
      </c>
      <c r="B46" s="43"/>
      <c r="C46" s="43" t="s">
        <v>845</v>
      </c>
      <c r="D46" s="124" t="s">
        <v>846</v>
      </c>
      <c r="E46" s="43" t="s">
        <v>1109</v>
      </c>
      <c r="F46" s="43" t="s">
        <v>1110</v>
      </c>
      <c r="G46" s="43" t="s">
        <v>1111</v>
      </c>
      <c r="H46" s="43" t="s">
        <v>1112</v>
      </c>
      <c r="I46" s="109" t="s">
        <v>851</v>
      </c>
      <c r="J46" s="110">
        <v>1002847924</v>
      </c>
      <c r="K46" s="43" t="s">
        <v>852</v>
      </c>
      <c r="L46" s="175" t="s">
        <v>853</v>
      </c>
      <c r="M46" s="22">
        <v>37609</v>
      </c>
      <c r="N46" s="213">
        <f t="shared" ca="1" si="0"/>
        <v>20.887671232876713</v>
      </c>
      <c r="O46" s="22">
        <v>44876</v>
      </c>
      <c r="P46" s="214" t="str">
        <f t="shared" si="194"/>
        <v>SI</v>
      </c>
      <c r="Q46" s="26" t="s">
        <v>855</v>
      </c>
      <c r="R46" s="22">
        <v>44876</v>
      </c>
      <c r="S46" s="21" t="s">
        <v>856</v>
      </c>
      <c r="T46" s="24" t="s">
        <v>690</v>
      </c>
      <c r="U46" s="21" t="s">
        <v>857</v>
      </c>
      <c r="V46" s="21" t="s">
        <v>858</v>
      </c>
      <c r="W46" s="21" t="s">
        <v>964</v>
      </c>
      <c r="X46" s="21" t="s">
        <v>964</v>
      </c>
      <c r="Y46" s="21" t="s">
        <v>859</v>
      </c>
      <c r="Z46" s="21">
        <v>3136157325</v>
      </c>
      <c r="AA46" s="21" t="s">
        <v>860</v>
      </c>
      <c r="AB46" s="27" t="s">
        <v>861</v>
      </c>
      <c r="AC46" s="26" t="s">
        <v>862</v>
      </c>
      <c r="AD46" s="38" t="s">
        <v>846</v>
      </c>
      <c r="AE46" s="26" t="s">
        <v>854</v>
      </c>
      <c r="AF46" s="26" t="s">
        <v>854</v>
      </c>
      <c r="AG46" s="23" t="s">
        <v>864</v>
      </c>
      <c r="AH46" s="23" t="s">
        <v>864</v>
      </c>
      <c r="AI46" s="24" t="s">
        <v>863</v>
      </c>
      <c r="AJ46" s="23" t="s">
        <v>864</v>
      </c>
      <c r="AK46" s="220" t="str">
        <f>IF(AND(AD46="",AE46="",AF46="",AG46="",AH46="",AI46="",AJ46=""),"",IF(OR(Tabla1[[#This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EVALUACIÓN",IF(AND(O46="",R46=""),"",IF(AND(OR(O46&gt;0,R46&gt;0),NG46&gt;=0,NG46&lt;2),"SIN RIESGO",IF(AND(OR(O46&gt;0,R46&gt;0),NG46&gt;=2),"CON RIESGO","ASD")))))</f>
        <v>SIN RIESGO</v>
      </c>
      <c r="AL46" s="23" t="s">
        <v>864</v>
      </c>
      <c r="AM46" s="26" t="s">
        <v>864</v>
      </c>
      <c r="AN46" s="26" t="s">
        <v>864</v>
      </c>
      <c r="AO46" s="26" t="s">
        <v>864</v>
      </c>
      <c r="AP46" s="26" t="s">
        <v>864</v>
      </c>
      <c r="AQ46" s="26" t="s">
        <v>864</v>
      </c>
      <c r="AR46" s="26" t="s">
        <v>864</v>
      </c>
      <c r="AS46" s="21">
        <v>0</v>
      </c>
      <c r="AT46" s="21">
        <v>0</v>
      </c>
      <c r="AU46" s="21">
        <v>0</v>
      </c>
      <c r="AV46" s="26" t="s">
        <v>864</v>
      </c>
      <c r="AW46" s="21">
        <v>0</v>
      </c>
      <c r="AX46" s="26" t="s">
        <v>864</v>
      </c>
      <c r="AY46" s="26" t="s">
        <v>864</v>
      </c>
      <c r="AZ46" s="26" t="s">
        <v>864</v>
      </c>
      <c r="BA46" s="26" t="s">
        <v>864</v>
      </c>
      <c r="BB46" s="26" t="s">
        <v>864</v>
      </c>
      <c r="BC46" s="26" t="s">
        <v>864</v>
      </c>
      <c r="BD46" s="26" t="s">
        <v>864</v>
      </c>
      <c r="BE46" s="26" t="s">
        <v>864</v>
      </c>
      <c r="BF46" s="26" t="s">
        <v>864</v>
      </c>
      <c r="BG46" s="26" t="s">
        <v>864</v>
      </c>
      <c r="BH46" s="26" t="s">
        <v>864</v>
      </c>
      <c r="BI46" s="26" t="s">
        <v>864</v>
      </c>
      <c r="BJ46" s="26"/>
      <c r="BK46" s="26"/>
      <c r="BL46" s="26" t="s">
        <v>864</v>
      </c>
      <c r="BM46" s="26" t="s">
        <v>864</v>
      </c>
      <c r="BN46" s="22"/>
      <c r="BO46" s="22">
        <v>44828</v>
      </c>
      <c r="BP46" s="21" t="s">
        <v>864</v>
      </c>
      <c r="BQ46" s="222">
        <f t="shared" si="2"/>
        <v>0</v>
      </c>
      <c r="BR46" s="223">
        <f t="shared" si="3"/>
        <v>44822.8</v>
      </c>
      <c r="BS46" s="224">
        <f t="shared" si="4"/>
        <v>6.8571428571428568</v>
      </c>
      <c r="BT46" s="216" t="str">
        <f t="shared" si="5"/>
        <v>DEFINIR CON ECO</v>
      </c>
      <c r="BU46" s="214" t="str">
        <f t="shared" ca="1" si="6"/>
        <v/>
      </c>
      <c r="BV46" s="25"/>
      <c r="BW46" s="22">
        <v>44960</v>
      </c>
      <c r="BX46" s="28">
        <v>19.600000000000001</v>
      </c>
      <c r="BY46" s="28"/>
      <c r="BZ46" s="22"/>
      <c r="CA46" s="21"/>
      <c r="CB46" s="26" t="s">
        <v>864</v>
      </c>
      <c r="CC46" s="26" t="s">
        <v>864</v>
      </c>
      <c r="CD46" s="26" t="s">
        <v>878</v>
      </c>
      <c r="CE46" s="26" t="s">
        <v>864</v>
      </c>
      <c r="CF46" s="22" t="s">
        <v>1517</v>
      </c>
      <c r="CG46" s="21">
        <v>1.54</v>
      </c>
      <c r="CH46" s="21">
        <v>55.5</v>
      </c>
      <c r="CI46" s="214">
        <f t="shared" si="7"/>
        <v>23.401922752572105</v>
      </c>
      <c r="CJ46" s="225" t="str">
        <f>IF(AND(CI46&lt;10,CH46="SD"),"SIN DATO PESO PREGESTACION O I TRIM",IF(AND(OR(R46&gt;0,O46&gt;0),CI46="X"),"INGRESAR DATO DE PESO",IF(CI46="SD","INGRESAR DATO DE TALLA Y PESO",IF(AND(OR(Tabla1[[#This Row],[MOMENTO EN QUE SE REALIZA EL PESO AL INGRESO A CPN]]="PREGESTACIÓN",NZ46="Menor"),CI46&lt;18.5),"BAJO PESO",IF(AND(OR(Tabla1[[#This Row],[MOMENTO EN QUE SE REALIZA EL PESO AL INGRESO A CPN]]="PREGESTACIÓN",NZ46="Menor"),CI46&lt;25),"NORMAL",IF(AND(OR(Tabla1[[#This Row],[MOMENTO EN QUE SE REALIZA EL PESO AL INGRESO A CPN]]="PREGESTACIÓN",NZ46="Menor"),CI46&lt;30),"SOBREPESO",IF(AND(OR(Tabla1[[#This Row],[MOMENTO EN QUE SE REALIZA EL PESO AL INGRESO A CPN]]="PREGESTACIÓN",NZ46="Menor"),CI46&gt;=30,CI46&lt;50),"OBESIDAD",IF(AND(BS46&gt;0,Tabla1[[#This Row],[MOMENTO EN QUE SE REALIZA EL PESO AL INGRESO A CPN]]="GESTACIÓN"),HLOOKUP(NZ46,$OA$2:PH46,NY46),""))))))))</f>
        <v>NORMAL</v>
      </c>
      <c r="CK46" s="212">
        <f t="shared" si="8"/>
        <v>45029</v>
      </c>
      <c r="CL46" s="21"/>
      <c r="CM46" s="214">
        <f t="shared" si="9"/>
        <v>0</v>
      </c>
      <c r="CN46" s="216">
        <f t="shared" si="10"/>
        <v>28</v>
      </c>
      <c r="CO46" s="216" t="e">
        <f>IF(PI46="","",IF(PI46&gt;0,HLOOKUP(PI46,$PJ$2:QQ46,NY46),""))</f>
        <v>#REF!</v>
      </c>
      <c r="CP46" s="21"/>
      <c r="CQ46" s="216" t="e">
        <f>IF(QR46="Menor","NO APLICA-MENOR 13 SEM",IF(AND(CC46="SI",CN46&gt;23),"NO APLICA- GEMELAR",IF(QR46="","",IF(QR46&gt;0,HLOOKUP(QR46,$QS$2:RU46,NY46),""))))</f>
        <v>#REF!</v>
      </c>
      <c r="CR46" s="21">
        <v>100</v>
      </c>
      <c r="CS46" s="21">
        <v>60</v>
      </c>
      <c r="CT46" s="217" t="str">
        <f>IF(R46="","",IF(AND(BS46&gt;1,BS46&lt;12,Tabla1[[#This Row],[T.A. SISTOLICA - ANTES DE SEMANA 12]]="",Tabla1[[#This Row],[T.A. DIASTOLICA - ANTES DE SEMANA 12]]=""),"REGISTRE DATO TA ANTES SEMANA 12",IF(AND(BS46&gt;11,BS46&lt;43,Tabla1[[#This Row],[T.A. SISTOLICA - ANTES DE SEMANA 12]]="",Tabla1[[#This Row],[T.A. DIASTOLICA - ANTES DE SEMANA 12]]=""),"NO APLICA REGISTRO TA-INGRESO TARDIO",IF(AND(OR(O46&gt;0,R46&gt;0),OR(CR46&gt;=140,CS46&gt;=90)),"DEFINIR ESTADIO HTA",IF(AND(OR(O46&gt;0,R46&gt;0),AND(CR46&gt;120,CR46&lt;=139)),"PRE HTA SEGUIMIENTO",IF(AND(OR(O46&gt;0,R46&gt;0),AND(CS46&gt;80,CS46&lt;=89)),"PRE HTA SEGUIMIENTO",IF(AND(OR(O46&gt;0,R46&gt;0),AND(CR46&gt;=80,CR46&lt;=120)),"APARENTEMENTE NORMAL",IF(AND(OR(O46&gt;0,R46&gt;0),AND(CS46&gt;=50,CS46&lt;=80)),"APARENTEMENTE NORMAL",IF(AND(OR(O46&gt;0,R46&gt;0),AND(CR46&gt;1,CR46&lt;=70),AND(CS46&gt;1,CS46&lt;=40)),"HIPOTENSIÓN","")))))))))</f>
        <v>APARENTEMENTE NORMAL</v>
      </c>
      <c r="CU46" s="21"/>
      <c r="CV46" s="21"/>
      <c r="CW46" s="217" t="str">
        <f ca="1">IF(R46="","",IF(AND(CN46&gt;19,CN46&lt;27,Tabla1[[#This Row],[T.A. SISTOLICA (Entre semana 20 y 26)]]="",Tabla1[[#This Row],[T.A. DIATOLICA (Entre semana 20 y 26)]]=""),"ACUDE A CONTROL SEM 20 A 26 REGISTRE TA AHORA",IF(AND(BS46&gt;1,BS46&lt;27,BU46&gt;19,Tabla1[[#This Row],[T.A. SISTOLICA (Entre semana 20 y 26)]]="",Tabla1[[#This Row],[T.A. DIATOLICA (Entre semana 20 y 26)]]=""),"COMPLETE REGISTRO TA CONTROL SEM 20 A26 ",IF(AND(BS46&gt;26,BS46&lt;43,Tabla1[[#This Row],[T.A. SISTOLICA (Entre semana 20 y 26)]]="",Tabla1[[#This Row],[T.A. DIATOLICA (Entre semana 20 y 26)]]=""),"NO APLICA REGISTRO TA-INGRESO TARDIO",IF(AND(OR(O46&gt;0,R46&gt;0),OR(CU46&gt;=140,CV46&gt;=90)),"ALTO RIESGO PREECLAMPSIA,DEFINIR ESTADIO HTA",IF(AND(OR(O46&gt;0,R46&gt;0),AND(CU46&gt;120,CU46&lt;=139)),"PRE HTA SEGUIMIENTO,RIESGO HIPERTENSION INDUCIDA POR EL EMBARAZO",IF(AND(OR(O46&gt;0,R46&gt;0),AND(CV46&gt;80,CV46&lt;=89)),"PRE HTA SEGUIMIENTO, RIESGO HIPERTENSION INDUCIDA POR EL EMBARAZO",IF(AND(OR(O46&lt;&gt;"",R46&lt;&gt;""),CS46&lt;&gt;"",CV46&lt;&gt;"",CS46&lt;=CV46),"VIGILAR CIFRAS PRESION ARTERIAL",IF(AND(OR(O46&gt;0,R46&gt;0),AND(CU46&gt;120,CU46&lt;=139)),"PRE HTA SEGUIMIENTO",IF(AND(OR(O46&gt;0,R46&gt;0),AND(CU46&gt;1,CU46&lt;=70),AND(CV46&gt;1,CV46&lt;=40)),"HIPOTENSIÓN",IF(AND(OR(O46&lt;&gt;"",R46&lt;&gt;""),CS46&lt;&gt;"",CV46&lt;&gt;"",CS46&gt;CV46),"APARENTEMENTE NORMAL",IF(AND(OR(O46&gt;0,R46&gt;0),AND(CU46&gt;=80,CU46&lt;=120)),"APARENTEMENTE NORMAL",IF(AND(OR(O46&gt;0,R46&gt;0),AND(CV46&gt;=50,CV46&lt;=80)),"APARENTEMENTE NORMAL","")))))))))))))</f>
        <v xml:space="preserve">COMPLETE REGISTRO TA CONTROL SEM 20 A26 </v>
      </c>
      <c r="CX46" s="21"/>
      <c r="CY46" s="21"/>
      <c r="CZ46" s="216" t="str">
        <f t="shared" si="195"/>
        <v/>
      </c>
      <c r="DA46" s="21"/>
      <c r="DB46" s="21"/>
      <c r="DC46" s="217" t="str">
        <f t="shared" si="12"/>
        <v>REGISTRE DATO PRESIÓN ARTERIAL MENSUAL</v>
      </c>
      <c r="DD46" s="22">
        <v>44876</v>
      </c>
      <c r="DE46" s="22">
        <v>44876</v>
      </c>
      <c r="DF46" s="22">
        <v>44908</v>
      </c>
      <c r="DG46" s="22">
        <v>44939</v>
      </c>
      <c r="DH46" s="22">
        <v>44971</v>
      </c>
      <c r="DI46" s="22">
        <v>45029</v>
      </c>
      <c r="DJ46" s="22"/>
      <c r="DK46" s="22"/>
      <c r="DL46" s="22"/>
      <c r="DM46" s="22"/>
      <c r="DN46" s="22"/>
      <c r="DO46" s="22"/>
      <c r="DP46" s="22"/>
      <c r="DQ46" s="22"/>
      <c r="DR46" s="28">
        <v>2</v>
      </c>
      <c r="DS46" s="22"/>
      <c r="DT46" s="22"/>
      <c r="DU46" s="216" t="str">
        <f t="shared" ca="1" si="196"/>
        <v>CONCERTAR PLAN DE PARTO INMEDIATO</v>
      </c>
      <c r="DV46" s="226" t="str">
        <f t="shared" si="197"/>
        <v>ACTIVA INGRESO A CPN</v>
      </c>
      <c r="DW4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6" s="216" t="e">
        <f t="shared" ca="1" si="15"/>
        <v>#REF!</v>
      </c>
      <c r="DY46" s="212">
        <f>IF(R46="","",IF(R46&gt;0,MAX(Tabla1[[#This Row],[FECHA C2]:[FECHA C13]],Tabla1[[#This Row],[FECHA CONSULTA PRIMERA VEZ PROGRAMA CPN ]])))</f>
        <v>45029</v>
      </c>
      <c r="DZ46" s="216">
        <f t="shared" si="16"/>
        <v>28</v>
      </c>
      <c r="EA46" s="222">
        <f>IF(R46&gt;0,SUM(COUNTA(DF46:DQ46)+COUNTA(Tabla1[[#This Row],[FECHA CONSULTA PRIMERA VEZ PROGRAMA CPN ]])),"")</f>
        <v>5</v>
      </c>
      <c r="EB46" s="222" t="str">
        <f t="shared" si="17"/>
        <v>SI</v>
      </c>
      <c r="EC46" s="214">
        <f t="shared" si="18"/>
        <v>10</v>
      </c>
      <c r="ED46" s="227">
        <f t="shared" si="19"/>
        <v>0.5</v>
      </c>
      <c r="EE46" s="22">
        <v>44876</v>
      </c>
      <c r="EF46" s="22"/>
      <c r="EG46" s="22">
        <v>44876</v>
      </c>
      <c r="EH46" s="22">
        <v>44907</v>
      </c>
      <c r="EI46" s="22">
        <v>44876</v>
      </c>
      <c r="EJ46" s="22">
        <v>44907</v>
      </c>
      <c r="EK46" s="22">
        <v>44907</v>
      </c>
      <c r="EL46" s="21">
        <v>1</v>
      </c>
      <c r="EM46" s="21">
        <v>13.3</v>
      </c>
      <c r="EN46" s="22">
        <v>44877</v>
      </c>
      <c r="EO46" s="222">
        <f t="shared" si="20"/>
        <v>7</v>
      </c>
      <c r="EP46" s="214" t="str">
        <f t="shared" si="21"/>
        <v>NORMAL- SUMINISTRAR SULFATO FERROSO</v>
      </c>
      <c r="EQ46" s="216" t="str">
        <f t="shared" si="22"/>
        <v>I TRIM</v>
      </c>
      <c r="ER46" s="24"/>
      <c r="ES46" s="22"/>
      <c r="ET46" s="29" t="str">
        <f t="shared" ca="1" si="198"/>
        <v>TOMA DE HEMOGLOBINA TARDÍA</v>
      </c>
      <c r="EU46" s="25" t="str">
        <f t="shared" si="24"/>
        <v/>
      </c>
      <c r="EV46" s="24" t="s">
        <v>866</v>
      </c>
      <c r="EW46" s="24">
        <v>44877</v>
      </c>
      <c r="EX46" s="22"/>
      <c r="EY46" s="29">
        <f t="shared" si="199"/>
        <v>7</v>
      </c>
      <c r="EZ46" s="25" t="str">
        <f t="shared" ca="1" si="200"/>
        <v/>
      </c>
      <c r="FA46" s="21">
        <v>86</v>
      </c>
      <c r="FB46" s="22">
        <v>44877</v>
      </c>
      <c r="FC46" s="29">
        <f t="shared" si="27"/>
        <v>7</v>
      </c>
      <c r="FD46" s="29"/>
      <c r="FE46" s="29"/>
      <c r="FF46" s="29"/>
      <c r="FG46" s="21" t="str">
        <f t="shared" ca="1" si="28"/>
        <v/>
      </c>
      <c r="FH46" s="31"/>
      <c r="FI46" s="29" t="str">
        <f t="shared" si="29"/>
        <v>TOMAR EXAMEN</v>
      </c>
      <c r="FJ46" s="22" t="s">
        <v>1113</v>
      </c>
      <c r="FK46" s="22">
        <v>44877</v>
      </c>
      <c r="FL46" s="29">
        <f t="shared" ca="1" si="30"/>
        <v>7</v>
      </c>
      <c r="FM46" s="22" t="s">
        <v>1113</v>
      </c>
      <c r="FN46" s="32">
        <v>44960</v>
      </c>
      <c r="FO46" s="29">
        <f t="shared" ca="1" si="201"/>
        <v>18.857142857142858</v>
      </c>
      <c r="FP46" s="22"/>
      <c r="FQ46" s="32"/>
      <c r="FR46" s="29" t="str">
        <f t="shared" ca="1" si="202"/>
        <v>TOMA INMEDIATA DE TAMIZAJE</v>
      </c>
      <c r="FS46" s="22"/>
      <c r="FT46" s="32"/>
      <c r="FU46" s="29" t="str">
        <f>IF(AND(FJ46="",FM46="",FP46="",FS46=""),"",IF(OR(OR(Tabla1[[#This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SIFILIS GESTACIONAL</v>
      </c>
      <c r="FV46" s="28"/>
      <c r="FW46" s="22"/>
      <c r="FX46" s="29" t="str">
        <f t="shared" si="33"/>
        <v>TOMAR EXAMEN</v>
      </c>
      <c r="FY46" s="22">
        <v>44876</v>
      </c>
      <c r="FZ46" s="22">
        <v>44876</v>
      </c>
      <c r="GA46" s="29">
        <f t="shared" ca="1" si="203"/>
        <v>6.8571428571428568</v>
      </c>
      <c r="GB46" s="22" t="s">
        <v>868</v>
      </c>
      <c r="GC46" s="22">
        <v>44987</v>
      </c>
      <c r="GD46" s="29">
        <f t="shared" ca="1" si="204"/>
        <v>22.714285714285715</v>
      </c>
      <c r="GE46" s="22"/>
      <c r="GF46" s="22"/>
      <c r="GG46" s="29" t="str">
        <f t="shared" ca="1" si="205"/>
        <v>TOMA INMEDIATA DE TAMIZAJE</v>
      </c>
      <c r="GH46" s="22"/>
      <c r="GI46" s="29"/>
      <c r="GJ46" s="22"/>
      <c r="GK46" s="22"/>
      <c r="GL46" s="22" t="s">
        <v>879</v>
      </c>
      <c r="GM46" s="22"/>
      <c r="GN46" s="28" t="s">
        <v>869</v>
      </c>
      <c r="GO46" s="22">
        <v>44877</v>
      </c>
      <c r="GP46" s="29">
        <f t="shared" si="37"/>
        <v>7</v>
      </c>
      <c r="GQ46" s="28" t="s">
        <v>869</v>
      </c>
      <c r="GR46" s="28" t="s">
        <v>869</v>
      </c>
      <c r="GS46" s="22" t="str">
        <f t="shared" si="206"/>
        <v>CONTROL Igm</v>
      </c>
      <c r="GT46" s="22">
        <v>44877</v>
      </c>
      <c r="GU46" s="29">
        <f t="shared" si="39"/>
        <v>7</v>
      </c>
      <c r="GV46" s="21" t="str">
        <f t="shared" si="40"/>
        <v>I TRIM</v>
      </c>
      <c r="GW46" s="28" t="s">
        <v>869</v>
      </c>
      <c r="GX46" s="30"/>
      <c r="GY46" s="21"/>
      <c r="GZ46" s="21"/>
      <c r="HA46" s="21"/>
      <c r="HB46" s="21"/>
      <c r="HC46" s="21"/>
      <c r="HD46" s="21"/>
      <c r="HE46" s="21"/>
      <c r="HF46" s="22"/>
      <c r="HG46" s="22" t="str">
        <f>IF(OR(O46&gt;0,R46&gt;0),CONCATENATE(IF(Tabla1[[#This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6" s="22" t="e">
        <f t="shared" si="41"/>
        <v>#REF!</v>
      </c>
      <c r="HI46" s="22" t="e">
        <f t="shared" ca="1" si="42"/>
        <v>#REF!</v>
      </c>
      <c r="HJ46" s="21"/>
      <c r="HK46" s="21" t="str">
        <f t="shared" si="44"/>
        <v>SIN ANTECEDENTES DE RIESGO</v>
      </c>
      <c r="HL46" s="24" t="str">
        <f t="shared" si="45"/>
        <v>REGISTRE DATO PRESIÓN ARTERIAL MENSUAL</v>
      </c>
      <c r="HM46" s="21" t="e">
        <f t="shared" ca="1" si="46"/>
        <v>#REF!</v>
      </c>
      <c r="HN46" s="30" t="str">
        <f t="shared" si="207"/>
        <v>ACTIVA INGRESO A CPN</v>
      </c>
      <c r="HO46" s="21"/>
      <c r="HP46" s="21"/>
      <c r="HQ46" s="21"/>
      <c r="HR46" s="21" t="str">
        <f>IF(R46="","",IF(Tabla1[[#This Row],[ALARMA FACTORES DE RIESGO COMPLICACIONES HIPERTENSIVAS3]]="SIN ANTECEDENTES DE RIESGO","No Aplica para suministro de ASA",IF(AND(Tabla1[[#This Row],[FECHA INICIO DE SUMINISTRO DE ASA]]&gt;0,RV46&lt;12),"Inicia ASA ANTES de Sem 12",IF(AND(RV46&gt;11,RV46&lt;17,OR(HK46="RIESGO ALTO DE COMPLICACIONES HIPERTENSIVAS VER MANEJO GUIA SUMINISTRO ASA Y CALCIO",HK46="RIESGO MODERADO (2 O MAS CRITERIOS) VER MANEJO GUIA SUMINISTRO ASA Y CALCIO")),"Inicio oportuno de ASA",IF(AND(RV46&gt;12,OR(HK46="RIESGO ALTO DE COMPLICACIONES HIPERTENSIVAS VER MANEJO GUIA SUMINISTRO ASA Y CALCIO",HK46="RIESGO MODERADO (2 O MAS CRITERIOS) VER MANEJO GUIA SUMINISTRO ASA Y CALCIO")),"Inicio no oportuno mayor a 16 semanas",IF(AND(BU46&lt;12,OR(HK46="RIESGO ALTO DE COMPLICACIONES HIPERTENSIVAS VER MANEJO GUIA SUMINISTRO ASA Y CALCIO",HK46="RIESGO MODERADO (2 O MAS CRITERIOS) VER MANEJO GUIA SUMINISTRO ASA Y CALCIO")),"Pendiente Inicio de ASA a la semana 12",IF(AND(BU46&gt;11,BU46&lt;17,OR(HK46="RIESGO ALTO DE COMPLICACIONES HIPERTENSIVAS VER MANEJO GUIA SUMINISTRO ASA Y CALCIO",HK46="RIESGO MODERADO (2 O MAS CRITERIOS) VER MANEJO GUIA SUMINISTRO ASA Y CALCIO")),"Iniciar de inmediato ASA",IF(AND(BU46&gt;16,OR(HK46="RIESGO ALTO DE COMPLICACIONES HIPERTENSIVAS VER MANEJO GUIA SUMINISTRO ASA Y CALCIO",HK46="RIESGO MODERADO (2 O MAS CRITERIOS) VER MANEJO GUIA SUMINISTRO ASA Y CALCIO")),"Pierde Oportunidad, Inicio tardío de ASA","XXXXX"))))))))</f>
        <v>No Aplica para suministro de ASA</v>
      </c>
      <c r="HS46" s="22"/>
      <c r="HT46" s="22"/>
      <c r="HU46" s="22">
        <v>44876</v>
      </c>
      <c r="HV46" s="22" t="s">
        <v>870</v>
      </c>
      <c r="HW46" s="22">
        <v>45029</v>
      </c>
      <c r="HX46" s="22" t="s">
        <v>870</v>
      </c>
      <c r="HY46" s="22">
        <v>44876</v>
      </c>
      <c r="HZ46" s="28">
        <f t="shared" si="48"/>
        <v>6.8571428571428568</v>
      </c>
      <c r="IA46" s="26" t="s">
        <v>864</v>
      </c>
      <c r="IB46" s="26"/>
      <c r="IC46" s="111"/>
      <c r="ID46" s="22"/>
      <c r="IE46" s="22" t="str">
        <f t="shared" ca="1" si="49"/>
        <v/>
      </c>
      <c r="IF46" s="22"/>
      <c r="IG46" s="22">
        <f t="shared" si="50"/>
        <v>45108</v>
      </c>
      <c r="IH46" s="29">
        <f t="shared" ca="1" si="51"/>
        <v>-125</v>
      </c>
      <c r="II46" s="22" t="str">
        <f t="shared" ca="1" si="52"/>
        <v>POSIBLEMENTE NACIO</v>
      </c>
      <c r="IJ46" s="22"/>
      <c r="IK46" s="21"/>
      <c r="IL46" s="21"/>
      <c r="IM46" s="34"/>
      <c r="IN46" s="349"/>
      <c r="IO46" s="21"/>
      <c r="IP46" s="29" t="str">
        <f t="shared" si="208"/>
        <v/>
      </c>
      <c r="IQ46" s="110"/>
      <c r="IR46" s="21"/>
      <c r="IS46" s="21"/>
      <c r="IT46" s="21"/>
      <c r="IU46" s="21"/>
      <c r="IV46" s="21"/>
      <c r="IW46" s="21"/>
      <c r="IX46" s="21"/>
      <c r="IY46" s="21"/>
      <c r="IZ46" s="21"/>
      <c r="JA46" s="21"/>
      <c r="JB46" s="30"/>
      <c r="JC46" s="21"/>
      <c r="JD46" s="36"/>
      <c r="JE46" s="21" t="str">
        <f t="shared" si="209"/>
        <v/>
      </c>
      <c r="JF46" s="30"/>
      <c r="JG46" s="21"/>
      <c r="JH46" s="21"/>
      <c r="JI46" s="21"/>
      <c r="JJ46" s="30"/>
      <c r="JK46" s="22"/>
      <c r="JL46" s="22"/>
      <c r="JM46" s="21"/>
      <c r="JN46" s="36"/>
      <c r="JO46" s="21" t="str">
        <f t="shared" si="210"/>
        <v/>
      </c>
      <c r="JP46" s="22"/>
      <c r="JQ46" s="21"/>
      <c r="JR46" s="21"/>
      <c r="JS46" s="21"/>
      <c r="JT46" s="30"/>
      <c r="JU46" s="22"/>
      <c r="JV46" s="22"/>
      <c r="JW46" s="33"/>
      <c r="JX46" s="28" t="str">
        <f t="shared" si="211"/>
        <v/>
      </c>
      <c r="JY46" s="33"/>
      <c r="JZ46" s="28" t="str">
        <f t="shared" si="212"/>
        <v/>
      </c>
      <c r="KA46" s="21"/>
      <c r="KB46" s="21"/>
      <c r="KC46" s="21"/>
      <c r="KD46" s="37"/>
      <c r="KE46" s="28"/>
      <c r="KF46" s="28"/>
      <c r="KG46" s="28"/>
      <c r="KH46" s="39"/>
      <c r="KI46" s="39"/>
      <c r="KJ46" s="66"/>
      <c r="KK46" s="39"/>
      <c r="KL46" s="39"/>
      <c r="KM46" s="66"/>
      <c r="KN46" s="39"/>
      <c r="KO46" s="39"/>
      <c r="KP46" s="39"/>
      <c r="KQ46" s="39"/>
      <c r="KR46" s="39"/>
      <c r="KS46" s="39"/>
      <c r="KT46" s="39"/>
      <c r="KU46" s="38"/>
      <c r="KV46" s="38"/>
      <c r="KW46" s="38"/>
      <c r="KX46" s="38"/>
      <c r="KY46" s="38"/>
      <c r="KZ46" s="38"/>
      <c r="LA46" s="38"/>
      <c r="LB46" s="38"/>
      <c r="LC46" s="38"/>
      <c r="LD46" s="38"/>
      <c r="LE46" s="38"/>
      <c r="LF46" s="38"/>
      <c r="LG46" s="38"/>
      <c r="LH46" s="38"/>
      <c r="LI46" s="38"/>
      <c r="LJ46" s="38"/>
      <c r="LK46" s="38"/>
      <c r="LL46" s="38"/>
      <c r="LM46" s="38"/>
      <c r="LN46" s="38"/>
      <c r="LO46" s="38"/>
      <c r="LP46" s="38"/>
      <c r="LQ46" s="38"/>
      <c r="LR46" s="38"/>
      <c r="LS46" s="38"/>
      <c r="LT46" s="38"/>
      <c r="LU46" s="38"/>
      <c r="LV46" s="38"/>
      <c r="LW46" s="38"/>
      <c r="LX46" s="38"/>
      <c r="LY46" s="38"/>
      <c r="LZ46" s="38"/>
      <c r="MA46" s="38"/>
      <c r="MB46" s="38"/>
      <c r="MC46" s="38"/>
      <c r="MD46" s="38"/>
      <c r="ME46" s="38"/>
      <c r="MF46" s="38"/>
      <c r="MG46" s="38"/>
      <c r="MH46" s="43">
        <f t="shared" si="213"/>
        <v>0</v>
      </c>
      <c r="MI46" s="43" t="str">
        <f t="shared" si="214"/>
        <v/>
      </c>
      <c r="MJ46" s="43" t="str">
        <f t="shared" si="215"/>
        <v/>
      </c>
      <c r="MK46" s="43">
        <f t="shared" si="216"/>
        <v>0</v>
      </c>
      <c r="ML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6" s="43">
        <f t="shared" si="217"/>
        <v>6.8571428571428568</v>
      </c>
      <c r="MN46" s="43">
        <f t="shared" si="218"/>
        <v>11</v>
      </c>
      <c r="MO46" s="43">
        <f t="shared" si="219"/>
        <v>2022</v>
      </c>
      <c r="MP46" s="43" t="str">
        <f t="shared" si="220"/>
        <v>IV TRIMESTRE AÑO</v>
      </c>
      <c r="MQ46" s="43">
        <f t="shared" si="221"/>
        <v>19.606876916338152</v>
      </c>
      <c r="MR46" s="43">
        <f t="shared" si="222"/>
        <v>0</v>
      </c>
      <c r="MS46" s="43" t="str">
        <f t="shared" si="223"/>
        <v>DE 14 A 19AÑOS</v>
      </c>
      <c r="MT46" s="43">
        <f t="shared" si="224"/>
        <v>0</v>
      </c>
      <c r="MU46" s="43">
        <f t="shared" si="225"/>
        <v>1</v>
      </c>
      <c r="MV46" s="43">
        <f t="shared" si="226"/>
        <v>0</v>
      </c>
      <c r="MW46" s="43">
        <f t="shared" si="227"/>
        <v>0</v>
      </c>
      <c r="MX46" s="43" t="str">
        <f t="shared" si="228"/>
        <v/>
      </c>
      <c r="MY46" s="43" t="str">
        <f t="shared" ca="1" si="229"/>
        <v/>
      </c>
      <c r="MZ46" s="43" t="str">
        <f t="shared" si="230"/>
        <v/>
      </c>
      <c r="NA46" s="43">
        <f t="shared" si="231"/>
        <v>0</v>
      </c>
      <c r="NB46" s="43" t="str">
        <f t="shared" si="232"/>
        <v/>
      </c>
      <c r="NC46" s="43" t="str">
        <f t="shared" si="233"/>
        <v/>
      </c>
      <c r="ND46" s="43">
        <f t="shared" ca="1" si="234"/>
        <v>4</v>
      </c>
      <c r="NE46" s="43">
        <f>IF(OR(O46&gt;0,R46&gt;0),SUM(COUNTIF(Tabla1[[#This Row],[AÑOS AL INICIO5 CPN]],"&gt;=40"),COUNTIF(AS46,"0"),COUNTIF(AR46,"SI"),COUNTIF(CC46,"SI"),COUNTIF(BQ46,"&gt;119"),COUNTIF(CI46,"&gt;=35")),"")</f>
        <v>1</v>
      </c>
      <c r="NF46" s="43" t="str">
        <f t="shared" si="235"/>
        <v/>
      </c>
      <c r="NG46" s="43">
        <f t="shared" si="236"/>
        <v>0</v>
      </c>
      <c r="NH46" s="43">
        <f t="shared" si="237"/>
        <v>137.20000000000002</v>
      </c>
      <c r="NI4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CPN",P46="NO"),"Z",IF(AND(Tabla1[[#This Row],[CITA PROXIMO CONTROL]]="CITA MANUAL",Tabla1[[#This Row],[GESTANTES ACTUALES]]="ACTIVA INGRESO A CPN"),"W",IF(AND(Tabla1[[#This Row],[GESTANTES ACTUALES]]="SALIO PROGRAMA",IN46=""),"S",IF(AND(Tabla1[[#This Row],[CITA PROXIMO CONTROL]]&gt;0,IN46=""),(Tabla1[[#This Row],[CITA PROXIMO CONTROL]]-TODAY()),"SD"))))))))</f>
        <v>#REF!</v>
      </c>
      <c r="NJ46" s="43">
        <f>MONTH(Tabla1[[#This Row],[FECHA DE SALIDA  DEL PROGRAMA]])</f>
        <v>1</v>
      </c>
      <c r="NK46" s="43">
        <f>YEAR(Tabla1[[#This Row],[FECHA DE SALIDA  DEL PROGRAMA]])</f>
        <v>1900</v>
      </c>
      <c r="NL46" s="43">
        <f t="shared" si="238"/>
        <v>31</v>
      </c>
      <c r="NM46" s="43" t="str">
        <f t="shared" si="239"/>
        <v>NO</v>
      </c>
      <c r="NN46" s="43" t="str">
        <f ca="1">IF(AND(O46&gt;0,R46=""),"NO CPN",IF(AND(O46="",R46=""),"",IF(AND(R46&gt;0,Tabla1[[#This Row],[SEMANAS DE GESTACION ACTUALIZADAS]]&lt;=12),"NO APLICA",IF(AND(FH46&lt;&gt;"",FN46&lt;&gt;""),"SI","NO"))))</f>
        <v>NO</v>
      </c>
      <c r="NO46" s="43" t="str">
        <f ca="1">IF(AND(O46&gt;0,R46=""),"NO CPN",IF(AND(O46="",R46=""),"",IF(AND(R46&gt;0,Tabla1[[#This Row],[SEMANAS DE GESTACION ACTUALIZADAS]]&lt;=27),"NO APLICA",IF(AND(ES46&lt;&gt;"",FQ46&lt;&gt;"",GF46&lt;&gt;""),"SI","NO"))))</f>
        <v>NO</v>
      </c>
      <c r="NP46" s="21" t="str">
        <f t="shared" si="240"/>
        <v>DEFINIR CON ECO</v>
      </c>
      <c r="NQ46" s="21">
        <f t="shared" si="241"/>
        <v>9</v>
      </c>
      <c r="NR46" s="21" t="str">
        <f t="shared" ca="1" si="242"/>
        <v>REVISAR FUM O FECHA SALIDA PROGRAMA</v>
      </c>
      <c r="NS46" s="205">
        <f t="shared" ca="1" si="243"/>
        <v>2</v>
      </c>
      <c r="NT46" s="21">
        <f t="shared" ca="1" si="244"/>
        <v>2</v>
      </c>
      <c r="NU46" s="21" t="str">
        <f t="shared" ca="1" si="245"/>
        <v>POR DEFINIR</v>
      </c>
      <c r="NV46" s="21" t="str">
        <f t="shared" ca="1" si="246"/>
        <v>POR DEFINIR</v>
      </c>
      <c r="NW46" s="206" t="str">
        <f>IF(AND(O46="",R46=""),"",IF(OR(AND(Tabla1[[#This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6" s="207" t="str">
        <f t="shared" ca="1" si="247"/>
        <v>SIN VACUNAR</v>
      </c>
      <c r="NY46" s="43">
        <f>ROW(Tabla1[[#This Row],['# DE TAMIZAJES SIFILIS TOMADOS ]])</f>
        <v>46</v>
      </c>
      <c r="NZ46" s="43" t="str">
        <f t="shared" si="93"/>
        <v>Menor</v>
      </c>
      <c r="OA46" s="43" t="str">
        <f t="shared" si="94"/>
        <v>NORMAL</v>
      </c>
      <c r="OB46" s="43" t="str">
        <f t="shared" si="95"/>
        <v/>
      </c>
      <c r="OC46" s="43" t="str">
        <f t="shared" si="96"/>
        <v/>
      </c>
      <c r="OD46" s="43" t="str">
        <f t="shared" si="97"/>
        <v/>
      </c>
      <c r="OE46" s="43" t="str">
        <f t="shared" si="98"/>
        <v/>
      </c>
      <c r="OF46" s="43" t="str">
        <f t="shared" si="99"/>
        <v/>
      </c>
      <c r="OG46" s="43" t="str">
        <f t="shared" si="100"/>
        <v/>
      </c>
      <c r="OH46" s="43" t="str">
        <f t="shared" si="101"/>
        <v/>
      </c>
      <c r="OI46" s="43" t="str">
        <f t="shared" si="102"/>
        <v/>
      </c>
      <c r="OJ46" s="43" t="str">
        <f t="shared" si="103"/>
        <v/>
      </c>
      <c r="OK46" s="43" t="str">
        <f t="shared" si="104"/>
        <v/>
      </c>
      <c r="OL46" s="43" t="str">
        <f t="shared" si="105"/>
        <v/>
      </c>
      <c r="OM46" s="43" t="str">
        <f t="shared" si="106"/>
        <v/>
      </c>
      <c r="ON46" s="43" t="str">
        <f t="shared" si="107"/>
        <v/>
      </c>
      <c r="OO46" s="43" t="str">
        <f t="shared" si="108"/>
        <v/>
      </c>
      <c r="OP46" s="43" t="str">
        <f t="shared" si="109"/>
        <v/>
      </c>
      <c r="OQ46" s="43" t="str">
        <f t="shared" si="110"/>
        <v/>
      </c>
      <c r="OR46" s="43" t="str">
        <f t="shared" si="111"/>
        <v/>
      </c>
      <c r="OS46" s="43" t="str">
        <f t="shared" si="112"/>
        <v/>
      </c>
      <c r="OT46" s="43" t="str">
        <f t="shared" si="113"/>
        <v/>
      </c>
      <c r="OU46" s="43" t="str">
        <f t="shared" si="114"/>
        <v/>
      </c>
      <c r="OV46" s="110" t="str">
        <f t="shared" si="115"/>
        <v/>
      </c>
      <c r="OW46" s="43" t="str">
        <f t="shared" si="116"/>
        <v/>
      </c>
      <c r="OX46" s="43" t="str">
        <f t="shared" si="117"/>
        <v/>
      </c>
      <c r="OY46" s="43" t="str">
        <f t="shared" si="118"/>
        <v/>
      </c>
      <c r="OZ46" s="43" t="str">
        <f t="shared" si="119"/>
        <v/>
      </c>
      <c r="PA46" s="43" t="str">
        <f t="shared" si="120"/>
        <v/>
      </c>
      <c r="PB46" s="43" t="str">
        <f t="shared" si="121"/>
        <v/>
      </c>
      <c r="PC46" s="43" t="str">
        <f t="shared" si="122"/>
        <v/>
      </c>
      <c r="PD46" s="43" t="str">
        <f t="shared" si="123"/>
        <v/>
      </c>
      <c r="PE46" s="43" t="str">
        <f t="shared" si="124"/>
        <v/>
      </c>
      <c r="PF46" s="43" t="str">
        <f t="shared" si="125"/>
        <v/>
      </c>
      <c r="PG46" s="43" t="str">
        <f t="shared" si="126"/>
        <v/>
      </c>
      <c r="PH46" s="43" t="str">
        <f t="shared" si="127"/>
        <v/>
      </c>
      <c r="PI46" s="43">
        <f t="shared" si="128"/>
        <v>28</v>
      </c>
      <c r="PJ46" s="43" t="str">
        <f t="shared" si="129"/>
        <v/>
      </c>
      <c r="PK46" s="43" t="str">
        <f t="shared" si="130"/>
        <v/>
      </c>
      <c r="PL46" s="43" t="str">
        <f t="shared" si="131"/>
        <v/>
      </c>
      <c r="PM46" s="43" t="str">
        <f t="shared" si="132"/>
        <v/>
      </c>
      <c r="PN46" s="43" t="str">
        <f t="shared" si="133"/>
        <v/>
      </c>
      <c r="PO46" s="43" t="str">
        <f t="shared" si="134"/>
        <v/>
      </c>
      <c r="PP46" s="43" t="str">
        <f t="shared" si="135"/>
        <v/>
      </c>
      <c r="PQ46" s="43" t="str">
        <f t="shared" si="136"/>
        <v/>
      </c>
      <c r="PR46" s="43" t="str">
        <f t="shared" si="137"/>
        <v/>
      </c>
      <c r="PS46" s="43" t="str">
        <f t="shared" si="138"/>
        <v/>
      </c>
      <c r="PT46" s="43" t="str">
        <f t="shared" si="139"/>
        <v/>
      </c>
      <c r="PU46" s="43" t="str">
        <f t="shared" si="140"/>
        <v/>
      </c>
      <c r="PV46" s="43" t="str">
        <f t="shared" si="141"/>
        <v/>
      </c>
      <c r="PW46" s="43" t="str">
        <f t="shared" si="142"/>
        <v/>
      </c>
      <c r="PX46" s="43" t="str">
        <f t="shared" si="143"/>
        <v/>
      </c>
      <c r="PY46" s="43" t="str">
        <f t="shared" si="144"/>
        <v/>
      </c>
      <c r="PZ46" s="43" t="str">
        <f t="shared" si="145"/>
        <v/>
      </c>
      <c r="QA46" s="43" t="str">
        <f t="shared" si="146"/>
        <v/>
      </c>
      <c r="QB46" s="43" t="str">
        <f t="shared" si="147"/>
        <v/>
      </c>
      <c r="QC46" s="43" t="str">
        <f t="shared" si="148"/>
        <v/>
      </c>
      <c r="QD46" s="43" t="str">
        <f t="shared" si="149"/>
        <v/>
      </c>
      <c r="QE46" s="43" t="str">
        <f t="shared" si="150"/>
        <v/>
      </c>
      <c r="QF46" s="43" t="str">
        <f t="shared" si="151"/>
        <v/>
      </c>
      <c r="QG46" s="43" t="str">
        <f t="shared" si="152"/>
        <v/>
      </c>
      <c r="QH46" s="43" t="str">
        <f t="shared" si="153"/>
        <v/>
      </c>
      <c r="QI46" s="43" t="str">
        <f t="shared" si="154"/>
        <v/>
      </c>
      <c r="QJ46" s="43" t="str">
        <f t="shared" si="155"/>
        <v/>
      </c>
      <c r="QK46" s="43" t="str">
        <f t="shared" si="156"/>
        <v/>
      </c>
      <c r="QL46" s="43" t="str">
        <f t="shared" si="157"/>
        <v/>
      </c>
      <c r="QM46" s="43" t="str">
        <f t="shared" si="158"/>
        <v/>
      </c>
      <c r="QN46" s="43" t="str">
        <f t="shared" si="159"/>
        <v/>
      </c>
      <c r="QO46" s="43" t="str">
        <f t="shared" si="160"/>
        <v/>
      </c>
      <c r="QP46" s="43" t="str">
        <f t="shared" si="161"/>
        <v/>
      </c>
      <c r="QQ46" s="43" t="str">
        <f t="shared" si="162"/>
        <v/>
      </c>
      <c r="QR46" s="43">
        <f t="shared" si="192"/>
        <v>28</v>
      </c>
      <c r="QS46" s="43"/>
      <c r="QT46" s="21" t="str">
        <f t="shared" si="163"/>
        <v/>
      </c>
      <c r="QU46" s="21" t="str">
        <f t="shared" si="164"/>
        <v/>
      </c>
      <c r="QV46" s="21" t="str">
        <f t="shared" si="165"/>
        <v/>
      </c>
      <c r="QW46" s="21" t="str">
        <f t="shared" si="166"/>
        <v/>
      </c>
      <c r="QX46" s="21" t="str">
        <f t="shared" si="167"/>
        <v/>
      </c>
      <c r="QY46" s="21" t="str">
        <f t="shared" si="168"/>
        <v/>
      </c>
      <c r="QZ46" s="21" t="str">
        <f t="shared" si="169"/>
        <v/>
      </c>
      <c r="RA46" s="21" t="str">
        <f t="shared" si="170"/>
        <v/>
      </c>
      <c r="RB46" s="21" t="str">
        <f t="shared" si="171"/>
        <v/>
      </c>
      <c r="RC46" s="21" t="str">
        <f t="shared" si="172"/>
        <v/>
      </c>
      <c r="RD46" s="21" t="str">
        <f t="shared" si="173"/>
        <v/>
      </c>
      <c r="RE46" s="21" t="str">
        <f t="shared" si="174"/>
        <v/>
      </c>
      <c r="RF46" s="21" t="str">
        <f t="shared" si="175"/>
        <v/>
      </c>
      <c r="RG46" s="21" t="str">
        <f t="shared" si="176"/>
        <v/>
      </c>
      <c r="RH46" s="21" t="str">
        <f t="shared" si="177"/>
        <v/>
      </c>
      <c r="RI46" s="21" t="str">
        <f t="shared" si="178"/>
        <v/>
      </c>
      <c r="RJ46" s="21" t="str">
        <f t="shared" si="179"/>
        <v/>
      </c>
      <c r="RK46" s="21" t="str">
        <f t="shared" si="180"/>
        <v/>
      </c>
      <c r="RL46" s="21" t="str">
        <f t="shared" si="181"/>
        <v/>
      </c>
      <c r="RM46" s="21" t="str">
        <f t="shared" si="182"/>
        <v/>
      </c>
      <c r="RN46" s="21" t="str">
        <f t="shared" si="183"/>
        <v/>
      </c>
      <c r="RO46" s="21" t="str">
        <f t="shared" si="184"/>
        <v/>
      </c>
      <c r="RP46" s="21" t="str">
        <f t="shared" si="185"/>
        <v/>
      </c>
      <c r="RQ46" s="21" t="str">
        <f t="shared" si="186"/>
        <v/>
      </c>
      <c r="RR46" s="21" t="str">
        <f t="shared" si="187"/>
        <v/>
      </c>
      <c r="RS46" s="21" t="str">
        <f t="shared" si="188"/>
        <v/>
      </c>
      <c r="RT46" s="21" t="str">
        <f t="shared" si="189"/>
        <v/>
      </c>
      <c r="RU46" s="21" t="str">
        <f t="shared" si="190"/>
        <v/>
      </c>
      <c r="RV46" s="21">
        <f t="shared" si="191"/>
        <v>-1</v>
      </c>
      <c r="RW46" s="284">
        <f>IF(OR(Tabla1[[#This Row],[FUM FORMULA CONFIABLE]]="",Tabla1[[#This Row],[FUM FORMULA CONFIABLE]]="SD"),"",IF(Tabla1[[#This Row],[FUM FORMULA CONFIABLE]]="CORREGIDA",Tabla1[[#This Row],[FUM X ECO 1]],Tabla1[[#This Row],[FUM x AMENORREA]]))</f>
        <v>44828</v>
      </c>
      <c r="RX46" s="21">
        <f>IF(AND(Tabla1[[#This Row],[FUM X ECO 1]]="",Tabla1[[#This Row],[FUM x AMENORREA]]=""),"",IF(AND(Tabla1[[#This Row],[FUM X ECO 1]]="",Tabla1[[#This Row],[FUM x AMENORREA]]&lt;&gt;""),"X",SUM(Tabla1[[#This Row],[FUM X ECO 1]]-Tabla1[[#This Row],[FUM x AMENORREA]])))</f>
        <v>-5.1999999999970896</v>
      </c>
      <c r="RY46" s="21">
        <f t="shared" si="193"/>
        <v>0</v>
      </c>
    </row>
    <row r="47" spans="1:493" ht="45" customHeight="1" x14ac:dyDescent="0.25">
      <c r="A47" s="109" t="s">
        <v>1114</v>
      </c>
      <c r="B47" s="43"/>
      <c r="C47" s="43" t="s">
        <v>845</v>
      </c>
      <c r="D47" s="124" t="s">
        <v>846</v>
      </c>
      <c r="E47" s="43" t="s">
        <v>1115</v>
      </c>
      <c r="F47" s="43" t="s">
        <v>1116</v>
      </c>
      <c r="G47" s="43" t="s">
        <v>1117</v>
      </c>
      <c r="H47" s="43" t="s">
        <v>1118</v>
      </c>
      <c r="I47" s="109" t="s">
        <v>851</v>
      </c>
      <c r="J47" s="110">
        <v>1059597252</v>
      </c>
      <c r="K47" s="43" t="s">
        <v>852</v>
      </c>
      <c r="L47" s="175" t="s">
        <v>853</v>
      </c>
      <c r="M47" s="22">
        <v>32470</v>
      </c>
      <c r="N47" s="213">
        <f t="shared" ca="1" si="0"/>
        <v>34.967123287671235</v>
      </c>
      <c r="O47" s="22">
        <v>44877</v>
      </c>
      <c r="P47" s="214" t="str">
        <f t="shared" si="194"/>
        <v>SI</v>
      </c>
      <c r="Q47" s="26" t="s">
        <v>855</v>
      </c>
      <c r="R47" s="22">
        <v>44877</v>
      </c>
      <c r="S47" s="21" t="s">
        <v>856</v>
      </c>
      <c r="T47" s="24" t="s">
        <v>690</v>
      </c>
      <c r="U47" s="21" t="s">
        <v>857</v>
      </c>
      <c r="V47" s="21" t="s">
        <v>858</v>
      </c>
      <c r="W47" s="21" t="s">
        <v>1119</v>
      </c>
      <c r="X47" s="21" t="s">
        <v>1119</v>
      </c>
      <c r="Y47" s="21" t="s">
        <v>859</v>
      </c>
      <c r="Z47" s="21">
        <v>3144933072</v>
      </c>
      <c r="AA47" s="21" t="s">
        <v>860</v>
      </c>
      <c r="AB47" s="27" t="s">
        <v>861</v>
      </c>
      <c r="AC47" s="26" t="s">
        <v>862</v>
      </c>
      <c r="AD47" s="38" t="s">
        <v>846</v>
      </c>
      <c r="AE47" s="26" t="s">
        <v>854</v>
      </c>
      <c r="AF47" s="26" t="s">
        <v>854</v>
      </c>
      <c r="AG47" s="23" t="s">
        <v>864</v>
      </c>
      <c r="AH47" s="23" t="s">
        <v>864</v>
      </c>
      <c r="AI47" s="24" t="s">
        <v>863</v>
      </c>
      <c r="AJ47" s="23" t="s">
        <v>864</v>
      </c>
      <c r="AK47" s="220" t="str">
        <f>IF(AND(AD47="",AE47="",AF47="",AG47="",AH47="",AI47="",AJ47=""),"",IF(OR(Tabla1[[#This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EVALUACIÓN",IF(AND(O47="",R47=""),"",IF(AND(OR(O47&gt;0,R47&gt;0),NG47&gt;=0,NG47&lt;2),"SIN RIESGO",IF(AND(OR(O47&gt;0,R47&gt;0),NG47&gt;=2),"CON RIESGO","ASD")))))</f>
        <v>SIN RIESGO</v>
      </c>
      <c r="AL47" s="23" t="s">
        <v>864</v>
      </c>
      <c r="AM47" s="26" t="s">
        <v>864</v>
      </c>
      <c r="AN47" s="26" t="s">
        <v>864</v>
      </c>
      <c r="AO47" s="26" t="s">
        <v>864</v>
      </c>
      <c r="AP47" s="26" t="s">
        <v>864</v>
      </c>
      <c r="AQ47" s="26" t="s">
        <v>864</v>
      </c>
      <c r="AR47" s="26" t="s">
        <v>864</v>
      </c>
      <c r="AS47" s="21">
        <v>1</v>
      </c>
      <c r="AT47" s="21">
        <v>1</v>
      </c>
      <c r="AU47" s="21">
        <v>0</v>
      </c>
      <c r="AV47" s="26" t="s">
        <v>864</v>
      </c>
      <c r="AW47" s="21">
        <v>0</v>
      </c>
      <c r="AX47" s="26" t="s">
        <v>864</v>
      </c>
      <c r="AY47" s="26" t="s">
        <v>864</v>
      </c>
      <c r="AZ47" s="26" t="s">
        <v>864</v>
      </c>
      <c r="BA47" s="26" t="s">
        <v>864</v>
      </c>
      <c r="BB47" s="26" t="s">
        <v>864</v>
      </c>
      <c r="BC47" s="26" t="s">
        <v>864</v>
      </c>
      <c r="BD47" s="26" t="s">
        <v>864</v>
      </c>
      <c r="BE47" s="26" t="s">
        <v>864</v>
      </c>
      <c r="BF47" s="26" t="s">
        <v>864</v>
      </c>
      <c r="BG47" s="26" t="s">
        <v>864</v>
      </c>
      <c r="BH47" s="26" t="s">
        <v>864</v>
      </c>
      <c r="BI47" s="26" t="s">
        <v>864</v>
      </c>
      <c r="BJ47" s="26"/>
      <c r="BK47" s="26"/>
      <c r="BL47" s="26" t="s">
        <v>864</v>
      </c>
      <c r="BM47" s="26" t="s">
        <v>864</v>
      </c>
      <c r="BN47" s="22"/>
      <c r="BO47" s="22">
        <v>44735</v>
      </c>
      <c r="BP47" s="21" t="s">
        <v>854</v>
      </c>
      <c r="BQ47" s="222">
        <f t="shared" si="2"/>
        <v>0</v>
      </c>
      <c r="BR47" s="223">
        <f t="shared" si="3"/>
        <v>44735</v>
      </c>
      <c r="BS47" s="224">
        <f t="shared" si="4"/>
        <v>20.285714285714285</v>
      </c>
      <c r="BT47" s="216" t="str">
        <f t="shared" si="5"/>
        <v>II TRIM</v>
      </c>
      <c r="BU47" s="214" t="str">
        <f t="shared" ca="1" si="6"/>
        <v/>
      </c>
      <c r="BV47" s="25"/>
      <c r="BW47" s="22">
        <v>44910</v>
      </c>
      <c r="BX47" s="28">
        <v>25</v>
      </c>
      <c r="BY47" s="28"/>
      <c r="BZ47" s="22"/>
      <c r="CA47" s="21"/>
      <c r="CB47" s="26" t="s">
        <v>864</v>
      </c>
      <c r="CC47" s="26" t="s">
        <v>864</v>
      </c>
      <c r="CD47" s="26" t="s">
        <v>972</v>
      </c>
      <c r="CE47" s="26" t="s">
        <v>864</v>
      </c>
      <c r="CF47" s="22" t="s">
        <v>1517</v>
      </c>
      <c r="CG47" s="21">
        <v>1.57</v>
      </c>
      <c r="CH47" s="21">
        <v>75</v>
      </c>
      <c r="CI47" s="214">
        <f t="shared" si="7"/>
        <v>30.427197857925268</v>
      </c>
      <c r="CJ47" s="225" t="e">
        <f>IF(AND(CI47&lt;10,CH47="SD"),"SIN DATO PESO PREGESTACION O I TRIM",IF(AND(OR(R47&gt;0,O47&gt;0),CI47="X"),"INGRESAR DATO DE PESO",IF(CI47="SD","INGRESAR DATO DE TALLA Y PESO",IF(AND(OR(Tabla1[[#This Row],[MOMENTO EN QUE SE REALIZA EL PESO AL INGRESO A CPN]]="PREGESTACIÓN",NZ47="Menor"),CI47&lt;18.5),"BAJO PESO",IF(AND(OR(Tabla1[[#This Row],[MOMENTO EN QUE SE REALIZA EL PESO AL INGRESO A CPN]]="PREGESTACIÓN",NZ47="Menor"),CI47&lt;25),"NORMAL",IF(AND(OR(Tabla1[[#This Row],[MOMENTO EN QUE SE REALIZA EL PESO AL INGRESO A CPN]]="PREGESTACIÓN",NZ47="Menor"),CI47&lt;30),"SOBREPESO",IF(AND(OR(Tabla1[[#This Row],[MOMENTO EN QUE SE REALIZA EL PESO AL INGRESO A CPN]]="PREGESTACIÓN",NZ47="Menor"),CI47&gt;=30,CI47&lt;50),"OBESIDAD",IF(AND(BS47&gt;0,Tabla1[[#This Row],[MOMENTO EN QUE SE REALIZA EL PESO AL INGRESO A CPN]]="GESTACIÓN"),HLOOKUP(NZ47,$OA$2:PH47,NY47),""))))))))</f>
        <v>#REF!</v>
      </c>
      <c r="CK47" s="212">
        <f t="shared" si="8"/>
        <v>44996</v>
      </c>
      <c r="CL47" s="21"/>
      <c r="CM47" s="214">
        <f t="shared" si="9"/>
        <v>0</v>
      </c>
      <c r="CN47" s="216">
        <f t="shared" si="10"/>
        <v>37</v>
      </c>
      <c r="CO47" s="216" t="e">
        <f>IF(PI47="","",IF(PI47&gt;0,HLOOKUP(PI47,$PJ$2:QQ47,NY47),""))</f>
        <v>#REF!</v>
      </c>
      <c r="CP47" s="21"/>
      <c r="CQ47" s="216" t="e">
        <f>IF(QR47="Menor","NO APLICA-MENOR 13 SEM",IF(AND(CC47="SI",CN47&gt;23),"NO APLICA- GEMELAR",IF(QR47="","",IF(QR47&gt;0,HLOOKUP(QR47,$QS$2:RU47,NY47),""))))</f>
        <v>#REF!</v>
      </c>
      <c r="CR47" s="21">
        <v>100</v>
      </c>
      <c r="CS47" s="21">
        <v>70</v>
      </c>
      <c r="CT47" s="217" t="str">
        <f>IF(R47="","",IF(AND(BS47&gt;1,BS47&lt;12,Tabla1[[#This Row],[T.A. SISTOLICA - ANTES DE SEMANA 12]]="",Tabla1[[#This Row],[T.A. DIASTOLICA - ANTES DE SEMANA 12]]=""),"REGISTRE DATO TA ANTES SEMANA 12",IF(AND(BS47&gt;11,BS47&lt;43,Tabla1[[#This Row],[T.A. SISTOLICA - ANTES DE SEMANA 12]]="",Tabla1[[#This Row],[T.A. DIASTOLICA - ANTES DE SEMANA 12]]=""),"NO APLICA REGISTRO TA-INGRESO TARDIO",IF(AND(OR(O47&gt;0,R47&gt;0),OR(CR47&gt;=140,CS47&gt;=90)),"DEFINIR ESTADIO HTA",IF(AND(OR(O47&gt;0,R47&gt;0),AND(CR47&gt;120,CR47&lt;=139)),"PRE HTA SEGUIMIENTO",IF(AND(OR(O47&gt;0,R47&gt;0),AND(CS47&gt;80,CS47&lt;=89)),"PRE HTA SEGUIMIENTO",IF(AND(OR(O47&gt;0,R47&gt;0),AND(CR47&gt;=80,CR47&lt;=120)),"APARENTEMENTE NORMAL",IF(AND(OR(O47&gt;0,R47&gt;0),AND(CS47&gt;=50,CS47&lt;=80)),"APARENTEMENTE NORMAL",IF(AND(OR(O47&gt;0,R47&gt;0),AND(CR47&gt;1,CR47&lt;=70),AND(CS47&gt;1,CS47&lt;=40)),"HIPOTENSIÓN","")))))))))</f>
        <v>APARENTEMENTE NORMAL</v>
      </c>
      <c r="CU47" s="21"/>
      <c r="CV47" s="21"/>
      <c r="CW47" s="217" t="str">
        <f ca="1">IF(R47="","",IF(AND(CN47&gt;19,CN47&lt;27,Tabla1[[#This Row],[T.A. SISTOLICA (Entre semana 20 y 26)]]="",Tabla1[[#This Row],[T.A. DIATOLICA (Entre semana 20 y 26)]]=""),"ACUDE A CONTROL SEM 20 A 26 REGISTRE TA AHORA",IF(AND(BS47&gt;1,BS47&lt;27,BU47&gt;19,Tabla1[[#This Row],[T.A. SISTOLICA (Entre semana 20 y 26)]]="",Tabla1[[#This Row],[T.A. DIATOLICA (Entre semana 20 y 26)]]=""),"COMPLETE REGISTRO TA CONTROL SEM 20 A26 ",IF(AND(BS47&gt;26,BS47&lt;43,Tabla1[[#This Row],[T.A. SISTOLICA (Entre semana 20 y 26)]]="",Tabla1[[#This Row],[T.A. DIATOLICA (Entre semana 20 y 26)]]=""),"NO APLICA REGISTRO TA-INGRESO TARDIO",IF(AND(OR(O47&gt;0,R47&gt;0),OR(CU47&gt;=140,CV47&gt;=90)),"ALTO RIESGO PREECLAMPSIA,DEFINIR ESTADIO HTA",IF(AND(OR(O47&gt;0,R47&gt;0),AND(CU47&gt;120,CU47&lt;=139)),"PRE HTA SEGUIMIENTO,RIESGO HIPERTENSION INDUCIDA POR EL EMBARAZO",IF(AND(OR(O47&gt;0,R47&gt;0),AND(CV47&gt;80,CV47&lt;=89)),"PRE HTA SEGUIMIENTO, RIESGO HIPERTENSION INDUCIDA POR EL EMBARAZO",IF(AND(OR(O47&lt;&gt;"",R47&lt;&gt;""),CS47&lt;&gt;"",CV47&lt;&gt;"",CS47&lt;=CV47),"VIGILAR CIFRAS PRESION ARTERIAL",IF(AND(OR(O47&gt;0,R47&gt;0),AND(CU47&gt;120,CU47&lt;=139)),"PRE HTA SEGUIMIENTO",IF(AND(OR(O47&gt;0,R47&gt;0),AND(CU47&gt;1,CU47&lt;=70),AND(CV47&gt;1,CV47&lt;=40)),"HIPOTENSIÓN",IF(AND(OR(O47&lt;&gt;"",R47&lt;&gt;""),CS47&lt;&gt;"",CV47&lt;&gt;"",CS47&gt;CV47),"APARENTEMENTE NORMAL",IF(AND(OR(O47&gt;0,R47&gt;0),AND(CU47&gt;=80,CU47&lt;=120)),"APARENTEMENTE NORMAL",IF(AND(OR(O47&gt;0,R47&gt;0),AND(CV47&gt;=50,CV47&lt;=80)),"APARENTEMENTE NORMAL","")))))))))))))</f>
        <v xml:space="preserve">COMPLETE REGISTRO TA CONTROL SEM 20 A26 </v>
      </c>
      <c r="CX47" s="21">
        <v>100</v>
      </c>
      <c r="CY47" s="21">
        <v>80</v>
      </c>
      <c r="CZ47" s="216" t="str">
        <f t="shared" si="195"/>
        <v>VIGILAR CIFRAS PRESION ARTERIAL</v>
      </c>
      <c r="DA47" s="21"/>
      <c r="DB47" s="21"/>
      <c r="DC47" s="217" t="str">
        <f t="shared" si="12"/>
        <v>REGISTRE DATO PRESIÓN ARTERIAL MENSUAL</v>
      </c>
      <c r="DD47" s="22">
        <v>44877</v>
      </c>
      <c r="DE47" s="22">
        <v>44877</v>
      </c>
      <c r="DF47" s="22">
        <v>44922</v>
      </c>
      <c r="DG47" s="22">
        <v>44960</v>
      </c>
      <c r="DH47" s="22">
        <v>44996</v>
      </c>
      <c r="DI47" s="22"/>
      <c r="DJ47" s="22"/>
      <c r="DK47" s="22"/>
      <c r="DL47" s="22"/>
      <c r="DM47" s="22"/>
      <c r="DN47" s="22"/>
      <c r="DO47" s="22"/>
      <c r="DP47" s="22"/>
      <c r="DQ47" s="22"/>
      <c r="DR47" s="28">
        <v>1</v>
      </c>
      <c r="DS47" s="22"/>
      <c r="DT47" s="22"/>
      <c r="DU47" s="216" t="str">
        <f t="shared" ca="1" si="196"/>
        <v>CONCERTAR PLAN DE PARTO INMEDIATO</v>
      </c>
      <c r="DV47" s="226" t="str">
        <f t="shared" si="197"/>
        <v>ACTIVA INGRESO A CPN</v>
      </c>
      <c r="DW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47" s="216" t="e">
        <f t="shared" ca="1" si="15"/>
        <v>#REF!</v>
      </c>
      <c r="DY47" s="212">
        <f>IF(R47="","",IF(R47&gt;0,MAX(Tabla1[[#This Row],[FECHA C2]:[FECHA C13]],Tabla1[[#This Row],[FECHA CONSULTA PRIMERA VEZ PROGRAMA CPN ]])))</f>
        <v>44996</v>
      </c>
      <c r="DZ47" s="216">
        <f t="shared" si="16"/>
        <v>37</v>
      </c>
      <c r="EA47" s="222">
        <f>IF(R47&gt;0,SUM(COUNTA(DF47:DQ47)+COUNTA(Tabla1[[#This Row],[FECHA CONSULTA PRIMERA VEZ PROGRAMA CPN ]])),"")</f>
        <v>4</v>
      </c>
      <c r="EB47" s="222" t="str">
        <f t="shared" si="17"/>
        <v>SI</v>
      </c>
      <c r="EC47" s="214">
        <f t="shared" si="18"/>
        <v>6</v>
      </c>
      <c r="ED47" s="227">
        <f t="shared" si="19"/>
        <v>0.66666666666666663</v>
      </c>
      <c r="EE47" s="22">
        <v>44877</v>
      </c>
      <c r="EF47" s="22">
        <v>44877</v>
      </c>
      <c r="EG47" s="22">
        <v>44877</v>
      </c>
      <c r="EH47" s="22"/>
      <c r="EI47" s="22">
        <v>44877</v>
      </c>
      <c r="EJ47" s="22">
        <v>44911</v>
      </c>
      <c r="EK47" s="22">
        <v>44911</v>
      </c>
      <c r="EL47" s="21">
        <v>1</v>
      </c>
      <c r="EM47" s="21">
        <v>14.2</v>
      </c>
      <c r="EN47" s="22">
        <v>44877</v>
      </c>
      <c r="EO47" s="222">
        <f t="shared" si="20"/>
        <v>20.285714285714285</v>
      </c>
      <c r="EP47" s="214" t="str">
        <f t="shared" si="21"/>
        <v>NO DAR SULFATO FERROSO</v>
      </c>
      <c r="EQ47" s="216" t="str">
        <f t="shared" si="22"/>
        <v>II TRIM</v>
      </c>
      <c r="ER47" s="24"/>
      <c r="ES47" s="22"/>
      <c r="ET47" s="29" t="str">
        <f t="shared" ca="1" si="198"/>
        <v>TOMA DE HEMOGLOBINA TARDÍA</v>
      </c>
      <c r="EU47" s="25" t="str">
        <f t="shared" si="24"/>
        <v/>
      </c>
      <c r="EV47" s="24" t="s">
        <v>866</v>
      </c>
      <c r="EW47" s="24">
        <v>44877</v>
      </c>
      <c r="EX47" s="22"/>
      <c r="EY47" s="29">
        <f t="shared" si="199"/>
        <v>20.285714285714285</v>
      </c>
      <c r="EZ47" s="25" t="str">
        <f t="shared" ca="1" si="200"/>
        <v/>
      </c>
      <c r="FA47" s="21">
        <v>91</v>
      </c>
      <c r="FB47" s="22">
        <v>44877</v>
      </c>
      <c r="FC47" s="29">
        <f t="shared" si="27"/>
        <v>20.285714285714285</v>
      </c>
      <c r="FD47" s="29"/>
      <c r="FE47" s="29"/>
      <c r="FF47" s="29"/>
      <c r="FG47" s="21" t="str">
        <f t="shared" ca="1" si="28"/>
        <v/>
      </c>
      <c r="FH47" s="31"/>
      <c r="FI47" s="29" t="str">
        <f t="shared" si="29"/>
        <v>TOMAR EXAMEN</v>
      </c>
      <c r="FJ47" s="22"/>
      <c r="FK47" s="22"/>
      <c r="FL47" s="29" t="str">
        <f t="shared" ca="1" si="30"/>
        <v>NO APLICA-INGRESO TARDIO</v>
      </c>
      <c r="FM47" s="22" t="s">
        <v>867</v>
      </c>
      <c r="FN47" s="32">
        <v>44877</v>
      </c>
      <c r="FO47" s="29">
        <f t="shared" ca="1" si="201"/>
        <v>20.285714285714285</v>
      </c>
      <c r="FP47" s="22" t="s">
        <v>867</v>
      </c>
      <c r="FQ47" s="32">
        <v>44960</v>
      </c>
      <c r="FR47" s="29">
        <f t="shared" ca="1" si="202"/>
        <v>32.142857142857146</v>
      </c>
      <c r="FS47" s="22"/>
      <c r="FT47" s="32"/>
      <c r="FU47" s="29" t="str">
        <f>IF(AND(FJ47="",FM47="",FP47="",FS47=""),"",IF(OR(OR(Tabla1[[#This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7" s="28"/>
      <c r="FW47" s="22"/>
      <c r="FX47" s="29" t="str">
        <f t="shared" si="33"/>
        <v>TOMAR EXAMEN</v>
      </c>
      <c r="FY47" s="22">
        <v>44877</v>
      </c>
      <c r="FZ47" s="22">
        <v>44877</v>
      </c>
      <c r="GA47" s="29" t="str">
        <f t="shared" si="203"/>
        <v>REGISTRAR EN II TRIMESTRE</v>
      </c>
      <c r="GB47" s="22" t="s">
        <v>868</v>
      </c>
      <c r="GC47" s="22">
        <v>44877</v>
      </c>
      <c r="GD47" s="29">
        <f t="shared" ca="1" si="204"/>
        <v>20.285714285714285</v>
      </c>
      <c r="GE47" s="22" t="s">
        <v>868</v>
      </c>
      <c r="GF47" s="22">
        <v>44960</v>
      </c>
      <c r="GG47" s="29">
        <f t="shared" ca="1" si="205"/>
        <v>32.142857142857146</v>
      </c>
      <c r="GH47" s="22"/>
      <c r="GI47" s="29"/>
      <c r="GJ47" s="22"/>
      <c r="GK47" s="22"/>
      <c r="GL47" s="22" t="s">
        <v>879</v>
      </c>
      <c r="GM47" s="22"/>
      <c r="GN47" s="28" t="s">
        <v>869</v>
      </c>
      <c r="GO47" s="22">
        <v>44877</v>
      </c>
      <c r="GP47" s="29">
        <f t="shared" si="37"/>
        <v>20.285714285714285</v>
      </c>
      <c r="GQ47" s="28" t="s">
        <v>869</v>
      </c>
      <c r="GR47" s="28" t="s">
        <v>869</v>
      </c>
      <c r="GS47" s="22" t="str">
        <f t="shared" si="206"/>
        <v>CONTROL Igm</v>
      </c>
      <c r="GT47" s="22">
        <v>44877</v>
      </c>
      <c r="GU47" s="29">
        <f t="shared" si="39"/>
        <v>20.285714285714285</v>
      </c>
      <c r="GV47" s="21" t="str">
        <f t="shared" si="40"/>
        <v>II TRIM</v>
      </c>
      <c r="GW47" s="28" t="s">
        <v>869</v>
      </c>
      <c r="GX47" s="30"/>
      <c r="GY47" s="21"/>
      <c r="GZ47" s="21"/>
      <c r="HA47" s="21"/>
      <c r="HB47" s="21"/>
      <c r="HC47" s="21"/>
      <c r="HD47" s="21"/>
      <c r="HE47" s="21"/>
      <c r="HF47" s="22"/>
      <c r="HG47" s="22" t="str">
        <f>IF(OR(O47&gt;0,R47&gt;0),CONCATENATE(IF(Tabla1[[#This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7" s="22" t="e">
        <f t="shared" si="41"/>
        <v>#REF!</v>
      </c>
      <c r="HI47" s="22" t="e">
        <f t="shared" ca="1" si="42"/>
        <v>#REF!</v>
      </c>
      <c r="HJ47" s="21"/>
      <c r="HK47" s="21" t="str">
        <f t="shared" si="44"/>
        <v>SIN ANTECEDENTES DE RIESGO</v>
      </c>
      <c r="HL47" s="24" t="str">
        <f t="shared" si="45"/>
        <v>REGISTRE DATO PRESIÓN ARTERIAL MENSUAL</v>
      </c>
      <c r="HM47" s="21" t="e">
        <f t="shared" ca="1" si="46"/>
        <v>#REF!</v>
      </c>
      <c r="HN47" s="30" t="str">
        <f t="shared" si="207"/>
        <v>ACTIVA INGRESO A CPN</v>
      </c>
      <c r="HO47" s="21"/>
      <c r="HP47" s="21"/>
      <c r="HQ47" s="21">
        <v>44877</v>
      </c>
      <c r="HR47" s="21" t="str">
        <f>IF(R47="","",IF(Tabla1[[#This Row],[ALARMA FACTORES DE RIESGO COMPLICACIONES HIPERTENSIVAS3]]="SIN ANTECEDENTES DE RIESGO","No Aplica para suministro de ASA",IF(AND(Tabla1[[#This Row],[FECHA INICIO DE SUMINISTRO DE ASA]]&gt;0,RV47&lt;12),"Inicia ASA ANTES de Sem 12",IF(AND(RV47&gt;11,RV47&lt;17,OR(HK47="RIESGO ALTO DE COMPLICACIONES HIPERTENSIVAS VER MANEJO GUIA SUMINISTRO ASA Y CALCIO",HK47="RIESGO MODERADO (2 O MAS CRITERIOS) VER MANEJO GUIA SUMINISTRO ASA Y CALCIO")),"Inicio oportuno de ASA",IF(AND(RV47&gt;12,OR(HK47="RIESGO ALTO DE COMPLICACIONES HIPERTENSIVAS VER MANEJO GUIA SUMINISTRO ASA Y CALCIO",HK47="RIESGO MODERADO (2 O MAS CRITERIOS) VER MANEJO GUIA SUMINISTRO ASA Y CALCIO")),"Inicio no oportuno mayor a 16 semanas",IF(AND(BU47&lt;12,OR(HK47="RIESGO ALTO DE COMPLICACIONES HIPERTENSIVAS VER MANEJO GUIA SUMINISTRO ASA Y CALCIO",HK47="RIESGO MODERADO (2 O MAS CRITERIOS) VER MANEJO GUIA SUMINISTRO ASA Y CALCIO")),"Pendiente Inicio de ASA a la semana 12",IF(AND(BU47&gt;11,BU47&lt;17,OR(HK47="RIESGO ALTO DE COMPLICACIONES HIPERTENSIVAS VER MANEJO GUIA SUMINISTRO ASA Y CALCIO",HK47="RIESGO MODERADO (2 O MAS CRITERIOS) VER MANEJO GUIA SUMINISTRO ASA Y CALCIO")),"Iniciar de inmediato ASA",IF(AND(BU47&gt;16,OR(HK47="RIESGO ALTO DE COMPLICACIONES HIPERTENSIVAS VER MANEJO GUIA SUMINISTRO ASA Y CALCIO",HK47="RIESGO MODERADO (2 O MAS CRITERIOS) VER MANEJO GUIA SUMINISTRO ASA Y CALCIO")),"Pierde Oportunidad, Inicio tardío de ASA","XXXXX"))))))))</f>
        <v>No Aplica para suministro de ASA</v>
      </c>
      <c r="HS47" s="22">
        <v>44877</v>
      </c>
      <c r="HT47" s="22" t="s">
        <v>870</v>
      </c>
      <c r="HU47" s="22">
        <v>44877</v>
      </c>
      <c r="HV47" s="22" t="s">
        <v>870</v>
      </c>
      <c r="HW47" s="22"/>
      <c r="HX47" s="22"/>
      <c r="HY47" s="22">
        <v>44922</v>
      </c>
      <c r="HZ47" s="28">
        <f t="shared" si="48"/>
        <v>26.714285714285715</v>
      </c>
      <c r="IA47" s="26" t="s">
        <v>864</v>
      </c>
      <c r="IB47" s="26"/>
      <c r="IC47" s="111"/>
      <c r="ID47" s="22"/>
      <c r="IE47" s="22" t="str">
        <f t="shared" ca="1" si="49"/>
        <v/>
      </c>
      <c r="IF47" s="22"/>
      <c r="IG47" s="22">
        <f t="shared" si="50"/>
        <v>45015</v>
      </c>
      <c r="IH47" s="29">
        <f t="shared" ca="1" si="51"/>
        <v>-218</v>
      </c>
      <c r="II47" s="22" t="str">
        <f t="shared" ca="1" si="52"/>
        <v>POSIBLEMENTE NACIO</v>
      </c>
      <c r="IJ47" s="22"/>
      <c r="IK47" s="21"/>
      <c r="IL47" s="21"/>
      <c r="IM47" s="34"/>
      <c r="IN47" s="349"/>
      <c r="IO47" s="21"/>
      <c r="IP47" s="29" t="str">
        <f t="shared" si="208"/>
        <v/>
      </c>
      <c r="IQ47" s="110"/>
      <c r="IR47" s="21"/>
      <c r="IS47" s="21"/>
      <c r="IT47" s="21"/>
      <c r="IU47" s="21"/>
      <c r="IV47" s="21"/>
      <c r="IW47" s="21"/>
      <c r="IX47" s="21"/>
      <c r="IY47" s="21"/>
      <c r="IZ47" s="21"/>
      <c r="JA47" s="21"/>
      <c r="JB47" s="30"/>
      <c r="JC47" s="21"/>
      <c r="JD47" s="36"/>
      <c r="JE47" s="21" t="str">
        <f t="shared" si="209"/>
        <v/>
      </c>
      <c r="JF47" s="30"/>
      <c r="JG47" s="21"/>
      <c r="JH47" s="21"/>
      <c r="JI47" s="21"/>
      <c r="JJ47" s="30"/>
      <c r="JK47" s="22"/>
      <c r="JL47" s="22"/>
      <c r="JM47" s="21"/>
      <c r="JN47" s="36"/>
      <c r="JO47" s="21" t="str">
        <f t="shared" si="210"/>
        <v/>
      </c>
      <c r="JP47" s="22"/>
      <c r="JQ47" s="21"/>
      <c r="JR47" s="21"/>
      <c r="JS47" s="21"/>
      <c r="JT47" s="30"/>
      <c r="JU47" s="22"/>
      <c r="JV47" s="22"/>
      <c r="JW47" s="33"/>
      <c r="JX47" s="28" t="str">
        <f t="shared" si="211"/>
        <v/>
      </c>
      <c r="JY47" s="33"/>
      <c r="JZ47" s="28" t="str">
        <f t="shared" si="212"/>
        <v/>
      </c>
      <c r="KA47" s="21"/>
      <c r="KB47" s="21"/>
      <c r="KC47" s="21"/>
      <c r="KD47" s="37"/>
      <c r="KE47" s="28"/>
      <c r="KF47" s="28"/>
      <c r="KG47" s="28"/>
      <c r="KH47" s="39"/>
      <c r="KI47" s="39"/>
      <c r="KJ47" s="66"/>
      <c r="KK47" s="39"/>
      <c r="KL47" s="39"/>
      <c r="KM47" s="66"/>
      <c r="KN47" s="39"/>
      <c r="KO47" s="39"/>
      <c r="KP47" s="39"/>
      <c r="KQ47" s="39"/>
      <c r="KR47" s="39"/>
      <c r="KS47" s="39"/>
      <c r="KT47" s="39"/>
      <c r="KU47" s="38"/>
      <c r="KV47" s="38"/>
      <c r="KW47" s="38"/>
      <c r="KX47" s="38"/>
      <c r="KY47" s="38"/>
      <c r="KZ47" s="38"/>
      <c r="LA47" s="38"/>
      <c r="LB47" s="38"/>
      <c r="LC47" s="38"/>
      <c r="LD47" s="38"/>
      <c r="LE47" s="38"/>
      <c r="LF47" s="38"/>
      <c r="LG47" s="38"/>
      <c r="LH47" s="38"/>
      <c r="LI47" s="38"/>
      <c r="LJ47" s="38"/>
      <c r="LK47" s="38"/>
      <c r="LL47" s="38"/>
      <c r="LM47" s="38"/>
      <c r="LN47" s="38"/>
      <c r="LO47" s="38"/>
      <c r="LP47" s="38"/>
      <c r="LQ47" s="38"/>
      <c r="LR47" s="38"/>
      <c r="LS47" s="38"/>
      <c r="LT47" s="38"/>
      <c r="LU47" s="38"/>
      <c r="LV47" s="38"/>
      <c r="LW47" s="38"/>
      <c r="LX47" s="38"/>
      <c r="LY47" s="38"/>
      <c r="LZ47" s="38"/>
      <c r="MA47" s="38"/>
      <c r="MB47" s="38"/>
      <c r="MC47" s="38"/>
      <c r="MD47" s="38"/>
      <c r="ME47" s="38"/>
      <c r="MF47" s="38"/>
      <c r="MG47" s="38"/>
      <c r="MH47" s="43">
        <f t="shared" si="213"/>
        <v>0</v>
      </c>
      <c r="MI47" s="43" t="str">
        <f t="shared" si="214"/>
        <v/>
      </c>
      <c r="MJ47" s="43" t="str">
        <f t="shared" si="215"/>
        <v/>
      </c>
      <c r="MK47" s="43">
        <f t="shared" si="216"/>
        <v>0</v>
      </c>
      <c r="ML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7" s="43">
        <f t="shared" si="217"/>
        <v>20.285714285714285</v>
      </c>
      <c r="MN47" s="43">
        <f t="shared" si="218"/>
        <v>11</v>
      </c>
      <c r="MO47" s="43">
        <f t="shared" si="219"/>
        <v>2022</v>
      </c>
      <c r="MP47" s="43" t="str">
        <f t="shared" si="220"/>
        <v>IV TRIMESTRE AÑO</v>
      </c>
      <c r="MQ47" s="43">
        <f t="shared" si="221"/>
        <v>33.478427507665351</v>
      </c>
      <c r="MR47" s="43">
        <f t="shared" si="222"/>
        <v>0</v>
      </c>
      <c r="MS47" s="43" t="str">
        <f t="shared" si="223"/>
        <v xml:space="preserve"> DE 30 A 34 AÑOS</v>
      </c>
      <c r="MT47" s="43">
        <f t="shared" si="224"/>
        <v>0</v>
      </c>
      <c r="MU47" s="43">
        <f t="shared" si="225"/>
        <v>0</v>
      </c>
      <c r="MV47" s="43">
        <f t="shared" si="226"/>
        <v>0</v>
      </c>
      <c r="MW47" s="43">
        <f t="shared" si="227"/>
        <v>0</v>
      </c>
      <c r="MX47" s="43" t="str">
        <f t="shared" si="228"/>
        <v/>
      </c>
      <c r="MY47" s="43" t="str">
        <f t="shared" ca="1" si="229"/>
        <v/>
      </c>
      <c r="MZ47" s="43" t="str">
        <f t="shared" si="230"/>
        <v/>
      </c>
      <c r="NA47" s="43" t="str">
        <f t="shared" si="231"/>
        <v/>
      </c>
      <c r="NB47" s="43" t="str">
        <f t="shared" si="232"/>
        <v/>
      </c>
      <c r="NC47" s="43" t="str">
        <f t="shared" si="233"/>
        <v/>
      </c>
      <c r="ND47" s="43">
        <f t="shared" ca="1" si="234"/>
        <v>0</v>
      </c>
      <c r="NE47" s="43">
        <f>IF(OR(O47&gt;0,R47&gt;0),SUM(COUNTIF(Tabla1[[#This Row],[AÑOS AL INICIO5 CPN]],"&gt;=40"),COUNTIF(AS47,"0"),COUNTIF(AR47,"SI"),COUNTIF(CC47,"SI"),COUNTIF(BQ47,"&gt;119"),COUNTIF(CI47,"&gt;=35")),"")</f>
        <v>0</v>
      </c>
      <c r="NF47" s="43" t="str">
        <f t="shared" si="235"/>
        <v/>
      </c>
      <c r="NG47" s="43">
        <f t="shared" si="236"/>
        <v>0</v>
      </c>
      <c r="NH47" s="43">
        <f t="shared" si="237"/>
        <v>175</v>
      </c>
      <c r="NI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CPN",P47="NO"),"Z",IF(AND(Tabla1[[#This Row],[CITA PROXIMO CONTROL]]="CITA MANUAL",Tabla1[[#This Row],[GESTANTES ACTUALES]]="ACTIVA INGRESO A CPN"),"W",IF(AND(Tabla1[[#This Row],[GESTANTES ACTUALES]]="SALIO PROGRAMA",IN47=""),"S",IF(AND(Tabla1[[#This Row],[CITA PROXIMO CONTROL]]&gt;0,IN47=""),(Tabla1[[#This Row],[CITA PROXIMO CONTROL]]-TODAY()),"SD"))))))))</f>
        <v>#REF!</v>
      </c>
      <c r="NJ47" s="43">
        <f>MONTH(Tabla1[[#This Row],[FECHA DE SALIDA  DEL PROGRAMA]])</f>
        <v>1</v>
      </c>
      <c r="NK47" s="43">
        <f>YEAR(Tabla1[[#This Row],[FECHA DE SALIDA  DEL PROGRAMA]])</f>
        <v>1900</v>
      </c>
      <c r="NL47" s="43">
        <f t="shared" si="238"/>
        <v>34</v>
      </c>
      <c r="NM47" s="43" t="str">
        <f t="shared" si="239"/>
        <v>NO</v>
      </c>
      <c r="NN47" s="43" t="str">
        <f ca="1">IF(AND(O47&gt;0,R47=""),"NO CPN",IF(AND(O47="",R47=""),"",IF(AND(R47&gt;0,Tabla1[[#This Row],[SEMANAS DE GESTACION ACTUALIZADAS]]&lt;=12),"NO APLICA",IF(AND(FH47&lt;&gt;"",FN47&lt;&gt;""),"SI","NO"))))</f>
        <v>NO</v>
      </c>
      <c r="NO47" s="43" t="str">
        <f ca="1">IF(AND(O47&gt;0,R47=""),"NO CPN",IF(AND(O47="",R47=""),"",IF(AND(R47&gt;0,Tabla1[[#This Row],[SEMANAS DE GESTACION ACTUALIZADAS]]&lt;=27),"NO APLICA",IF(AND(ES47&lt;&gt;"",FQ47&lt;&gt;"",GF47&lt;&gt;""),"SI","NO"))))</f>
        <v>NO</v>
      </c>
      <c r="NP47" s="21" t="str">
        <f t="shared" si="240"/>
        <v>II TRIM</v>
      </c>
      <c r="NQ47" s="21">
        <f t="shared" si="241"/>
        <v>1</v>
      </c>
      <c r="NR47" s="21" t="str">
        <f t="shared" ca="1" si="242"/>
        <v>REVISAR FUM O FECHA SALIDA PROGRAMA</v>
      </c>
      <c r="NS47" s="205">
        <f t="shared" ca="1" si="243"/>
        <v>2</v>
      </c>
      <c r="NT47" s="21">
        <f t="shared" ca="1" si="244"/>
        <v>2</v>
      </c>
      <c r="NU47" s="21" t="str">
        <f t="shared" ca="1" si="245"/>
        <v>POR DEFINIR</v>
      </c>
      <c r="NV47" s="21" t="str">
        <f t="shared" ca="1" si="246"/>
        <v>POR DEFINIR</v>
      </c>
      <c r="NW47" s="206" t="str">
        <f>IF(AND(O47="",R47=""),"",IF(OR(AND(Tabla1[[#This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7" s="207" t="str">
        <f t="shared" ca="1" si="247"/>
        <v>SIN VACUNAR</v>
      </c>
      <c r="NY47" s="43">
        <f>ROW(Tabla1[[#This Row],['# DE TAMIZAJES SIFILIS TOMADOS ]])</f>
        <v>47</v>
      </c>
      <c r="NZ47" s="43">
        <f t="shared" si="93"/>
        <v>20</v>
      </c>
      <c r="OA47" s="43" t="str">
        <f t="shared" si="94"/>
        <v/>
      </c>
      <c r="OB47" s="43" t="str">
        <f t="shared" si="95"/>
        <v/>
      </c>
      <c r="OC47" s="43" t="str">
        <f t="shared" si="96"/>
        <v/>
      </c>
      <c r="OD47" s="43" t="str">
        <f t="shared" si="97"/>
        <v/>
      </c>
      <c r="OE47" s="43" t="str">
        <f t="shared" si="98"/>
        <v/>
      </c>
      <c r="OF47" s="43" t="str">
        <f t="shared" si="99"/>
        <v/>
      </c>
      <c r="OG47" s="43" t="str">
        <f t="shared" si="100"/>
        <v/>
      </c>
      <c r="OH47" s="43" t="str">
        <f t="shared" si="101"/>
        <v/>
      </c>
      <c r="OI47" s="43" t="str">
        <f t="shared" si="102"/>
        <v/>
      </c>
      <c r="OJ47" s="43" t="str">
        <f t="shared" si="103"/>
        <v/>
      </c>
      <c r="OK47" s="43" t="str">
        <f t="shared" si="104"/>
        <v/>
      </c>
      <c r="OL47" s="43" t="str">
        <f t="shared" si="105"/>
        <v>SOBREPESO</v>
      </c>
      <c r="OM47" s="43" t="str">
        <f t="shared" si="106"/>
        <v/>
      </c>
      <c r="ON47" s="43" t="str">
        <f t="shared" si="107"/>
        <v/>
      </c>
      <c r="OO47" s="43" t="str">
        <f t="shared" si="108"/>
        <v/>
      </c>
      <c r="OP47" s="43" t="str">
        <f t="shared" si="109"/>
        <v/>
      </c>
      <c r="OQ47" s="43" t="str">
        <f t="shared" si="110"/>
        <v/>
      </c>
      <c r="OR47" s="43" t="str">
        <f t="shared" si="111"/>
        <v/>
      </c>
      <c r="OS47" s="43" t="str">
        <f t="shared" si="112"/>
        <v/>
      </c>
      <c r="OT47" s="43" t="str">
        <f t="shared" si="113"/>
        <v/>
      </c>
      <c r="OU47" s="43" t="str">
        <f t="shared" si="114"/>
        <v/>
      </c>
      <c r="OV47" s="110" t="str">
        <f t="shared" si="115"/>
        <v/>
      </c>
      <c r="OW47" s="43" t="str">
        <f t="shared" si="116"/>
        <v/>
      </c>
      <c r="OX47" s="43" t="str">
        <f t="shared" si="117"/>
        <v/>
      </c>
      <c r="OY47" s="43" t="str">
        <f t="shared" si="118"/>
        <v/>
      </c>
      <c r="OZ47" s="43" t="str">
        <f t="shared" si="119"/>
        <v/>
      </c>
      <c r="PA47" s="43" t="str">
        <f t="shared" si="120"/>
        <v/>
      </c>
      <c r="PB47" s="43" t="str">
        <f t="shared" si="121"/>
        <v/>
      </c>
      <c r="PC47" s="43" t="str">
        <f t="shared" si="122"/>
        <v/>
      </c>
      <c r="PD47" s="43" t="str">
        <f t="shared" si="123"/>
        <v/>
      </c>
      <c r="PE47" s="43" t="str">
        <f t="shared" si="124"/>
        <v/>
      </c>
      <c r="PF47" s="43" t="str">
        <f t="shared" si="125"/>
        <v/>
      </c>
      <c r="PG47" s="43" t="str">
        <f t="shared" si="126"/>
        <v/>
      </c>
      <c r="PH47" s="43" t="str">
        <f t="shared" si="127"/>
        <v/>
      </c>
      <c r="PI47" s="43">
        <f t="shared" si="128"/>
        <v>37</v>
      </c>
      <c r="PJ47" s="43" t="str">
        <f t="shared" si="129"/>
        <v/>
      </c>
      <c r="PK47" s="43" t="str">
        <f t="shared" si="130"/>
        <v/>
      </c>
      <c r="PL47" s="43" t="str">
        <f t="shared" si="131"/>
        <v/>
      </c>
      <c r="PM47" s="43" t="str">
        <f t="shared" si="132"/>
        <v/>
      </c>
      <c r="PN47" s="43" t="str">
        <f t="shared" si="133"/>
        <v/>
      </c>
      <c r="PO47" s="43" t="str">
        <f t="shared" si="134"/>
        <v/>
      </c>
      <c r="PP47" s="43" t="str">
        <f t="shared" si="135"/>
        <v/>
      </c>
      <c r="PQ47" s="43" t="str">
        <f t="shared" si="136"/>
        <v/>
      </c>
      <c r="PR47" s="43" t="str">
        <f t="shared" si="137"/>
        <v/>
      </c>
      <c r="PS47" s="43" t="str">
        <f t="shared" si="138"/>
        <v/>
      </c>
      <c r="PT47" s="43" t="str">
        <f t="shared" si="139"/>
        <v/>
      </c>
      <c r="PU47" s="43" t="str">
        <f t="shared" si="140"/>
        <v/>
      </c>
      <c r="PV47" s="43" t="str">
        <f t="shared" si="141"/>
        <v/>
      </c>
      <c r="PW47" s="43" t="str">
        <f t="shared" si="142"/>
        <v/>
      </c>
      <c r="PX47" s="43" t="str">
        <f t="shared" si="143"/>
        <v/>
      </c>
      <c r="PY47" s="43" t="str">
        <f t="shared" si="144"/>
        <v/>
      </c>
      <c r="PZ47" s="43" t="str">
        <f t="shared" si="145"/>
        <v/>
      </c>
      <c r="QA47" s="43" t="str">
        <f t="shared" si="146"/>
        <v/>
      </c>
      <c r="QB47" s="43" t="str">
        <f t="shared" si="147"/>
        <v/>
      </c>
      <c r="QC47" s="43" t="str">
        <f t="shared" si="148"/>
        <v/>
      </c>
      <c r="QD47" s="43" t="str">
        <f t="shared" si="149"/>
        <v/>
      </c>
      <c r="QE47" s="43" t="str">
        <f t="shared" si="150"/>
        <v/>
      </c>
      <c r="QF47" s="43" t="str">
        <f t="shared" si="151"/>
        <v/>
      </c>
      <c r="QG47" s="43" t="str">
        <f t="shared" si="152"/>
        <v/>
      </c>
      <c r="QH47" s="43" t="str">
        <f t="shared" si="153"/>
        <v/>
      </c>
      <c r="QI47" s="43" t="str">
        <f t="shared" si="154"/>
        <v/>
      </c>
      <c r="QJ47" s="43" t="str">
        <f t="shared" si="155"/>
        <v/>
      </c>
      <c r="QK47" s="43" t="str">
        <f t="shared" si="156"/>
        <v/>
      </c>
      <c r="QL47" s="43" t="str">
        <f t="shared" si="157"/>
        <v/>
      </c>
      <c r="QM47" s="43" t="str">
        <f t="shared" si="158"/>
        <v/>
      </c>
      <c r="QN47" s="43" t="str">
        <f t="shared" si="159"/>
        <v/>
      </c>
      <c r="QO47" s="43" t="str">
        <f t="shared" si="160"/>
        <v/>
      </c>
      <c r="QP47" s="43" t="str">
        <f t="shared" si="161"/>
        <v/>
      </c>
      <c r="QQ47" s="43" t="str">
        <f t="shared" si="162"/>
        <v/>
      </c>
      <c r="QR47" s="43">
        <f t="shared" si="192"/>
        <v>37</v>
      </c>
      <c r="QS47" s="43"/>
      <c r="QT47" s="21" t="str">
        <f t="shared" si="163"/>
        <v/>
      </c>
      <c r="QU47" s="21" t="str">
        <f t="shared" si="164"/>
        <v/>
      </c>
      <c r="QV47" s="21" t="str">
        <f t="shared" si="165"/>
        <v/>
      </c>
      <c r="QW47" s="21" t="str">
        <f t="shared" si="166"/>
        <v/>
      </c>
      <c r="QX47" s="21" t="str">
        <f t="shared" si="167"/>
        <v/>
      </c>
      <c r="QY47" s="21" t="str">
        <f t="shared" si="168"/>
        <v/>
      </c>
      <c r="QZ47" s="21" t="str">
        <f t="shared" si="169"/>
        <v/>
      </c>
      <c r="RA47" s="21" t="str">
        <f t="shared" si="170"/>
        <v/>
      </c>
      <c r="RB47" s="21" t="str">
        <f t="shared" si="171"/>
        <v/>
      </c>
      <c r="RC47" s="21" t="str">
        <f t="shared" si="172"/>
        <v/>
      </c>
      <c r="RD47" s="21" t="str">
        <f t="shared" si="173"/>
        <v/>
      </c>
      <c r="RE47" s="21" t="str">
        <f t="shared" si="174"/>
        <v/>
      </c>
      <c r="RF47" s="21" t="str">
        <f t="shared" si="175"/>
        <v/>
      </c>
      <c r="RG47" s="21" t="str">
        <f t="shared" si="176"/>
        <v/>
      </c>
      <c r="RH47" s="21" t="str">
        <f t="shared" si="177"/>
        <v/>
      </c>
      <c r="RI47" s="21" t="str">
        <f t="shared" si="178"/>
        <v/>
      </c>
      <c r="RJ47" s="21" t="str">
        <f t="shared" si="179"/>
        <v/>
      </c>
      <c r="RK47" s="21" t="str">
        <f t="shared" si="180"/>
        <v/>
      </c>
      <c r="RL47" s="21" t="str">
        <f t="shared" si="181"/>
        <v/>
      </c>
      <c r="RM47" s="21" t="str">
        <f t="shared" si="182"/>
        <v/>
      </c>
      <c r="RN47" s="21" t="str">
        <f t="shared" si="183"/>
        <v/>
      </c>
      <c r="RO47" s="21" t="str">
        <f t="shared" si="184"/>
        <v/>
      </c>
      <c r="RP47" s="21" t="str">
        <f t="shared" si="185"/>
        <v/>
      </c>
      <c r="RQ47" s="21" t="str">
        <f t="shared" si="186"/>
        <v/>
      </c>
      <c r="RR47" s="21" t="str">
        <f t="shared" si="187"/>
        <v/>
      </c>
      <c r="RS47" s="21" t="str">
        <f t="shared" si="188"/>
        <v/>
      </c>
      <c r="RT47" s="21" t="str">
        <f t="shared" si="189"/>
        <v/>
      </c>
      <c r="RU47" s="21" t="str">
        <f t="shared" si="190"/>
        <v/>
      </c>
      <c r="RV47" s="21">
        <f t="shared" si="191"/>
        <v>20.285714285714285</v>
      </c>
      <c r="RW47" s="284">
        <f>IF(OR(Tabla1[[#This Row],[FUM FORMULA CONFIABLE]]="",Tabla1[[#This Row],[FUM FORMULA CONFIABLE]]="SD"),"",IF(Tabla1[[#This Row],[FUM FORMULA CONFIABLE]]="CORREGIDA",Tabla1[[#This Row],[FUM X ECO 1]],Tabla1[[#This Row],[FUM x AMENORREA]]))</f>
        <v>44735</v>
      </c>
      <c r="RX47" s="21">
        <f>IF(AND(Tabla1[[#This Row],[FUM X ECO 1]]="",Tabla1[[#This Row],[FUM x AMENORREA]]=""),"",IF(AND(Tabla1[[#This Row],[FUM X ECO 1]]="",Tabla1[[#This Row],[FUM x AMENORREA]]&lt;&gt;""),"X",SUM(Tabla1[[#This Row],[FUM X ECO 1]]-Tabla1[[#This Row],[FUM x AMENORREA]])))</f>
        <v>0</v>
      </c>
      <c r="RY47" s="21">
        <f t="shared" si="193"/>
        <v>0</v>
      </c>
    </row>
    <row r="48" spans="1:493" ht="45" customHeight="1" x14ac:dyDescent="0.25">
      <c r="A48" s="109" t="s">
        <v>1120</v>
      </c>
      <c r="B48" s="43" t="s">
        <v>1121</v>
      </c>
      <c r="C48" s="43" t="s">
        <v>845</v>
      </c>
      <c r="D48" s="124" t="s">
        <v>846</v>
      </c>
      <c r="E48" s="43" t="s">
        <v>1122</v>
      </c>
      <c r="F48" s="43" t="s">
        <v>1123</v>
      </c>
      <c r="G48" s="43" t="s">
        <v>1124</v>
      </c>
      <c r="H48" s="43"/>
      <c r="I48" s="109" t="s">
        <v>851</v>
      </c>
      <c r="J48" s="110">
        <v>1059607246</v>
      </c>
      <c r="K48" s="43" t="s">
        <v>852</v>
      </c>
      <c r="L48" s="175" t="s">
        <v>853</v>
      </c>
      <c r="M48" s="22">
        <v>36423</v>
      </c>
      <c r="N48" s="213">
        <f t="shared" ca="1" si="0"/>
        <v>24.136986301369863</v>
      </c>
      <c r="O48" s="22">
        <v>44880</v>
      </c>
      <c r="P48" s="214" t="str">
        <f t="shared" si="194"/>
        <v>SI</v>
      </c>
      <c r="Q48" s="26" t="s">
        <v>855</v>
      </c>
      <c r="R48" s="22">
        <v>44880</v>
      </c>
      <c r="S48" s="21" t="s">
        <v>856</v>
      </c>
      <c r="T48" s="24" t="s">
        <v>690</v>
      </c>
      <c r="U48" s="21" t="s">
        <v>857</v>
      </c>
      <c r="V48" s="21" t="s">
        <v>858</v>
      </c>
      <c r="W48" s="21" t="s">
        <v>1125</v>
      </c>
      <c r="X48" s="21" t="s">
        <v>1125</v>
      </c>
      <c r="Y48" s="21" t="s">
        <v>859</v>
      </c>
      <c r="Z48" s="21">
        <v>3206323014</v>
      </c>
      <c r="AA48" s="21" t="s">
        <v>860</v>
      </c>
      <c r="AB48" s="27" t="s">
        <v>861</v>
      </c>
      <c r="AC48" s="26" t="s">
        <v>862</v>
      </c>
      <c r="AD48" s="38" t="s">
        <v>846</v>
      </c>
      <c r="AE48" s="26" t="s">
        <v>854</v>
      </c>
      <c r="AF48" s="26" t="s">
        <v>854</v>
      </c>
      <c r="AG48" s="23" t="s">
        <v>864</v>
      </c>
      <c r="AH48" s="23" t="s">
        <v>864</v>
      </c>
      <c r="AI48" s="24" t="s">
        <v>863</v>
      </c>
      <c r="AJ48" s="23" t="s">
        <v>864</v>
      </c>
      <c r="AK48" s="220" t="str">
        <f>IF(AND(AD48="",AE48="",AF48="",AG48="",AH48="",AI48="",AJ48=""),"",IF(OR(Tabla1[[#This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EVALUACIÓN",IF(AND(O48="",R48=""),"",IF(AND(OR(O48&gt;0,R48&gt;0),NG48&gt;=0,NG48&lt;2),"SIN RIESGO",IF(AND(OR(O48&gt;0,R48&gt;0),NG48&gt;=2),"CON RIESGO","ASD")))))</f>
        <v>SIN RIESGO</v>
      </c>
      <c r="AL48" s="23" t="s">
        <v>864</v>
      </c>
      <c r="AM48" s="26" t="s">
        <v>864</v>
      </c>
      <c r="AN48" s="26" t="s">
        <v>864</v>
      </c>
      <c r="AO48" s="26" t="s">
        <v>864</v>
      </c>
      <c r="AP48" s="26" t="s">
        <v>864</v>
      </c>
      <c r="AQ48" s="26" t="s">
        <v>864</v>
      </c>
      <c r="AR48" s="26" t="s">
        <v>864</v>
      </c>
      <c r="AS48" s="21">
        <v>0</v>
      </c>
      <c r="AT48" s="21">
        <v>0</v>
      </c>
      <c r="AU48" s="21">
        <v>0</v>
      </c>
      <c r="AV48" s="26" t="s">
        <v>864</v>
      </c>
      <c r="AW48" s="21">
        <v>0</v>
      </c>
      <c r="AX48" s="26" t="s">
        <v>864</v>
      </c>
      <c r="AY48" s="26" t="s">
        <v>864</v>
      </c>
      <c r="AZ48" s="26" t="s">
        <v>864</v>
      </c>
      <c r="BA48" s="26" t="s">
        <v>864</v>
      </c>
      <c r="BB48" s="26" t="s">
        <v>864</v>
      </c>
      <c r="BC48" s="26" t="s">
        <v>864</v>
      </c>
      <c r="BD48" s="26" t="s">
        <v>864</v>
      </c>
      <c r="BE48" s="26" t="s">
        <v>864</v>
      </c>
      <c r="BF48" s="26" t="s">
        <v>864</v>
      </c>
      <c r="BG48" s="26" t="s">
        <v>864</v>
      </c>
      <c r="BH48" s="26" t="s">
        <v>864</v>
      </c>
      <c r="BI48" s="26" t="s">
        <v>864</v>
      </c>
      <c r="BJ48" s="26"/>
      <c r="BK48" s="26"/>
      <c r="BL48" s="26" t="s">
        <v>864</v>
      </c>
      <c r="BM48" s="26" t="s">
        <v>864</v>
      </c>
      <c r="BN48" s="22">
        <v>44245</v>
      </c>
      <c r="BO48" s="22">
        <v>44776</v>
      </c>
      <c r="BP48" s="21" t="s">
        <v>854</v>
      </c>
      <c r="BQ48" s="222">
        <f t="shared" si="2"/>
        <v>17.7</v>
      </c>
      <c r="BR48" s="223">
        <f t="shared" si="3"/>
        <v>44776</v>
      </c>
      <c r="BS48" s="224">
        <f t="shared" si="4"/>
        <v>14.857142857142858</v>
      </c>
      <c r="BT48" s="216" t="str">
        <f t="shared" si="5"/>
        <v>II TRIM</v>
      </c>
      <c r="BU48" s="214" t="str">
        <f t="shared" ca="1" si="6"/>
        <v/>
      </c>
      <c r="BV48" s="25"/>
      <c r="BW48" s="22">
        <v>44902</v>
      </c>
      <c r="BX48" s="28">
        <v>18</v>
      </c>
      <c r="BY48" s="28"/>
      <c r="BZ48" s="22"/>
      <c r="CA48" s="21"/>
      <c r="CB48" s="26" t="s">
        <v>864</v>
      </c>
      <c r="CC48" s="26" t="s">
        <v>864</v>
      </c>
      <c r="CD48" s="26" t="s">
        <v>878</v>
      </c>
      <c r="CE48" s="26" t="s">
        <v>864</v>
      </c>
      <c r="CF48" s="22" t="s">
        <v>1517</v>
      </c>
      <c r="CG48" s="21">
        <v>1.64</v>
      </c>
      <c r="CH48" s="21">
        <v>68</v>
      </c>
      <c r="CI48" s="214">
        <f t="shared" si="7"/>
        <v>25.282569898869724</v>
      </c>
      <c r="CJ48" s="225" t="e">
        <f>IF(AND(CI48&lt;10,CH48="SD"),"SIN DATO PESO PREGESTACION O I TRIM",IF(AND(OR(R48&gt;0,O48&gt;0),CI48="X"),"INGRESAR DATO DE PESO",IF(CI48="SD","INGRESAR DATO DE TALLA Y PESO",IF(AND(OR(Tabla1[[#This Row],[MOMENTO EN QUE SE REALIZA EL PESO AL INGRESO A CPN]]="PREGESTACIÓN",NZ48="Menor"),CI48&lt;18.5),"BAJO PESO",IF(AND(OR(Tabla1[[#This Row],[MOMENTO EN QUE SE REALIZA EL PESO AL INGRESO A CPN]]="PREGESTACIÓN",NZ48="Menor"),CI48&lt;25),"NORMAL",IF(AND(OR(Tabla1[[#This Row],[MOMENTO EN QUE SE REALIZA EL PESO AL INGRESO A CPN]]="PREGESTACIÓN",NZ48="Menor"),CI48&lt;30),"SOBREPESO",IF(AND(OR(Tabla1[[#This Row],[MOMENTO EN QUE SE REALIZA EL PESO AL INGRESO A CPN]]="PREGESTACIÓN",NZ48="Menor"),CI48&gt;=30,CI48&lt;50),"OBESIDAD",IF(AND(BS48&gt;0,Tabla1[[#This Row],[MOMENTO EN QUE SE REALIZA EL PESO AL INGRESO A CPN]]="GESTACIÓN"),HLOOKUP(NZ48,$OA$2:PH48,NY48),""))))))))</f>
        <v>#REF!</v>
      </c>
      <c r="CK48" s="212">
        <f t="shared" si="8"/>
        <v>45045</v>
      </c>
      <c r="CL48" s="21"/>
      <c r="CM48" s="214">
        <f t="shared" si="9"/>
        <v>0</v>
      </c>
      <c r="CN48" s="216">
        <f t="shared" si="10"/>
        <v>38</v>
      </c>
      <c r="CO48" s="216" t="e">
        <f>IF(PI48="","",IF(PI48&gt;0,HLOOKUP(PI48,$PJ$2:QQ48,NY48),""))</f>
        <v>#REF!</v>
      </c>
      <c r="CP48" s="21"/>
      <c r="CQ48" s="216" t="e">
        <f>IF(QR48="Menor","NO APLICA-MENOR 13 SEM",IF(AND(CC48="SI",CN48&gt;23),"NO APLICA- GEMELAR",IF(QR48="","",IF(QR48&gt;0,HLOOKUP(QR48,$QS$2:RU48,NY48),""))))</f>
        <v>#REF!</v>
      </c>
      <c r="CR48" s="21">
        <v>100</v>
      </c>
      <c r="CS48" s="21">
        <v>70</v>
      </c>
      <c r="CT48" s="217" t="str">
        <f>IF(R48="","",IF(AND(BS48&gt;1,BS48&lt;12,Tabla1[[#This Row],[T.A. SISTOLICA - ANTES DE SEMANA 12]]="",Tabla1[[#This Row],[T.A. DIASTOLICA - ANTES DE SEMANA 12]]=""),"REGISTRE DATO TA ANTES SEMANA 12",IF(AND(BS48&gt;11,BS48&lt;43,Tabla1[[#This Row],[T.A. SISTOLICA - ANTES DE SEMANA 12]]="",Tabla1[[#This Row],[T.A. DIASTOLICA - ANTES DE SEMANA 12]]=""),"NO APLICA REGISTRO TA-INGRESO TARDIO",IF(AND(OR(O48&gt;0,R48&gt;0),OR(CR48&gt;=140,CS48&gt;=90)),"DEFINIR ESTADIO HTA",IF(AND(OR(O48&gt;0,R48&gt;0),AND(CR48&gt;120,CR48&lt;=139)),"PRE HTA SEGUIMIENTO",IF(AND(OR(O48&gt;0,R48&gt;0),AND(CS48&gt;80,CS48&lt;=89)),"PRE HTA SEGUIMIENTO",IF(AND(OR(O48&gt;0,R48&gt;0),AND(CR48&gt;=80,CR48&lt;=120)),"APARENTEMENTE NORMAL",IF(AND(OR(O48&gt;0,R48&gt;0),AND(CS48&gt;=50,CS48&lt;=80)),"APARENTEMENTE NORMAL",IF(AND(OR(O48&gt;0,R48&gt;0),AND(CR48&gt;1,CR48&lt;=70),AND(CS48&gt;1,CS48&lt;=40)),"HIPOTENSIÓN","")))))))))</f>
        <v>APARENTEMENTE NORMAL</v>
      </c>
      <c r="CU48" s="21">
        <v>100</v>
      </c>
      <c r="CV48" s="21">
        <v>60</v>
      </c>
      <c r="CW48" s="217" t="str">
        <f ca="1">IF(R48="","",IF(AND(CN48&gt;19,CN48&lt;27,Tabla1[[#This Row],[T.A. SISTOLICA (Entre semana 20 y 26)]]="",Tabla1[[#This Row],[T.A. DIATOLICA (Entre semana 20 y 26)]]=""),"ACUDE A CONTROL SEM 20 A 26 REGISTRE TA AHORA",IF(AND(BS48&gt;1,BS48&lt;27,BU48&gt;19,Tabla1[[#This Row],[T.A. SISTOLICA (Entre semana 20 y 26)]]="",Tabla1[[#This Row],[T.A. DIATOLICA (Entre semana 20 y 26)]]=""),"COMPLETE REGISTRO TA CONTROL SEM 20 A26 ",IF(AND(BS48&gt;26,BS48&lt;43,Tabla1[[#This Row],[T.A. SISTOLICA (Entre semana 20 y 26)]]="",Tabla1[[#This Row],[T.A. DIATOLICA (Entre semana 20 y 26)]]=""),"NO APLICA REGISTRO TA-INGRESO TARDIO",IF(AND(OR(O48&gt;0,R48&gt;0),OR(CU48&gt;=140,CV48&gt;=90)),"ALTO RIESGO PREECLAMPSIA,DEFINIR ESTADIO HTA",IF(AND(OR(O48&gt;0,R48&gt;0),AND(CU48&gt;120,CU48&lt;=139)),"PRE HTA SEGUIMIENTO,RIESGO HIPERTENSION INDUCIDA POR EL EMBARAZO",IF(AND(OR(O48&gt;0,R48&gt;0),AND(CV48&gt;80,CV48&lt;=89)),"PRE HTA SEGUIMIENTO, RIESGO HIPERTENSION INDUCIDA POR EL EMBARAZO",IF(AND(OR(O48&lt;&gt;"",R48&lt;&gt;""),CS48&lt;&gt;"",CV48&lt;&gt;"",CS48&lt;=CV48),"VIGILAR CIFRAS PRESION ARTERIAL",IF(AND(OR(O48&gt;0,R48&gt;0),AND(CU48&gt;120,CU48&lt;=139)),"PRE HTA SEGUIMIENTO",IF(AND(OR(O48&gt;0,R48&gt;0),AND(CU48&gt;1,CU48&lt;=70),AND(CV48&gt;1,CV48&lt;=40)),"HIPOTENSIÓN",IF(AND(OR(O48&lt;&gt;"",R48&lt;&gt;""),CS48&lt;&gt;"",CV48&lt;&gt;"",CS48&gt;CV48),"APARENTEMENTE NORMAL",IF(AND(OR(O48&gt;0,R48&gt;0),AND(CU48&gt;=80,CU48&lt;=120)),"APARENTEMENTE NORMAL",IF(AND(OR(O48&gt;0,R48&gt;0),AND(CV48&gt;=50,CV48&lt;=80)),"APARENTEMENTE NORMAL","")))))))))))))</f>
        <v>APARENTEMENTE NORMAL</v>
      </c>
      <c r="CX48" s="21"/>
      <c r="CY48" s="21"/>
      <c r="CZ48" s="216" t="str">
        <f t="shared" si="195"/>
        <v/>
      </c>
      <c r="DA48" s="21"/>
      <c r="DB48" s="21"/>
      <c r="DC48" s="217" t="str">
        <f t="shared" si="12"/>
        <v>REGISTRE DATO PRESIÓN ARTERIAL MENSUAL</v>
      </c>
      <c r="DD48" s="22">
        <v>44880</v>
      </c>
      <c r="DE48" s="22">
        <v>44880</v>
      </c>
      <c r="DF48" s="22">
        <v>44911</v>
      </c>
      <c r="DG48" s="22">
        <v>44951</v>
      </c>
      <c r="DH48" s="22">
        <v>44982</v>
      </c>
      <c r="DI48" s="22">
        <v>45014</v>
      </c>
      <c r="DJ48" s="22">
        <v>45045</v>
      </c>
      <c r="DK48" s="22"/>
      <c r="DL48" s="22"/>
      <c r="DM48" s="22"/>
      <c r="DN48" s="22"/>
      <c r="DO48" s="22"/>
      <c r="DP48" s="22"/>
      <c r="DQ48" s="22"/>
      <c r="DR48" s="28">
        <v>2</v>
      </c>
      <c r="DS48" s="22"/>
      <c r="DT48" s="22"/>
      <c r="DU48" s="216" t="str">
        <f t="shared" ca="1" si="196"/>
        <v>SALE SIN PLAN DE PARTO</v>
      </c>
      <c r="DV48" s="226" t="str">
        <f t="shared" si="197"/>
        <v>SALIO PROGRAMA</v>
      </c>
      <c r="DW4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8" s="216" t="str">
        <f t="shared" ca="1" si="15"/>
        <v/>
      </c>
      <c r="DY48" s="212">
        <f>IF(R48="","",IF(R48&gt;0,MAX(Tabla1[[#This Row],[FECHA C2]:[FECHA C13]],Tabla1[[#This Row],[FECHA CONSULTA PRIMERA VEZ PROGRAMA CPN ]])))</f>
        <v>45045</v>
      </c>
      <c r="DZ48" s="216">
        <f t="shared" si="16"/>
        <v>38</v>
      </c>
      <c r="EA48" s="222">
        <f>IF(R48&gt;0,SUM(COUNTA(DF48:DQ48)+COUNTA(Tabla1[[#This Row],[FECHA CONSULTA PRIMERA VEZ PROGRAMA CPN ]])),"")</f>
        <v>6</v>
      </c>
      <c r="EB48" s="222" t="str">
        <f t="shared" si="17"/>
        <v>SI</v>
      </c>
      <c r="EC48" s="214">
        <f t="shared" si="18"/>
        <v>8</v>
      </c>
      <c r="ED48" s="227">
        <f t="shared" si="19"/>
        <v>0.75</v>
      </c>
      <c r="EE48" s="22">
        <v>44880</v>
      </c>
      <c r="EF48" s="22">
        <v>44880</v>
      </c>
      <c r="EG48" s="22">
        <v>44880</v>
      </c>
      <c r="EH48" s="22"/>
      <c r="EI48" s="22">
        <v>44880</v>
      </c>
      <c r="EJ48" s="22">
        <v>44902</v>
      </c>
      <c r="EK48" s="22">
        <v>45044</v>
      </c>
      <c r="EL48" s="21">
        <v>1</v>
      </c>
      <c r="EM48" s="21">
        <v>13.4</v>
      </c>
      <c r="EN48" s="22">
        <v>44880</v>
      </c>
      <c r="EO48" s="222">
        <f t="shared" si="20"/>
        <v>14.857142857142858</v>
      </c>
      <c r="EP48" s="214" t="str">
        <f t="shared" si="21"/>
        <v>NORMAL- SUMINISTRAR SULFATO FERROSO</v>
      </c>
      <c r="EQ48" s="216" t="str">
        <f t="shared" si="22"/>
        <v>II TRIM</v>
      </c>
      <c r="ER48" s="24"/>
      <c r="ES48" s="22"/>
      <c r="ET48" s="29" t="str">
        <f t="shared" ca="1" si="198"/>
        <v>SALE SIN TAMIZAJE HEMOGLOBINA SEM 28</v>
      </c>
      <c r="EU48" s="25" t="str">
        <f t="shared" si="24"/>
        <v/>
      </c>
      <c r="EV48" s="24" t="s">
        <v>866</v>
      </c>
      <c r="EW48" s="24">
        <v>44880</v>
      </c>
      <c r="EX48" s="22"/>
      <c r="EY48" s="29">
        <f t="shared" si="199"/>
        <v>14.857142857142858</v>
      </c>
      <c r="EZ48" s="25" t="str">
        <f t="shared" ca="1" si="200"/>
        <v/>
      </c>
      <c r="FA48" s="21">
        <v>84</v>
      </c>
      <c r="FB48" s="22">
        <v>44880</v>
      </c>
      <c r="FC48" s="29">
        <f t="shared" si="27"/>
        <v>14.857142857142858</v>
      </c>
      <c r="FD48" s="29">
        <v>60</v>
      </c>
      <c r="FE48" s="29">
        <v>112</v>
      </c>
      <c r="FF48" s="29">
        <v>55</v>
      </c>
      <c r="FG48" s="21" t="str">
        <f t="shared" ca="1" si="28"/>
        <v>NORMAL</v>
      </c>
      <c r="FH48" s="31">
        <v>44981</v>
      </c>
      <c r="FI48" s="29">
        <f t="shared" si="29"/>
        <v>29.285714285714285</v>
      </c>
      <c r="FJ48" s="22"/>
      <c r="FK48" s="22"/>
      <c r="FL48" s="29" t="str">
        <f t="shared" ca="1" si="30"/>
        <v>NO APLICA-INGRESO TARDIO</v>
      </c>
      <c r="FM48" s="22" t="s">
        <v>867</v>
      </c>
      <c r="FN48" s="32">
        <v>44880</v>
      </c>
      <c r="FO48" s="29">
        <f t="shared" ca="1" si="201"/>
        <v>14.857142857142858</v>
      </c>
      <c r="FP48" s="22"/>
      <c r="FQ48" s="32"/>
      <c r="FR48" s="29" t="str">
        <f t="shared" ca="1" si="202"/>
        <v>PIERDE TOMA DE TAMIZAJE</v>
      </c>
      <c r="FS48" s="22"/>
      <c r="FT48" s="32"/>
      <c r="FU48" s="29" t="str">
        <f>IF(AND(FJ48="",FM48="",FP48="",FS48=""),"",IF(OR(OR(Tabla1[[#This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8" s="28"/>
      <c r="FW48" s="22"/>
      <c r="FX48" s="29" t="str">
        <f t="shared" si="33"/>
        <v>TOMAR EXAMEN</v>
      </c>
      <c r="FY48" s="22">
        <v>44880</v>
      </c>
      <c r="FZ48" s="22">
        <v>44880</v>
      </c>
      <c r="GA48" s="29" t="str">
        <f t="shared" si="203"/>
        <v>REGISTRAR EN II TRIMESTRE</v>
      </c>
      <c r="GB48" s="22" t="s">
        <v>868</v>
      </c>
      <c r="GC48" s="22">
        <v>44880</v>
      </c>
      <c r="GD48" s="29">
        <f t="shared" ca="1" si="204"/>
        <v>14.857142857142858</v>
      </c>
      <c r="GE48" s="22"/>
      <c r="GF48" s="22"/>
      <c r="GG48" s="29" t="str">
        <f t="shared" ca="1" si="205"/>
        <v>PIERDE TOMA DE TAMIZAJE</v>
      </c>
      <c r="GH48" s="22"/>
      <c r="GI48" s="29"/>
      <c r="GJ48" s="22"/>
      <c r="GK48" s="22"/>
      <c r="GL48" s="22" t="s">
        <v>879</v>
      </c>
      <c r="GM48" s="22"/>
      <c r="GN48" s="28" t="s">
        <v>869</v>
      </c>
      <c r="GO48" s="22">
        <v>44880</v>
      </c>
      <c r="GP48" s="29">
        <f t="shared" si="37"/>
        <v>14.857142857142858</v>
      </c>
      <c r="GQ48" s="28" t="s">
        <v>869</v>
      </c>
      <c r="GR48" s="28" t="s">
        <v>869</v>
      </c>
      <c r="GS48" s="22" t="str">
        <f t="shared" si="206"/>
        <v>CONTROL Igm</v>
      </c>
      <c r="GT48" s="22">
        <v>44880</v>
      </c>
      <c r="GU48" s="29">
        <f t="shared" si="39"/>
        <v>14.857142857142858</v>
      </c>
      <c r="GV48" s="21" t="str">
        <f t="shared" si="40"/>
        <v>II TRIM</v>
      </c>
      <c r="GW48" s="28" t="s">
        <v>869</v>
      </c>
      <c r="GX48" s="30"/>
      <c r="GY48" s="21"/>
      <c r="GZ48" s="21"/>
      <c r="HA48" s="21"/>
      <c r="HB48" s="21"/>
      <c r="HC48" s="21"/>
      <c r="HD48" s="21"/>
      <c r="HE48" s="21"/>
      <c r="HF48" s="22"/>
      <c r="HG48" s="22" t="str">
        <f>IF(OR(O48&gt;0,R48&gt;0),CONCATENATE(IF(Tabla1[[#This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8" s="22" t="e">
        <f t="shared" si="41"/>
        <v>#REF!</v>
      </c>
      <c r="HI48" s="22" t="e">
        <f t="shared" ca="1" si="42"/>
        <v>#REF!</v>
      </c>
      <c r="HJ48" s="21"/>
      <c r="HK48" s="21" t="str">
        <f t="shared" si="44"/>
        <v>SIN ANTECEDENTES DE RIESGO</v>
      </c>
      <c r="HL48" s="24" t="str">
        <f t="shared" si="45"/>
        <v>REGISTRE DATO PRESIÓN ARTERIAL MENSUAL</v>
      </c>
      <c r="HM48" s="21" t="str">
        <f t="shared" ca="1" si="46"/>
        <v/>
      </c>
      <c r="HN48" s="30" t="str">
        <f t="shared" si="207"/>
        <v>SALIO PROGRAMA</v>
      </c>
      <c r="HO48" s="21"/>
      <c r="HP48" s="21"/>
      <c r="HQ48" s="21"/>
      <c r="HR48" s="21" t="str">
        <f>IF(R48="","",IF(Tabla1[[#This Row],[ALARMA FACTORES DE RIESGO COMPLICACIONES HIPERTENSIVAS3]]="SIN ANTECEDENTES DE RIESGO","No Aplica para suministro de ASA",IF(AND(Tabla1[[#This Row],[FECHA INICIO DE SUMINISTRO DE ASA]]&gt;0,RV48&lt;12),"Inicia ASA ANTES de Sem 12",IF(AND(RV48&gt;11,RV48&lt;17,OR(HK48="RIESGO ALTO DE COMPLICACIONES HIPERTENSIVAS VER MANEJO GUIA SUMINISTRO ASA Y CALCIO",HK48="RIESGO MODERADO (2 O MAS CRITERIOS) VER MANEJO GUIA SUMINISTRO ASA Y CALCIO")),"Inicio oportuno de ASA",IF(AND(RV48&gt;12,OR(HK48="RIESGO ALTO DE COMPLICACIONES HIPERTENSIVAS VER MANEJO GUIA SUMINISTRO ASA Y CALCIO",HK48="RIESGO MODERADO (2 O MAS CRITERIOS) VER MANEJO GUIA SUMINISTRO ASA Y CALCIO")),"Inicio no oportuno mayor a 16 semanas",IF(AND(BU48&lt;12,OR(HK48="RIESGO ALTO DE COMPLICACIONES HIPERTENSIVAS VER MANEJO GUIA SUMINISTRO ASA Y CALCIO",HK48="RIESGO MODERADO (2 O MAS CRITERIOS) VER MANEJO GUIA SUMINISTRO ASA Y CALCIO")),"Pendiente Inicio de ASA a la semana 12",IF(AND(BU48&gt;11,BU48&lt;17,OR(HK48="RIESGO ALTO DE COMPLICACIONES HIPERTENSIVAS VER MANEJO GUIA SUMINISTRO ASA Y CALCIO",HK48="RIESGO MODERADO (2 O MAS CRITERIOS) VER MANEJO GUIA SUMINISTRO ASA Y CALCIO")),"Iniciar de inmediato ASA",IF(AND(BU48&gt;16,OR(HK48="RIESGO ALTO DE COMPLICACIONES HIPERTENSIVAS VER MANEJO GUIA SUMINISTRO ASA Y CALCIO",HK48="RIESGO MODERADO (2 O MAS CRITERIOS) VER MANEJO GUIA SUMINISTRO ASA Y CALCIO")),"Pierde Oportunidad, Inicio tardío de ASA","XXXXX"))))))))</f>
        <v>No Aplica para suministro de ASA</v>
      </c>
      <c r="HS48" s="22"/>
      <c r="HT48" s="22" t="s">
        <v>870</v>
      </c>
      <c r="HU48" s="22">
        <v>44880</v>
      </c>
      <c r="HV48" s="22" t="s">
        <v>870</v>
      </c>
      <c r="HW48" s="22">
        <v>44880</v>
      </c>
      <c r="HX48" s="22" t="s">
        <v>870</v>
      </c>
      <c r="HY48" s="22">
        <v>44880</v>
      </c>
      <c r="HZ48" s="28">
        <f t="shared" si="48"/>
        <v>14.857142857142858</v>
      </c>
      <c r="IA48" s="26" t="s">
        <v>864</v>
      </c>
      <c r="IB48" s="26"/>
      <c r="IC48" s="111"/>
      <c r="ID48" s="22"/>
      <c r="IE48" s="22" t="str">
        <f t="shared" ca="1" si="49"/>
        <v>SALE SIN VACUNA</v>
      </c>
      <c r="IF48" s="22"/>
      <c r="IG48" s="22">
        <f t="shared" si="50"/>
        <v>45056</v>
      </c>
      <c r="IH48" s="29">
        <f t="shared" ca="1" si="51"/>
        <v>-177</v>
      </c>
      <c r="II48" s="22" t="str">
        <f t="shared" ca="1" si="52"/>
        <v>POSIBLEMENTE NACIO</v>
      </c>
      <c r="IJ48" s="22"/>
      <c r="IK48" s="21" t="s">
        <v>898</v>
      </c>
      <c r="IL48" s="21"/>
      <c r="IM48" s="34"/>
      <c r="IN48" s="349">
        <v>45064</v>
      </c>
      <c r="IO48" s="21" t="s">
        <v>1186</v>
      </c>
      <c r="IP48" s="29">
        <f t="shared" si="208"/>
        <v>41.142857142857146</v>
      </c>
      <c r="IQ48" s="35" t="s">
        <v>1650</v>
      </c>
      <c r="IR48" s="21" t="s">
        <v>1651</v>
      </c>
      <c r="IS48" s="21" t="s">
        <v>1646</v>
      </c>
      <c r="IT48" s="21" t="s">
        <v>1642</v>
      </c>
      <c r="IU48" s="21"/>
      <c r="IV48" s="21"/>
      <c r="IW48" s="21"/>
      <c r="IX48" s="21"/>
      <c r="IY48" s="21"/>
      <c r="IZ48" s="21"/>
      <c r="JA48" s="21"/>
      <c r="JB48" s="30">
        <v>1</v>
      </c>
      <c r="JC48" s="21" t="s">
        <v>1643</v>
      </c>
      <c r="JD48" s="36">
        <v>3650</v>
      </c>
      <c r="JE48" s="21" t="str">
        <f t="shared" si="209"/>
        <v>PESO ADECUADO EDAD GESTACIONAL</v>
      </c>
      <c r="JF48" s="30"/>
      <c r="JG48" s="21"/>
      <c r="JH48" s="21"/>
      <c r="JI48" s="21" t="s">
        <v>854</v>
      </c>
      <c r="JJ48" s="30" t="s">
        <v>866</v>
      </c>
      <c r="JK48" s="22"/>
      <c r="JL48" s="22"/>
      <c r="JM48" s="21"/>
      <c r="JN48" s="36"/>
      <c r="JO48" s="21" t="str">
        <f t="shared" si="210"/>
        <v/>
      </c>
      <c r="JP48" s="22"/>
      <c r="JQ48" s="21"/>
      <c r="JR48" s="21"/>
      <c r="JS48" s="21"/>
      <c r="JT48" s="30"/>
      <c r="JU48" s="22"/>
      <c r="JV48" s="22"/>
      <c r="JW48" s="33"/>
      <c r="JX48" s="28" t="str">
        <f t="shared" si="211"/>
        <v>INASISTENTE</v>
      </c>
      <c r="JY48" s="33"/>
      <c r="JZ48" s="28" t="str">
        <f t="shared" si="212"/>
        <v>INASISTENTE</v>
      </c>
      <c r="KA48" s="21"/>
      <c r="KB48" s="21"/>
      <c r="KC48" s="21"/>
      <c r="KD48" s="37"/>
      <c r="KE48" s="28"/>
      <c r="KF48" s="28"/>
      <c r="KG48" s="28"/>
      <c r="KH48" s="39"/>
      <c r="KI48" s="39"/>
      <c r="KJ48" s="66"/>
      <c r="KK48" s="39"/>
      <c r="KL48" s="39"/>
      <c r="KM48" s="66"/>
      <c r="KN48" s="39"/>
      <c r="KO48" s="39"/>
      <c r="KP48" s="39"/>
      <c r="KQ48" s="39"/>
      <c r="KR48" s="39"/>
      <c r="KS48" s="39"/>
      <c r="KT48" s="39"/>
      <c r="KU48" s="38"/>
      <c r="KV48" s="38"/>
      <c r="KW48" s="38"/>
      <c r="KX48" s="38"/>
      <c r="KY48" s="38"/>
      <c r="KZ48" s="38"/>
      <c r="LA48" s="38"/>
      <c r="LB48" s="38"/>
      <c r="LC48" s="38"/>
      <c r="LD48" s="38"/>
      <c r="LE48" s="38"/>
      <c r="LF48" s="38"/>
      <c r="LG48" s="38"/>
      <c r="LH48" s="38"/>
      <c r="LI48" s="38"/>
      <c r="LJ48" s="38"/>
      <c r="LK48" s="38"/>
      <c r="LL48" s="38"/>
      <c r="LM48" s="38"/>
      <c r="LN48" s="38"/>
      <c r="LO48" s="38"/>
      <c r="LP48" s="38"/>
      <c r="LQ48" s="38"/>
      <c r="LR48" s="38"/>
      <c r="LS48" s="38"/>
      <c r="LT48" s="38"/>
      <c r="LU48" s="38"/>
      <c r="LV48" s="38"/>
      <c r="LW48" s="38"/>
      <c r="LX48" s="38"/>
      <c r="LY48" s="38"/>
      <c r="LZ48" s="38"/>
      <c r="MA48" s="38"/>
      <c r="MB48" s="38"/>
      <c r="MC48" s="38"/>
      <c r="MD48" s="38"/>
      <c r="ME48" s="38"/>
      <c r="MF48" s="38"/>
      <c r="MG48" s="38"/>
      <c r="MH48" s="43">
        <f t="shared" si="213"/>
        <v>0</v>
      </c>
      <c r="MI48" s="43" t="str">
        <f t="shared" si="214"/>
        <v/>
      </c>
      <c r="MJ48" s="43" t="str">
        <f t="shared" si="215"/>
        <v/>
      </c>
      <c r="MK48" s="43">
        <f t="shared" si="216"/>
        <v>0</v>
      </c>
      <c r="ML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8" s="43">
        <f t="shared" si="217"/>
        <v>14.857142857142858</v>
      </c>
      <c r="MN48" s="43">
        <f t="shared" si="218"/>
        <v>11</v>
      </c>
      <c r="MO48" s="43">
        <f t="shared" si="219"/>
        <v>2022</v>
      </c>
      <c r="MP48" s="43" t="str">
        <f t="shared" si="220"/>
        <v>IV TRIMESTRE AÑO</v>
      </c>
      <c r="MQ48" s="43">
        <f t="shared" si="221"/>
        <v>22.818112133158124</v>
      </c>
      <c r="MR48" s="43">
        <f t="shared" si="222"/>
        <v>0</v>
      </c>
      <c r="MS48" s="43" t="str">
        <f t="shared" si="223"/>
        <v xml:space="preserve"> DE 20 A 24 AÑOS</v>
      </c>
      <c r="MT48" s="43">
        <f t="shared" si="224"/>
        <v>0</v>
      </c>
      <c r="MU48" s="43">
        <f t="shared" si="225"/>
        <v>1</v>
      </c>
      <c r="MV48" s="43">
        <f t="shared" si="226"/>
        <v>0</v>
      </c>
      <c r="MW48" s="43">
        <f t="shared" si="227"/>
        <v>0</v>
      </c>
      <c r="MX48" s="43" t="str">
        <f t="shared" si="228"/>
        <v/>
      </c>
      <c r="MY48" s="43" t="str">
        <f t="shared" ca="1" si="229"/>
        <v/>
      </c>
      <c r="MZ48" s="43" t="str">
        <f t="shared" si="230"/>
        <v/>
      </c>
      <c r="NA48" s="43">
        <f t="shared" si="231"/>
        <v>0</v>
      </c>
      <c r="NB48" s="43" t="str">
        <f t="shared" si="232"/>
        <v/>
      </c>
      <c r="NC48" s="43" t="str">
        <f t="shared" si="233"/>
        <v/>
      </c>
      <c r="ND48" s="43">
        <f t="shared" ca="1" si="234"/>
        <v>1</v>
      </c>
      <c r="NE48" s="43">
        <f>IF(OR(O48&gt;0,R48&gt;0),SUM(COUNTIF(Tabla1[[#This Row],[AÑOS AL INICIO5 CPN]],"&gt;=40"),COUNTIF(AS48,"0"),COUNTIF(AR48,"SI"),COUNTIF(CC48,"SI"),COUNTIF(BQ48,"&gt;119"),COUNTIF(CI48,"&gt;=35")),"")</f>
        <v>1</v>
      </c>
      <c r="NF48" s="43" t="str">
        <f t="shared" si="235"/>
        <v/>
      </c>
      <c r="NG48" s="43">
        <f t="shared" si="236"/>
        <v>0</v>
      </c>
      <c r="NH48" s="43">
        <f t="shared" si="237"/>
        <v>126</v>
      </c>
      <c r="NI4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CPN",P48="NO"),"Z",IF(AND(Tabla1[[#This Row],[CITA PROXIMO CONTROL]]="CITA MANUAL",Tabla1[[#This Row],[GESTANTES ACTUALES]]="ACTIVA INGRESO A CPN"),"W",IF(AND(Tabla1[[#This Row],[GESTANTES ACTUALES]]="SALIO PROGRAMA",IN48=""),"S",IF(AND(Tabla1[[#This Row],[CITA PROXIMO CONTROL]]&gt;0,IN48=""),(Tabla1[[#This Row],[CITA PROXIMO CONTROL]]-TODAY()),"SD"))))))))</f>
        <v>SD</v>
      </c>
      <c r="NJ48" s="43">
        <f>MONTH(Tabla1[[#This Row],[FECHA DE SALIDA  DEL PROGRAMA]])</f>
        <v>5</v>
      </c>
      <c r="NK48" s="43">
        <f>YEAR(Tabla1[[#This Row],[FECHA DE SALIDA  DEL PROGRAMA]])</f>
        <v>2023</v>
      </c>
      <c r="NL48" s="43">
        <f t="shared" si="238"/>
        <v>22</v>
      </c>
      <c r="NM48" s="43" t="str">
        <f t="shared" si="239"/>
        <v>NO</v>
      </c>
      <c r="NN48" s="43" t="str">
        <f ca="1">IF(AND(O48&gt;0,R48=""),"NO CPN",IF(AND(O48="",R48=""),"",IF(AND(R48&gt;0,Tabla1[[#This Row],[SEMANAS DE GESTACION ACTUALIZADAS]]&lt;=12),"NO APLICA",IF(AND(FH48&lt;&gt;"",FN48&lt;&gt;""),"SI","NO"))))</f>
        <v>SI</v>
      </c>
      <c r="NO48" s="43" t="str">
        <f ca="1">IF(AND(O48&gt;0,R48=""),"NO CPN",IF(AND(O48="",R48=""),"",IF(AND(R48&gt;0,Tabla1[[#This Row],[SEMANAS DE GESTACION ACTUALIZADAS]]&lt;=27),"NO APLICA",IF(AND(ES48&lt;&gt;"",FQ48&lt;&gt;"",GF48&lt;&gt;""),"SI","NO"))))</f>
        <v>NO</v>
      </c>
      <c r="NP48" s="204" t="str">
        <f t="shared" si="240"/>
        <v>II TRIM</v>
      </c>
      <c r="NQ48" s="21">
        <f t="shared" si="241"/>
        <v>1</v>
      </c>
      <c r="NR48" s="21">
        <f t="shared" si="242"/>
        <v>2</v>
      </c>
      <c r="NS48" s="205">
        <f t="shared" ca="1" si="243"/>
        <v>1</v>
      </c>
      <c r="NT48" s="21">
        <f t="shared" ca="1" si="244"/>
        <v>1</v>
      </c>
      <c r="NU48" s="21" t="str">
        <f t="shared" ca="1" si="245"/>
        <v>INCOMPLETO</v>
      </c>
      <c r="NV48" s="21" t="str">
        <f t="shared" ca="1" si="246"/>
        <v>INCOMPLETO</v>
      </c>
      <c r="NW48" s="206" t="str">
        <f>IF(AND(O48="",R48=""),"",IF(OR(AND(Tabla1[[#This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48" s="207" t="str">
        <f t="shared" ca="1" si="247"/>
        <v>SIN VACUNAR</v>
      </c>
      <c r="NY48" s="43">
        <f>ROW(Tabla1[[#This Row],['# DE TAMIZAJES SIFILIS TOMADOS ]])</f>
        <v>48</v>
      </c>
      <c r="NZ48" s="43">
        <f t="shared" si="93"/>
        <v>14</v>
      </c>
      <c r="OA48" s="43" t="str">
        <f t="shared" si="94"/>
        <v/>
      </c>
      <c r="OB48" s="43" t="str">
        <f t="shared" si="95"/>
        <v/>
      </c>
      <c r="OC48" s="43" t="str">
        <f t="shared" si="96"/>
        <v/>
      </c>
      <c r="OD48" s="43" t="str">
        <f t="shared" si="97"/>
        <v/>
      </c>
      <c r="OE48" s="43" t="str">
        <f t="shared" si="98"/>
        <v/>
      </c>
      <c r="OF48" s="43" t="str">
        <f t="shared" si="99"/>
        <v>NORMAL</v>
      </c>
      <c r="OG48" s="43" t="str">
        <f t="shared" si="100"/>
        <v/>
      </c>
      <c r="OH48" s="43" t="str">
        <f t="shared" si="101"/>
        <v/>
      </c>
      <c r="OI48" s="43" t="str">
        <f t="shared" si="102"/>
        <v/>
      </c>
      <c r="OJ48" s="43" t="str">
        <f t="shared" si="103"/>
        <v/>
      </c>
      <c r="OK48" s="43" t="str">
        <f t="shared" si="104"/>
        <v/>
      </c>
      <c r="OL48" s="43" t="str">
        <f t="shared" si="105"/>
        <v/>
      </c>
      <c r="OM48" s="43" t="str">
        <f t="shared" si="106"/>
        <v/>
      </c>
      <c r="ON48" s="43" t="str">
        <f t="shared" si="107"/>
        <v/>
      </c>
      <c r="OO48" s="43" t="str">
        <f t="shared" si="108"/>
        <v/>
      </c>
      <c r="OP48" s="43" t="str">
        <f t="shared" si="109"/>
        <v/>
      </c>
      <c r="OQ48" s="43" t="str">
        <f t="shared" si="110"/>
        <v/>
      </c>
      <c r="OR48" s="43" t="str">
        <f t="shared" si="111"/>
        <v/>
      </c>
      <c r="OS48" s="43" t="str">
        <f t="shared" si="112"/>
        <v/>
      </c>
      <c r="OT48" s="43" t="str">
        <f t="shared" si="113"/>
        <v/>
      </c>
      <c r="OU48" s="43" t="str">
        <f t="shared" si="114"/>
        <v/>
      </c>
      <c r="OV48" s="110" t="str">
        <f t="shared" si="115"/>
        <v/>
      </c>
      <c r="OW48" s="43" t="str">
        <f t="shared" si="116"/>
        <v/>
      </c>
      <c r="OX48" s="43" t="str">
        <f t="shared" si="117"/>
        <v/>
      </c>
      <c r="OY48" s="43" t="str">
        <f t="shared" si="118"/>
        <v/>
      </c>
      <c r="OZ48" s="43" t="str">
        <f t="shared" si="119"/>
        <v/>
      </c>
      <c r="PA48" s="43" t="str">
        <f t="shared" si="120"/>
        <v/>
      </c>
      <c r="PB48" s="43" t="str">
        <f t="shared" si="121"/>
        <v/>
      </c>
      <c r="PC48" s="43" t="str">
        <f t="shared" si="122"/>
        <v/>
      </c>
      <c r="PD48" s="43" t="str">
        <f t="shared" si="123"/>
        <v/>
      </c>
      <c r="PE48" s="43" t="str">
        <f t="shared" si="124"/>
        <v/>
      </c>
      <c r="PF48" s="43" t="str">
        <f t="shared" si="125"/>
        <v/>
      </c>
      <c r="PG48" s="43" t="str">
        <f t="shared" si="126"/>
        <v/>
      </c>
      <c r="PH48" s="43" t="str">
        <f t="shared" si="127"/>
        <v/>
      </c>
      <c r="PI48" s="43">
        <f t="shared" si="128"/>
        <v>38</v>
      </c>
      <c r="PJ48" s="43" t="str">
        <f t="shared" si="129"/>
        <v/>
      </c>
      <c r="PK48" s="43" t="str">
        <f t="shared" si="130"/>
        <v/>
      </c>
      <c r="PL48" s="43" t="str">
        <f t="shared" si="131"/>
        <v/>
      </c>
      <c r="PM48" s="43" t="str">
        <f t="shared" si="132"/>
        <v/>
      </c>
      <c r="PN48" s="43" t="str">
        <f t="shared" si="133"/>
        <v/>
      </c>
      <c r="PO48" s="43" t="str">
        <f t="shared" si="134"/>
        <v/>
      </c>
      <c r="PP48" s="43" t="str">
        <f t="shared" si="135"/>
        <v/>
      </c>
      <c r="PQ48" s="43" t="str">
        <f t="shared" si="136"/>
        <v/>
      </c>
      <c r="PR48" s="43" t="str">
        <f t="shared" si="137"/>
        <v/>
      </c>
      <c r="PS48" s="43" t="str">
        <f t="shared" si="138"/>
        <v/>
      </c>
      <c r="PT48" s="43" t="str">
        <f t="shared" si="139"/>
        <v/>
      </c>
      <c r="PU48" s="43" t="str">
        <f t="shared" si="140"/>
        <v/>
      </c>
      <c r="PV48" s="43" t="str">
        <f t="shared" si="141"/>
        <v/>
      </c>
      <c r="PW48" s="43" t="str">
        <f t="shared" si="142"/>
        <v/>
      </c>
      <c r="PX48" s="43" t="str">
        <f t="shared" si="143"/>
        <v/>
      </c>
      <c r="PY48" s="43" t="str">
        <f t="shared" si="144"/>
        <v/>
      </c>
      <c r="PZ48" s="43" t="str">
        <f t="shared" si="145"/>
        <v/>
      </c>
      <c r="QA48" s="43" t="str">
        <f t="shared" si="146"/>
        <v/>
      </c>
      <c r="QB48" s="43" t="str">
        <f t="shared" si="147"/>
        <v/>
      </c>
      <c r="QC48" s="43" t="str">
        <f t="shared" si="148"/>
        <v/>
      </c>
      <c r="QD48" s="43" t="str">
        <f t="shared" si="149"/>
        <v/>
      </c>
      <c r="QE48" s="43" t="str">
        <f t="shared" si="150"/>
        <v/>
      </c>
      <c r="QF48" s="43" t="str">
        <f t="shared" si="151"/>
        <v/>
      </c>
      <c r="QG48" s="43" t="str">
        <f t="shared" si="152"/>
        <v/>
      </c>
      <c r="QH48" s="43" t="str">
        <f t="shared" si="153"/>
        <v/>
      </c>
      <c r="QI48" s="43" t="str">
        <f t="shared" si="154"/>
        <v/>
      </c>
      <c r="QJ48" s="43" t="str">
        <f t="shared" si="155"/>
        <v/>
      </c>
      <c r="QK48" s="43" t="str">
        <f t="shared" si="156"/>
        <v/>
      </c>
      <c r="QL48" s="43" t="str">
        <f t="shared" si="157"/>
        <v/>
      </c>
      <c r="QM48" s="43" t="str">
        <f t="shared" si="158"/>
        <v/>
      </c>
      <c r="QN48" s="43" t="str">
        <f t="shared" si="159"/>
        <v/>
      </c>
      <c r="QO48" s="43" t="str">
        <f t="shared" si="160"/>
        <v/>
      </c>
      <c r="QP48" s="43" t="str">
        <f t="shared" si="161"/>
        <v/>
      </c>
      <c r="QQ48" s="43" t="str">
        <f t="shared" si="162"/>
        <v/>
      </c>
      <c r="QR48" s="43">
        <f t="shared" si="192"/>
        <v>38</v>
      </c>
      <c r="QS48" s="43"/>
      <c r="QT48" s="21" t="str">
        <f t="shared" si="163"/>
        <v/>
      </c>
      <c r="QU48" s="21" t="str">
        <f t="shared" si="164"/>
        <v/>
      </c>
      <c r="QV48" s="21" t="str">
        <f t="shared" si="165"/>
        <v/>
      </c>
      <c r="QW48" s="21" t="str">
        <f t="shared" si="166"/>
        <v/>
      </c>
      <c r="QX48" s="21" t="str">
        <f t="shared" si="167"/>
        <v/>
      </c>
      <c r="QY48" s="21" t="str">
        <f t="shared" si="168"/>
        <v/>
      </c>
      <c r="QZ48" s="21" t="str">
        <f t="shared" si="169"/>
        <v/>
      </c>
      <c r="RA48" s="21" t="str">
        <f t="shared" si="170"/>
        <v/>
      </c>
      <c r="RB48" s="21" t="str">
        <f t="shared" si="171"/>
        <v/>
      </c>
      <c r="RC48" s="21" t="str">
        <f t="shared" si="172"/>
        <v/>
      </c>
      <c r="RD48" s="21" t="str">
        <f t="shared" si="173"/>
        <v/>
      </c>
      <c r="RE48" s="21" t="str">
        <f t="shared" si="174"/>
        <v/>
      </c>
      <c r="RF48" s="21" t="str">
        <f t="shared" si="175"/>
        <v/>
      </c>
      <c r="RG48" s="21" t="str">
        <f t="shared" si="176"/>
        <v/>
      </c>
      <c r="RH48" s="21" t="str">
        <f t="shared" si="177"/>
        <v/>
      </c>
      <c r="RI48" s="21" t="str">
        <f t="shared" si="178"/>
        <v/>
      </c>
      <c r="RJ48" s="21" t="str">
        <f t="shared" si="179"/>
        <v/>
      </c>
      <c r="RK48" s="21" t="str">
        <f t="shared" si="180"/>
        <v/>
      </c>
      <c r="RL48" s="21" t="str">
        <f t="shared" si="181"/>
        <v/>
      </c>
      <c r="RM48" s="21" t="str">
        <f t="shared" si="182"/>
        <v/>
      </c>
      <c r="RN48" s="21" t="str">
        <f t="shared" si="183"/>
        <v/>
      </c>
      <c r="RO48" s="21" t="str">
        <f t="shared" si="184"/>
        <v/>
      </c>
      <c r="RP48" s="21" t="str">
        <f t="shared" si="185"/>
        <v/>
      </c>
      <c r="RQ48" s="21" t="str">
        <f t="shared" si="186"/>
        <v/>
      </c>
      <c r="RR48" s="21" t="str">
        <f t="shared" si="187"/>
        <v/>
      </c>
      <c r="RS48" s="21" t="str">
        <f t="shared" si="188"/>
        <v/>
      </c>
      <c r="RT48" s="21" t="str">
        <f t="shared" si="189"/>
        <v/>
      </c>
      <c r="RU48" s="21" t="str">
        <f t="shared" si="190"/>
        <v/>
      </c>
      <c r="RV48" s="21">
        <f t="shared" si="191"/>
        <v>-1</v>
      </c>
      <c r="RW48" s="284">
        <f>IF(OR(Tabla1[[#This Row],[FUM FORMULA CONFIABLE]]="",Tabla1[[#This Row],[FUM FORMULA CONFIABLE]]="SD"),"",IF(Tabla1[[#This Row],[FUM FORMULA CONFIABLE]]="CORREGIDA",Tabla1[[#This Row],[FUM X ECO 1]],Tabla1[[#This Row],[FUM x AMENORREA]]))</f>
        <v>44776</v>
      </c>
      <c r="RX48" s="21">
        <f>IF(AND(Tabla1[[#This Row],[FUM X ECO 1]]="",Tabla1[[#This Row],[FUM x AMENORREA]]=""),"",IF(AND(Tabla1[[#This Row],[FUM X ECO 1]]="",Tabla1[[#This Row],[FUM x AMENORREA]]&lt;&gt;""),"X",SUM(Tabla1[[#This Row],[FUM X ECO 1]]-Tabla1[[#This Row],[FUM x AMENORREA]])))</f>
        <v>0</v>
      </c>
      <c r="RY48" s="21">
        <f t="shared" si="193"/>
        <v>0</v>
      </c>
    </row>
    <row r="49" spans="1:493" ht="45" customHeight="1" x14ac:dyDescent="0.25">
      <c r="A49" s="109"/>
      <c r="B49" s="43" t="s">
        <v>890</v>
      </c>
      <c r="C49" s="43" t="s">
        <v>845</v>
      </c>
      <c r="D49" s="124" t="s">
        <v>846</v>
      </c>
      <c r="E49" s="43" t="s">
        <v>1126</v>
      </c>
      <c r="F49" s="43" t="s">
        <v>1127</v>
      </c>
      <c r="G49" s="43" t="s">
        <v>1128</v>
      </c>
      <c r="H49" s="43" t="s">
        <v>1129</v>
      </c>
      <c r="I49" s="109" t="s">
        <v>851</v>
      </c>
      <c r="J49" s="110">
        <v>1059594848</v>
      </c>
      <c r="K49" s="43" t="s">
        <v>852</v>
      </c>
      <c r="L49" s="175" t="s">
        <v>853</v>
      </c>
      <c r="M49" s="22">
        <v>38278</v>
      </c>
      <c r="N49" s="213">
        <f t="shared" ca="1" si="0"/>
        <v>19.054794520547944</v>
      </c>
      <c r="O49" s="22">
        <v>44849</v>
      </c>
      <c r="P49" s="214" t="str">
        <f t="shared" si="194"/>
        <v>SI</v>
      </c>
      <c r="Q49" s="26" t="s">
        <v>855</v>
      </c>
      <c r="R49" s="22">
        <v>44849</v>
      </c>
      <c r="S49" s="21" t="s">
        <v>856</v>
      </c>
      <c r="T49" s="24" t="s">
        <v>690</v>
      </c>
      <c r="U49" s="21" t="s">
        <v>857</v>
      </c>
      <c r="V49" s="21" t="s">
        <v>858</v>
      </c>
      <c r="W49" s="21" t="s">
        <v>893</v>
      </c>
      <c r="X49" s="21" t="s">
        <v>893</v>
      </c>
      <c r="Y49" s="21" t="s">
        <v>859</v>
      </c>
      <c r="Z49" s="21">
        <v>3145713832</v>
      </c>
      <c r="AA49" s="21" t="s">
        <v>860</v>
      </c>
      <c r="AB49" s="27" t="s">
        <v>861</v>
      </c>
      <c r="AC49" s="26" t="s">
        <v>862</v>
      </c>
      <c r="AD49" s="38" t="s">
        <v>1130</v>
      </c>
      <c r="AE49" s="26" t="s">
        <v>1131</v>
      </c>
      <c r="AF49" s="26" t="s">
        <v>854</v>
      </c>
      <c r="AG49" s="23" t="s">
        <v>864</v>
      </c>
      <c r="AH49" s="23" t="s">
        <v>864</v>
      </c>
      <c r="AI49" s="24" t="s">
        <v>863</v>
      </c>
      <c r="AJ49" s="23" t="s">
        <v>864</v>
      </c>
      <c r="AK49" s="220" t="str">
        <f>IF(AND(AD49="",AE49="",AF49="",AG49="",AH49="",AI49="",AJ49=""),"",IF(OR(Tabla1[[#This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EVALUACIÓN",IF(AND(O49="",R49=""),"",IF(AND(OR(O49&gt;0,R49&gt;0),NG49&gt;=0,NG49&lt;2),"SIN RIESGO",IF(AND(OR(O49&gt;0,R49&gt;0),NG49&gt;=2),"CON RIESGO","ASD")))))</f>
        <v>SIN RIESGO</v>
      </c>
      <c r="AL49" s="23" t="s">
        <v>864</v>
      </c>
      <c r="AM49" s="26" t="s">
        <v>864</v>
      </c>
      <c r="AN49" s="26" t="s">
        <v>864</v>
      </c>
      <c r="AO49" s="26" t="s">
        <v>864</v>
      </c>
      <c r="AP49" s="26" t="s">
        <v>864</v>
      </c>
      <c r="AQ49" s="26" t="s">
        <v>864</v>
      </c>
      <c r="AR49" s="26" t="s">
        <v>864</v>
      </c>
      <c r="AS49" s="21">
        <v>0</v>
      </c>
      <c r="AT49" s="21">
        <v>0</v>
      </c>
      <c r="AU49" s="21">
        <v>0</v>
      </c>
      <c r="AV49" s="26" t="s">
        <v>864</v>
      </c>
      <c r="AW49" s="21">
        <v>0</v>
      </c>
      <c r="AX49" s="26" t="s">
        <v>864</v>
      </c>
      <c r="AY49" s="26" t="s">
        <v>864</v>
      </c>
      <c r="AZ49" s="26" t="s">
        <v>864</v>
      </c>
      <c r="BA49" s="26" t="s">
        <v>864</v>
      </c>
      <c r="BB49" s="26" t="s">
        <v>864</v>
      </c>
      <c r="BC49" s="26" t="s">
        <v>864</v>
      </c>
      <c r="BD49" s="26" t="s">
        <v>864</v>
      </c>
      <c r="BE49" s="26" t="s">
        <v>864</v>
      </c>
      <c r="BF49" s="26" t="s">
        <v>864</v>
      </c>
      <c r="BG49" s="26" t="s">
        <v>864</v>
      </c>
      <c r="BH49" s="26" t="s">
        <v>864</v>
      </c>
      <c r="BI49" s="26" t="s">
        <v>864</v>
      </c>
      <c r="BJ49" s="26"/>
      <c r="BK49" s="26"/>
      <c r="BL49" s="26" t="s">
        <v>864</v>
      </c>
      <c r="BM49" s="26" t="s">
        <v>864</v>
      </c>
      <c r="BN49" s="22"/>
      <c r="BO49" s="22">
        <v>44756</v>
      </c>
      <c r="BP49" s="21" t="s">
        <v>854</v>
      </c>
      <c r="BQ49" s="222">
        <f t="shared" si="2"/>
        <v>0</v>
      </c>
      <c r="BR49" s="223">
        <f t="shared" si="3"/>
        <v>44756.3</v>
      </c>
      <c r="BS49" s="224">
        <f t="shared" si="4"/>
        <v>13.285714285714286</v>
      </c>
      <c r="BT49" s="216" t="str">
        <f t="shared" si="5"/>
        <v>II TRIM</v>
      </c>
      <c r="BU49" s="214" t="str">
        <f t="shared" ca="1" si="6"/>
        <v/>
      </c>
      <c r="BV49" s="25"/>
      <c r="BW49" s="22">
        <v>44918</v>
      </c>
      <c r="BX49" s="28">
        <v>23.1</v>
      </c>
      <c r="BY49" s="28"/>
      <c r="BZ49" s="22">
        <v>44995</v>
      </c>
      <c r="CA49" s="21">
        <v>33</v>
      </c>
      <c r="CB49" s="26" t="s">
        <v>864</v>
      </c>
      <c r="CC49" s="26" t="s">
        <v>864</v>
      </c>
      <c r="CD49" s="26" t="s">
        <v>878</v>
      </c>
      <c r="CE49" s="26" t="s">
        <v>864</v>
      </c>
      <c r="CF49" s="22" t="s">
        <v>1517</v>
      </c>
      <c r="CG49" s="21">
        <v>1.58</v>
      </c>
      <c r="CH49" s="21">
        <v>62</v>
      </c>
      <c r="CI49" s="214">
        <f t="shared" si="7"/>
        <v>24.835763499439189</v>
      </c>
      <c r="CJ49" s="225" t="e">
        <f>IF(AND(CI49&lt;10,CH49="SD"),"SIN DATO PESO PREGESTACION O I TRIM",IF(AND(OR(R49&gt;0,O49&gt;0),CI49="X"),"INGRESAR DATO DE PESO",IF(CI49="SD","INGRESAR DATO DE TALLA Y PESO",IF(AND(OR(Tabla1[[#This Row],[MOMENTO EN QUE SE REALIZA EL PESO AL INGRESO A CPN]]="PREGESTACIÓN",NZ49="Menor"),CI49&lt;18.5),"BAJO PESO",IF(AND(OR(Tabla1[[#This Row],[MOMENTO EN QUE SE REALIZA EL PESO AL INGRESO A CPN]]="PREGESTACIÓN",NZ49="Menor"),CI49&lt;25),"NORMAL",IF(AND(OR(Tabla1[[#This Row],[MOMENTO EN QUE SE REALIZA EL PESO AL INGRESO A CPN]]="PREGESTACIÓN",NZ49="Menor"),CI49&lt;30),"SOBREPESO",IF(AND(OR(Tabla1[[#This Row],[MOMENTO EN QUE SE REALIZA EL PESO AL INGRESO A CPN]]="PREGESTACIÓN",NZ49="Menor"),CI49&gt;=30,CI49&lt;50),"OBESIDAD",IF(AND(BS49&gt;0,Tabla1[[#This Row],[MOMENTO EN QUE SE REALIZA EL PESO AL INGRESO A CPN]]="GESTACIÓN"),HLOOKUP(NZ49,$OA$2:PH49,NY49),""))))))))</f>
        <v>#REF!</v>
      </c>
      <c r="CK49" s="212">
        <f t="shared" si="8"/>
        <v>45016</v>
      </c>
      <c r="CL49" s="21"/>
      <c r="CM49" s="214">
        <f t="shared" si="9"/>
        <v>0</v>
      </c>
      <c r="CN49" s="216">
        <f t="shared" si="10"/>
        <v>37</v>
      </c>
      <c r="CO49" s="216" t="e">
        <f>IF(PI49="","",IF(PI49&gt;0,HLOOKUP(PI49,$PJ$2:QQ49,NY49),""))</f>
        <v>#REF!</v>
      </c>
      <c r="CP49" s="21"/>
      <c r="CQ49" s="216" t="e">
        <f>IF(QR49="Menor","NO APLICA-MENOR 13 SEM",IF(AND(CC49="SI",CN49&gt;23),"NO APLICA- GEMELAR",IF(QR49="","",IF(QR49&gt;0,HLOOKUP(QR49,$QS$2:RU49,NY49),""))))</f>
        <v>#REF!</v>
      </c>
      <c r="CR49" s="21">
        <v>100</v>
      </c>
      <c r="CS49" s="21">
        <v>60</v>
      </c>
      <c r="CT49" s="217" t="str">
        <f>IF(R49="","",IF(AND(BS49&gt;1,BS49&lt;12,Tabla1[[#This Row],[T.A. SISTOLICA - ANTES DE SEMANA 12]]="",Tabla1[[#This Row],[T.A. DIASTOLICA - ANTES DE SEMANA 12]]=""),"REGISTRE DATO TA ANTES SEMANA 12",IF(AND(BS49&gt;11,BS49&lt;43,Tabla1[[#This Row],[T.A. SISTOLICA - ANTES DE SEMANA 12]]="",Tabla1[[#This Row],[T.A. DIASTOLICA - ANTES DE SEMANA 12]]=""),"NO APLICA REGISTRO TA-INGRESO TARDIO",IF(AND(OR(O49&gt;0,R49&gt;0),OR(CR49&gt;=140,CS49&gt;=90)),"DEFINIR ESTADIO HTA",IF(AND(OR(O49&gt;0,R49&gt;0),AND(CR49&gt;120,CR49&lt;=139)),"PRE HTA SEGUIMIENTO",IF(AND(OR(O49&gt;0,R49&gt;0),AND(CS49&gt;80,CS49&lt;=89)),"PRE HTA SEGUIMIENTO",IF(AND(OR(O49&gt;0,R49&gt;0),AND(CR49&gt;=80,CR49&lt;=120)),"APARENTEMENTE NORMAL",IF(AND(OR(O49&gt;0,R49&gt;0),AND(CS49&gt;=50,CS49&lt;=80)),"APARENTEMENTE NORMAL",IF(AND(OR(O49&gt;0,R49&gt;0),AND(CR49&gt;1,CR49&lt;=70),AND(CS49&gt;1,CS49&lt;=40)),"HIPOTENSIÓN","")))))))))</f>
        <v>APARENTEMENTE NORMAL</v>
      </c>
      <c r="CU49" s="21"/>
      <c r="CV49" s="21"/>
      <c r="CW49" s="217" t="str">
        <f ca="1">IF(R49="","",IF(AND(CN49&gt;19,CN49&lt;27,Tabla1[[#This Row],[T.A. SISTOLICA (Entre semana 20 y 26)]]="",Tabla1[[#This Row],[T.A. DIATOLICA (Entre semana 20 y 26)]]=""),"ACUDE A CONTROL SEM 20 A 26 REGISTRE TA AHORA",IF(AND(BS49&gt;1,BS49&lt;27,BU49&gt;19,Tabla1[[#This Row],[T.A. SISTOLICA (Entre semana 20 y 26)]]="",Tabla1[[#This Row],[T.A. DIATOLICA (Entre semana 20 y 26)]]=""),"COMPLETE REGISTRO TA CONTROL SEM 20 A26 ",IF(AND(BS49&gt;26,BS49&lt;43,Tabla1[[#This Row],[T.A. SISTOLICA (Entre semana 20 y 26)]]="",Tabla1[[#This Row],[T.A. DIATOLICA (Entre semana 20 y 26)]]=""),"NO APLICA REGISTRO TA-INGRESO TARDIO",IF(AND(OR(O49&gt;0,R49&gt;0),OR(CU49&gt;=140,CV49&gt;=90)),"ALTO RIESGO PREECLAMPSIA,DEFINIR ESTADIO HTA",IF(AND(OR(O49&gt;0,R49&gt;0),AND(CU49&gt;120,CU49&lt;=139)),"PRE HTA SEGUIMIENTO,RIESGO HIPERTENSION INDUCIDA POR EL EMBARAZO",IF(AND(OR(O49&gt;0,R49&gt;0),AND(CV49&gt;80,CV49&lt;=89)),"PRE HTA SEGUIMIENTO, RIESGO HIPERTENSION INDUCIDA POR EL EMBARAZO",IF(AND(OR(O49&lt;&gt;"",R49&lt;&gt;""),CS49&lt;&gt;"",CV49&lt;&gt;"",CS49&lt;=CV49),"VIGILAR CIFRAS PRESION ARTERIAL",IF(AND(OR(O49&gt;0,R49&gt;0),AND(CU49&gt;120,CU49&lt;=139)),"PRE HTA SEGUIMIENTO",IF(AND(OR(O49&gt;0,R49&gt;0),AND(CU49&gt;1,CU49&lt;=70),AND(CV49&gt;1,CV49&lt;=40)),"HIPOTENSIÓN",IF(AND(OR(O49&lt;&gt;"",R49&lt;&gt;""),CS49&lt;&gt;"",CV49&lt;&gt;"",CS49&gt;CV49),"APARENTEMENTE NORMAL",IF(AND(OR(O49&gt;0,R49&gt;0),AND(CU49&gt;=80,CU49&lt;=120)),"APARENTEMENTE NORMAL",IF(AND(OR(O49&gt;0,R49&gt;0),AND(CV49&gt;=50,CV49&lt;=80)),"APARENTEMENTE NORMAL","")))))))))))))</f>
        <v xml:space="preserve">COMPLETE REGISTRO TA CONTROL SEM 20 A26 </v>
      </c>
      <c r="CX49" s="21"/>
      <c r="CY49" s="21"/>
      <c r="CZ49" s="216" t="str">
        <f t="shared" si="195"/>
        <v/>
      </c>
      <c r="DA49" s="21"/>
      <c r="DB49" s="21"/>
      <c r="DC49" s="217" t="str">
        <f t="shared" si="12"/>
        <v>REGISTRE DATO PRESIÓN ARTERIAL MENSUAL</v>
      </c>
      <c r="DD49" s="22">
        <v>44849</v>
      </c>
      <c r="DE49" s="22">
        <v>44849</v>
      </c>
      <c r="DF49" s="22">
        <v>44880</v>
      </c>
      <c r="DG49" s="22">
        <v>44918</v>
      </c>
      <c r="DH49" s="22">
        <v>44981</v>
      </c>
      <c r="DI49" s="22">
        <v>45016</v>
      </c>
      <c r="DJ49" s="22"/>
      <c r="DK49" s="22"/>
      <c r="DL49" s="22"/>
      <c r="DM49" s="22"/>
      <c r="DN49" s="22"/>
      <c r="DO49" s="22"/>
      <c r="DP49" s="22"/>
      <c r="DQ49" s="22"/>
      <c r="DR49" s="28">
        <v>2</v>
      </c>
      <c r="DS49" s="22"/>
      <c r="DT49" s="22"/>
      <c r="DU49" s="216" t="str">
        <f t="shared" ca="1" si="196"/>
        <v>SALE SIN PLAN DE PARTO</v>
      </c>
      <c r="DV49" s="226" t="str">
        <f t="shared" si="197"/>
        <v>SALIO PROGRAMA</v>
      </c>
      <c r="DW4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49" s="216" t="str">
        <f t="shared" ca="1" si="15"/>
        <v/>
      </c>
      <c r="DY49" s="212">
        <f>IF(R49="","",IF(R49&gt;0,MAX(Tabla1[[#This Row],[FECHA C2]:[FECHA C13]],Tabla1[[#This Row],[FECHA CONSULTA PRIMERA VEZ PROGRAMA CPN ]])))</f>
        <v>45016</v>
      </c>
      <c r="DZ49" s="216">
        <f t="shared" si="16"/>
        <v>37</v>
      </c>
      <c r="EA49" s="222">
        <f>IF(R49&gt;0,SUM(COUNTA(DF49:DQ49)+COUNTA(Tabla1[[#This Row],[FECHA CONSULTA PRIMERA VEZ PROGRAMA CPN ]])),"")</f>
        <v>5</v>
      </c>
      <c r="EB49" s="222" t="str">
        <f t="shared" si="17"/>
        <v>SI</v>
      </c>
      <c r="EC49" s="214">
        <f t="shared" si="18"/>
        <v>8</v>
      </c>
      <c r="ED49" s="227">
        <f t="shared" si="19"/>
        <v>0.625</v>
      </c>
      <c r="EE49" s="22">
        <v>44849</v>
      </c>
      <c r="EF49" s="22">
        <v>44849</v>
      </c>
      <c r="EG49" s="22">
        <v>44849</v>
      </c>
      <c r="EH49" s="22"/>
      <c r="EI49" s="22">
        <v>44849</v>
      </c>
      <c r="EJ49" s="22"/>
      <c r="EK49" s="22"/>
      <c r="EL49" s="21"/>
      <c r="EM49" s="21">
        <v>13.8</v>
      </c>
      <c r="EN49" s="22">
        <v>44849</v>
      </c>
      <c r="EO49" s="222">
        <f t="shared" si="20"/>
        <v>13.285714285714286</v>
      </c>
      <c r="EP49" s="214" t="str">
        <f t="shared" si="21"/>
        <v>NORMAL- SUMINISTRAR SULFATO FERROSO</v>
      </c>
      <c r="EQ49" s="216" t="str">
        <f t="shared" si="22"/>
        <v>II TRIM</v>
      </c>
      <c r="ER49" s="24"/>
      <c r="ES49" s="22"/>
      <c r="ET49" s="29" t="str">
        <f t="shared" ca="1" si="198"/>
        <v>SALE SIN TAMIZAJE HEMOGLOBINA SEM 28</v>
      </c>
      <c r="EU49" s="25" t="str">
        <f t="shared" si="24"/>
        <v/>
      </c>
      <c r="EV49" s="24" t="s">
        <v>866</v>
      </c>
      <c r="EW49" s="24">
        <v>44849</v>
      </c>
      <c r="EX49" s="22"/>
      <c r="EY49" s="29">
        <f t="shared" si="199"/>
        <v>13.285714285714286</v>
      </c>
      <c r="EZ49" s="25" t="str">
        <f t="shared" ca="1" si="200"/>
        <v/>
      </c>
      <c r="FA49" s="21">
        <v>70</v>
      </c>
      <c r="FB49" s="22">
        <v>44849</v>
      </c>
      <c r="FC49" s="29">
        <f t="shared" si="27"/>
        <v>13.285714285714286</v>
      </c>
      <c r="FD49" s="29">
        <v>60</v>
      </c>
      <c r="FE49" s="29">
        <v>131</v>
      </c>
      <c r="FF49" s="29">
        <v>115</v>
      </c>
      <c r="FG49" s="21" t="str">
        <f t="shared" ca="1" si="28"/>
        <v>NORMAL</v>
      </c>
      <c r="FH49" s="31">
        <v>44995</v>
      </c>
      <c r="FI49" s="29">
        <f t="shared" si="29"/>
        <v>34.142857142857146</v>
      </c>
      <c r="FJ49" s="22" t="s">
        <v>867</v>
      </c>
      <c r="FK49" s="22"/>
      <c r="FL49" s="29" t="str">
        <f t="shared" ca="1" si="30"/>
        <v>NO APLICA-INGRESO TARDIO</v>
      </c>
      <c r="FM49" s="22" t="s">
        <v>867</v>
      </c>
      <c r="FN49" s="32">
        <v>44849</v>
      </c>
      <c r="FO49" s="29">
        <f t="shared" ca="1" si="201"/>
        <v>13.285714285714286</v>
      </c>
      <c r="FP49" s="22" t="s">
        <v>867</v>
      </c>
      <c r="FQ49" s="32">
        <v>44995</v>
      </c>
      <c r="FR49" s="29">
        <f t="shared" ca="1" si="202"/>
        <v>34.142857142857146</v>
      </c>
      <c r="FS49" s="22"/>
      <c r="FT49" s="32"/>
      <c r="FU49" s="29" t="str">
        <f>IF(AND(FJ49="",FM49="",FP49="",FS49=""),"",IF(OR(OR(Tabla1[[#This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49" s="28"/>
      <c r="FW49" s="22"/>
      <c r="FX49" s="29" t="str">
        <f t="shared" si="33"/>
        <v>TOMAR EXAMEN</v>
      </c>
      <c r="FY49" s="22">
        <v>44849</v>
      </c>
      <c r="FZ49" s="22">
        <v>44849</v>
      </c>
      <c r="GA49" s="29" t="str">
        <f t="shared" si="203"/>
        <v>REGISTRAR EN II TRIMESTRE</v>
      </c>
      <c r="GB49" s="22" t="s">
        <v>868</v>
      </c>
      <c r="GC49" s="22">
        <v>44849</v>
      </c>
      <c r="GD49" s="29">
        <f t="shared" ca="1" si="204"/>
        <v>13.285714285714286</v>
      </c>
      <c r="GE49" s="22" t="s">
        <v>868</v>
      </c>
      <c r="GF49" s="22">
        <v>44995</v>
      </c>
      <c r="GG49" s="29">
        <f t="shared" ca="1" si="205"/>
        <v>34.142857142857146</v>
      </c>
      <c r="GH49" s="22"/>
      <c r="GI49" s="29"/>
      <c r="GJ49" s="22"/>
      <c r="GK49" s="22"/>
      <c r="GL49" s="22" t="s">
        <v>879</v>
      </c>
      <c r="GM49" s="22"/>
      <c r="GN49" s="28" t="s">
        <v>869</v>
      </c>
      <c r="GO49" s="22">
        <v>44849</v>
      </c>
      <c r="GP49" s="29">
        <f t="shared" si="37"/>
        <v>13.285714285714286</v>
      </c>
      <c r="GQ49" s="28" t="s">
        <v>869</v>
      </c>
      <c r="GR49" s="28" t="s">
        <v>869</v>
      </c>
      <c r="GS49" s="22" t="str">
        <f t="shared" si="206"/>
        <v>CONTROL Igm</v>
      </c>
      <c r="GT49" s="22">
        <v>44849</v>
      </c>
      <c r="GU49" s="29">
        <f t="shared" si="39"/>
        <v>13.285714285714286</v>
      </c>
      <c r="GV49" s="21" t="str">
        <f t="shared" si="40"/>
        <v>II TRIM</v>
      </c>
      <c r="GW49" s="28" t="s">
        <v>869</v>
      </c>
      <c r="GX49" s="30"/>
      <c r="GY49" s="21"/>
      <c r="GZ49" s="21"/>
      <c r="HA49" s="21"/>
      <c r="HB49" s="21"/>
      <c r="HC49" s="21"/>
      <c r="HD49" s="21"/>
      <c r="HE49" s="21"/>
      <c r="HF49" s="22"/>
      <c r="HG49" s="22" t="str">
        <f>IF(OR(O49&gt;0,R49&gt;0),CONCATENATE(IF(Tabla1[[#This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49" s="22" t="e">
        <f t="shared" si="41"/>
        <v>#REF!</v>
      </c>
      <c r="HI49" s="22" t="e">
        <f t="shared" ca="1" si="42"/>
        <v>#REF!</v>
      </c>
      <c r="HJ49" s="21"/>
      <c r="HK49" s="21" t="str">
        <f t="shared" si="44"/>
        <v>SIN ANTECEDENTES DE RIESGO</v>
      </c>
      <c r="HL49" s="24" t="str">
        <f t="shared" si="45"/>
        <v>REGISTRE DATO PRESIÓN ARTERIAL MENSUAL</v>
      </c>
      <c r="HM49" s="21" t="str">
        <f t="shared" ca="1" si="46"/>
        <v/>
      </c>
      <c r="HN49" s="30" t="str">
        <f t="shared" si="207"/>
        <v>SALIO PROGRAMA</v>
      </c>
      <c r="HO49" s="21"/>
      <c r="HP49" s="21"/>
      <c r="HQ49" s="21">
        <v>44849</v>
      </c>
      <c r="HR49" s="21" t="str">
        <f>IF(R49="","",IF(Tabla1[[#This Row],[ALARMA FACTORES DE RIESGO COMPLICACIONES HIPERTENSIVAS3]]="SIN ANTECEDENTES DE RIESGO","No Aplica para suministro de ASA",IF(AND(Tabla1[[#This Row],[FECHA INICIO DE SUMINISTRO DE ASA]]&gt;0,RV49&lt;12),"Inicia ASA ANTES de Sem 12",IF(AND(RV49&gt;11,RV49&lt;17,OR(HK49="RIESGO ALTO DE COMPLICACIONES HIPERTENSIVAS VER MANEJO GUIA SUMINISTRO ASA Y CALCIO",HK49="RIESGO MODERADO (2 O MAS CRITERIOS) VER MANEJO GUIA SUMINISTRO ASA Y CALCIO")),"Inicio oportuno de ASA",IF(AND(RV49&gt;12,OR(HK49="RIESGO ALTO DE COMPLICACIONES HIPERTENSIVAS VER MANEJO GUIA SUMINISTRO ASA Y CALCIO",HK49="RIESGO MODERADO (2 O MAS CRITERIOS) VER MANEJO GUIA SUMINISTRO ASA Y CALCIO")),"Inicio no oportuno mayor a 16 semanas",IF(AND(BU49&lt;12,OR(HK49="RIESGO ALTO DE COMPLICACIONES HIPERTENSIVAS VER MANEJO GUIA SUMINISTRO ASA Y CALCIO",HK49="RIESGO MODERADO (2 O MAS CRITERIOS) VER MANEJO GUIA SUMINISTRO ASA Y CALCIO")),"Pendiente Inicio de ASA a la semana 12",IF(AND(BU49&gt;11,BU49&lt;17,OR(HK49="RIESGO ALTO DE COMPLICACIONES HIPERTENSIVAS VER MANEJO GUIA SUMINISTRO ASA Y CALCIO",HK49="RIESGO MODERADO (2 O MAS CRITERIOS) VER MANEJO GUIA SUMINISTRO ASA Y CALCIO")),"Iniciar de inmediato ASA",IF(AND(BU49&gt;16,OR(HK49="RIESGO ALTO DE COMPLICACIONES HIPERTENSIVAS VER MANEJO GUIA SUMINISTRO ASA Y CALCIO",HK49="RIESGO MODERADO (2 O MAS CRITERIOS) VER MANEJO GUIA SUMINISTRO ASA Y CALCIO")),"Pierde Oportunidad, Inicio tardío de ASA","XXXXX"))))))))</f>
        <v>No Aplica para suministro de ASA</v>
      </c>
      <c r="HS49" s="22">
        <v>44849</v>
      </c>
      <c r="HT49" s="22" t="s">
        <v>870</v>
      </c>
      <c r="HU49" s="22">
        <v>44849</v>
      </c>
      <c r="HV49" s="22" t="s">
        <v>870</v>
      </c>
      <c r="HW49" s="22">
        <v>44849</v>
      </c>
      <c r="HX49" s="22" t="s">
        <v>935</v>
      </c>
      <c r="HY49" s="22">
        <v>44864</v>
      </c>
      <c r="HZ49" s="28">
        <f t="shared" si="48"/>
        <v>15.428571428571429</v>
      </c>
      <c r="IA49" s="26" t="s">
        <v>864</v>
      </c>
      <c r="IB49" s="26"/>
      <c r="IC49" s="111"/>
      <c r="ID49" s="22">
        <v>44995</v>
      </c>
      <c r="IE49" s="22" t="str">
        <f t="shared" ca="1" si="49"/>
        <v>VACUNA APLICADA ENTRE SEMANA 27 Y EL PARTO</v>
      </c>
      <c r="IF49" s="22"/>
      <c r="IG49" s="22">
        <f t="shared" si="50"/>
        <v>45036</v>
      </c>
      <c r="IH49" s="29">
        <f t="shared" ca="1" si="51"/>
        <v>-197</v>
      </c>
      <c r="II49" s="22" t="str">
        <f t="shared" ca="1" si="52"/>
        <v>POSIBLEMENTE NACIO</v>
      </c>
      <c r="IJ49" s="22"/>
      <c r="IK49" s="21" t="s">
        <v>898</v>
      </c>
      <c r="IL49" s="21"/>
      <c r="IM49" s="34"/>
      <c r="IN49" s="349">
        <v>45032</v>
      </c>
      <c r="IO49" s="21" t="s">
        <v>1640</v>
      </c>
      <c r="IP49" s="29">
        <f t="shared" si="208"/>
        <v>39.428571428571431</v>
      </c>
      <c r="IQ49" s="110"/>
      <c r="IR49" s="21" t="s">
        <v>879</v>
      </c>
      <c r="IS49" s="21" t="s">
        <v>1641</v>
      </c>
      <c r="IT49" s="21" t="s">
        <v>1642</v>
      </c>
      <c r="IU49" s="21"/>
      <c r="IV49" s="21"/>
      <c r="IW49" s="21"/>
      <c r="IX49" s="21"/>
      <c r="IY49" s="21"/>
      <c r="IZ49" s="21"/>
      <c r="JA49" s="21"/>
      <c r="JB49" s="30">
        <v>1</v>
      </c>
      <c r="JC49" s="21" t="s">
        <v>1647</v>
      </c>
      <c r="JD49" s="36">
        <v>3000</v>
      </c>
      <c r="JE49" s="21" t="str">
        <f t="shared" si="209"/>
        <v>PESO ADECUADO EDAD GESTACIONAL</v>
      </c>
      <c r="JF49" s="30"/>
      <c r="JG49" s="21"/>
      <c r="JH49" s="21"/>
      <c r="JI49" s="21"/>
      <c r="JJ49" s="30"/>
      <c r="JK49" s="22"/>
      <c r="JL49" s="22"/>
      <c r="JM49" s="21"/>
      <c r="JN49" s="36"/>
      <c r="JO49" s="21" t="str">
        <f t="shared" si="210"/>
        <v/>
      </c>
      <c r="JP49" s="22"/>
      <c r="JQ49" s="21"/>
      <c r="JR49" s="21"/>
      <c r="JS49" s="21"/>
      <c r="JT49" s="30"/>
      <c r="JU49" s="22"/>
      <c r="JV49" s="22"/>
      <c r="JW49" s="33"/>
      <c r="JX49" s="28" t="str">
        <f t="shared" si="211"/>
        <v>INASISTENTE</v>
      </c>
      <c r="JY49" s="33"/>
      <c r="JZ49" s="28" t="str">
        <f t="shared" si="212"/>
        <v>INASISTENTE</v>
      </c>
      <c r="KA49" s="21"/>
      <c r="KB49" s="21"/>
      <c r="KC49" s="21"/>
      <c r="KD49" s="37"/>
      <c r="KE49" s="28"/>
      <c r="KF49" s="28"/>
      <c r="KG49" s="28"/>
      <c r="KH49" s="39"/>
      <c r="KI49" s="39"/>
      <c r="KJ49" s="66"/>
      <c r="KK49" s="39"/>
      <c r="KL49" s="39"/>
      <c r="KM49" s="66"/>
      <c r="KN49" s="39"/>
      <c r="KO49" s="39"/>
      <c r="KP49" s="39"/>
      <c r="KQ49" s="39"/>
      <c r="KR49" s="39"/>
      <c r="KS49" s="39"/>
      <c r="KT49" s="39"/>
      <c r="KU49" s="38"/>
      <c r="KV49" s="38"/>
      <c r="KW49" s="38"/>
      <c r="KX49" s="38"/>
      <c r="KY49" s="38"/>
      <c r="KZ49" s="38"/>
      <c r="LA49" s="38"/>
      <c r="LB49" s="38"/>
      <c r="LC49" s="38"/>
      <c r="LD49" s="38"/>
      <c r="LE49" s="38"/>
      <c r="LF49" s="38"/>
      <c r="LG49" s="38"/>
      <c r="LH49" s="38"/>
      <c r="LI49" s="38"/>
      <c r="LJ49" s="38"/>
      <c r="LK49" s="38"/>
      <c r="LL49" s="38"/>
      <c r="LM49" s="38"/>
      <c r="LN49" s="38"/>
      <c r="LO49" s="38"/>
      <c r="LP49" s="38"/>
      <c r="LQ49" s="38"/>
      <c r="LR49" s="38"/>
      <c r="LS49" s="38"/>
      <c r="LT49" s="38"/>
      <c r="LU49" s="38"/>
      <c r="LV49" s="38"/>
      <c r="LW49" s="38"/>
      <c r="LX49" s="38"/>
      <c r="LY49" s="38"/>
      <c r="LZ49" s="38"/>
      <c r="MA49" s="38"/>
      <c r="MB49" s="38"/>
      <c r="MC49" s="38"/>
      <c r="MD49" s="38"/>
      <c r="ME49" s="38"/>
      <c r="MF49" s="38"/>
      <c r="MG49" s="38"/>
      <c r="MH49" s="43">
        <f t="shared" si="213"/>
        <v>0</v>
      </c>
      <c r="MI49" s="43" t="str">
        <f t="shared" si="214"/>
        <v/>
      </c>
      <c r="MJ49" s="43" t="str">
        <f t="shared" si="215"/>
        <v/>
      </c>
      <c r="MK49" s="43">
        <f t="shared" si="216"/>
        <v>0</v>
      </c>
      <c r="ML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49" s="43">
        <f t="shared" si="217"/>
        <v>13.285714285714286</v>
      </c>
      <c r="MN49" s="43">
        <f t="shared" si="218"/>
        <v>10</v>
      </c>
      <c r="MO49" s="43">
        <f t="shared" si="219"/>
        <v>2022</v>
      </c>
      <c r="MP49" s="43" t="str">
        <f t="shared" si="220"/>
        <v>IV TRIMESTRE AÑO</v>
      </c>
      <c r="MQ49" s="43">
        <f t="shared" si="221"/>
        <v>17.731603153745073</v>
      </c>
      <c r="MR49" s="43">
        <f t="shared" si="222"/>
        <v>0</v>
      </c>
      <c r="MS49" s="43" t="str">
        <f t="shared" si="223"/>
        <v>DE 14 A 19AÑOS</v>
      </c>
      <c r="MT49" s="43">
        <f t="shared" si="224"/>
        <v>0</v>
      </c>
      <c r="MU49" s="43">
        <f t="shared" si="225"/>
        <v>1</v>
      </c>
      <c r="MV49" s="43">
        <f t="shared" si="226"/>
        <v>0</v>
      </c>
      <c r="MW49" s="43">
        <f t="shared" si="227"/>
        <v>0</v>
      </c>
      <c r="MX49" s="43" t="str">
        <f t="shared" si="228"/>
        <v/>
      </c>
      <c r="MY49" s="43" t="str">
        <f t="shared" ca="1" si="229"/>
        <v/>
      </c>
      <c r="MZ49" s="43" t="str">
        <f t="shared" si="230"/>
        <v/>
      </c>
      <c r="NA49" s="43">
        <f t="shared" si="231"/>
        <v>0</v>
      </c>
      <c r="NB49" s="43" t="str">
        <f t="shared" si="232"/>
        <v/>
      </c>
      <c r="NC49" s="43" t="str">
        <f t="shared" si="233"/>
        <v/>
      </c>
      <c r="ND49" s="43">
        <f t="shared" ca="1" si="234"/>
        <v>1</v>
      </c>
      <c r="NE49" s="43">
        <f>IF(OR(O49&gt;0,R49&gt;0),SUM(COUNTIF(Tabla1[[#This Row],[AÑOS AL INICIO5 CPN]],"&gt;=40"),COUNTIF(AS49,"0"),COUNTIF(AR49,"SI"),COUNTIF(CC49,"SI"),COUNTIF(BQ49,"&gt;119"),COUNTIF(CI49,"&gt;=35")),"")</f>
        <v>1</v>
      </c>
      <c r="NF49" s="43">
        <f t="shared" si="235"/>
        <v>34.142857142857146</v>
      </c>
      <c r="NG49" s="43">
        <f t="shared" si="236"/>
        <v>0</v>
      </c>
      <c r="NH49" s="43">
        <f t="shared" si="237"/>
        <v>161.70000000000002</v>
      </c>
      <c r="NI4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CPN",P49="NO"),"Z",IF(AND(Tabla1[[#This Row],[CITA PROXIMO CONTROL]]="CITA MANUAL",Tabla1[[#This Row],[GESTANTES ACTUALES]]="ACTIVA INGRESO A CPN"),"W",IF(AND(Tabla1[[#This Row],[GESTANTES ACTUALES]]="SALIO PROGRAMA",IN49=""),"S",IF(AND(Tabla1[[#This Row],[CITA PROXIMO CONTROL]]&gt;0,IN49=""),(Tabla1[[#This Row],[CITA PROXIMO CONTROL]]-TODAY()),"SD"))))))))</f>
        <v>SD</v>
      </c>
      <c r="NJ49" s="43">
        <f>MONTH(Tabla1[[#This Row],[FECHA DE SALIDA  DEL PROGRAMA]])</f>
        <v>4</v>
      </c>
      <c r="NK49" s="43">
        <f>YEAR(Tabla1[[#This Row],[FECHA DE SALIDA  DEL PROGRAMA]])</f>
        <v>2023</v>
      </c>
      <c r="NL49" s="43" t="str">
        <f t="shared" si="238"/>
        <v>X</v>
      </c>
      <c r="NM49" s="43" t="str">
        <f t="shared" si="239"/>
        <v>NO</v>
      </c>
      <c r="NN49" s="43" t="str">
        <f ca="1">IF(AND(O49&gt;0,R49=""),"NO CPN",IF(AND(O49="",R49=""),"",IF(AND(R49&gt;0,Tabla1[[#This Row],[SEMANAS DE GESTACION ACTUALIZADAS]]&lt;=12),"NO APLICA",IF(AND(FH49&lt;&gt;"",FN49&lt;&gt;""),"SI","NO"))))</f>
        <v>SI</v>
      </c>
      <c r="NO49" s="43" t="str">
        <f ca="1">IF(AND(O49&gt;0,R49=""),"NO CPN",IF(AND(O49="",R49=""),"",IF(AND(R49&gt;0,Tabla1[[#This Row],[SEMANAS DE GESTACION ACTUALIZADAS]]&lt;=27),"NO APLICA",IF(AND(ES49&lt;&gt;"",FQ49&lt;&gt;"",GF49&lt;&gt;""),"SI","NO"))))</f>
        <v>NO</v>
      </c>
      <c r="NP49" s="204" t="str">
        <f t="shared" si="240"/>
        <v>II TRIM</v>
      </c>
      <c r="NQ49" s="21" t="str">
        <f t="shared" si="241"/>
        <v/>
      </c>
      <c r="NR49" s="21">
        <f t="shared" si="242"/>
        <v>2</v>
      </c>
      <c r="NS49" s="205">
        <f t="shared" ca="1" si="243"/>
        <v>2</v>
      </c>
      <c r="NT49" s="21">
        <f t="shared" ca="1" si="244"/>
        <v>2</v>
      </c>
      <c r="NU49" s="21" t="str">
        <f t="shared" ca="1" si="245"/>
        <v>COMPLETO</v>
      </c>
      <c r="NV49" s="21" t="str">
        <f t="shared" ca="1" si="246"/>
        <v>COMPLETO</v>
      </c>
      <c r="NW49" s="206" t="str">
        <f>IF(AND(O49="",R49=""),"",IF(OR(AND(Tabla1[[#This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49" s="207" t="str">
        <f t="shared" ca="1" si="247"/>
        <v>VACUNADA</v>
      </c>
      <c r="NY49" s="43">
        <f>ROW(Tabla1[[#This Row],['# DE TAMIZAJES SIFILIS TOMADOS ]])</f>
        <v>49</v>
      </c>
      <c r="NZ49" s="43">
        <f t="shared" si="93"/>
        <v>13</v>
      </c>
      <c r="OA49" s="43" t="str">
        <f t="shared" si="94"/>
        <v/>
      </c>
      <c r="OB49" s="43" t="str">
        <f t="shared" si="95"/>
        <v/>
      </c>
      <c r="OC49" s="43" t="str">
        <f t="shared" si="96"/>
        <v/>
      </c>
      <c r="OD49" s="43" t="str">
        <f t="shared" si="97"/>
        <v/>
      </c>
      <c r="OE49" s="43" t="str">
        <f t="shared" si="98"/>
        <v>NORMAL</v>
      </c>
      <c r="OF49" s="43" t="str">
        <f t="shared" si="99"/>
        <v/>
      </c>
      <c r="OG49" s="43" t="str">
        <f t="shared" si="100"/>
        <v/>
      </c>
      <c r="OH49" s="43" t="str">
        <f t="shared" si="101"/>
        <v/>
      </c>
      <c r="OI49" s="43" t="str">
        <f t="shared" si="102"/>
        <v/>
      </c>
      <c r="OJ49" s="43" t="str">
        <f t="shared" si="103"/>
        <v/>
      </c>
      <c r="OK49" s="43" t="str">
        <f t="shared" si="104"/>
        <v/>
      </c>
      <c r="OL49" s="43" t="str">
        <f t="shared" si="105"/>
        <v/>
      </c>
      <c r="OM49" s="43" t="str">
        <f t="shared" si="106"/>
        <v/>
      </c>
      <c r="ON49" s="43" t="str">
        <f t="shared" si="107"/>
        <v/>
      </c>
      <c r="OO49" s="43" t="str">
        <f t="shared" si="108"/>
        <v/>
      </c>
      <c r="OP49" s="43" t="str">
        <f t="shared" si="109"/>
        <v/>
      </c>
      <c r="OQ49" s="43" t="str">
        <f t="shared" si="110"/>
        <v/>
      </c>
      <c r="OR49" s="43" t="str">
        <f t="shared" si="111"/>
        <v/>
      </c>
      <c r="OS49" s="43" t="str">
        <f t="shared" si="112"/>
        <v/>
      </c>
      <c r="OT49" s="43" t="str">
        <f t="shared" si="113"/>
        <v/>
      </c>
      <c r="OU49" s="43" t="str">
        <f t="shared" si="114"/>
        <v/>
      </c>
      <c r="OV49" s="110" t="str">
        <f t="shared" si="115"/>
        <v/>
      </c>
      <c r="OW49" s="43" t="str">
        <f t="shared" si="116"/>
        <v/>
      </c>
      <c r="OX49" s="43" t="str">
        <f t="shared" si="117"/>
        <v/>
      </c>
      <c r="OY49" s="43" t="str">
        <f t="shared" si="118"/>
        <v/>
      </c>
      <c r="OZ49" s="43" t="str">
        <f t="shared" si="119"/>
        <v/>
      </c>
      <c r="PA49" s="43" t="str">
        <f t="shared" si="120"/>
        <v/>
      </c>
      <c r="PB49" s="43" t="str">
        <f t="shared" si="121"/>
        <v/>
      </c>
      <c r="PC49" s="43" t="str">
        <f t="shared" si="122"/>
        <v/>
      </c>
      <c r="PD49" s="43" t="str">
        <f t="shared" si="123"/>
        <v/>
      </c>
      <c r="PE49" s="43" t="str">
        <f t="shared" si="124"/>
        <v/>
      </c>
      <c r="PF49" s="43" t="str">
        <f t="shared" si="125"/>
        <v/>
      </c>
      <c r="PG49" s="43" t="str">
        <f t="shared" si="126"/>
        <v/>
      </c>
      <c r="PH49" s="43" t="str">
        <f t="shared" si="127"/>
        <v/>
      </c>
      <c r="PI49" s="43">
        <f t="shared" si="128"/>
        <v>37</v>
      </c>
      <c r="PJ49" s="43" t="str">
        <f t="shared" si="129"/>
        <v/>
      </c>
      <c r="PK49" s="43" t="str">
        <f t="shared" si="130"/>
        <v/>
      </c>
      <c r="PL49" s="43" t="str">
        <f t="shared" si="131"/>
        <v/>
      </c>
      <c r="PM49" s="43" t="str">
        <f t="shared" si="132"/>
        <v/>
      </c>
      <c r="PN49" s="43" t="str">
        <f t="shared" si="133"/>
        <v/>
      </c>
      <c r="PO49" s="43" t="str">
        <f t="shared" si="134"/>
        <v/>
      </c>
      <c r="PP49" s="43" t="str">
        <f t="shared" si="135"/>
        <v/>
      </c>
      <c r="PQ49" s="43" t="str">
        <f t="shared" si="136"/>
        <v/>
      </c>
      <c r="PR49" s="43" t="str">
        <f t="shared" si="137"/>
        <v/>
      </c>
      <c r="PS49" s="43" t="str">
        <f t="shared" si="138"/>
        <v/>
      </c>
      <c r="PT49" s="43" t="str">
        <f t="shared" si="139"/>
        <v/>
      </c>
      <c r="PU49" s="43" t="str">
        <f t="shared" si="140"/>
        <v/>
      </c>
      <c r="PV49" s="43" t="str">
        <f t="shared" si="141"/>
        <v/>
      </c>
      <c r="PW49" s="43" t="str">
        <f t="shared" si="142"/>
        <v/>
      </c>
      <c r="PX49" s="43" t="str">
        <f t="shared" si="143"/>
        <v/>
      </c>
      <c r="PY49" s="43" t="str">
        <f t="shared" si="144"/>
        <v/>
      </c>
      <c r="PZ49" s="43" t="str">
        <f t="shared" si="145"/>
        <v/>
      </c>
      <c r="QA49" s="43" t="str">
        <f t="shared" si="146"/>
        <v/>
      </c>
      <c r="QB49" s="43" t="str">
        <f t="shared" si="147"/>
        <v/>
      </c>
      <c r="QC49" s="43" t="str">
        <f t="shared" si="148"/>
        <v/>
      </c>
      <c r="QD49" s="43" t="str">
        <f t="shared" si="149"/>
        <v/>
      </c>
      <c r="QE49" s="43" t="str">
        <f t="shared" si="150"/>
        <v/>
      </c>
      <c r="QF49" s="43" t="str">
        <f t="shared" si="151"/>
        <v/>
      </c>
      <c r="QG49" s="43" t="str">
        <f t="shared" si="152"/>
        <v/>
      </c>
      <c r="QH49" s="43" t="str">
        <f t="shared" si="153"/>
        <v/>
      </c>
      <c r="QI49" s="43" t="str">
        <f t="shared" si="154"/>
        <v/>
      </c>
      <c r="QJ49" s="43" t="str">
        <f t="shared" si="155"/>
        <v/>
      </c>
      <c r="QK49" s="43" t="str">
        <f t="shared" si="156"/>
        <v/>
      </c>
      <c r="QL49" s="43" t="str">
        <f t="shared" si="157"/>
        <v/>
      </c>
      <c r="QM49" s="43" t="str">
        <f t="shared" si="158"/>
        <v/>
      </c>
      <c r="QN49" s="43" t="str">
        <f t="shared" si="159"/>
        <v/>
      </c>
      <c r="QO49" s="43" t="str">
        <f t="shared" si="160"/>
        <v/>
      </c>
      <c r="QP49" s="43" t="str">
        <f t="shared" si="161"/>
        <v/>
      </c>
      <c r="QQ49" s="43" t="str">
        <f t="shared" si="162"/>
        <v/>
      </c>
      <c r="QR49" s="43">
        <f t="shared" si="192"/>
        <v>37</v>
      </c>
      <c r="QS49" s="43"/>
      <c r="QT49" s="21" t="str">
        <f t="shared" si="163"/>
        <v/>
      </c>
      <c r="QU49" s="21" t="str">
        <f t="shared" si="164"/>
        <v/>
      </c>
      <c r="QV49" s="21" t="str">
        <f t="shared" si="165"/>
        <v/>
      </c>
      <c r="QW49" s="21" t="str">
        <f t="shared" si="166"/>
        <v/>
      </c>
      <c r="QX49" s="21" t="str">
        <f t="shared" si="167"/>
        <v/>
      </c>
      <c r="QY49" s="21" t="str">
        <f t="shared" si="168"/>
        <v/>
      </c>
      <c r="QZ49" s="21" t="str">
        <f t="shared" si="169"/>
        <v/>
      </c>
      <c r="RA49" s="21" t="str">
        <f t="shared" si="170"/>
        <v/>
      </c>
      <c r="RB49" s="21" t="str">
        <f t="shared" si="171"/>
        <v/>
      </c>
      <c r="RC49" s="21" t="str">
        <f t="shared" si="172"/>
        <v/>
      </c>
      <c r="RD49" s="21" t="str">
        <f t="shared" si="173"/>
        <v/>
      </c>
      <c r="RE49" s="21" t="str">
        <f t="shared" si="174"/>
        <v/>
      </c>
      <c r="RF49" s="21" t="str">
        <f t="shared" si="175"/>
        <v/>
      </c>
      <c r="RG49" s="21" t="str">
        <f t="shared" si="176"/>
        <v/>
      </c>
      <c r="RH49" s="21" t="str">
        <f t="shared" si="177"/>
        <v/>
      </c>
      <c r="RI49" s="21" t="str">
        <f t="shared" si="178"/>
        <v/>
      </c>
      <c r="RJ49" s="21" t="str">
        <f t="shared" si="179"/>
        <v/>
      </c>
      <c r="RK49" s="21" t="str">
        <f t="shared" si="180"/>
        <v/>
      </c>
      <c r="RL49" s="21" t="str">
        <f t="shared" si="181"/>
        <v/>
      </c>
      <c r="RM49" s="21" t="str">
        <f t="shared" si="182"/>
        <v/>
      </c>
      <c r="RN49" s="21" t="str">
        <f t="shared" si="183"/>
        <v/>
      </c>
      <c r="RO49" s="21" t="str">
        <f t="shared" si="184"/>
        <v/>
      </c>
      <c r="RP49" s="21" t="str">
        <f t="shared" si="185"/>
        <v/>
      </c>
      <c r="RQ49" s="21" t="str">
        <f t="shared" si="186"/>
        <v/>
      </c>
      <c r="RR49" s="21" t="str">
        <f t="shared" si="187"/>
        <v/>
      </c>
      <c r="RS49" s="21" t="str">
        <f t="shared" si="188"/>
        <v/>
      </c>
      <c r="RT49" s="21" t="str">
        <f t="shared" si="189"/>
        <v/>
      </c>
      <c r="RU49" s="21" t="str">
        <f t="shared" si="190"/>
        <v/>
      </c>
      <c r="RV49" s="21">
        <f t="shared" si="191"/>
        <v>13.285714285714286</v>
      </c>
      <c r="RW49" s="284">
        <f>IF(OR(Tabla1[[#This Row],[FUM FORMULA CONFIABLE]]="",Tabla1[[#This Row],[FUM FORMULA CONFIABLE]]="SD"),"",IF(Tabla1[[#This Row],[FUM FORMULA CONFIABLE]]="CORREGIDA",Tabla1[[#This Row],[FUM X ECO 1]],Tabla1[[#This Row],[FUM x AMENORREA]]))</f>
        <v>44756</v>
      </c>
      <c r="RX49" s="21">
        <f>IF(AND(Tabla1[[#This Row],[FUM X ECO 1]]="",Tabla1[[#This Row],[FUM x AMENORREA]]=""),"",IF(AND(Tabla1[[#This Row],[FUM X ECO 1]]="",Tabla1[[#This Row],[FUM x AMENORREA]]&lt;&gt;""),"X",SUM(Tabla1[[#This Row],[FUM X ECO 1]]-Tabla1[[#This Row],[FUM x AMENORREA]])))</f>
        <v>0.30000000000291038</v>
      </c>
      <c r="RY49" s="21">
        <f t="shared" si="193"/>
        <v>0</v>
      </c>
    </row>
    <row r="50" spans="1:493" ht="45" customHeight="1" x14ac:dyDescent="0.25">
      <c r="A50" s="109" t="s">
        <v>1132</v>
      </c>
      <c r="B50" s="43" t="s">
        <v>1133</v>
      </c>
      <c r="C50" s="43" t="s">
        <v>845</v>
      </c>
      <c r="D50" s="124" t="s">
        <v>846</v>
      </c>
      <c r="E50" s="43" t="s">
        <v>1134</v>
      </c>
      <c r="F50" s="43" t="s">
        <v>1135</v>
      </c>
      <c r="G50" s="43" t="s">
        <v>1136</v>
      </c>
      <c r="H50" s="43" t="s">
        <v>1129</v>
      </c>
      <c r="I50" s="109" t="s">
        <v>1094</v>
      </c>
      <c r="J50" s="110">
        <v>1059595020</v>
      </c>
      <c r="K50" s="43" t="s">
        <v>852</v>
      </c>
      <c r="L50" s="175" t="s">
        <v>853</v>
      </c>
      <c r="M50" s="22">
        <v>38365</v>
      </c>
      <c r="N50" s="213">
        <f t="shared" ca="1" si="0"/>
        <v>18.816438356164383</v>
      </c>
      <c r="O50" s="22">
        <v>44882</v>
      </c>
      <c r="P50" s="214" t="str">
        <f t="shared" si="194"/>
        <v>SI</v>
      </c>
      <c r="Q50" s="26" t="s">
        <v>855</v>
      </c>
      <c r="R50" s="22">
        <v>44882</v>
      </c>
      <c r="S50" s="21" t="s">
        <v>856</v>
      </c>
      <c r="T50" s="24" t="s">
        <v>690</v>
      </c>
      <c r="U50" s="21" t="s">
        <v>857</v>
      </c>
      <c r="V50" s="21" t="s">
        <v>858</v>
      </c>
      <c r="W50" s="21" t="s">
        <v>1137</v>
      </c>
      <c r="X50" s="21" t="s">
        <v>1137</v>
      </c>
      <c r="Y50" s="21" t="s">
        <v>859</v>
      </c>
      <c r="Z50" s="21" t="s">
        <v>865</v>
      </c>
      <c r="AA50" s="21" t="s">
        <v>860</v>
      </c>
      <c r="AB50" s="27" t="s">
        <v>861</v>
      </c>
      <c r="AC50" s="26" t="s">
        <v>862</v>
      </c>
      <c r="AD50" s="38" t="s">
        <v>1130</v>
      </c>
      <c r="AE50" s="26" t="s">
        <v>1131</v>
      </c>
      <c r="AF50" s="26" t="s">
        <v>854</v>
      </c>
      <c r="AG50" s="23" t="s">
        <v>864</v>
      </c>
      <c r="AH50" s="23" t="s">
        <v>864</v>
      </c>
      <c r="AI50" s="24" t="s">
        <v>863</v>
      </c>
      <c r="AJ50" s="23" t="s">
        <v>864</v>
      </c>
      <c r="AK50" s="220" t="str">
        <f>IF(AND(AD50="",AE50="",AF50="",AG50="",AH50="",AI50="",AJ50=""),"",IF(OR(Tabla1[[#This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EVALUACIÓN",IF(AND(O50="",R50=""),"",IF(AND(OR(O50&gt;0,R50&gt;0),NG50&gt;=0,NG50&lt;2),"SIN RIESGO",IF(AND(OR(O50&gt;0,R50&gt;0),NG50&gt;=2),"CON RIESGO","ASD")))))</f>
        <v>SIN RIESGO</v>
      </c>
      <c r="AL50" s="23" t="s">
        <v>864</v>
      </c>
      <c r="AM50" s="26" t="s">
        <v>864</v>
      </c>
      <c r="AN50" s="26" t="s">
        <v>864</v>
      </c>
      <c r="AO50" s="26" t="s">
        <v>864</v>
      </c>
      <c r="AP50" s="26" t="s">
        <v>864</v>
      </c>
      <c r="AQ50" s="26" t="s">
        <v>864</v>
      </c>
      <c r="AR50" s="26" t="s">
        <v>864</v>
      </c>
      <c r="AS50" s="21">
        <v>0</v>
      </c>
      <c r="AT50" s="21">
        <v>0</v>
      </c>
      <c r="AU50" s="21">
        <v>0</v>
      </c>
      <c r="AV50" s="26" t="s">
        <v>864</v>
      </c>
      <c r="AW50" s="21">
        <v>0</v>
      </c>
      <c r="AX50" s="26" t="s">
        <v>864</v>
      </c>
      <c r="AY50" s="26" t="s">
        <v>864</v>
      </c>
      <c r="AZ50" s="26" t="s">
        <v>864</v>
      </c>
      <c r="BA50" s="26" t="s">
        <v>864</v>
      </c>
      <c r="BB50" s="26" t="s">
        <v>864</v>
      </c>
      <c r="BC50" s="26" t="s">
        <v>864</v>
      </c>
      <c r="BD50" s="26" t="s">
        <v>864</v>
      </c>
      <c r="BE50" s="26" t="s">
        <v>864</v>
      </c>
      <c r="BF50" s="26" t="s">
        <v>864</v>
      </c>
      <c r="BG50" s="26" t="s">
        <v>864</v>
      </c>
      <c r="BH50" s="26" t="s">
        <v>864</v>
      </c>
      <c r="BI50" s="26" t="s">
        <v>864</v>
      </c>
      <c r="BJ50" s="26"/>
      <c r="BK50" s="26"/>
      <c r="BL50" s="26" t="s">
        <v>864</v>
      </c>
      <c r="BM50" s="26" t="s">
        <v>864</v>
      </c>
      <c r="BN50" s="22"/>
      <c r="BO50" s="22">
        <v>44801</v>
      </c>
      <c r="BP50" s="21" t="s">
        <v>864</v>
      </c>
      <c r="BQ50" s="222">
        <f t="shared" si="2"/>
        <v>0</v>
      </c>
      <c r="BR50" s="223">
        <f t="shared" si="3"/>
        <v>44798.3</v>
      </c>
      <c r="BS50" s="224">
        <f t="shared" si="4"/>
        <v>11.571428571428571</v>
      </c>
      <c r="BT50" s="216" t="str">
        <f t="shared" si="5"/>
        <v>DEFINIR CON ECO</v>
      </c>
      <c r="BU50" s="214" t="str">
        <f t="shared" ca="1" si="6"/>
        <v/>
      </c>
      <c r="BV50" s="25"/>
      <c r="BW50" s="22">
        <v>44960</v>
      </c>
      <c r="BX50" s="28">
        <v>23.1</v>
      </c>
      <c r="BY50" s="28"/>
      <c r="BZ50" s="22"/>
      <c r="CA50" s="21"/>
      <c r="CB50" s="26" t="s">
        <v>864</v>
      </c>
      <c r="CC50" s="26" t="s">
        <v>864</v>
      </c>
      <c r="CD50" s="26"/>
      <c r="CE50" s="26" t="s">
        <v>864</v>
      </c>
      <c r="CF50" s="22" t="s">
        <v>1517</v>
      </c>
      <c r="CG50" s="21">
        <v>1.47</v>
      </c>
      <c r="CH50" s="21">
        <v>43</v>
      </c>
      <c r="CI50" s="214">
        <f t="shared" si="7"/>
        <v>19.899116109028647</v>
      </c>
      <c r="CJ50" s="225" t="e">
        <f>IF(AND(CI50&lt;10,CH50="SD"),"SIN DATO PESO PREGESTACION O I TRIM",IF(AND(OR(R50&gt;0,O50&gt;0),CI50="X"),"INGRESAR DATO DE PESO",IF(CI50="SD","INGRESAR DATO DE TALLA Y PESO",IF(AND(OR(Tabla1[[#This Row],[MOMENTO EN QUE SE REALIZA EL PESO AL INGRESO A CPN]]="PREGESTACIÓN",NZ50="Menor"),CI50&lt;18.5),"BAJO PESO",IF(AND(OR(Tabla1[[#This Row],[MOMENTO EN QUE SE REALIZA EL PESO AL INGRESO A CPN]]="PREGESTACIÓN",NZ50="Menor"),CI50&lt;25),"NORMAL",IF(AND(OR(Tabla1[[#This Row],[MOMENTO EN QUE SE REALIZA EL PESO AL INGRESO A CPN]]="PREGESTACIÓN",NZ50="Menor"),CI50&lt;30),"SOBREPESO",IF(AND(OR(Tabla1[[#This Row],[MOMENTO EN QUE SE REALIZA EL PESO AL INGRESO A CPN]]="PREGESTACIÓN",NZ50="Menor"),CI50&gt;=30,CI50&lt;50),"OBESIDAD",IF(AND(BS50&gt;0,Tabla1[[#This Row],[MOMENTO EN QUE SE REALIZA EL PESO AL INGRESO A CPN]]="GESTACIÓN"),HLOOKUP(NZ50,$OA$2:PH50,NY50),""))))))))</f>
        <v>#REF!</v>
      </c>
      <c r="CK50" s="212">
        <f t="shared" si="8"/>
        <v>414325</v>
      </c>
      <c r="CL50" s="21">
        <v>50.1</v>
      </c>
      <c r="CM50" s="214">
        <f t="shared" si="9"/>
        <v>23.184784117728725</v>
      </c>
      <c r="CN50" s="216">
        <f t="shared" si="10"/>
        <v>52789</v>
      </c>
      <c r="CO50" s="216" t="e">
        <f>IF(PI50="","",IF(PI50&gt;0,HLOOKUP(PI50,$PJ$2:QQ50,NY50),""))</f>
        <v>#REF!</v>
      </c>
      <c r="CP50" s="21"/>
      <c r="CQ50" s="216" t="e">
        <f>IF(QR50="Menor","NO APLICA-MENOR 13 SEM",IF(AND(CC50="SI",CN50&gt;23),"NO APLICA- GEMELAR",IF(QR50="","",IF(QR50&gt;0,HLOOKUP(QR50,$QS$2:RU50,NY50),""))))</f>
        <v>#REF!</v>
      </c>
      <c r="CR50" s="21">
        <v>100</v>
      </c>
      <c r="CS50" s="21">
        <v>60</v>
      </c>
      <c r="CT50" s="217" t="str">
        <f>IF(R50="","",IF(AND(BS50&gt;1,BS50&lt;12,Tabla1[[#This Row],[T.A. SISTOLICA - ANTES DE SEMANA 12]]="",Tabla1[[#This Row],[T.A. DIASTOLICA - ANTES DE SEMANA 12]]=""),"REGISTRE DATO TA ANTES SEMANA 12",IF(AND(BS50&gt;11,BS50&lt;43,Tabla1[[#This Row],[T.A. SISTOLICA - ANTES DE SEMANA 12]]="",Tabla1[[#This Row],[T.A. DIASTOLICA - ANTES DE SEMANA 12]]=""),"NO APLICA REGISTRO TA-INGRESO TARDIO",IF(AND(OR(O50&gt;0,R50&gt;0),OR(CR50&gt;=140,CS50&gt;=90)),"DEFINIR ESTADIO HTA",IF(AND(OR(O50&gt;0,R50&gt;0),AND(CR50&gt;120,CR50&lt;=139)),"PRE HTA SEGUIMIENTO",IF(AND(OR(O50&gt;0,R50&gt;0),AND(CS50&gt;80,CS50&lt;=89)),"PRE HTA SEGUIMIENTO",IF(AND(OR(O50&gt;0,R50&gt;0),AND(CR50&gt;=80,CR50&lt;=120)),"APARENTEMENTE NORMAL",IF(AND(OR(O50&gt;0,R50&gt;0),AND(CS50&gt;=50,CS50&lt;=80)),"APARENTEMENTE NORMAL",IF(AND(OR(O50&gt;0,R50&gt;0),AND(CR50&gt;1,CR50&lt;=70),AND(CS50&gt;1,CS50&lt;=40)),"HIPOTENSIÓN","")))))))))</f>
        <v>APARENTEMENTE NORMAL</v>
      </c>
      <c r="CU50" s="21">
        <v>90</v>
      </c>
      <c r="CV50" s="21">
        <v>60</v>
      </c>
      <c r="CW50" s="217" t="str">
        <f ca="1">IF(R50="","",IF(AND(CN50&gt;19,CN50&lt;27,Tabla1[[#This Row],[T.A. SISTOLICA (Entre semana 20 y 26)]]="",Tabla1[[#This Row],[T.A. DIATOLICA (Entre semana 20 y 26)]]=""),"ACUDE A CONTROL SEM 20 A 26 REGISTRE TA AHORA",IF(AND(BS50&gt;1,BS50&lt;27,BU50&gt;19,Tabla1[[#This Row],[T.A. SISTOLICA (Entre semana 20 y 26)]]="",Tabla1[[#This Row],[T.A. DIATOLICA (Entre semana 20 y 26)]]=""),"COMPLETE REGISTRO TA CONTROL SEM 20 A26 ",IF(AND(BS50&gt;26,BS50&lt;43,Tabla1[[#This Row],[T.A. SISTOLICA (Entre semana 20 y 26)]]="",Tabla1[[#This Row],[T.A. DIATOLICA (Entre semana 20 y 26)]]=""),"NO APLICA REGISTRO TA-INGRESO TARDIO",IF(AND(OR(O50&gt;0,R50&gt;0),OR(CU50&gt;=140,CV50&gt;=90)),"ALTO RIESGO PREECLAMPSIA,DEFINIR ESTADIO HTA",IF(AND(OR(O50&gt;0,R50&gt;0),AND(CU50&gt;120,CU50&lt;=139)),"PRE HTA SEGUIMIENTO,RIESGO HIPERTENSION INDUCIDA POR EL EMBARAZO",IF(AND(OR(O50&gt;0,R50&gt;0),AND(CV50&gt;80,CV50&lt;=89)),"PRE HTA SEGUIMIENTO, RIESGO HIPERTENSION INDUCIDA POR EL EMBARAZO",IF(AND(OR(O50&lt;&gt;"",R50&lt;&gt;""),CS50&lt;&gt;"",CV50&lt;&gt;"",CS50&lt;=CV50),"VIGILAR CIFRAS PRESION ARTERIAL",IF(AND(OR(O50&gt;0,R50&gt;0),AND(CU50&gt;120,CU50&lt;=139)),"PRE HTA SEGUIMIENTO",IF(AND(OR(O50&gt;0,R50&gt;0),AND(CU50&gt;1,CU50&lt;=70),AND(CV50&gt;1,CV50&lt;=40)),"HIPOTENSIÓN",IF(AND(OR(O50&lt;&gt;"",R50&lt;&gt;""),CS50&lt;&gt;"",CV50&lt;&gt;"",CS50&gt;CV50),"APARENTEMENTE NORMAL",IF(AND(OR(O50&gt;0,R50&gt;0),AND(CU50&gt;=80,CU50&lt;=120)),"APARENTEMENTE NORMAL",IF(AND(OR(O50&gt;0,R50&gt;0),AND(CV50&gt;=50,CV50&lt;=80)),"APARENTEMENTE NORMAL","")))))))))))))</f>
        <v>VIGILAR CIFRAS PRESION ARTERIAL</v>
      </c>
      <c r="CX50" s="21"/>
      <c r="CY50" s="21"/>
      <c r="CZ50" s="216" t="str">
        <f t="shared" si="195"/>
        <v/>
      </c>
      <c r="DA50" s="21">
        <v>90</v>
      </c>
      <c r="DB50" s="21">
        <v>60</v>
      </c>
      <c r="DC50" s="217" t="str">
        <f t="shared" si="12"/>
        <v>APARENTEMENTE NORMAL</v>
      </c>
      <c r="DD50" s="22">
        <v>44882</v>
      </c>
      <c r="DE50" s="22">
        <v>44882</v>
      </c>
      <c r="DF50" s="22">
        <v>44960</v>
      </c>
      <c r="DG50" s="22">
        <v>44989</v>
      </c>
      <c r="DH50" s="22">
        <v>45020</v>
      </c>
      <c r="DI50" s="22">
        <v>45050</v>
      </c>
      <c r="DJ50" s="22">
        <v>414325</v>
      </c>
      <c r="DK50" s="22"/>
      <c r="DL50" s="22"/>
      <c r="DM50" s="22"/>
      <c r="DN50" s="22"/>
      <c r="DO50" s="22"/>
      <c r="DP50" s="22"/>
      <c r="DQ50" s="22"/>
      <c r="DR50" s="28">
        <v>1</v>
      </c>
      <c r="DS50" s="22"/>
      <c r="DT50" s="22"/>
      <c r="DU50" s="216" t="str">
        <f t="shared" ca="1" si="196"/>
        <v>SALE SIN PLAN DE PARTO</v>
      </c>
      <c r="DV50" s="226" t="str">
        <f t="shared" si="197"/>
        <v>SALIO PROGRAMA</v>
      </c>
      <c r="DW5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0" s="216" t="str">
        <f t="shared" ca="1" si="15"/>
        <v/>
      </c>
      <c r="DY50" s="212">
        <f>IF(R50="","",IF(R50&gt;0,MAX(Tabla1[[#This Row],[FECHA C2]:[FECHA C13]],Tabla1[[#This Row],[FECHA CONSULTA PRIMERA VEZ PROGRAMA CPN ]])))</f>
        <v>414325</v>
      </c>
      <c r="DZ50" s="216">
        <f t="shared" si="16"/>
        <v>52789</v>
      </c>
      <c r="EA50" s="222">
        <f>IF(R50&gt;0,SUM(COUNTA(DF50:DQ50)+COUNTA(Tabla1[[#This Row],[FECHA CONSULTA PRIMERA VEZ PROGRAMA CPN ]])),"")</f>
        <v>6</v>
      </c>
      <c r="EB50" s="222" t="str">
        <f t="shared" si="17"/>
        <v>SI</v>
      </c>
      <c r="EC50" s="214">
        <f t="shared" si="18"/>
        <v>9</v>
      </c>
      <c r="ED50" s="227">
        <f t="shared" si="19"/>
        <v>0.66666666666666663</v>
      </c>
      <c r="EE50" s="22">
        <v>44882</v>
      </c>
      <c r="EF50" s="22">
        <v>44883</v>
      </c>
      <c r="EG50" s="22">
        <v>44882</v>
      </c>
      <c r="EH50" s="22">
        <v>45040</v>
      </c>
      <c r="EI50" s="22">
        <v>44882</v>
      </c>
      <c r="EJ50" s="22"/>
      <c r="EK50" s="344">
        <v>45040</v>
      </c>
      <c r="EL50" s="21"/>
      <c r="EM50" s="21">
        <v>13.2</v>
      </c>
      <c r="EN50" s="22">
        <v>44882</v>
      </c>
      <c r="EO50" s="222">
        <f t="shared" si="20"/>
        <v>11.571428571428571</v>
      </c>
      <c r="EP50" s="214" t="str">
        <f t="shared" si="21"/>
        <v>NORMAL- SUMINISTRAR SULFATO FERROSO</v>
      </c>
      <c r="EQ50" s="216" t="str">
        <f t="shared" si="22"/>
        <v>I TRIM</v>
      </c>
      <c r="ER50" s="24"/>
      <c r="ES50" s="22"/>
      <c r="ET50" s="29" t="str">
        <f t="shared" ca="1" si="198"/>
        <v>SALE SIN TAMIZAJE HEMOGLOBINA SEM 28</v>
      </c>
      <c r="EU50" s="25" t="str">
        <f t="shared" si="24"/>
        <v/>
      </c>
      <c r="EV50" s="24" t="s">
        <v>1510</v>
      </c>
      <c r="EW50" s="24">
        <v>44882</v>
      </c>
      <c r="EX50" s="22"/>
      <c r="EY50" s="29">
        <f t="shared" si="199"/>
        <v>11.571428571428571</v>
      </c>
      <c r="EZ50" s="25" t="str">
        <f t="shared" si="200"/>
        <v>SIN RIESGO DE ISOINMUNIZACIÓN</v>
      </c>
      <c r="FA50" s="21">
        <v>83</v>
      </c>
      <c r="FB50" s="22">
        <v>44882</v>
      </c>
      <c r="FC50" s="29">
        <f t="shared" si="27"/>
        <v>11.571428571428571</v>
      </c>
      <c r="FD50" s="29">
        <v>76</v>
      </c>
      <c r="FE50" s="29">
        <v>108</v>
      </c>
      <c r="FF50" s="29">
        <v>186</v>
      </c>
      <c r="FG50" s="21" t="str">
        <f t="shared" ca="1" si="28"/>
        <v>DIABETES, REMITIR</v>
      </c>
      <c r="FH50" s="31">
        <v>44988</v>
      </c>
      <c r="FI50" s="29">
        <f t="shared" si="29"/>
        <v>26.714285714285715</v>
      </c>
      <c r="FJ50" s="22" t="s">
        <v>867</v>
      </c>
      <c r="FK50" s="22">
        <v>44882</v>
      </c>
      <c r="FL50" s="29">
        <f t="shared" ca="1" si="30"/>
        <v>11.571428571428571</v>
      </c>
      <c r="FM50" s="22"/>
      <c r="FN50" s="32"/>
      <c r="FO50" s="29" t="str">
        <f t="shared" ca="1" si="201"/>
        <v>PIERDE TOMA DE TAMIZAJE</v>
      </c>
      <c r="FP50" s="22" t="s">
        <v>867</v>
      </c>
      <c r="FQ50" s="32">
        <v>45051</v>
      </c>
      <c r="FR50" s="29">
        <f t="shared" ca="1" si="202"/>
        <v>35.714285714285715</v>
      </c>
      <c r="FS50" s="22"/>
      <c r="FT50" s="32"/>
      <c r="FU50" s="29" t="str">
        <f>IF(AND(FJ50="",FM50="",FP50="",FS50=""),"",IF(OR(OR(Tabla1[[#This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0" s="28"/>
      <c r="FW50" s="22"/>
      <c r="FX50" s="29" t="str">
        <f t="shared" si="33"/>
        <v>TOMAR EXAMEN</v>
      </c>
      <c r="FY50" s="22">
        <v>44882</v>
      </c>
      <c r="FZ50" s="22">
        <v>44882</v>
      </c>
      <c r="GA50" s="29">
        <f t="shared" ca="1" si="203"/>
        <v>11.571428571428571</v>
      </c>
      <c r="GB50" s="22"/>
      <c r="GC50" s="22"/>
      <c r="GD50" s="29" t="str">
        <f t="shared" ca="1" si="204"/>
        <v>PIERDE TOMA DE TAMIZAJE</v>
      </c>
      <c r="GE50" s="22"/>
      <c r="GF50" s="22"/>
      <c r="GG50" s="29" t="str">
        <f t="shared" ca="1" si="205"/>
        <v>PIERDE TOMA DE TAMIZAJE</v>
      </c>
      <c r="GH50" s="22"/>
      <c r="GI50" s="29"/>
      <c r="GJ50" s="22"/>
      <c r="GK50" s="22"/>
      <c r="GL50" s="22"/>
      <c r="GM50" s="22"/>
      <c r="GN50" s="28" t="s">
        <v>869</v>
      </c>
      <c r="GO50" s="22">
        <v>44882</v>
      </c>
      <c r="GP50" s="29">
        <f t="shared" si="37"/>
        <v>11.571428571428571</v>
      </c>
      <c r="GQ50" s="28" t="s">
        <v>880</v>
      </c>
      <c r="GR50" s="28" t="s">
        <v>869</v>
      </c>
      <c r="GS50" s="22" t="str">
        <f t="shared" si="206"/>
        <v>SE EXCLUYE INFECCION</v>
      </c>
      <c r="GT50" s="22">
        <v>44882</v>
      </c>
      <c r="GU50" s="29">
        <f t="shared" si="39"/>
        <v>11.571428571428571</v>
      </c>
      <c r="GV50" s="21" t="str">
        <f t="shared" si="40"/>
        <v>I TRIM</v>
      </c>
      <c r="GW50" s="28" t="s">
        <v>869</v>
      </c>
      <c r="GX50" s="30"/>
      <c r="GY50" s="21"/>
      <c r="GZ50" s="21"/>
      <c r="HA50" s="21"/>
      <c r="HB50" s="21"/>
      <c r="HC50" s="21"/>
      <c r="HD50" s="21"/>
      <c r="HE50" s="21"/>
      <c r="HF50" s="22"/>
      <c r="HG50" s="22" t="str">
        <f>IF(OR(O50&gt;0,R50&gt;0),CONCATENATE(IF(Tabla1[[#This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0" s="22" t="e">
        <f t="shared" si="41"/>
        <v>#REF!</v>
      </c>
      <c r="HI50" s="22" t="e">
        <f t="shared" ca="1" si="42"/>
        <v>#REF!</v>
      </c>
      <c r="HJ50" s="21"/>
      <c r="HK50" s="21" t="str">
        <f t="shared" si="44"/>
        <v>SIN ANTECEDENTES DE RIESGO</v>
      </c>
      <c r="HL50" s="24" t="str">
        <f t="shared" si="45"/>
        <v>APARENTEMENTE NORMAL</v>
      </c>
      <c r="HM50" s="21" t="str">
        <f t="shared" ca="1" si="46"/>
        <v/>
      </c>
      <c r="HN50" s="30" t="str">
        <f t="shared" si="207"/>
        <v>SALIO PROGRAMA</v>
      </c>
      <c r="HO50" s="21"/>
      <c r="HP50" s="21"/>
      <c r="HQ50" s="21">
        <v>44882</v>
      </c>
      <c r="HR50" s="21" t="str">
        <f>IF(R50="","",IF(Tabla1[[#This Row],[ALARMA FACTORES DE RIESGO COMPLICACIONES HIPERTENSIVAS3]]="SIN ANTECEDENTES DE RIESGO","No Aplica para suministro de ASA",IF(AND(Tabla1[[#This Row],[FECHA INICIO DE SUMINISTRO DE ASA]]&gt;0,RV50&lt;12),"Inicia ASA ANTES de Sem 12",IF(AND(RV50&gt;11,RV50&lt;17,OR(HK50="RIESGO ALTO DE COMPLICACIONES HIPERTENSIVAS VER MANEJO GUIA SUMINISTRO ASA Y CALCIO",HK50="RIESGO MODERADO (2 O MAS CRITERIOS) VER MANEJO GUIA SUMINISTRO ASA Y CALCIO")),"Inicio oportuno de ASA",IF(AND(RV50&gt;12,OR(HK50="RIESGO ALTO DE COMPLICACIONES HIPERTENSIVAS VER MANEJO GUIA SUMINISTRO ASA Y CALCIO",HK50="RIESGO MODERADO (2 O MAS CRITERIOS) VER MANEJO GUIA SUMINISTRO ASA Y CALCIO")),"Inicio no oportuno mayor a 16 semanas",IF(AND(BU50&lt;12,OR(HK50="RIESGO ALTO DE COMPLICACIONES HIPERTENSIVAS VER MANEJO GUIA SUMINISTRO ASA Y CALCIO",HK50="RIESGO MODERADO (2 O MAS CRITERIOS) VER MANEJO GUIA SUMINISTRO ASA Y CALCIO")),"Pendiente Inicio de ASA a la semana 12",IF(AND(BU50&gt;11,BU50&lt;17,OR(HK50="RIESGO ALTO DE COMPLICACIONES HIPERTENSIVAS VER MANEJO GUIA SUMINISTRO ASA Y CALCIO",HK50="RIESGO MODERADO (2 O MAS CRITERIOS) VER MANEJO GUIA SUMINISTRO ASA Y CALCIO")),"Iniciar de inmediato ASA",IF(AND(BU50&gt;16,OR(HK50="RIESGO ALTO DE COMPLICACIONES HIPERTENSIVAS VER MANEJO GUIA SUMINISTRO ASA Y CALCIO",HK50="RIESGO MODERADO (2 O MAS CRITERIOS) VER MANEJO GUIA SUMINISTRO ASA Y CALCIO")),"Pierde Oportunidad, Inicio tardío de ASA","XXXXX"))))))))</f>
        <v>No Aplica para suministro de ASA</v>
      </c>
      <c r="HS50" s="22">
        <v>44882</v>
      </c>
      <c r="HT50" s="22" t="s">
        <v>935</v>
      </c>
      <c r="HU50" s="22">
        <v>44882</v>
      </c>
      <c r="HV50" s="22" t="s">
        <v>870</v>
      </c>
      <c r="HW50" s="22">
        <v>44882</v>
      </c>
      <c r="HX50" s="22" t="s">
        <v>870</v>
      </c>
      <c r="HY50" s="22">
        <v>44887</v>
      </c>
      <c r="HZ50" s="28">
        <f t="shared" si="48"/>
        <v>12.285714285714286</v>
      </c>
      <c r="IA50" s="26" t="s">
        <v>864</v>
      </c>
      <c r="IB50" s="26"/>
      <c r="IC50" s="111">
        <v>44960</v>
      </c>
      <c r="ID50" s="22">
        <v>44960</v>
      </c>
      <c r="IE50" s="22" t="str">
        <f t="shared" ca="1" si="49"/>
        <v>VACUNA APLICADA ENTRE SEMANA 20 Y SEMANA 26</v>
      </c>
      <c r="IF50" s="22"/>
      <c r="IG50" s="22">
        <f t="shared" si="50"/>
        <v>45081</v>
      </c>
      <c r="IH50" s="29">
        <f t="shared" ca="1" si="51"/>
        <v>-152</v>
      </c>
      <c r="II50" s="22" t="str">
        <f t="shared" ca="1" si="52"/>
        <v>POSIBLEMENTE NACIO</v>
      </c>
      <c r="IJ50" s="22"/>
      <c r="IK50" s="21" t="s">
        <v>898</v>
      </c>
      <c r="IL50" s="21"/>
      <c r="IM50" s="34"/>
      <c r="IN50" s="349">
        <v>45069</v>
      </c>
      <c r="IO50" s="21" t="s">
        <v>1186</v>
      </c>
      <c r="IP50" s="29">
        <f t="shared" si="208"/>
        <v>38.285714285714285</v>
      </c>
      <c r="IQ50" s="110" t="s">
        <v>1644</v>
      </c>
      <c r="IR50" s="21" t="s">
        <v>1645</v>
      </c>
      <c r="IS50" s="21" t="s">
        <v>1646</v>
      </c>
      <c r="IT50" s="21" t="s">
        <v>1642</v>
      </c>
      <c r="IU50" s="21"/>
      <c r="IV50" s="21"/>
      <c r="IW50" s="21"/>
      <c r="IX50" s="21"/>
      <c r="IY50" s="21"/>
      <c r="IZ50" s="21"/>
      <c r="JA50" s="21"/>
      <c r="JB50" s="30">
        <v>1</v>
      </c>
      <c r="JC50" s="21" t="s">
        <v>1643</v>
      </c>
      <c r="JD50" s="36">
        <v>3040</v>
      </c>
      <c r="JE50" s="21" t="str">
        <f t="shared" si="209"/>
        <v>PESO ADECUADO EDAD GESTACIONAL</v>
      </c>
      <c r="JF50" s="30"/>
      <c r="JG50" s="21"/>
      <c r="JH50" s="21"/>
      <c r="JI50" s="21" t="s">
        <v>854</v>
      </c>
      <c r="JJ50" s="30" t="s">
        <v>866</v>
      </c>
      <c r="JK50" s="22"/>
      <c r="JL50" s="22"/>
      <c r="JM50" s="21"/>
      <c r="JN50" s="36"/>
      <c r="JO50" s="21" t="str">
        <f t="shared" si="210"/>
        <v/>
      </c>
      <c r="JP50" s="22"/>
      <c r="JQ50" s="21"/>
      <c r="JR50" s="21"/>
      <c r="JS50" s="21"/>
      <c r="JT50" s="30"/>
      <c r="JU50" s="22"/>
      <c r="JV50" s="22"/>
      <c r="JW50" s="33"/>
      <c r="JX50" s="28" t="str">
        <f t="shared" si="211"/>
        <v>INASISTENTE</v>
      </c>
      <c r="JY50" s="33"/>
      <c r="JZ50" s="28" t="str">
        <f t="shared" si="212"/>
        <v>INASISTENTE</v>
      </c>
      <c r="KA50" s="21"/>
      <c r="KB50" s="21"/>
      <c r="KC50" s="21"/>
      <c r="KD50" s="37"/>
      <c r="KE50" s="28"/>
      <c r="KF50" s="28"/>
      <c r="KG50" s="28"/>
      <c r="KH50" s="39"/>
      <c r="KI50" s="39"/>
      <c r="KJ50" s="66"/>
      <c r="KK50" s="39"/>
      <c r="KL50" s="39"/>
      <c r="KM50" s="66"/>
      <c r="KN50" s="39"/>
      <c r="KO50" s="39"/>
      <c r="KP50" s="39"/>
      <c r="KQ50" s="39"/>
      <c r="KR50" s="39"/>
      <c r="KS50" s="39"/>
      <c r="KT50" s="39"/>
      <c r="KU50" s="38"/>
      <c r="KV50" s="38"/>
      <c r="KW50" s="38"/>
      <c r="KX50" s="38"/>
      <c r="KY50" s="38"/>
      <c r="KZ50" s="38"/>
      <c r="LA50" s="38"/>
      <c r="LB50" s="38"/>
      <c r="LC50" s="38"/>
      <c r="LD50" s="38"/>
      <c r="LE50" s="38"/>
      <c r="LF50" s="38"/>
      <c r="LG50" s="38"/>
      <c r="LH50" s="38"/>
      <c r="LI50" s="38"/>
      <c r="LJ50" s="38"/>
      <c r="LK50" s="38"/>
      <c r="LL50" s="38"/>
      <c r="LM50" s="38"/>
      <c r="LN50" s="38"/>
      <c r="LO50" s="38"/>
      <c r="LP50" s="38"/>
      <c r="LQ50" s="38"/>
      <c r="LR50" s="38"/>
      <c r="LS50" s="38"/>
      <c r="LT50" s="38"/>
      <c r="LU50" s="38"/>
      <c r="LV50" s="38"/>
      <c r="LW50" s="38"/>
      <c r="LX50" s="38"/>
      <c r="LY50" s="38"/>
      <c r="LZ50" s="38"/>
      <c r="MA50" s="38"/>
      <c r="MB50" s="38"/>
      <c r="MC50" s="38"/>
      <c r="MD50" s="38"/>
      <c r="ME50" s="38"/>
      <c r="MF50" s="38"/>
      <c r="MG50" s="38"/>
      <c r="MH50" s="43">
        <f t="shared" si="213"/>
        <v>0</v>
      </c>
      <c r="MI50" s="43" t="str">
        <f t="shared" si="214"/>
        <v/>
      </c>
      <c r="MJ50" s="43" t="str">
        <f t="shared" si="215"/>
        <v/>
      </c>
      <c r="MK50" s="43">
        <f t="shared" si="216"/>
        <v>0</v>
      </c>
      <c r="ML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0" s="43">
        <f t="shared" si="217"/>
        <v>11.571428571428571</v>
      </c>
      <c r="MN50" s="43">
        <f t="shared" si="218"/>
        <v>11</v>
      </c>
      <c r="MO50" s="43">
        <f t="shared" si="219"/>
        <v>2022</v>
      </c>
      <c r="MP50" s="43" t="str">
        <f t="shared" si="220"/>
        <v>IV TRIMESTRE AÑO</v>
      </c>
      <c r="MQ50" s="43">
        <f t="shared" si="221"/>
        <v>17.58650897941305</v>
      </c>
      <c r="MR50" s="43">
        <f t="shared" si="222"/>
        <v>0</v>
      </c>
      <c r="MS50" s="43" t="str">
        <f t="shared" si="223"/>
        <v>DE 14 A 19AÑOS</v>
      </c>
      <c r="MT50" s="43">
        <f t="shared" si="224"/>
        <v>0</v>
      </c>
      <c r="MU50" s="43">
        <f t="shared" si="225"/>
        <v>1</v>
      </c>
      <c r="MV50" s="43">
        <f t="shared" si="226"/>
        <v>0</v>
      </c>
      <c r="MW50" s="43">
        <f t="shared" si="227"/>
        <v>0</v>
      </c>
      <c r="MX50" s="43" t="str">
        <f t="shared" si="228"/>
        <v/>
      </c>
      <c r="MY50" s="43" t="str">
        <f t="shared" ca="1" si="229"/>
        <v/>
      </c>
      <c r="MZ50" s="43" t="str">
        <f t="shared" si="230"/>
        <v/>
      </c>
      <c r="NA50" s="43" t="str">
        <f t="shared" si="231"/>
        <v/>
      </c>
      <c r="NB50" s="43" t="str">
        <f t="shared" si="232"/>
        <v/>
      </c>
      <c r="NC50" s="43" t="str">
        <f t="shared" si="233"/>
        <v/>
      </c>
      <c r="ND50" s="43">
        <f t="shared" ca="1" si="234"/>
        <v>3</v>
      </c>
      <c r="NE50" s="43">
        <f>IF(OR(O50&gt;0,R50&gt;0),SUM(COUNTIF(Tabla1[[#This Row],[AÑOS AL INICIO5 CPN]],"&gt;=40"),COUNTIF(AS50,"0"),COUNTIF(AR50,"SI"),COUNTIF(CC50,"SI"),COUNTIF(BQ50,"&gt;119"),COUNTIF(CI50,"&gt;=35")),"")</f>
        <v>1</v>
      </c>
      <c r="NF50" s="43">
        <f t="shared" si="235"/>
        <v>22.714285714285715</v>
      </c>
      <c r="NG50" s="43">
        <f t="shared" si="236"/>
        <v>0</v>
      </c>
      <c r="NH50" s="43">
        <f t="shared" si="237"/>
        <v>161.70000000000002</v>
      </c>
      <c r="NI5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CPN",P50="NO"),"Z",IF(AND(Tabla1[[#This Row],[CITA PROXIMO CONTROL]]="CITA MANUAL",Tabla1[[#This Row],[GESTANTES ACTUALES]]="ACTIVA INGRESO A CPN"),"W",IF(AND(Tabla1[[#This Row],[GESTANTES ACTUALES]]="SALIO PROGRAMA",IN50=""),"S",IF(AND(Tabla1[[#This Row],[CITA PROXIMO CONTROL]]&gt;0,IN50=""),(Tabla1[[#This Row],[CITA PROXIMO CONTROL]]-TODAY()),"SD"))))))))</f>
        <v>SD</v>
      </c>
      <c r="NJ50" s="43">
        <f>MONTH(Tabla1[[#This Row],[FECHA DE SALIDA  DEL PROGRAMA]])</f>
        <v>5</v>
      </c>
      <c r="NK50" s="43">
        <f>YEAR(Tabla1[[#This Row],[FECHA DE SALIDA  DEL PROGRAMA]])</f>
        <v>2023</v>
      </c>
      <c r="NL50" s="43" t="str">
        <f t="shared" si="238"/>
        <v>X</v>
      </c>
      <c r="NM50" s="43" t="str">
        <f t="shared" si="239"/>
        <v>NO</v>
      </c>
      <c r="NN50" s="43" t="str">
        <f ca="1">IF(AND(O50&gt;0,R50=""),"NO CPN",IF(AND(O50="",R50=""),"",IF(AND(R50&gt;0,Tabla1[[#This Row],[SEMANAS DE GESTACION ACTUALIZADAS]]&lt;=12),"NO APLICA",IF(AND(FH50&lt;&gt;"",FN50&lt;&gt;""),"SI","NO"))))</f>
        <v>NO</v>
      </c>
      <c r="NO50" s="43" t="str">
        <f ca="1">IF(AND(O50&gt;0,R50=""),"NO CPN",IF(AND(O50="",R50=""),"",IF(AND(R50&gt;0,Tabla1[[#This Row],[SEMANAS DE GESTACION ACTUALIZADAS]]&lt;=27),"NO APLICA",IF(AND(ES50&lt;&gt;"",FQ50&lt;&gt;"",GF50&lt;&gt;""),"SI","NO"))))</f>
        <v>NO</v>
      </c>
      <c r="NP50" s="204" t="str">
        <f t="shared" si="240"/>
        <v>DEFINIR CON ECO</v>
      </c>
      <c r="NQ50" s="21">
        <f t="shared" si="241"/>
        <v>3</v>
      </c>
      <c r="NR50" s="21">
        <f t="shared" si="242"/>
        <v>3</v>
      </c>
      <c r="NS50" s="205">
        <f t="shared" ca="1" si="243"/>
        <v>2</v>
      </c>
      <c r="NT50" s="21">
        <f t="shared" ca="1" si="244"/>
        <v>1</v>
      </c>
      <c r="NU50" s="21" t="str">
        <f t="shared" ca="1" si="245"/>
        <v>INCOMPLETO</v>
      </c>
      <c r="NV50" s="21" t="str">
        <f t="shared" ca="1" si="246"/>
        <v>INCOMPLETO</v>
      </c>
      <c r="NW50" s="206" t="str">
        <f>IF(AND(O50="",R50=""),"",IF(OR(AND(Tabla1[[#This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0" s="207" t="str">
        <f t="shared" ca="1" si="247"/>
        <v>VACUNADA</v>
      </c>
      <c r="NY50" s="43">
        <f>ROW(Tabla1[[#This Row],['# DE TAMIZAJES SIFILIS TOMADOS ]])</f>
        <v>50</v>
      </c>
      <c r="NZ50" s="43">
        <f t="shared" si="93"/>
        <v>11</v>
      </c>
      <c r="OA50" s="43" t="str">
        <f t="shared" si="94"/>
        <v/>
      </c>
      <c r="OB50" s="43" t="str">
        <f t="shared" si="95"/>
        <v/>
      </c>
      <c r="OC50" s="43" t="str">
        <f t="shared" si="96"/>
        <v>BAJO PESO</v>
      </c>
      <c r="OD50" s="43" t="str">
        <f t="shared" si="97"/>
        <v/>
      </c>
      <c r="OE50" s="43" t="str">
        <f t="shared" si="98"/>
        <v/>
      </c>
      <c r="OF50" s="43" t="str">
        <f t="shared" si="99"/>
        <v/>
      </c>
      <c r="OG50" s="43" t="str">
        <f t="shared" si="100"/>
        <v/>
      </c>
      <c r="OH50" s="43" t="str">
        <f t="shared" si="101"/>
        <v/>
      </c>
      <c r="OI50" s="43" t="str">
        <f t="shared" si="102"/>
        <v/>
      </c>
      <c r="OJ50" s="43" t="str">
        <f t="shared" si="103"/>
        <v/>
      </c>
      <c r="OK50" s="43" t="str">
        <f t="shared" si="104"/>
        <v/>
      </c>
      <c r="OL50" s="43" t="str">
        <f t="shared" si="105"/>
        <v/>
      </c>
      <c r="OM50" s="43" t="str">
        <f t="shared" si="106"/>
        <v/>
      </c>
      <c r="ON50" s="43" t="str">
        <f t="shared" si="107"/>
        <v/>
      </c>
      <c r="OO50" s="43" t="str">
        <f t="shared" si="108"/>
        <v/>
      </c>
      <c r="OP50" s="43" t="str">
        <f t="shared" si="109"/>
        <v/>
      </c>
      <c r="OQ50" s="43" t="str">
        <f t="shared" si="110"/>
        <v/>
      </c>
      <c r="OR50" s="43" t="str">
        <f t="shared" si="111"/>
        <v/>
      </c>
      <c r="OS50" s="43" t="str">
        <f t="shared" si="112"/>
        <v/>
      </c>
      <c r="OT50" s="43" t="str">
        <f t="shared" si="113"/>
        <v/>
      </c>
      <c r="OU50" s="43" t="str">
        <f t="shared" si="114"/>
        <v/>
      </c>
      <c r="OV50" s="110" t="str">
        <f t="shared" si="115"/>
        <v/>
      </c>
      <c r="OW50" s="43" t="str">
        <f t="shared" si="116"/>
        <v/>
      </c>
      <c r="OX50" s="43" t="str">
        <f t="shared" si="117"/>
        <v/>
      </c>
      <c r="OY50" s="43" t="str">
        <f t="shared" si="118"/>
        <v/>
      </c>
      <c r="OZ50" s="43" t="str">
        <f t="shared" si="119"/>
        <v/>
      </c>
      <c r="PA50" s="43" t="str">
        <f t="shared" si="120"/>
        <v/>
      </c>
      <c r="PB50" s="43" t="str">
        <f t="shared" si="121"/>
        <v/>
      </c>
      <c r="PC50" s="43" t="str">
        <f t="shared" si="122"/>
        <v/>
      </c>
      <c r="PD50" s="43" t="str">
        <f t="shared" si="123"/>
        <v/>
      </c>
      <c r="PE50" s="43" t="str">
        <f t="shared" si="124"/>
        <v/>
      </c>
      <c r="PF50" s="43" t="str">
        <f t="shared" si="125"/>
        <v/>
      </c>
      <c r="PG50" s="43" t="str">
        <f t="shared" si="126"/>
        <v/>
      </c>
      <c r="PH50" s="43" t="str">
        <f t="shared" si="127"/>
        <v/>
      </c>
      <c r="PI50" s="43">
        <f t="shared" si="128"/>
        <v>52789</v>
      </c>
      <c r="PJ50" s="43" t="str">
        <f t="shared" si="129"/>
        <v/>
      </c>
      <c r="PK50" s="43" t="str">
        <f t="shared" si="130"/>
        <v/>
      </c>
      <c r="PL50" s="43" t="str">
        <f t="shared" si="131"/>
        <v/>
      </c>
      <c r="PM50" s="43" t="str">
        <f t="shared" si="132"/>
        <v/>
      </c>
      <c r="PN50" s="43" t="str">
        <f t="shared" si="133"/>
        <v/>
      </c>
      <c r="PO50" s="43" t="str">
        <f t="shared" si="134"/>
        <v/>
      </c>
      <c r="PP50" s="43" t="str">
        <f t="shared" si="135"/>
        <v/>
      </c>
      <c r="PQ50" s="43" t="str">
        <f t="shared" si="136"/>
        <v/>
      </c>
      <c r="PR50" s="43" t="str">
        <f t="shared" si="137"/>
        <v/>
      </c>
      <c r="PS50" s="43" t="str">
        <f t="shared" si="138"/>
        <v/>
      </c>
      <c r="PT50" s="43" t="str">
        <f t="shared" si="139"/>
        <v/>
      </c>
      <c r="PU50" s="43" t="str">
        <f t="shared" si="140"/>
        <v/>
      </c>
      <c r="PV50" s="43" t="str">
        <f t="shared" si="141"/>
        <v/>
      </c>
      <c r="PW50" s="43" t="str">
        <f t="shared" si="142"/>
        <v/>
      </c>
      <c r="PX50" s="43" t="str">
        <f t="shared" si="143"/>
        <v/>
      </c>
      <c r="PY50" s="43" t="str">
        <f t="shared" si="144"/>
        <v/>
      </c>
      <c r="PZ50" s="43" t="str">
        <f t="shared" si="145"/>
        <v/>
      </c>
      <c r="QA50" s="43" t="str">
        <f t="shared" si="146"/>
        <v/>
      </c>
      <c r="QB50" s="43" t="str">
        <f t="shared" si="147"/>
        <v/>
      </c>
      <c r="QC50" s="43" t="str">
        <f t="shared" si="148"/>
        <v/>
      </c>
      <c r="QD50" s="43" t="str">
        <f t="shared" si="149"/>
        <v/>
      </c>
      <c r="QE50" s="43" t="str">
        <f t="shared" si="150"/>
        <v/>
      </c>
      <c r="QF50" s="43" t="str">
        <f t="shared" si="151"/>
        <v/>
      </c>
      <c r="QG50" s="43" t="str">
        <f t="shared" si="152"/>
        <v/>
      </c>
      <c r="QH50" s="43" t="str">
        <f t="shared" si="153"/>
        <v/>
      </c>
      <c r="QI50" s="43" t="str">
        <f t="shared" si="154"/>
        <v/>
      </c>
      <c r="QJ50" s="43" t="str">
        <f t="shared" si="155"/>
        <v/>
      </c>
      <c r="QK50" s="43" t="str">
        <f t="shared" si="156"/>
        <v/>
      </c>
      <c r="QL50" s="43" t="str">
        <f t="shared" si="157"/>
        <v/>
      </c>
      <c r="QM50" s="43" t="str">
        <f t="shared" si="158"/>
        <v/>
      </c>
      <c r="QN50" s="43" t="str">
        <f t="shared" si="159"/>
        <v/>
      </c>
      <c r="QO50" s="43" t="str">
        <f t="shared" si="160"/>
        <v/>
      </c>
      <c r="QP50" s="43" t="str">
        <f t="shared" si="161"/>
        <v/>
      </c>
      <c r="QQ50" s="43" t="str">
        <f t="shared" si="162"/>
        <v/>
      </c>
      <c r="QR50" s="43" t="str">
        <f t="shared" si="192"/>
        <v>Mayor</v>
      </c>
      <c r="QS50" s="43"/>
      <c r="QT50" s="21" t="str">
        <f t="shared" si="163"/>
        <v/>
      </c>
      <c r="QU50" s="21" t="str">
        <f t="shared" si="164"/>
        <v/>
      </c>
      <c r="QV50" s="21" t="str">
        <f t="shared" si="165"/>
        <v/>
      </c>
      <c r="QW50" s="21" t="str">
        <f t="shared" si="166"/>
        <v/>
      </c>
      <c r="QX50" s="21" t="str">
        <f t="shared" si="167"/>
        <v/>
      </c>
      <c r="QY50" s="21" t="str">
        <f t="shared" si="168"/>
        <v/>
      </c>
      <c r="QZ50" s="21" t="str">
        <f t="shared" si="169"/>
        <v/>
      </c>
      <c r="RA50" s="21" t="str">
        <f t="shared" si="170"/>
        <v/>
      </c>
      <c r="RB50" s="21" t="str">
        <f t="shared" si="171"/>
        <v/>
      </c>
      <c r="RC50" s="21" t="str">
        <f t="shared" si="172"/>
        <v/>
      </c>
      <c r="RD50" s="21" t="str">
        <f t="shared" si="173"/>
        <v/>
      </c>
      <c r="RE50" s="21" t="str">
        <f t="shared" si="174"/>
        <v/>
      </c>
      <c r="RF50" s="21" t="str">
        <f t="shared" si="175"/>
        <v/>
      </c>
      <c r="RG50" s="21" t="str">
        <f t="shared" si="176"/>
        <v/>
      </c>
      <c r="RH50" s="21" t="str">
        <f t="shared" si="177"/>
        <v/>
      </c>
      <c r="RI50" s="21" t="str">
        <f t="shared" si="178"/>
        <v/>
      </c>
      <c r="RJ50" s="21" t="str">
        <f t="shared" si="179"/>
        <v/>
      </c>
      <c r="RK50" s="21" t="str">
        <f t="shared" si="180"/>
        <v/>
      </c>
      <c r="RL50" s="21" t="str">
        <f t="shared" si="181"/>
        <v/>
      </c>
      <c r="RM50" s="21" t="str">
        <f t="shared" si="182"/>
        <v/>
      </c>
      <c r="RN50" s="21" t="str">
        <f t="shared" si="183"/>
        <v/>
      </c>
      <c r="RO50" s="21" t="str">
        <f t="shared" si="184"/>
        <v/>
      </c>
      <c r="RP50" s="21" t="str">
        <f t="shared" si="185"/>
        <v/>
      </c>
      <c r="RQ50" s="21" t="str">
        <f t="shared" si="186"/>
        <v/>
      </c>
      <c r="RR50" s="21" t="str">
        <f t="shared" si="187"/>
        <v/>
      </c>
      <c r="RS50" s="21" t="str">
        <f t="shared" si="188"/>
        <v/>
      </c>
      <c r="RT50" s="21" t="str">
        <f t="shared" si="189"/>
        <v/>
      </c>
      <c r="RU50" s="21" t="str">
        <f t="shared" si="190"/>
        <v/>
      </c>
      <c r="RV50" s="21">
        <f t="shared" si="191"/>
        <v>11.571428571428571</v>
      </c>
      <c r="RW50" s="284">
        <f>IF(OR(Tabla1[[#This Row],[FUM FORMULA CONFIABLE]]="",Tabla1[[#This Row],[FUM FORMULA CONFIABLE]]="SD"),"",IF(Tabla1[[#This Row],[FUM FORMULA CONFIABLE]]="CORREGIDA",Tabla1[[#This Row],[FUM X ECO 1]],Tabla1[[#This Row],[FUM x AMENORREA]]))</f>
        <v>44801</v>
      </c>
      <c r="RX50" s="21">
        <f>IF(AND(Tabla1[[#This Row],[FUM X ECO 1]]="",Tabla1[[#This Row],[FUM x AMENORREA]]=""),"",IF(AND(Tabla1[[#This Row],[FUM X ECO 1]]="",Tabla1[[#This Row],[FUM x AMENORREA]]&lt;&gt;""),"X",SUM(Tabla1[[#This Row],[FUM X ECO 1]]-Tabla1[[#This Row],[FUM x AMENORREA]])))</f>
        <v>-2.6999999999970896</v>
      </c>
      <c r="RY50" s="21">
        <f t="shared" si="193"/>
        <v>0</v>
      </c>
    </row>
    <row r="51" spans="1:493" ht="45" customHeight="1" x14ac:dyDescent="0.25">
      <c r="A51" s="109"/>
      <c r="B51" s="43" t="s">
        <v>1057</v>
      </c>
      <c r="C51" s="43" t="s">
        <v>845</v>
      </c>
      <c r="D51" s="124" t="s">
        <v>846</v>
      </c>
      <c r="E51" s="43" t="s">
        <v>884</v>
      </c>
      <c r="F51" s="43" t="s">
        <v>1034</v>
      </c>
      <c r="G51" s="43" t="s">
        <v>1138</v>
      </c>
      <c r="H51" s="43"/>
      <c r="I51" s="109" t="s">
        <v>851</v>
      </c>
      <c r="J51" s="110">
        <v>1002848775</v>
      </c>
      <c r="K51" s="43" t="s">
        <v>852</v>
      </c>
      <c r="L51" s="175" t="s">
        <v>853</v>
      </c>
      <c r="M51" s="22">
        <v>37102</v>
      </c>
      <c r="N51" s="213">
        <f t="shared" ca="1" si="0"/>
        <v>22.276712328767122</v>
      </c>
      <c r="O51" s="22">
        <v>44882</v>
      </c>
      <c r="P51" s="214" t="str">
        <f t="shared" si="194"/>
        <v>SI</v>
      </c>
      <c r="Q51" s="26" t="s">
        <v>855</v>
      </c>
      <c r="R51" s="22">
        <v>44882</v>
      </c>
      <c r="S51" s="21" t="s">
        <v>856</v>
      </c>
      <c r="T51" s="24" t="s">
        <v>690</v>
      </c>
      <c r="U51" s="21" t="s">
        <v>857</v>
      </c>
      <c r="V51" s="21" t="s">
        <v>858</v>
      </c>
      <c r="W51" s="21" t="s">
        <v>1139</v>
      </c>
      <c r="X51" s="21" t="s">
        <v>1139</v>
      </c>
      <c r="Y51" s="21" t="s">
        <v>859</v>
      </c>
      <c r="Z51" s="21">
        <v>3216404248</v>
      </c>
      <c r="AA51" s="21" t="s">
        <v>860</v>
      </c>
      <c r="AB51" s="27" t="s">
        <v>861</v>
      </c>
      <c r="AC51" s="26" t="s">
        <v>862</v>
      </c>
      <c r="AD51" s="38" t="s">
        <v>1130</v>
      </c>
      <c r="AE51" s="26" t="s">
        <v>1131</v>
      </c>
      <c r="AF51" s="26" t="s">
        <v>854</v>
      </c>
      <c r="AG51" s="23" t="s">
        <v>864</v>
      </c>
      <c r="AH51" s="23" t="s">
        <v>864</v>
      </c>
      <c r="AI51" s="24" t="s">
        <v>863</v>
      </c>
      <c r="AJ51" s="23" t="s">
        <v>864</v>
      </c>
      <c r="AK51" s="220" t="str">
        <f>IF(AND(AD51="",AE51="",AF51="",AG51="",AH51="",AI51="",AJ51=""),"",IF(OR(Tabla1[[#This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EVALUACIÓN",IF(AND(O51="",R51=""),"",IF(AND(OR(O51&gt;0,R51&gt;0),NG51&gt;=0,NG51&lt;2),"SIN RIESGO",IF(AND(OR(O51&gt;0,R51&gt;0),NG51&gt;=2),"CON RIESGO","ASD")))))</f>
        <v>SIN RIESGO</v>
      </c>
      <c r="AL51" s="23" t="s">
        <v>864</v>
      </c>
      <c r="AM51" s="26" t="s">
        <v>864</v>
      </c>
      <c r="AN51" s="26" t="s">
        <v>864</v>
      </c>
      <c r="AO51" s="26" t="s">
        <v>864</v>
      </c>
      <c r="AP51" s="26" t="s">
        <v>864</v>
      </c>
      <c r="AQ51" s="26" t="s">
        <v>864</v>
      </c>
      <c r="AR51" s="26" t="s">
        <v>864</v>
      </c>
      <c r="AS51" s="21">
        <v>1</v>
      </c>
      <c r="AT51" s="21">
        <v>1</v>
      </c>
      <c r="AU51" s="21">
        <v>0</v>
      </c>
      <c r="AV51" s="26" t="s">
        <v>864</v>
      </c>
      <c r="AW51" s="21">
        <v>0</v>
      </c>
      <c r="AX51" s="26" t="s">
        <v>864</v>
      </c>
      <c r="AY51" s="26" t="s">
        <v>864</v>
      </c>
      <c r="AZ51" s="26" t="s">
        <v>864</v>
      </c>
      <c r="BA51" s="26" t="s">
        <v>864</v>
      </c>
      <c r="BB51" s="26" t="s">
        <v>864</v>
      </c>
      <c r="BC51" s="26" t="s">
        <v>864</v>
      </c>
      <c r="BD51" s="26" t="s">
        <v>864</v>
      </c>
      <c r="BE51" s="26" t="s">
        <v>864</v>
      </c>
      <c r="BF51" s="26" t="s">
        <v>864</v>
      </c>
      <c r="BG51" s="26" t="s">
        <v>864</v>
      </c>
      <c r="BH51" s="26" t="s">
        <v>864</v>
      </c>
      <c r="BI51" s="26" t="s">
        <v>864</v>
      </c>
      <c r="BJ51" s="26"/>
      <c r="BK51" s="26"/>
      <c r="BL51" s="26" t="s">
        <v>864</v>
      </c>
      <c r="BM51" s="26" t="s">
        <v>864</v>
      </c>
      <c r="BN51" s="22">
        <v>43318</v>
      </c>
      <c r="BO51" s="22">
        <v>44807</v>
      </c>
      <c r="BP51" s="21" t="s">
        <v>854</v>
      </c>
      <c r="BQ51" s="222">
        <f t="shared" si="2"/>
        <v>49.633333333333333</v>
      </c>
      <c r="BR51" s="223">
        <f t="shared" si="3"/>
        <v>44807</v>
      </c>
      <c r="BS51" s="224">
        <f t="shared" si="4"/>
        <v>10.714285714285714</v>
      </c>
      <c r="BT51" s="216" t="str">
        <f t="shared" si="5"/>
        <v>II TRIM</v>
      </c>
      <c r="BU51" s="214" t="str">
        <f t="shared" ca="1" si="6"/>
        <v/>
      </c>
      <c r="BV51" s="25" t="s">
        <v>988</v>
      </c>
      <c r="BW51" s="22">
        <v>44898</v>
      </c>
      <c r="BX51" s="28">
        <v>13</v>
      </c>
      <c r="BY51" s="28" t="s">
        <v>988</v>
      </c>
      <c r="BZ51" s="22">
        <v>45051</v>
      </c>
      <c r="CA51" s="21">
        <v>35</v>
      </c>
      <c r="CB51" s="26" t="s">
        <v>864</v>
      </c>
      <c r="CC51" s="26" t="s">
        <v>864</v>
      </c>
      <c r="CD51" s="26" t="s">
        <v>878</v>
      </c>
      <c r="CE51" s="26" t="s">
        <v>864</v>
      </c>
      <c r="CF51" s="22" t="s">
        <v>1517</v>
      </c>
      <c r="CG51" s="21">
        <v>1.56</v>
      </c>
      <c r="CH51" s="21">
        <v>68</v>
      </c>
      <c r="CI51" s="214">
        <f t="shared" si="7"/>
        <v>27.94214332675871</v>
      </c>
      <c r="CJ51" s="225" t="e">
        <f>IF(AND(CI51&lt;10,CH51="SD"),"SIN DATO PESO PREGESTACION O I TRIM",IF(AND(OR(R51&gt;0,O51&gt;0),CI51="X"),"INGRESAR DATO DE PESO",IF(CI51="SD","INGRESAR DATO DE TALLA Y PESO",IF(AND(OR(Tabla1[[#This Row],[MOMENTO EN QUE SE REALIZA EL PESO AL INGRESO A CPN]]="PREGESTACIÓN",NZ51="Menor"),CI51&lt;18.5),"BAJO PESO",IF(AND(OR(Tabla1[[#This Row],[MOMENTO EN QUE SE REALIZA EL PESO AL INGRESO A CPN]]="PREGESTACIÓN",NZ51="Menor"),CI51&lt;25),"NORMAL",IF(AND(OR(Tabla1[[#This Row],[MOMENTO EN QUE SE REALIZA EL PESO AL INGRESO A CPN]]="PREGESTACIÓN",NZ51="Menor"),CI51&lt;30),"SOBREPESO",IF(AND(OR(Tabla1[[#This Row],[MOMENTO EN QUE SE REALIZA EL PESO AL INGRESO A CPN]]="PREGESTACIÓN",NZ51="Menor"),CI51&gt;=30,CI51&lt;50),"OBESIDAD",IF(AND(BS51&gt;0,Tabla1[[#This Row],[MOMENTO EN QUE SE REALIZA EL PESO AL INGRESO A CPN]]="GESTACIÓN"),HLOOKUP(NZ51,$OA$2:PH51,NY51),""))))))))</f>
        <v>#REF!</v>
      </c>
      <c r="CK51" s="212">
        <f t="shared" si="8"/>
        <v>45051</v>
      </c>
      <c r="CL51" s="21">
        <v>72.5</v>
      </c>
      <c r="CM51" s="214">
        <f t="shared" si="9"/>
        <v>29.791255752794211</v>
      </c>
      <c r="CN51" s="216">
        <f t="shared" si="10"/>
        <v>34</v>
      </c>
      <c r="CO51" s="216" t="e">
        <f>IF(PI51="","",IF(PI51&gt;0,HLOOKUP(PI51,$PJ$2:QQ51,NY51),""))</f>
        <v>#REF!</v>
      </c>
      <c r="CP51" s="21">
        <v>31</v>
      </c>
      <c r="CQ51" s="216" t="e">
        <f>IF(QR51="Menor","NO APLICA-MENOR 13 SEM",IF(AND(CC51="SI",CN51&gt;23),"NO APLICA- GEMELAR",IF(QR51="","",IF(QR51&gt;0,HLOOKUP(QR51,$QS$2:RU51,NY51),""))))</f>
        <v>#REF!</v>
      </c>
      <c r="CR51" s="21">
        <v>90</v>
      </c>
      <c r="CS51" s="21">
        <v>60</v>
      </c>
      <c r="CT51" s="217" t="str">
        <f>IF(R51="","",IF(AND(BS51&gt;1,BS51&lt;12,Tabla1[[#This Row],[T.A. SISTOLICA - ANTES DE SEMANA 12]]="",Tabla1[[#This Row],[T.A. DIASTOLICA - ANTES DE SEMANA 12]]=""),"REGISTRE DATO TA ANTES SEMANA 12",IF(AND(BS51&gt;11,BS51&lt;43,Tabla1[[#This Row],[T.A. SISTOLICA - ANTES DE SEMANA 12]]="",Tabla1[[#This Row],[T.A. DIASTOLICA - ANTES DE SEMANA 12]]=""),"NO APLICA REGISTRO TA-INGRESO TARDIO",IF(AND(OR(O51&gt;0,R51&gt;0),OR(CR51&gt;=140,CS51&gt;=90)),"DEFINIR ESTADIO HTA",IF(AND(OR(O51&gt;0,R51&gt;0),AND(CR51&gt;120,CR51&lt;=139)),"PRE HTA SEGUIMIENTO",IF(AND(OR(O51&gt;0,R51&gt;0),AND(CS51&gt;80,CS51&lt;=89)),"PRE HTA SEGUIMIENTO",IF(AND(OR(O51&gt;0,R51&gt;0),AND(CR51&gt;=80,CR51&lt;=120)),"APARENTEMENTE NORMAL",IF(AND(OR(O51&gt;0,R51&gt;0),AND(CS51&gt;=50,CS51&lt;=80)),"APARENTEMENTE NORMAL",IF(AND(OR(O51&gt;0,R51&gt;0),AND(CR51&gt;1,CR51&lt;=70),AND(CS51&gt;1,CS51&lt;=40)),"HIPOTENSIÓN","")))))))))</f>
        <v>APARENTEMENTE NORMAL</v>
      </c>
      <c r="CU51" s="21">
        <v>90</v>
      </c>
      <c r="CV51" s="21">
        <v>60</v>
      </c>
      <c r="CW51" s="217" t="str">
        <f ca="1">IF(R51="","",IF(AND(CN51&gt;19,CN51&lt;27,Tabla1[[#This Row],[T.A. SISTOLICA (Entre semana 20 y 26)]]="",Tabla1[[#This Row],[T.A. DIATOLICA (Entre semana 20 y 26)]]=""),"ACUDE A CONTROL SEM 20 A 26 REGISTRE TA AHORA",IF(AND(BS51&gt;1,BS51&lt;27,BU51&gt;19,Tabla1[[#This Row],[T.A. SISTOLICA (Entre semana 20 y 26)]]="",Tabla1[[#This Row],[T.A. DIATOLICA (Entre semana 20 y 26)]]=""),"COMPLETE REGISTRO TA CONTROL SEM 20 A26 ",IF(AND(BS51&gt;26,BS51&lt;43,Tabla1[[#This Row],[T.A. SISTOLICA (Entre semana 20 y 26)]]="",Tabla1[[#This Row],[T.A. DIATOLICA (Entre semana 20 y 26)]]=""),"NO APLICA REGISTRO TA-INGRESO TARDIO",IF(AND(OR(O51&gt;0,R51&gt;0),OR(CU51&gt;=140,CV51&gt;=90)),"ALTO RIESGO PREECLAMPSIA,DEFINIR ESTADIO HTA",IF(AND(OR(O51&gt;0,R51&gt;0),AND(CU51&gt;120,CU51&lt;=139)),"PRE HTA SEGUIMIENTO,RIESGO HIPERTENSION INDUCIDA POR EL EMBARAZO",IF(AND(OR(O51&gt;0,R51&gt;0),AND(CV51&gt;80,CV51&lt;=89)),"PRE HTA SEGUIMIENTO, RIESGO HIPERTENSION INDUCIDA POR EL EMBARAZO",IF(AND(OR(O51&lt;&gt;"",R51&lt;&gt;""),CS51&lt;&gt;"",CV51&lt;&gt;"",CS51&lt;=CV51),"VIGILAR CIFRAS PRESION ARTERIAL",IF(AND(OR(O51&gt;0,R51&gt;0),AND(CU51&gt;120,CU51&lt;=139)),"PRE HTA SEGUIMIENTO",IF(AND(OR(O51&gt;0,R51&gt;0),AND(CU51&gt;1,CU51&lt;=70),AND(CV51&gt;1,CV51&lt;=40)),"HIPOTENSIÓN",IF(AND(OR(O51&lt;&gt;"",R51&lt;&gt;""),CS51&lt;&gt;"",CV51&lt;&gt;"",CS51&gt;CV51),"APARENTEMENTE NORMAL",IF(AND(OR(O51&gt;0,R51&gt;0),AND(CU51&gt;=80,CU51&lt;=120)),"APARENTEMENTE NORMAL",IF(AND(OR(O51&gt;0,R51&gt;0),AND(CV51&gt;=50,CV51&lt;=80)),"APARENTEMENTE NORMAL","")))))))))))))</f>
        <v>VIGILAR CIFRAS PRESION ARTERIAL</v>
      </c>
      <c r="CX51" s="21">
        <v>110</v>
      </c>
      <c r="CY51" s="21">
        <v>80</v>
      </c>
      <c r="CZ51" s="216" t="str">
        <f t="shared" si="195"/>
        <v>VIGILAR CIFRAS PRESION ARTERIAL</v>
      </c>
      <c r="DA51" s="21">
        <v>100</v>
      </c>
      <c r="DB51" s="21">
        <v>60</v>
      </c>
      <c r="DC51" s="217" t="str">
        <f t="shared" si="12"/>
        <v>APARENTEMENTE NORMAL</v>
      </c>
      <c r="DD51" s="22">
        <v>44882</v>
      </c>
      <c r="DE51" s="22">
        <v>44882</v>
      </c>
      <c r="DF51" s="22">
        <v>44965</v>
      </c>
      <c r="DG51" s="22">
        <v>45012</v>
      </c>
      <c r="DH51" s="22">
        <v>45051</v>
      </c>
      <c r="DI51" s="22"/>
      <c r="DJ51" s="22"/>
      <c r="DK51" s="22"/>
      <c r="DL51" s="22"/>
      <c r="DM51" s="22"/>
      <c r="DN51" s="22"/>
      <c r="DO51" s="22"/>
      <c r="DP51" s="22"/>
      <c r="DQ51" s="22"/>
      <c r="DR51" s="28">
        <v>2</v>
      </c>
      <c r="DS51" s="22"/>
      <c r="DT51" s="22"/>
      <c r="DU51" s="216" t="str">
        <f t="shared" ca="1" si="196"/>
        <v>SALE SIN PLAN DE PARTO</v>
      </c>
      <c r="DV51" s="226" t="str">
        <f t="shared" si="197"/>
        <v>SALIO PROGRAMA</v>
      </c>
      <c r="DW5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1" s="216" t="str">
        <f t="shared" ca="1" si="15"/>
        <v/>
      </c>
      <c r="DY51" s="212">
        <f>IF(R51="","",IF(R51&gt;0,MAX(Tabla1[[#This Row],[FECHA C2]:[FECHA C13]],Tabla1[[#This Row],[FECHA CONSULTA PRIMERA VEZ PROGRAMA CPN ]])))</f>
        <v>45051</v>
      </c>
      <c r="DZ51" s="216">
        <f t="shared" si="16"/>
        <v>34</v>
      </c>
      <c r="EA51" s="222">
        <f>IF(R51&gt;0,SUM(COUNTA(DF51:DQ51)+COUNTA(Tabla1[[#This Row],[FECHA CONSULTA PRIMERA VEZ PROGRAMA CPN ]])),"")</f>
        <v>4</v>
      </c>
      <c r="EB51" s="222" t="str">
        <f t="shared" si="17"/>
        <v>SI</v>
      </c>
      <c r="EC51" s="214">
        <f t="shared" si="18"/>
        <v>9</v>
      </c>
      <c r="ED51" s="227">
        <f t="shared" si="19"/>
        <v>0.44444444444444442</v>
      </c>
      <c r="EE51" s="22">
        <v>44882</v>
      </c>
      <c r="EF51" s="22">
        <v>44897</v>
      </c>
      <c r="EG51" s="22">
        <v>44882</v>
      </c>
      <c r="EH51" s="22">
        <v>44964</v>
      </c>
      <c r="EI51" s="22">
        <v>44882</v>
      </c>
      <c r="EJ51" s="22">
        <v>44964</v>
      </c>
      <c r="EK51" s="22">
        <v>44964</v>
      </c>
      <c r="EL51" s="21">
        <v>1</v>
      </c>
      <c r="EM51" s="21">
        <v>12.4</v>
      </c>
      <c r="EN51" s="22">
        <v>44885</v>
      </c>
      <c r="EO51" s="222">
        <f t="shared" si="20"/>
        <v>11.142857142857142</v>
      </c>
      <c r="EP51" s="214" t="str">
        <f t="shared" si="21"/>
        <v>NORMAL- SUMINISTRAR SULFATO FERROSO</v>
      </c>
      <c r="EQ51" s="216" t="str">
        <f t="shared" si="22"/>
        <v>I TRIM</v>
      </c>
      <c r="ER51" s="24"/>
      <c r="ES51" s="22"/>
      <c r="ET51" s="29" t="str">
        <f t="shared" ca="1" si="198"/>
        <v>SALE SIN TAMIZAJE HEMOGLOBINA SEM 28</v>
      </c>
      <c r="EU51" s="25" t="str">
        <f t="shared" si="24"/>
        <v/>
      </c>
      <c r="EV51" s="24" t="s">
        <v>866</v>
      </c>
      <c r="EW51" s="24">
        <v>44885</v>
      </c>
      <c r="EX51" s="22"/>
      <c r="EY51" s="29">
        <f t="shared" si="199"/>
        <v>11.142857142857142</v>
      </c>
      <c r="EZ51" s="25" t="str">
        <f t="shared" ca="1" si="200"/>
        <v/>
      </c>
      <c r="FA51" s="21">
        <v>76</v>
      </c>
      <c r="FB51" s="22">
        <v>44885</v>
      </c>
      <c r="FC51" s="29">
        <f t="shared" si="27"/>
        <v>11.142857142857142</v>
      </c>
      <c r="FD51" s="29"/>
      <c r="FE51" s="29"/>
      <c r="FF51" s="29"/>
      <c r="FG51" s="21" t="str">
        <f t="shared" ca="1" si="28"/>
        <v/>
      </c>
      <c r="FH51" s="31"/>
      <c r="FI51" s="29" t="str">
        <f t="shared" si="29"/>
        <v>TOMAR EXAMEN</v>
      </c>
      <c r="FJ51" s="22" t="s">
        <v>867</v>
      </c>
      <c r="FK51" s="22">
        <v>44885</v>
      </c>
      <c r="FL51" s="29">
        <f t="shared" ca="1" si="30"/>
        <v>11.142857142857142</v>
      </c>
      <c r="FM51" s="22"/>
      <c r="FN51" s="32"/>
      <c r="FO51" s="29" t="str">
        <f t="shared" ca="1" si="201"/>
        <v>PIERDE TOMA DE TAMIZAJE</v>
      </c>
      <c r="FP51" s="22" t="s">
        <v>867</v>
      </c>
      <c r="FQ51" s="32">
        <v>45051</v>
      </c>
      <c r="FR51" s="29">
        <f t="shared" ca="1" si="202"/>
        <v>34.857142857142854</v>
      </c>
      <c r="FS51" s="22"/>
      <c r="FT51" s="32"/>
      <c r="FU51" s="29" t="str">
        <f>IF(AND(FJ51="",FM51="",FP51="",FS51=""),"",IF(OR(OR(Tabla1[[#This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1" s="28"/>
      <c r="FW51" s="22"/>
      <c r="FX51" s="29" t="str">
        <f t="shared" si="33"/>
        <v>TOMAR EXAMEN</v>
      </c>
      <c r="FY51" s="22">
        <v>44885</v>
      </c>
      <c r="FZ51" s="22">
        <v>44885</v>
      </c>
      <c r="GA51" s="29">
        <f t="shared" ca="1" si="203"/>
        <v>11.142857142857142</v>
      </c>
      <c r="GB51" s="22"/>
      <c r="GC51" s="22"/>
      <c r="GD51" s="29" t="str">
        <f t="shared" ca="1" si="204"/>
        <v>PIERDE TOMA DE TAMIZAJE</v>
      </c>
      <c r="GE51" s="22" t="s">
        <v>868</v>
      </c>
      <c r="GF51" s="22">
        <v>45051</v>
      </c>
      <c r="GG51" s="29">
        <f t="shared" ca="1" si="205"/>
        <v>34.857142857142854</v>
      </c>
      <c r="GH51" s="22"/>
      <c r="GI51" s="29"/>
      <c r="GJ51" s="22"/>
      <c r="GK51" s="22"/>
      <c r="GL51" s="22"/>
      <c r="GM51" s="22"/>
      <c r="GN51" s="28" t="s">
        <v>869</v>
      </c>
      <c r="GO51" s="22">
        <v>44885</v>
      </c>
      <c r="GP51" s="29">
        <f t="shared" si="37"/>
        <v>11.142857142857142</v>
      </c>
      <c r="GQ51" s="28" t="s">
        <v>869</v>
      </c>
      <c r="GR51" s="28" t="s">
        <v>869</v>
      </c>
      <c r="GS51" s="22" t="str">
        <f t="shared" si="206"/>
        <v>CONTROL Igm</v>
      </c>
      <c r="GT51" s="22">
        <v>44885</v>
      </c>
      <c r="GU51" s="29">
        <f t="shared" si="39"/>
        <v>11.142857142857142</v>
      </c>
      <c r="GV51" s="21" t="str">
        <f t="shared" si="40"/>
        <v>I TRIM</v>
      </c>
      <c r="GW51" s="28" t="s">
        <v>869</v>
      </c>
      <c r="GX51" s="30"/>
      <c r="GY51" s="21"/>
      <c r="GZ51" s="21"/>
      <c r="HA51" s="21"/>
      <c r="HB51" s="21"/>
      <c r="HC51" s="21"/>
      <c r="HD51" s="21"/>
      <c r="HE51" s="21"/>
      <c r="HF51" s="22"/>
      <c r="HG51" s="22" t="str">
        <f>IF(OR(O51&gt;0,R51&gt;0),CONCATENATE(IF(Tabla1[[#This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1" s="22" t="e">
        <f t="shared" si="41"/>
        <v>#REF!</v>
      </c>
      <c r="HI51" s="22" t="e">
        <f t="shared" ca="1" si="42"/>
        <v>#REF!</v>
      </c>
      <c r="HJ51" s="21"/>
      <c r="HK51" s="21" t="str">
        <f t="shared" si="44"/>
        <v>SIN ANTECEDENTES DE RIESGO</v>
      </c>
      <c r="HL51" s="24" t="str">
        <f t="shared" si="45"/>
        <v>APARENTEMENTE NORMAL</v>
      </c>
      <c r="HM51" s="21" t="str">
        <f t="shared" ca="1" si="46"/>
        <v/>
      </c>
      <c r="HN51" s="30" t="str">
        <f t="shared" si="207"/>
        <v>SALIO PROGRAMA</v>
      </c>
      <c r="HO51" s="21"/>
      <c r="HP51" s="21"/>
      <c r="HQ51" s="21">
        <v>45051</v>
      </c>
      <c r="HR51" s="21" t="str">
        <f>IF(R51="","",IF(Tabla1[[#This Row],[ALARMA FACTORES DE RIESGO COMPLICACIONES HIPERTENSIVAS3]]="SIN ANTECEDENTES DE RIESGO","No Aplica para suministro de ASA",IF(AND(Tabla1[[#This Row],[FECHA INICIO DE SUMINISTRO DE ASA]]&gt;0,RV51&lt;12),"Inicia ASA ANTES de Sem 12",IF(AND(RV51&gt;11,RV51&lt;17,OR(HK51="RIESGO ALTO DE COMPLICACIONES HIPERTENSIVAS VER MANEJO GUIA SUMINISTRO ASA Y CALCIO",HK51="RIESGO MODERADO (2 O MAS CRITERIOS) VER MANEJO GUIA SUMINISTRO ASA Y CALCIO")),"Inicio oportuno de ASA",IF(AND(RV51&gt;12,OR(HK51="RIESGO ALTO DE COMPLICACIONES HIPERTENSIVAS VER MANEJO GUIA SUMINISTRO ASA Y CALCIO",HK51="RIESGO MODERADO (2 O MAS CRITERIOS) VER MANEJO GUIA SUMINISTRO ASA Y CALCIO")),"Inicio no oportuno mayor a 16 semanas",IF(AND(BU51&lt;12,OR(HK51="RIESGO ALTO DE COMPLICACIONES HIPERTENSIVAS VER MANEJO GUIA SUMINISTRO ASA Y CALCIO",HK51="RIESGO MODERADO (2 O MAS CRITERIOS) VER MANEJO GUIA SUMINISTRO ASA Y CALCIO")),"Pendiente Inicio de ASA a la semana 12",IF(AND(BU51&gt;11,BU51&lt;17,OR(HK51="RIESGO ALTO DE COMPLICACIONES HIPERTENSIVAS VER MANEJO GUIA SUMINISTRO ASA Y CALCIO",HK51="RIESGO MODERADO (2 O MAS CRITERIOS) VER MANEJO GUIA SUMINISTRO ASA Y CALCIO")),"Iniciar de inmediato ASA",IF(AND(BU51&gt;16,OR(HK51="RIESGO ALTO DE COMPLICACIONES HIPERTENSIVAS VER MANEJO GUIA SUMINISTRO ASA Y CALCIO",HK51="RIESGO MODERADO (2 O MAS CRITERIOS) VER MANEJO GUIA SUMINISTRO ASA Y CALCIO")),"Pierde Oportunidad, Inicio tardío de ASA","XXXXX"))))))))</f>
        <v>No Aplica para suministro de ASA</v>
      </c>
      <c r="HS51" s="22">
        <v>45051</v>
      </c>
      <c r="HT51" s="22" t="s">
        <v>870</v>
      </c>
      <c r="HU51" s="22"/>
      <c r="HV51" s="22"/>
      <c r="HW51" s="22">
        <v>45051</v>
      </c>
      <c r="HX51" s="22" t="s">
        <v>870</v>
      </c>
      <c r="HY51" s="22"/>
      <c r="HZ51" s="28" t="str">
        <f t="shared" si="48"/>
        <v>PENDIENTE CONSULTA</v>
      </c>
      <c r="IA51" s="26" t="s">
        <v>864</v>
      </c>
      <c r="IB51" s="26"/>
      <c r="IC51" s="111"/>
      <c r="ID51" s="22"/>
      <c r="IE51" s="22" t="str">
        <f t="shared" ca="1" si="49"/>
        <v>SALE SIN VACUNA</v>
      </c>
      <c r="IF51" s="22"/>
      <c r="IG51" s="22">
        <f t="shared" si="50"/>
        <v>45087</v>
      </c>
      <c r="IH51" s="29">
        <f t="shared" ca="1" si="51"/>
        <v>-146</v>
      </c>
      <c r="II51" s="22" t="str">
        <f t="shared" ca="1" si="52"/>
        <v>POSIBLEMENTE NACIO</v>
      </c>
      <c r="IJ51" s="22"/>
      <c r="IK51" s="21" t="s">
        <v>898</v>
      </c>
      <c r="IL51" s="21"/>
      <c r="IM51" s="34"/>
      <c r="IN51" s="349">
        <v>45076</v>
      </c>
      <c r="IO51" s="21" t="s">
        <v>1186</v>
      </c>
      <c r="IP51" s="29">
        <f t="shared" si="208"/>
        <v>38.428571428571431</v>
      </c>
      <c r="IQ51" s="110" t="s">
        <v>1644</v>
      </c>
      <c r="IR51" s="21" t="s">
        <v>1645</v>
      </c>
      <c r="IS51" s="21" t="s">
        <v>1646</v>
      </c>
      <c r="IT51" s="21" t="s">
        <v>1642</v>
      </c>
      <c r="IU51" s="21"/>
      <c r="IV51" s="21"/>
      <c r="IW51" s="21"/>
      <c r="IX51" s="21"/>
      <c r="IY51" s="21"/>
      <c r="IZ51" s="21"/>
      <c r="JA51" s="21"/>
      <c r="JB51" s="30">
        <v>1</v>
      </c>
      <c r="JC51" s="21" t="s">
        <v>1647</v>
      </c>
      <c r="JD51" s="36">
        <v>3080</v>
      </c>
      <c r="JE51" s="21" t="str">
        <f t="shared" si="209"/>
        <v>PESO ADECUADO EDAD GESTACIONAL</v>
      </c>
      <c r="JF51" s="30"/>
      <c r="JG51" s="21"/>
      <c r="JH51" s="21"/>
      <c r="JI51" s="21" t="s">
        <v>854</v>
      </c>
      <c r="JJ51" s="30" t="s">
        <v>866</v>
      </c>
      <c r="JK51" s="22"/>
      <c r="JL51" s="22"/>
      <c r="JM51" s="21"/>
      <c r="JN51" s="36"/>
      <c r="JO51" s="21" t="str">
        <f t="shared" si="210"/>
        <v/>
      </c>
      <c r="JP51" s="22"/>
      <c r="JQ51" s="21"/>
      <c r="JR51" s="21"/>
      <c r="JS51" s="21"/>
      <c r="JT51" s="30"/>
      <c r="JU51" s="22"/>
      <c r="JV51" s="22"/>
      <c r="JW51" s="33"/>
      <c r="JX51" s="28" t="str">
        <f t="shared" si="211"/>
        <v>INASISTENTE</v>
      </c>
      <c r="JY51" s="33"/>
      <c r="JZ51" s="28" t="str">
        <f t="shared" si="212"/>
        <v>INASISTENTE</v>
      </c>
      <c r="KA51" s="21"/>
      <c r="KB51" s="21"/>
      <c r="KC51" s="21"/>
      <c r="KD51" s="37"/>
      <c r="KE51" s="28"/>
      <c r="KF51" s="28"/>
      <c r="KG51" s="28"/>
      <c r="KH51" s="39"/>
      <c r="KI51" s="39"/>
      <c r="KJ51" s="66"/>
      <c r="KK51" s="39"/>
      <c r="KL51" s="39"/>
      <c r="KM51" s="66"/>
      <c r="KN51" s="39"/>
      <c r="KO51" s="39"/>
      <c r="KP51" s="39"/>
      <c r="KQ51" s="39"/>
      <c r="KR51" s="39"/>
      <c r="KS51" s="39"/>
      <c r="KT51" s="39"/>
      <c r="KU51" s="38"/>
      <c r="KV51" s="38"/>
      <c r="KW51" s="38"/>
      <c r="KX51" s="38"/>
      <c r="KY51" s="38"/>
      <c r="KZ51" s="38"/>
      <c r="LA51" s="38"/>
      <c r="LB51" s="38"/>
      <c r="LC51" s="38"/>
      <c r="LD51" s="38"/>
      <c r="LE51" s="38"/>
      <c r="LF51" s="38"/>
      <c r="LG51" s="38"/>
      <c r="LH51" s="38"/>
      <c r="LI51" s="38"/>
      <c r="LJ51" s="38"/>
      <c r="LK51" s="38"/>
      <c r="LL51" s="38"/>
      <c r="LM51" s="38"/>
      <c r="LN51" s="38"/>
      <c r="LO51" s="38"/>
      <c r="LP51" s="38"/>
      <c r="LQ51" s="38"/>
      <c r="LR51" s="38"/>
      <c r="LS51" s="38"/>
      <c r="LT51" s="38"/>
      <c r="LU51" s="38"/>
      <c r="LV51" s="38"/>
      <c r="LW51" s="38"/>
      <c r="LX51" s="38"/>
      <c r="LY51" s="38"/>
      <c r="LZ51" s="38"/>
      <c r="MA51" s="38"/>
      <c r="MB51" s="38"/>
      <c r="MC51" s="38"/>
      <c r="MD51" s="38"/>
      <c r="ME51" s="38"/>
      <c r="MF51" s="38"/>
      <c r="MG51" s="38"/>
      <c r="MH51" s="43">
        <f t="shared" si="213"/>
        <v>0</v>
      </c>
      <c r="MI51" s="43" t="str">
        <f t="shared" si="214"/>
        <v/>
      </c>
      <c r="MJ51" s="43" t="str">
        <f t="shared" si="215"/>
        <v/>
      </c>
      <c r="MK51" s="43">
        <f t="shared" si="216"/>
        <v>0</v>
      </c>
      <c r="ML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1" s="43">
        <f t="shared" si="217"/>
        <v>10.714285714285714</v>
      </c>
      <c r="MN51" s="43">
        <f t="shared" si="218"/>
        <v>11</v>
      </c>
      <c r="MO51" s="43">
        <f t="shared" si="219"/>
        <v>2022</v>
      </c>
      <c r="MP51" s="43" t="str">
        <f t="shared" si="220"/>
        <v>IV TRIMESTRE AÑO</v>
      </c>
      <c r="MQ51" s="43">
        <f t="shared" si="221"/>
        <v>20.989378011388521</v>
      </c>
      <c r="MR51" s="43">
        <f t="shared" si="222"/>
        <v>0</v>
      </c>
      <c r="MS51" s="43" t="str">
        <f t="shared" si="223"/>
        <v xml:space="preserve"> DE 20 A 24 AÑOS</v>
      </c>
      <c r="MT51" s="43">
        <f t="shared" si="224"/>
        <v>0</v>
      </c>
      <c r="MU51" s="43">
        <f t="shared" si="225"/>
        <v>0</v>
      </c>
      <c r="MV51" s="43">
        <f t="shared" si="226"/>
        <v>0</v>
      </c>
      <c r="MW51" s="43">
        <f t="shared" si="227"/>
        <v>0</v>
      </c>
      <c r="MX51" s="43" t="str">
        <f t="shared" si="228"/>
        <v/>
      </c>
      <c r="MY51" s="43" t="str">
        <f t="shared" ca="1" si="229"/>
        <v/>
      </c>
      <c r="MZ51" s="43" t="str">
        <f t="shared" si="230"/>
        <v/>
      </c>
      <c r="NA51" s="43">
        <f t="shared" si="231"/>
        <v>0</v>
      </c>
      <c r="NB51" s="43" t="str">
        <f t="shared" si="232"/>
        <v/>
      </c>
      <c r="NC51" s="43" t="str">
        <f t="shared" si="233"/>
        <v/>
      </c>
      <c r="ND51" s="43">
        <f t="shared" ca="1" si="234"/>
        <v>0</v>
      </c>
      <c r="NE51" s="43">
        <f>IF(OR(O51&gt;0,R51&gt;0),SUM(COUNTIF(Tabla1[[#This Row],[AÑOS AL INICIO5 CPN]],"&gt;=40"),COUNTIF(AS51,"0"),COUNTIF(AR51,"SI"),COUNTIF(CC51,"SI"),COUNTIF(BQ51,"&gt;119"),COUNTIF(CI51,"&gt;=35")),"")</f>
        <v>0</v>
      </c>
      <c r="NF51" s="43" t="str">
        <f t="shared" si="235"/>
        <v/>
      </c>
      <c r="NG51" s="43">
        <f t="shared" si="236"/>
        <v>0</v>
      </c>
      <c r="NH51" s="43">
        <f t="shared" si="237"/>
        <v>91</v>
      </c>
      <c r="NI5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CPN",P51="NO"),"Z",IF(AND(Tabla1[[#This Row],[CITA PROXIMO CONTROL]]="CITA MANUAL",Tabla1[[#This Row],[GESTANTES ACTUALES]]="ACTIVA INGRESO A CPN"),"W",IF(AND(Tabla1[[#This Row],[GESTANTES ACTUALES]]="SALIO PROGRAMA",IN51=""),"S",IF(AND(Tabla1[[#This Row],[CITA PROXIMO CONTROL]]&gt;0,IN51=""),(Tabla1[[#This Row],[CITA PROXIMO CONTROL]]-TODAY()),"SD"))))))))</f>
        <v>SD</v>
      </c>
      <c r="NJ51" s="43">
        <f>MONTH(Tabla1[[#This Row],[FECHA DE SALIDA  DEL PROGRAMA]])</f>
        <v>5</v>
      </c>
      <c r="NK51" s="43">
        <f>YEAR(Tabla1[[#This Row],[FECHA DE SALIDA  DEL PROGRAMA]])</f>
        <v>2023</v>
      </c>
      <c r="NL51" s="43">
        <f t="shared" si="238"/>
        <v>82</v>
      </c>
      <c r="NM51" s="43" t="str">
        <f t="shared" si="239"/>
        <v>NO</v>
      </c>
      <c r="NN51" s="43" t="str">
        <f ca="1">IF(AND(O51&gt;0,R51=""),"NO CPN",IF(AND(O51="",R51=""),"",IF(AND(R51&gt;0,Tabla1[[#This Row],[SEMANAS DE GESTACION ACTUALIZADAS]]&lt;=12),"NO APLICA",IF(AND(FH51&lt;&gt;"",FN51&lt;&gt;""),"SI","NO"))))</f>
        <v>NO</v>
      </c>
      <c r="NO51" s="43" t="str">
        <f ca="1">IF(AND(O51&gt;0,R51=""),"NO CPN",IF(AND(O51="",R51=""),"",IF(AND(R51&gt;0,Tabla1[[#This Row],[SEMANAS DE GESTACION ACTUALIZADAS]]&lt;=27),"NO APLICA",IF(AND(ES51&lt;&gt;"",FQ51&lt;&gt;"",GF51&lt;&gt;""),"SI","NO"))))</f>
        <v>NO</v>
      </c>
      <c r="NP51" s="204" t="str">
        <f t="shared" si="240"/>
        <v>I TRIM</v>
      </c>
      <c r="NQ51" s="21">
        <f t="shared" si="241"/>
        <v>3</v>
      </c>
      <c r="NR51" s="21">
        <f t="shared" si="242"/>
        <v>3</v>
      </c>
      <c r="NS51" s="205">
        <f t="shared" ca="1" si="243"/>
        <v>2</v>
      </c>
      <c r="NT51" s="21">
        <f t="shared" ca="1" si="244"/>
        <v>2</v>
      </c>
      <c r="NU51" s="21" t="str">
        <f t="shared" ca="1" si="245"/>
        <v>INCOMPLETO</v>
      </c>
      <c r="NV51" s="21" t="str">
        <f t="shared" ca="1" si="246"/>
        <v>INCOMPLETO</v>
      </c>
      <c r="NW51" s="206" t="str">
        <f>IF(AND(O51="",R51=""),"",IF(OR(AND(Tabla1[[#This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1" s="207" t="str">
        <f t="shared" ca="1" si="247"/>
        <v>SIN VACUNAR</v>
      </c>
      <c r="NY51" s="43">
        <f>ROW(Tabla1[[#This Row],['# DE TAMIZAJES SIFILIS TOMADOS ]])</f>
        <v>51</v>
      </c>
      <c r="NZ51" s="43">
        <f t="shared" si="93"/>
        <v>10</v>
      </c>
      <c r="OA51" s="43" t="str">
        <f t="shared" si="94"/>
        <v/>
      </c>
      <c r="OB51" s="43" t="str">
        <f t="shared" si="95"/>
        <v>SOBREPESO</v>
      </c>
      <c r="OC51" s="43" t="str">
        <f t="shared" si="96"/>
        <v/>
      </c>
      <c r="OD51" s="43" t="str">
        <f t="shared" si="97"/>
        <v/>
      </c>
      <c r="OE51" s="43" t="str">
        <f t="shared" si="98"/>
        <v/>
      </c>
      <c r="OF51" s="43" t="str">
        <f t="shared" si="99"/>
        <v/>
      </c>
      <c r="OG51" s="43" t="str">
        <f t="shared" si="100"/>
        <v/>
      </c>
      <c r="OH51" s="43" t="str">
        <f t="shared" si="101"/>
        <v/>
      </c>
      <c r="OI51" s="43" t="str">
        <f t="shared" si="102"/>
        <v/>
      </c>
      <c r="OJ51" s="43" t="str">
        <f t="shared" si="103"/>
        <v/>
      </c>
      <c r="OK51" s="43" t="str">
        <f t="shared" si="104"/>
        <v/>
      </c>
      <c r="OL51" s="43" t="str">
        <f t="shared" si="105"/>
        <v/>
      </c>
      <c r="OM51" s="43" t="str">
        <f t="shared" si="106"/>
        <v/>
      </c>
      <c r="ON51" s="43" t="str">
        <f t="shared" si="107"/>
        <v/>
      </c>
      <c r="OO51" s="43" t="str">
        <f t="shared" si="108"/>
        <v/>
      </c>
      <c r="OP51" s="43" t="str">
        <f t="shared" si="109"/>
        <v/>
      </c>
      <c r="OQ51" s="43" t="str">
        <f t="shared" si="110"/>
        <v/>
      </c>
      <c r="OR51" s="43" t="str">
        <f t="shared" si="111"/>
        <v/>
      </c>
      <c r="OS51" s="43" t="str">
        <f t="shared" si="112"/>
        <v/>
      </c>
      <c r="OT51" s="43" t="str">
        <f t="shared" si="113"/>
        <v/>
      </c>
      <c r="OU51" s="43" t="str">
        <f t="shared" si="114"/>
        <v/>
      </c>
      <c r="OV51" s="110" t="str">
        <f t="shared" si="115"/>
        <v/>
      </c>
      <c r="OW51" s="43" t="str">
        <f t="shared" si="116"/>
        <v/>
      </c>
      <c r="OX51" s="43" t="str">
        <f t="shared" si="117"/>
        <v/>
      </c>
      <c r="OY51" s="43" t="str">
        <f t="shared" si="118"/>
        <v/>
      </c>
      <c r="OZ51" s="43" t="str">
        <f t="shared" si="119"/>
        <v/>
      </c>
      <c r="PA51" s="43" t="str">
        <f t="shared" si="120"/>
        <v/>
      </c>
      <c r="PB51" s="43" t="str">
        <f t="shared" si="121"/>
        <v/>
      </c>
      <c r="PC51" s="43" t="str">
        <f t="shared" si="122"/>
        <v/>
      </c>
      <c r="PD51" s="43" t="str">
        <f t="shared" si="123"/>
        <v/>
      </c>
      <c r="PE51" s="43" t="str">
        <f t="shared" si="124"/>
        <v/>
      </c>
      <c r="PF51" s="43" t="str">
        <f t="shared" si="125"/>
        <v/>
      </c>
      <c r="PG51" s="43" t="str">
        <f t="shared" si="126"/>
        <v/>
      </c>
      <c r="PH51" s="43" t="str">
        <f t="shared" si="127"/>
        <v/>
      </c>
      <c r="PI51" s="43">
        <f t="shared" si="128"/>
        <v>34</v>
      </c>
      <c r="PJ51" s="43" t="str">
        <f t="shared" si="129"/>
        <v/>
      </c>
      <c r="PK51" s="43" t="str">
        <f t="shared" si="130"/>
        <v/>
      </c>
      <c r="PL51" s="43" t="str">
        <f t="shared" si="131"/>
        <v/>
      </c>
      <c r="PM51" s="43" t="str">
        <f t="shared" si="132"/>
        <v/>
      </c>
      <c r="PN51" s="43" t="str">
        <f t="shared" si="133"/>
        <v/>
      </c>
      <c r="PO51" s="43" t="str">
        <f t="shared" si="134"/>
        <v/>
      </c>
      <c r="PP51" s="43" t="str">
        <f t="shared" si="135"/>
        <v/>
      </c>
      <c r="PQ51" s="43" t="str">
        <f t="shared" si="136"/>
        <v/>
      </c>
      <c r="PR51" s="43" t="str">
        <f t="shared" si="137"/>
        <v/>
      </c>
      <c r="PS51" s="43" t="str">
        <f t="shared" si="138"/>
        <v/>
      </c>
      <c r="PT51" s="43" t="str">
        <f t="shared" si="139"/>
        <v/>
      </c>
      <c r="PU51" s="43" t="str">
        <f t="shared" si="140"/>
        <v/>
      </c>
      <c r="PV51" s="43" t="str">
        <f t="shared" si="141"/>
        <v/>
      </c>
      <c r="PW51" s="43" t="str">
        <f t="shared" si="142"/>
        <v/>
      </c>
      <c r="PX51" s="43" t="str">
        <f t="shared" si="143"/>
        <v/>
      </c>
      <c r="PY51" s="43" t="str">
        <f t="shared" si="144"/>
        <v/>
      </c>
      <c r="PZ51" s="43" t="str">
        <f t="shared" si="145"/>
        <v/>
      </c>
      <c r="QA51" s="43" t="str">
        <f t="shared" si="146"/>
        <v/>
      </c>
      <c r="QB51" s="43" t="str">
        <f t="shared" si="147"/>
        <v/>
      </c>
      <c r="QC51" s="43" t="str">
        <f t="shared" si="148"/>
        <v/>
      </c>
      <c r="QD51" s="43" t="str">
        <f t="shared" si="149"/>
        <v/>
      </c>
      <c r="QE51" s="43" t="str">
        <f t="shared" si="150"/>
        <v/>
      </c>
      <c r="QF51" s="43" t="str">
        <f t="shared" si="151"/>
        <v/>
      </c>
      <c r="QG51" s="43" t="str">
        <f t="shared" si="152"/>
        <v/>
      </c>
      <c r="QH51" s="43" t="str">
        <f t="shared" si="153"/>
        <v/>
      </c>
      <c r="QI51" s="43" t="str">
        <f t="shared" si="154"/>
        <v>SOBREPESO</v>
      </c>
      <c r="QJ51" s="43" t="str">
        <f t="shared" si="155"/>
        <v/>
      </c>
      <c r="QK51" s="43" t="str">
        <f t="shared" si="156"/>
        <v/>
      </c>
      <c r="QL51" s="43" t="str">
        <f t="shared" si="157"/>
        <v/>
      </c>
      <c r="QM51" s="43" t="str">
        <f t="shared" si="158"/>
        <v/>
      </c>
      <c r="QN51" s="43" t="str">
        <f t="shared" si="159"/>
        <v/>
      </c>
      <c r="QO51" s="43" t="str">
        <f t="shared" si="160"/>
        <v/>
      </c>
      <c r="QP51" s="43" t="str">
        <f t="shared" si="161"/>
        <v/>
      </c>
      <c r="QQ51" s="43" t="str">
        <f t="shared" si="162"/>
        <v/>
      </c>
      <c r="QR51" s="43">
        <f t="shared" si="192"/>
        <v>34</v>
      </c>
      <c r="QS51" s="43"/>
      <c r="QT51" s="21" t="str">
        <f t="shared" si="163"/>
        <v/>
      </c>
      <c r="QU51" s="21" t="str">
        <f t="shared" si="164"/>
        <v/>
      </c>
      <c r="QV51" s="21" t="str">
        <f t="shared" si="165"/>
        <v/>
      </c>
      <c r="QW51" s="21" t="str">
        <f t="shared" si="166"/>
        <v/>
      </c>
      <c r="QX51" s="21" t="str">
        <f t="shared" si="167"/>
        <v/>
      </c>
      <c r="QY51" s="21" t="str">
        <f t="shared" si="168"/>
        <v/>
      </c>
      <c r="QZ51" s="21" t="str">
        <f t="shared" si="169"/>
        <v/>
      </c>
      <c r="RA51" s="21" t="str">
        <f t="shared" si="170"/>
        <v/>
      </c>
      <c r="RB51" s="21" t="str">
        <f t="shared" si="171"/>
        <v/>
      </c>
      <c r="RC51" s="21" t="str">
        <f t="shared" si="172"/>
        <v/>
      </c>
      <c r="RD51" s="21" t="str">
        <f t="shared" si="173"/>
        <v/>
      </c>
      <c r="RE51" s="21" t="str">
        <f t="shared" si="174"/>
        <v/>
      </c>
      <c r="RF51" s="21" t="str">
        <f t="shared" si="175"/>
        <v/>
      </c>
      <c r="RG51" s="21" t="str">
        <f t="shared" si="176"/>
        <v/>
      </c>
      <c r="RH51" s="21" t="str">
        <f t="shared" si="177"/>
        <v/>
      </c>
      <c r="RI51" s="21" t="str">
        <f t="shared" si="178"/>
        <v/>
      </c>
      <c r="RJ51" s="21" t="str">
        <f t="shared" si="179"/>
        <v/>
      </c>
      <c r="RK51" s="21" t="str">
        <f t="shared" si="180"/>
        <v/>
      </c>
      <c r="RL51" s="21" t="str">
        <f t="shared" si="181"/>
        <v/>
      </c>
      <c r="RM51" s="21" t="str">
        <f t="shared" si="182"/>
        <v/>
      </c>
      <c r="RN51" s="21" t="str">
        <f t="shared" si="183"/>
        <v/>
      </c>
      <c r="RO51" s="21" t="str">
        <f t="shared" si="184"/>
        <v>ADECUADO PARA EDAD GESTACIONAL</v>
      </c>
      <c r="RP51" s="21" t="str">
        <f t="shared" si="185"/>
        <v/>
      </c>
      <c r="RQ51" s="21" t="str">
        <f t="shared" si="186"/>
        <v/>
      </c>
      <c r="RR51" s="21" t="str">
        <f t="shared" si="187"/>
        <v/>
      </c>
      <c r="RS51" s="21" t="str">
        <f t="shared" si="188"/>
        <v/>
      </c>
      <c r="RT51" s="21" t="str">
        <f t="shared" si="189"/>
        <v/>
      </c>
      <c r="RU51" s="21" t="str">
        <f t="shared" si="190"/>
        <v/>
      </c>
      <c r="RV51" s="21">
        <f t="shared" si="191"/>
        <v>34.857142857142854</v>
      </c>
      <c r="RW51" s="284">
        <f>IF(OR(Tabla1[[#This Row],[FUM FORMULA CONFIABLE]]="",Tabla1[[#This Row],[FUM FORMULA CONFIABLE]]="SD"),"",IF(Tabla1[[#This Row],[FUM FORMULA CONFIABLE]]="CORREGIDA",Tabla1[[#This Row],[FUM X ECO 1]],Tabla1[[#This Row],[FUM x AMENORREA]]))</f>
        <v>44807</v>
      </c>
      <c r="RX51" s="21">
        <f>IF(AND(Tabla1[[#This Row],[FUM X ECO 1]]="",Tabla1[[#This Row],[FUM x AMENORREA]]=""),"",IF(AND(Tabla1[[#This Row],[FUM X ECO 1]]="",Tabla1[[#This Row],[FUM x AMENORREA]]&lt;&gt;""),"X",SUM(Tabla1[[#This Row],[FUM X ECO 1]]-Tabla1[[#This Row],[FUM x AMENORREA]])))</f>
        <v>0</v>
      </c>
      <c r="RY51" s="21">
        <f t="shared" si="193"/>
        <v>0</v>
      </c>
    </row>
    <row r="52" spans="1:493" ht="45" customHeight="1" x14ac:dyDescent="0.25">
      <c r="A52" s="109"/>
      <c r="B52" s="43" t="s">
        <v>1121</v>
      </c>
      <c r="C52" s="43" t="s">
        <v>845</v>
      </c>
      <c r="D52" s="124" t="s">
        <v>846</v>
      </c>
      <c r="E52" s="43" t="s">
        <v>1140</v>
      </c>
      <c r="F52" s="43" t="s">
        <v>1141</v>
      </c>
      <c r="G52" s="43" t="s">
        <v>1142</v>
      </c>
      <c r="H52" s="43"/>
      <c r="I52" s="109" t="s">
        <v>851</v>
      </c>
      <c r="J52" s="110">
        <v>1002846304</v>
      </c>
      <c r="K52" s="43" t="s">
        <v>852</v>
      </c>
      <c r="L52" s="175" t="s">
        <v>853</v>
      </c>
      <c r="M52" s="22">
        <v>35143</v>
      </c>
      <c r="N52" s="213">
        <f t="shared" ca="1" si="0"/>
        <v>27.643835616438356</v>
      </c>
      <c r="O52" s="22">
        <v>44890</v>
      </c>
      <c r="P52" s="214" t="str">
        <f t="shared" si="194"/>
        <v>SI</v>
      </c>
      <c r="Q52" s="26" t="s">
        <v>855</v>
      </c>
      <c r="R52" s="22">
        <v>44890</v>
      </c>
      <c r="S52" s="21" t="s">
        <v>856</v>
      </c>
      <c r="T52" s="24" t="s">
        <v>690</v>
      </c>
      <c r="U52" s="21" t="s">
        <v>857</v>
      </c>
      <c r="V52" s="21" t="s">
        <v>858</v>
      </c>
      <c r="W52" s="21" t="s">
        <v>920</v>
      </c>
      <c r="X52" s="21" t="s">
        <v>920</v>
      </c>
      <c r="Y52" s="21" t="s">
        <v>859</v>
      </c>
      <c r="Z52" s="21">
        <v>3117933827</v>
      </c>
      <c r="AA52" s="21" t="s">
        <v>860</v>
      </c>
      <c r="AB52" s="27" t="s">
        <v>861</v>
      </c>
      <c r="AC52" s="26" t="s">
        <v>862</v>
      </c>
      <c r="AD52" s="38" t="s">
        <v>1130</v>
      </c>
      <c r="AE52" s="26" t="s">
        <v>1131</v>
      </c>
      <c r="AF52" s="26" t="s">
        <v>854</v>
      </c>
      <c r="AG52" s="23" t="s">
        <v>864</v>
      </c>
      <c r="AH52" s="23" t="s">
        <v>864</v>
      </c>
      <c r="AI52" s="24" t="s">
        <v>863</v>
      </c>
      <c r="AJ52" s="23" t="s">
        <v>864</v>
      </c>
      <c r="AK52" s="220" t="str">
        <f>IF(AND(AD52="",AE52="",AF52="",AG52="",AH52="",AI52="",AJ52=""),"",IF(OR(Tabla1[[#This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EVALUACIÓN",IF(AND(O52="",R52=""),"",IF(AND(OR(O52&gt;0,R52&gt;0),NG52&gt;=0,NG52&lt;2),"SIN RIESGO",IF(AND(OR(O52&gt;0,R52&gt;0),NG52&gt;=2),"CON RIESGO","ASD")))))</f>
        <v>SIN RIESGO</v>
      </c>
      <c r="AL52" s="23" t="s">
        <v>864</v>
      </c>
      <c r="AM52" s="26" t="s">
        <v>864</v>
      </c>
      <c r="AN52" s="26" t="s">
        <v>864</v>
      </c>
      <c r="AO52" s="26" t="s">
        <v>864</v>
      </c>
      <c r="AP52" s="26" t="s">
        <v>864</v>
      </c>
      <c r="AQ52" s="26" t="s">
        <v>864</v>
      </c>
      <c r="AR52" s="26" t="s">
        <v>864</v>
      </c>
      <c r="AS52" s="21">
        <v>1</v>
      </c>
      <c r="AT52" s="21">
        <v>1</v>
      </c>
      <c r="AU52" s="21">
        <v>0</v>
      </c>
      <c r="AV52" s="26" t="s">
        <v>864</v>
      </c>
      <c r="AW52" s="21">
        <v>0</v>
      </c>
      <c r="AX52" s="26" t="s">
        <v>864</v>
      </c>
      <c r="AY52" s="26" t="s">
        <v>864</v>
      </c>
      <c r="AZ52" s="26" t="s">
        <v>864</v>
      </c>
      <c r="BA52" s="26" t="s">
        <v>864</v>
      </c>
      <c r="BB52" s="26" t="s">
        <v>864</v>
      </c>
      <c r="BC52" s="26" t="s">
        <v>864</v>
      </c>
      <c r="BD52" s="26" t="s">
        <v>864</v>
      </c>
      <c r="BE52" s="26" t="s">
        <v>864</v>
      </c>
      <c r="BF52" s="26" t="s">
        <v>864</v>
      </c>
      <c r="BG52" s="26" t="s">
        <v>864</v>
      </c>
      <c r="BH52" s="26" t="s">
        <v>864</v>
      </c>
      <c r="BI52" s="26"/>
      <c r="BJ52" s="26"/>
      <c r="BK52" s="26"/>
      <c r="BL52" s="26" t="s">
        <v>864</v>
      </c>
      <c r="BM52" s="26"/>
      <c r="BN52" s="22"/>
      <c r="BO52" s="22">
        <v>44744</v>
      </c>
      <c r="BP52" s="21" t="s">
        <v>854</v>
      </c>
      <c r="BQ52" s="222">
        <f t="shared" si="2"/>
        <v>0</v>
      </c>
      <c r="BR52" s="223">
        <f t="shared" si="3"/>
        <v>44744</v>
      </c>
      <c r="BS52" s="224">
        <f t="shared" si="4"/>
        <v>20.857142857142858</v>
      </c>
      <c r="BT52" s="216" t="str">
        <f t="shared" si="5"/>
        <v>II TRIM</v>
      </c>
      <c r="BU52" s="214" t="str">
        <f t="shared" ca="1" si="6"/>
        <v/>
      </c>
      <c r="BV52" s="25"/>
      <c r="BW52" s="22">
        <v>44898</v>
      </c>
      <c r="BX52" s="28">
        <v>22</v>
      </c>
      <c r="BY52" s="28"/>
      <c r="BZ52" s="22">
        <v>44995</v>
      </c>
      <c r="CA52" s="21">
        <v>36</v>
      </c>
      <c r="CB52" s="26" t="s">
        <v>864</v>
      </c>
      <c r="CC52" s="26" t="s">
        <v>864</v>
      </c>
      <c r="CD52" s="26" t="s">
        <v>878</v>
      </c>
      <c r="CE52" s="26" t="s">
        <v>864</v>
      </c>
      <c r="CF52" s="22" t="s">
        <v>1517</v>
      </c>
      <c r="CG52" s="21">
        <v>1.53</v>
      </c>
      <c r="CH52" s="21">
        <v>75</v>
      </c>
      <c r="CI52" s="214">
        <f t="shared" si="7"/>
        <v>32.038959374599514</v>
      </c>
      <c r="CJ52" s="225" t="e">
        <f>IF(AND(CI52&lt;10,CH52="SD"),"SIN DATO PESO PREGESTACION O I TRIM",IF(AND(OR(R52&gt;0,O52&gt;0),CI52="X"),"INGRESAR DATO DE PESO",IF(CI52="SD","INGRESAR DATO DE TALLA Y PESO",IF(AND(OR(Tabla1[[#This Row],[MOMENTO EN QUE SE REALIZA EL PESO AL INGRESO A CPN]]="PREGESTACIÓN",NZ52="Menor"),CI52&lt;18.5),"BAJO PESO",IF(AND(OR(Tabla1[[#This Row],[MOMENTO EN QUE SE REALIZA EL PESO AL INGRESO A CPN]]="PREGESTACIÓN",NZ52="Menor"),CI52&lt;25),"NORMAL",IF(AND(OR(Tabla1[[#This Row],[MOMENTO EN QUE SE REALIZA EL PESO AL INGRESO A CPN]]="PREGESTACIÓN",NZ52="Menor"),CI52&lt;30),"SOBREPESO",IF(AND(OR(Tabla1[[#This Row],[MOMENTO EN QUE SE REALIZA EL PESO AL INGRESO A CPN]]="PREGESTACIÓN",NZ52="Menor"),CI52&gt;=30,CI52&lt;50),"OBESIDAD",IF(AND(BS52&gt;0,Tabla1[[#This Row],[MOMENTO EN QUE SE REALIZA EL PESO AL INGRESO A CPN]]="GESTACIÓN"),HLOOKUP(NZ52,$OA$2:PH52,NY52),""))))))))</f>
        <v>#REF!</v>
      </c>
      <c r="CK52" s="212">
        <f t="shared" si="8"/>
        <v>44992</v>
      </c>
      <c r="CL52" s="21"/>
      <c r="CM52" s="214">
        <f t="shared" si="9"/>
        <v>0</v>
      </c>
      <c r="CN52" s="216">
        <f t="shared" si="10"/>
        <v>35</v>
      </c>
      <c r="CO52" s="216" t="e">
        <f>IF(PI52="","",IF(PI52&gt;0,HLOOKUP(PI52,$PJ$2:QQ52,NY52),""))</f>
        <v>#REF!</v>
      </c>
      <c r="CP52" s="21"/>
      <c r="CQ52" s="216" t="e">
        <f>IF(QR52="Menor","NO APLICA-MENOR 13 SEM",IF(AND(CC52="SI",CN52&gt;23),"NO APLICA- GEMELAR",IF(QR52="","",IF(QR52&gt;0,HLOOKUP(QR52,$QS$2:RU52,NY52),""))))</f>
        <v>#REF!</v>
      </c>
      <c r="CR52" s="21">
        <v>100</v>
      </c>
      <c r="CS52" s="21">
        <v>70</v>
      </c>
      <c r="CT52" s="217" t="str">
        <f>IF(R52="","",IF(AND(BS52&gt;1,BS52&lt;12,Tabla1[[#This Row],[T.A. SISTOLICA - ANTES DE SEMANA 12]]="",Tabla1[[#This Row],[T.A. DIASTOLICA - ANTES DE SEMANA 12]]=""),"REGISTRE DATO TA ANTES SEMANA 12",IF(AND(BS52&gt;11,BS52&lt;43,Tabla1[[#This Row],[T.A. SISTOLICA - ANTES DE SEMANA 12]]="",Tabla1[[#This Row],[T.A. DIASTOLICA - ANTES DE SEMANA 12]]=""),"NO APLICA REGISTRO TA-INGRESO TARDIO",IF(AND(OR(O52&gt;0,R52&gt;0),OR(CR52&gt;=140,CS52&gt;=90)),"DEFINIR ESTADIO HTA",IF(AND(OR(O52&gt;0,R52&gt;0),AND(CR52&gt;120,CR52&lt;=139)),"PRE HTA SEGUIMIENTO",IF(AND(OR(O52&gt;0,R52&gt;0),AND(CS52&gt;80,CS52&lt;=89)),"PRE HTA SEGUIMIENTO",IF(AND(OR(O52&gt;0,R52&gt;0),AND(CR52&gt;=80,CR52&lt;=120)),"APARENTEMENTE NORMAL",IF(AND(OR(O52&gt;0,R52&gt;0),AND(CS52&gt;=50,CS52&lt;=80)),"APARENTEMENTE NORMAL",IF(AND(OR(O52&gt;0,R52&gt;0),AND(CR52&gt;1,CR52&lt;=70),AND(CS52&gt;1,CS52&lt;=40)),"HIPOTENSIÓN","")))))))))</f>
        <v>APARENTEMENTE NORMAL</v>
      </c>
      <c r="CU52" s="21"/>
      <c r="CV52" s="21"/>
      <c r="CW52" s="217" t="str">
        <f ca="1">IF(R52="","",IF(AND(CN52&gt;19,CN52&lt;27,Tabla1[[#This Row],[T.A. SISTOLICA (Entre semana 20 y 26)]]="",Tabla1[[#This Row],[T.A. DIATOLICA (Entre semana 20 y 26)]]=""),"ACUDE A CONTROL SEM 20 A 26 REGISTRE TA AHORA",IF(AND(BS52&gt;1,BS52&lt;27,BU52&gt;19,Tabla1[[#This Row],[T.A. SISTOLICA (Entre semana 20 y 26)]]="",Tabla1[[#This Row],[T.A. DIATOLICA (Entre semana 20 y 26)]]=""),"COMPLETE REGISTRO TA CONTROL SEM 20 A26 ",IF(AND(BS52&gt;26,BS52&lt;43,Tabla1[[#This Row],[T.A. SISTOLICA (Entre semana 20 y 26)]]="",Tabla1[[#This Row],[T.A. DIATOLICA (Entre semana 20 y 26)]]=""),"NO APLICA REGISTRO TA-INGRESO TARDIO",IF(AND(OR(O52&gt;0,R52&gt;0),OR(CU52&gt;=140,CV52&gt;=90)),"ALTO RIESGO PREECLAMPSIA,DEFINIR ESTADIO HTA",IF(AND(OR(O52&gt;0,R52&gt;0),AND(CU52&gt;120,CU52&lt;=139)),"PRE HTA SEGUIMIENTO,RIESGO HIPERTENSION INDUCIDA POR EL EMBARAZO",IF(AND(OR(O52&gt;0,R52&gt;0),AND(CV52&gt;80,CV52&lt;=89)),"PRE HTA SEGUIMIENTO, RIESGO HIPERTENSION INDUCIDA POR EL EMBARAZO",IF(AND(OR(O52&lt;&gt;"",R52&lt;&gt;""),CS52&lt;&gt;"",CV52&lt;&gt;"",CS52&lt;=CV52),"VIGILAR CIFRAS PRESION ARTERIAL",IF(AND(OR(O52&gt;0,R52&gt;0),AND(CU52&gt;120,CU52&lt;=139)),"PRE HTA SEGUIMIENTO",IF(AND(OR(O52&gt;0,R52&gt;0),AND(CU52&gt;1,CU52&lt;=70),AND(CV52&gt;1,CV52&lt;=40)),"HIPOTENSIÓN",IF(AND(OR(O52&lt;&gt;"",R52&lt;&gt;""),CS52&lt;&gt;"",CV52&lt;&gt;"",CS52&gt;CV52),"APARENTEMENTE NORMAL",IF(AND(OR(O52&gt;0,R52&gt;0),AND(CU52&gt;=80,CU52&lt;=120)),"APARENTEMENTE NORMAL",IF(AND(OR(O52&gt;0,R52&gt;0),AND(CV52&gt;=50,CV52&lt;=80)),"APARENTEMENTE NORMAL","")))))))))))))</f>
        <v xml:space="preserve">COMPLETE REGISTRO TA CONTROL SEM 20 A26 </v>
      </c>
      <c r="CX52" s="21">
        <v>110</v>
      </c>
      <c r="CY52" s="21">
        <v>70</v>
      </c>
      <c r="CZ52" s="216" t="str">
        <f t="shared" si="195"/>
        <v>APARENTEMENTE NORMAL</v>
      </c>
      <c r="DA52" s="21"/>
      <c r="DB52" s="21"/>
      <c r="DC52" s="217" t="str">
        <f t="shared" si="12"/>
        <v>REGISTRE DATO PRESIÓN ARTERIAL MENSUAL</v>
      </c>
      <c r="DD52" s="22">
        <v>44890</v>
      </c>
      <c r="DE52" s="22">
        <v>44890</v>
      </c>
      <c r="DF52" s="22">
        <v>44951</v>
      </c>
      <c r="DG52" s="22">
        <v>44992</v>
      </c>
      <c r="DH52" s="22"/>
      <c r="DI52" s="22"/>
      <c r="DJ52" s="22"/>
      <c r="DK52" s="22"/>
      <c r="DL52" s="22"/>
      <c r="DM52" s="22"/>
      <c r="DN52" s="22"/>
      <c r="DO52" s="22"/>
      <c r="DP52" s="22"/>
      <c r="DQ52" s="22"/>
      <c r="DR52" s="28">
        <v>1</v>
      </c>
      <c r="DS52" s="22"/>
      <c r="DT52" s="22"/>
      <c r="DU52" s="216" t="str">
        <f t="shared" ca="1" si="196"/>
        <v>SALE SIN PLAN DE PARTO</v>
      </c>
      <c r="DV52" s="226" t="str">
        <f t="shared" si="197"/>
        <v>SALIO PROGRAMA</v>
      </c>
      <c r="DW5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2" s="216" t="str">
        <f t="shared" ca="1" si="15"/>
        <v/>
      </c>
      <c r="DY52" s="212">
        <f>IF(R52="","",IF(R52&gt;0,MAX(Tabla1[[#This Row],[FECHA C2]:[FECHA C13]],Tabla1[[#This Row],[FECHA CONSULTA PRIMERA VEZ PROGRAMA CPN ]])))</f>
        <v>44992</v>
      </c>
      <c r="DZ52" s="216">
        <f t="shared" si="16"/>
        <v>35</v>
      </c>
      <c r="EA52" s="222">
        <f>IF(R52&gt;0,SUM(COUNTA(DF52:DQ52)+COUNTA(Tabla1[[#This Row],[FECHA CONSULTA PRIMERA VEZ PROGRAMA CPN ]])),"")</f>
        <v>3</v>
      </c>
      <c r="EB52" s="222" t="str">
        <f t="shared" si="17"/>
        <v>NO</v>
      </c>
      <c r="EC52" s="214">
        <f t="shared" si="18"/>
        <v>6</v>
      </c>
      <c r="ED52" s="227">
        <f t="shared" si="19"/>
        <v>0.5</v>
      </c>
      <c r="EE52" s="22">
        <v>44890</v>
      </c>
      <c r="EF52" s="22">
        <v>44890</v>
      </c>
      <c r="EG52" s="22">
        <v>44890</v>
      </c>
      <c r="EH52" s="22"/>
      <c r="EI52" s="22">
        <v>44890</v>
      </c>
      <c r="EJ52" s="22"/>
      <c r="EK52" s="22"/>
      <c r="EL52" s="21"/>
      <c r="EM52" s="21">
        <v>13.7</v>
      </c>
      <c r="EN52" s="22">
        <v>44890</v>
      </c>
      <c r="EO52" s="222">
        <f t="shared" si="20"/>
        <v>20.857142857142858</v>
      </c>
      <c r="EP52" s="214" t="str">
        <f t="shared" si="21"/>
        <v>NORMAL- SUMINISTRAR SULFATO FERROSO</v>
      </c>
      <c r="EQ52" s="216" t="str">
        <f t="shared" si="22"/>
        <v>II TRIM</v>
      </c>
      <c r="ER52" s="24"/>
      <c r="ES52" s="22"/>
      <c r="ET52" s="29" t="str">
        <f t="shared" ca="1" si="198"/>
        <v>SALE SIN TAMIZAJE HEMOGLOBINA SEM 28</v>
      </c>
      <c r="EU52" s="25" t="str">
        <f t="shared" si="24"/>
        <v/>
      </c>
      <c r="EV52" s="24" t="s">
        <v>866</v>
      </c>
      <c r="EW52" s="24">
        <v>44890</v>
      </c>
      <c r="EX52" s="22"/>
      <c r="EY52" s="29">
        <f t="shared" si="199"/>
        <v>20.857142857142858</v>
      </c>
      <c r="EZ52" s="25" t="str">
        <f t="shared" ca="1" si="200"/>
        <v/>
      </c>
      <c r="FA52" s="21">
        <v>91</v>
      </c>
      <c r="FB52" s="22">
        <v>44890</v>
      </c>
      <c r="FC52" s="29">
        <f t="shared" si="27"/>
        <v>20.857142857142858</v>
      </c>
      <c r="FD52" s="29">
        <v>82</v>
      </c>
      <c r="FE52" s="29">
        <v>162</v>
      </c>
      <c r="FF52" s="29">
        <v>178</v>
      </c>
      <c r="FG52" s="21" t="str">
        <f t="shared" ca="1" si="28"/>
        <v>DIABETES, REMITIR</v>
      </c>
      <c r="FH52" s="31">
        <v>44951</v>
      </c>
      <c r="FI52" s="29">
        <f t="shared" si="29"/>
        <v>29.571428571428573</v>
      </c>
      <c r="FJ52" s="22"/>
      <c r="FK52" s="22"/>
      <c r="FL52" s="29" t="str">
        <f t="shared" ca="1" si="30"/>
        <v>NO APLICA-INGRESO TARDIO</v>
      </c>
      <c r="FM52" s="22" t="s">
        <v>867</v>
      </c>
      <c r="FN52" s="32">
        <v>44890</v>
      </c>
      <c r="FO52" s="29">
        <f t="shared" ca="1" si="201"/>
        <v>20.857142857142858</v>
      </c>
      <c r="FP52" s="22" t="s">
        <v>867</v>
      </c>
      <c r="FQ52" s="32">
        <v>44951</v>
      </c>
      <c r="FR52" s="29">
        <f t="shared" ca="1" si="202"/>
        <v>29.571428571428573</v>
      </c>
      <c r="FS52" s="22"/>
      <c r="FT52" s="32"/>
      <c r="FU52" s="29" t="str">
        <f>IF(AND(FJ52="",FM52="",FP52="",FS52=""),"",IF(OR(OR(Tabla1[[#This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2" s="28"/>
      <c r="FW52" s="22"/>
      <c r="FX52" s="29" t="str">
        <f t="shared" si="33"/>
        <v>TOMAR EXAMEN</v>
      </c>
      <c r="FY52" s="22">
        <v>44920</v>
      </c>
      <c r="FZ52" s="22">
        <v>44920</v>
      </c>
      <c r="GA52" s="29" t="str">
        <f t="shared" si="203"/>
        <v>REGISTRAR EN II TRIMESTRE</v>
      </c>
      <c r="GB52" s="22" t="s">
        <v>868</v>
      </c>
      <c r="GC52" s="22">
        <v>44920</v>
      </c>
      <c r="GD52" s="29">
        <f t="shared" ca="1" si="204"/>
        <v>25.142857142857142</v>
      </c>
      <c r="GE52" s="22"/>
      <c r="GF52" s="22"/>
      <c r="GG52" s="29" t="str">
        <f t="shared" ca="1" si="205"/>
        <v>PIERDE TOMA DE TAMIZAJE</v>
      </c>
      <c r="GH52" s="22"/>
      <c r="GI52" s="29"/>
      <c r="GJ52" s="22"/>
      <c r="GK52" s="22"/>
      <c r="GL52" s="22"/>
      <c r="GM52" s="22"/>
      <c r="GN52" s="28" t="s">
        <v>869</v>
      </c>
      <c r="GO52" s="22">
        <v>44920</v>
      </c>
      <c r="GP52" s="29">
        <f t="shared" si="37"/>
        <v>25.142857142857142</v>
      </c>
      <c r="GQ52" s="28" t="s">
        <v>880</v>
      </c>
      <c r="GR52" s="28" t="s">
        <v>869</v>
      </c>
      <c r="GS52" s="22" t="str">
        <f t="shared" si="206"/>
        <v>SE EXCLUYE INFECCION</v>
      </c>
      <c r="GT52" s="22">
        <v>44920</v>
      </c>
      <c r="GU52" s="29">
        <f t="shared" si="39"/>
        <v>25.142857142857142</v>
      </c>
      <c r="GV52" s="21" t="str">
        <f t="shared" si="40"/>
        <v>II TRIM</v>
      </c>
      <c r="GW52" s="28" t="s">
        <v>869</v>
      </c>
      <c r="GX52" s="30"/>
      <c r="GY52" s="21"/>
      <c r="GZ52" s="21"/>
      <c r="HA52" s="21"/>
      <c r="HB52" s="21"/>
      <c r="HC52" s="21"/>
      <c r="HD52" s="21"/>
      <c r="HE52" s="21"/>
      <c r="HF52" s="22"/>
      <c r="HG52" s="22" t="str">
        <f>IF(OR(O52&gt;0,R52&gt;0),CONCATENATE(IF(Tabla1[[#This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2" s="22" t="e">
        <f t="shared" si="41"/>
        <v>#REF!</v>
      </c>
      <c r="HI52" s="22" t="e">
        <f t="shared" ca="1" si="42"/>
        <v>#REF!</v>
      </c>
      <c r="HJ52" s="21"/>
      <c r="HK52" s="21" t="str">
        <f t="shared" si="44"/>
        <v>SIN ANTECEDENTES DE RIESGO</v>
      </c>
      <c r="HL52" s="24" t="str">
        <f t="shared" si="45"/>
        <v>REGISTRE DATO PRESIÓN ARTERIAL MENSUAL</v>
      </c>
      <c r="HM52" s="21" t="str">
        <f t="shared" ca="1" si="46"/>
        <v/>
      </c>
      <c r="HN52" s="30" t="str">
        <f t="shared" si="207"/>
        <v>SALIO PROGRAMA</v>
      </c>
      <c r="HO52" s="21"/>
      <c r="HP52" s="21"/>
      <c r="HQ52" s="21">
        <v>44890</v>
      </c>
      <c r="HR52" s="21" t="str">
        <f>IF(R52="","",IF(Tabla1[[#This Row],[ALARMA FACTORES DE RIESGO COMPLICACIONES HIPERTENSIVAS3]]="SIN ANTECEDENTES DE RIESGO","No Aplica para suministro de ASA",IF(AND(Tabla1[[#This Row],[FECHA INICIO DE SUMINISTRO DE ASA]]&gt;0,RV52&lt;12),"Inicia ASA ANTES de Sem 12",IF(AND(RV52&gt;11,RV52&lt;17,OR(HK52="RIESGO ALTO DE COMPLICACIONES HIPERTENSIVAS VER MANEJO GUIA SUMINISTRO ASA Y CALCIO",HK52="RIESGO MODERADO (2 O MAS CRITERIOS) VER MANEJO GUIA SUMINISTRO ASA Y CALCIO")),"Inicio oportuno de ASA",IF(AND(RV52&gt;12,OR(HK52="RIESGO ALTO DE COMPLICACIONES HIPERTENSIVAS VER MANEJO GUIA SUMINISTRO ASA Y CALCIO",HK52="RIESGO MODERADO (2 O MAS CRITERIOS) VER MANEJO GUIA SUMINISTRO ASA Y CALCIO")),"Inicio no oportuno mayor a 16 semanas",IF(AND(BU52&lt;12,OR(HK52="RIESGO ALTO DE COMPLICACIONES HIPERTENSIVAS VER MANEJO GUIA SUMINISTRO ASA Y CALCIO",HK52="RIESGO MODERADO (2 O MAS CRITERIOS) VER MANEJO GUIA SUMINISTRO ASA Y CALCIO")),"Pendiente Inicio de ASA a la semana 12",IF(AND(BU52&gt;11,BU52&lt;17,OR(HK52="RIESGO ALTO DE COMPLICACIONES HIPERTENSIVAS VER MANEJO GUIA SUMINISTRO ASA Y CALCIO",HK52="RIESGO MODERADO (2 O MAS CRITERIOS) VER MANEJO GUIA SUMINISTRO ASA Y CALCIO")),"Iniciar de inmediato ASA",IF(AND(BU52&gt;16,OR(HK52="RIESGO ALTO DE COMPLICACIONES HIPERTENSIVAS VER MANEJO GUIA SUMINISTRO ASA Y CALCIO",HK52="RIESGO MODERADO (2 O MAS CRITERIOS) VER MANEJO GUIA SUMINISTRO ASA Y CALCIO")),"Pierde Oportunidad, Inicio tardío de ASA","XXXXX"))))))))</f>
        <v>No Aplica para suministro de ASA</v>
      </c>
      <c r="HS52" s="22">
        <v>44890</v>
      </c>
      <c r="HT52" s="22" t="s">
        <v>870</v>
      </c>
      <c r="HU52" s="22"/>
      <c r="HV52" s="22"/>
      <c r="HW52" s="22">
        <v>44890</v>
      </c>
      <c r="HX52" s="22" t="s">
        <v>870</v>
      </c>
      <c r="HY52" s="22">
        <v>44920</v>
      </c>
      <c r="HZ52" s="28">
        <f t="shared" si="48"/>
        <v>25.142857142857142</v>
      </c>
      <c r="IA52" s="26" t="s">
        <v>864</v>
      </c>
      <c r="IB52" s="26"/>
      <c r="IC52" s="111">
        <v>44898</v>
      </c>
      <c r="ID52" s="22">
        <v>44975</v>
      </c>
      <c r="IE52" s="22" t="str">
        <f t="shared" ca="1" si="49"/>
        <v>VACUNA APLICADA ENTRE SEMANA 27 Y EL PARTO</v>
      </c>
      <c r="IF52" s="22"/>
      <c r="IG52" s="22">
        <f t="shared" si="50"/>
        <v>45024</v>
      </c>
      <c r="IH52" s="29">
        <f t="shared" ca="1" si="51"/>
        <v>-209</v>
      </c>
      <c r="II52" s="22" t="str">
        <f t="shared" ca="1" si="52"/>
        <v>POSIBLEMENTE NACIO</v>
      </c>
      <c r="IJ52" s="22"/>
      <c r="IK52" s="21" t="s">
        <v>898</v>
      </c>
      <c r="IL52" s="21"/>
      <c r="IM52" s="34"/>
      <c r="IN52" s="349">
        <v>45018</v>
      </c>
      <c r="IO52" s="21" t="s">
        <v>1186</v>
      </c>
      <c r="IP52" s="29">
        <f t="shared" si="208"/>
        <v>39.142857142857146</v>
      </c>
      <c r="IQ52" s="110" t="s">
        <v>1654</v>
      </c>
      <c r="IR52" s="21" t="s">
        <v>1651</v>
      </c>
      <c r="IS52" s="21" t="s">
        <v>1646</v>
      </c>
      <c r="IT52" s="21" t="s">
        <v>1642</v>
      </c>
      <c r="IU52" s="21"/>
      <c r="IV52" s="21"/>
      <c r="IW52" s="21"/>
      <c r="IX52" s="21"/>
      <c r="IY52" s="21"/>
      <c r="IZ52" s="21"/>
      <c r="JA52" s="21"/>
      <c r="JB52" s="30">
        <v>1</v>
      </c>
      <c r="JC52" s="21" t="s">
        <v>1643</v>
      </c>
      <c r="JD52" s="36">
        <v>3415</v>
      </c>
      <c r="JE52" s="21" t="str">
        <f t="shared" si="209"/>
        <v>PESO ADECUADO EDAD GESTACIONAL</v>
      </c>
      <c r="JF52" s="30"/>
      <c r="JG52" s="21"/>
      <c r="JH52" s="21"/>
      <c r="JI52" s="21" t="s">
        <v>854</v>
      </c>
      <c r="JJ52" s="30" t="s">
        <v>866</v>
      </c>
      <c r="JK52" s="22"/>
      <c r="JL52" s="22"/>
      <c r="JM52" s="21"/>
      <c r="JN52" s="36"/>
      <c r="JO52" s="21" t="str">
        <f t="shared" si="210"/>
        <v/>
      </c>
      <c r="JP52" s="22"/>
      <c r="JQ52" s="21"/>
      <c r="JR52" s="21"/>
      <c r="JS52" s="21"/>
      <c r="JT52" s="30"/>
      <c r="JU52" s="22"/>
      <c r="JV52" s="22"/>
      <c r="JW52" s="33"/>
      <c r="JX52" s="28" t="str">
        <f t="shared" si="211"/>
        <v>INASISTENTE</v>
      </c>
      <c r="JY52" s="33"/>
      <c r="JZ52" s="28" t="str">
        <f t="shared" si="212"/>
        <v>INASISTENTE</v>
      </c>
      <c r="KA52" s="21"/>
      <c r="KB52" s="21"/>
      <c r="KC52" s="21"/>
      <c r="KD52" s="37"/>
      <c r="KE52" s="28"/>
      <c r="KF52" s="28"/>
      <c r="KG52" s="28"/>
      <c r="KH52" s="39"/>
      <c r="KI52" s="39"/>
      <c r="KJ52" s="66"/>
      <c r="KK52" s="39"/>
      <c r="KL52" s="39"/>
      <c r="KM52" s="66"/>
      <c r="KN52" s="39"/>
      <c r="KO52" s="39"/>
      <c r="KP52" s="39"/>
      <c r="KQ52" s="39"/>
      <c r="KR52" s="39"/>
      <c r="KS52" s="39"/>
      <c r="KT52" s="39"/>
      <c r="KU52" s="38"/>
      <c r="KV52" s="38"/>
      <c r="KW52" s="38"/>
      <c r="KX52" s="38"/>
      <c r="KY52" s="38"/>
      <c r="KZ52" s="38"/>
      <c r="LA52" s="38"/>
      <c r="LB52" s="38"/>
      <c r="LC52" s="38"/>
      <c r="LD52" s="38"/>
      <c r="LE52" s="38"/>
      <c r="LF52" s="38"/>
      <c r="LG52" s="38"/>
      <c r="LH52" s="38"/>
      <c r="LI52" s="38"/>
      <c r="LJ52" s="38"/>
      <c r="LK52" s="38"/>
      <c r="LL52" s="38"/>
      <c r="LM52" s="38"/>
      <c r="LN52" s="38"/>
      <c r="LO52" s="38"/>
      <c r="LP52" s="38"/>
      <c r="LQ52" s="38"/>
      <c r="LR52" s="38"/>
      <c r="LS52" s="38"/>
      <c r="LT52" s="38"/>
      <c r="LU52" s="38"/>
      <c r="LV52" s="38"/>
      <c r="LW52" s="38"/>
      <c r="LX52" s="38"/>
      <c r="LY52" s="38"/>
      <c r="LZ52" s="38"/>
      <c r="MA52" s="38"/>
      <c r="MB52" s="38"/>
      <c r="MC52" s="38"/>
      <c r="MD52" s="38"/>
      <c r="ME52" s="38"/>
      <c r="MF52" s="38"/>
      <c r="MG52" s="38"/>
      <c r="MH52" s="43">
        <f t="shared" si="213"/>
        <v>0</v>
      </c>
      <c r="MI52" s="43" t="str">
        <f t="shared" si="214"/>
        <v/>
      </c>
      <c r="MJ52" s="43" t="str">
        <f t="shared" si="215"/>
        <v/>
      </c>
      <c r="MK52" s="43">
        <f t="shared" si="216"/>
        <v>0</v>
      </c>
      <c r="ML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2" s="43">
        <f t="shared" si="217"/>
        <v>20.857142857142858</v>
      </c>
      <c r="MN52" s="43">
        <f t="shared" si="218"/>
        <v>11</v>
      </c>
      <c r="MO52" s="43">
        <f t="shared" si="219"/>
        <v>2022</v>
      </c>
      <c r="MP52" s="43" t="str">
        <f t="shared" si="220"/>
        <v>IV TRIMESTRE AÑO</v>
      </c>
      <c r="MQ52" s="43">
        <f t="shared" si="221"/>
        <v>26.297634691195796</v>
      </c>
      <c r="MR52" s="43">
        <f t="shared" si="222"/>
        <v>0</v>
      </c>
      <c r="MS52" s="43" t="str">
        <f t="shared" si="223"/>
        <v xml:space="preserve"> DE 25 A 29 AÑOS</v>
      </c>
      <c r="MT52" s="43">
        <f t="shared" si="224"/>
        <v>0</v>
      </c>
      <c r="MU52" s="43">
        <f t="shared" si="225"/>
        <v>0</v>
      </c>
      <c r="MV52" s="43">
        <f t="shared" si="226"/>
        <v>0</v>
      </c>
      <c r="MW52" s="43">
        <f t="shared" si="227"/>
        <v>0</v>
      </c>
      <c r="MX52" s="43" t="str">
        <f t="shared" si="228"/>
        <v/>
      </c>
      <c r="MY52" s="43" t="str">
        <f t="shared" ca="1" si="229"/>
        <v/>
      </c>
      <c r="MZ52" s="43" t="str">
        <f t="shared" si="230"/>
        <v/>
      </c>
      <c r="NA52" s="43">
        <f t="shared" si="231"/>
        <v>0</v>
      </c>
      <c r="NB52" s="43" t="str">
        <f t="shared" si="232"/>
        <v/>
      </c>
      <c r="NC52" s="43" t="str">
        <f t="shared" si="233"/>
        <v/>
      </c>
      <c r="ND52" s="43">
        <f t="shared" ca="1" si="234"/>
        <v>2</v>
      </c>
      <c r="NE52" s="43">
        <f>IF(OR(O52&gt;0,R52&gt;0),SUM(COUNTIF(Tabla1[[#This Row],[AÑOS AL INICIO5 CPN]],"&gt;=40"),COUNTIF(AS52,"0"),COUNTIF(AR52,"SI"),COUNTIF(CC52,"SI"),COUNTIF(BQ52,"&gt;119"),COUNTIF(CI52,"&gt;=35")),"")</f>
        <v>0</v>
      </c>
      <c r="NF52" s="43">
        <f t="shared" si="235"/>
        <v>33</v>
      </c>
      <c r="NG52" s="43">
        <f t="shared" si="236"/>
        <v>0</v>
      </c>
      <c r="NH52" s="43">
        <f t="shared" si="237"/>
        <v>154</v>
      </c>
      <c r="NI5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CPN",P52="NO"),"Z",IF(AND(Tabla1[[#This Row],[CITA PROXIMO CONTROL]]="CITA MANUAL",Tabla1[[#This Row],[GESTANTES ACTUALES]]="ACTIVA INGRESO A CPN"),"W",IF(AND(Tabla1[[#This Row],[GESTANTES ACTUALES]]="SALIO PROGRAMA",IN52=""),"S",IF(AND(Tabla1[[#This Row],[CITA PROXIMO CONTROL]]&gt;0,IN52=""),(Tabla1[[#This Row],[CITA PROXIMO CONTROL]]-TODAY()),"SD"))))))))</f>
        <v>SD</v>
      </c>
      <c r="NJ52" s="43">
        <f>MONTH(Tabla1[[#This Row],[FECHA DE SALIDA  DEL PROGRAMA]])</f>
        <v>4</v>
      </c>
      <c r="NK52" s="43">
        <f>YEAR(Tabla1[[#This Row],[FECHA DE SALIDA  DEL PROGRAMA]])</f>
        <v>2023</v>
      </c>
      <c r="NL52" s="43" t="str">
        <f t="shared" si="238"/>
        <v>X</v>
      </c>
      <c r="NM52" s="43" t="str">
        <f t="shared" si="239"/>
        <v>NO</v>
      </c>
      <c r="NN52" s="43" t="str">
        <f ca="1">IF(AND(O52&gt;0,R52=""),"NO CPN",IF(AND(O52="",R52=""),"",IF(AND(R52&gt;0,Tabla1[[#This Row],[SEMANAS DE GESTACION ACTUALIZADAS]]&lt;=12),"NO APLICA",IF(AND(FH52&lt;&gt;"",FN52&lt;&gt;""),"SI","NO"))))</f>
        <v>SI</v>
      </c>
      <c r="NO52" s="43" t="str">
        <f ca="1">IF(AND(O52&gt;0,R52=""),"NO CPN",IF(AND(O52="",R52=""),"",IF(AND(R52&gt;0,Tabla1[[#This Row],[SEMANAS DE GESTACION ACTUALIZADAS]]&lt;=27),"NO APLICA",IF(AND(ES52&lt;&gt;"",FQ52&lt;&gt;"",GF52&lt;&gt;""),"SI","NO"))))</f>
        <v>NO</v>
      </c>
      <c r="NP52" s="204" t="str">
        <f t="shared" si="240"/>
        <v>II TRIM</v>
      </c>
      <c r="NQ52" s="21">
        <f t="shared" si="241"/>
        <v>1</v>
      </c>
      <c r="NR52" s="21">
        <f t="shared" si="242"/>
        <v>2</v>
      </c>
      <c r="NS52" s="205">
        <f t="shared" ca="1" si="243"/>
        <v>2</v>
      </c>
      <c r="NT52" s="21">
        <f t="shared" ca="1" si="244"/>
        <v>1</v>
      </c>
      <c r="NU52" s="21" t="str">
        <f t="shared" ca="1" si="245"/>
        <v>COMPLETO</v>
      </c>
      <c r="NV52" s="21" t="str">
        <f t="shared" ca="1" si="246"/>
        <v>INCOMPLETO</v>
      </c>
      <c r="NW52" s="206" t="str">
        <f>IF(AND(O52="",R52=""),"",IF(OR(AND(Tabla1[[#This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2" s="207" t="str">
        <f t="shared" ca="1" si="247"/>
        <v>VACUNADA</v>
      </c>
      <c r="NY52" s="43">
        <f>ROW(Tabla1[[#This Row],['# DE TAMIZAJES SIFILIS TOMADOS ]])</f>
        <v>52</v>
      </c>
      <c r="NZ52" s="43">
        <f t="shared" si="93"/>
        <v>20</v>
      </c>
      <c r="OA52" s="43" t="str">
        <f t="shared" si="94"/>
        <v/>
      </c>
      <c r="OB52" s="43" t="str">
        <f t="shared" si="95"/>
        <v/>
      </c>
      <c r="OC52" s="43" t="str">
        <f t="shared" si="96"/>
        <v/>
      </c>
      <c r="OD52" s="43" t="str">
        <f t="shared" si="97"/>
        <v/>
      </c>
      <c r="OE52" s="43" t="str">
        <f t="shared" si="98"/>
        <v/>
      </c>
      <c r="OF52" s="43" t="str">
        <f t="shared" si="99"/>
        <v/>
      </c>
      <c r="OG52" s="43" t="str">
        <f t="shared" si="100"/>
        <v/>
      </c>
      <c r="OH52" s="43" t="str">
        <f t="shared" si="101"/>
        <v/>
      </c>
      <c r="OI52" s="43" t="str">
        <f t="shared" si="102"/>
        <v/>
      </c>
      <c r="OJ52" s="43" t="str">
        <f t="shared" si="103"/>
        <v/>
      </c>
      <c r="OK52" s="43" t="str">
        <f t="shared" si="104"/>
        <v/>
      </c>
      <c r="OL52" s="43" t="str">
        <f t="shared" si="105"/>
        <v>OBESIDAD</v>
      </c>
      <c r="OM52" s="43" t="str">
        <f t="shared" si="106"/>
        <v/>
      </c>
      <c r="ON52" s="43" t="str">
        <f t="shared" si="107"/>
        <v/>
      </c>
      <c r="OO52" s="43" t="str">
        <f t="shared" si="108"/>
        <v/>
      </c>
      <c r="OP52" s="43" t="str">
        <f t="shared" si="109"/>
        <v/>
      </c>
      <c r="OQ52" s="43" t="str">
        <f t="shared" si="110"/>
        <v/>
      </c>
      <c r="OR52" s="43" t="str">
        <f t="shared" si="111"/>
        <v/>
      </c>
      <c r="OS52" s="43" t="str">
        <f t="shared" si="112"/>
        <v/>
      </c>
      <c r="OT52" s="43" t="str">
        <f t="shared" si="113"/>
        <v/>
      </c>
      <c r="OU52" s="43" t="str">
        <f t="shared" si="114"/>
        <v/>
      </c>
      <c r="OV52" s="110" t="str">
        <f t="shared" si="115"/>
        <v/>
      </c>
      <c r="OW52" s="43" t="str">
        <f t="shared" si="116"/>
        <v/>
      </c>
      <c r="OX52" s="43" t="str">
        <f t="shared" si="117"/>
        <v/>
      </c>
      <c r="OY52" s="43" t="str">
        <f t="shared" si="118"/>
        <v/>
      </c>
      <c r="OZ52" s="43" t="str">
        <f t="shared" si="119"/>
        <v/>
      </c>
      <c r="PA52" s="43" t="str">
        <f t="shared" si="120"/>
        <v/>
      </c>
      <c r="PB52" s="43" t="str">
        <f t="shared" si="121"/>
        <v/>
      </c>
      <c r="PC52" s="43" t="str">
        <f t="shared" si="122"/>
        <v/>
      </c>
      <c r="PD52" s="43" t="str">
        <f t="shared" si="123"/>
        <v/>
      </c>
      <c r="PE52" s="43" t="str">
        <f t="shared" si="124"/>
        <v/>
      </c>
      <c r="PF52" s="43" t="str">
        <f t="shared" si="125"/>
        <v/>
      </c>
      <c r="PG52" s="43" t="str">
        <f t="shared" si="126"/>
        <v/>
      </c>
      <c r="PH52" s="43" t="str">
        <f t="shared" si="127"/>
        <v/>
      </c>
      <c r="PI52" s="43">
        <f t="shared" si="128"/>
        <v>35</v>
      </c>
      <c r="PJ52" s="43" t="str">
        <f t="shared" si="129"/>
        <v/>
      </c>
      <c r="PK52" s="43" t="str">
        <f t="shared" si="130"/>
        <v/>
      </c>
      <c r="PL52" s="43" t="str">
        <f t="shared" si="131"/>
        <v/>
      </c>
      <c r="PM52" s="43" t="str">
        <f t="shared" si="132"/>
        <v/>
      </c>
      <c r="PN52" s="43" t="str">
        <f t="shared" si="133"/>
        <v/>
      </c>
      <c r="PO52" s="43" t="str">
        <f t="shared" si="134"/>
        <v/>
      </c>
      <c r="PP52" s="43" t="str">
        <f t="shared" si="135"/>
        <v/>
      </c>
      <c r="PQ52" s="43" t="str">
        <f t="shared" si="136"/>
        <v/>
      </c>
      <c r="PR52" s="43" t="str">
        <f t="shared" si="137"/>
        <v/>
      </c>
      <c r="PS52" s="43" t="str">
        <f t="shared" si="138"/>
        <v/>
      </c>
      <c r="PT52" s="43" t="str">
        <f t="shared" si="139"/>
        <v/>
      </c>
      <c r="PU52" s="43" t="str">
        <f t="shared" si="140"/>
        <v/>
      </c>
      <c r="PV52" s="43" t="str">
        <f t="shared" si="141"/>
        <v/>
      </c>
      <c r="PW52" s="43" t="str">
        <f t="shared" si="142"/>
        <v/>
      </c>
      <c r="PX52" s="43" t="str">
        <f t="shared" si="143"/>
        <v/>
      </c>
      <c r="PY52" s="43" t="str">
        <f t="shared" si="144"/>
        <v/>
      </c>
      <c r="PZ52" s="43" t="str">
        <f t="shared" si="145"/>
        <v/>
      </c>
      <c r="QA52" s="43" t="str">
        <f t="shared" si="146"/>
        <v/>
      </c>
      <c r="QB52" s="43" t="str">
        <f t="shared" si="147"/>
        <v/>
      </c>
      <c r="QC52" s="43" t="str">
        <f t="shared" si="148"/>
        <v/>
      </c>
      <c r="QD52" s="43" t="str">
        <f t="shared" si="149"/>
        <v/>
      </c>
      <c r="QE52" s="43" t="str">
        <f t="shared" si="150"/>
        <v/>
      </c>
      <c r="QF52" s="43" t="str">
        <f t="shared" si="151"/>
        <v/>
      </c>
      <c r="QG52" s="43" t="str">
        <f t="shared" si="152"/>
        <v/>
      </c>
      <c r="QH52" s="43" t="str">
        <f t="shared" si="153"/>
        <v/>
      </c>
      <c r="QI52" s="43" t="str">
        <f t="shared" si="154"/>
        <v/>
      </c>
      <c r="QJ52" s="43" t="str">
        <f t="shared" si="155"/>
        <v/>
      </c>
      <c r="QK52" s="43" t="str">
        <f t="shared" si="156"/>
        <v/>
      </c>
      <c r="QL52" s="43" t="str">
        <f t="shared" si="157"/>
        <v/>
      </c>
      <c r="QM52" s="43" t="str">
        <f t="shared" si="158"/>
        <v/>
      </c>
      <c r="QN52" s="43" t="str">
        <f t="shared" si="159"/>
        <v/>
      </c>
      <c r="QO52" s="43" t="str">
        <f t="shared" si="160"/>
        <v/>
      </c>
      <c r="QP52" s="43" t="str">
        <f t="shared" si="161"/>
        <v/>
      </c>
      <c r="QQ52" s="43" t="str">
        <f t="shared" si="162"/>
        <v/>
      </c>
      <c r="QR52" s="43">
        <f t="shared" si="192"/>
        <v>35</v>
      </c>
      <c r="QS52" s="43"/>
      <c r="QT52" s="21" t="str">
        <f t="shared" si="163"/>
        <v/>
      </c>
      <c r="QU52" s="21" t="str">
        <f t="shared" si="164"/>
        <v/>
      </c>
      <c r="QV52" s="21" t="str">
        <f t="shared" si="165"/>
        <v/>
      </c>
      <c r="QW52" s="21" t="str">
        <f t="shared" si="166"/>
        <v/>
      </c>
      <c r="QX52" s="21" t="str">
        <f t="shared" si="167"/>
        <v/>
      </c>
      <c r="QY52" s="21" t="str">
        <f t="shared" si="168"/>
        <v/>
      </c>
      <c r="QZ52" s="21" t="str">
        <f t="shared" si="169"/>
        <v/>
      </c>
      <c r="RA52" s="21" t="str">
        <f t="shared" si="170"/>
        <v/>
      </c>
      <c r="RB52" s="21" t="str">
        <f t="shared" si="171"/>
        <v/>
      </c>
      <c r="RC52" s="21" t="str">
        <f t="shared" si="172"/>
        <v/>
      </c>
      <c r="RD52" s="21" t="str">
        <f t="shared" si="173"/>
        <v/>
      </c>
      <c r="RE52" s="21" t="str">
        <f t="shared" si="174"/>
        <v/>
      </c>
      <c r="RF52" s="21" t="str">
        <f t="shared" si="175"/>
        <v/>
      </c>
      <c r="RG52" s="21" t="str">
        <f t="shared" si="176"/>
        <v/>
      </c>
      <c r="RH52" s="21" t="str">
        <f t="shared" si="177"/>
        <v/>
      </c>
      <c r="RI52" s="21" t="str">
        <f t="shared" si="178"/>
        <v/>
      </c>
      <c r="RJ52" s="21" t="str">
        <f t="shared" si="179"/>
        <v/>
      </c>
      <c r="RK52" s="21" t="str">
        <f t="shared" si="180"/>
        <v/>
      </c>
      <c r="RL52" s="21" t="str">
        <f t="shared" si="181"/>
        <v/>
      </c>
      <c r="RM52" s="21" t="str">
        <f t="shared" si="182"/>
        <v/>
      </c>
      <c r="RN52" s="21" t="str">
        <f t="shared" si="183"/>
        <v/>
      </c>
      <c r="RO52" s="21" t="str">
        <f t="shared" si="184"/>
        <v/>
      </c>
      <c r="RP52" s="21" t="str">
        <f t="shared" si="185"/>
        <v/>
      </c>
      <c r="RQ52" s="21" t="str">
        <f t="shared" si="186"/>
        <v/>
      </c>
      <c r="RR52" s="21" t="str">
        <f t="shared" si="187"/>
        <v/>
      </c>
      <c r="RS52" s="21" t="str">
        <f t="shared" si="188"/>
        <v/>
      </c>
      <c r="RT52" s="21" t="str">
        <f t="shared" si="189"/>
        <v/>
      </c>
      <c r="RU52" s="21" t="str">
        <f t="shared" si="190"/>
        <v/>
      </c>
      <c r="RV52" s="21">
        <f t="shared" si="191"/>
        <v>20.857142857142858</v>
      </c>
      <c r="RW52" s="284">
        <f>IF(OR(Tabla1[[#This Row],[FUM FORMULA CONFIABLE]]="",Tabla1[[#This Row],[FUM FORMULA CONFIABLE]]="SD"),"",IF(Tabla1[[#This Row],[FUM FORMULA CONFIABLE]]="CORREGIDA",Tabla1[[#This Row],[FUM X ECO 1]],Tabla1[[#This Row],[FUM x AMENORREA]]))</f>
        <v>44744</v>
      </c>
      <c r="RX52" s="21">
        <f>IF(AND(Tabla1[[#This Row],[FUM X ECO 1]]="",Tabla1[[#This Row],[FUM x AMENORREA]]=""),"",IF(AND(Tabla1[[#This Row],[FUM X ECO 1]]="",Tabla1[[#This Row],[FUM x AMENORREA]]&lt;&gt;""),"X",SUM(Tabla1[[#This Row],[FUM X ECO 1]]-Tabla1[[#This Row],[FUM x AMENORREA]])))</f>
        <v>0</v>
      </c>
      <c r="RY52" s="21">
        <f t="shared" si="193"/>
        <v>0</v>
      </c>
    </row>
    <row r="53" spans="1:493" ht="45" customHeight="1" x14ac:dyDescent="0.25">
      <c r="A53" s="109" t="s">
        <v>1143</v>
      </c>
      <c r="B53" s="43" t="s">
        <v>1143</v>
      </c>
      <c r="C53" s="43" t="s">
        <v>845</v>
      </c>
      <c r="D53" s="124" t="s">
        <v>846</v>
      </c>
      <c r="E53" s="43" t="s">
        <v>1144</v>
      </c>
      <c r="F53" s="43" t="s">
        <v>943</v>
      </c>
      <c r="G53" s="43" t="s">
        <v>1059</v>
      </c>
      <c r="H53" s="43" t="s">
        <v>1145</v>
      </c>
      <c r="I53" s="109" t="s">
        <v>1094</v>
      </c>
      <c r="J53" s="110">
        <v>1059597691</v>
      </c>
      <c r="K53" s="43" t="s">
        <v>852</v>
      </c>
      <c r="L53" s="175" t="s">
        <v>853</v>
      </c>
      <c r="M53" s="22">
        <v>39091</v>
      </c>
      <c r="N53" s="213">
        <f t="shared" ca="1" si="0"/>
        <v>16.827397260273973</v>
      </c>
      <c r="O53" s="22">
        <v>44897</v>
      </c>
      <c r="P53" s="214" t="str">
        <f t="shared" si="194"/>
        <v>SI</v>
      </c>
      <c r="Q53" s="26" t="s">
        <v>855</v>
      </c>
      <c r="R53" s="22">
        <v>44897</v>
      </c>
      <c r="S53" s="21" t="s">
        <v>856</v>
      </c>
      <c r="T53" s="24" t="s">
        <v>690</v>
      </c>
      <c r="U53" s="21" t="s">
        <v>857</v>
      </c>
      <c r="V53" s="21" t="s">
        <v>858</v>
      </c>
      <c r="W53" s="21" t="s">
        <v>999</v>
      </c>
      <c r="X53" s="21" t="s">
        <v>999</v>
      </c>
      <c r="Y53" s="21" t="s">
        <v>859</v>
      </c>
      <c r="Z53" s="21">
        <v>3107067646</v>
      </c>
      <c r="AA53" s="21" t="s">
        <v>860</v>
      </c>
      <c r="AB53" s="27" t="s">
        <v>861</v>
      </c>
      <c r="AC53" s="26" t="s">
        <v>897</v>
      </c>
      <c r="AD53" s="38" t="s">
        <v>1130</v>
      </c>
      <c r="AE53" s="26" t="s">
        <v>1131</v>
      </c>
      <c r="AF53" s="26" t="s">
        <v>854</v>
      </c>
      <c r="AG53" s="23" t="s">
        <v>864</v>
      </c>
      <c r="AH53" s="23" t="s">
        <v>864</v>
      </c>
      <c r="AI53" s="24" t="s">
        <v>863</v>
      </c>
      <c r="AJ53" s="23" t="s">
        <v>864</v>
      </c>
      <c r="AK53" s="220" t="str">
        <f>IF(AND(AD53="",AE53="",AF53="",AG53="",AH53="",AI53="",AJ53=""),"",IF(OR(Tabla1[[#This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EVALUACIÓN",IF(AND(O53="",R53=""),"",IF(AND(OR(O53&gt;0,R53&gt;0),NG53&gt;=0,NG53&lt;2),"SIN RIESGO",IF(AND(OR(O53&gt;0,R53&gt;0),NG53&gt;=2),"CON RIESGO","ASD")))))</f>
        <v>SIN RIESGO</v>
      </c>
      <c r="AL53" s="23" t="s">
        <v>864</v>
      </c>
      <c r="AM53" s="26" t="s">
        <v>864</v>
      </c>
      <c r="AN53" s="26" t="s">
        <v>864</v>
      </c>
      <c r="AO53" s="26" t="s">
        <v>864</v>
      </c>
      <c r="AP53" s="26" t="s">
        <v>864</v>
      </c>
      <c r="AQ53" s="26" t="s">
        <v>864</v>
      </c>
      <c r="AR53" s="26" t="s">
        <v>864</v>
      </c>
      <c r="AS53" s="21">
        <v>1</v>
      </c>
      <c r="AT53" s="21">
        <v>0</v>
      </c>
      <c r="AU53" s="21">
        <v>0</v>
      </c>
      <c r="AV53" s="26" t="s">
        <v>864</v>
      </c>
      <c r="AW53" s="21">
        <v>0</v>
      </c>
      <c r="AX53" s="26" t="s">
        <v>864</v>
      </c>
      <c r="AY53" s="26" t="s">
        <v>864</v>
      </c>
      <c r="AZ53" s="26" t="s">
        <v>864</v>
      </c>
      <c r="BA53" s="26" t="s">
        <v>864</v>
      </c>
      <c r="BB53" s="26" t="s">
        <v>864</v>
      </c>
      <c r="BC53" s="26" t="s">
        <v>864</v>
      </c>
      <c r="BD53" s="26" t="s">
        <v>864</v>
      </c>
      <c r="BE53" s="26" t="s">
        <v>864</v>
      </c>
      <c r="BF53" s="26" t="s">
        <v>864</v>
      </c>
      <c r="BG53" s="26" t="s">
        <v>864</v>
      </c>
      <c r="BH53" s="26" t="s">
        <v>864</v>
      </c>
      <c r="BI53" s="26"/>
      <c r="BJ53" s="26"/>
      <c r="BK53" s="26"/>
      <c r="BL53" s="26" t="s">
        <v>864</v>
      </c>
      <c r="BM53" s="26"/>
      <c r="BN53" s="22">
        <v>44713</v>
      </c>
      <c r="BO53" s="22">
        <v>44821</v>
      </c>
      <c r="BP53" s="21" t="s">
        <v>854</v>
      </c>
      <c r="BQ53" s="222">
        <f t="shared" si="2"/>
        <v>3.6</v>
      </c>
      <c r="BR53" s="223">
        <f t="shared" si="3"/>
        <v>44821</v>
      </c>
      <c r="BS53" s="224">
        <f t="shared" si="4"/>
        <v>10.857142857142858</v>
      </c>
      <c r="BT53" s="216" t="str">
        <f t="shared" si="5"/>
        <v>II TRIM</v>
      </c>
      <c r="BU53" s="214" t="str">
        <f t="shared" ca="1" si="6"/>
        <v/>
      </c>
      <c r="BV53" s="25"/>
      <c r="BW53" s="22">
        <v>44898</v>
      </c>
      <c r="BX53" s="28">
        <v>11</v>
      </c>
      <c r="BY53" s="28"/>
      <c r="BZ53" s="22">
        <v>44995</v>
      </c>
      <c r="CA53" s="21">
        <v>24.6</v>
      </c>
      <c r="CB53" s="26" t="s">
        <v>864</v>
      </c>
      <c r="CC53" s="26" t="s">
        <v>864</v>
      </c>
      <c r="CD53" s="26" t="s">
        <v>878</v>
      </c>
      <c r="CE53" s="26" t="s">
        <v>864</v>
      </c>
      <c r="CF53" s="22" t="s">
        <v>1517</v>
      </c>
      <c r="CG53" s="21">
        <v>1.45</v>
      </c>
      <c r="CH53" s="21">
        <v>52</v>
      </c>
      <c r="CI53" s="214">
        <f t="shared" si="7"/>
        <v>24.732461355529132</v>
      </c>
      <c r="CJ53" s="225" t="e">
        <f>IF(AND(CI53&lt;10,CH53="SD"),"SIN DATO PESO PREGESTACION O I TRIM",IF(AND(OR(R53&gt;0,O53&gt;0),CI53="X"),"INGRESAR DATO DE PESO",IF(CI53="SD","INGRESAR DATO DE TALLA Y PESO",IF(AND(OR(Tabla1[[#This Row],[MOMENTO EN QUE SE REALIZA EL PESO AL INGRESO A CPN]]="PREGESTACIÓN",NZ53="Menor"),CI53&lt;18.5),"BAJO PESO",IF(AND(OR(Tabla1[[#This Row],[MOMENTO EN QUE SE REALIZA EL PESO AL INGRESO A CPN]]="PREGESTACIÓN",NZ53="Menor"),CI53&lt;25),"NORMAL",IF(AND(OR(Tabla1[[#This Row],[MOMENTO EN QUE SE REALIZA EL PESO AL INGRESO A CPN]]="PREGESTACIÓN",NZ53="Menor"),CI53&lt;30),"SOBREPESO",IF(AND(OR(Tabla1[[#This Row],[MOMENTO EN QUE SE REALIZA EL PESO AL INGRESO A CPN]]="PREGESTACIÓN",NZ53="Menor"),CI53&gt;=30,CI53&lt;50),"OBESIDAD",IF(AND(BS53&gt;0,Tabla1[[#This Row],[MOMENTO EN QUE SE REALIZA EL PESO AL INGRESO A CPN]]="GESTACIÓN"),HLOOKUP(NZ53,$OA$2:PH53,NY53),""))))))))</f>
        <v>#REF!</v>
      </c>
      <c r="CK53" s="212">
        <f t="shared" si="8"/>
        <v>45026</v>
      </c>
      <c r="CL53" s="21"/>
      <c r="CM53" s="214">
        <f t="shared" si="9"/>
        <v>0</v>
      </c>
      <c r="CN53" s="216">
        <f t="shared" si="10"/>
        <v>29</v>
      </c>
      <c r="CO53" s="216" t="e">
        <f>IF(PI53="","",IF(PI53&gt;0,HLOOKUP(PI53,$PJ$2:QQ53,NY53),""))</f>
        <v>#REF!</v>
      </c>
      <c r="CP53" s="21"/>
      <c r="CQ53" s="216" t="e">
        <f>IF(QR53="Menor","NO APLICA-MENOR 13 SEM",IF(AND(CC53="SI",CN53&gt;23),"NO APLICA- GEMELAR",IF(QR53="","",IF(QR53&gt;0,HLOOKUP(QR53,$QS$2:RU53,NY53),""))))</f>
        <v>#REF!</v>
      </c>
      <c r="CR53" s="21">
        <v>100</v>
      </c>
      <c r="CS53" s="21">
        <v>70</v>
      </c>
      <c r="CT53" s="217" t="str">
        <f>IF(R53="","",IF(AND(BS53&gt;1,BS53&lt;12,Tabla1[[#This Row],[T.A. SISTOLICA - ANTES DE SEMANA 12]]="",Tabla1[[#This Row],[T.A. DIASTOLICA - ANTES DE SEMANA 12]]=""),"REGISTRE DATO TA ANTES SEMANA 12",IF(AND(BS53&gt;11,BS53&lt;43,Tabla1[[#This Row],[T.A. SISTOLICA - ANTES DE SEMANA 12]]="",Tabla1[[#This Row],[T.A. DIASTOLICA - ANTES DE SEMANA 12]]=""),"NO APLICA REGISTRO TA-INGRESO TARDIO",IF(AND(OR(O53&gt;0,R53&gt;0),OR(CR53&gt;=140,CS53&gt;=90)),"DEFINIR ESTADIO HTA",IF(AND(OR(O53&gt;0,R53&gt;0),AND(CR53&gt;120,CR53&lt;=139)),"PRE HTA SEGUIMIENTO",IF(AND(OR(O53&gt;0,R53&gt;0),AND(CS53&gt;80,CS53&lt;=89)),"PRE HTA SEGUIMIENTO",IF(AND(OR(O53&gt;0,R53&gt;0),AND(CR53&gt;=80,CR53&lt;=120)),"APARENTEMENTE NORMAL",IF(AND(OR(O53&gt;0,R53&gt;0),AND(CS53&gt;=50,CS53&lt;=80)),"APARENTEMENTE NORMAL",IF(AND(OR(O53&gt;0,R53&gt;0),AND(CR53&gt;1,CR53&lt;=70),AND(CS53&gt;1,CS53&lt;=40)),"HIPOTENSIÓN","")))))))))</f>
        <v>APARENTEMENTE NORMAL</v>
      </c>
      <c r="CU53" s="21"/>
      <c r="CV53" s="21"/>
      <c r="CW53" s="217" t="str">
        <f ca="1">IF(R53="","",IF(AND(CN53&gt;19,CN53&lt;27,Tabla1[[#This Row],[T.A. SISTOLICA (Entre semana 20 y 26)]]="",Tabla1[[#This Row],[T.A. DIATOLICA (Entre semana 20 y 26)]]=""),"ACUDE A CONTROL SEM 20 A 26 REGISTRE TA AHORA",IF(AND(BS53&gt;1,BS53&lt;27,BU53&gt;19,Tabla1[[#This Row],[T.A. SISTOLICA (Entre semana 20 y 26)]]="",Tabla1[[#This Row],[T.A. DIATOLICA (Entre semana 20 y 26)]]=""),"COMPLETE REGISTRO TA CONTROL SEM 20 A26 ",IF(AND(BS53&gt;26,BS53&lt;43,Tabla1[[#This Row],[T.A. SISTOLICA (Entre semana 20 y 26)]]="",Tabla1[[#This Row],[T.A. DIATOLICA (Entre semana 20 y 26)]]=""),"NO APLICA REGISTRO TA-INGRESO TARDIO",IF(AND(OR(O53&gt;0,R53&gt;0),OR(CU53&gt;=140,CV53&gt;=90)),"ALTO RIESGO PREECLAMPSIA,DEFINIR ESTADIO HTA",IF(AND(OR(O53&gt;0,R53&gt;0),AND(CU53&gt;120,CU53&lt;=139)),"PRE HTA SEGUIMIENTO,RIESGO HIPERTENSION INDUCIDA POR EL EMBARAZO",IF(AND(OR(O53&gt;0,R53&gt;0),AND(CV53&gt;80,CV53&lt;=89)),"PRE HTA SEGUIMIENTO, RIESGO HIPERTENSION INDUCIDA POR EL EMBARAZO",IF(AND(OR(O53&lt;&gt;"",R53&lt;&gt;""),CS53&lt;&gt;"",CV53&lt;&gt;"",CS53&lt;=CV53),"VIGILAR CIFRAS PRESION ARTERIAL",IF(AND(OR(O53&gt;0,R53&gt;0),AND(CU53&gt;120,CU53&lt;=139)),"PRE HTA SEGUIMIENTO",IF(AND(OR(O53&gt;0,R53&gt;0),AND(CU53&gt;1,CU53&lt;=70),AND(CV53&gt;1,CV53&lt;=40)),"HIPOTENSIÓN",IF(AND(OR(O53&lt;&gt;"",R53&lt;&gt;""),CS53&lt;&gt;"",CV53&lt;&gt;"",CS53&gt;CV53),"APARENTEMENTE NORMAL",IF(AND(OR(O53&gt;0,R53&gt;0),AND(CU53&gt;=80,CU53&lt;=120)),"APARENTEMENTE NORMAL",IF(AND(OR(O53&gt;0,R53&gt;0),AND(CV53&gt;=50,CV53&lt;=80)),"APARENTEMENTE NORMAL","")))))))))))))</f>
        <v xml:space="preserve">COMPLETE REGISTRO TA CONTROL SEM 20 A26 </v>
      </c>
      <c r="CX53" s="21"/>
      <c r="CY53" s="21"/>
      <c r="CZ53" s="216" t="str">
        <f t="shared" si="195"/>
        <v/>
      </c>
      <c r="DA53" s="21"/>
      <c r="DB53" s="21"/>
      <c r="DC53" s="217" t="str">
        <f t="shared" si="12"/>
        <v>REGISTRE DATO PRESIÓN ARTERIAL MENSUAL</v>
      </c>
      <c r="DD53" s="22">
        <v>44897</v>
      </c>
      <c r="DE53" s="22">
        <v>44897</v>
      </c>
      <c r="DF53" s="22">
        <v>44958</v>
      </c>
      <c r="DG53" s="22">
        <v>44995</v>
      </c>
      <c r="DH53" s="22">
        <v>45026</v>
      </c>
      <c r="DI53" s="22"/>
      <c r="DJ53" s="22"/>
      <c r="DK53" s="22"/>
      <c r="DL53" s="22"/>
      <c r="DM53" s="22"/>
      <c r="DN53" s="22"/>
      <c r="DO53" s="22"/>
      <c r="DP53" s="22"/>
      <c r="DQ53" s="22"/>
      <c r="DR53" s="28">
        <v>1</v>
      </c>
      <c r="DS53" s="22"/>
      <c r="DT53" s="22"/>
      <c r="DU53" s="216" t="str">
        <f t="shared" ca="1" si="196"/>
        <v>SALE SIN PLAN DE PARTO</v>
      </c>
      <c r="DV53" s="226" t="str">
        <f t="shared" si="197"/>
        <v>SALIO PROGRAMA</v>
      </c>
      <c r="DW5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3" s="216" t="str">
        <f t="shared" ca="1" si="15"/>
        <v/>
      </c>
      <c r="DY53" s="212">
        <f>IF(R53="","",IF(R53&gt;0,MAX(Tabla1[[#This Row],[FECHA C2]:[FECHA C13]],Tabla1[[#This Row],[FECHA CONSULTA PRIMERA VEZ PROGRAMA CPN ]])))</f>
        <v>45026</v>
      </c>
      <c r="DZ53" s="216">
        <f t="shared" si="16"/>
        <v>29</v>
      </c>
      <c r="EA53" s="222">
        <f>IF(R53&gt;0,SUM(COUNTA(DF53:DQ53)+COUNTA(Tabla1[[#This Row],[FECHA CONSULTA PRIMERA VEZ PROGRAMA CPN ]])),"")</f>
        <v>4</v>
      </c>
      <c r="EB53" s="222" t="str">
        <f t="shared" si="17"/>
        <v>SI</v>
      </c>
      <c r="EC53" s="214">
        <f t="shared" si="18"/>
        <v>9</v>
      </c>
      <c r="ED53" s="227">
        <f t="shared" si="19"/>
        <v>0.44444444444444442</v>
      </c>
      <c r="EE53" s="22">
        <v>44897</v>
      </c>
      <c r="EF53" s="22">
        <v>44897</v>
      </c>
      <c r="EG53" s="22">
        <v>44897</v>
      </c>
      <c r="EH53" s="22"/>
      <c r="EI53" s="22">
        <v>44897</v>
      </c>
      <c r="EJ53" s="22"/>
      <c r="EK53" s="22"/>
      <c r="EL53" s="21"/>
      <c r="EM53" s="21">
        <v>13.6</v>
      </c>
      <c r="EN53" s="22">
        <v>44898</v>
      </c>
      <c r="EO53" s="222">
        <f t="shared" si="20"/>
        <v>11</v>
      </c>
      <c r="EP53" s="214" t="str">
        <f t="shared" si="21"/>
        <v>NORMAL- SUMINISTRAR SULFATO FERROSO</v>
      </c>
      <c r="EQ53" s="216" t="str">
        <f t="shared" si="22"/>
        <v>I TRIM</v>
      </c>
      <c r="ER53" s="24"/>
      <c r="ES53" s="22"/>
      <c r="ET53" s="29" t="str">
        <f t="shared" ca="1" si="198"/>
        <v>SALE SIN TAMIZAJE HEMOGLOBINA SEM 28</v>
      </c>
      <c r="EU53" s="25" t="str">
        <f t="shared" si="24"/>
        <v/>
      </c>
      <c r="EV53" s="24" t="s">
        <v>866</v>
      </c>
      <c r="EW53" s="24">
        <v>44898</v>
      </c>
      <c r="EX53" s="22"/>
      <c r="EY53" s="29">
        <f t="shared" si="199"/>
        <v>11</v>
      </c>
      <c r="EZ53" s="25" t="str">
        <f t="shared" ca="1" si="200"/>
        <v/>
      </c>
      <c r="FA53" s="21">
        <v>76</v>
      </c>
      <c r="FB53" s="22">
        <v>44898</v>
      </c>
      <c r="FC53" s="29">
        <f t="shared" si="27"/>
        <v>11</v>
      </c>
      <c r="FD53" s="29"/>
      <c r="FE53" s="29"/>
      <c r="FF53" s="29"/>
      <c r="FG53" s="21" t="str">
        <f t="shared" ca="1" si="28"/>
        <v/>
      </c>
      <c r="FH53" s="31"/>
      <c r="FI53" s="29" t="str">
        <f t="shared" si="29"/>
        <v>TOMAR EXAMEN</v>
      </c>
      <c r="FJ53" s="22" t="s">
        <v>867</v>
      </c>
      <c r="FK53" s="22">
        <v>44898</v>
      </c>
      <c r="FL53" s="29">
        <f t="shared" ca="1" si="30"/>
        <v>11</v>
      </c>
      <c r="FM53" s="22"/>
      <c r="FN53" s="32"/>
      <c r="FO53" s="29" t="str">
        <f t="shared" ca="1" si="201"/>
        <v>PIERDE TOMA DE TAMIZAJE</v>
      </c>
      <c r="FP53" s="22"/>
      <c r="FQ53" s="32"/>
      <c r="FR53" s="29" t="str">
        <f t="shared" ca="1" si="202"/>
        <v>PIERDE TOMA DE TAMIZAJE</v>
      </c>
      <c r="FS53" s="22"/>
      <c r="FT53" s="32"/>
      <c r="FU53" s="29" t="str">
        <f>IF(AND(FJ53="",FM53="",FP53="",FS53=""),"",IF(OR(OR(Tabla1[[#This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3" s="28"/>
      <c r="FW53" s="22"/>
      <c r="FX53" s="29" t="str">
        <f t="shared" si="33"/>
        <v>TOMAR EXAMEN</v>
      </c>
      <c r="FY53" s="22">
        <v>44898</v>
      </c>
      <c r="FZ53" s="22">
        <v>44898</v>
      </c>
      <c r="GA53" s="29">
        <f t="shared" ca="1" si="203"/>
        <v>11</v>
      </c>
      <c r="GB53" s="22"/>
      <c r="GC53" s="22"/>
      <c r="GD53" s="29" t="str">
        <f t="shared" ca="1" si="204"/>
        <v>PIERDE TOMA DE TAMIZAJE</v>
      </c>
      <c r="GE53" s="22"/>
      <c r="GF53" s="22"/>
      <c r="GG53" s="29" t="str">
        <f t="shared" ca="1" si="205"/>
        <v>PIERDE TOMA DE TAMIZAJE</v>
      </c>
      <c r="GH53" s="22"/>
      <c r="GI53" s="29"/>
      <c r="GJ53" s="22"/>
      <c r="GK53" s="22"/>
      <c r="GL53" s="22"/>
      <c r="GM53" s="22"/>
      <c r="GN53" s="28" t="s">
        <v>869</v>
      </c>
      <c r="GO53" s="22">
        <v>44898</v>
      </c>
      <c r="GP53" s="29">
        <f t="shared" si="37"/>
        <v>11</v>
      </c>
      <c r="GQ53" s="28" t="s">
        <v>869</v>
      </c>
      <c r="GR53" s="28" t="s">
        <v>869</v>
      </c>
      <c r="GS53" s="22" t="str">
        <f t="shared" si="206"/>
        <v>CONTROL Igm</v>
      </c>
      <c r="GT53" s="22">
        <v>44898</v>
      </c>
      <c r="GU53" s="29">
        <f t="shared" si="39"/>
        <v>11</v>
      </c>
      <c r="GV53" s="21" t="str">
        <f t="shared" si="40"/>
        <v>I TRIM</v>
      </c>
      <c r="GW53" s="28" t="s">
        <v>869</v>
      </c>
      <c r="GX53" s="30"/>
      <c r="GY53" s="21"/>
      <c r="GZ53" s="21"/>
      <c r="HA53" s="21"/>
      <c r="HB53" s="21"/>
      <c r="HC53" s="21"/>
      <c r="HD53" s="21"/>
      <c r="HE53" s="21"/>
      <c r="HF53" s="22"/>
      <c r="HG53" s="22" t="str">
        <f>IF(OR(O53&gt;0,R53&gt;0),CONCATENATE(IF(Tabla1[[#This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3" s="22" t="e">
        <f t="shared" si="41"/>
        <v>#REF!</v>
      </c>
      <c r="HI53" s="22" t="e">
        <f t="shared" ca="1" si="42"/>
        <v>#REF!</v>
      </c>
      <c r="HJ53" s="21"/>
      <c r="HK53" s="21" t="str">
        <f t="shared" si="44"/>
        <v>SIN ANTECEDENTES DE RIESGO</v>
      </c>
      <c r="HL53" s="24" t="str">
        <f t="shared" si="45"/>
        <v>REGISTRE DATO PRESIÓN ARTERIAL MENSUAL</v>
      </c>
      <c r="HM53" s="21" t="str">
        <f t="shared" ca="1" si="46"/>
        <v/>
      </c>
      <c r="HN53" s="30" t="str">
        <f t="shared" si="207"/>
        <v>SALIO PROGRAMA</v>
      </c>
      <c r="HO53" s="21"/>
      <c r="HP53" s="21"/>
      <c r="HQ53" s="21">
        <v>44898</v>
      </c>
      <c r="HR53" s="21" t="str">
        <f>IF(R53="","",IF(Tabla1[[#This Row],[ALARMA FACTORES DE RIESGO COMPLICACIONES HIPERTENSIVAS3]]="SIN ANTECEDENTES DE RIESGO","No Aplica para suministro de ASA",IF(AND(Tabla1[[#This Row],[FECHA INICIO DE SUMINISTRO DE ASA]]&gt;0,RV53&lt;12),"Inicia ASA ANTES de Sem 12",IF(AND(RV53&gt;11,RV53&lt;17,OR(HK53="RIESGO ALTO DE COMPLICACIONES HIPERTENSIVAS VER MANEJO GUIA SUMINISTRO ASA Y CALCIO",HK53="RIESGO MODERADO (2 O MAS CRITERIOS) VER MANEJO GUIA SUMINISTRO ASA Y CALCIO")),"Inicio oportuno de ASA",IF(AND(RV53&gt;12,OR(HK53="RIESGO ALTO DE COMPLICACIONES HIPERTENSIVAS VER MANEJO GUIA SUMINISTRO ASA Y CALCIO",HK53="RIESGO MODERADO (2 O MAS CRITERIOS) VER MANEJO GUIA SUMINISTRO ASA Y CALCIO")),"Inicio no oportuno mayor a 16 semanas",IF(AND(BU53&lt;12,OR(HK53="RIESGO ALTO DE COMPLICACIONES HIPERTENSIVAS VER MANEJO GUIA SUMINISTRO ASA Y CALCIO",HK53="RIESGO MODERADO (2 O MAS CRITERIOS) VER MANEJO GUIA SUMINISTRO ASA Y CALCIO")),"Pendiente Inicio de ASA a la semana 12",IF(AND(BU53&gt;11,BU53&lt;17,OR(HK53="RIESGO ALTO DE COMPLICACIONES HIPERTENSIVAS VER MANEJO GUIA SUMINISTRO ASA Y CALCIO",HK53="RIESGO MODERADO (2 O MAS CRITERIOS) VER MANEJO GUIA SUMINISTRO ASA Y CALCIO")),"Iniciar de inmediato ASA",IF(AND(BU53&gt;16,OR(HK53="RIESGO ALTO DE COMPLICACIONES HIPERTENSIVAS VER MANEJO GUIA SUMINISTRO ASA Y CALCIO",HK53="RIESGO MODERADO (2 O MAS CRITERIOS) VER MANEJO GUIA SUMINISTRO ASA Y CALCIO")),"Pierde Oportunidad, Inicio tardío de ASA","XXXXX"))))))))</f>
        <v>No Aplica para suministro de ASA</v>
      </c>
      <c r="HS53" s="22">
        <v>44898</v>
      </c>
      <c r="HT53" s="22" t="s">
        <v>870</v>
      </c>
      <c r="HU53" s="22">
        <v>44898</v>
      </c>
      <c r="HV53" s="22" t="s">
        <v>870</v>
      </c>
      <c r="HW53" s="22">
        <v>44898</v>
      </c>
      <c r="HX53" s="22" t="s">
        <v>935</v>
      </c>
      <c r="HY53" s="22">
        <v>44897</v>
      </c>
      <c r="HZ53" s="28">
        <f t="shared" si="48"/>
        <v>10.857142857142858</v>
      </c>
      <c r="IA53" s="26" t="s">
        <v>864</v>
      </c>
      <c r="IB53" s="26"/>
      <c r="IC53" s="111"/>
      <c r="ID53" s="22"/>
      <c r="IE53" s="22" t="str">
        <f t="shared" ca="1" si="49"/>
        <v>SALE SIN VACUNA</v>
      </c>
      <c r="IF53" s="22"/>
      <c r="IG53" s="22">
        <f t="shared" si="50"/>
        <v>45101</v>
      </c>
      <c r="IH53" s="29">
        <f t="shared" ca="1" si="51"/>
        <v>-132</v>
      </c>
      <c r="II53" s="22" t="str">
        <f t="shared" ca="1" si="52"/>
        <v>POSIBLEMENTE NACIO</v>
      </c>
      <c r="IJ53" s="22"/>
      <c r="IK53" s="21" t="s">
        <v>898</v>
      </c>
      <c r="IL53" s="21"/>
      <c r="IM53" s="34"/>
      <c r="IN53" s="349">
        <v>45093</v>
      </c>
      <c r="IO53" s="21" t="s">
        <v>1640</v>
      </c>
      <c r="IP53" s="29">
        <f t="shared" si="208"/>
        <v>38.857142857142854</v>
      </c>
      <c r="IQ53" s="110"/>
      <c r="IR53" s="21" t="s">
        <v>879</v>
      </c>
      <c r="IS53" s="21" t="s">
        <v>1641</v>
      </c>
      <c r="IT53" s="21" t="s">
        <v>1642</v>
      </c>
      <c r="IU53" s="21"/>
      <c r="IV53" s="21"/>
      <c r="IW53" s="21"/>
      <c r="IX53" s="21"/>
      <c r="IY53" s="21"/>
      <c r="IZ53" s="21"/>
      <c r="JA53" s="21"/>
      <c r="JB53" s="30">
        <v>1</v>
      </c>
      <c r="JC53" s="21" t="s">
        <v>1643</v>
      </c>
      <c r="JD53" s="36">
        <v>3112</v>
      </c>
      <c r="JE53" s="21" t="str">
        <f t="shared" si="209"/>
        <v>PESO ADECUADO EDAD GESTACIONAL</v>
      </c>
      <c r="JF53" s="30"/>
      <c r="JG53" s="21"/>
      <c r="JH53" s="21"/>
      <c r="JI53" s="21"/>
      <c r="JJ53" s="30"/>
      <c r="JK53" s="22"/>
      <c r="JL53" s="22"/>
      <c r="JM53" s="21"/>
      <c r="JN53" s="36"/>
      <c r="JO53" s="21" t="str">
        <f t="shared" si="210"/>
        <v/>
      </c>
      <c r="JP53" s="22"/>
      <c r="JQ53" s="21"/>
      <c r="JR53" s="21"/>
      <c r="JS53" s="21"/>
      <c r="JT53" s="30"/>
      <c r="JU53" s="22"/>
      <c r="JV53" s="22"/>
      <c r="JW53" s="33"/>
      <c r="JX53" s="28" t="str">
        <f t="shared" si="211"/>
        <v>INASISTENTE</v>
      </c>
      <c r="JY53" s="33"/>
      <c r="JZ53" s="28" t="str">
        <f t="shared" si="212"/>
        <v>INASISTENTE</v>
      </c>
      <c r="KA53" s="21"/>
      <c r="KB53" s="21"/>
      <c r="KC53" s="21"/>
      <c r="KD53" s="37"/>
      <c r="KE53" s="28"/>
      <c r="KF53" s="28"/>
      <c r="KG53" s="28"/>
      <c r="KH53" s="39"/>
      <c r="KI53" s="39"/>
      <c r="KJ53" s="66"/>
      <c r="KK53" s="39"/>
      <c r="KL53" s="39"/>
      <c r="KM53" s="66"/>
      <c r="KN53" s="39"/>
      <c r="KO53" s="39"/>
      <c r="KP53" s="39"/>
      <c r="KQ53" s="39"/>
      <c r="KR53" s="39"/>
      <c r="KS53" s="39"/>
      <c r="KT53" s="39"/>
      <c r="KU53" s="38"/>
      <c r="KV53" s="38"/>
      <c r="KW53" s="38"/>
      <c r="KX53" s="38"/>
      <c r="KY53" s="38"/>
      <c r="KZ53" s="38"/>
      <c r="LA53" s="38"/>
      <c r="LB53" s="38"/>
      <c r="LC53" s="38"/>
      <c r="LD53" s="38"/>
      <c r="LE53" s="38"/>
      <c r="LF53" s="38"/>
      <c r="LG53" s="38"/>
      <c r="LH53" s="38"/>
      <c r="LI53" s="38"/>
      <c r="LJ53" s="38"/>
      <c r="LK53" s="38"/>
      <c r="LL53" s="38"/>
      <c r="LM53" s="38"/>
      <c r="LN53" s="38"/>
      <c r="LO53" s="38"/>
      <c r="LP53" s="38"/>
      <c r="LQ53" s="38"/>
      <c r="LR53" s="38"/>
      <c r="LS53" s="38"/>
      <c r="LT53" s="38"/>
      <c r="LU53" s="38"/>
      <c r="LV53" s="38"/>
      <c r="LW53" s="38"/>
      <c r="LX53" s="38"/>
      <c r="LY53" s="38"/>
      <c r="LZ53" s="38"/>
      <c r="MA53" s="38"/>
      <c r="MB53" s="38"/>
      <c r="MC53" s="38"/>
      <c r="MD53" s="38"/>
      <c r="ME53" s="38"/>
      <c r="MF53" s="38"/>
      <c r="MG53" s="38"/>
      <c r="MH53" s="43">
        <f t="shared" si="213"/>
        <v>0</v>
      </c>
      <c r="MI53" s="43" t="str">
        <f t="shared" si="214"/>
        <v/>
      </c>
      <c r="MJ53" s="43" t="str">
        <f t="shared" si="215"/>
        <v/>
      </c>
      <c r="MK53" s="43">
        <f t="shared" si="216"/>
        <v>0</v>
      </c>
      <c r="ML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3" s="43">
        <f t="shared" si="217"/>
        <v>10.857142857142858</v>
      </c>
      <c r="MN53" s="43">
        <f t="shared" si="218"/>
        <v>12</v>
      </c>
      <c r="MO53" s="43">
        <f t="shared" si="219"/>
        <v>2022</v>
      </c>
      <c r="MP53" s="43" t="str">
        <f t="shared" si="220"/>
        <v>IV TRIMESTRE AÑO</v>
      </c>
      <c r="MQ53" s="43">
        <f t="shared" si="221"/>
        <v>15.667433201927288</v>
      </c>
      <c r="MR53" s="43">
        <f t="shared" si="222"/>
        <v>1</v>
      </c>
      <c r="MS53" s="43" t="str">
        <f t="shared" si="223"/>
        <v>DE 14 A 19AÑOS</v>
      </c>
      <c r="MT53" s="43">
        <f t="shared" si="224"/>
        <v>0</v>
      </c>
      <c r="MU53" s="43">
        <f t="shared" si="225"/>
        <v>1</v>
      </c>
      <c r="MV53" s="43">
        <f t="shared" si="226"/>
        <v>0</v>
      </c>
      <c r="MW53" s="43">
        <f t="shared" si="227"/>
        <v>0</v>
      </c>
      <c r="MX53" s="43" t="str">
        <f t="shared" si="228"/>
        <v/>
      </c>
      <c r="MY53" s="43" t="str">
        <f t="shared" ca="1" si="229"/>
        <v/>
      </c>
      <c r="MZ53" s="43" t="str">
        <f t="shared" si="230"/>
        <v/>
      </c>
      <c r="NA53" s="43">
        <f t="shared" si="231"/>
        <v>0</v>
      </c>
      <c r="NB53" s="43" t="str">
        <f t="shared" si="232"/>
        <v/>
      </c>
      <c r="NC53" s="43" t="str">
        <f t="shared" si="233"/>
        <v/>
      </c>
      <c r="ND53" s="43">
        <f t="shared" ca="1" si="234"/>
        <v>2</v>
      </c>
      <c r="NE53" s="43">
        <f>IF(OR(O53&gt;0,R53&gt;0),SUM(COUNTIF(Tabla1[[#This Row],[AÑOS AL INICIO5 CPN]],"&gt;=40"),COUNTIF(AS53,"0"),COUNTIF(AR53,"SI"),COUNTIF(CC53,"SI"),COUNTIF(BQ53,"&gt;119"),COUNTIF(CI53,"&gt;=35")),"")</f>
        <v>0</v>
      </c>
      <c r="NF53" s="43" t="str">
        <f t="shared" si="235"/>
        <v/>
      </c>
      <c r="NG53" s="43">
        <f t="shared" si="236"/>
        <v>0</v>
      </c>
      <c r="NH53" s="43">
        <f t="shared" si="237"/>
        <v>77</v>
      </c>
      <c r="NI5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CPN",P53="NO"),"Z",IF(AND(Tabla1[[#This Row],[CITA PROXIMO CONTROL]]="CITA MANUAL",Tabla1[[#This Row],[GESTANTES ACTUALES]]="ACTIVA INGRESO A CPN"),"W",IF(AND(Tabla1[[#This Row],[GESTANTES ACTUALES]]="SALIO PROGRAMA",IN53=""),"S",IF(AND(Tabla1[[#This Row],[CITA PROXIMO CONTROL]]&gt;0,IN53=""),(Tabla1[[#This Row],[CITA PROXIMO CONTROL]]-TODAY()),"SD"))))))))</f>
        <v>SD</v>
      </c>
      <c r="NJ53" s="43">
        <f>MONTH(Tabla1[[#This Row],[FECHA DE SALIDA  DEL PROGRAMA]])</f>
        <v>6</v>
      </c>
      <c r="NK53" s="43">
        <f>YEAR(Tabla1[[#This Row],[FECHA DE SALIDA  DEL PROGRAMA]])</f>
        <v>2023</v>
      </c>
      <c r="NL53" s="43" t="str">
        <f t="shared" si="238"/>
        <v>X</v>
      </c>
      <c r="NM53" s="43" t="str">
        <f t="shared" si="239"/>
        <v>NO</v>
      </c>
      <c r="NN53" s="43" t="str">
        <f ca="1">IF(AND(O53&gt;0,R53=""),"NO CPN",IF(AND(O53="",R53=""),"",IF(AND(R53&gt;0,Tabla1[[#This Row],[SEMANAS DE GESTACION ACTUALIZADAS]]&lt;=12),"NO APLICA",IF(AND(FH53&lt;&gt;"",FN53&lt;&gt;""),"SI","NO"))))</f>
        <v>NO</v>
      </c>
      <c r="NO53" s="43" t="str">
        <f ca="1">IF(AND(O53&gt;0,R53=""),"NO CPN",IF(AND(O53="",R53=""),"",IF(AND(R53&gt;0,Tabla1[[#This Row],[SEMANAS DE GESTACION ACTUALIZADAS]]&lt;=27),"NO APLICA",IF(AND(ES53&lt;&gt;"",FQ53&lt;&gt;"",GF53&lt;&gt;""),"SI","NO"))))</f>
        <v>NO</v>
      </c>
      <c r="NP53" s="204" t="str">
        <f t="shared" si="240"/>
        <v>I TRIM</v>
      </c>
      <c r="NQ53" s="21">
        <f t="shared" si="241"/>
        <v>1</v>
      </c>
      <c r="NR53" s="21">
        <f t="shared" si="242"/>
        <v>3</v>
      </c>
      <c r="NS53" s="205">
        <f t="shared" ca="1" si="243"/>
        <v>1</v>
      </c>
      <c r="NT53" s="21">
        <f t="shared" ca="1" si="244"/>
        <v>1</v>
      </c>
      <c r="NU53" s="21" t="str">
        <f t="shared" ca="1" si="245"/>
        <v>INCOMPLETO</v>
      </c>
      <c r="NV53" s="21" t="str">
        <f t="shared" ca="1" si="246"/>
        <v>INCOMPLETO</v>
      </c>
      <c r="NW53" s="206" t="str">
        <f>IF(AND(O53="",R53=""),"",IF(OR(AND(Tabla1[[#This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3" s="207" t="str">
        <f t="shared" ca="1" si="247"/>
        <v>SIN VACUNAR</v>
      </c>
      <c r="NY53" s="43">
        <f>ROW(Tabla1[[#This Row],['# DE TAMIZAJES SIFILIS TOMADOS ]])</f>
        <v>53</v>
      </c>
      <c r="NZ53" s="43">
        <f t="shared" si="93"/>
        <v>10</v>
      </c>
      <c r="OA53" s="43" t="str">
        <f t="shared" si="94"/>
        <v/>
      </c>
      <c r="OB53" s="43" t="str">
        <f t="shared" si="95"/>
        <v>NORMAL</v>
      </c>
      <c r="OC53" s="43" t="str">
        <f t="shared" si="96"/>
        <v/>
      </c>
      <c r="OD53" s="43" t="str">
        <f t="shared" si="97"/>
        <v/>
      </c>
      <c r="OE53" s="43" t="str">
        <f t="shared" si="98"/>
        <v/>
      </c>
      <c r="OF53" s="43" t="str">
        <f t="shared" si="99"/>
        <v/>
      </c>
      <c r="OG53" s="43" t="str">
        <f t="shared" si="100"/>
        <v/>
      </c>
      <c r="OH53" s="43" t="str">
        <f t="shared" si="101"/>
        <v/>
      </c>
      <c r="OI53" s="43" t="str">
        <f t="shared" si="102"/>
        <v/>
      </c>
      <c r="OJ53" s="43" t="str">
        <f t="shared" si="103"/>
        <v/>
      </c>
      <c r="OK53" s="43" t="str">
        <f t="shared" si="104"/>
        <v/>
      </c>
      <c r="OL53" s="43" t="str">
        <f t="shared" si="105"/>
        <v/>
      </c>
      <c r="OM53" s="43" t="str">
        <f t="shared" si="106"/>
        <v/>
      </c>
      <c r="ON53" s="43" t="str">
        <f t="shared" si="107"/>
        <v/>
      </c>
      <c r="OO53" s="43" t="str">
        <f t="shared" si="108"/>
        <v/>
      </c>
      <c r="OP53" s="43" t="str">
        <f t="shared" si="109"/>
        <v/>
      </c>
      <c r="OQ53" s="43" t="str">
        <f t="shared" si="110"/>
        <v/>
      </c>
      <c r="OR53" s="43" t="str">
        <f t="shared" si="111"/>
        <v/>
      </c>
      <c r="OS53" s="43" t="str">
        <f t="shared" si="112"/>
        <v/>
      </c>
      <c r="OT53" s="43" t="str">
        <f t="shared" si="113"/>
        <v/>
      </c>
      <c r="OU53" s="43" t="str">
        <f t="shared" si="114"/>
        <v/>
      </c>
      <c r="OV53" s="110" t="str">
        <f t="shared" si="115"/>
        <v/>
      </c>
      <c r="OW53" s="43" t="str">
        <f t="shared" si="116"/>
        <v/>
      </c>
      <c r="OX53" s="43" t="str">
        <f t="shared" si="117"/>
        <v/>
      </c>
      <c r="OY53" s="43" t="str">
        <f t="shared" si="118"/>
        <v/>
      </c>
      <c r="OZ53" s="43" t="str">
        <f t="shared" si="119"/>
        <v/>
      </c>
      <c r="PA53" s="43" t="str">
        <f t="shared" si="120"/>
        <v/>
      </c>
      <c r="PB53" s="43" t="str">
        <f t="shared" si="121"/>
        <v/>
      </c>
      <c r="PC53" s="43" t="str">
        <f t="shared" si="122"/>
        <v/>
      </c>
      <c r="PD53" s="43" t="str">
        <f t="shared" si="123"/>
        <v/>
      </c>
      <c r="PE53" s="43" t="str">
        <f t="shared" si="124"/>
        <v/>
      </c>
      <c r="PF53" s="43" t="str">
        <f t="shared" si="125"/>
        <v/>
      </c>
      <c r="PG53" s="43" t="str">
        <f t="shared" si="126"/>
        <v/>
      </c>
      <c r="PH53" s="43" t="str">
        <f t="shared" si="127"/>
        <v/>
      </c>
      <c r="PI53" s="43">
        <f t="shared" si="128"/>
        <v>29</v>
      </c>
      <c r="PJ53" s="43" t="str">
        <f t="shared" si="129"/>
        <v/>
      </c>
      <c r="PK53" s="43" t="str">
        <f t="shared" si="130"/>
        <v/>
      </c>
      <c r="PL53" s="43" t="str">
        <f t="shared" si="131"/>
        <v/>
      </c>
      <c r="PM53" s="43" t="str">
        <f t="shared" si="132"/>
        <v/>
      </c>
      <c r="PN53" s="43" t="str">
        <f t="shared" si="133"/>
        <v/>
      </c>
      <c r="PO53" s="43" t="str">
        <f t="shared" si="134"/>
        <v/>
      </c>
      <c r="PP53" s="43" t="str">
        <f t="shared" si="135"/>
        <v/>
      </c>
      <c r="PQ53" s="43" t="str">
        <f t="shared" si="136"/>
        <v/>
      </c>
      <c r="PR53" s="43" t="str">
        <f t="shared" si="137"/>
        <v/>
      </c>
      <c r="PS53" s="43" t="str">
        <f t="shared" si="138"/>
        <v/>
      </c>
      <c r="PT53" s="43" t="str">
        <f t="shared" si="139"/>
        <v/>
      </c>
      <c r="PU53" s="43" t="str">
        <f t="shared" si="140"/>
        <v/>
      </c>
      <c r="PV53" s="43" t="str">
        <f t="shared" si="141"/>
        <v/>
      </c>
      <c r="PW53" s="43" t="str">
        <f t="shared" si="142"/>
        <v/>
      </c>
      <c r="PX53" s="43" t="str">
        <f t="shared" si="143"/>
        <v/>
      </c>
      <c r="PY53" s="43" t="str">
        <f t="shared" si="144"/>
        <v/>
      </c>
      <c r="PZ53" s="43" t="str">
        <f t="shared" si="145"/>
        <v/>
      </c>
      <c r="QA53" s="43" t="str">
        <f t="shared" si="146"/>
        <v/>
      </c>
      <c r="QB53" s="43" t="str">
        <f t="shared" si="147"/>
        <v/>
      </c>
      <c r="QC53" s="43" t="str">
        <f t="shared" si="148"/>
        <v/>
      </c>
      <c r="QD53" s="43" t="str">
        <f t="shared" si="149"/>
        <v/>
      </c>
      <c r="QE53" s="43" t="str">
        <f t="shared" si="150"/>
        <v/>
      </c>
      <c r="QF53" s="43" t="str">
        <f t="shared" si="151"/>
        <v/>
      </c>
      <c r="QG53" s="43" t="str">
        <f t="shared" si="152"/>
        <v/>
      </c>
      <c r="QH53" s="43" t="str">
        <f t="shared" si="153"/>
        <v/>
      </c>
      <c r="QI53" s="43" t="str">
        <f t="shared" si="154"/>
        <v/>
      </c>
      <c r="QJ53" s="43" t="str">
        <f t="shared" si="155"/>
        <v/>
      </c>
      <c r="QK53" s="43" t="str">
        <f t="shared" si="156"/>
        <v/>
      </c>
      <c r="QL53" s="43" t="str">
        <f t="shared" si="157"/>
        <v/>
      </c>
      <c r="QM53" s="43" t="str">
        <f t="shared" si="158"/>
        <v/>
      </c>
      <c r="QN53" s="43" t="str">
        <f t="shared" si="159"/>
        <v/>
      </c>
      <c r="QO53" s="43" t="str">
        <f t="shared" si="160"/>
        <v/>
      </c>
      <c r="QP53" s="43" t="str">
        <f t="shared" si="161"/>
        <v/>
      </c>
      <c r="QQ53" s="43" t="str">
        <f t="shared" si="162"/>
        <v/>
      </c>
      <c r="QR53" s="43">
        <f t="shared" si="192"/>
        <v>29</v>
      </c>
      <c r="QS53" s="43"/>
      <c r="QT53" s="21" t="str">
        <f t="shared" si="163"/>
        <v/>
      </c>
      <c r="QU53" s="21" t="str">
        <f t="shared" si="164"/>
        <v/>
      </c>
      <c r="QV53" s="21" t="str">
        <f t="shared" si="165"/>
        <v/>
      </c>
      <c r="QW53" s="21" t="str">
        <f t="shared" si="166"/>
        <v/>
      </c>
      <c r="QX53" s="21" t="str">
        <f t="shared" si="167"/>
        <v/>
      </c>
      <c r="QY53" s="21" t="str">
        <f t="shared" si="168"/>
        <v/>
      </c>
      <c r="QZ53" s="21" t="str">
        <f t="shared" si="169"/>
        <v/>
      </c>
      <c r="RA53" s="21" t="str">
        <f t="shared" si="170"/>
        <v/>
      </c>
      <c r="RB53" s="21" t="str">
        <f t="shared" si="171"/>
        <v/>
      </c>
      <c r="RC53" s="21" t="str">
        <f t="shared" si="172"/>
        <v/>
      </c>
      <c r="RD53" s="21" t="str">
        <f t="shared" si="173"/>
        <v/>
      </c>
      <c r="RE53" s="21" t="str">
        <f t="shared" si="174"/>
        <v/>
      </c>
      <c r="RF53" s="21" t="str">
        <f t="shared" si="175"/>
        <v/>
      </c>
      <c r="RG53" s="21" t="str">
        <f t="shared" si="176"/>
        <v/>
      </c>
      <c r="RH53" s="21" t="str">
        <f t="shared" si="177"/>
        <v/>
      </c>
      <c r="RI53" s="21" t="str">
        <f t="shared" si="178"/>
        <v/>
      </c>
      <c r="RJ53" s="21" t="str">
        <f t="shared" si="179"/>
        <v/>
      </c>
      <c r="RK53" s="21" t="str">
        <f t="shared" si="180"/>
        <v/>
      </c>
      <c r="RL53" s="21" t="str">
        <f t="shared" si="181"/>
        <v/>
      </c>
      <c r="RM53" s="21" t="str">
        <f t="shared" si="182"/>
        <v/>
      </c>
      <c r="RN53" s="21" t="str">
        <f t="shared" si="183"/>
        <v/>
      </c>
      <c r="RO53" s="21" t="str">
        <f t="shared" si="184"/>
        <v/>
      </c>
      <c r="RP53" s="21" t="str">
        <f t="shared" si="185"/>
        <v/>
      </c>
      <c r="RQ53" s="21" t="str">
        <f t="shared" si="186"/>
        <v/>
      </c>
      <c r="RR53" s="21" t="str">
        <f t="shared" si="187"/>
        <v/>
      </c>
      <c r="RS53" s="21" t="str">
        <f t="shared" si="188"/>
        <v/>
      </c>
      <c r="RT53" s="21" t="str">
        <f t="shared" si="189"/>
        <v/>
      </c>
      <c r="RU53" s="21" t="str">
        <f t="shared" si="190"/>
        <v/>
      </c>
      <c r="RV53" s="21">
        <f t="shared" si="191"/>
        <v>11</v>
      </c>
      <c r="RW53" s="284">
        <f>IF(OR(Tabla1[[#This Row],[FUM FORMULA CONFIABLE]]="",Tabla1[[#This Row],[FUM FORMULA CONFIABLE]]="SD"),"",IF(Tabla1[[#This Row],[FUM FORMULA CONFIABLE]]="CORREGIDA",Tabla1[[#This Row],[FUM X ECO 1]],Tabla1[[#This Row],[FUM x AMENORREA]]))</f>
        <v>44821</v>
      </c>
      <c r="RX53" s="21">
        <f>IF(AND(Tabla1[[#This Row],[FUM X ECO 1]]="",Tabla1[[#This Row],[FUM x AMENORREA]]=""),"",IF(AND(Tabla1[[#This Row],[FUM X ECO 1]]="",Tabla1[[#This Row],[FUM x AMENORREA]]&lt;&gt;""),"X",SUM(Tabla1[[#This Row],[FUM X ECO 1]]-Tabla1[[#This Row],[FUM x AMENORREA]])))</f>
        <v>0</v>
      </c>
      <c r="RY53" s="21">
        <f t="shared" si="193"/>
        <v>0</v>
      </c>
    </row>
    <row r="54" spans="1:493" ht="45" customHeight="1" x14ac:dyDescent="0.25">
      <c r="A54" s="109" t="s">
        <v>1146</v>
      </c>
      <c r="B54" s="43"/>
      <c r="C54" s="43" t="s">
        <v>845</v>
      </c>
      <c r="D54" s="124" t="s">
        <v>846</v>
      </c>
      <c r="E54" s="43" t="s">
        <v>884</v>
      </c>
      <c r="F54" s="43" t="s">
        <v>1147</v>
      </c>
      <c r="G54" s="43" t="s">
        <v>938</v>
      </c>
      <c r="H54" s="43" t="s">
        <v>1148</v>
      </c>
      <c r="I54" s="109" t="s">
        <v>851</v>
      </c>
      <c r="J54" s="110">
        <v>1059605233</v>
      </c>
      <c r="K54" s="43" t="s">
        <v>904</v>
      </c>
      <c r="L54" s="175" t="s">
        <v>886</v>
      </c>
      <c r="M54" s="22">
        <v>35601</v>
      </c>
      <c r="N54" s="213">
        <f t="shared" ca="1" si="0"/>
        <v>26.389041095890413</v>
      </c>
      <c r="O54" s="22">
        <v>44894</v>
      </c>
      <c r="P54" s="214" t="str">
        <f t="shared" si="194"/>
        <v>SI</v>
      </c>
      <c r="Q54" s="26" t="s">
        <v>855</v>
      </c>
      <c r="R54" s="22">
        <v>44894</v>
      </c>
      <c r="S54" s="21" t="s">
        <v>856</v>
      </c>
      <c r="T54" s="24" t="s">
        <v>690</v>
      </c>
      <c r="U54" s="21" t="s">
        <v>857</v>
      </c>
      <c r="V54" s="21" t="s">
        <v>1009</v>
      </c>
      <c r="W54" s="21" t="s">
        <v>1149</v>
      </c>
      <c r="X54" s="21" t="s">
        <v>1149</v>
      </c>
      <c r="Y54" s="21" t="s">
        <v>859</v>
      </c>
      <c r="Z54" s="21">
        <v>3124386733</v>
      </c>
      <c r="AA54" s="21" t="s">
        <v>860</v>
      </c>
      <c r="AB54" s="27" t="s">
        <v>861</v>
      </c>
      <c r="AC54" s="26" t="s">
        <v>1107</v>
      </c>
      <c r="AD54" s="38" t="s">
        <v>1130</v>
      </c>
      <c r="AE54" s="26" t="s">
        <v>854</v>
      </c>
      <c r="AF54" s="26" t="s">
        <v>854</v>
      </c>
      <c r="AG54" s="23" t="s">
        <v>864</v>
      </c>
      <c r="AH54" s="23" t="s">
        <v>864</v>
      </c>
      <c r="AI54" s="24" t="s">
        <v>863</v>
      </c>
      <c r="AJ54" s="23" t="s">
        <v>864</v>
      </c>
      <c r="AK54" s="220" t="str">
        <f>IF(AND(AD54="",AE54="",AF54="",AG54="",AH54="",AI54="",AJ54=""),"",IF(OR(Tabla1[[#This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EVALUACIÓN",IF(AND(O54="",R54=""),"",IF(AND(OR(O54&gt;0,R54&gt;0),NG54&gt;=0,NG54&lt;2),"SIN RIESGO",IF(AND(OR(O54&gt;0,R54&gt;0),NG54&gt;=2),"CON RIESGO","ASD")))))</f>
        <v>SIN RIESGO</v>
      </c>
      <c r="AL54" s="23" t="s">
        <v>864</v>
      </c>
      <c r="AM54" s="26" t="s">
        <v>864</v>
      </c>
      <c r="AN54" s="26" t="s">
        <v>864</v>
      </c>
      <c r="AO54" s="26" t="s">
        <v>864</v>
      </c>
      <c r="AP54" s="26" t="s">
        <v>864</v>
      </c>
      <c r="AQ54" s="26" t="s">
        <v>864</v>
      </c>
      <c r="AR54" s="26" t="s">
        <v>864</v>
      </c>
      <c r="AS54" s="21">
        <v>1</v>
      </c>
      <c r="AT54" s="21">
        <v>0</v>
      </c>
      <c r="AU54" s="21">
        <v>0</v>
      </c>
      <c r="AV54" s="26" t="s">
        <v>864</v>
      </c>
      <c r="AW54" s="21">
        <v>0</v>
      </c>
      <c r="AX54" s="26" t="s">
        <v>864</v>
      </c>
      <c r="AY54" s="26" t="s">
        <v>864</v>
      </c>
      <c r="AZ54" s="26" t="s">
        <v>864</v>
      </c>
      <c r="BA54" s="26" t="s">
        <v>864</v>
      </c>
      <c r="BB54" s="26" t="s">
        <v>864</v>
      </c>
      <c r="BC54" s="26" t="s">
        <v>864</v>
      </c>
      <c r="BD54" s="26" t="s">
        <v>864</v>
      </c>
      <c r="BE54" s="26" t="s">
        <v>864</v>
      </c>
      <c r="BF54" s="26" t="s">
        <v>864</v>
      </c>
      <c r="BG54" s="26" t="s">
        <v>864</v>
      </c>
      <c r="BH54" s="26" t="s">
        <v>864</v>
      </c>
      <c r="BI54" s="26"/>
      <c r="BJ54" s="26"/>
      <c r="BK54" s="26"/>
      <c r="BL54" s="26" t="s">
        <v>864</v>
      </c>
      <c r="BM54" s="26"/>
      <c r="BN54" s="22"/>
      <c r="BO54" s="22">
        <v>44828</v>
      </c>
      <c r="BP54" s="21" t="s">
        <v>854</v>
      </c>
      <c r="BQ54" s="222">
        <f t="shared" si="2"/>
        <v>0</v>
      </c>
      <c r="BR54" s="223">
        <f t="shared" si="3"/>
        <v>44828</v>
      </c>
      <c r="BS54" s="224">
        <f t="shared" si="4"/>
        <v>9.4285714285714288</v>
      </c>
      <c r="BT54" s="216" t="str">
        <f t="shared" si="5"/>
        <v>I TRIM</v>
      </c>
      <c r="BU54" s="214" t="str">
        <f t="shared" ca="1" si="6"/>
        <v/>
      </c>
      <c r="BV54" s="25"/>
      <c r="BW54" s="22">
        <v>44898</v>
      </c>
      <c r="BX54" s="28">
        <v>10</v>
      </c>
      <c r="BY54" s="28"/>
      <c r="BZ54" s="22">
        <v>44960</v>
      </c>
      <c r="CA54" s="21">
        <v>20.2</v>
      </c>
      <c r="CB54" s="26" t="s">
        <v>864</v>
      </c>
      <c r="CC54" s="26" t="s">
        <v>864</v>
      </c>
      <c r="CD54" s="26" t="s">
        <v>878</v>
      </c>
      <c r="CE54" s="26" t="s">
        <v>864</v>
      </c>
      <c r="CF54" s="22" t="s">
        <v>1517</v>
      </c>
      <c r="CG54" s="21">
        <v>1.57</v>
      </c>
      <c r="CH54" s="21">
        <v>70</v>
      </c>
      <c r="CI54" s="214">
        <f t="shared" si="7"/>
        <v>28.398718000730252</v>
      </c>
      <c r="CJ54" s="225" t="str">
        <f>IF(AND(CI54&lt;10,CH54="SD"),"SIN DATO PESO PREGESTACION O I TRIM",IF(AND(OR(R54&gt;0,O54&gt;0),CI54="X"),"INGRESAR DATO DE PESO",IF(CI54="SD","INGRESAR DATO DE TALLA Y PESO",IF(AND(OR(Tabla1[[#This Row],[MOMENTO EN QUE SE REALIZA EL PESO AL INGRESO A CPN]]="PREGESTACIÓN",NZ54="Menor"),CI54&lt;18.5),"BAJO PESO",IF(AND(OR(Tabla1[[#This Row],[MOMENTO EN QUE SE REALIZA EL PESO AL INGRESO A CPN]]="PREGESTACIÓN",NZ54="Menor"),CI54&lt;25),"NORMAL",IF(AND(OR(Tabla1[[#This Row],[MOMENTO EN QUE SE REALIZA EL PESO AL INGRESO A CPN]]="PREGESTACIÓN",NZ54="Menor"),CI54&lt;30),"SOBREPESO",IF(AND(OR(Tabla1[[#This Row],[MOMENTO EN QUE SE REALIZA EL PESO AL INGRESO A CPN]]="PREGESTACIÓN",NZ54="Menor"),CI54&gt;=30,CI54&lt;50),"OBESIDAD",IF(AND(BS54&gt;0,Tabla1[[#This Row],[MOMENTO EN QUE SE REALIZA EL PESO AL INGRESO A CPN]]="GESTACIÓN"),HLOOKUP(NZ54,$OA$2:PH54,NY54),""))))))))</f>
        <v>SOBREPESO</v>
      </c>
      <c r="CK54" s="212">
        <f t="shared" si="8"/>
        <v>45090</v>
      </c>
      <c r="CL54" s="21">
        <v>81.900000000000006</v>
      </c>
      <c r="CM54" s="214">
        <f t="shared" si="9"/>
        <v>33.226500060854399</v>
      </c>
      <c r="CN54" s="216">
        <f t="shared" si="10"/>
        <v>37</v>
      </c>
      <c r="CO54" s="216" t="e">
        <f>IF(PI54="","",IF(PI54&gt;0,HLOOKUP(PI54,$PJ$2:QQ54,NY54),""))</f>
        <v>#REF!</v>
      </c>
      <c r="CP54" s="21"/>
      <c r="CQ54" s="216" t="e">
        <f>IF(QR54="Menor","NO APLICA-MENOR 13 SEM",IF(AND(CC54="SI",CN54&gt;23),"NO APLICA- GEMELAR",IF(QR54="","",IF(QR54&gt;0,HLOOKUP(QR54,$QS$2:RU54,NY54),""))))</f>
        <v>#REF!</v>
      </c>
      <c r="CR54" s="21">
        <v>100</v>
      </c>
      <c r="CS54" s="21">
        <v>70</v>
      </c>
      <c r="CT54" s="217" t="str">
        <f>IF(R54="","",IF(AND(BS54&gt;1,BS54&lt;12,Tabla1[[#This Row],[T.A. SISTOLICA - ANTES DE SEMANA 12]]="",Tabla1[[#This Row],[T.A. DIASTOLICA - ANTES DE SEMANA 12]]=""),"REGISTRE DATO TA ANTES SEMANA 12",IF(AND(BS54&gt;11,BS54&lt;43,Tabla1[[#This Row],[T.A. SISTOLICA - ANTES DE SEMANA 12]]="",Tabla1[[#This Row],[T.A. DIASTOLICA - ANTES DE SEMANA 12]]=""),"NO APLICA REGISTRO TA-INGRESO TARDIO",IF(AND(OR(O54&gt;0,R54&gt;0),OR(CR54&gt;=140,CS54&gt;=90)),"DEFINIR ESTADIO HTA",IF(AND(OR(O54&gt;0,R54&gt;0),AND(CR54&gt;120,CR54&lt;=139)),"PRE HTA SEGUIMIENTO",IF(AND(OR(O54&gt;0,R54&gt;0),AND(CS54&gt;80,CS54&lt;=89)),"PRE HTA SEGUIMIENTO",IF(AND(OR(O54&gt;0,R54&gt;0),AND(CR54&gt;=80,CR54&lt;=120)),"APARENTEMENTE NORMAL",IF(AND(OR(O54&gt;0,R54&gt;0),AND(CS54&gt;=50,CS54&lt;=80)),"APARENTEMENTE NORMAL",IF(AND(OR(O54&gt;0,R54&gt;0),AND(CR54&gt;1,CR54&lt;=70),AND(CS54&gt;1,CS54&lt;=40)),"HIPOTENSIÓN","")))))))))</f>
        <v>APARENTEMENTE NORMAL</v>
      </c>
      <c r="CU54" s="21">
        <v>100</v>
      </c>
      <c r="CV54" s="21">
        <v>60</v>
      </c>
      <c r="CW54" s="217" t="str">
        <f ca="1">IF(R54="","",IF(AND(CN54&gt;19,CN54&lt;27,Tabla1[[#This Row],[T.A. SISTOLICA (Entre semana 20 y 26)]]="",Tabla1[[#This Row],[T.A. DIATOLICA (Entre semana 20 y 26)]]=""),"ACUDE A CONTROL SEM 20 A 26 REGISTRE TA AHORA",IF(AND(BS54&gt;1,BS54&lt;27,BU54&gt;19,Tabla1[[#This Row],[T.A. SISTOLICA (Entre semana 20 y 26)]]="",Tabla1[[#This Row],[T.A. DIATOLICA (Entre semana 20 y 26)]]=""),"COMPLETE REGISTRO TA CONTROL SEM 20 A26 ",IF(AND(BS54&gt;26,BS54&lt;43,Tabla1[[#This Row],[T.A. SISTOLICA (Entre semana 20 y 26)]]="",Tabla1[[#This Row],[T.A. DIATOLICA (Entre semana 20 y 26)]]=""),"NO APLICA REGISTRO TA-INGRESO TARDIO",IF(AND(OR(O54&gt;0,R54&gt;0),OR(CU54&gt;=140,CV54&gt;=90)),"ALTO RIESGO PREECLAMPSIA,DEFINIR ESTADIO HTA",IF(AND(OR(O54&gt;0,R54&gt;0),AND(CU54&gt;120,CU54&lt;=139)),"PRE HTA SEGUIMIENTO,RIESGO HIPERTENSION INDUCIDA POR EL EMBARAZO",IF(AND(OR(O54&gt;0,R54&gt;0),AND(CV54&gt;80,CV54&lt;=89)),"PRE HTA SEGUIMIENTO, RIESGO HIPERTENSION INDUCIDA POR EL EMBARAZO",IF(AND(OR(O54&lt;&gt;"",R54&lt;&gt;""),CS54&lt;&gt;"",CV54&lt;&gt;"",CS54&lt;=CV54),"VIGILAR CIFRAS PRESION ARTERIAL",IF(AND(OR(O54&gt;0,R54&gt;0),AND(CU54&gt;120,CU54&lt;=139)),"PRE HTA SEGUIMIENTO",IF(AND(OR(O54&gt;0,R54&gt;0),AND(CU54&gt;1,CU54&lt;=70),AND(CV54&gt;1,CV54&lt;=40)),"HIPOTENSIÓN",IF(AND(OR(O54&lt;&gt;"",R54&lt;&gt;""),CS54&lt;&gt;"",CV54&lt;&gt;"",CS54&gt;CV54),"APARENTEMENTE NORMAL",IF(AND(OR(O54&gt;0,R54&gt;0),AND(CU54&gt;=80,CU54&lt;=120)),"APARENTEMENTE NORMAL",IF(AND(OR(O54&gt;0,R54&gt;0),AND(CV54&gt;=50,CV54&lt;=80)),"APARENTEMENTE NORMAL","")))))))))))))</f>
        <v>APARENTEMENTE NORMAL</v>
      </c>
      <c r="CX54" s="21">
        <v>100</v>
      </c>
      <c r="CY54" s="21">
        <v>70</v>
      </c>
      <c r="CZ54" s="216" t="str">
        <f t="shared" si="195"/>
        <v>APARENTEMENTE NORMAL</v>
      </c>
      <c r="DA54" s="21">
        <v>160</v>
      </c>
      <c r="DB54" s="21">
        <v>110</v>
      </c>
      <c r="DC54" s="217" t="str">
        <f t="shared" si="12"/>
        <v>ESTUDIO INMEDIATO HTA PARA DESCARTAR PREECLAMSIA</v>
      </c>
      <c r="DD54" s="22">
        <v>44894</v>
      </c>
      <c r="DE54" s="22">
        <v>44894</v>
      </c>
      <c r="DF54" s="22">
        <v>44923</v>
      </c>
      <c r="DG54" s="22">
        <v>44959</v>
      </c>
      <c r="DH54" s="22">
        <v>44987</v>
      </c>
      <c r="DI54" s="22">
        <v>45000</v>
      </c>
      <c r="DJ54" s="22">
        <v>45031</v>
      </c>
      <c r="DK54" s="22">
        <v>45090</v>
      </c>
      <c r="DL54" s="22"/>
      <c r="DM54" s="22"/>
      <c r="DN54" s="22"/>
      <c r="DO54" s="22"/>
      <c r="DP54" s="22"/>
      <c r="DQ54" s="22"/>
      <c r="DR54" s="28">
        <v>2</v>
      </c>
      <c r="DS54" s="22"/>
      <c r="DT54" s="22"/>
      <c r="DU54" s="216" t="str">
        <f t="shared" ca="1" si="196"/>
        <v>SALE SIN PLAN DE PARTO</v>
      </c>
      <c r="DV54" s="226" t="str">
        <f t="shared" si="197"/>
        <v>SALIO PROGRAMA</v>
      </c>
      <c r="DW5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4" s="216" t="str">
        <f t="shared" ca="1" si="15"/>
        <v/>
      </c>
      <c r="DY54" s="212">
        <f>IF(R54="","",IF(R54&gt;0,MAX(Tabla1[[#This Row],[FECHA C2]:[FECHA C13]],Tabla1[[#This Row],[FECHA CONSULTA PRIMERA VEZ PROGRAMA CPN ]])))</f>
        <v>45090</v>
      </c>
      <c r="DZ54" s="216">
        <f t="shared" si="16"/>
        <v>37</v>
      </c>
      <c r="EA54" s="222">
        <f>IF(R54&gt;0,SUM(COUNTA(DF54:DQ54)+COUNTA(Tabla1[[#This Row],[FECHA CONSULTA PRIMERA VEZ PROGRAMA CPN ]])),"")</f>
        <v>7</v>
      </c>
      <c r="EB54" s="222" t="str">
        <f t="shared" si="17"/>
        <v>SI</v>
      </c>
      <c r="EC54" s="214">
        <f t="shared" si="18"/>
        <v>9</v>
      </c>
      <c r="ED54" s="227">
        <f t="shared" si="19"/>
        <v>0.77777777777777779</v>
      </c>
      <c r="EE54" s="22">
        <v>44894</v>
      </c>
      <c r="EF54" s="22">
        <v>44981</v>
      </c>
      <c r="EG54" s="22">
        <v>44894</v>
      </c>
      <c r="EH54" s="22">
        <v>44942</v>
      </c>
      <c r="EI54" s="22">
        <v>44894</v>
      </c>
      <c r="EJ54" s="22">
        <v>44942</v>
      </c>
      <c r="EK54" s="22">
        <v>45037</v>
      </c>
      <c r="EL54" s="21">
        <v>1</v>
      </c>
      <c r="EM54" s="21">
        <v>14</v>
      </c>
      <c r="EN54" s="22">
        <v>44901</v>
      </c>
      <c r="EO54" s="222">
        <f t="shared" si="20"/>
        <v>10.428571428571429</v>
      </c>
      <c r="EP54" s="214" t="str">
        <f t="shared" si="21"/>
        <v>NORMAL- SUMINISTRAR SULFATO FERROSO</v>
      </c>
      <c r="EQ54" s="216" t="str">
        <f t="shared" si="22"/>
        <v>I TRIM</v>
      </c>
      <c r="ER54" s="24"/>
      <c r="ES54" s="22"/>
      <c r="ET54" s="29" t="str">
        <f t="shared" ca="1" si="198"/>
        <v>SALE SIN TAMIZAJE HEMOGLOBINA SEM 28</v>
      </c>
      <c r="EU54" s="25" t="str">
        <f t="shared" si="24"/>
        <v/>
      </c>
      <c r="EV54" s="24" t="s">
        <v>866</v>
      </c>
      <c r="EW54" s="24">
        <v>44901</v>
      </c>
      <c r="EX54" s="22"/>
      <c r="EY54" s="29">
        <f t="shared" si="199"/>
        <v>10.428571428571429</v>
      </c>
      <c r="EZ54" s="25" t="str">
        <f t="shared" ca="1" si="200"/>
        <v/>
      </c>
      <c r="FA54" s="21">
        <v>75</v>
      </c>
      <c r="FB54" s="22">
        <v>44901</v>
      </c>
      <c r="FC54" s="29">
        <f t="shared" si="27"/>
        <v>10.428571428571429</v>
      </c>
      <c r="FD54" s="29">
        <v>62</v>
      </c>
      <c r="FE54" s="29">
        <v>98</v>
      </c>
      <c r="FF54" s="29">
        <v>101</v>
      </c>
      <c r="FG54" s="21" t="str">
        <f t="shared" ca="1" si="28"/>
        <v>NORMAL</v>
      </c>
      <c r="FH54" s="31">
        <v>45013</v>
      </c>
      <c r="FI54" s="29">
        <f t="shared" si="29"/>
        <v>26.428571428571427</v>
      </c>
      <c r="FJ54" s="22" t="s">
        <v>867</v>
      </c>
      <c r="FK54" s="22">
        <v>44901</v>
      </c>
      <c r="FL54" s="29">
        <f t="shared" ca="1" si="30"/>
        <v>10.428571428571429</v>
      </c>
      <c r="FM54" s="22" t="s">
        <v>867</v>
      </c>
      <c r="FN54" s="32">
        <v>45013</v>
      </c>
      <c r="FO54" s="29">
        <f t="shared" ca="1" si="201"/>
        <v>26.428571428571427</v>
      </c>
      <c r="FP54" s="22" t="s">
        <v>867</v>
      </c>
      <c r="FQ54" s="32">
        <v>45066</v>
      </c>
      <c r="FR54" s="29">
        <f t="shared" ca="1" si="202"/>
        <v>34</v>
      </c>
      <c r="FS54" s="22"/>
      <c r="FT54" s="32"/>
      <c r="FU54" s="29" t="str">
        <f>IF(AND(FJ54="",FM54="",FP54="",FS54=""),"",IF(OR(OR(Tabla1[[#This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4" s="28"/>
      <c r="FW54" s="22"/>
      <c r="FX54" s="29" t="str">
        <f t="shared" si="33"/>
        <v>TOMAR EXAMEN</v>
      </c>
      <c r="FY54" s="22">
        <v>44901</v>
      </c>
      <c r="FZ54" s="22">
        <v>44901</v>
      </c>
      <c r="GA54" s="29">
        <f t="shared" ca="1" si="203"/>
        <v>10.428571428571429</v>
      </c>
      <c r="GB54" s="22"/>
      <c r="GC54" s="22"/>
      <c r="GD54" s="29" t="str">
        <f t="shared" ca="1" si="204"/>
        <v>PIERDE TOMA DE TAMIZAJE</v>
      </c>
      <c r="GE54" s="22" t="s">
        <v>868</v>
      </c>
      <c r="GF54" s="22">
        <v>45066</v>
      </c>
      <c r="GG54" s="29">
        <f t="shared" ca="1" si="205"/>
        <v>34</v>
      </c>
      <c r="GH54" s="22"/>
      <c r="GI54" s="29"/>
      <c r="GJ54" s="22"/>
      <c r="GK54" s="22"/>
      <c r="GL54" s="22"/>
      <c r="GM54" s="22"/>
      <c r="GN54" s="28" t="s">
        <v>869</v>
      </c>
      <c r="GO54" s="22">
        <v>44901</v>
      </c>
      <c r="GP54" s="29">
        <f t="shared" si="37"/>
        <v>10.428571428571429</v>
      </c>
      <c r="GQ54" s="28" t="s">
        <v>869</v>
      </c>
      <c r="GR54" s="28" t="s">
        <v>869</v>
      </c>
      <c r="GS54" s="22" t="str">
        <f t="shared" si="206"/>
        <v>CONTROL Igm</v>
      </c>
      <c r="GT54" s="22">
        <v>44901</v>
      </c>
      <c r="GU54" s="29">
        <f t="shared" si="39"/>
        <v>10.428571428571429</v>
      </c>
      <c r="GV54" s="21" t="str">
        <f t="shared" si="40"/>
        <v>I TRIM</v>
      </c>
      <c r="GW54" s="28" t="s">
        <v>869</v>
      </c>
      <c r="GX54" s="30"/>
      <c r="GY54" s="21"/>
      <c r="GZ54" s="21"/>
      <c r="HA54" s="21"/>
      <c r="HB54" s="21"/>
      <c r="HC54" s="21"/>
      <c r="HD54" s="21"/>
      <c r="HE54" s="21"/>
      <c r="HF54" s="22"/>
      <c r="HG54" s="22" t="str">
        <f>IF(OR(O54&gt;0,R54&gt;0),CONCATENATE(IF(Tabla1[[#This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4" s="22" t="e">
        <f t="shared" si="41"/>
        <v>#REF!</v>
      </c>
      <c r="HI54" s="22" t="e">
        <f t="shared" ca="1" si="42"/>
        <v>#REF!</v>
      </c>
      <c r="HJ54" s="21"/>
      <c r="HK54" s="21" t="str">
        <f t="shared" si="44"/>
        <v>SIN ANTECEDENTES DE RIESGO</v>
      </c>
      <c r="HL54" s="24" t="str">
        <f t="shared" si="45"/>
        <v>ESTUDIO INMEDIATO HTA PARA DESCARTAR PREECLAMSIA</v>
      </c>
      <c r="HM54" s="21" t="str">
        <f t="shared" ca="1" si="46"/>
        <v/>
      </c>
      <c r="HN54" s="30" t="str">
        <f t="shared" si="207"/>
        <v>SALIO PROGRAMA</v>
      </c>
      <c r="HO54" s="21"/>
      <c r="HP54" s="21"/>
      <c r="HQ54" s="21">
        <v>44894</v>
      </c>
      <c r="HR54" s="21" t="str">
        <f>IF(R54="","",IF(Tabla1[[#This Row],[ALARMA FACTORES DE RIESGO COMPLICACIONES HIPERTENSIVAS3]]="SIN ANTECEDENTES DE RIESGO","No Aplica para suministro de ASA",IF(AND(Tabla1[[#This Row],[FECHA INICIO DE SUMINISTRO DE ASA]]&gt;0,RV54&lt;12),"Inicia ASA ANTES de Sem 12",IF(AND(RV54&gt;11,RV54&lt;17,OR(HK54="RIESGO ALTO DE COMPLICACIONES HIPERTENSIVAS VER MANEJO GUIA SUMINISTRO ASA Y CALCIO",HK54="RIESGO MODERADO (2 O MAS CRITERIOS) VER MANEJO GUIA SUMINISTRO ASA Y CALCIO")),"Inicio oportuno de ASA",IF(AND(RV54&gt;12,OR(HK54="RIESGO ALTO DE COMPLICACIONES HIPERTENSIVAS VER MANEJO GUIA SUMINISTRO ASA Y CALCIO",HK54="RIESGO MODERADO (2 O MAS CRITERIOS) VER MANEJO GUIA SUMINISTRO ASA Y CALCIO")),"Inicio no oportuno mayor a 16 semanas",IF(AND(BU54&lt;12,OR(HK54="RIESGO ALTO DE COMPLICACIONES HIPERTENSIVAS VER MANEJO GUIA SUMINISTRO ASA Y CALCIO",HK54="RIESGO MODERADO (2 O MAS CRITERIOS) VER MANEJO GUIA SUMINISTRO ASA Y CALCIO")),"Pendiente Inicio de ASA a la semana 12",IF(AND(BU54&gt;11,BU54&lt;17,OR(HK54="RIESGO ALTO DE COMPLICACIONES HIPERTENSIVAS VER MANEJO GUIA SUMINISTRO ASA Y CALCIO",HK54="RIESGO MODERADO (2 O MAS CRITERIOS) VER MANEJO GUIA SUMINISTRO ASA Y CALCIO")),"Iniciar de inmediato ASA",IF(AND(BU54&gt;16,OR(HK54="RIESGO ALTO DE COMPLICACIONES HIPERTENSIVAS VER MANEJO GUIA SUMINISTRO ASA Y CALCIO",HK54="RIESGO MODERADO (2 O MAS CRITERIOS) VER MANEJO GUIA SUMINISTRO ASA Y CALCIO")),"Pierde Oportunidad, Inicio tardío de ASA","XXXXX"))))))))</f>
        <v>No Aplica para suministro de ASA</v>
      </c>
      <c r="HS54" s="22">
        <v>44894</v>
      </c>
      <c r="HT54" s="22" t="s">
        <v>870</v>
      </c>
      <c r="HU54" s="22">
        <v>44894</v>
      </c>
      <c r="HV54" s="22" t="s">
        <v>870</v>
      </c>
      <c r="HW54" s="22">
        <v>44894</v>
      </c>
      <c r="HX54" s="22" t="s">
        <v>870</v>
      </c>
      <c r="HY54" s="22">
        <v>44894</v>
      </c>
      <c r="HZ54" s="28">
        <f t="shared" si="48"/>
        <v>9.4285714285714288</v>
      </c>
      <c r="IA54" s="26" t="s">
        <v>864</v>
      </c>
      <c r="IB54" s="26"/>
      <c r="IC54" s="111">
        <v>44964</v>
      </c>
      <c r="ID54" s="22">
        <v>44964</v>
      </c>
      <c r="IE54" s="22" t="str">
        <f t="shared" ca="1" si="49"/>
        <v>VACUNA APLICADA ENTRE SEMANA 20 Y SEMANA 26</v>
      </c>
      <c r="IF54" s="22"/>
      <c r="IG54" s="22">
        <f t="shared" si="50"/>
        <v>45108</v>
      </c>
      <c r="IH54" s="29">
        <f t="shared" ca="1" si="51"/>
        <v>-125</v>
      </c>
      <c r="II54" s="22" t="str">
        <f t="shared" ca="1" si="52"/>
        <v>POSIBLEMENTE NACIO</v>
      </c>
      <c r="IJ54" s="22"/>
      <c r="IK54" s="21" t="s">
        <v>1652</v>
      </c>
      <c r="IL54" s="21"/>
      <c r="IM54" s="34"/>
      <c r="IN54" s="349">
        <v>45092</v>
      </c>
      <c r="IO54" s="21" t="s">
        <v>1186</v>
      </c>
      <c r="IP54" s="29">
        <f t="shared" si="208"/>
        <v>37.714285714285715</v>
      </c>
      <c r="IQ54" s="35" t="s">
        <v>1650</v>
      </c>
      <c r="IR54" s="21" t="s">
        <v>1651</v>
      </c>
      <c r="IS54" s="21" t="s">
        <v>1646</v>
      </c>
      <c r="IT54" s="21" t="s">
        <v>1642</v>
      </c>
      <c r="IU54" s="21"/>
      <c r="IV54" s="21"/>
      <c r="IW54" s="21"/>
      <c r="IX54" s="21"/>
      <c r="IY54" s="21"/>
      <c r="IZ54" s="21"/>
      <c r="JA54" s="21"/>
      <c r="JB54" s="30">
        <v>1</v>
      </c>
      <c r="JC54" s="21" t="s">
        <v>1647</v>
      </c>
      <c r="JD54" s="36">
        <v>3320</v>
      </c>
      <c r="JE54" s="21" t="str">
        <f t="shared" si="209"/>
        <v>PESO ADECUADO EDAD GESTACIONAL</v>
      </c>
      <c r="JF54" s="30"/>
      <c r="JG54" s="21"/>
      <c r="JH54" s="21"/>
      <c r="JI54" s="21" t="s">
        <v>854</v>
      </c>
      <c r="JJ54" s="30" t="s">
        <v>866</v>
      </c>
      <c r="JK54" s="22"/>
      <c r="JL54" s="22"/>
      <c r="JM54" s="21"/>
      <c r="JN54" s="36"/>
      <c r="JO54" s="21" t="str">
        <f t="shared" si="210"/>
        <v/>
      </c>
      <c r="JP54" s="22"/>
      <c r="JQ54" s="21"/>
      <c r="JR54" s="21"/>
      <c r="JS54" s="21"/>
      <c r="JT54" s="30"/>
      <c r="JU54" s="22"/>
      <c r="JV54" s="22"/>
      <c r="JW54" s="33"/>
      <c r="JX54" s="28" t="str">
        <f t="shared" si="211"/>
        <v>INASISTENTE</v>
      </c>
      <c r="JY54" s="33"/>
      <c r="JZ54" s="28" t="str">
        <f t="shared" si="212"/>
        <v>INASISTENTE</v>
      </c>
      <c r="KA54" s="21"/>
      <c r="KB54" s="21"/>
      <c r="KC54" s="21"/>
      <c r="KD54" s="37"/>
      <c r="KE54" s="28"/>
      <c r="KF54" s="28"/>
      <c r="KG54" s="28"/>
      <c r="KH54" s="39"/>
      <c r="KI54" s="39"/>
      <c r="KJ54" s="66"/>
      <c r="KK54" s="39"/>
      <c r="KL54" s="39"/>
      <c r="KM54" s="66"/>
      <c r="KN54" s="39"/>
      <c r="KO54" s="39"/>
      <c r="KP54" s="39"/>
      <c r="KQ54" s="39"/>
      <c r="KR54" s="39"/>
      <c r="KS54" s="39"/>
      <c r="KT54" s="39"/>
      <c r="KU54" s="38"/>
      <c r="KV54" s="38"/>
      <c r="KW54" s="38"/>
      <c r="KX54" s="38"/>
      <c r="KY54" s="38"/>
      <c r="KZ54" s="38"/>
      <c r="LA54" s="38"/>
      <c r="LB54" s="38"/>
      <c r="LC54" s="38"/>
      <c r="LD54" s="38"/>
      <c r="LE54" s="38"/>
      <c r="LF54" s="38"/>
      <c r="LG54" s="38"/>
      <c r="LH54" s="38"/>
      <c r="LI54" s="38"/>
      <c r="LJ54" s="38"/>
      <c r="LK54" s="38"/>
      <c r="LL54" s="38"/>
      <c r="LM54" s="38"/>
      <c r="LN54" s="38"/>
      <c r="LO54" s="38"/>
      <c r="LP54" s="38"/>
      <c r="LQ54" s="38"/>
      <c r="LR54" s="38"/>
      <c r="LS54" s="38"/>
      <c r="LT54" s="38"/>
      <c r="LU54" s="38"/>
      <c r="LV54" s="38"/>
      <c r="LW54" s="38"/>
      <c r="LX54" s="38"/>
      <c r="LY54" s="38"/>
      <c r="LZ54" s="38"/>
      <c r="MA54" s="38"/>
      <c r="MB54" s="38"/>
      <c r="MC54" s="38"/>
      <c r="MD54" s="38"/>
      <c r="ME54" s="38"/>
      <c r="MF54" s="38"/>
      <c r="MG54" s="38"/>
      <c r="MH54" s="43">
        <f t="shared" si="213"/>
        <v>0</v>
      </c>
      <c r="MI54" s="43" t="str">
        <f t="shared" si="214"/>
        <v/>
      </c>
      <c r="MJ54" s="43" t="str">
        <f t="shared" si="215"/>
        <v/>
      </c>
      <c r="MK54" s="43">
        <f t="shared" si="216"/>
        <v>0</v>
      </c>
      <c r="ML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4" s="43">
        <f t="shared" si="217"/>
        <v>9.4285714285714288</v>
      </c>
      <c r="MN54" s="43">
        <f t="shared" si="218"/>
        <v>11</v>
      </c>
      <c r="MO54" s="43">
        <f t="shared" si="219"/>
        <v>2022</v>
      </c>
      <c r="MP54" s="43" t="str">
        <f t="shared" si="220"/>
        <v>IV TRIMESTRE AÑO</v>
      </c>
      <c r="MQ54" s="43">
        <f t="shared" si="221"/>
        <v>25.073915900131407</v>
      </c>
      <c r="MR54" s="43">
        <f t="shared" si="222"/>
        <v>0</v>
      </c>
      <c r="MS54" s="43" t="str">
        <f t="shared" si="223"/>
        <v xml:space="preserve"> DE 25 A 29 AÑOS</v>
      </c>
      <c r="MT54" s="43">
        <f t="shared" si="224"/>
        <v>0</v>
      </c>
      <c r="MU54" s="43">
        <f t="shared" si="225"/>
        <v>1</v>
      </c>
      <c r="MV54" s="43">
        <f t="shared" si="226"/>
        <v>0</v>
      </c>
      <c r="MW54" s="43">
        <f t="shared" si="227"/>
        <v>0</v>
      </c>
      <c r="MX54" s="43" t="str">
        <f t="shared" si="228"/>
        <v/>
      </c>
      <c r="MY54" s="43" t="str">
        <f t="shared" ca="1" si="229"/>
        <v/>
      </c>
      <c r="MZ54" s="43" t="str">
        <f t="shared" si="230"/>
        <v/>
      </c>
      <c r="NA54" s="43">
        <f t="shared" si="231"/>
        <v>0</v>
      </c>
      <c r="NB54" s="43" t="str">
        <f t="shared" si="232"/>
        <v/>
      </c>
      <c r="NC54" s="43" t="str">
        <f t="shared" si="233"/>
        <v/>
      </c>
      <c r="ND54" s="43">
        <f t="shared" ca="1" si="234"/>
        <v>1</v>
      </c>
      <c r="NE54" s="43">
        <f>IF(OR(O54&gt;0,R54&gt;0),SUM(COUNTIF(Tabla1[[#This Row],[AÑOS AL INICIO5 CPN]],"&gt;=40"),COUNTIF(AS54,"0"),COUNTIF(AR54,"SI"),COUNTIF(CC54,"SI"),COUNTIF(BQ54,"&gt;119"),COUNTIF(CI54,"&gt;=35")),"")</f>
        <v>0</v>
      </c>
      <c r="NF54" s="43">
        <f t="shared" si="235"/>
        <v>19.428571428571427</v>
      </c>
      <c r="NG54" s="43">
        <f t="shared" si="236"/>
        <v>0</v>
      </c>
      <c r="NH54" s="43">
        <f t="shared" si="237"/>
        <v>70</v>
      </c>
      <c r="NI5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CPN",P54="NO"),"Z",IF(AND(Tabla1[[#This Row],[CITA PROXIMO CONTROL]]="CITA MANUAL",Tabla1[[#This Row],[GESTANTES ACTUALES]]="ACTIVA INGRESO A CPN"),"W",IF(AND(Tabla1[[#This Row],[GESTANTES ACTUALES]]="SALIO PROGRAMA",IN54=""),"S",IF(AND(Tabla1[[#This Row],[CITA PROXIMO CONTROL]]&gt;0,IN54=""),(Tabla1[[#This Row],[CITA PROXIMO CONTROL]]-TODAY()),"SD"))))))))</f>
        <v>SD</v>
      </c>
      <c r="NJ54" s="43">
        <f>MONTH(Tabla1[[#This Row],[FECHA DE SALIDA  DEL PROGRAMA]])</f>
        <v>6</v>
      </c>
      <c r="NK54" s="43">
        <f>YEAR(Tabla1[[#This Row],[FECHA DE SALIDA  DEL PROGRAMA]])</f>
        <v>2023</v>
      </c>
      <c r="NL54" s="43">
        <f t="shared" si="238"/>
        <v>48</v>
      </c>
      <c r="NM54" s="43" t="str">
        <f t="shared" si="239"/>
        <v>NO</v>
      </c>
      <c r="NN54" s="43" t="str">
        <f ca="1">IF(AND(O54&gt;0,R54=""),"NO CPN",IF(AND(O54="",R54=""),"",IF(AND(R54&gt;0,Tabla1[[#This Row],[SEMANAS DE GESTACION ACTUALIZADAS]]&lt;=12),"NO APLICA",IF(AND(FH54&lt;&gt;"",FN54&lt;&gt;""),"SI","NO"))))</f>
        <v>SI</v>
      </c>
      <c r="NO54" s="43" t="str">
        <f ca="1">IF(AND(O54&gt;0,R54=""),"NO CPN",IF(AND(O54="",R54=""),"",IF(AND(R54&gt;0,Tabla1[[#This Row],[SEMANAS DE GESTACION ACTUALIZADAS]]&lt;=27),"NO APLICA",IF(AND(ES54&lt;&gt;"",FQ54&lt;&gt;"",GF54&lt;&gt;""),"SI","NO"))))</f>
        <v>NO</v>
      </c>
      <c r="NP54" s="204" t="str">
        <f t="shared" si="240"/>
        <v>I TRIM</v>
      </c>
      <c r="NQ54" s="21">
        <f t="shared" si="241"/>
        <v>3</v>
      </c>
      <c r="NR54" s="21">
        <f t="shared" si="242"/>
        <v>3</v>
      </c>
      <c r="NS54" s="205">
        <f t="shared" ca="1" si="243"/>
        <v>3</v>
      </c>
      <c r="NT54" s="21">
        <f t="shared" ca="1" si="244"/>
        <v>2</v>
      </c>
      <c r="NU54" s="21" t="str">
        <f t="shared" ca="1" si="245"/>
        <v>COMPLETO</v>
      </c>
      <c r="NV54" s="21" t="str">
        <f t="shared" ca="1" si="246"/>
        <v>INCOMPLETO</v>
      </c>
      <c r="NW54" s="206" t="str">
        <f>IF(AND(O54="",R54=""),"",IF(OR(AND(Tabla1[[#This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4" s="207" t="str">
        <f t="shared" ca="1" si="247"/>
        <v>VACUNADA</v>
      </c>
      <c r="NY54" s="43">
        <f>ROW(Tabla1[[#This Row],['# DE TAMIZAJES SIFILIS TOMADOS ]])</f>
        <v>54</v>
      </c>
      <c r="NZ54" s="43" t="str">
        <f t="shared" si="93"/>
        <v>Menor</v>
      </c>
      <c r="OA54" s="43" t="str">
        <f t="shared" si="94"/>
        <v>SOBREPESO</v>
      </c>
      <c r="OB54" s="43" t="str">
        <f t="shared" si="95"/>
        <v/>
      </c>
      <c r="OC54" s="43" t="str">
        <f t="shared" si="96"/>
        <v/>
      </c>
      <c r="OD54" s="43" t="str">
        <f t="shared" si="97"/>
        <v/>
      </c>
      <c r="OE54" s="43" t="str">
        <f t="shared" si="98"/>
        <v/>
      </c>
      <c r="OF54" s="43" t="str">
        <f t="shared" si="99"/>
        <v/>
      </c>
      <c r="OG54" s="43" t="str">
        <f t="shared" si="100"/>
        <v/>
      </c>
      <c r="OH54" s="43" t="str">
        <f t="shared" si="101"/>
        <v/>
      </c>
      <c r="OI54" s="43" t="str">
        <f t="shared" si="102"/>
        <v/>
      </c>
      <c r="OJ54" s="43" t="str">
        <f t="shared" si="103"/>
        <v/>
      </c>
      <c r="OK54" s="43" t="str">
        <f t="shared" si="104"/>
        <v/>
      </c>
      <c r="OL54" s="43" t="str">
        <f t="shared" si="105"/>
        <v/>
      </c>
      <c r="OM54" s="43" t="str">
        <f t="shared" si="106"/>
        <v/>
      </c>
      <c r="ON54" s="43" t="str">
        <f t="shared" si="107"/>
        <v/>
      </c>
      <c r="OO54" s="43" t="str">
        <f t="shared" si="108"/>
        <v/>
      </c>
      <c r="OP54" s="43" t="str">
        <f t="shared" si="109"/>
        <v/>
      </c>
      <c r="OQ54" s="43" t="str">
        <f t="shared" si="110"/>
        <v/>
      </c>
      <c r="OR54" s="43" t="str">
        <f t="shared" si="111"/>
        <v/>
      </c>
      <c r="OS54" s="43" t="str">
        <f t="shared" si="112"/>
        <v/>
      </c>
      <c r="OT54" s="43" t="str">
        <f t="shared" si="113"/>
        <v/>
      </c>
      <c r="OU54" s="43" t="str">
        <f t="shared" si="114"/>
        <v/>
      </c>
      <c r="OV54" s="110" t="str">
        <f t="shared" si="115"/>
        <v/>
      </c>
      <c r="OW54" s="43" t="str">
        <f t="shared" si="116"/>
        <v/>
      </c>
      <c r="OX54" s="43" t="str">
        <f t="shared" si="117"/>
        <v/>
      </c>
      <c r="OY54" s="43" t="str">
        <f t="shared" si="118"/>
        <v/>
      </c>
      <c r="OZ54" s="43" t="str">
        <f t="shared" si="119"/>
        <v/>
      </c>
      <c r="PA54" s="43" t="str">
        <f t="shared" si="120"/>
        <v/>
      </c>
      <c r="PB54" s="43" t="str">
        <f t="shared" si="121"/>
        <v/>
      </c>
      <c r="PC54" s="43" t="str">
        <f t="shared" si="122"/>
        <v/>
      </c>
      <c r="PD54" s="43" t="str">
        <f t="shared" si="123"/>
        <v/>
      </c>
      <c r="PE54" s="43" t="str">
        <f t="shared" si="124"/>
        <v/>
      </c>
      <c r="PF54" s="43" t="str">
        <f t="shared" si="125"/>
        <v/>
      </c>
      <c r="PG54" s="43" t="str">
        <f t="shared" si="126"/>
        <v/>
      </c>
      <c r="PH54" s="43" t="str">
        <f t="shared" si="127"/>
        <v/>
      </c>
      <c r="PI54" s="43">
        <f t="shared" si="128"/>
        <v>37</v>
      </c>
      <c r="PJ54" s="43" t="str">
        <f t="shared" si="129"/>
        <v/>
      </c>
      <c r="PK54" s="43" t="str">
        <f t="shared" si="130"/>
        <v/>
      </c>
      <c r="PL54" s="43" t="str">
        <f t="shared" si="131"/>
        <v/>
      </c>
      <c r="PM54" s="43" t="str">
        <f t="shared" si="132"/>
        <v/>
      </c>
      <c r="PN54" s="43" t="str">
        <f t="shared" si="133"/>
        <v/>
      </c>
      <c r="PO54" s="43" t="str">
        <f t="shared" si="134"/>
        <v/>
      </c>
      <c r="PP54" s="43" t="str">
        <f t="shared" si="135"/>
        <v/>
      </c>
      <c r="PQ54" s="43" t="str">
        <f t="shared" si="136"/>
        <v/>
      </c>
      <c r="PR54" s="43" t="str">
        <f t="shared" si="137"/>
        <v/>
      </c>
      <c r="PS54" s="43" t="str">
        <f t="shared" si="138"/>
        <v/>
      </c>
      <c r="PT54" s="43" t="str">
        <f t="shared" si="139"/>
        <v/>
      </c>
      <c r="PU54" s="43" t="str">
        <f t="shared" si="140"/>
        <v/>
      </c>
      <c r="PV54" s="43" t="str">
        <f t="shared" si="141"/>
        <v/>
      </c>
      <c r="PW54" s="43" t="str">
        <f t="shared" si="142"/>
        <v/>
      </c>
      <c r="PX54" s="43" t="str">
        <f t="shared" si="143"/>
        <v/>
      </c>
      <c r="PY54" s="43" t="str">
        <f t="shared" si="144"/>
        <v/>
      </c>
      <c r="PZ54" s="43" t="str">
        <f t="shared" si="145"/>
        <v/>
      </c>
      <c r="QA54" s="43" t="str">
        <f t="shared" si="146"/>
        <v/>
      </c>
      <c r="QB54" s="43" t="str">
        <f t="shared" si="147"/>
        <v/>
      </c>
      <c r="QC54" s="43" t="str">
        <f t="shared" si="148"/>
        <v/>
      </c>
      <c r="QD54" s="43" t="str">
        <f t="shared" si="149"/>
        <v/>
      </c>
      <c r="QE54" s="43" t="str">
        <f t="shared" si="150"/>
        <v/>
      </c>
      <c r="QF54" s="43" t="str">
        <f t="shared" si="151"/>
        <v/>
      </c>
      <c r="QG54" s="43" t="str">
        <f t="shared" si="152"/>
        <v/>
      </c>
      <c r="QH54" s="43" t="str">
        <f t="shared" si="153"/>
        <v/>
      </c>
      <c r="QI54" s="43" t="str">
        <f t="shared" si="154"/>
        <v/>
      </c>
      <c r="QJ54" s="43" t="str">
        <f t="shared" si="155"/>
        <v/>
      </c>
      <c r="QK54" s="43" t="str">
        <f t="shared" si="156"/>
        <v/>
      </c>
      <c r="QL54" s="43" t="str">
        <f t="shared" si="157"/>
        <v>OBESIDAD</v>
      </c>
      <c r="QM54" s="43" t="str">
        <f t="shared" si="158"/>
        <v/>
      </c>
      <c r="QN54" s="43" t="str">
        <f t="shared" si="159"/>
        <v/>
      </c>
      <c r="QO54" s="43" t="str">
        <f t="shared" si="160"/>
        <v/>
      </c>
      <c r="QP54" s="43" t="str">
        <f t="shared" si="161"/>
        <v/>
      </c>
      <c r="QQ54" s="43" t="str">
        <f t="shared" si="162"/>
        <v/>
      </c>
      <c r="QR54" s="43">
        <f t="shared" si="192"/>
        <v>37</v>
      </c>
      <c r="QS54" s="43"/>
      <c r="QT54" s="21" t="str">
        <f t="shared" si="163"/>
        <v/>
      </c>
      <c r="QU54" s="21" t="str">
        <f t="shared" si="164"/>
        <v/>
      </c>
      <c r="QV54" s="21" t="str">
        <f t="shared" si="165"/>
        <v/>
      </c>
      <c r="QW54" s="21" t="str">
        <f t="shared" si="166"/>
        <v/>
      </c>
      <c r="QX54" s="21" t="str">
        <f t="shared" si="167"/>
        <v/>
      </c>
      <c r="QY54" s="21" t="str">
        <f t="shared" si="168"/>
        <v/>
      </c>
      <c r="QZ54" s="21" t="str">
        <f t="shared" si="169"/>
        <v/>
      </c>
      <c r="RA54" s="21" t="str">
        <f t="shared" si="170"/>
        <v/>
      </c>
      <c r="RB54" s="21" t="str">
        <f t="shared" si="171"/>
        <v/>
      </c>
      <c r="RC54" s="21" t="str">
        <f t="shared" si="172"/>
        <v/>
      </c>
      <c r="RD54" s="21" t="str">
        <f t="shared" si="173"/>
        <v/>
      </c>
      <c r="RE54" s="21" t="str">
        <f t="shared" si="174"/>
        <v/>
      </c>
      <c r="RF54" s="21" t="str">
        <f t="shared" si="175"/>
        <v/>
      </c>
      <c r="RG54" s="21" t="str">
        <f t="shared" si="176"/>
        <v/>
      </c>
      <c r="RH54" s="21" t="str">
        <f t="shared" si="177"/>
        <v/>
      </c>
      <c r="RI54" s="21" t="str">
        <f t="shared" si="178"/>
        <v/>
      </c>
      <c r="RJ54" s="21" t="str">
        <f t="shared" si="179"/>
        <v/>
      </c>
      <c r="RK54" s="21" t="str">
        <f t="shared" si="180"/>
        <v/>
      </c>
      <c r="RL54" s="21" t="str">
        <f t="shared" si="181"/>
        <v/>
      </c>
      <c r="RM54" s="21" t="str">
        <f t="shared" si="182"/>
        <v/>
      </c>
      <c r="RN54" s="21" t="str">
        <f t="shared" si="183"/>
        <v/>
      </c>
      <c r="RO54" s="21" t="str">
        <f t="shared" si="184"/>
        <v/>
      </c>
      <c r="RP54" s="21" t="str">
        <f t="shared" si="185"/>
        <v/>
      </c>
      <c r="RQ54" s="21" t="str">
        <f t="shared" si="186"/>
        <v/>
      </c>
      <c r="RR54" s="21" t="str">
        <f t="shared" si="187"/>
        <v/>
      </c>
      <c r="RS54" s="21" t="str">
        <f t="shared" si="188"/>
        <v/>
      </c>
      <c r="RT54" s="21" t="str">
        <f t="shared" si="189"/>
        <v/>
      </c>
      <c r="RU54" s="21" t="str">
        <f t="shared" si="190"/>
        <v/>
      </c>
      <c r="RV54" s="21">
        <f t="shared" si="191"/>
        <v>9.4285714285714288</v>
      </c>
      <c r="RW54" s="284">
        <f>IF(OR(Tabla1[[#This Row],[FUM FORMULA CONFIABLE]]="",Tabla1[[#This Row],[FUM FORMULA CONFIABLE]]="SD"),"",IF(Tabla1[[#This Row],[FUM FORMULA CONFIABLE]]="CORREGIDA",Tabla1[[#This Row],[FUM X ECO 1]],Tabla1[[#This Row],[FUM x AMENORREA]]))</f>
        <v>44828</v>
      </c>
      <c r="RX54" s="21">
        <f>IF(AND(Tabla1[[#This Row],[FUM X ECO 1]]="",Tabla1[[#This Row],[FUM x AMENORREA]]=""),"",IF(AND(Tabla1[[#This Row],[FUM X ECO 1]]="",Tabla1[[#This Row],[FUM x AMENORREA]]&lt;&gt;""),"X",SUM(Tabla1[[#This Row],[FUM X ECO 1]]-Tabla1[[#This Row],[FUM x AMENORREA]])))</f>
        <v>0</v>
      </c>
      <c r="RY54" s="21">
        <f t="shared" si="193"/>
        <v>0</v>
      </c>
    </row>
    <row r="55" spans="1:493" ht="45" customHeight="1" x14ac:dyDescent="0.25">
      <c r="A55" s="109" t="s">
        <v>1150</v>
      </c>
      <c r="B55" s="43"/>
      <c r="C55" s="43" t="s">
        <v>845</v>
      </c>
      <c r="D55" s="124" t="s">
        <v>846</v>
      </c>
      <c r="E55" s="43" t="s">
        <v>1122</v>
      </c>
      <c r="F55" s="43" t="s">
        <v>1151</v>
      </c>
      <c r="G55" s="43" t="s">
        <v>1152</v>
      </c>
      <c r="H55" s="43"/>
      <c r="I55" s="109" t="s">
        <v>851</v>
      </c>
      <c r="J55" s="110">
        <v>1059605958</v>
      </c>
      <c r="K55" s="43" t="s">
        <v>852</v>
      </c>
      <c r="L55" s="175" t="s">
        <v>853</v>
      </c>
      <c r="M55" s="22">
        <v>35324</v>
      </c>
      <c r="N55" s="213">
        <f t="shared" ca="1" si="0"/>
        <v>27.147945205479452</v>
      </c>
      <c r="O55" s="22">
        <v>44883</v>
      </c>
      <c r="P55" s="214" t="str">
        <f t="shared" si="194"/>
        <v>SI</v>
      </c>
      <c r="Q55" s="26" t="s">
        <v>855</v>
      </c>
      <c r="R55" s="22">
        <v>44883</v>
      </c>
      <c r="S55" s="21" t="s">
        <v>856</v>
      </c>
      <c r="T55" s="24" t="s">
        <v>690</v>
      </c>
      <c r="U55" s="21" t="s">
        <v>857</v>
      </c>
      <c r="V55" s="21" t="s">
        <v>858</v>
      </c>
      <c r="W55" s="21" t="s">
        <v>1082</v>
      </c>
      <c r="X55" s="21" t="s">
        <v>1082</v>
      </c>
      <c r="Y55" s="21" t="s">
        <v>859</v>
      </c>
      <c r="Z55" s="21">
        <v>3218998859</v>
      </c>
      <c r="AA55" s="21" t="s">
        <v>860</v>
      </c>
      <c r="AB55" s="27" t="s">
        <v>861</v>
      </c>
      <c r="AC55" s="26" t="s">
        <v>862</v>
      </c>
      <c r="AD55" s="38" t="s">
        <v>1130</v>
      </c>
      <c r="AE55" s="26" t="s">
        <v>854</v>
      </c>
      <c r="AF55" s="26" t="s">
        <v>854</v>
      </c>
      <c r="AG55" s="23" t="s">
        <v>864</v>
      </c>
      <c r="AH55" s="23" t="s">
        <v>864</v>
      </c>
      <c r="AI55" s="24" t="s">
        <v>863</v>
      </c>
      <c r="AJ55" s="23" t="s">
        <v>864</v>
      </c>
      <c r="AK55" s="220" t="str">
        <f>IF(AND(AD55="",AE55="",AF55="",AG55="",AH55="",AI55="",AJ55=""),"",IF(OR(Tabla1[[#This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EVALUACIÓN",IF(AND(O55="",R55=""),"",IF(AND(OR(O55&gt;0,R55&gt;0),NG55&gt;=0,NG55&lt;2),"SIN RIESGO",IF(AND(OR(O55&gt;0,R55&gt;0),NG55&gt;=2),"CON RIESGO","ASD")))))</f>
        <v>SIN RIESGO</v>
      </c>
      <c r="AL55" s="23" t="s">
        <v>864</v>
      </c>
      <c r="AM55" s="26" t="s">
        <v>864</v>
      </c>
      <c r="AN55" s="26" t="s">
        <v>864</v>
      </c>
      <c r="AO55" s="26" t="s">
        <v>864</v>
      </c>
      <c r="AP55" s="26" t="s">
        <v>864</v>
      </c>
      <c r="AQ55" s="26" t="s">
        <v>864</v>
      </c>
      <c r="AR55" s="26" t="s">
        <v>864</v>
      </c>
      <c r="AS55" s="21">
        <v>1</v>
      </c>
      <c r="AT55" s="21">
        <v>1</v>
      </c>
      <c r="AU55" s="21">
        <v>0</v>
      </c>
      <c r="AV55" s="26" t="s">
        <v>864</v>
      </c>
      <c r="AW55" s="21">
        <v>0</v>
      </c>
      <c r="AX55" s="26" t="s">
        <v>864</v>
      </c>
      <c r="AY55" s="26" t="s">
        <v>864</v>
      </c>
      <c r="AZ55" s="26" t="s">
        <v>864</v>
      </c>
      <c r="BA55" s="26" t="s">
        <v>864</v>
      </c>
      <c r="BB55" s="26" t="s">
        <v>864</v>
      </c>
      <c r="BC55" s="26" t="s">
        <v>864</v>
      </c>
      <c r="BD55" s="26" t="s">
        <v>864</v>
      </c>
      <c r="BE55" s="26" t="s">
        <v>864</v>
      </c>
      <c r="BF55" s="26" t="s">
        <v>864</v>
      </c>
      <c r="BG55" s="26" t="s">
        <v>864</v>
      </c>
      <c r="BH55" s="26" t="s">
        <v>864</v>
      </c>
      <c r="BI55" s="26"/>
      <c r="BJ55" s="26"/>
      <c r="BK55" s="26"/>
      <c r="BL55" s="26" t="s">
        <v>864</v>
      </c>
      <c r="BM55" s="26"/>
      <c r="BN55" s="22">
        <v>42250</v>
      </c>
      <c r="BO55" s="22">
        <v>44807</v>
      </c>
      <c r="BP55" s="21" t="s">
        <v>854</v>
      </c>
      <c r="BQ55" s="222">
        <f t="shared" si="2"/>
        <v>85.233333333333334</v>
      </c>
      <c r="BR55" s="223">
        <f t="shared" si="3"/>
        <v>44808.800000000003</v>
      </c>
      <c r="BS55" s="224">
        <f t="shared" si="4"/>
        <v>10.857142857142858</v>
      </c>
      <c r="BT55" s="216" t="str">
        <f t="shared" si="5"/>
        <v>II TRIM</v>
      </c>
      <c r="BU55" s="214" t="str">
        <f t="shared" ca="1" si="6"/>
        <v/>
      </c>
      <c r="BV55" s="25"/>
      <c r="BW55" s="22">
        <v>44918</v>
      </c>
      <c r="BX55" s="28">
        <v>15.6</v>
      </c>
      <c r="BY55" s="28"/>
      <c r="BZ55" s="22">
        <v>44995</v>
      </c>
      <c r="CA55" s="21">
        <v>27</v>
      </c>
      <c r="CB55" s="26" t="s">
        <v>864</v>
      </c>
      <c r="CC55" s="26" t="s">
        <v>864</v>
      </c>
      <c r="CD55" s="26" t="s">
        <v>878</v>
      </c>
      <c r="CE55" s="26" t="s">
        <v>864</v>
      </c>
      <c r="CF55" s="22" t="s">
        <v>1517</v>
      </c>
      <c r="CG55" s="21">
        <v>1.51</v>
      </c>
      <c r="CH55" s="21">
        <v>57</v>
      </c>
      <c r="CI55" s="214">
        <f t="shared" si="7"/>
        <v>24.998903556861542</v>
      </c>
      <c r="CJ55" s="225" t="e">
        <f>IF(AND(CI55&lt;10,CH55="SD"),"SIN DATO PESO PREGESTACION O I TRIM",IF(AND(OR(R55&gt;0,O55&gt;0),CI55="X"),"INGRESAR DATO DE PESO",IF(CI55="SD","INGRESAR DATO DE TALLA Y PESO",IF(AND(OR(Tabla1[[#This Row],[MOMENTO EN QUE SE REALIZA EL PESO AL INGRESO A CPN]]="PREGESTACIÓN",NZ55="Menor"),CI55&lt;18.5),"BAJO PESO",IF(AND(OR(Tabla1[[#This Row],[MOMENTO EN QUE SE REALIZA EL PESO AL INGRESO A CPN]]="PREGESTACIÓN",NZ55="Menor"),CI55&lt;25),"NORMAL",IF(AND(OR(Tabla1[[#This Row],[MOMENTO EN QUE SE REALIZA EL PESO AL INGRESO A CPN]]="PREGESTACIÓN",NZ55="Menor"),CI55&lt;30),"SOBREPESO",IF(AND(OR(Tabla1[[#This Row],[MOMENTO EN QUE SE REALIZA EL PESO AL INGRESO A CPN]]="PREGESTACIÓN",NZ55="Menor"),CI55&gt;=30,CI55&lt;50),"OBESIDAD",IF(AND(BS55&gt;0,Tabla1[[#This Row],[MOMENTO EN QUE SE REALIZA EL PESO AL INGRESO A CPN]]="GESTACIÓN"),HLOOKUP(NZ55,$OA$2:PH55,NY55),""))))))))</f>
        <v>#REF!</v>
      </c>
      <c r="CK55" s="212">
        <f t="shared" si="8"/>
        <v>45073</v>
      </c>
      <c r="CL55" s="21">
        <v>67.3</v>
      </c>
      <c r="CM55" s="214">
        <f t="shared" si="9"/>
        <v>29.516249287311958</v>
      </c>
      <c r="CN55" s="216">
        <f t="shared" si="10"/>
        <v>38</v>
      </c>
      <c r="CO55" s="216" t="e">
        <f>IF(PI55="","",IF(PI55&gt;0,HLOOKUP(PI55,$PJ$2:QQ55,NY55),""))</f>
        <v>#REF!</v>
      </c>
      <c r="CP55" s="21">
        <v>38</v>
      </c>
      <c r="CQ55" s="216" t="e">
        <f>IF(QR55="Menor","NO APLICA-MENOR 13 SEM",IF(AND(CC55="SI",CN55&gt;23),"NO APLICA- GEMELAR",IF(QR55="","",IF(QR55&gt;0,HLOOKUP(QR55,$QS$2:RU55,NY55),""))))</f>
        <v>#REF!</v>
      </c>
      <c r="CR55" s="21">
        <v>120</v>
      </c>
      <c r="CS55" s="21">
        <v>60</v>
      </c>
      <c r="CT55" s="217" t="str">
        <f>IF(R55="","",IF(AND(BS55&gt;1,BS55&lt;12,Tabla1[[#This Row],[T.A. SISTOLICA - ANTES DE SEMANA 12]]="",Tabla1[[#This Row],[T.A. DIASTOLICA - ANTES DE SEMANA 12]]=""),"REGISTRE DATO TA ANTES SEMANA 12",IF(AND(BS55&gt;11,BS55&lt;43,Tabla1[[#This Row],[T.A. SISTOLICA - ANTES DE SEMANA 12]]="",Tabla1[[#This Row],[T.A. DIASTOLICA - ANTES DE SEMANA 12]]=""),"NO APLICA REGISTRO TA-INGRESO TARDIO",IF(AND(OR(O55&gt;0,R55&gt;0),OR(CR55&gt;=140,CS55&gt;=90)),"DEFINIR ESTADIO HTA",IF(AND(OR(O55&gt;0,R55&gt;0),AND(CR55&gt;120,CR55&lt;=139)),"PRE HTA SEGUIMIENTO",IF(AND(OR(O55&gt;0,R55&gt;0),AND(CS55&gt;80,CS55&lt;=89)),"PRE HTA SEGUIMIENTO",IF(AND(OR(O55&gt;0,R55&gt;0),AND(CR55&gt;=80,CR55&lt;=120)),"APARENTEMENTE NORMAL",IF(AND(OR(O55&gt;0,R55&gt;0),AND(CS55&gt;=50,CS55&lt;=80)),"APARENTEMENTE NORMAL",IF(AND(OR(O55&gt;0,R55&gt;0),AND(CR55&gt;1,CR55&lt;=70),AND(CS55&gt;1,CS55&lt;=40)),"HIPOTENSIÓN","")))))))))</f>
        <v>APARENTEMENTE NORMAL</v>
      </c>
      <c r="CU55" s="21">
        <v>100</v>
      </c>
      <c r="CV55" s="21">
        <v>70</v>
      </c>
      <c r="CW55" s="217" t="str">
        <f ca="1">IF(R55="","",IF(AND(CN55&gt;19,CN55&lt;27,Tabla1[[#This Row],[T.A. SISTOLICA (Entre semana 20 y 26)]]="",Tabla1[[#This Row],[T.A. DIATOLICA (Entre semana 20 y 26)]]=""),"ACUDE A CONTROL SEM 20 A 26 REGISTRE TA AHORA",IF(AND(BS55&gt;1,BS55&lt;27,BU55&gt;19,Tabla1[[#This Row],[T.A. SISTOLICA (Entre semana 20 y 26)]]="",Tabla1[[#This Row],[T.A. DIATOLICA (Entre semana 20 y 26)]]=""),"COMPLETE REGISTRO TA CONTROL SEM 20 A26 ",IF(AND(BS55&gt;26,BS55&lt;43,Tabla1[[#This Row],[T.A. SISTOLICA (Entre semana 20 y 26)]]="",Tabla1[[#This Row],[T.A. DIATOLICA (Entre semana 20 y 26)]]=""),"NO APLICA REGISTRO TA-INGRESO TARDIO",IF(AND(OR(O55&gt;0,R55&gt;0),OR(CU55&gt;=140,CV55&gt;=90)),"ALTO RIESGO PREECLAMPSIA,DEFINIR ESTADIO HTA",IF(AND(OR(O55&gt;0,R55&gt;0),AND(CU55&gt;120,CU55&lt;=139)),"PRE HTA SEGUIMIENTO,RIESGO HIPERTENSION INDUCIDA POR EL EMBARAZO",IF(AND(OR(O55&gt;0,R55&gt;0),AND(CV55&gt;80,CV55&lt;=89)),"PRE HTA SEGUIMIENTO, RIESGO HIPERTENSION INDUCIDA POR EL EMBARAZO",IF(AND(OR(O55&lt;&gt;"",R55&lt;&gt;""),CS55&lt;&gt;"",CV55&lt;&gt;"",CS55&lt;=CV55),"VIGILAR CIFRAS PRESION ARTERIAL",IF(AND(OR(O55&gt;0,R55&gt;0),AND(CU55&gt;120,CU55&lt;=139)),"PRE HTA SEGUIMIENTO",IF(AND(OR(O55&gt;0,R55&gt;0),AND(CU55&gt;1,CU55&lt;=70),AND(CV55&gt;1,CV55&lt;=40)),"HIPOTENSIÓN",IF(AND(OR(O55&lt;&gt;"",R55&lt;&gt;""),CS55&lt;&gt;"",CV55&lt;&gt;"",CS55&gt;CV55),"APARENTEMENTE NORMAL",IF(AND(OR(O55&gt;0,R55&gt;0),AND(CU55&gt;=80,CU55&lt;=120)),"APARENTEMENTE NORMAL",IF(AND(OR(O55&gt;0,R55&gt;0),AND(CV55&gt;=50,CV55&lt;=80)),"APARENTEMENTE NORMAL","")))))))))))))</f>
        <v>VIGILAR CIFRAS PRESION ARTERIAL</v>
      </c>
      <c r="CX55" s="21"/>
      <c r="CY55" s="21"/>
      <c r="CZ55" s="216" t="str">
        <f t="shared" si="195"/>
        <v/>
      </c>
      <c r="DA55" s="21">
        <v>100</v>
      </c>
      <c r="DB55" s="21">
        <v>60</v>
      </c>
      <c r="DC55" s="217" t="str">
        <f t="shared" si="12"/>
        <v>APARENTEMENTE NORMAL</v>
      </c>
      <c r="DD55" s="22">
        <v>44883</v>
      </c>
      <c r="DE55" s="22">
        <v>44883</v>
      </c>
      <c r="DF55" s="22">
        <v>44918</v>
      </c>
      <c r="DG55" s="22">
        <v>44950</v>
      </c>
      <c r="DH55" s="22">
        <v>44981</v>
      </c>
      <c r="DI55" s="22">
        <v>45010</v>
      </c>
      <c r="DJ55" s="22">
        <v>45044</v>
      </c>
      <c r="DK55" s="22">
        <v>45073</v>
      </c>
      <c r="DL55" s="22"/>
      <c r="DM55" s="22"/>
      <c r="DN55" s="22"/>
      <c r="DO55" s="22"/>
      <c r="DP55" s="22"/>
      <c r="DQ55" s="22"/>
      <c r="DR55" s="28">
        <v>3</v>
      </c>
      <c r="DS55" s="22"/>
      <c r="DT55" s="22"/>
      <c r="DU55" s="216" t="str">
        <f t="shared" ca="1" si="196"/>
        <v>SALE SIN PLAN DE PARTO</v>
      </c>
      <c r="DV55" s="226" t="str">
        <f t="shared" si="197"/>
        <v>SALIO PROGRAMA</v>
      </c>
      <c r="DW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5" s="216" t="str">
        <f t="shared" ca="1" si="15"/>
        <v/>
      </c>
      <c r="DY55" s="212">
        <f>IF(R55="","",IF(R55&gt;0,MAX(Tabla1[[#This Row],[FECHA C2]:[FECHA C13]],Tabla1[[#This Row],[FECHA CONSULTA PRIMERA VEZ PROGRAMA CPN ]])))</f>
        <v>45073</v>
      </c>
      <c r="DZ55" s="216">
        <f t="shared" si="16"/>
        <v>38</v>
      </c>
      <c r="EA55" s="222">
        <f>IF(R55&gt;0,SUM(COUNTA(DF55:DQ55)+COUNTA(Tabla1[[#This Row],[FECHA CONSULTA PRIMERA VEZ PROGRAMA CPN ]])),"")</f>
        <v>7</v>
      </c>
      <c r="EB55" s="222" t="str">
        <f t="shared" si="17"/>
        <v>SI</v>
      </c>
      <c r="EC55" s="214">
        <f t="shared" si="18"/>
        <v>9</v>
      </c>
      <c r="ED55" s="227">
        <f t="shared" si="19"/>
        <v>0.77777777777777779</v>
      </c>
      <c r="EE55" s="22">
        <v>44883</v>
      </c>
      <c r="EF55" s="22">
        <v>44918</v>
      </c>
      <c r="EG55" s="22">
        <v>44883</v>
      </c>
      <c r="EH55" s="22">
        <v>44953</v>
      </c>
      <c r="EI55" s="22">
        <v>44883</v>
      </c>
      <c r="EJ55" s="22">
        <v>44953</v>
      </c>
      <c r="EK55" s="22">
        <v>44953</v>
      </c>
      <c r="EL55" s="21">
        <v>1</v>
      </c>
      <c r="EM55" s="21">
        <v>12.7</v>
      </c>
      <c r="EN55" s="22">
        <v>44890</v>
      </c>
      <c r="EO55" s="222">
        <f t="shared" si="20"/>
        <v>11.857142857142858</v>
      </c>
      <c r="EP55" s="214" t="str">
        <f t="shared" si="21"/>
        <v>NORMAL- SUMINISTRAR SULFATO FERROSO</v>
      </c>
      <c r="EQ55" s="216" t="str">
        <f t="shared" si="22"/>
        <v>I TRIM</v>
      </c>
      <c r="ER55" s="24">
        <v>12.9</v>
      </c>
      <c r="ES55" s="22">
        <v>44950</v>
      </c>
      <c r="ET55" s="29">
        <f t="shared" ca="1" si="198"/>
        <v>20.428571428571427</v>
      </c>
      <c r="EU55" s="25" t="str">
        <f t="shared" si="24"/>
        <v>NORMAL- SUMINISTRAR SULFATO FERROSO</v>
      </c>
      <c r="EV55" s="24" t="s">
        <v>1153</v>
      </c>
      <c r="EW55" s="24">
        <v>44890</v>
      </c>
      <c r="EX55" s="22"/>
      <c r="EY55" s="29">
        <f t="shared" si="199"/>
        <v>11.857142857142858</v>
      </c>
      <c r="EZ55" s="25" t="str">
        <f t="shared" ca="1" si="200"/>
        <v/>
      </c>
      <c r="FA55" s="21">
        <v>82</v>
      </c>
      <c r="FB55" s="22">
        <v>44890</v>
      </c>
      <c r="FC55" s="29">
        <f t="shared" si="27"/>
        <v>11.857142857142858</v>
      </c>
      <c r="FD55" s="29">
        <v>60</v>
      </c>
      <c r="FE55" s="29"/>
      <c r="FF55" s="29"/>
      <c r="FG55" s="21" t="str">
        <f t="shared" ca="1" si="28"/>
        <v>NO COMPLETA EXAMEN</v>
      </c>
      <c r="FH55" s="31"/>
      <c r="FI55" s="29" t="str">
        <f t="shared" si="29"/>
        <v>TOMAR EXAMEN</v>
      </c>
      <c r="FJ55" s="22" t="s">
        <v>867</v>
      </c>
      <c r="FK55" s="22">
        <v>44890</v>
      </c>
      <c r="FL55" s="29">
        <f t="shared" ca="1" si="30"/>
        <v>11.857142857142858</v>
      </c>
      <c r="FM55" s="22" t="s">
        <v>867</v>
      </c>
      <c r="FN55" s="32">
        <v>44995</v>
      </c>
      <c r="FO55" s="29">
        <f t="shared" ca="1" si="201"/>
        <v>26.857142857142858</v>
      </c>
      <c r="FP55" s="22"/>
      <c r="FQ55" s="32"/>
      <c r="FR55" s="29" t="str">
        <f t="shared" ca="1" si="202"/>
        <v>PIERDE TOMA DE TAMIZAJE</v>
      </c>
      <c r="FS55" s="22"/>
      <c r="FT55" s="32"/>
      <c r="FU55" s="29" t="str">
        <f>IF(AND(FJ55="",FM55="",FP55="",FS55=""),"",IF(OR(OR(Tabla1[[#This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5" s="28"/>
      <c r="FW55" s="22"/>
      <c r="FX55" s="29" t="str">
        <f t="shared" si="33"/>
        <v>TOMAR EXAMEN</v>
      </c>
      <c r="FY55" s="22">
        <v>44883</v>
      </c>
      <c r="FZ55" s="22">
        <v>44883</v>
      </c>
      <c r="GA55" s="29">
        <f t="shared" ca="1" si="203"/>
        <v>10.857142857142858</v>
      </c>
      <c r="GB55" s="22" t="s">
        <v>868</v>
      </c>
      <c r="GC55" s="22">
        <v>44995</v>
      </c>
      <c r="GD55" s="29">
        <f t="shared" ca="1" si="204"/>
        <v>26.857142857142858</v>
      </c>
      <c r="GE55" s="22"/>
      <c r="GF55" s="22"/>
      <c r="GG55" s="29" t="str">
        <f t="shared" ca="1" si="205"/>
        <v>PIERDE TOMA DE TAMIZAJE</v>
      </c>
      <c r="GH55" s="22"/>
      <c r="GI55" s="29"/>
      <c r="GJ55" s="22"/>
      <c r="GK55" s="22"/>
      <c r="GL55" s="22"/>
      <c r="GM55" s="22"/>
      <c r="GN55" s="28" t="s">
        <v>869</v>
      </c>
      <c r="GO55" s="22">
        <v>44890</v>
      </c>
      <c r="GP55" s="29">
        <f t="shared" si="37"/>
        <v>11.857142857142858</v>
      </c>
      <c r="GQ55" s="28" t="s">
        <v>880</v>
      </c>
      <c r="GR55" s="28" t="s">
        <v>869</v>
      </c>
      <c r="GS55" s="22" t="str">
        <f t="shared" si="206"/>
        <v>SE EXCLUYE INFECCION</v>
      </c>
      <c r="GT55" s="22">
        <v>44883</v>
      </c>
      <c r="GU55" s="29">
        <f t="shared" si="39"/>
        <v>10.857142857142858</v>
      </c>
      <c r="GV55" s="21" t="str">
        <f t="shared" si="40"/>
        <v>I TRIM</v>
      </c>
      <c r="GW55" s="28" t="s">
        <v>869</v>
      </c>
      <c r="GX55" s="30"/>
      <c r="GY55" s="21"/>
      <c r="GZ55" s="21"/>
      <c r="HA55" s="21"/>
      <c r="HB55" s="21"/>
      <c r="HC55" s="21"/>
      <c r="HD55" s="21"/>
      <c r="HE55" s="21"/>
      <c r="HF55" s="22"/>
      <c r="HG55" s="22" t="str">
        <f>IF(OR(O55&gt;0,R55&gt;0),CONCATENATE(IF(Tabla1[[#This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5" s="22" t="e">
        <f t="shared" si="41"/>
        <v>#REF!</v>
      </c>
      <c r="HI55" s="22" t="e">
        <f t="shared" ca="1" si="42"/>
        <v>#REF!</v>
      </c>
      <c r="HJ55" s="21"/>
      <c r="HK55" s="21" t="str">
        <f t="shared" si="44"/>
        <v>SIN ANTECEDENTES DE RIESGO</v>
      </c>
      <c r="HL55" s="24" t="str">
        <f t="shared" si="45"/>
        <v>APARENTEMENTE NORMAL</v>
      </c>
      <c r="HM55" s="21" t="str">
        <f t="shared" ca="1" si="46"/>
        <v/>
      </c>
      <c r="HN55" s="30" t="str">
        <f t="shared" si="207"/>
        <v>SALIO PROGRAMA</v>
      </c>
      <c r="HO55" s="21"/>
      <c r="HP55" s="21" t="s">
        <v>879</v>
      </c>
      <c r="HQ55" s="21">
        <v>45010</v>
      </c>
      <c r="HR55" s="21" t="str">
        <f>IF(R55="","",IF(Tabla1[[#This Row],[ALARMA FACTORES DE RIESGO COMPLICACIONES HIPERTENSIVAS3]]="SIN ANTECEDENTES DE RIESGO","No Aplica para suministro de ASA",IF(AND(Tabla1[[#This Row],[FECHA INICIO DE SUMINISTRO DE ASA]]&gt;0,RV55&lt;12),"Inicia ASA ANTES de Sem 12",IF(AND(RV55&gt;11,RV55&lt;17,OR(HK55="RIESGO ALTO DE COMPLICACIONES HIPERTENSIVAS VER MANEJO GUIA SUMINISTRO ASA Y CALCIO",HK55="RIESGO MODERADO (2 O MAS CRITERIOS) VER MANEJO GUIA SUMINISTRO ASA Y CALCIO")),"Inicio oportuno de ASA",IF(AND(RV55&gt;12,OR(HK55="RIESGO ALTO DE COMPLICACIONES HIPERTENSIVAS VER MANEJO GUIA SUMINISTRO ASA Y CALCIO",HK55="RIESGO MODERADO (2 O MAS CRITERIOS) VER MANEJO GUIA SUMINISTRO ASA Y CALCIO")),"Inicio no oportuno mayor a 16 semanas",IF(AND(BU55&lt;12,OR(HK55="RIESGO ALTO DE COMPLICACIONES HIPERTENSIVAS VER MANEJO GUIA SUMINISTRO ASA Y CALCIO",HK55="RIESGO MODERADO (2 O MAS CRITERIOS) VER MANEJO GUIA SUMINISTRO ASA Y CALCIO")),"Pendiente Inicio de ASA a la semana 12",IF(AND(BU55&gt;11,BU55&lt;17,OR(HK55="RIESGO ALTO DE COMPLICACIONES HIPERTENSIVAS VER MANEJO GUIA SUMINISTRO ASA Y CALCIO",HK55="RIESGO MODERADO (2 O MAS CRITERIOS) VER MANEJO GUIA SUMINISTRO ASA Y CALCIO")),"Iniciar de inmediato ASA",IF(AND(BU55&gt;16,OR(HK55="RIESGO ALTO DE COMPLICACIONES HIPERTENSIVAS VER MANEJO GUIA SUMINISTRO ASA Y CALCIO",HK55="RIESGO MODERADO (2 O MAS CRITERIOS) VER MANEJO GUIA SUMINISTRO ASA Y CALCIO")),"Pierde Oportunidad, Inicio tardío de ASA","XXXXX"))))))))</f>
        <v>No Aplica para suministro de ASA</v>
      </c>
      <c r="HS55" s="22">
        <v>45010</v>
      </c>
      <c r="HT55" s="22" t="s">
        <v>870</v>
      </c>
      <c r="HU55" s="22">
        <v>44883</v>
      </c>
      <c r="HV55" s="22" t="s">
        <v>870</v>
      </c>
      <c r="HW55" s="22">
        <v>45010</v>
      </c>
      <c r="HX55" s="22" t="s">
        <v>870</v>
      </c>
      <c r="HY55" s="22">
        <v>44890</v>
      </c>
      <c r="HZ55" s="28">
        <f t="shared" si="48"/>
        <v>11.857142857142858</v>
      </c>
      <c r="IA55" s="26" t="s">
        <v>864</v>
      </c>
      <c r="IB55" s="26"/>
      <c r="IC55" s="111">
        <v>45273</v>
      </c>
      <c r="ID55" s="22">
        <v>45283</v>
      </c>
      <c r="IE55" s="22" t="str">
        <f t="shared" ca="1" si="49"/>
        <v>VACUNA APLICADA ENTRE SEMANA 27 Y EL PARTO</v>
      </c>
      <c r="IF55" s="22"/>
      <c r="IG55" s="22">
        <f t="shared" si="50"/>
        <v>45087</v>
      </c>
      <c r="IH55" s="29">
        <f t="shared" ca="1" si="51"/>
        <v>-146</v>
      </c>
      <c r="II55" s="22" t="str">
        <f t="shared" ca="1" si="52"/>
        <v>POSIBLEMENTE NACIO</v>
      </c>
      <c r="IJ55" s="22"/>
      <c r="IK55" s="21" t="s">
        <v>898</v>
      </c>
      <c r="IL55" s="21"/>
      <c r="IM55" s="34"/>
      <c r="IN55" s="349">
        <v>45075</v>
      </c>
      <c r="IO55" s="21" t="s">
        <v>1186</v>
      </c>
      <c r="IP55" s="29">
        <f t="shared" si="208"/>
        <v>38.285714285714285</v>
      </c>
      <c r="IQ55" s="35" t="s">
        <v>1650</v>
      </c>
      <c r="IR55" s="21" t="s">
        <v>1651</v>
      </c>
      <c r="IS55" s="21" t="s">
        <v>1646</v>
      </c>
      <c r="IT55" s="21" t="s">
        <v>1642</v>
      </c>
      <c r="IU55" s="21"/>
      <c r="IV55" s="21"/>
      <c r="IW55" s="21"/>
      <c r="IX55" s="21"/>
      <c r="IY55" s="21"/>
      <c r="IZ55" s="21"/>
      <c r="JA55" s="21"/>
      <c r="JB55" s="30">
        <v>1</v>
      </c>
      <c r="JC55" s="21" t="s">
        <v>1647</v>
      </c>
      <c r="JD55" s="36">
        <v>3380</v>
      </c>
      <c r="JE55" s="21" t="str">
        <f t="shared" si="209"/>
        <v>PESO ADECUADO EDAD GESTACIONAL</v>
      </c>
      <c r="JF55" s="30"/>
      <c r="JG55" s="21"/>
      <c r="JH55" s="21"/>
      <c r="JI55" s="21" t="s">
        <v>854</v>
      </c>
      <c r="JJ55" s="30" t="s">
        <v>866</v>
      </c>
      <c r="JK55" s="22"/>
      <c r="JL55" s="22"/>
      <c r="JM55" s="21"/>
      <c r="JN55" s="36"/>
      <c r="JO55" s="21" t="str">
        <f t="shared" si="210"/>
        <v/>
      </c>
      <c r="JP55" s="22"/>
      <c r="JQ55" s="21"/>
      <c r="JR55" s="21"/>
      <c r="JS55" s="21"/>
      <c r="JT55" s="30"/>
      <c r="JU55" s="22"/>
      <c r="JV55" s="22"/>
      <c r="JW55" s="33"/>
      <c r="JX55" s="28" t="str">
        <f t="shared" si="211"/>
        <v>INASISTENTE</v>
      </c>
      <c r="JY55" s="33"/>
      <c r="JZ55" s="28" t="str">
        <f t="shared" si="212"/>
        <v>INASISTENTE</v>
      </c>
      <c r="KA55" s="21"/>
      <c r="KB55" s="21"/>
      <c r="KC55" s="21"/>
      <c r="KD55" s="37"/>
      <c r="KE55" s="28"/>
      <c r="KF55" s="28"/>
      <c r="KG55" s="28"/>
      <c r="KH55" s="39"/>
      <c r="KI55" s="39"/>
      <c r="KJ55" s="66"/>
      <c r="KK55" s="39"/>
      <c r="KL55" s="39"/>
      <c r="KM55" s="66"/>
      <c r="KN55" s="39"/>
      <c r="KO55" s="39"/>
      <c r="KP55" s="39"/>
      <c r="KQ55" s="39"/>
      <c r="KR55" s="39"/>
      <c r="KS55" s="39"/>
      <c r="KT55" s="39"/>
      <c r="KU55" s="38"/>
      <c r="KV55" s="38"/>
      <c r="KW55" s="38"/>
      <c r="KX55" s="38"/>
      <c r="KY55" s="38"/>
      <c r="KZ55" s="38"/>
      <c r="LA55" s="38"/>
      <c r="LB55" s="38"/>
      <c r="LC55" s="38"/>
      <c r="LD55" s="38"/>
      <c r="LE55" s="38"/>
      <c r="LF55" s="38"/>
      <c r="LG55" s="38"/>
      <c r="LH55" s="38"/>
      <c r="LI55" s="38"/>
      <c r="LJ55" s="38"/>
      <c r="LK55" s="38"/>
      <c r="LL55" s="38"/>
      <c r="LM55" s="38"/>
      <c r="LN55" s="38"/>
      <c r="LO55" s="38"/>
      <c r="LP55" s="38"/>
      <c r="LQ55" s="38"/>
      <c r="LR55" s="38"/>
      <c r="LS55" s="38"/>
      <c r="LT55" s="38"/>
      <c r="LU55" s="38"/>
      <c r="LV55" s="38"/>
      <c r="LW55" s="38"/>
      <c r="LX55" s="38"/>
      <c r="LY55" s="38"/>
      <c r="LZ55" s="38"/>
      <c r="MA55" s="38"/>
      <c r="MB55" s="38"/>
      <c r="MC55" s="38"/>
      <c r="MD55" s="38"/>
      <c r="ME55" s="38"/>
      <c r="MF55" s="38"/>
      <c r="MG55" s="38"/>
      <c r="MH55" s="43">
        <f t="shared" si="213"/>
        <v>0</v>
      </c>
      <c r="MI55" s="43" t="str">
        <f t="shared" si="214"/>
        <v/>
      </c>
      <c r="MJ55" s="43" t="str">
        <f t="shared" si="215"/>
        <v/>
      </c>
      <c r="MK55" s="43">
        <f t="shared" si="216"/>
        <v>0</v>
      </c>
      <c r="ML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5" s="43">
        <f t="shared" si="217"/>
        <v>10.857142857142858</v>
      </c>
      <c r="MN55" s="43">
        <f t="shared" si="218"/>
        <v>11</v>
      </c>
      <c r="MO55" s="43">
        <f t="shared" si="219"/>
        <v>2022</v>
      </c>
      <c r="MP55" s="43" t="str">
        <f t="shared" si="220"/>
        <v>IV TRIMESTRE AÑO</v>
      </c>
      <c r="MQ55" s="43">
        <f t="shared" si="221"/>
        <v>25.793911519929917</v>
      </c>
      <c r="MR55" s="43">
        <f t="shared" si="222"/>
        <v>0</v>
      </c>
      <c r="MS55" s="43" t="str">
        <f t="shared" si="223"/>
        <v xml:space="preserve"> DE 25 A 29 AÑOS</v>
      </c>
      <c r="MT55" s="43">
        <f t="shared" si="224"/>
        <v>0</v>
      </c>
      <c r="MU55" s="43">
        <f t="shared" si="225"/>
        <v>0</v>
      </c>
      <c r="MV55" s="43">
        <f t="shared" si="226"/>
        <v>0</v>
      </c>
      <c r="MW55" s="43">
        <f t="shared" si="227"/>
        <v>0</v>
      </c>
      <c r="MX55" s="43" t="str">
        <f t="shared" si="228"/>
        <v/>
      </c>
      <c r="MY55" s="43" t="str">
        <f t="shared" ca="1" si="229"/>
        <v/>
      </c>
      <c r="MZ55" s="43" t="str">
        <f t="shared" si="230"/>
        <v/>
      </c>
      <c r="NA55" s="43">
        <f t="shared" si="231"/>
        <v>0</v>
      </c>
      <c r="NB55" s="43" t="str">
        <f t="shared" si="232"/>
        <v/>
      </c>
      <c r="NC55" s="43" t="str">
        <f t="shared" si="233"/>
        <v/>
      </c>
      <c r="ND55" s="43">
        <f t="shared" ca="1" si="234"/>
        <v>0</v>
      </c>
      <c r="NE55" s="43">
        <f>IF(OR(O55&gt;0,R55&gt;0),SUM(COUNTIF(Tabla1[[#This Row],[AÑOS AL INICIO5 CPN]],"&gt;=40"),COUNTIF(AS55,"0"),COUNTIF(AR55,"SI"),COUNTIF(CC55,"SI"),COUNTIF(BQ55,"&gt;119"),COUNTIF(CI55,"&gt;=35")),"")</f>
        <v>0</v>
      </c>
      <c r="NF55" s="43">
        <f t="shared" si="235"/>
        <v>68</v>
      </c>
      <c r="NG55" s="43">
        <f t="shared" si="236"/>
        <v>0</v>
      </c>
      <c r="NH55" s="43">
        <f t="shared" si="237"/>
        <v>109.2</v>
      </c>
      <c r="NI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CPN",P55="NO"),"Z",IF(AND(Tabla1[[#This Row],[CITA PROXIMO CONTROL]]="CITA MANUAL",Tabla1[[#This Row],[GESTANTES ACTUALES]]="ACTIVA INGRESO A CPN"),"W",IF(AND(Tabla1[[#This Row],[GESTANTES ACTUALES]]="SALIO PROGRAMA",IN55=""),"S",IF(AND(Tabla1[[#This Row],[CITA PROXIMO CONTROL]]&gt;0,IN55=""),(Tabla1[[#This Row],[CITA PROXIMO CONTROL]]-TODAY()),"SD"))))))))</f>
        <v>SD</v>
      </c>
      <c r="NJ55" s="43">
        <f>MONTH(Tabla1[[#This Row],[FECHA DE SALIDA  DEL PROGRAMA]])</f>
        <v>5</v>
      </c>
      <c r="NK55" s="43">
        <f>YEAR(Tabla1[[#This Row],[FECHA DE SALIDA  DEL PROGRAMA]])</f>
        <v>2023</v>
      </c>
      <c r="NL55" s="43">
        <f t="shared" si="238"/>
        <v>70</v>
      </c>
      <c r="NM55" s="43" t="str">
        <f t="shared" si="239"/>
        <v>NO</v>
      </c>
      <c r="NN55" s="43" t="str">
        <f ca="1">IF(AND(O55&gt;0,R55=""),"NO CPN",IF(AND(O55="",R55=""),"",IF(AND(R55&gt;0,Tabla1[[#This Row],[SEMANAS DE GESTACION ACTUALIZADAS]]&lt;=12),"NO APLICA",IF(AND(FH55&lt;&gt;"",FN55&lt;&gt;""),"SI","NO"))))</f>
        <v>NO</v>
      </c>
      <c r="NO55" s="43" t="str">
        <f ca="1">IF(AND(O55&gt;0,R55=""),"NO CPN",IF(AND(O55="",R55=""),"",IF(AND(R55&gt;0,Tabla1[[#This Row],[SEMANAS DE GESTACION ACTUALIZADAS]]&lt;=27),"NO APLICA",IF(AND(ES55&lt;&gt;"",FQ55&lt;&gt;"",GF55&lt;&gt;""),"SI","NO"))))</f>
        <v>NO</v>
      </c>
      <c r="NP55" s="204" t="str">
        <f t="shared" si="240"/>
        <v>I TRIM</v>
      </c>
      <c r="NQ55" s="21">
        <f t="shared" si="241"/>
        <v>10</v>
      </c>
      <c r="NR55" s="21">
        <f t="shared" si="242"/>
        <v>3</v>
      </c>
      <c r="NS55" s="205">
        <f t="shared" ca="1" si="243"/>
        <v>2</v>
      </c>
      <c r="NT55" s="21">
        <f t="shared" ca="1" si="244"/>
        <v>2</v>
      </c>
      <c r="NU55" s="21" t="str">
        <f t="shared" ca="1" si="245"/>
        <v>INCOMPLETO</v>
      </c>
      <c r="NV55" s="21" t="str">
        <f t="shared" ca="1" si="246"/>
        <v>INCOMPLETO</v>
      </c>
      <c r="NW55" s="206" t="str">
        <f>IF(AND(O55="",R55=""),"",IF(OR(AND(Tabla1[[#This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55" s="207" t="str">
        <f t="shared" ca="1" si="247"/>
        <v>VACUNADA</v>
      </c>
      <c r="NY55" s="43">
        <f>ROW(Tabla1[[#This Row],['# DE TAMIZAJES SIFILIS TOMADOS ]])</f>
        <v>55</v>
      </c>
      <c r="NZ55" s="43">
        <f t="shared" si="93"/>
        <v>10</v>
      </c>
      <c r="OA55" s="43" t="str">
        <f t="shared" si="94"/>
        <v/>
      </c>
      <c r="OB55" s="43" t="str">
        <f t="shared" si="95"/>
        <v>NORMAL</v>
      </c>
      <c r="OC55" s="43" t="str">
        <f t="shared" si="96"/>
        <v/>
      </c>
      <c r="OD55" s="43" t="str">
        <f t="shared" si="97"/>
        <v/>
      </c>
      <c r="OE55" s="43" t="str">
        <f t="shared" si="98"/>
        <v/>
      </c>
      <c r="OF55" s="43" t="str">
        <f t="shared" si="99"/>
        <v/>
      </c>
      <c r="OG55" s="43" t="str">
        <f t="shared" si="100"/>
        <v/>
      </c>
      <c r="OH55" s="43" t="str">
        <f t="shared" si="101"/>
        <v/>
      </c>
      <c r="OI55" s="43" t="str">
        <f t="shared" si="102"/>
        <v/>
      </c>
      <c r="OJ55" s="43" t="str">
        <f t="shared" si="103"/>
        <v/>
      </c>
      <c r="OK55" s="43" t="str">
        <f t="shared" si="104"/>
        <v/>
      </c>
      <c r="OL55" s="43" t="str">
        <f t="shared" si="105"/>
        <v/>
      </c>
      <c r="OM55" s="43" t="str">
        <f t="shared" si="106"/>
        <v/>
      </c>
      <c r="ON55" s="43" t="str">
        <f t="shared" si="107"/>
        <v/>
      </c>
      <c r="OO55" s="43" t="str">
        <f t="shared" si="108"/>
        <v/>
      </c>
      <c r="OP55" s="43" t="str">
        <f t="shared" si="109"/>
        <v/>
      </c>
      <c r="OQ55" s="43" t="str">
        <f t="shared" si="110"/>
        <v/>
      </c>
      <c r="OR55" s="43" t="str">
        <f t="shared" si="111"/>
        <v/>
      </c>
      <c r="OS55" s="43" t="str">
        <f t="shared" si="112"/>
        <v/>
      </c>
      <c r="OT55" s="43" t="str">
        <f t="shared" si="113"/>
        <v/>
      </c>
      <c r="OU55" s="43" t="str">
        <f t="shared" si="114"/>
        <v/>
      </c>
      <c r="OV55" s="110" t="str">
        <f t="shared" si="115"/>
        <v/>
      </c>
      <c r="OW55" s="43" t="str">
        <f t="shared" si="116"/>
        <v/>
      </c>
      <c r="OX55" s="43" t="str">
        <f t="shared" si="117"/>
        <v/>
      </c>
      <c r="OY55" s="43" t="str">
        <f t="shared" si="118"/>
        <v/>
      </c>
      <c r="OZ55" s="43" t="str">
        <f t="shared" si="119"/>
        <v/>
      </c>
      <c r="PA55" s="43" t="str">
        <f t="shared" si="120"/>
        <v/>
      </c>
      <c r="PB55" s="43" t="str">
        <f t="shared" si="121"/>
        <v/>
      </c>
      <c r="PC55" s="43" t="str">
        <f t="shared" si="122"/>
        <v/>
      </c>
      <c r="PD55" s="43" t="str">
        <f t="shared" si="123"/>
        <v/>
      </c>
      <c r="PE55" s="43" t="str">
        <f t="shared" si="124"/>
        <v/>
      </c>
      <c r="PF55" s="43" t="str">
        <f t="shared" si="125"/>
        <v/>
      </c>
      <c r="PG55" s="43" t="str">
        <f t="shared" si="126"/>
        <v/>
      </c>
      <c r="PH55" s="43" t="str">
        <f t="shared" si="127"/>
        <v/>
      </c>
      <c r="PI55" s="43">
        <f t="shared" si="128"/>
        <v>38</v>
      </c>
      <c r="PJ55" s="43" t="str">
        <f t="shared" si="129"/>
        <v/>
      </c>
      <c r="PK55" s="43" t="str">
        <f t="shared" si="130"/>
        <v/>
      </c>
      <c r="PL55" s="43" t="str">
        <f t="shared" si="131"/>
        <v/>
      </c>
      <c r="PM55" s="43" t="str">
        <f t="shared" si="132"/>
        <v/>
      </c>
      <c r="PN55" s="43" t="str">
        <f t="shared" si="133"/>
        <v/>
      </c>
      <c r="PO55" s="43" t="str">
        <f t="shared" si="134"/>
        <v/>
      </c>
      <c r="PP55" s="43" t="str">
        <f t="shared" si="135"/>
        <v/>
      </c>
      <c r="PQ55" s="43" t="str">
        <f t="shared" si="136"/>
        <v/>
      </c>
      <c r="PR55" s="43" t="str">
        <f t="shared" si="137"/>
        <v/>
      </c>
      <c r="PS55" s="43" t="str">
        <f t="shared" si="138"/>
        <v/>
      </c>
      <c r="PT55" s="43" t="str">
        <f t="shared" si="139"/>
        <v/>
      </c>
      <c r="PU55" s="43" t="str">
        <f t="shared" si="140"/>
        <v/>
      </c>
      <c r="PV55" s="43" t="str">
        <f t="shared" si="141"/>
        <v/>
      </c>
      <c r="PW55" s="43" t="str">
        <f t="shared" si="142"/>
        <v/>
      </c>
      <c r="PX55" s="43" t="str">
        <f t="shared" si="143"/>
        <v/>
      </c>
      <c r="PY55" s="43" t="str">
        <f t="shared" si="144"/>
        <v/>
      </c>
      <c r="PZ55" s="43" t="str">
        <f t="shared" si="145"/>
        <v/>
      </c>
      <c r="QA55" s="43" t="str">
        <f t="shared" si="146"/>
        <v/>
      </c>
      <c r="QB55" s="43" t="str">
        <f t="shared" si="147"/>
        <v/>
      </c>
      <c r="QC55" s="43" t="str">
        <f t="shared" si="148"/>
        <v/>
      </c>
      <c r="QD55" s="43" t="str">
        <f t="shared" si="149"/>
        <v/>
      </c>
      <c r="QE55" s="43" t="str">
        <f t="shared" si="150"/>
        <v/>
      </c>
      <c r="QF55" s="43" t="str">
        <f t="shared" si="151"/>
        <v/>
      </c>
      <c r="QG55" s="43" t="str">
        <f t="shared" si="152"/>
        <v/>
      </c>
      <c r="QH55" s="43" t="str">
        <f t="shared" si="153"/>
        <v/>
      </c>
      <c r="QI55" s="43" t="str">
        <f t="shared" si="154"/>
        <v/>
      </c>
      <c r="QJ55" s="43" t="str">
        <f t="shared" si="155"/>
        <v/>
      </c>
      <c r="QK55" s="43" t="str">
        <f t="shared" si="156"/>
        <v/>
      </c>
      <c r="QL55" s="43" t="str">
        <f t="shared" si="157"/>
        <v/>
      </c>
      <c r="QM55" s="43" t="str">
        <f t="shared" si="158"/>
        <v>SOBREPESO</v>
      </c>
      <c r="QN55" s="43" t="str">
        <f t="shared" si="159"/>
        <v/>
      </c>
      <c r="QO55" s="43" t="str">
        <f t="shared" si="160"/>
        <v/>
      </c>
      <c r="QP55" s="43" t="str">
        <f t="shared" si="161"/>
        <v/>
      </c>
      <c r="QQ55" s="43" t="str">
        <f t="shared" si="162"/>
        <v/>
      </c>
      <c r="QR55" s="43">
        <f t="shared" si="192"/>
        <v>38</v>
      </c>
      <c r="QS55" s="43"/>
      <c r="QT55" s="21" t="str">
        <f t="shared" si="163"/>
        <v/>
      </c>
      <c r="QU55" s="21" t="str">
        <f t="shared" si="164"/>
        <v/>
      </c>
      <c r="QV55" s="21" t="str">
        <f t="shared" si="165"/>
        <v/>
      </c>
      <c r="QW55" s="21" t="str">
        <f t="shared" si="166"/>
        <v/>
      </c>
      <c r="QX55" s="21" t="str">
        <f t="shared" si="167"/>
        <v/>
      </c>
      <c r="QY55" s="21" t="str">
        <f t="shared" si="168"/>
        <v/>
      </c>
      <c r="QZ55" s="21" t="str">
        <f t="shared" si="169"/>
        <v/>
      </c>
      <c r="RA55" s="21" t="str">
        <f t="shared" si="170"/>
        <v/>
      </c>
      <c r="RB55" s="21" t="str">
        <f t="shared" si="171"/>
        <v/>
      </c>
      <c r="RC55" s="21" t="str">
        <f t="shared" si="172"/>
        <v/>
      </c>
      <c r="RD55" s="21" t="str">
        <f t="shared" si="173"/>
        <v/>
      </c>
      <c r="RE55" s="21" t="str">
        <f t="shared" si="174"/>
        <v/>
      </c>
      <c r="RF55" s="21" t="str">
        <f t="shared" si="175"/>
        <v/>
      </c>
      <c r="RG55" s="21" t="str">
        <f t="shared" si="176"/>
        <v/>
      </c>
      <c r="RH55" s="21" t="str">
        <f t="shared" si="177"/>
        <v/>
      </c>
      <c r="RI55" s="21" t="str">
        <f t="shared" si="178"/>
        <v/>
      </c>
      <c r="RJ55" s="21" t="str">
        <f t="shared" si="179"/>
        <v/>
      </c>
      <c r="RK55" s="21" t="str">
        <f t="shared" si="180"/>
        <v/>
      </c>
      <c r="RL55" s="21" t="str">
        <f t="shared" si="181"/>
        <v/>
      </c>
      <c r="RM55" s="21" t="str">
        <f t="shared" si="182"/>
        <v/>
      </c>
      <c r="RN55" s="21" t="str">
        <f t="shared" si="183"/>
        <v/>
      </c>
      <c r="RO55" s="21" t="str">
        <f t="shared" si="184"/>
        <v/>
      </c>
      <c r="RP55" s="21" t="str">
        <f t="shared" si="185"/>
        <v/>
      </c>
      <c r="RQ55" s="21" t="str">
        <f t="shared" si="186"/>
        <v/>
      </c>
      <c r="RR55" s="21" t="str">
        <f t="shared" si="187"/>
        <v/>
      </c>
      <c r="RS55" s="21" t="str">
        <f t="shared" si="188"/>
        <v/>
      </c>
      <c r="RT55" s="21" t="str">
        <f t="shared" si="189"/>
        <v/>
      </c>
      <c r="RU55" s="21" t="str">
        <f t="shared" si="190"/>
        <v/>
      </c>
      <c r="RV55" s="21">
        <f t="shared" si="191"/>
        <v>29</v>
      </c>
      <c r="RW55" s="284">
        <f>IF(OR(Tabla1[[#This Row],[FUM FORMULA CONFIABLE]]="",Tabla1[[#This Row],[FUM FORMULA CONFIABLE]]="SD"),"",IF(Tabla1[[#This Row],[FUM FORMULA CONFIABLE]]="CORREGIDA",Tabla1[[#This Row],[FUM X ECO 1]],Tabla1[[#This Row],[FUM x AMENORREA]]))</f>
        <v>44807</v>
      </c>
      <c r="RX55" s="21">
        <f>IF(AND(Tabla1[[#This Row],[FUM X ECO 1]]="",Tabla1[[#This Row],[FUM x AMENORREA]]=""),"",IF(AND(Tabla1[[#This Row],[FUM X ECO 1]]="",Tabla1[[#This Row],[FUM x AMENORREA]]&lt;&gt;""),"X",SUM(Tabla1[[#This Row],[FUM X ECO 1]]-Tabla1[[#This Row],[FUM x AMENORREA]])))</f>
        <v>1.8000000000029104</v>
      </c>
      <c r="RY55" s="21">
        <f t="shared" si="193"/>
        <v>0</v>
      </c>
    </row>
    <row r="56" spans="1:493" ht="45" customHeight="1" x14ac:dyDescent="0.25">
      <c r="A56" s="109" t="s">
        <v>1154</v>
      </c>
      <c r="B56" s="43"/>
      <c r="C56" s="43" t="s">
        <v>845</v>
      </c>
      <c r="D56" s="124" t="s">
        <v>846</v>
      </c>
      <c r="E56" s="43" t="s">
        <v>1155</v>
      </c>
      <c r="F56" s="43" t="s">
        <v>1156</v>
      </c>
      <c r="G56" s="43" t="s">
        <v>954</v>
      </c>
      <c r="H56" s="43" t="s">
        <v>1157</v>
      </c>
      <c r="I56" s="109" t="s">
        <v>851</v>
      </c>
      <c r="J56" s="110">
        <v>1002847205</v>
      </c>
      <c r="K56" s="43" t="s">
        <v>852</v>
      </c>
      <c r="L56" s="175" t="s">
        <v>853</v>
      </c>
      <c r="M56" s="22">
        <v>36150</v>
      </c>
      <c r="N56" s="213">
        <f t="shared" ca="1" si="0"/>
        <v>24.884931506849316</v>
      </c>
      <c r="O56" s="22">
        <v>44847</v>
      </c>
      <c r="P56" s="214" t="str">
        <f t="shared" si="194"/>
        <v>SI</v>
      </c>
      <c r="Q56" s="26" t="s">
        <v>855</v>
      </c>
      <c r="R56" s="22">
        <v>44847</v>
      </c>
      <c r="S56" s="21" t="s">
        <v>856</v>
      </c>
      <c r="T56" s="24" t="s">
        <v>690</v>
      </c>
      <c r="U56" s="21" t="s">
        <v>857</v>
      </c>
      <c r="V56" s="21" t="s">
        <v>858</v>
      </c>
      <c r="W56" s="21" t="s">
        <v>1158</v>
      </c>
      <c r="X56" s="21" t="s">
        <v>1158</v>
      </c>
      <c r="Y56" s="21" t="s">
        <v>859</v>
      </c>
      <c r="Z56" s="21">
        <v>3207081003</v>
      </c>
      <c r="AA56" s="21" t="s">
        <v>860</v>
      </c>
      <c r="AB56" s="27" t="s">
        <v>861</v>
      </c>
      <c r="AC56" s="26" t="s">
        <v>877</v>
      </c>
      <c r="AD56" s="38" t="s">
        <v>846</v>
      </c>
      <c r="AE56" s="26" t="s">
        <v>854</v>
      </c>
      <c r="AF56" s="26" t="s">
        <v>854</v>
      </c>
      <c r="AG56" s="23" t="s">
        <v>864</v>
      </c>
      <c r="AH56" s="23" t="s">
        <v>864</v>
      </c>
      <c r="AI56" s="24" t="s">
        <v>863</v>
      </c>
      <c r="AJ56" s="23" t="s">
        <v>864</v>
      </c>
      <c r="AK56" s="220" t="str">
        <f>IF(AND(AD56="",AE56="",AF56="",AG56="",AH56="",AI56="",AJ56=""),"",IF(OR(Tabla1[[#This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EVALUACIÓN",IF(AND(O56="",R56=""),"",IF(AND(OR(O56&gt;0,R56&gt;0),NG56&gt;=0,NG56&lt;2),"SIN RIESGO",IF(AND(OR(O56&gt;0,R56&gt;0),NG56&gt;=2),"CON RIESGO","ASD")))))</f>
        <v>SIN RIESGO</v>
      </c>
      <c r="AL56" s="23" t="s">
        <v>864</v>
      </c>
      <c r="AM56" s="26" t="s">
        <v>864</v>
      </c>
      <c r="AN56" s="26" t="s">
        <v>864</v>
      </c>
      <c r="AO56" s="26" t="s">
        <v>864</v>
      </c>
      <c r="AP56" s="26" t="s">
        <v>864</v>
      </c>
      <c r="AQ56" s="26" t="s">
        <v>864</v>
      </c>
      <c r="AR56" s="26" t="s">
        <v>864</v>
      </c>
      <c r="AS56" s="21">
        <v>1</v>
      </c>
      <c r="AT56" s="21">
        <v>0</v>
      </c>
      <c r="AU56" s="21">
        <v>0</v>
      </c>
      <c r="AV56" s="26" t="s">
        <v>864</v>
      </c>
      <c r="AW56" s="21">
        <v>1</v>
      </c>
      <c r="AX56" s="26" t="s">
        <v>864</v>
      </c>
      <c r="AY56" s="26" t="s">
        <v>864</v>
      </c>
      <c r="AZ56" s="26" t="s">
        <v>864</v>
      </c>
      <c r="BA56" s="26" t="s">
        <v>864</v>
      </c>
      <c r="BB56" s="26" t="s">
        <v>864</v>
      </c>
      <c r="BC56" s="26" t="s">
        <v>864</v>
      </c>
      <c r="BD56" s="26" t="s">
        <v>864</v>
      </c>
      <c r="BE56" s="26" t="s">
        <v>864</v>
      </c>
      <c r="BF56" s="26" t="s">
        <v>864</v>
      </c>
      <c r="BG56" s="26" t="s">
        <v>864</v>
      </c>
      <c r="BH56" s="26" t="s">
        <v>864</v>
      </c>
      <c r="BI56" s="26" t="s">
        <v>864</v>
      </c>
      <c r="BJ56" s="26"/>
      <c r="BK56" s="26"/>
      <c r="BL56" s="26" t="s">
        <v>864</v>
      </c>
      <c r="BM56" s="26" t="s">
        <v>864</v>
      </c>
      <c r="BN56" s="22"/>
      <c r="BO56" s="22">
        <v>44817</v>
      </c>
      <c r="BP56" s="21" t="s">
        <v>854</v>
      </c>
      <c r="BQ56" s="222">
        <f t="shared" si="2"/>
        <v>0</v>
      </c>
      <c r="BR56" s="223">
        <f t="shared" si="3"/>
        <v>44817</v>
      </c>
      <c r="BS56" s="224">
        <f t="shared" si="4"/>
        <v>4.2857142857142856</v>
      </c>
      <c r="BT56" s="216" t="str">
        <f t="shared" si="5"/>
        <v>I TRIM</v>
      </c>
      <c r="BU56" s="214" t="str">
        <f t="shared" ca="1" si="6"/>
        <v/>
      </c>
      <c r="BV56" s="25"/>
      <c r="BW56" s="22">
        <v>44873</v>
      </c>
      <c r="BX56" s="28">
        <v>8</v>
      </c>
      <c r="BY56" s="28"/>
      <c r="BZ56" s="22"/>
      <c r="CA56" s="21"/>
      <c r="CB56" s="26" t="s">
        <v>864</v>
      </c>
      <c r="CC56" s="26" t="s">
        <v>864</v>
      </c>
      <c r="CD56" s="26" t="s">
        <v>878</v>
      </c>
      <c r="CE56" s="26" t="s">
        <v>864</v>
      </c>
      <c r="CF56" s="22" t="s">
        <v>1517</v>
      </c>
      <c r="CG56" s="21">
        <v>1.52</v>
      </c>
      <c r="CH56" s="21">
        <v>61</v>
      </c>
      <c r="CI56" s="214">
        <f t="shared" si="7"/>
        <v>26.402354570637119</v>
      </c>
      <c r="CJ56" s="225" t="str">
        <f>IF(AND(CI56&lt;10,CH56="SD"),"SIN DATO PESO PREGESTACION O I TRIM",IF(AND(OR(R56&gt;0,O56&gt;0),CI56="X"),"INGRESAR DATO DE PESO",IF(CI56="SD","INGRESAR DATO DE TALLA Y PESO",IF(AND(OR(Tabla1[[#This Row],[MOMENTO EN QUE SE REALIZA EL PESO AL INGRESO A CPN]]="PREGESTACIÓN",NZ56="Menor"),CI56&lt;18.5),"BAJO PESO",IF(AND(OR(Tabla1[[#This Row],[MOMENTO EN QUE SE REALIZA EL PESO AL INGRESO A CPN]]="PREGESTACIÓN",NZ56="Menor"),CI56&lt;25),"NORMAL",IF(AND(OR(Tabla1[[#This Row],[MOMENTO EN QUE SE REALIZA EL PESO AL INGRESO A CPN]]="PREGESTACIÓN",NZ56="Menor"),CI56&lt;30),"SOBREPESO",IF(AND(OR(Tabla1[[#This Row],[MOMENTO EN QUE SE REALIZA EL PESO AL INGRESO A CPN]]="PREGESTACIÓN",NZ56="Menor"),CI56&gt;=30,CI56&lt;50),"OBESIDAD",IF(AND(BS56&gt;0,Tabla1[[#This Row],[MOMENTO EN QUE SE REALIZA EL PESO AL INGRESO A CPN]]="GESTACIÓN"),HLOOKUP(NZ56,$OA$2:PH56,NY56),""))))))))</f>
        <v>SOBREPESO</v>
      </c>
      <c r="CK56" s="212">
        <f t="shared" si="8"/>
        <v>45041</v>
      </c>
      <c r="CL56" s="21"/>
      <c r="CM56" s="214">
        <f t="shared" si="9"/>
        <v>0</v>
      </c>
      <c r="CN56" s="216">
        <f t="shared" si="10"/>
        <v>32</v>
      </c>
      <c r="CO56" s="216" t="e">
        <f>IF(PI56="","",IF(PI56&gt;0,HLOOKUP(PI56,$PJ$2:QQ56,NY56),""))</f>
        <v>#REF!</v>
      </c>
      <c r="CP56" s="21"/>
      <c r="CQ56" s="216" t="e">
        <f>IF(QR56="Menor","NO APLICA-MENOR 13 SEM",IF(AND(CC56="SI",CN56&gt;23),"NO APLICA- GEMELAR",IF(QR56="","",IF(QR56&gt;0,HLOOKUP(QR56,$QS$2:RU56,NY56),""))))</f>
        <v>#REF!</v>
      </c>
      <c r="CR56" s="21">
        <v>110</v>
      </c>
      <c r="CS56" s="21">
        <v>60</v>
      </c>
      <c r="CT56" s="217" t="str">
        <f>IF(R56="","",IF(AND(BS56&gt;1,BS56&lt;12,Tabla1[[#This Row],[T.A. SISTOLICA - ANTES DE SEMANA 12]]="",Tabla1[[#This Row],[T.A. DIASTOLICA - ANTES DE SEMANA 12]]=""),"REGISTRE DATO TA ANTES SEMANA 12",IF(AND(BS56&gt;11,BS56&lt;43,Tabla1[[#This Row],[T.A. SISTOLICA - ANTES DE SEMANA 12]]="",Tabla1[[#This Row],[T.A. DIASTOLICA - ANTES DE SEMANA 12]]=""),"NO APLICA REGISTRO TA-INGRESO TARDIO",IF(AND(OR(O56&gt;0,R56&gt;0),OR(CR56&gt;=140,CS56&gt;=90)),"DEFINIR ESTADIO HTA",IF(AND(OR(O56&gt;0,R56&gt;0),AND(CR56&gt;120,CR56&lt;=139)),"PRE HTA SEGUIMIENTO",IF(AND(OR(O56&gt;0,R56&gt;0),AND(CS56&gt;80,CS56&lt;=89)),"PRE HTA SEGUIMIENTO",IF(AND(OR(O56&gt;0,R56&gt;0),AND(CR56&gt;=80,CR56&lt;=120)),"APARENTEMENTE NORMAL",IF(AND(OR(O56&gt;0,R56&gt;0),AND(CS56&gt;=50,CS56&lt;=80)),"APARENTEMENTE NORMAL",IF(AND(OR(O56&gt;0,R56&gt;0),AND(CR56&gt;1,CR56&lt;=70),AND(CS56&gt;1,CS56&lt;=40)),"HIPOTENSIÓN","")))))))))</f>
        <v>APARENTEMENTE NORMAL</v>
      </c>
      <c r="CU56" s="21"/>
      <c r="CV56" s="21"/>
      <c r="CW56" s="217" t="str">
        <f ca="1">IF(R56="","",IF(AND(CN56&gt;19,CN56&lt;27,Tabla1[[#This Row],[T.A. SISTOLICA (Entre semana 20 y 26)]]="",Tabla1[[#This Row],[T.A. DIATOLICA (Entre semana 20 y 26)]]=""),"ACUDE A CONTROL SEM 20 A 26 REGISTRE TA AHORA",IF(AND(BS56&gt;1,BS56&lt;27,BU56&gt;19,Tabla1[[#This Row],[T.A. SISTOLICA (Entre semana 20 y 26)]]="",Tabla1[[#This Row],[T.A. DIATOLICA (Entre semana 20 y 26)]]=""),"COMPLETE REGISTRO TA CONTROL SEM 20 A26 ",IF(AND(BS56&gt;26,BS56&lt;43,Tabla1[[#This Row],[T.A. SISTOLICA (Entre semana 20 y 26)]]="",Tabla1[[#This Row],[T.A. DIATOLICA (Entre semana 20 y 26)]]=""),"NO APLICA REGISTRO TA-INGRESO TARDIO",IF(AND(OR(O56&gt;0,R56&gt;0),OR(CU56&gt;=140,CV56&gt;=90)),"ALTO RIESGO PREECLAMPSIA,DEFINIR ESTADIO HTA",IF(AND(OR(O56&gt;0,R56&gt;0),AND(CU56&gt;120,CU56&lt;=139)),"PRE HTA SEGUIMIENTO,RIESGO HIPERTENSION INDUCIDA POR EL EMBARAZO",IF(AND(OR(O56&gt;0,R56&gt;0),AND(CV56&gt;80,CV56&lt;=89)),"PRE HTA SEGUIMIENTO, RIESGO HIPERTENSION INDUCIDA POR EL EMBARAZO",IF(AND(OR(O56&lt;&gt;"",R56&lt;&gt;""),CS56&lt;&gt;"",CV56&lt;&gt;"",CS56&lt;=CV56),"VIGILAR CIFRAS PRESION ARTERIAL",IF(AND(OR(O56&gt;0,R56&gt;0),AND(CU56&gt;120,CU56&lt;=139)),"PRE HTA SEGUIMIENTO",IF(AND(OR(O56&gt;0,R56&gt;0),AND(CU56&gt;1,CU56&lt;=70),AND(CV56&gt;1,CV56&lt;=40)),"HIPOTENSIÓN",IF(AND(OR(O56&lt;&gt;"",R56&lt;&gt;""),CS56&lt;&gt;"",CV56&lt;&gt;"",CS56&gt;CV56),"APARENTEMENTE NORMAL",IF(AND(OR(O56&gt;0,R56&gt;0),AND(CU56&gt;=80,CU56&lt;=120)),"APARENTEMENTE NORMAL",IF(AND(OR(O56&gt;0,R56&gt;0),AND(CV56&gt;=50,CV56&lt;=80)),"APARENTEMENTE NORMAL","")))))))))))))</f>
        <v xml:space="preserve">COMPLETE REGISTRO TA CONTROL SEM 20 A26 </v>
      </c>
      <c r="CX56" s="21">
        <v>100</v>
      </c>
      <c r="CY56" s="21">
        <v>70</v>
      </c>
      <c r="CZ56" s="216" t="str">
        <f t="shared" si="195"/>
        <v>VIGILAR CIFRAS PRESION ARTERIAL</v>
      </c>
      <c r="DA56" s="21"/>
      <c r="DB56" s="21"/>
      <c r="DC56" s="217" t="str">
        <f t="shared" si="12"/>
        <v>REGISTRE DATO PRESIÓN ARTERIAL MENSUAL</v>
      </c>
      <c r="DD56" s="22">
        <v>44847</v>
      </c>
      <c r="DE56" s="22">
        <v>44847</v>
      </c>
      <c r="DF56" s="22">
        <v>44884</v>
      </c>
      <c r="DG56" s="22">
        <v>44916</v>
      </c>
      <c r="DH56" s="22">
        <v>44947</v>
      </c>
      <c r="DI56" s="22">
        <v>45001</v>
      </c>
      <c r="DJ56" s="22">
        <v>45041</v>
      </c>
      <c r="DK56" s="22"/>
      <c r="DL56" s="22"/>
      <c r="DM56" s="22"/>
      <c r="DN56" s="22"/>
      <c r="DO56" s="22"/>
      <c r="DP56" s="22"/>
      <c r="DQ56" s="22"/>
      <c r="DR56" s="28">
        <v>3</v>
      </c>
      <c r="DS56" s="22"/>
      <c r="DT56" s="22"/>
      <c r="DU56" s="216" t="str">
        <f t="shared" ca="1" si="196"/>
        <v>SALE PROGRAMA ANTES SEMANA 35</v>
      </c>
      <c r="DV56" s="226" t="str">
        <f t="shared" si="197"/>
        <v>SALIO PROGRAMA</v>
      </c>
      <c r="DW5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6" s="216" t="str">
        <f t="shared" ca="1" si="15"/>
        <v/>
      </c>
      <c r="DY56" s="212">
        <f>IF(R56="","",IF(R56&gt;0,MAX(Tabla1[[#This Row],[FECHA C2]:[FECHA C13]],Tabla1[[#This Row],[FECHA CONSULTA PRIMERA VEZ PROGRAMA CPN ]])))</f>
        <v>45041</v>
      </c>
      <c r="DZ56" s="216">
        <f t="shared" si="16"/>
        <v>32</v>
      </c>
      <c r="EA56" s="222">
        <f>IF(R56&gt;0,SUM(COUNTA(DF56:DQ56)+COUNTA(Tabla1[[#This Row],[FECHA CONSULTA PRIMERA VEZ PROGRAMA CPN ]])),"")</f>
        <v>6</v>
      </c>
      <c r="EB56" s="222" t="str">
        <f t="shared" si="17"/>
        <v>SI</v>
      </c>
      <c r="EC56" s="214">
        <f t="shared" si="18"/>
        <v>10</v>
      </c>
      <c r="ED56" s="227">
        <f t="shared" si="19"/>
        <v>0.6</v>
      </c>
      <c r="EE56" s="22">
        <v>44847</v>
      </c>
      <c r="EF56" s="22">
        <v>44847</v>
      </c>
      <c r="EG56" s="22">
        <v>44847</v>
      </c>
      <c r="EH56" s="22"/>
      <c r="EI56" s="22">
        <v>44847</v>
      </c>
      <c r="EJ56" s="22">
        <v>44873</v>
      </c>
      <c r="EK56" s="22">
        <v>45030</v>
      </c>
      <c r="EL56" s="21">
        <v>3</v>
      </c>
      <c r="EM56" s="21">
        <v>12.5</v>
      </c>
      <c r="EN56" s="22">
        <v>44849</v>
      </c>
      <c r="EO56" s="222">
        <f t="shared" si="20"/>
        <v>4.5714285714285712</v>
      </c>
      <c r="EP56" s="214" t="str">
        <f t="shared" si="21"/>
        <v>NORMAL- SUMINISTRAR SULFATO FERROSO</v>
      </c>
      <c r="EQ56" s="216" t="str">
        <f t="shared" si="22"/>
        <v>I TRIM</v>
      </c>
      <c r="ER56" s="24"/>
      <c r="ES56" s="22"/>
      <c r="ET56" s="29" t="str">
        <f t="shared" ca="1" si="198"/>
        <v>SALE SIN TAMIZAJE HEMOGLOBINA SEM 28</v>
      </c>
      <c r="EU56" s="25" t="str">
        <f t="shared" si="24"/>
        <v/>
      </c>
      <c r="EV56" s="24" t="s">
        <v>866</v>
      </c>
      <c r="EW56" s="24">
        <v>44880</v>
      </c>
      <c r="EX56" s="22"/>
      <c r="EY56" s="29">
        <f t="shared" si="199"/>
        <v>9</v>
      </c>
      <c r="EZ56" s="25" t="str">
        <f t="shared" ca="1" si="200"/>
        <v/>
      </c>
      <c r="FA56" s="21">
        <v>83</v>
      </c>
      <c r="FB56" s="22">
        <v>44880</v>
      </c>
      <c r="FC56" s="29">
        <f t="shared" si="27"/>
        <v>9</v>
      </c>
      <c r="FD56" s="29">
        <v>68</v>
      </c>
      <c r="FE56" s="29">
        <v>151</v>
      </c>
      <c r="FF56" s="29">
        <v>149</v>
      </c>
      <c r="FG56" s="21" t="str">
        <f t="shared" ca="1" si="28"/>
        <v>NORMAL</v>
      </c>
      <c r="FH56" s="31">
        <v>45041</v>
      </c>
      <c r="FI56" s="29">
        <f t="shared" si="29"/>
        <v>32</v>
      </c>
      <c r="FJ56" s="22" t="s">
        <v>867</v>
      </c>
      <c r="FK56" s="22">
        <v>44880</v>
      </c>
      <c r="FL56" s="29">
        <f t="shared" ca="1" si="30"/>
        <v>9</v>
      </c>
      <c r="FM56" s="22"/>
      <c r="FN56" s="32"/>
      <c r="FO56" s="29" t="str">
        <f t="shared" ca="1" si="201"/>
        <v>PIERDE TOMA DE TAMIZAJE</v>
      </c>
      <c r="FP56" s="22" t="s">
        <v>867</v>
      </c>
      <c r="FQ56" s="32">
        <v>45041</v>
      </c>
      <c r="FR56" s="29">
        <f t="shared" ca="1" si="202"/>
        <v>32</v>
      </c>
      <c r="FS56" s="22"/>
      <c r="FT56" s="32"/>
      <c r="FU56" s="29" t="str">
        <f>IF(AND(FJ56="",FM56="",FP56="",FS56=""),"",IF(OR(OR(Tabla1[[#This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6" s="28"/>
      <c r="FW56" s="22"/>
      <c r="FX56" s="29" t="str">
        <f t="shared" si="33"/>
        <v>TOMAR EXAMEN</v>
      </c>
      <c r="FY56" s="22">
        <v>44880</v>
      </c>
      <c r="FZ56" s="22">
        <v>44880</v>
      </c>
      <c r="GA56" s="29">
        <f t="shared" ca="1" si="203"/>
        <v>9</v>
      </c>
      <c r="GB56" s="22"/>
      <c r="GC56" s="22"/>
      <c r="GD56" s="29" t="str">
        <f t="shared" ca="1" si="204"/>
        <v>PIERDE TOMA DE TAMIZAJE</v>
      </c>
      <c r="GE56" s="22"/>
      <c r="GF56" s="22"/>
      <c r="GG56" s="29" t="str">
        <f t="shared" ca="1" si="205"/>
        <v>PIERDE TOMA DE TAMIZAJE</v>
      </c>
      <c r="GH56" s="22"/>
      <c r="GI56" s="29"/>
      <c r="GJ56" s="22"/>
      <c r="GK56" s="22"/>
      <c r="GL56" s="22"/>
      <c r="GM56" s="22"/>
      <c r="GN56" s="28" t="s">
        <v>869</v>
      </c>
      <c r="GO56" s="22">
        <v>44880</v>
      </c>
      <c r="GP56" s="29">
        <f t="shared" si="37"/>
        <v>9</v>
      </c>
      <c r="GQ56" s="28" t="s">
        <v>869</v>
      </c>
      <c r="GR56" s="28" t="s">
        <v>869</v>
      </c>
      <c r="GS56" s="22" t="str">
        <f t="shared" si="206"/>
        <v>CONTROL Igm</v>
      </c>
      <c r="GT56" s="22">
        <v>44880</v>
      </c>
      <c r="GU56" s="29">
        <f t="shared" si="39"/>
        <v>9</v>
      </c>
      <c r="GV56" s="21" t="str">
        <f t="shared" si="40"/>
        <v>I TRIM</v>
      </c>
      <c r="GW56" s="28" t="s">
        <v>869</v>
      </c>
      <c r="GX56" s="30"/>
      <c r="GY56" s="21"/>
      <c r="GZ56" s="21"/>
      <c r="HA56" s="21"/>
      <c r="HB56" s="21"/>
      <c r="HC56" s="21"/>
      <c r="HD56" s="21"/>
      <c r="HE56" s="21"/>
      <c r="HF56" s="22"/>
      <c r="HG56" s="22" t="str">
        <f>IF(OR(O56&gt;0,R56&gt;0),CONCATENATE(IF(Tabla1[[#This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6" s="22" t="e">
        <f t="shared" si="41"/>
        <v>#REF!</v>
      </c>
      <c r="HI56" s="22" t="e">
        <f t="shared" ca="1" si="42"/>
        <v>#REF!</v>
      </c>
      <c r="HJ56" s="21"/>
      <c r="HK56" s="21" t="str">
        <f t="shared" si="44"/>
        <v>SIN ANTECEDENTES DE RIESGO</v>
      </c>
      <c r="HL56" s="24" t="str">
        <f t="shared" si="45"/>
        <v>REGISTRE DATO PRESIÓN ARTERIAL MENSUAL</v>
      </c>
      <c r="HM56" s="21" t="str">
        <f t="shared" ca="1" si="46"/>
        <v/>
      </c>
      <c r="HN56" s="30" t="str">
        <f t="shared" si="207"/>
        <v>SALIO PROGRAMA</v>
      </c>
      <c r="HO56" s="21"/>
      <c r="HP56" s="21"/>
      <c r="HQ56" s="21">
        <v>44884</v>
      </c>
      <c r="HR56" s="21" t="str">
        <f>IF(R56="","",IF(Tabla1[[#This Row],[ALARMA FACTORES DE RIESGO COMPLICACIONES HIPERTENSIVAS3]]="SIN ANTECEDENTES DE RIESGO","No Aplica para suministro de ASA",IF(AND(Tabla1[[#This Row],[FECHA INICIO DE SUMINISTRO DE ASA]]&gt;0,RV56&lt;12),"Inicia ASA ANTES de Sem 12",IF(AND(RV56&gt;11,RV56&lt;17,OR(HK56="RIESGO ALTO DE COMPLICACIONES HIPERTENSIVAS VER MANEJO GUIA SUMINISTRO ASA Y CALCIO",HK56="RIESGO MODERADO (2 O MAS CRITERIOS) VER MANEJO GUIA SUMINISTRO ASA Y CALCIO")),"Inicio oportuno de ASA",IF(AND(RV56&gt;12,OR(HK56="RIESGO ALTO DE COMPLICACIONES HIPERTENSIVAS VER MANEJO GUIA SUMINISTRO ASA Y CALCIO",HK56="RIESGO MODERADO (2 O MAS CRITERIOS) VER MANEJO GUIA SUMINISTRO ASA Y CALCIO")),"Inicio no oportuno mayor a 16 semanas",IF(AND(BU56&lt;12,OR(HK56="RIESGO ALTO DE COMPLICACIONES HIPERTENSIVAS VER MANEJO GUIA SUMINISTRO ASA Y CALCIO",HK56="RIESGO MODERADO (2 O MAS CRITERIOS) VER MANEJO GUIA SUMINISTRO ASA Y CALCIO")),"Pendiente Inicio de ASA a la semana 12",IF(AND(BU56&gt;11,BU56&lt;17,OR(HK56="RIESGO ALTO DE COMPLICACIONES HIPERTENSIVAS VER MANEJO GUIA SUMINISTRO ASA Y CALCIO",HK56="RIESGO MODERADO (2 O MAS CRITERIOS) VER MANEJO GUIA SUMINISTRO ASA Y CALCIO")),"Iniciar de inmediato ASA",IF(AND(BU56&gt;16,OR(HK56="RIESGO ALTO DE COMPLICACIONES HIPERTENSIVAS VER MANEJO GUIA SUMINISTRO ASA Y CALCIO",HK56="RIESGO MODERADO (2 O MAS CRITERIOS) VER MANEJO GUIA SUMINISTRO ASA Y CALCIO")),"Pierde Oportunidad, Inicio tardío de ASA","XXXXX"))))))))</f>
        <v>No Aplica para suministro de ASA</v>
      </c>
      <c r="HS56" s="22">
        <v>44884</v>
      </c>
      <c r="HT56" s="22" t="s">
        <v>935</v>
      </c>
      <c r="HU56" s="22">
        <v>44884</v>
      </c>
      <c r="HV56" s="22" t="s">
        <v>870</v>
      </c>
      <c r="HW56" s="22">
        <v>44884</v>
      </c>
      <c r="HX56" s="22" t="s">
        <v>935</v>
      </c>
      <c r="HY56" s="22">
        <v>44847</v>
      </c>
      <c r="HZ56" s="28">
        <f t="shared" si="48"/>
        <v>4.2857142857142856</v>
      </c>
      <c r="IA56" s="26" t="s">
        <v>864</v>
      </c>
      <c r="IB56" s="26"/>
      <c r="IC56" s="111">
        <v>44979</v>
      </c>
      <c r="ID56" s="22">
        <v>44979</v>
      </c>
      <c r="IE56" s="22" t="str">
        <f t="shared" ca="1" si="49"/>
        <v>VACUNA APLICADA ENTRE SEMANA 20 Y SEMANA 26</v>
      </c>
      <c r="IF56" s="22"/>
      <c r="IG56" s="22">
        <f t="shared" si="50"/>
        <v>45097</v>
      </c>
      <c r="IH56" s="29">
        <f t="shared" ca="1" si="51"/>
        <v>-136</v>
      </c>
      <c r="II56" s="22" t="str">
        <f t="shared" ca="1" si="52"/>
        <v>POSIBLEMENTE NACIO</v>
      </c>
      <c r="IJ56" s="22"/>
      <c r="IK56" s="21" t="s">
        <v>898</v>
      </c>
      <c r="IL56" s="21"/>
      <c r="IM56" s="34"/>
      <c r="IN56" s="349">
        <v>45056</v>
      </c>
      <c r="IO56" s="21" t="s">
        <v>1186</v>
      </c>
      <c r="IP56" s="29">
        <f t="shared" si="208"/>
        <v>34.142857142857146</v>
      </c>
      <c r="IQ56" s="110" t="s">
        <v>1654</v>
      </c>
      <c r="IR56" s="21" t="s">
        <v>1651</v>
      </c>
      <c r="IS56" s="21" t="s">
        <v>1646</v>
      </c>
      <c r="IT56" s="21" t="s">
        <v>1642</v>
      </c>
      <c r="IU56" s="21"/>
      <c r="IV56" s="21"/>
      <c r="IW56" s="21"/>
      <c r="IX56" s="21"/>
      <c r="IY56" s="21"/>
      <c r="IZ56" s="21"/>
      <c r="JA56" s="21"/>
      <c r="JB56" s="30">
        <v>1</v>
      </c>
      <c r="JC56" s="21" t="s">
        <v>1643</v>
      </c>
      <c r="JD56" s="36">
        <v>2690</v>
      </c>
      <c r="JE56" s="21" t="str">
        <f t="shared" si="209"/>
        <v>ERROR VERIFICAR DATO EDAD GESTACIONAL VS PESO</v>
      </c>
      <c r="JF56" s="30"/>
      <c r="JG56" s="21"/>
      <c r="JH56" s="21"/>
      <c r="JI56" s="21" t="s">
        <v>854</v>
      </c>
      <c r="JJ56" s="30" t="s">
        <v>866</v>
      </c>
      <c r="JK56" s="22"/>
      <c r="JL56" s="22"/>
      <c r="JM56" s="21"/>
      <c r="JN56" s="36"/>
      <c r="JO56" s="21" t="str">
        <f t="shared" si="210"/>
        <v/>
      </c>
      <c r="JP56" s="22"/>
      <c r="JQ56" s="21"/>
      <c r="JR56" s="21"/>
      <c r="JS56" s="21"/>
      <c r="JT56" s="30"/>
      <c r="JU56" s="22"/>
      <c r="JV56" s="22"/>
      <c r="JW56" s="33"/>
      <c r="JX56" s="28" t="str">
        <f t="shared" si="211"/>
        <v>INASISTENTE</v>
      </c>
      <c r="JY56" s="33"/>
      <c r="JZ56" s="28" t="str">
        <f t="shared" si="212"/>
        <v>INASISTENTE</v>
      </c>
      <c r="KA56" s="21"/>
      <c r="KB56" s="21"/>
      <c r="KC56" s="21"/>
      <c r="KD56" s="37"/>
      <c r="KE56" s="28"/>
      <c r="KF56" s="28"/>
      <c r="KG56" s="28"/>
      <c r="KH56" s="39"/>
      <c r="KI56" s="39"/>
      <c r="KJ56" s="66"/>
      <c r="KK56" s="39"/>
      <c r="KL56" s="39"/>
      <c r="KM56" s="66"/>
      <c r="KN56" s="39"/>
      <c r="KO56" s="39"/>
      <c r="KP56" s="39"/>
      <c r="KQ56" s="39"/>
      <c r="KR56" s="39"/>
      <c r="KS56" s="39"/>
      <c r="KT56" s="39"/>
      <c r="KU56" s="38"/>
      <c r="KV56" s="38"/>
      <c r="KW56" s="38"/>
      <c r="KX56" s="38"/>
      <c r="KY56" s="38"/>
      <c r="KZ56" s="38"/>
      <c r="LA56" s="38"/>
      <c r="LB56" s="38"/>
      <c r="LC56" s="38"/>
      <c r="LD56" s="38"/>
      <c r="LE56" s="38"/>
      <c r="LF56" s="38"/>
      <c r="LG56" s="38"/>
      <c r="LH56" s="38"/>
      <c r="LI56" s="38"/>
      <c r="LJ56" s="38"/>
      <c r="LK56" s="38"/>
      <c r="LL56" s="38"/>
      <c r="LM56" s="38"/>
      <c r="LN56" s="38"/>
      <c r="LO56" s="38"/>
      <c r="LP56" s="38"/>
      <c r="LQ56" s="38"/>
      <c r="LR56" s="38"/>
      <c r="LS56" s="38"/>
      <c r="LT56" s="38"/>
      <c r="LU56" s="38"/>
      <c r="LV56" s="38"/>
      <c r="LW56" s="38"/>
      <c r="LX56" s="38"/>
      <c r="LY56" s="38"/>
      <c r="LZ56" s="38"/>
      <c r="MA56" s="38"/>
      <c r="MB56" s="38"/>
      <c r="MC56" s="38"/>
      <c r="MD56" s="38"/>
      <c r="ME56" s="38"/>
      <c r="MF56" s="38"/>
      <c r="MG56" s="38"/>
      <c r="MH56" s="43">
        <f t="shared" si="213"/>
        <v>0</v>
      </c>
      <c r="MI56" s="43" t="str">
        <f t="shared" si="214"/>
        <v/>
      </c>
      <c r="MJ56" s="43" t="str">
        <f t="shared" si="215"/>
        <v/>
      </c>
      <c r="MK56" s="43">
        <f t="shared" si="216"/>
        <v>0</v>
      </c>
      <c r="ML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6" s="43">
        <f t="shared" si="217"/>
        <v>4.2857142857142856</v>
      </c>
      <c r="MN56" s="43">
        <f t="shared" si="218"/>
        <v>10</v>
      </c>
      <c r="MO56" s="43">
        <f t="shared" si="219"/>
        <v>2022</v>
      </c>
      <c r="MP56" s="43" t="str">
        <f t="shared" si="220"/>
        <v>IV TRIMESTRE AÑO</v>
      </c>
      <c r="MQ56" s="43">
        <f t="shared" si="221"/>
        <v>23.466929478756018</v>
      </c>
      <c r="MR56" s="43">
        <f t="shared" si="222"/>
        <v>0</v>
      </c>
      <c r="MS56" s="43" t="str">
        <f t="shared" si="223"/>
        <v xml:space="preserve"> DE 20 A 24 AÑOS</v>
      </c>
      <c r="MT56" s="43">
        <f t="shared" si="224"/>
        <v>0</v>
      </c>
      <c r="MU56" s="43">
        <f t="shared" si="225"/>
        <v>1</v>
      </c>
      <c r="MV56" s="43">
        <f t="shared" si="226"/>
        <v>1</v>
      </c>
      <c r="MW56" s="43">
        <f t="shared" si="227"/>
        <v>0</v>
      </c>
      <c r="MX56" s="43" t="str">
        <f t="shared" si="228"/>
        <v/>
      </c>
      <c r="MY56" s="43" t="str">
        <f t="shared" ca="1" si="229"/>
        <v/>
      </c>
      <c r="MZ56" s="43" t="str">
        <f t="shared" si="230"/>
        <v/>
      </c>
      <c r="NA56" s="43">
        <f t="shared" si="231"/>
        <v>0</v>
      </c>
      <c r="NB56" s="43" t="str">
        <f t="shared" si="232"/>
        <v/>
      </c>
      <c r="NC56" s="43" t="str">
        <f t="shared" si="233"/>
        <v/>
      </c>
      <c r="ND56" s="43">
        <f t="shared" ca="1" si="234"/>
        <v>2</v>
      </c>
      <c r="NE56" s="43">
        <f>IF(OR(O56&gt;0,R56&gt;0),SUM(COUNTIF(Tabla1[[#This Row],[AÑOS AL INICIO5 CPN]],"&gt;=40"),COUNTIF(AS56,"0"),COUNTIF(AR56,"SI"),COUNTIF(CC56,"SI"),COUNTIF(BQ56,"&gt;119"),COUNTIF(CI56,"&gt;=35")),"")</f>
        <v>0</v>
      </c>
      <c r="NF56" s="43">
        <f t="shared" si="235"/>
        <v>23.142857142857142</v>
      </c>
      <c r="NG56" s="43">
        <f t="shared" si="236"/>
        <v>0</v>
      </c>
      <c r="NH56" s="43">
        <f t="shared" si="237"/>
        <v>56</v>
      </c>
      <c r="NI5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CPN",P56="NO"),"Z",IF(AND(Tabla1[[#This Row],[CITA PROXIMO CONTROL]]="CITA MANUAL",Tabla1[[#This Row],[GESTANTES ACTUALES]]="ACTIVA INGRESO A CPN"),"W",IF(AND(Tabla1[[#This Row],[GESTANTES ACTUALES]]="SALIO PROGRAMA",IN56=""),"S",IF(AND(Tabla1[[#This Row],[CITA PROXIMO CONTROL]]&gt;0,IN56=""),(Tabla1[[#This Row],[CITA PROXIMO CONTROL]]-TODAY()),"SD"))))))))</f>
        <v>SD</v>
      </c>
      <c r="NJ56" s="43">
        <f>MONTH(Tabla1[[#This Row],[FECHA DE SALIDA  DEL PROGRAMA]])</f>
        <v>5</v>
      </c>
      <c r="NK56" s="43">
        <f>YEAR(Tabla1[[#This Row],[FECHA DE SALIDA  DEL PROGRAMA]])</f>
        <v>2023</v>
      </c>
      <c r="NL56" s="43">
        <f t="shared" si="238"/>
        <v>26</v>
      </c>
      <c r="NM56" s="43" t="str">
        <f t="shared" si="239"/>
        <v>NO</v>
      </c>
      <c r="NN56" s="43" t="str">
        <f ca="1">IF(AND(O56&gt;0,R56=""),"NO CPN",IF(AND(O56="",R56=""),"",IF(AND(R56&gt;0,Tabla1[[#This Row],[SEMANAS DE GESTACION ACTUALIZADAS]]&lt;=12),"NO APLICA",IF(AND(FH56&lt;&gt;"",FN56&lt;&gt;""),"SI","NO"))))</f>
        <v>NO</v>
      </c>
      <c r="NO56" s="43" t="str">
        <f ca="1">IF(AND(O56&gt;0,R56=""),"NO CPN",IF(AND(O56="",R56=""),"",IF(AND(R56&gt;0,Tabla1[[#This Row],[SEMANAS DE GESTACION ACTUALIZADAS]]&lt;=27),"NO APLICA",IF(AND(ES56&lt;&gt;"",FQ56&lt;&gt;"",GF56&lt;&gt;""),"SI","NO"))))</f>
        <v>NO</v>
      </c>
      <c r="NP56" s="204" t="str">
        <f t="shared" si="240"/>
        <v>I TRIM</v>
      </c>
      <c r="NQ56" s="21" t="str">
        <f t="shared" si="241"/>
        <v/>
      </c>
      <c r="NR56" s="21">
        <f t="shared" si="242"/>
        <v>3</v>
      </c>
      <c r="NS56" s="205">
        <f t="shared" ca="1" si="243"/>
        <v>2</v>
      </c>
      <c r="NT56" s="21">
        <f t="shared" ca="1" si="244"/>
        <v>1</v>
      </c>
      <c r="NU56" s="21" t="str">
        <f t="shared" ca="1" si="245"/>
        <v>INCOMPLETO</v>
      </c>
      <c r="NV56" s="21" t="str">
        <f t="shared" ca="1" si="246"/>
        <v>INCOMPLETO</v>
      </c>
      <c r="NW56" s="206" t="str">
        <f>IF(AND(O56="",R56=""),"",IF(OR(AND(Tabla1[[#This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6" s="207" t="str">
        <f t="shared" ca="1" si="247"/>
        <v>VACUNADA</v>
      </c>
      <c r="NY56" s="43">
        <f>ROW(Tabla1[[#This Row],['# DE TAMIZAJES SIFILIS TOMADOS ]])</f>
        <v>56</v>
      </c>
      <c r="NZ56" s="43" t="str">
        <f t="shared" si="93"/>
        <v>Menor</v>
      </c>
      <c r="OA56" s="43" t="str">
        <f t="shared" si="94"/>
        <v>SOBREPESO</v>
      </c>
      <c r="OB56" s="43" t="str">
        <f t="shared" si="95"/>
        <v/>
      </c>
      <c r="OC56" s="43" t="str">
        <f t="shared" si="96"/>
        <v/>
      </c>
      <c r="OD56" s="43" t="str">
        <f t="shared" si="97"/>
        <v/>
      </c>
      <c r="OE56" s="43" t="str">
        <f t="shared" si="98"/>
        <v/>
      </c>
      <c r="OF56" s="43" t="str">
        <f t="shared" si="99"/>
        <v/>
      </c>
      <c r="OG56" s="43" t="str">
        <f t="shared" si="100"/>
        <v/>
      </c>
      <c r="OH56" s="43" t="str">
        <f t="shared" si="101"/>
        <v/>
      </c>
      <c r="OI56" s="43" t="str">
        <f t="shared" si="102"/>
        <v/>
      </c>
      <c r="OJ56" s="43" t="str">
        <f t="shared" si="103"/>
        <v/>
      </c>
      <c r="OK56" s="43" t="str">
        <f t="shared" si="104"/>
        <v/>
      </c>
      <c r="OL56" s="43" t="str">
        <f t="shared" si="105"/>
        <v/>
      </c>
      <c r="OM56" s="43" t="str">
        <f t="shared" si="106"/>
        <v/>
      </c>
      <c r="ON56" s="43" t="str">
        <f t="shared" si="107"/>
        <v/>
      </c>
      <c r="OO56" s="43" t="str">
        <f t="shared" si="108"/>
        <v/>
      </c>
      <c r="OP56" s="43" t="str">
        <f t="shared" si="109"/>
        <v/>
      </c>
      <c r="OQ56" s="43" t="str">
        <f t="shared" si="110"/>
        <v/>
      </c>
      <c r="OR56" s="43" t="str">
        <f t="shared" si="111"/>
        <v/>
      </c>
      <c r="OS56" s="43" t="str">
        <f t="shared" si="112"/>
        <v/>
      </c>
      <c r="OT56" s="43" t="str">
        <f t="shared" si="113"/>
        <v/>
      </c>
      <c r="OU56" s="43" t="str">
        <f t="shared" si="114"/>
        <v/>
      </c>
      <c r="OV56" s="110" t="str">
        <f t="shared" si="115"/>
        <v/>
      </c>
      <c r="OW56" s="43" t="str">
        <f t="shared" si="116"/>
        <v/>
      </c>
      <c r="OX56" s="43" t="str">
        <f t="shared" si="117"/>
        <v/>
      </c>
      <c r="OY56" s="43" t="str">
        <f t="shared" si="118"/>
        <v/>
      </c>
      <c r="OZ56" s="43" t="str">
        <f t="shared" si="119"/>
        <v/>
      </c>
      <c r="PA56" s="43" t="str">
        <f t="shared" si="120"/>
        <v/>
      </c>
      <c r="PB56" s="43" t="str">
        <f t="shared" si="121"/>
        <v/>
      </c>
      <c r="PC56" s="43" t="str">
        <f t="shared" si="122"/>
        <v/>
      </c>
      <c r="PD56" s="43" t="str">
        <f t="shared" si="123"/>
        <v/>
      </c>
      <c r="PE56" s="43" t="str">
        <f t="shared" si="124"/>
        <v/>
      </c>
      <c r="PF56" s="43" t="str">
        <f t="shared" si="125"/>
        <v/>
      </c>
      <c r="PG56" s="43" t="str">
        <f t="shared" si="126"/>
        <v/>
      </c>
      <c r="PH56" s="43" t="str">
        <f t="shared" si="127"/>
        <v/>
      </c>
      <c r="PI56" s="43">
        <f t="shared" si="128"/>
        <v>32</v>
      </c>
      <c r="PJ56" s="43" t="str">
        <f t="shared" si="129"/>
        <v/>
      </c>
      <c r="PK56" s="43" t="str">
        <f t="shared" si="130"/>
        <v/>
      </c>
      <c r="PL56" s="43" t="str">
        <f t="shared" si="131"/>
        <v/>
      </c>
      <c r="PM56" s="43" t="str">
        <f t="shared" si="132"/>
        <v/>
      </c>
      <c r="PN56" s="43" t="str">
        <f t="shared" si="133"/>
        <v/>
      </c>
      <c r="PO56" s="43" t="str">
        <f t="shared" si="134"/>
        <v/>
      </c>
      <c r="PP56" s="43" t="str">
        <f t="shared" si="135"/>
        <v/>
      </c>
      <c r="PQ56" s="43" t="str">
        <f t="shared" si="136"/>
        <v/>
      </c>
      <c r="PR56" s="43" t="str">
        <f t="shared" si="137"/>
        <v/>
      </c>
      <c r="PS56" s="43" t="str">
        <f t="shared" si="138"/>
        <v/>
      </c>
      <c r="PT56" s="43" t="str">
        <f t="shared" si="139"/>
        <v/>
      </c>
      <c r="PU56" s="43" t="str">
        <f t="shared" si="140"/>
        <v/>
      </c>
      <c r="PV56" s="43" t="str">
        <f t="shared" si="141"/>
        <v/>
      </c>
      <c r="PW56" s="43" t="str">
        <f t="shared" si="142"/>
        <v/>
      </c>
      <c r="PX56" s="43" t="str">
        <f t="shared" si="143"/>
        <v/>
      </c>
      <c r="PY56" s="43" t="str">
        <f t="shared" si="144"/>
        <v/>
      </c>
      <c r="PZ56" s="43" t="str">
        <f t="shared" si="145"/>
        <v/>
      </c>
      <c r="QA56" s="43" t="str">
        <f t="shared" si="146"/>
        <v/>
      </c>
      <c r="QB56" s="43" t="str">
        <f t="shared" si="147"/>
        <v/>
      </c>
      <c r="QC56" s="43" t="str">
        <f t="shared" si="148"/>
        <v/>
      </c>
      <c r="QD56" s="43" t="str">
        <f t="shared" si="149"/>
        <v/>
      </c>
      <c r="QE56" s="43" t="str">
        <f t="shared" si="150"/>
        <v/>
      </c>
      <c r="QF56" s="43" t="str">
        <f t="shared" si="151"/>
        <v/>
      </c>
      <c r="QG56" s="43" t="str">
        <f t="shared" si="152"/>
        <v/>
      </c>
      <c r="QH56" s="43" t="str">
        <f t="shared" si="153"/>
        <v/>
      </c>
      <c r="QI56" s="43" t="str">
        <f t="shared" si="154"/>
        <v/>
      </c>
      <c r="QJ56" s="43" t="str">
        <f t="shared" si="155"/>
        <v/>
      </c>
      <c r="QK56" s="43" t="str">
        <f t="shared" si="156"/>
        <v/>
      </c>
      <c r="QL56" s="43" t="str">
        <f t="shared" si="157"/>
        <v/>
      </c>
      <c r="QM56" s="43" t="str">
        <f t="shared" si="158"/>
        <v/>
      </c>
      <c r="QN56" s="43" t="str">
        <f t="shared" si="159"/>
        <v/>
      </c>
      <c r="QO56" s="43" t="str">
        <f t="shared" si="160"/>
        <v/>
      </c>
      <c r="QP56" s="43" t="str">
        <f t="shared" si="161"/>
        <v/>
      </c>
      <c r="QQ56" s="43" t="str">
        <f t="shared" si="162"/>
        <v/>
      </c>
      <c r="QR56" s="43">
        <f t="shared" si="192"/>
        <v>32</v>
      </c>
      <c r="QS56" s="43"/>
      <c r="QT56" s="21" t="str">
        <f t="shared" si="163"/>
        <v/>
      </c>
      <c r="QU56" s="21" t="str">
        <f t="shared" si="164"/>
        <v/>
      </c>
      <c r="QV56" s="21" t="str">
        <f t="shared" si="165"/>
        <v/>
      </c>
      <c r="QW56" s="21" t="str">
        <f t="shared" si="166"/>
        <v/>
      </c>
      <c r="QX56" s="21" t="str">
        <f t="shared" si="167"/>
        <v/>
      </c>
      <c r="QY56" s="21" t="str">
        <f t="shared" si="168"/>
        <v/>
      </c>
      <c r="QZ56" s="21" t="str">
        <f t="shared" si="169"/>
        <v/>
      </c>
      <c r="RA56" s="21" t="str">
        <f t="shared" si="170"/>
        <v/>
      </c>
      <c r="RB56" s="21" t="str">
        <f t="shared" si="171"/>
        <v/>
      </c>
      <c r="RC56" s="21" t="str">
        <f t="shared" si="172"/>
        <v/>
      </c>
      <c r="RD56" s="21" t="str">
        <f t="shared" si="173"/>
        <v/>
      </c>
      <c r="RE56" s="21" t="str">
        <f t="shared" si="174"/>
        <v/>
      </c>
      <c r="RF56" s="21" t="str">
        <f t="shared" si="175"/>
        <v/>
      </c>
      <c r="RG56" s="21" t="str">
        <f t="shared" si="176"/>
        <v/>
      </c>
      <c r="RH56" s="21" t="str">
        <f t="shared" si="177"/>
        <v/>
      </c>
      <c r="RI56" s="21" t="str">
        <f t="shared" si="178"/>
        <v/>
      </c>
      <c r="RJ56" s="21" t="str">
        <f t="shared" si="179"/>
        <v/>
      </c>
      <c r="RK56" s="21" t="str">
        <f t="shared" si="180"/>
        <v/>
      </c>
      <c r="RL56" s="21" t="str">
        <f t="shared" si="181"/>
        <v/>
      </c>
      <c r="RM56" s="21" t="str">
        <f t="shared" si="182"/>
        <v/>
      </c>
      <c r="RN56" s="21" t="str">
        <f t="shared" si="183"/>
        <v/>
      </c>
      <c r="RO56" s="21" t="str">
        <f t="shared" si="184"/>
        <v/>
      </c>
      <c r="RP56" s="21" t="str">
        <f t="shared" si="185"/>
        <v/>
      </c>
      <c r="RQ56" s="21" t="str">
        <f t="shared" si="186"/>
        <v/>
      </c>
      <c r="RR56" s="21" t="str">
        <f t="shared" si="187"/>
        <v/>
      </c>
      <c r="RS56" s="21" t="str">
        <f t="shared" si="188"/>
        <v/>
      </c>
      <c r="RT56" s="21" t="str">
        <f t="shared" si="189"/>
        <v/>
      </c>
      <c r="RU56" s="21" t="str">
        <f t="shared" si="190"/>
        <v/>
      </c>
      <c r="RV56" s="21">
        <f t="shared" si="191"/>
        <v>9.5714285714285712</v>
      </c>
      <c r="RW56" s="284">
        <f>IF(OR(Tabla1[[#This Row],[FUM FORMULA CONFIABLE]]="",Tabla1[[#This Row],[FUM FORMULA CONFIABLE]]="SD"),"",IF(Tabla1[[#This Row],[FUM FORMULA CONFIABLE]]="CORREGIDA",Tabla1[[#This Row],[FUM X ECO 1]],Tabla1[[#This Row],[FUM x AMENORREA]]))</f>
        <v>44817</v>
      </c>
      <c r="RX56" s="21">
        <f>IF(AND(Tabla1[[#This Row],[FUM X ECO 1]]="",Tabla1[[#This Row],[FUM x AMENORREA]]=""),"",IF(AND(Tabla1[[#This Row],[FUM X ECO 1]]="",Tabla1[[#This Row],[FUM x AMENORREA]]&lt;&gt;""),"X",SUM(Tabla1[[#This Row],[FUM X ECO 1]]-Tabla1[[#This Row],[FUM x AMENORREA]])))</f>
        <v>0</v>
      </c>
      <c r="RY56" s="21">
        <f t="shared" si="193"/>
        <v>0</v>
      </c>
    </row>
    <row r="57" spans="1:493" s="338" customFormat="1" ht="45" customHeight="1" x14ac:dyDescent="0.25">
      <c r="A57" s="300"/>
      <c r="B57" s="301" t="s">
        <v>1159</v>
      </c>
      <c r="C57" s="301" t="s">
        <v>845</v>
      </c>
      <c r="D57" s="302" t="s">
        <v>846</v>
      </c>
      <c r="E57" s="301" t="s">
        <v>1160</v>
      </c>
      <c r="F57" s="301" t="s">
        <v>1161</v>
      </c>
      <c r="G57" s="301" t="s">
        <v>1162</v>
      </c>
      <c r="H57" s="301"/>
      <c r="I57" s="300" t="s">
        <v>851</v>
      </c>
      <c r="J57" s="303">
        <v>1067468278</v>
      </c>
      <c r="K57" s="301" t="s">
        <v>852</v>
      </c>
      <c r="L57" s="304" t="s">
        <v>853</v>
      </c>
      <c r="M57" s="305">
        <v>35386</v>
      </c>
      <c r="N57" s="306">
        <f t="shared" ca="1" si="0"/>
        <v>26.978082191780821</v>
      </c>
      <c r="O57" s="305">
        <v>44888</v>
      </c>
      <c r="P57" s="307" t="str">
        <f t="shared" si="194"/>
        <v>SI</v>
      </c>
      <c r="Q57" s="308" t="s">
        <v>855</v>
      </c>
      <c r="R57" s="305">
        <v>44888</v>
      </c>
      <c r="S57" s="309" t="s">
        <v>856</v>
      </c>
      <c r="T57" s="310" t="s">
        <v>690</v>
      </c>
      <c r="U57" s="309" t="s">
        <v>857</v>
      </c>
      <c r="V57" s="309" t="s">
        <v>858</v>
      </c>
      <c r="W57" s="309" t="s">
        <v>1163</v>
      </c>
      <c r="X57" s="309" t="s">
        <v>1163</v>
      </c>
      <c r="Y57" s="309" t="s">
        <v>859</v>
      </c>
      <c r="Z57" s="309">
        <v>3212713607</v>
      </c>
      <c r="AA57" s="309" t="s">
        <v>860</v>
      </c>
      <c r="AB57" s="311" t="s">
        <v>861</v>
      </c>
      <c r="AC57" s="308" t="s">
        <v>862</v>
      </c>
      <c r="AD57" s="312" t="s">
        <v>846</v>
      </c>
      <c r="AE57" s="308" t="s">
        <v>854</v>
      </c>
      <c r="AF57" s="308" t="s">
        <v>854</v>
      </c>
      <c r="AG57" s="313" t="s">
        <v>864</v>
      </c>
      <c r="AH57" s="313" t="s">
        <v>864</v>
      </c>
      <c r="AI57" s="310" t="s">
        <v>863</v>
      </c>
      <c r="AJ57" s="313" t="s">
        <v>864</v>
      </c>
      <c r="AK57" s="314" t="str">
        <f>IF(AND(AD57="",AE57="",AF57="",AG57="",AH57="",AI57="",AJ57=""),"",IF(OR(Tabla1[[#This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EVALUACIÓN",IF(AND(O57="",R57=""),"",IF(AND(OR(O57&gt;0,R57&gt;0),NG57&gt;=0,NG57&lt;2),"SIN RIESGO",IF(AND(OR(O57&gt;0,R57&gt;0),NG57&gt;=2),"CON RIESGO","ASD")))))</f>
        <v>SIN RIESGO</v>
      </c>
      <c r="AL57" s="313" t="s">
        <v>864</v>
      </c>
      <c r="AM57" s="308" t="s">
        <v>864</v>
      </c>
      <c r="AN57" s="308" t="s">
        <v>864</v>
      </c>
      <c r="AO57" s="308" t="s">
        <v>864</v>
      </c>
      <c r="AP57" s="308" t="s">
        <v>864</v>
      </c>
      <c r="AQ57" s="308" t="s">
        <v>864</v>
      </c>
      <c r="AR57" s="308" t="s">
        <v>864</v>
      </c>
      <c r="AS57" s="309">
        <v>2</v>
      </c>
      <c r="AT57" s="309">
        <v>2</v>
      </c>
      <c r="AU57" s="309">
        <v>0</v>
      </c>
      <c r="AV57" s="308" t="s">
        <v>864</v>
      </c>
      <c r="AW57" s="309">
        <v>0</v>
      </c>
      <c r="AX57" s="308" t="s">
        <v>864</v>
      </c>
      <c r="AY57" s="308" t="s">
        <v>864</v>
      </c>
      <c r="AZ57" s="308" t="s">
        <v>864</v>
      </c>
      <c r="BA57" s="308" t="s">
        <v>864</v>
      </c>
      <c r="BB57" s="308" t="s">
        <v>864</v>
      </c>
      <c r="BC57" s="308" t="s">
        <v>864</v>
      </c>
      <c r="BD57" s="308" t="s">
        <v>864</v>
      </c>
      <c r="BE57" s="308" t="s">
        <v>864</v>
      </c>
      <c r="BF57" s="308" t="s">
        <v>864</v>
      </c>
      <c r="BG57" s="308" t="s">
        <v>864</v>
      </c>
      <c r="BH57" s="308" t="s">
        <v>864</v>
      </c>
      <c r="BI57" s="308" t="s">
        <v>864</v>
      </c>
      <c r="BJ57" s="308"/>
      <c r="BK57" s="308"/>
      <c r="BL57" s="308" t="s">
        <v>864</v>
      </c>
      <c r="BM57" s="308" t="s">
        <v>864</v>
      </c>
      <c r="BN57" s="305">
        <v>42641</v>
      </c>
      <c r="BO57" s="305">
        <v>44855</v>
      </c>
      <c r="BP57" s="309" t="s">
        <v>854</v>
      </c>
      <c r="BQ57" s="315">
        <f t="shared" si="2"/>
        <v>73.8</v>
      </c>
      <c r="BR57" s="316">
        <f t="shared" si="3"/>
        <v>44855</v>
      </c>
      <c r="BS57" s="317">
        <f t="shared" si="4"/>
        <v>4.7142857142857144</v>
      </c>
      <c r="BT57" s="318" t="str">
        <f t="shared" si="5"/>
        <v>I TRIM</v>
      </c>
      <c r="BU57" s="307" t="str">
        <f t="shared" ca="1" si="6"/>
        <v/>
      </c>
      <c r="BV57" s="319" t="s">
        <v>988</v>
      </c>
      <c r="BW57" s="305">
        <v>44918</v>
      </c>
      <c r="BX57" s="320">
        <v>9</v>
      </c>
      <c r="BY57" s="320"/>
      <c r="BZ57" s="305"/>
      <c r="CA57" s="309"/>
      <c r="CB57" s="308" t="s">
        <v>864</v>
      </c>
      <c r="CC57" s="308" t="s">
        <v>864</v>
      </c>
      <c r="CD57" s="308" t="s">
        <v>865</v>
      </c>
      <c r="CE57" s="308" t="s">
        <v>864</v>
      </c>
      <c r="CF57" s="22" t="s">
        <v>1517</v>
      </c>
      <c r="CG57" s="309">
        <v>1.5</v>
      </c>
      <c r="CH57" s="309">
        <v>58</v>
      </c>
      <c r="CI57" s="307">
        <f t="shared" si="7"/>
        <v>25.777777777777779</v>
      </c>
      <c r="CJ57" s="321" t="str">
        <f>IF(AND(CI57&lt;10,CH57="SD"),"SIN DATO PESO PREGESTACION O I TRIM",IF(AND(OR(R57&gt;0,O57&gt;0),CI57="X"),"INGRESAR DATO DE PESO",IF(CI57="SD","INGRESAR DATO DE TALLA Y PESO",IF(AND(OR(Tabla1[[#This Row],[MOMENTO EN QUE SE REALIZA EL PESO AL INGRESO A CPN]]="PREGESTACIÓN",NZ57="Menor"),CI57&lt;18.5),"BAJO PESO",IF(AND(OR(Tabla1[[#This Row],[MOMENTO EN QUE SE REALIZA EL PESO AL INGRESO A CPN]]="PREGESTACIÓN",NZ57="Menor"),CI57&lt;25),"NORMAL",IF(AND(OR(Tabla1[[#This Row],[MOMENTO EN QUE SE REALIZA EL PESO AL INGRESO A CPN]]="PREGESTACIÓN",NZ57="Menor"),CI57&lt;30),"SOBREPESO",IF(AND(OR(Tabla1[[#This Row],[MOMENTO EN QUE SE REALIZA EL PESO AL INGRESO A CPN]]="PREGESTACIÓN",NZ57="Menor"),CI57&gt;=30,CI57&lt;50),"OBESIDAD",IF(AND(BS57&gt;0,Tabla1[[#This Row],[MOMENTO EN QUE SE REALIZA EL PESO AL INGRESO A CPN]]="GESTACIÓN"),HLOOKUP(NZ57,$OA$2:PH57,NY57),""))))))))</f>
        <v>SOBREPESO</v>
      </c>
      <c r="CK57" s="322">
        <f t="shared" si="8"/>
        <v>45089</v>
      </c>
      <c r="CL57" s="309">
        <v>68</v>
      </c>
      <c r="CM57" s="307">
        <f t="shared" si="9"/>
        <v>30.222222222222221</v>
      </c>
      <c r="CN57" s="318">
        <f t="shared" si="10"/>
        <v>33</v>
      </c>
      <c r="CO57" s="318" t="e">
        <f>IF(PI57="","",IF(PI57&gt;0,HLOOKUP(PI57,$PJ$2:QQ57,NY57),""))</f>
        <v>#REF!</v>
      </c>
      <c r="CP57" s="309">
        <v>28</v>
      </c>
      <c r="CQ57" s="318" t="e">
        <f>IF(QR57="Menor","NO APLICA-MENOR 13 SEM",IF(AND(CC57="SI",CN57&gt;23),"NO APLICA- GEMELAR",IF(QR57="","",IF(QR57&gt;0,HLOOKUP(QR57,$QS$2:RU57,NY57),""))))</f>
        <v>#REF!</v>
      </c>
      <c r="CR57" s="309">
        <v>110</v>
      </c>
      <c r="CS57" s="309">
        <v>60</v>
      </c>
      <c r="CT57" s="323" t="str">
        <f>IF(R57="","",IF(AND(BS57&gt;1,BS57&lt;12,Tabla1[[#This Row],[T.A. SISTOLICA - ANTES DE SEMANA 12]]="",Tabla1[[#This Row],[T.A. DIASTOLICA - ANTES DE SEMANA 12]]=""),"REGISTRE DATO TA ANTES SEMANA 12",IF(AND(BS57&gt;11,BS57&lt;43,Tabla1[[#This Row],[T.A. SISTOLICA - ANTES DE SEMANA 12]]="",Tabla1[[#This Row],[T.A. DIASTOLICA - ANTES DE SEMANA 12]]=""),"NO APLICA REGISTRO TA-INGRESO TARDIO",IF(AND(OR(O57&gt;0,R57&gt;0),OR(CR57&gt;=140,CS57&gt;=90)),"DEFINIR ESTADIO HTA",IF(AND(OR(O57&gt;0,R57&gt;0),AND(CR57&gt;120,CR57&lt;=139)),"PRE HTA SEGUIMIENTO",IF(AND(OR(O57&gt;0,R57&gt;0),AND(CS57&gt;80,CS57&lt;=89)),"PRE HTA SEGUIMIENTO",IF(AND(OR(O57&gt;0,R57&gt;0),AND(CR57&gt;=80,CR57&lt;=120)),"APARENTEMENTE NORMAL",IF(AND(OR(O57&gt;0,R57&gt;0),AND(CS57&gt;=50,CS57&lt;=80)),"APARENTEMENTE NORMAL",IF(AND(OR(O57&gt;0,R57&gt;0),AND(CR57&gt;1,CR57&lt;=70),AND(CS57&gt;1,CS57&lt;=40)),"HIPOTENSIÓN","")))))))))</f>
        <v>APARENTEMENTE NORMAL</v>
      </c>
      <c r="CU57" s="309"/>
      <c r="CV57" s="309"/>
      <c r="CW57" s="323" t="str">
        <f ca="1">IF(R57="","",IF(AND(CN57&gt;19,CN57&lt;27,Tabla1[[#This Row],[T.A. SISTOLICA (Entre semana 20 y 26)]]="",Tabla1[[#This Row],[T.A. DIATOLICA (Entre semana 20 y 26)]]=""),"ACUDE A CONTROL SEM 20 A 26 REGISTRE TA AHORA",IF(AND(BS57&gt;1,BS57&lt;27,BU57&gt;19,Tabla1[[#This Row],[T.A. SISTOLICA (Entre semana 20 y 26)]]="",Tabla1[[#This Row],[T.A. DIATOLICA (Entre semana 20 y 26)]]=""),"COMPLETE REGISTRO TA CONTROL SEM 20 A26 ",IF(AND(BS57&gt;26,BS57&lt;43,Tabla1[[#This Row],[T.A. SISTOLICA (Entre semana 20 y 26)]]="",Tabla1[[#This Row],[T.A. DIATOLICA (Entre semana 20 y 26)]]=""),"NO APLICA REGISTRO TA-INGRESO TARDIO",IF(AND(OR(O57&gt;0,R57&gt;0),OR(CU57&gt;=140,CV57&gt;=90)),"ALTO RIESGO PREECLAMPSIA,DEFINIR ESTADIO HTA",IF(AND(OR(O57&gt;0,R57&gt;0),AND(CU57&gt;120,CU57&lt;=139)),"PRE HTA SEGUIMIENTO,RIESGO HIPERTENSION INDUCIDA POR EL EMBARAZO",IF(AND(OR(O57&gt;0,R57&gt;0),AND(CV57&gt;80,CV57&lt;=89)),"PRE HTA SEGUIMIENTO, RIESGO HIPERTENSION INDUCIDA POR EL EMBARAZO",IF(AND(OR(O57&lt;&gt;"",R57&lt;&gt;""),CS57&lt;&gt;"",CV57&lt;&gt;"",CS57&lt;=CV57),"VIGILAR CIFRAS PRESION ARTERIAL",IF(AND(OR(O57&gt;0,R57&gt;0),AND(CU57&gt;120,CU57&lt;=139)),"PRE HTA SEGUIMIENTO",IF(AND(OR(O57&gt;0,R57&gt;0),AND(CU57&gt;1,CU57&lt;=70),AND(CV57&gt;1,CV57&lt;=40)),"HIPOTENSIÓN",IF(AND(OR(O57&lt;&gt;"",R57&lt;&gt;""),CS57&lt;&gt;"",CV57&lt;&gt;"",CS57&gt;CV57),"APARENTEMENTE NORMAL",IF(AND(OR(O57&gt;0,R57&gt;0),AND(CU57&gt;=80,CU57&lt;=120)),"APARENTEMENTE NORMAL",IF(AND(OR(O57&gt;0,R57&gt;0),AND(CV57&gt;=50,CV57&lt;=80)),"APARENTEMENTE NORMAL","")))))))))))))</f>
        <v xml:space="preserve">COMPLETE REGISTRO TA CONTROL SEM 20 A26 </v>
      </c>
      <c r="CX57" s="309">
        <v>100</v>
      </c>
      <c r="CY57" s="309">
        <v>60</v>
      </c>
      <c r="CZ57" s="318" t="str">
        <f t="shared" si="195"/>
        <v>APARENTEMENTE NORMAL</v>
      </c>
      <c r="DA57" s="309">
        <v>100</v>
      </c>
      <c r="DB57" s="309">
        <v>60</v>
      </c>
      <c r="DC57" s="323" t="str">
        <f t="shared" si="12"/>
        <v>APARENTEMENTE NORMAL</v>
      </c>
      <c r="DD57" s="305">
        <v>44888</v>
      </c>
      <c r="DE57" s="305">
        <v>44888</v>
      </c>
      <c r="DF57" s="305">
        <v>44918</v>
      </c>
      <c r="DG57" s="305">
        <v>44953</v>
      </c>
      <c r="DH57" s="305">
        <v>44985</v>
      </c>
      <c r="DI57" s="305">
        <v>45059</v>
      </c>
      <c r="DJ57" s="305">
        <v>45089</v>
      </c>
      <c r="DK57" s="305"/>
      <c r="DL57" s="305"/>
      <c r="DM57" s="305"/>
      <c r="DN57" s="305"/>
      <c r="DO57" s="305"/>
      <c r="DP57" s="305"/>
      <c r="DQ57" s="305"/>
      <c r="DR57" s="320">
        <v>1</v>
      </c>
      <c r="DS57" s="305"/>
      <c r="DT57" s="305"/>
      <c r="DU57" s="318" t="str">
        <f t="shared" ca="1" si="196"/>
        <v>CONCERTAR PLAN DE PARTO INMEDIATO</v>
      </c>
      <c r="DV57" s="324" t="str">
        <f t="shared" si="197"/>
        <v>ACTIVA INGRESO A CPN</v>
      </c>
      <c r="DW57"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57" s="318" t="e">
        <f t="shared" ca="1" si="15"/>
        <v>#REF!</v>
      </c>
      <c r="DY57" s="322">
        <f>IF(R57="","",IF(R57&gt;0,MAX(Tabla1[[#This Row],[FECHA C2]:[FECHA C13]],Tabla1[[#This Row],[FECHA CONSULTA PRIMERA VEZ PROGRAMA CPN ]])))</f>
        <v>45089</v>
      </c>
      <c r="DZ57" s="318">
        <f t="shared" si="16"/>
        <v>33</v>
      </c>
      <c r="EA57" s="315">
        <f>IF(R57&gt;0,SUM(COUNTA(DF57:DQ57)+COUNTA(Tabla1[[#This Row],[FECHA CONSULTA PRIMERA VEZ PROGRAMA CPN ]])),"")</f>
        <v>6</v>
      </c>
      <c r="EB57" s="315" t="str">
        <f t="shared" si="17"/>
        <v>SI</v>
      </c>
      <c r="EC57" s="307">
        <f t="shared" si="18"/>
        <v>10</v>
      </c>
      <c r="ED57" s="325">
        <f t="shared" si="19"/>
        <v>0.6</v>
      </c>
      <c r="EE57" s="305">
        <v>44888</v>
      </c>
      <c r="EF57" s="305">
        <v>44888</v>
      </c>
      <c r="EG57" s="305">
        <v>44888</v>
      </c>
      <c r="EH57" s="305"/>
      <c r="EI57" s="305">
        <v>44888</v>
      </c>
      <c r="EJ57" s="305"/>
      <c r="EK57" s="305"/>
      <c r="EL57" s="309"/>
      <c r="EM57" s="309">
        <v>13.9</v>
      </c>
      <c r="EN57" s="305">
        <v>44888</v>
      </c>
      <c r="EO57" s="315">
        <f t="shared" si="20"/>
        <v>4.7142857142857144</v>
      </c>
      <c r="EP57" s="307" t="str">
        <f t="shared" si="21"/>
        <v>NORMAL- SUMINISTRAR SULFATO FERROSO</v>
      </c>
      <c r="EQ57" s="318" t="str">
        <f t="shared" si="22"/>
        <v>I TRIM</v>
      </c>
      <c r="ER57" s="310"/>
      <c r="ES57" s="305"/>
      <c r="ET57" s="326" t="str">
        <f t="shared" ca="1" si="198"/>
        <v>TOMA DE HEMOGLOBINA TARDÍA</v>
      </c>
      <c r="EU57" s="319" t="str">
        <f t="shared" si="24"/>
        <v/>
      </c>
      <c r="EV57" s="310" t="s">
        <v>1510</v>
      </c>
      <c r="EW57" s="310">
        <v>44888</v>
      </c>
      <c r="EX57" s="305"/>
      <c r="EY57" s="326">
        <f t="shared" si="199"/>
        <v>4.7142857142857144</v>
      </c>
      <c r="EZ57" s="319" t="str">
        <f t="shared" si="200"/>
        <v>SIN RIESGO DE ISOINMUNIZACIÓN</v>
      </c>
      <c r="FA57" s="309">
        <v>82</v>
      </c>
      <c r="FB57" s="305">
        <v>44888</v>
      </c>
      <c r="FC57" s="326">
        <f t="shared" si="27"/>
        <v>4.7142857142857144</v>
      </c>
      <c r="FD57" s="326"/>
      <c r="FE57" s="326"/>
      <c r="FF57" s="326"/>
      <c r="FG57" s="309" t="str">
        <f t="shared" ca="1" si="28"/>
        <v/>
      </c>
      <c r="FH57" s="327"/>
      <c r="FI57" s="326" t="str">
        <f t="shared" si="29"/>
        <v>TOMAR EXAMEN</v>
      </c>
      <c r="FJ57" s="305" t="s">
        <v>867</v>
      </c>
      <c r="FK57" s="305">
        <v>44888</v>
      </c>
      <c r="FL57" s="326">
        <f t="shared" ca="1" si="30"/>
        <v>4.7142857142857144</v>
      </c>
      <c r="FM57" s="305"/>
      <c r="FN57" s="328"/>
      <c r="FO57" s="326" t="str">
        <f t="shared" ca="1" si="201"/>
        <v>PIERDE TOMA DE TAMIZAJE</v>
      </c>
      <c r="FP57" s="305" t="s">
        <v>867</v>
      </c>
      <c r="FQ57" s="328">
        <v>45093</v>
      </c>
      <c r="FR57" s="326">
        <f t="shared" ca="1" si="202"/>
        <v>34</v>
      </c>
      <c r="FS57" s="305"/>
      <c r="FT57" s="328"/>
      <c r="FU57" s="326" t="str">
        <f>IF(AND(FJ57="",FM57="",FP57="",FS57=""),"",IF(OR(OR(Tabla1[[#This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7" s="320"/>
      <c r="FW57" s="305"/>
      <c r="FX57" s="326" t="str">
        <f t="shared" si="33"/>
        <v>TOMAR EXAMEN</v>
      </c>
      <c r="FY57" s="305">
        <v>44888</v>
      </c>
      <c r="FZ57" s="305">
        <v>44888</v>
      </c>
      <c r="GA57" s="326">
        <f t="shared" ca="1" si="203"/>
        <v>4.7142857142857144</v>
      </c>
      <c r="GB57" s="305"/>
      <c r="GC57" s="305"/>
      <c r="GD57" s="326" t="str">
        <f t="shared" ca="1" si="204"/>
        <v>PIERDE TOMA DE TAMIZAJE</v>
      </c>
      <c r="GE57" s="305" t="s">
        <v>868</v>
      </c>
      <c r="GF57" s="305">
        <v>45093</v>
      </c>
      <c r="GG57" s="326">
        <f t="shared" ca="1" si="205"/>
        <v>34</v>
      </c>
      <c r="GH57" s="305"/>
      <c r="GI57" s="326"/>
      <c r="GJ57" s="305"/>
      <c r="GK57" s="305"/>
      <c r="GL57" s="305"/>
      <c r="GM57" s="305"/>
      <c r="GN57" s="320" t="s">
        <v>869</v>
      </c>
      <c r="GO57" s="305">
        <v>44888</v>
      </c>
      <c r="GP57" s="326">
        <f t="shared" si="37"/>
        <v>4.7142857142857144</v>
      </c>
      <c r="GQ57" s="320" t="s">
        <v>880</v>
      </c>
      <c r="GR57" s="320" t="s">
        <v>869</v>
      </c>
      <c r="GS57" s="305" t="str">
        <f t="shared" si="206"/>
        <v>SE EXCLUYE INFECCION</v>
      </c>
      <c r="GT57" s="305">
        <v>44888</v>
      </c>
      <c r="GU57" s="326">
        <f t="shared" si="39"/>
        <v>4.7142857142857144</v>
      </c>
      <c r="GV57" s="309" t="str">
        <f t="shared" si="40"/>
        <v>I TRIM</v>
      </c>
      <c r="GW57" s="320" t="s">
        <v>869</v>
      </c>
      <c r="GX57" s="329"/>
      <c r="GY57" s="309"/>
      <c r="GZ57" s="309"/>
      <c r="HA57" s="309"/>
      <c r="HB57" s="309"/>
      <c r="HC57" s="309"/>
      <c r="HD57" s="309"/>
      <c r="HE57" s="309"/>
      <c r="HF57" s="305"/>
      <c r="HG57" s="305" t="str">
        <f>IF(OR(O57&gt;0,R57&gt;0),CONCATENATE(IF(Tabla1[[#This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7" s="305" t="e">
        <f t="shared" si="41"/>
        <v>#REF!</v>
      </c>
      <c r="HI57" s="305" t="e">
        <f t="shared" ca="1" si="42"/>
        <v>#REF!</v>
      </c>
      <c r="HJ57" s="309"/>
      <c r="HK57" s="309" t="str">
        <f t="shared" si="44"/>
        <v>SIN ANTECEDENTES DE RIESGO</v>
      </c>
      <c r="HL57" s="310" t="str">
        <f t="shared" si="45"/>
        <v>APARENTEMENTE NORMAL</v>
      </c>
      <c r="HM57" s="309" t="e">
        <f t="shared" ca="1" si="46"/>
        <v>#REF!</v>
      </c>
      <c r="HN57" s="329" t="str">
        <f t="shared" si="207"/>
        <v>ACTIVA INGRESO A CPN</v>
      </c>
      <c r="HO57" s="309"/>
      <c r="HP57" s="309" t="s">
        <v>864</v>
      </c>
      <c r="HQ57" s="309">
        <v>44888</v>
      </c>
      <c r="HR57" s="309" t="str">
        <f>IF(R57="","",IF(Tabla1[[#This Row],[ALARMA FACTORES DE RIESGO COMPLICACIONES HIPERTENSIVAS3]]="SIN ANTECEDENTES DE RIESGO","No Aplica para suministro de ASA",IF(AND(Tabla1[[#This Row],[FECHA INICIO DE SUMINISTRO DE ASA]]&gt;0,RV57&lt;12),"Inicia ASA ANTES de Sem 12",IF(AND(RV57&gt;11,RV57&lt;17,OR(HK57="RIESGO ALTO DE COMPLICACIONES HIPERTENSIVAS VER MANEJO GUIA SUMINISTRO ASA Y CALCIO",HK57="RIESGO MODERADO (2 O MAS CRITERIOS) VER MANEJO GUIA SUMINISTRO ASA Y CALCIO")),"Inicio oportuno de ASA",IF(AND(RV57&gt;12,OR(HK57="RIESGO ALTO DE COMPLICACIONES HIPERTENSIVAS VER MANEJO GUIA SUMINISTRO ASA Y CALCIO",HK57="RIESGO MODERADO (2 O MAS CRITERIOS) VER MANEJO GUIA SUMINISTRO ASA Y CALCIO")),"Inicio no oportuno mayor a 16 semanas",IF(AND(BU57&lt;12,OR(HK57="RIESGO ALTO DE COMPLICACIONES HIPERTENSIVAS VER MANEJO GUIA SUMINISTRO ASA Y CALCIO",HK57="RIESGO MODERADO (2 O MAS CRITERIOS) VER MANEJO GUIA SUMINISTRO ASA Y CALCIO")),"Pendiente Inicio de ASA a la semana 12",IF(AND(BU57&gt;11,BU57&lt;17,OR(HK57="RIESGO ALTO DE COMPLICACIONES HIPERTENSIVAS VER MANEJO GUIA SUMINISTRO ASA Y CALCIO",HK57="RIESGO MODERADO (2 O MAS CRITERIOS) VER MANEJO GUIA SUMINISTRO ASA Y CALCIO")),"Iniciar de inmediato ASA",IF(AND(BU57&gt;16,OR(HK57="RIESGO ALTO DE COMPLICACIONES HIPERTENSIVAS VER MANEJO GUIA SUMINISTRO ASA Y CALCIO",HK57="RIESGO MODERADO (2 O MAS CRITERIOS) VER MANEJO GUIA SUMINISTRO ASA Y CALCIO")),"Pierde Oportunidad, Inicio tardío de ASA","XXXXX"))))))))</f>
        <v>No Aplica para suministro de ASA</v>
      </c>
      <c r="HS57" s="305">
        <v>44888</v>
      </c>
      <c r="HT57" s="305" t="s">
        <v>870</v>
      </c>
      <c r="HU57" s="305">
        <v>44888</v>
      </c>
      <c r="HV57" s="305" t="s">
        <v>870</v>
      </c>
      <c r="HW57" s="305"/>
      <c r="HX57" s="305"/>
      <c r="HY57" s="305">
        <v>44888</v>
      </c>
      <c r="HZ57" s="320">
        <f t="shared" si="48"/>
        <v>4.7142857142857144</v>
      </c>
      <c r="IA57" s="308" t="s">
        <v>864</v>
      </c>
      <c r="IB57" s="308"/>
      <c r="IC57" s="330"/>
      <c r="ID57" s="305"/>
      <c r="IE57" s="305" t="str">
        <f t="shared" ca="1" si="49"/>
        <v/>
      </c>
      <c r="IF57" s="305"/>
      <c r="IG57" s="305">
        <f t="shared" si="50"/>
        <v>45135</v>
      </c>
      <c r="IH57" s="326">
        <f t="shared" ca="1" si="51"/>
        <v>-98</v>
      </c>
      <c r="II57" s="305" t="str">
        <f t="shared" ca="1" si="52"/>
        <v>POSIBLEMENTE NACIO</v>
      </c>
      <c r="IJ57" s="305"/>
      <c r="IK57" s="309"/>
      <c r="IL57" s="309"/>
      <c r="IM57" s="331"/>
      <c r="IN57" s="350"/>
      <c r="IO57" s="309"/>
      <c r="IP57" s="326" t="str">
        <f t="shared" si="208"/>
        <v/>
      </c>
      <c r="IQ57" s="303"/>
      <c r="IR57" s="309"/>
      <c r="IS57" s="309"/>
      <c r="IT57" s="309"/>
      <c r="IU57" s="309"/>
      <c r="IV57" s="309"/>
      <c r="IW57" s="309"/>
      <c r="IX57" s="309"/>
      <c r="IY57" s="309"/>
      <c r="IZ57" s="309"/>
      <c r="JA57" s="309"/>
      <c r="JB57" s="329"/>
      <c r="JC57" s="309"/>
      <c r="JD57" s="333"/>
      <c r="JE57" s="309" t="str">
        <f t="shared" si="209"/>
        <v/>
      </c>
      <c r="JF57" s="329"/>
      <c r="JG57" s="309"/>
      <c r="JH57" s="309"/>
      <c r="JI57" s="309"/>
      <c r="JJ57" s="329"/>
      <c r="JK57" s="305"/>
      <c r="JL57" s="305"/>
      <c r="JM57" s="309"/>
      <c r="JN57" s="333"/>
      <c r="JO57" s="309" t="str">
        <f t="shared" si="210"/>
        <v/>
      </c>
      <c r="JP57" s="305"/>
      <c r="JQ57" s="309"/>
      <c r="JR57" s="309"/>
      <c r="JS57" s="309"/>
      <c r="JT57" s="329"/>
      <c r="JU57" s="305"/>
      <c r="JV57" s="305"/>
      <c r="JW57" s="334"/>
      <c r="JX57" s="320" t="str">
        <f t="shared" si="211"/>
        <v/>
      </c>
      <c r="JY57" s="334"/>
      <c r="JZ57" s="320" t="str">
        <f t="shared" si="212"/>
        <v/>
      </c>
      <c r="KA57" s="309"/>
      <c r="KB57" s="309"/>
      <c r="KC57" s="309"/>
      <c r="KD57" s="335"/>
      <c r="KE57" s="320"/>
      <c r="KF57" s="320"/>
      <c r="KG57" s="320"/>
      <c r="KH57" s="336"/>
      <c r="KI57" s="336"/>
      <c r="KJ57" s="337"/>
      <c r="KK57" s="336"/>
      <c r="KL57" s="336"/>
      <c r="KM57" s="337"/>
      <c r="KN57" s="336"/>
      <c r="KO57" s="336"/>
      <c r="KP57" s="336"/>
      <c r="KQ57" s="336"/>
      <c r="KR57" s="336"/>
      <c r="KS57" s="336"/>
      <c r="KT57" s="336"/>
      <c r="KU57" s="312"/>
      <c r="KV57" s="312"/>
      <c r="KW57" s="312"/>
      <c r="KX57" s="312"/>
      <c r="KY57" s="312"/>
      <c r="KZ57" s="312"/>
      <c r="LA57" s="312"/>
      <c r="LB57" s="312"/>
      <c r="LC57" s="312"/>
      <c r="LD57" s="312"/>
      <c r="LE57" s="312"/>
      <c r="LF57" s="312"/>
      <c r="LG57" s="312"/>
      <c r="LH57" s="312"/>
      <c r="LI57" s="312"/>
      <c r="LJ57" s="312"/>
      <c r="LK57" s="312"/>
      <c r="LL57" s="312"/>
      <c r="LM57" s="312"/>
      <c r="LN57" s="312"/>
      <c r="LO57" s="312"/>
      <c r="LP57" s="312"/>
      <c r="LQ57" s="312"/>
      <c r="LR57" s="312"/>
      <c r="LS57" s="312"/>
      <c r="LT57" s="312"/>
      <c r="LU57" s="312"/>
      <c r="LV57" s="312"/>
      <c r="LW57" s="312"/>
      <c r="LX57" s="312"/>
      <c r="LY57" s="312"/>
      <c r="LZ57" s="312"/>
      <c r="MA57" s="312"/>
      <c r="MB57" s="312"/>
      <c r="MC57" s="312"/>
      <c r="MD57" s="312"/>
      <c r="ME57" s="312"/>
      <c r="MF57" s="312"/>
      <c r="MG57" s="312"/>
      <c r="MH57" s="43">
        <f t="shared" si="213"/>
        <v>0</v>
      </c>
      <c r="MI57" s="43" t="str">
        <f t="shared" si="214"/>
        <v/>
      </c>
      <c r="MJ57" s="43" t="str">
        <f t="shared" si="215"/>
        <v/>
      </c>
      <c r="MK57" s="43">
        <f t="shared" si="216"/>
        <v>0</v>
      </c>
      <c r="ML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7" s="43">
        <f t="shared" si="217"/>
        <v>4.7142857142857144</v>
      </c>
      <c r="MN57" s="43">
        <f t="shared" si="218"/>
        <v>11</v>
      </c>
      <c r="MO57" s="43">
        <f t="shared" si="219"/>
        <v>2022</v>
      </c>
      <c r="MP57" s="43" t="str">
        <f t="shared" si="220"/>
        <v>IV TRIMESTRE AÑO</v>
      </c>
      <c r="MQ57" s="43">
        <f t="shared" si="221"/>
        <v>25.640604467805517</v>
      </c>
      <c r="MR57" s="43">
        <f t="shared" si="222"/>
        <v>0</v>
      </c>
      <c r="MS57" s="43" t="str">
        <f t="shared" si="223"/>
        <v xml:space="preserve"> DE 25 A 29 AÑOS</v>
      </c>
      <c r="MT57" s="43">
        <f t="shared" si="224"/>
        <v>0</v>
      </c>
      <c r="MU57" s="43">
        <f t="shared" si="225"/>
        <v>0</v>
      </c>
      <c r="MV57" s="43">
        <f t="shared" si="226"/>
        <v>0</v>
      </c>
      <c r="MW57" s="43">
        <f t="shared" si="227"/>
        <v>0</v>
      </c>
      <c r="MX57" s="43" t="str">
        <f t="shared" si="228"/>
        <v/>
      </c>
      <c r="MY57" s="43" t="str">
        <f t="shared" ca="1" si="229"/>
        <v/>
      </c>
      <c r="MZ57" s="43" t="str">
        <f t="shared" si="230"/>
        <v/>
      </c>
      <c r="NA57" s="43">
        <f t="shared" si="231"/>
        <v>0</v>
      </c>
      <c r="NB57" s="43" t="str">
        <f t="shared" si="232"/>
        <v/>
      </c>
      <c r="NC57" s="43" t="str">
        <f t="shared" si="233"/>
        <v/>
      </c>
      <c r="ND57" s="43">
        <f t="shared" ca="1" si="234"/>
        <v>0</v>
      </c>
      <c r="NE57" s="43">
        <f>IF(OR(O57&gt;0,R57&gt;0),SUM(COUNTIF(Tabla1[[#This Row],[AÑOS AL INICIO5 CPN]],"&gt;=40"),COUNTIF(AS57,"0"),COUNTIF(AR57,"SI"),COUNTIF(CC57,"SI"),COUNTIF(BQ57,"&gt;119"),COUNTIF(CI57,"&gt;=35")),"")</f>
        <v>0</v>
      </c>
      <c r="NF57" s="43" t="str">
        <f t="shared" si="235"/>
        <v/>
      </c>
      <c r="NG57" s="43">
        <f t="shared" si="236"/>
        <v>0</v>
      </c>
      <c r="NH57" s="43">
        <f t="shared" si="237"/>
        <v>63</v>
      </c>
      <c r="NI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CPN",P57="NO"),"Z",IF(AND(Tabla1[[#This Row],[CITA PROXIMO CONTROL]]="CITA MANUAL",Tabla1[[#This Row],[GESTANTES ACTUALES]]="ACTIVA INGRESO A CPN"),"W",IF(AND(Tabla1[[#This Row],[GESTANTES ACTUALES]]="SALIO PROGRAMA",IN57=""),"S",IF(AND(Tabla1[[#This Row],[CITA PROXIMO CONTROL]]&gt;0,IN57=""),(Tabla1[[#This Row],[CITA PROXIMO CONTROL]]-TODAY()),"SD"))))))))</f>
        <v>#REF!</v>
      </c>
      <c r="NJ57" s="43">
        <f>MONTH(Tabla1[[#This Row],[FECHA DE SALIDA  DEL PROGRAMA]])</f>
        <v>1</v>
      </c>
      <c r="NK57" s="43">
        <f>YEAR(Tabla1[[#This Row],[FECHA DE SALIDA  DEL PROGRAMA]])</f>
        <v>1900</v>
      </c>
      <c r="NL57" s="43" t="str">
        <f t="shared" si="238"/>
        <v>X</v>
      </c>
      <c r="NM57" s="43" t="str">
        <f t="shared" si="239"/>
        <v>NO</v>
      </c>
      <c r="NN57" s="43" t="str">
        <f ca="1">IF(AND(O57&gt;0,R57=""),"NO CPN",IF(AND(O57="",R57=""),"",IF(AND(R57&gt;0,Tabla1[[#This Row],[SEMANAS DE GESTACION ACTUALIZADAS]]&lt;=12),"NO APLICA",IF(AND(FH57&lt;&gt;"",FN57&lt;&gt;""),"SI","NO"))))</f>
        <v>NO</v>
      </c>
      <c r="NO57" s="43" t="str">
        <f ca="1">IF(AND(O57&gt;0,R57=""),"NO CPN",IF(AND(O57="",R57=""),"",IF(AND(R57&gt;0,Tabla1[[#This Row],[SEMANAS DE GESTACION ACTUALIZADAS]]&lt;=27),"NO APLICA",IF(AND(ES57&lt;&gt;"",FQ57&lt;&gt;"",GF57&lt;&gt;""),"SI","NO"))))</f>
        <v>NO</v>
      </c>
      <c r="NP57" s="204" t="str">
        <f t="shared" si="240"/>
        <v>I TRIM</v>
      </c>
      <c r="NQ57" s="21">
        <f t="shared" si="241"/>
        <v>9</v>
      </c>
      <c r="NR57" s="21" t="str">
        <f t="shared" ca="1" si="242"/>
        <v>REVISAR FUM O FECHA SALIDA PROGRAMA</v>
      </c>
      <c r="NS57" s="205">
        <f t="shared" ca="1" si="243"/>
        <v>2</v>
      </c>
      <c r="NT57" s="21">
        <f t="shared" ca="1" si="244"/>
        <v>2</v>
      </c>
      <c r="NU57" s="21" t="str">
        <f t="shared" ca="1" si="245"/>
        <v>POR DEFINIR</v>
      </c>
      <c r="NV57" s="21" t="str">
        <f t="shared" ca="1" si="246"/>
        <v>POR DEFINIR</v>
      </c>
      <c r="NW57" s="206" t="str">
        <f>IF(AND(O57="",R57=""),"",IF(OR(AND(Tabla1[[#This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7" s="207" t="str">
        <f t="shared" ca="1" si="247"/>
        <v>SIN VACUNAR</v>
      </c>
      <c r="NY57" s="43">
        <f>ROW(Tabla1[[#This Row],['# DE TAMIZAJES SIFILIS TOMADOS ]])</f>
        <v>57</v>
      </c>
      <c r="NZ57" s="43" t="str">
        <f t="shared" si="93"/>
        <v>Menor</v>
      </c>
      <c r="OA57" s="43" t="str">
        <f t="shared" si="94"/>
        <v>SOBREPESO</v>
      </c>
      <c r="OB57" s="43" t="str">
        <f t="shared" si="95"/>
        <v/>
      </c>
      <c r="OC57" s="43" t="str">
        <f t="shared" si="96"/>
        <v/>
      </c>
      <c r="OD57" s="43" t="str">
        <f t="shared" si="97"/>
        <v/>
      </c>
      <c r="OE57" s="43" t="str">
        <f t="shared" si="98"/>
        <v/>
      </c>
      <c r="OF57" s="43" t="str">
        <f t="shared" si="99"/>
        <v/>
      </c>
      <c r="OG57" s="43" t="str">
        <f t="shared" si="100"/>
        <v/>
      </c>
      <c r="OH57" s="43" t="str">
        <f t="shared" si="101"/>
        <v/>
      </c>
      <c r="OI57" s="43" t="str">
        <f t="shared" si="102"/>
        <v/>
      </c>
      <c r="OJ57" s="43" t="str">
        <f t="shared" si="103"/>
        <v/>
      </c>
      <c r="OK57" s="43" t="str">
        <f t="shared" si="104"/>
        <v/>
      </c>
      <c r="OL57" s="43" t="str">
        <f t="shared" si="105"/>
        <v/>
      </c>
      <c r="OM57" s="43" t="str">
        <f t="shared" si="106"/>
        <v/>
      </c>
      <c r="ON57" s="43" t="str">
        <f t="shared" si="107"/>
        <v/>
      </c>
      <c r="OO57" s="43" t="str">
        <f t="shared" si="108"/>
        <v/>
      </c>
      <c r="OP57" s="43" t="str">
        <f t="shared" si="109"/>
        <v/>
      </c>
      <c r="OQ57" s="43" t="str">
        <f t="shared" si="110"/>
        <v/>
      </c>
      <c r="OR57" s="43" t="str">
        <f t="shared" si="111"/>
        <v/>
      </c>
      <c r="OS57" s="43" t="str">
        <f t="shared" si="112"/>
        <v/>
      </c>
      <c r="OT57" s="43" t="str">
        <f t="shared" si="113"/>
        <v/>
      </c>
      <c r="OU57" s="43" t="str">
        <f t="shared" si="114"/>
        <v/>
      </c>
      <c r="OV57" s="110" t="str">
        <f t="shared" si="115"/>
        <v/>
      </c>
      <c r="OW57" s="43" t="str">
        <f t="shared" si="116"/>
        <v/>
      </c>
      <c r="OX57" s="43" t="str">
        <f t="shared" si="117"/>
        <v/>
      </c>
      <c r="OY57" s="43" t="str">
        <f t="shared" si="118"/>
        <v/>
      </c>
      <c r="OZ57" s="43" t="str">
        <f t="shared" si="119"/>
        <v/>
      </c>
      <c r="PA57" s="43" t="str">
        <f t="shared" si="120"/>
        <v/>
      </c>
      <c r="PB57" s="43" t="str">
        <f t="shared" si="121"/>
        <v/>
      </c>
      <c r="PC57" s="43" t="str">
        <f t="shared" si="122"/>
        <v/>
      </c>
      <c r="PD57" s="43" t="str">
        <f t="shared" si="123"/>
        <v/>
      </c>
      <c r="PE57" s="43" t="str">
        <f t="shared" si="124"/>
        <v/>
      </c>
      <c r="PF57" s="43" t="str">
        <f t="shared" si="125"/>
        <v/>
      </c>
      <c r="PG57" s="43" t="str">
        <f t="shared" si="126"/>
        <v/>
      </c>
      <c r="PH57" s="43" t="str">
        <f t="shared" si="127"/>
        <v/>
      </c>
      <c r="PI57" s="43">
        <f t="shared" si="128"/>
        <v>33</v>
      </c>
      <c r="PJ57" s="43" t="str">
        <f t="shared" si="129"/>
        <v/>
      </c>
      <c r="PK57" s="43" t="str">
        <f t="shared" si="130"/>
        <v/>
      </c>
      <c r="PL57" s="43" t="str">
        <f t="shared" si="131"/>
        <v/>
      </c>
      <c r="PM57" s="43" t="str">
        <f t="shared" si="132"/>
        <v/>
      </c>
      <c r="PN57" s="43" t="str">
        <f t="shared" si="133"/>
        <v/>
      </c>
      <c r="PO57" s="43" t="str">
        <f t="shared" si="134"/>
        <v/>
      </c>
      <c r="PP57" s="43" t="str">
        <f t="shared" si="135"/>
        <v/>
      </c>
      <c r="PQ57" s="43" t="str">
        <f t="shared" si="136"/>
        <v/>
      </c>
      <c r="PR57" s="43" t="str">
        <f t="shared" si="137"/>
        <v/>
      </c>
      <c r="PS57" s="43" t="str">
        <f t="shared" si="138"/>
        <v/>
      </c>
      <c r="PT57" s="43" t="str">
        <f t="shared" si="139"/>
        <v/>
      </c>
      <c r="PU57" s="43" t="str">
        <f t="shared" si="140"/>
        <v/>
      </c>
      <c r="PV57" s="43" t="str">
        <f t="shared" si="141"/>
        <v/>
      </c>
      <c r="PW57" s="43" t="str">
        <f t="shared" si="142"/>
        <v/>
      </c>
      <c r="PX57" s="43" t="str">
        <f t="shared" si="143"/>
        <v/>
      </c>
      <c r="PY57" s="43" t="str">
        <f t="shared" si="144"/>
        <v/>
      </c>
      <c r="PZ57" s="43" t="str">
        <f t="shared" si="145"/>
        <v/>
      </c>
      <c r="QA57" s="43" t="str">
        <f t="shared" si="146"/>
        <v/>
      </c>
      <c r="QB57" s="43" t="str">
        <f t="shared" si="147"/>
        <v/>
      </c>
      <c r="QC57" s="43" t="str">
        <f t="shared" si="148"/>
        <v/>
      </c>
      <c r="QD57" s="43" t="str">
        <f t="shared" si="149"/>
        <v/>
      </c>
      <c r="QE57" s="43" t="str">
        <f t="shared" si="150"/>
        <v/>
      </c>
      <c r="QF57" s="43" t="str">
        <f t="shared" si="151"/>
        <v/>
      </c>
      <c r="QG57" s="43" t="str">
        <f t="shared" si="152"/>
        <v/>
      </c>
      <c r="QH57" s="43" t="str">
        <f t="shared" si="153"/>
        <v>SOBREPESO</v>
      </c>
      <c r="QI57" s="43" t="str">
        <f t="shared" si="154"/>
        <v/>
      </c>
      <c r="QJ57" s="43" t="str">
        <f t="shared" si="155"/>
        <v/>
      </c>
      <c r="QK57" s="43" t="str">
        <f t="shared" si="156"/>
        <v/>
      </c>
      <c r="QL57" s="43" t="str">
        <f t="shared" si="157"/>
        <v/>
      </c>
      <c r="QM57" s="43" t="str">
        <f t="shared" si="158"/>
        <v/>
      </c>
      <c r="QN57" s="43" t="str">
        <f t="shared" si="159"/>
        <v/>
      </c>
      <c r="QO57" s="43" t="str">
        <f t="shared" si="160"/>
        <v/>
      </c>
      <c r="QP57" s="43" t="str">
        <f t="shared" si="161"/>
        <v/>
      </c>
      <c r="QQ57" s="43" t="str">
        <f t="shared" si="162"/>
        <v/>
      </c>
      <c r="QR57" s="43">
        <f t="shared" si="192"/>
        <v>33</v>
      </c>
      <c r="QS57" s="43"/>
      <c r="QT57" s="21" t="str">
        <f t="shared" si="163"/>
        <v/>
      </c>
      <c r="QU57" s="21" t="str">
        <f t="shared" si="164"/>
        <v/>
      </c>
      <c r="QV57" s="21" t="str">
        <f t="shared" si="165"/>
        <v/>
      </c>
      <c r="QW57" s="21" t="str">
        <f t="shared" si="166"/>
        <v/>
      </c>
      <c r="QX57" s="21" t="str">
        <f t="shared" si="167"/>
        <v/>
      </c>
      <c r="QY57" s="21" t="str">
        <f t="shared" si="168"/>
        <v/>
      </c>
      <c r="QZ57" s="21" t="str">
        <f t="shared" si="169"/>
        <v/>
      </c>
      <c r="RA57" s="21" t="str">
        <f t="shared" si="170"/>
        <v/>
      </c>
      <c r="RB57" s="21" t="str">
        <f t="shared" si="171"/>
        <v/>
      </c>
      <c r="RC57" s="21" t="str">
        <f t="shared" si="172"/>
        <v/>
      </c>
      <c r="RD57" s="21" t="str">
        <f t="shared" si="173"/>
        <v/>
      </c>
      <c r="RE57" s="21" t="str">
        <f t="shared" si="174"/>
        <v/>
      </c>
      <c r="RF57" s="21" t="str">
        <f t="shared" si="175"/>
        <v/>
      </c>
      <c r="RG57" s="21" t="str">
        <f t="shared" si="176"/>
        <v/>
      </c>
      <c r="RH57" s="21" t="str">
        <f t="shared" si="177"/>
        <v/>
      </c>
      <c r="RI57" s="21" t="str">
        <f t="shared" si="178"/>
        <v/>
      </c>
      <c r="RJ57" s="21" t="str">
        <f t="shared" si="179"/>
        <v/>
      </c>
      <c r="RK57" s="21" t="str">
        <f t="shared" si="180"/>
        <v/>
      </c>
      <c r="RL57" s="21" t="str">
        <f t="shared" si="181"/>
        <v/>
      </c>
      <c r="RM57" s="21" t="str">
        <f t="shared" si="182"/>
        <v/>
      </c>
      <c r="RN57" s="21" t="str">
        <f t="shared" si="183"/>
        <v>ADECUADO PARA EDAD GESTACIONAL</v>
      </c>
      <c r="RO57" s="21" t="str">
        <f t="shared" si="184"/>
        <v/>
      </c>
      <c r="RP57" s="21" t="str">
        <f t="shared" si="185"/>
        <v/>
      </c>
      <c r="RQ57" s="21" t="str">
        <f t="shared" si="186"/>
        <v/>
      </c>
      <c r="RR57" s="21" t="str">
        <f t="shared" si="187"/>
        <v/>
      </c>
      <c r="RS57" s="21" t="str">
        <f t="shared" si="188"/>
        <v/>
      </c>
      <c r="RT57" s="21" t="str">
        <f t="shared" si="189"/>
        <v/>
      </c>
      <c r="RU57" s="21" t="str">
        <f t="shared" si="190"/>
        <v/>
      </c>
      <c r="RV57" s="21">
        <f t="shared" si="191"/>
        <v>4.7142857142857144</v>
      </c>
      <c r="RW57" s="284">
        <f>IF(OR(Tabla1[[#This Row],[FUM FORMULA CONFIABLE]]="",Tabla1[[#This Row],[FUM FORMULA CONFIABLE]]="SD"),"",IF(Tabla1[[#This Row],[FUM FORMULA CONFIABLE]]="CORREGIDA",Tabla1[[#This Row],[FUM X ECO 1]],Tabla1[[#This Row],[FUM x AMENORREA]]))</f>
        <v>44855</v>
      </c>
      <c r="RX57" s="21">
        <f>IF(AND(Tabla1[[#This Row],[FUM X ECO 1]]="",Tabla1[[#This Row],[FUM x AMENORREA]]=""),"",IF(AND(Tabla1[[#This Row],[FUM X ECO 1]]="",Tabla1[[#This Row],[FUM x AMENORREA]]&lt;&gt;""),"X",SUM(Tabla1[[#This Row],[FUM X ECO 1]]-Tabla1[[#This Row],[FUM x AMENORREA]])))</f>
        <v>0</v>
      </c>
      <c r="RY57" s="21">
        <f t="shared" si="193"/>
        <v>0</v>
      </c>
    </row>
    <row r="58" spans="1:493" ht="45" customHeight="1" x14ac:dyDescent="0.25">
      <c r="A58" s="109" t="s">
        <v>1164</v>
      </c>
      <c r="B58" s="43"/>
      <c r="C58" s="43" t="s">
        <v>845</v>
      </c>
      <c r="D58" s="124" t="s">
        <v>846</v>
      </c>
      <c r="E58" s="43" t="s">
        <v>1165</v>
      </c>
      <c r="F58" s="43" t="s">
        <v>1166</v>
      </c>
      <c r="G58" s="43" t="s">
        <v>1167</v>
      </c>
      <c r="H58" s="43"/>
      <c r="I58" s="109" t="s">
        <v>851</v>
      </c>
      <c r="J58" s="110">
        <v>1059600837</v>
      </c>
      <c r="K58" s="43" t="s">
        <v>852</v>
      </c>
      <c r="L58" s="175" t="s">
        <v>853</v>
      </c>
      <c r="M58" s="22">
        <v>33668</v>
      </c>
      <c r="N58" s="213">
        <f t="shared" ca="1" si="0"/>
        <v>31.684931506849313</v>
      </c>
      <c r="O58" s="22">
        <v>44847</v>
      </c>
      <c r="P58" s="214" t="str">
        <f t="shared" si="194"/>
        <v>SI</v>
      </c>
      <c r="Q58" s="26" t="s">
        <v>855</v>
      </c>
      <c r="R58" s="22">
        <v>44847</v>
      </c>
      <c r="S58" s="21" t="s">
        <v>856</v>
      </c>
      <c r="T58" s="24" t="s">
        <v>690</v>
      </c>
      <c r="U58" s="21" t="s">
        <v>857</v>
      </c>
      <c r="V58" s="21" t="s">
        <v>858</v>
      </c>
      <c r="W58" s="21" t="s">
        <v>1168</v>
      </c>
      <c r="X58" s="21" t="s">
        <v>1168</v>
      </c>
      <c r="Y58" s="21" t="s">
        <v>859</v>
      </c>
      <c r="Z58" s="21">
        <v>3213994949</v>
      </c>
      <c r="AA58" s="21" t="s">
        <v>860</v>
      </c>
      <c r="AB58" s="27" t="s">
        <v>861</v>
      </c>
      <c r="AC58" s="26" t="s">
        <v>862</v>
      </c>
      <c r="AD58" s="38" t="s">
        <v>846</v>
      </c>
      <c r="AE58" s="26" t="s">
        <v>854</v>
      </c>
      <c r="AF58" s="26" t="s">
        <v>854</v>
      </c>
      <c r="AG58" s="23" t="s">
        <v>864</v>
      </c>
      <c r="AH58" s="23" t="s">
        <v>864</v>
      </c>
      <c r="AI58" s="24" t="s">
        <v>863</v>
      </c>
      <c r="AJ58" s="23" t="s">
        <v>864</v>
      </c>
      <c r="AK58" s="220" t="str">
        <f>IF(AND(AD58="",AE58="",AF58="",AG58="",AH58="",AI58="",AJ58=""),"",IF(OR(Tabla1[[#This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EVALUACIÓN",IF(AND(O58="",R58=""),"",IF(AND(OR(O58&gt;0,R58&gt;0),NG58&gt;=0,NG58&lt;2),"SIN RIESGO",IF(AND(OR(O58&gt;0,R58&gt;0),NG58&gt;=2),"CON RIESGO","ASD")))))</f>
        <v>SIN RIESGO</v>
      </c>
      <c r="AL58" s="23" t="s">
        <v>864</v>
      </c>
      <c r="AM58" s="26" t="s">
        <v>864</v>
      </c>
      <c r="AN58" s="26" t="s">
        <v>864</v>
      </c>
      <c r="AO58" s="26" t="s">
        <v>864</v>
      </c>
      <c r="AP58" s="26" t="s">
        <v>864</v>
      </c>
      <c r="AQ58" s="26" t="s">
        <v>864</v>
      </c>
      <c r="AR58" s="26" t="s">
        <v>864</v>
      </c>
      <c r="AS58" s="21">
        <v>1</v>
      </c>
      <c r="AT58" s="21">
        <v>0</v>
      </c>
      <c r="AU58" s="21">
        <v>0</v>
      </c>
      <c r="AV58" s="26" t="s">
        <v>864</v>
      </c>
      <c r="AW58" s="21">
        <v>1</v>
      </c>
      <c r="AX58" s="26" t="s">
        <v>864</v>
      </c>
      <c r="AY58" s="26" t="s">
        <v>864</v>
      </c>
      <c r="AZ58" s="26" t="s">
        <v>864</v>
      </c>
      <c r="BA58" s="26" t="s">
        <v>864</v>
      </c>
      <c r="BB58" s="26" t="s">
        <v>864</v>
      </c>
      <c r="BC58" s="26" t="s">
        <v>864</v>
      </c>
      <c r="BD58" s="26" t="s">
        <v>864</v>
      </c>
      <c r="BE58" s="26" t="s">
        <v>864</v>
      </c>
      <c r="BF58" s="26" t="s">
        <v>864</v>
      </c>
      <c r="BG58" s="26" t="s">
        <v>864</v>
      </c>
      <c r="BH58" s="26" t="s">
        <v>864</v>
      </c>
      <c r="BI58" s="26" t="s">
        <v>864</v>
      </c>
      <c r="BJ58" s="26"/>
      <c r="BK58" s="26"/>
      <c r="BL58" s="26" t="s">
        <v>864</v>
      </c>
      <c r="BM58" s="26" t="s">
        <v>864</v>
      </c>
      <c r="BN58" s="22">
        <v>41042</v>
      </c>
      <c r="BO58" s="22">
        <v>44777</v>
      </c>
      <c r="BP58" s="21" t="s">
        <v>854</v>
      </c>
      <c r="BQ58" s="222">
        <f t="shared" si="2"/>
        <v>124.5</v>
      </c>
      <c r="BR58" s="223">
        <f t="shared" si="3"/>
        <v>44777</v>
      </c>
      <c r="BS58" s="224">
        <f t="shared" si="4"/>
        <v>10</v>
      </c>
      <c r="BT58" s="216" t="str">
        <f t="shared" si="5"/>
        <v>II TRIM</v>
      </c>
      <c r="BU58" s="214" t="str">
        <f t="shared" ca="1" si="6"/>
        <v/>
      </c>
      <c r="BV58" s="25"/>
      <c r="BW58" s="22">
        <v>44889</v>
      </c>
      <c r="BX58" s="28">
        <v>16</v>
      </c>
      <c r="BY58" s="28"/>
      <c r="BZ58" s="22"/>
      <c r="CA58" s="21"/>
      <c r="CB58" s="26" t="s">
        <v>864</v>
      </c>
      <c r="CC58" s="26" t="s">
        <v>864</v>
      </c>
      <c r="CD58" s="26" t="s">
        <v>972</v>
      </c>
      <c r="CE58" s="26" t="s">
        <v>864</v>
      </c>
      <c r="CF58" s="22" t="s">
        <v>1517</v>
      </c>
      <c r="CG58" s="21">
        <v>1.45</v>
      </c>
      <c r="CH58" s="21">
        <v>53</v>
      </c>
      <c r="CI58" s="214">
        <f t="shared" si="7"/>
        <v>25.208085612366229</v>
      </c>
      <c r="CJ58" s="225" t="e">
        <f>IF(AND(CI58&lt;10,CH58="SD"),"SIN DATO PESO PREGESTACION O I TRIM",IF(AND(OR(R58&gt;0,O58&gt;0),CI58="X"),"INGRESAR DATO DE PESO",IF(CI58="SD","INGRESAR DATO DE TALLA Y PESO",IF(AND(OR(Tabla1[[#This Row],[MOMENTO EN QUE SE REALIZA EL PESO AL INGRESO A CPN]]="PREGESTACIÓN",NZ58="Menor"),CI58&lt;18.5),"BAJO PESO",IF(AND(OR(Tabla1[[#This Row],[MOMENTO EN QUE SE REALIZA EL PESO AL INGRESO A CPN]]="PREGESTACIÓN",NZ58="Menor"),CI58&lt;25),"NORMAL",IF(AND(OR(Tabla1[[#This Row],[MOMENTO EN QUE SE REALIZA EL PESO AL INGRESO A CPN]]="PREGESTACIÓN",NZ58="Menor"),CI58&lt;30),"SOBREPESO",IF(AND(OR(Tabla1[[#This Row],[MOMENTO EN QUE SE REALIZA EL PESO AL INGRESO A CPN]]="PREGESTACIÓN",NZ58="Menor"),CI58&gt;=30,CI58&lt;50),"OBESIDAD",IF(AND(BS58&gt;0,Tabla1[[#This Row],[MOMENTO EN QUE SE REALIZA EL PESO AL INGRESO A CPN]]="GESTACIÓN"),HLOOKUP(NZ58,$OA$2:PH58,NY58),""))))))))</f>
        <v>#REF!</v>
      </c>
      <c r="CK58" s="212">
        <f t="shared" si="8"/>
        <v>45012</v>
      </c>
      <c r="CL58" s="21"/>
      <c r="CM58" s="214">
        <f t="shared" si="9"/>
        <v>0</v>
      </c>
      <c r="CN58" s="216">
        <f t="shared" si="10"/>
        <v>33</v>
      </c>
      <c r="CO58" s="216" t="e">
        <f>IF(PI58="","",IF(PI58&gt;0,HLOOKUP(PI58,$PJ$2:QQ58,NY58),""))</f>
        <v>#REF!</v>
      </c>
      <c r="CP58" s="21"/>
      <c r="CQ58" s="216" t="e">
        <f>IF(QR58="Menor","NO APLICA-MENOR 13 SEM",IF(AND(CC58="SI",CN58&gt;23),"NO APLICA- GEMELAR",IF(QR58="","",IF(QR58&gt;0,HLOOKUP(QR58,$QS$2:RU58,NY58),""))))</f>
        <v>#REF!</v>
      </c>
      <c r="CR58" s="21">
        <v>100</v>
      </c>
      <c r="CS58" s="21">
        <v>60</v>
      </c>
      <c r="CT58" s="217" t="str">
        <f>IF(R58="","",IF(AND(BS58&gt;1,BS58&lt;12,Tabla1[[#This Row],[T.A. SISTOLICA - ANTES DE SEMANA 12]]="",Tabla1[[#This Row],[T.A. DIASTOLICA - ANTES DE SEMANA 12]]=""),"REGISTRE DATO TA ANTES SEMANA 12",IF(AND(BS58&gt;11,BS58&lt;43,Tabla1[[#This Row],[T.A. SISTOLICA - ANTES DE SEMANA 12]]="",Tabla1[[#This Row],[T.A. DIASTOLICA - ANTES DE SEMANA 12]]=""),"NO APLICA REGISTRO TA-INGRESO TARDIO",IF(AND(OR(O58&gt;0,R58&gt;0),OR(CR58&gt;=140,CS58&gt;=90)),"DEFINIR ESTADIO HTA",IF(AND(OR(O58&gt;0,R58&gt;0),AND(CR58&gt;120,CR58&lt;=139)),"PRE HTA SEGUIMIENTO",IF(AND(OR(O58&gt;0,R58&gt;0),AND(CS58&gt;80,CS58&lt;=89)),"PRE HTA SEGUIMIENTO",IF(AND(OR(O58&gt;0,R58&gt;0),AND(CR58&gt;=80,CR58&lt;=120)),"APARENTEMENTE NORMAL",IF(AND(OR(O58&gt;0,R58&gt;0),AND(CS58&gt;=50,CS58&lt;=80)),"APARENTEMENTE NORMAL",IF(AND(OR(O58&gt;0,R58&gt;0),AND(CR58&gt;1,CR58&lt;=70),AND(CS58&gt;1,CS58&lt;=40)),"HIPOTENSIÓN","")))))))))</f>
        <v>APARENTEMENTE NORMAL</v>
      </c>
      <c r="CU58" s="21">
        <v>100</v>
      </c>
      <c r="CV58" s="21">
        <v>60</v>
      </c>
      <c r="CW58" s="217" t="str">
        <f ca="1">IF(R58="","",IF(AND(CN58&gt;19,CN58&lt;27,Tabla1[[#This Row],[T.A. SISTOLICA (Entre semana 20 y 26)]]="",Tabla1[[#This Row],[T.A. DIATOLICA (Entre semana 20 y 26)]]=""),"ACUDE A CONTROL SEM 20 A 26 REGISTRE TA AHORA",IF(AND(BS58&gt;1,BS58&lt;27,BU58&gt;19,Tabla1[[#This Row],[T.A. SISTOLICA (Entre semana 20 y 26)]]="",Tabla1[[#This Row],[T.A. DIATOLICA (Entre semana 20 y 26)]]=""),"COMPLETE REGISTRO TA CONTROL SEM 20 A26 ",IF(AND(BS58&gt;26,BS58&lt;43,Tabla1[[#This Row],[T.A. SISTOLICA (Entre semana 20 y 26)]]="",Tabla1[[#This Row],[T.A. DIATOLICA (Entre semana 20 y 26)]]=""),"NO APLICA REGISTRO TA-INGRESO TARDIO",IF(AND(OR(O58&gt;0,R58&gt;0),OR(CU58&gt;=140,CV58&gt;=90)),"ALTO RIESGO PREECLAMPSIA,DEFINIR ESTADIO HTA",IF(AND(OR(O58&gt;0,R58&gt;0),AND(CU58&gt;120,CU58&lt;=139)),"PRE HTA SEGUIMIENTO,RIESGO HIPERTENSION INDUCIDA POR EL EMBARAZO",IF(AND(OR(O58&gt;0,R58&gt;0),AND(CV58&gt;80,CV58&lt;=89)),"PRE HTA SEGUIMIENTO, RIESGO HIPERTENSION INDUCIDA POR EL EMBARAZO",IF(AND(OR(O58&lt;&gt;"",R58&lt;&gt;""),CS58&lt;&gt;"",CV58&lt;&gt;"",CS58&lt;=CV58),"VIGILAR CIFRAS PRESION ARTERIAL",IF(AND(OR(O58&gt;0,R58&gt;0),AND(CU58&gt;120,CU58&lt;=139)),"PRE HTA SEGUIMIENTO",IF(AND(OR(O58&gt;0,R58&gt;0),AND(CU58&gt;1,CU58&lt;=70),AND(CV58&gt;1,CV58&lt;=40)),"HIPOTENSIÓN",IF(AND(OR(O58&lt;&gt;"",R58&lt;&gt;""),CS58&lt;&gt;"",CV58&lt;&gt;"",CS58&gt;CV58),"APARENTEMENTE NORMAL",IF(AND(OR(O58&gt;0,R58&gt;0),AND(CU58&gt;=80,CU58&lt;=120)),"APARENTEMENTE NORMAL",IF(AND(OR(O58&gt;0,R58&gt;0),AND(CV58&gt;=50,CV58&lt;=80)),"APARENTEMENTE NORMAL","")))))))))))))</f>
        <v>VIGILAR CIFRAS PRESION ARTERIAL</v>
      </c>
      <c r="CX58" s="21"/>
      <c r="CY58" s="21">
        <v>100</v>
      </c>
      <c r="CZ58" s="216" t="str">
        <f t="shared" si="195"/>
        <v>ESTUDIO INMEDIATO HTA PARA DESCARTAR PREECLAMSIA</v>
      </c>
      <c r="DA58" s="21"/>
      <c r="DB58" s="21"/>
      <c r="DC58" s="217" t="str">
        <f t="shared" si="12"/>
        <v>REGISTRE DATO PRESIÓN ARTERIAL MENSUAL</v>
      </c>
      <c r="DD58" s="22">
        <v>44847</v>
      </c>
      <c r="DE58" s="22">
        <v>44847</v>
      </c>
      <c r="DF58" s="22">
        <v>44891</v>
      </c>
      <c r="DG58" s="22">
        <v>44923</v>
      </c>
      <c r="DH58" s="22">
        <v>44954</v>
      </c>
      <c r="DI58" s="22">
        <v>44985</v>
      </c>
      <c r="DJ58" s="22">
        <v>45012</v>
      </c>
      <c r="DK58" s="22"/>
      <c r="DL58" s="22"/>
      <c r="DM58" s="22"/>
      <c r="DN58" s="22"/>
      <c r="DO58" s="22"/>
      <c r="DP58" s="22"/>
      <c r="DQ58" s="22"/>
      <c r="DR58" s="28">
        <v>2</v>
      </c>
      <c r="DS58" s="22"/>
      <c r="DT58" s="22"/>
      <c r="DU58" s="216" t="str">
        <f t="shared" ca="1" si="196"/>
        <v>SALE SIN PLAN DE PARTO</v>
      </c>
      <c r="DV58" s="226" t="str">
        <f t="shared" si="197"/>
        <v>SALIO PROGRAMA</v>
      </c>
      <c r="DW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8" s="216" t="str">
        <f t="shared" ca="1" si="15"/>
        <v/>
      </c>
      <c r="DY58" s="212">
        <f>IF(R58="","",IF(R58&gt;0,MAX(Tabla1[[#This Row],[FECHA C2]:[FECHA C13]],Tabla1[[#This Row],[FECHA CONSULTA PRIMERA VEZ PROGRAMA CPN ]])))</f>
        <v>45012</v>
      </c>
      <c r="DZ58" s="216">
        <f t="shared" si="16"/>
        <v>33</v>
      </c>
      <c r="EA58" s="222">
        <f>IF(R58&gt;0,SUM(COUNTA(DF58:DQ58)+COUNTA(Tabla1[[#This Row],[FECHA CONSULTA PRIMERA VEZ PROGRAMA CPN ]])),"")</f>
        <v>6</v>
      </c>
      <c r="EB58" s="222" t="str">
        <f t="shared" si="17"/>
        <v>SI</v>
      </c>
      <c r="EC58" s="214">
        <f t="shared" si="18"/>
        <v>9</v>
      </c>
      <c r="ED58" s="227">
        <f t="shared" si="19"/>
        <v>0.66666666666666663</v>
      </c>
      <c r="EE58" s="22">
        <v>44847</v>
      </c>
      <c r="EF58" s="22">
        <v>44847</v>
      </c>
      <c r="EG58" s="22">
        <v>44847</v>
      </c>
      <c r="EH58" s="22"/>
      <c r="EI58" s="22">
        <v>44847</v>
      </c>
      <c r="EJ58" s="22">
        <v>44886</v>
      </c>
      <c r="EK58" s="22">
        <v>44886</v>
      </c>
      <c r="EL58" s="21">
        <v>1</v>
      </c>
      <c r="EM58" s="21">
        <v>13.6</v>
      </c>
      <c r="EN58" s="22">
        <v>44908</v>
      </c>
      <c r="EO58" s="222">
        <f t="shared" si="20"/>
        <v>18.714285714285715</v>
      </c>
      <c r="EP58" s="214" t="str">
        <f t="shared" si="21"/>
        <v>NORMAL- SUMINISTRAR SULFATO FERROSO</v>
      </c>
      <c r="EQ58" s="216" t="str">
        <f t="shared" si="22"/>
        <v>II TRIM</v>
      </c>
      <c r="ER58" s="24"/>
      <c r="ES58" s="22"/>
      <c r="ET58" s="29" t="str">
        <f t="shared" ca="1" si="198"/>
        <v>SALE SIN TAMIZAJE HEMOGLOBINA SEM 28</v>
      </c>
      <c r="EU58" s="25" t="str">
        <f t="shared" si="24"/>
        <v/>
      </c>
      <c r="EV58" s="24" t="s">
        <v>866</v>
      </c>
      <c r="EW58" s="24">
        <v>44847</v>
      </c>
      <c r="EX58" s="22"/>
      <c r="EY58" s="29">
        <f t="shared" si="199"/>
        <v>10</v>
      </c>
      <c r="EZ58" s="25" t="str">
        <f t="shared" ca="1" si="200"/>
        <v/>
      </c>
      <c r="FA58" s="21">
        <v>67</v>
      </c>
      <c r="FB58" s="22">
        <v>44847</v>
      </c>
      <c r="FC58" s="29">
        <f t="shared" si="27"/>
        <v>10</v>
      </c>
      <c r="FD58" s="29"/>
      <c r="FE58" s="29"/>
      <c r="FF58" s="29"/>
      <c r="FG58" s="21" t="str">
        <f t="shared" ca="1" si="28"/>
        <v/>
      </c>
      <c r="FH58" s="31"/>
      <c r="FI58" s="29" t="str">
        <f t="shared" si="29"/>
        <v>TOMAR EXAMEN</v>
      </c>
      <c r="FJ58" s="22" t="s">
        <v>867</v>
      </c>
      <c r="FK58" s="22">
        <v>44847</v>
      </c>
      <c r="FL58" s="29">
        <f t="shared" ca="1" si="30"/>
        <v>10</v>
      </c>
      <c r="FM58" s="22"/>
      <c r="FN58" s="32"/>
      <c r="FO58" s="29" t="str">
        <f t="shared" ca="1" si="201"/>
        <v>PIERDE TOMA DE TAMIZAJE</v>
      </c>
      <c r="FP58" s="22"/>
      <c r="FQ58" s="32"/>
      <c r="FR58" s="29" t="str">
        <f t="shared" ca="1" si="202"/>
        <v>PIERDE TOMA DE TAMIZAJE</v>
      </c>
      <c r="FS58" s="22"/>
      <c r="FT58" s="32"/>
      <c r="FU58" s="29" t="str">
        <f>IF(AND(FJ58="",FM58="",FP58="",FS58=""),"",IF(OR(OR(Tabla1[[#This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8" s="28"/>
      <c r="FW58" s="22"/>
      <c r="FX58" s="29" t="str">
        <f t="shared" si="33"/>
        <v>TOMAR EXAMEN</v>
      </c>
      <c r="FY58" s="22">
        <v>44847</v>
      </c>
      <c r="FZ58" s="22">
        <v>44847</v>
      </c>
      <c r="GA58" s="29">
        <f t="shared" ca="1" si="203"/>
        <v>10</v>
      </c>
      <c r="GB58" s="22"/>
      <c r="GC58" s="22"/>
      <c r="GD58" s="29" t="str">
        <f t="shared" ca="1" si="204"/>
        <v>PIERDE TOMA DE TAMIZAJE</v>
      </c>
      <c r="GE58" s="22"/>
      <c r="GF58" s="22"/>
      <c r="GG58" s="29" t="str">
        <f t="shared" ca="1" si="205"/>
        <v>PIERDE TOMA DE TAMIZAJE</v>
      </c>
      <c r="GH58" s="22"/>
      <c r="GI58" s="29"/>
      <c r="GJ58" s="22"/>
      <c r="GK58" s="22"/>
      <c r="GL58" s="22"/>
      <c r="GM58" s="22"/>
      <c r="GN58" s="28" t="s">
        <v>869</v>
      </c>
      <c r="GO58" s="22">
        <v>44911</v>
      </c>
      <c r="GP58" s="29">
        <f t="shared" si="37"/>
        <v>19.142857142857142</v>
      </c>
      <c r="GQ58" s="28"/>
      <c r="GR58" s="28"/>
      <c r="GS58" s="22" t="str">
        <f t="shared" si="206"/>
        <v/>
      </c>
      <c r="GT58" s="22"/>
      <c r="GU58" s="29" t="str">
        <f t="shared" si="39"/>
        <v>TOMAR EXAMEN</v>
      </c>
      <c r="GV58" s="21" t="str">
        <f t="shared" si="40"/>
        <v>POR DEFINIR</v>
      </c>
      <c r="GW58" s="28"/>
      <c r="GX58" s="30"/>
      <c r="GY58" s="21"/>
      <c r="GZ58" s="21"/>
      <c r="HA58" s="21"/>
      <c r="HB58" s="21"/>
      <c r="HC58" s="21"/>
      <c r="HD58" s="21"/>
      <c r="HE58" s="21"/>
      <c r="HF58" s="22"/>
      <c r="HG58" s="22" t="str">
        <f>IF(OR(O58&gt;0,R58&gt;0),CONCATENATE(IF(Tabla1[[#This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8" s="22" t="e">
        <f t="shared" si="41"/>
        <v>#REF!</v>
      </c>
      <c r="HI58" s="22" t="e">
        <f t="shared" ca="1" si="42"/>
        <v>#REF!</v>
      </c>
      <c r="HJ58" s="21"/>
      <c r="HK58" s="21" t="str">
        <f t="shared" si="44"/>
        <v>SIN ANTECEDENTES DE RIESGO</v>
      </c>
      <c r="HL58" s="24" t="str">
        <f t="shared" si="45"/>
        <v>REGISTRE DATO PRESIÓN ARTERIAL MENSUAL</v>
      </c>
      <c r="HM58" s="21" t="str">
        <f t="shared" ca="1" si="46"/>
        <v/>
      </c>
      <c r="HN58" s="30" t="str">
        <f t="shared" si="207"/>
        <v>SALIO PROGRAMA</v>
      </c>
      <c r="HO58" s="21"/>
      <c r="HP58" s="21" t="s">
        <v>864</v>
      </c>
      <c r="HQ58" s="21">
        <v>44847</v>
      </c>
      <c r="HR58" s="21" t="str">
        <f>IF(R58="","",IF(Tabla1[[#This Row],[ALARMA FACTORES DE RIESGO COMPLICACIONES HIPERTENSIVAS3]]="SIN ANTECEDENTES DE RIESGO","No Aplica para suministro de ASA",IF(AND(Tabla1[[#This Row],[FECHA INICIO DE SUMINISTRO DE ASA]]&gt;0,RV58&lt;12),"Inicia ASA ANTES de Sem 12",IF(AND(RV58&gt;11,RV58&lt;17,OR(HK58="RIESGO ALTO DE COMPLICACIONES HIPERTENSIVAS VER MANEJO GUIA SUMINISTRO ASA Y CALCIO",HK58="RIESGO MODERADO (2 O MAS CRITERIOS) VER MANEJO GUIA SUMINISTRO ASA Y CALCIO")),"Inicio oportuno de ASA",IF(AND(RV58&gt;12,OR(HK58="RIESGO ALTO DE COMPLICACIONES HIPERTENSIVAS VER MANEJO GUIA SUMINISTRO ASA Y CALCIO",HK58="RIESGO MODERADO (2 O MAS CRITERIOS) VER MANEJO GUIA SUMINISTRO ASA Y CALCIO")),"Inicio no oportuno mayor a 16 semanas",IF(AND(BU58&lt;12,OR(HK58="RIESGO ALTO DE COMPLICACIONES HIPERTENSIVAS VER MANEJO GUIA SUMINISTRO ASA Y CALCIO",HK58="RIESGO MODERADO (2 O MAS CRITERIOS) VER MANEJO GUIA SUMINISTRO ASA Y CALCIO")),"Pendiente Inicio de ASA a la semana 12",IF(AND(BU58&gt;11,BU58&lt;17,OR(HK58="RIESGO ALTO DE COMPLICACIONES HIPERTENSIVAS VER MANEJO GUIA SUMINISTRO ASA Y CALCIO",HK58="RIESGO MODERADO (2 O MAS CRITERIOS) VER MANEJO GUIA SUMINISTRO ASA Y CALCIO")),"Iniciar de inmediato ASA",IF(AND(BU58&gt;16,OR(HK58="RIESGO ALTO DE COMPLICACIONES HIPERTENSIVAS VER MANEJO GUIA SUMINISTRO ASA Y CALCIO",HK58="RIESGO MODERADO (2 O MAS CRITERIOS) VER MANEJO GUIA SUMINISTRO ASA Y CALCIO")),"Pierde Oportunidad, Inicio tardío de ASA","XXXXX"))))))))</f>
        <v>No Aplica para suministro de ASA</v>
      </c>
      <c r="HS58" s="22">
        <v>44847</v>
      </c>
      <c r="HT58" s="22" t="s">
        <v>870</v>
      </c>
      <c r="HU58" s="22">
        <v>44847</v>
      </c>
      <c r="HV58" s="22" t="s">
        <v>870</v>
      </c>
      <c r="HW58" s="22">
        <v>44847</v>
      </c>
      <c r="HX58" s="22" t="s">
        <v>935</v>
      </c>
      <c r="HY58" s="22">
        <v>44847</v>
      </c>
      <c r="HZ58" s="28">
        <f t="shared" si="48"/>
        <v>10</v>
      </c>
      <c r="IA58" s="26" t="s">
        <v>864</v>
      </c>
      <c r="IB58" s="26"/>
      <c r="IC58" s="111"/>
      <c r="ID58" s="22"/>
      <c r="IE58" s="22" t="str">
        <f t="shared" ca="1" si="49"/>
        <v>SALE SIN VACUNA</v>
      </c>
      <c r="IF58" s="22"/>
      <c r="IG58" s="22">
        <f t="shared" si="50"/>
        <v>45057</v>
      </c>
      <c r="IH58" s="29">
        <f t="shared" ca="1" si="51"/>
        <v>-176</v>
      </c>
      <c r="II58" s="22" t="str">
        <f t="shared" ca="1" si="52"/>
        <v>POSIBLEMENTE NACIO</v>
      </c>
      <c r="IJ58" s="22"/>
      <c r="IK58" s="21" t="s">
        <v>1652</v>
      </c>
      <c r="IL58" s="21"/>
      <c r="IM58" s="34"/>
      <c r="IN58" s="349">
        <v>45046</v>
      </c>
      <c r="IO58" s="21" t="s">
        <v>1186</v>
      </c>
      <c r="IP58" s="29">
        <f t="shared" si="208"/>
        <v>38.428571428571431</v>
      </c>
      <c r="IQ58" s="35" t="s">
        <v>1650</v>
      </c>
      <c r="IR58" s="21" t="s">
        <v>1651</v>
      </c>
      <c r="IS58" s="21" t="s">
        <v>1646</v>
      </c>
      <c r="IT58" s="21" t="s">
        <v>1642</v>
      </c>
      <c r="IU58" s="21"/>
      <c r="IV58" s="21"/>
      <c r="IW58" s="21"/>
      <c r="IX58" s="21"/>
      <c r="IY58" s="21"/>
      <c r="IZ58" s="21"/>
      <c r="JA58" s="21"/>
      <c r="JB58" s="30">
        <v>1</v>
      </c>
      <c r="JC58" s="21" t="s">
        <v>1647</v>
      </c>
      <c r="JD58" s="36">
        <v>3085</v>
      </c>
      <c r="JE58" s="21" t="str">
        <f t="shared" si="209"/>
        <v>PESO ADECUADO EDAD GESTACIONAL</v>
      </c>
      <c r="JF58" s="30"/>
      <c r="JG58" s="21"/>
      <c r="JH58" s="21"/>
      <c r="JI58" s="21" t="s">
        <v>854</v>
      </c>
      <c r="JJ58" s="30" t="s">
        <v>866</v>
      </c>
      <c r="JK58" s="22"/>
      <c r="JL58" s="22"/>
      <c r="JM58" s="21"/>
      <c r="JN58" s="36"/>
      <c r="JO58" s="21" t="str">
        <f t="shared" si="210"/>
        <v/>
      </c>
      <c r="JP58" s="22"/>
      <c r="JQ58" s="21"/>
      <c r="JR58" s="21"/>
      <c r="JS58" s="21"/>
      <c r="JT58" s="30"/>
      <c r="JU58" s="22"/>
      <c r="JV58" s="22"/>
      <c r="JW58" s="33"/>
      <c r="JX58" s="28" t="str">
        <f t="shared" si="211"/>
        <v>INASISTENTE</v>
      </c>
      <c r="JY58" s="33"/>
      <c r="JZ58" s="28" t="str">
        <f t="shared" si="212"/>
        <v>INASISTENTE</v>
      </c>
      <c r="KA58" s="21"/>
      <c r="KB58" s="21"/>
      <c r="KC58" s="21"/>
      <c r="KD58" s="37"/>
      <c r="KE58" s="28"/>
      <c r="KF58" s="28"/>
      <c r="KG58" s="28"/>
      <c r="KH58" s="39"/>
      <c r="KI58" s="39"/>
      <c r="KJ58" s="66"/>
      <c r="KK58" s="39"/>
      <c r="KL58" s="39"/>
      <c r="KM58" s="66"/>
      <c r="KN58" s="39"/>
      <c r="KO58" s="39"/>
      <c r="KP58" s="39"/>
      <c r="KQ58" s="39"/>
      <c r="KR58" s="39"/>
      <c r="KS58" s="39"/>
      <c r="KT58" s="39"/>
      <c r="KU58" s="38"/>
      <c r="KV58" s="38"/>
      <c r="KW58" s="38"/>
      <c r="KX58" s="38"/>
      <c r="KY58" s="38"/>
      <c r="KZ58" s="38"/>
      <c r="LA58" s="38"/>
      <c r="LB58" s="38"/>
      <c r="LC58" s="38"/>
      <c r="LD58" s="38"/>
      <c r="LE58" s="38"/>
      <c r="LF58" s="38"/>
      <c r="LG58" s="38"/>
      <c r="LH58" s="38"/>
      <c r="LI58" s="38"/>
      <c r="LJ58" s="38"/>
      <c r="LK58" s="38"/>
      <c r="LL58" s="38"/>
      <c r="LM58" s="38"/>
      <c r="LN58" s="38"/>
      <c r="LO58" s="38"/>
      <c r="LP58" s="38"/>
      <c r="LQ58" s="38"/>
      <c r="LR58" s="38"/>
      <c r="LS58" s="38"/>
      <c r="LT58" s="38"/>
      <c r="LU58" s="38"/>
      <c r="LV58" s="38"/>
      <c r="LW58" s="38"/>
      <c r="LX58" s="38"/>
      <c r="LY58" s="38"/>
      <c r="LZ58" s="38"/>
      <c r="MA58" s="38"/>
      <c r="MB58" s="38"/>
      <c r="MC58" s="38"/>
      <c r="MD58" s="38"/>
      <c r="ME58" s="38"/>
      <c r="MF58" s="38"/>
      <c r="MG58" s="38"/>
      <c r="MH58" s="43">
        <f t="shared" si="213"/>
        <v>0</v>
      </c>
      <c r="MI58" s="43" t="str">
        <f t="shared" si="214"/>
        <v/>
      </c>
      <c r="MJ58" s="43" t="str">
        <f t="shared" si="215"/>
        <v/>
      </c>
      <c r="MK58" s="43">
        <f t="shared" si="216"/>
        <v>0</v>
      </c>
      <c r="ML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8" s="43">
        <f t="shared" si="217"/>
        <v>10</v>
      </c>
      <c r="MN58" s="43">
        <f t="shared" si="218"/>
        <v>10</v>
      </c>
      <c r="MO58" s="43">
        <f t="shared" si="219"/>
        <v>2022</v>
      </c>
      <c r="MP58" s="43" t="str">
        <f t="shared" si="220"/>
        <v>IV TRIMESTRE AÑO</v>
      </c>
      <c r="MQ58" s="43">
        <f t="shared" si="221"/>
        <v>30.163162505475253</v>
      </c>
      <c r="MR58" s="43">
        <f t="shared" si="222"/>
        <v>0</v>
      </c>
      <c r="MS58" s="43" t="str">
        <f t="shared" si="223"/>
        <v xml:space="preserve"> DE 30 A 34 AÑOS</v>
      </c>
      <c r="MT58" s="43">
        <f t="shared" si="224"/>
        <v>0</v>
      </c>
      <c r="MU58" s="43">
        <f t="shared" si="225"/>
        <v>1</v>
      </c>
      <c r="MV58" s="43">
        <f t="shared" si="226"/>
        <v>1</v>
      </c>
      <c r="MW58" s="43">
        <f t="shared" si="227"/>
        <v>0</v>
      </c>
      <c r="MX58" s="43" t="str">
        <f t="shared" si="228"/>
        <v/>
      </c>
      <c r="MY58" s="43" t="str">
        <f t="shared" ca="1" si="229"/>
        <v/>
      </c>
      <c r="MZ58" s="43" t="str">
        <f t="shared" si="230"/>
        <v/>
      </c>
      <c r="NA58" s="43" t="str">
        <f t="shared" si="231"/>
        <v/>
      </c>
      <c r="NB58" s="43" t="str">
        <f t="shared" si="232"/>
        <v/>
      </c>
      <c r="NC58" s="43" t="str">
        <f t="shared" si="233"/>
        <v/>
      </c>
      <c r="ND58" s="43">
        <f t="shared" ca="1" si="234"/>
        <v>2</v>
      </c>
      <c r="NE58" s="43">
        <f>IF(OR(O58&gt;0,R58&gt;0),SUM(COUNTIF(Tabla1[[#This Row],[AÑOS AL INICIO5 CPN]],"&gt;=40"),COUNTIF(AS58,"0"),COUNTIF(AR58,"SI"),COUNTIF(CC58,"SI"),COUNTIF(BQ58,"&gt;119"),COUNTIF(CI58,"&gt;=35")),"")</f>
        <v>1</v>
      </c>
      <c r="NF58" s="43" t="str">
        <f t="shared" si="235"/>
        <v/>
      </c>
      <c r="NG58" s="43">
        <f t="shared" si="236"/>
        <v>0</v>
      </c>
      <c r="NH58" s="43">
        <f t="shared" si="237"/>
        <v>112</v>
      </c>
      <c r="NI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CPN",P58="NO"),"Z",IF(AND(Tabla1[[#This Row],[CITA PROXIMO CONTROL]]="CITA MANUAL",Tabla1[[#This Row],[GESTANTES ACTUALES]]="ACTIVA INGRESO A CPN"),"W",IF(AND(Tabla1[[#This Row],[GESTANTES ACTUALES]]="SALIO PROGRAMA",IN58=""),"S",IF(AND(Tabla1[[#This Row],[CITA PROXIMO CONTROL]]&gt;0,IN58=""),(Tabla1[[#This Row],[CITA PROXIMO CONTROL]]-TODAY()),"SD"))))))))</f>
        <v>SD</v>
      </c>
      <c r="NJ58" s="43">
        <f>MONTH(Tabla1[[#This Row],[FECHA DE SALIDA  DEL PROGRAMA]])</f>
        <v>4</v>
      </c>
      <c r="NK58" s="43">
        <f>YEAR(Tabla1[[#This Row],[FECHA DE SALIDA  DEL PROGRAMA]])</f>
        <v>2023</v>
      </c>
      <c r="NL58" s="43">
        <f t="shared" si="238"/>
        <v>39</v>
      </c>
      <c r="NM58" s="43" t="str">
        <f t="shared" si="239"/>
        <v>NO</v>
      </c>
      <c r="NN58" s="43" t="str">
        <f ca="1">IF(AND(O58&gt;0,R58=""),"NO CPN",IF(AND(O58="",R58=""),"",IF(AND(R58&gt;0,Tabla1[[#This Row],[SEMANAS DE GESTACION ACTUALIZADAS]]&lt;=12),"NO APLICA",IF(AND(FH58&lt;&gt;"",FN58&lt;&gt;""),"SI","NO"))))</f>
        <v>NO</v>
      </c>
      <c r="NO58" s="43" t="str">
        <f ca="1">IF(AND(O58&gt;0,R58=""),"NO CPN",IF(AND(O58="",R58=""),"",IF(AND(R58&gt;0,Tabla1[[#This Row],[SEMANAS DE GESTACION ACTUALIZADAS]]&lt;=27),"NO APLICA",IF(AND(ES58&lt;&gt;"",FQ58&lt;&gt;"",GF58&lt;&gt;""),"SI","NO"))))</f>
        <v>NO</v>
      </c>
      <c r="NP58" s="204" t="str">
        <f t="shared" si="240"/>
        <v>I TRIM</v>
      </c>
      <c r="NQ58" s="21">
        <f t="shared" si="241"/>
        <v>10</v>
      </c>
      <c r="NR58" s="21">
        <f t="shared" si="242"/>
        <v>3</v>
      </c>
      <c r="NS58" s="205">
        <f t="shared" ca="1" si="243"/>
        <v>1</v>
      </c>
      <c r="NT58" s="21">
        <f t="shared" ca="1" si="244"/>
        <v>1</v>
      </c>
      <c r="NU58" s="21" t="str">
        <f t="shared" ca="1" si="245"/>
        <v>INCOMPLETO</v>
      </c>
      <c r="NV58" s="21" t="str">
        <f t="shared" ca="1" si="246"/>
        <v>INCOMPLETO</v>
      </c>
      <c r="NW58" s="206" t="str">
        <f>IF(AND(O58="",R58=""),"",IF(OR(AND(Tabla1[[#This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8" s="207" t="str">
        <f t="shared" ca="1" si="247"/>
        <v>SIN VACUNAR</v>
      </c>
      <c r="NY58" s="43">
        <f>ROW(Tabla1[[#This Row],['# DE TAMIZAJES SIFILIS TOMADOS ]])</f>
        <v>58</v>
      </c>
      <c r="NZ58" s="43">
        <f t="shared" si="93"/>
        <v>10</v>
      </c>
      <c r="OA58" s="43" t="str">
        <f t="shared" si="94"/>
        <v/>
      </c>
      <c r="OB58" s="43" t="str">
        <f t="shared" si="95"/>
        <v>NORMAL</v>
      </c>
      <c r="OC58" s="43" t="str">
        <f t="shared" si="96"/>
        <v/>
      </c>
      <c r="OD58" s="43" t="str">
        <f t="shared" si="97"/>
        <v/>
      </c>
      <c r="OE58" s="43" t="str">
        <f t="shared" si="98"/>
        <v/>
      </c>
      <c r="OF58" s="43" t="str">
        <f t="shared" si="99"/>
        <v/>
      </c>
      <c r="OG58" s="43" t="str">
        <f t="shared" si="100"/>
        <v/>
      </c>
      <c r="OH58" s="43" t="str">
        <f t="shared" si="101"/>
        <v/>
      </c>
      <c r="OI58" s="43" t="str">
        <f t="shared" si="102"/>
        <v/>
      </c>
      <c r="OJ58" s="43" t="str">
        <f t="shared" si="103"/>
        <v/>
      </c>
      <c r="OK58" s="43" t="str">
        <f t="shared" si="104"/>
        <v/>
      </c>
      <c r="OL58" s="43" t="str">
        <f t="shared" si="105"/>
        <v/>
      </c>
      <c r="OM58" s="43" t="str">
        <f t="shared" si="106"/>
        <v/>
      </c>
      <c r="ON58" s="43" t="str">
        <f t="shared" si="107"/>
        <v/>
      </c>
      <c r="OO58" s="43" t="str">
        <f t="shared" si="108"/>
        <v/>
      </c>
      <c r="OP58" s="43" t="str">
        <f t="shared" si="109"/>
        <v/>
      </c>
      <c r="OQ58" s="43" t="str">
        <f t="shared" si="110"/>
        <v/>
      </c>
      <c r="OR58" s="43" t="str">
        <f t="shared" si="111"/>
        <v/>
      </c>
      <c r="OS58" s="43" t="str">
        <f t="shared" si="112"/>
        <v/>
      </c>
      <c r="OT58" s="43" t="str">
        <f t="shared" si="113"/>
        <v/>
      </c>
      <c r="OU58" s="43" t="str">
        <f t="shared" si="114"/>
        <v/>
      </c>
      <c r="OV58" s="110" t="str">
        <f t="shared" si="115"/>
        <v/>
      </c>
      <c r="OW58" s="43" t="str">
        <f t="shared" si="116"/>
        <v/>
      </c>
      <c r="OX58" s="43" t="str">
        <f t="shared" si="117"/>
        <v/>
      </c>
      <c r="OY58" s="43" t="str">
        <f t="shared" si="118"/>
        <v/>
      </c>
      <c r="OZ58" s="43" t="str">
        <f t="shared" si="119"/>
        <v/>
      </c>
      <c r="PA58" s="43" t="str">
        <f t="shared" si="120"/>
        <v/>
      </c>
      <c r="PB58" s="43" t="str">
        <f t="shared" si="121"/>
        <v/>
      </c>
      <c r="PC58" s="43" t="str">
        <f t="shared" si="122"/>
        <v/>
      </c>
      <c r="PD58" s="43" t="str">
        <f t="shared" si="123"/>
        <v/>
      </c>
      <c r="PE58" s="43" t="str">
        <f t="shared" si="124"/>
        <v/>
      </c>
      <c r="PF58" s="43" t="str">
        <f t="shared" si="125"/>
        <v/>
      </c>
      <c r="PG58" s="43" t="str">
        <f t="shared" si="126"/>
        <v/>
      </c>
      <c r="PH58" s="43" t="str">
        <f t="shared" si="127"/>
        <v/>
      </c>
      <c r="PI58" s="43">
        <f t="shared" si="128"/>
        <v>33</v>
      </c>
      <c r="PJ58" s="43" t="str">
        <f t="shared" si="129"/>
        <v/>
      </c>
      <c r="PK58" s="43" t="str">
        <f t="shared" si="130"/>
        <v/>
      </c>
      <c r="PL58" s="43" t="str">
        <f t="shared" si="131"/>
        <v/>
      </c>
      <c r="PM58" s="43" t="str">
        <f t="shared" si="132"/>
        <v/>
      </c>
      <c r="PN58" s="43" t="str">
        <f t="shared" si="133"/>
        <v/>
      </c>
      <c r="PO58" s="43" t="str">
        <f t="shared" si="134"/>
        <v/>
      </c>
      <c r="PP58" s="43" t="str">
        <f t="shared" si="135"/>
        <v/>
      </c>
      <c r="PQ58" s="43" t="str">
        <f t="shared" si="136"/>
        <v/>
      </c>
      <c r="PR58" s="43" t="str">
        <f t="shared" si="137"/>
        <v/>
      </c>
      <c r="PS58" s="43" t="str">
        <f t="shared" si="138"/>
        <v/>
      </c>
      <c r="PT58" s="43" t="str">
        <f t="shared" si="139"/>
        <v/>
      </c>
      <c r="PU58" s="43" t="str">
        <f t="shared" si="140"/>
        <v/>
      </c>
      <c r="PV58" s="43" t="str">
        <f t="shared" si="141"/>
        <v/>
      </c>
      <c r="PW58" s="43" t="str">
        <f t="shared" si="142"/>
        <v/>
      </c>
      <c r="PX58" s="43" t="str">
        <f t="shared" si="143"/>
        <v/>
      </c>
      <c r="PY58" s="43" t="str">
        <f t="shared" si="144"/>
        <v/>
      </c>
      <c r="PZ58" s="43" t="str">
        <f t="shared" si="145"/>
        <v/>
      </c>
      <c r="QA58" s="43" t="str">
        <f t="shared" si="146"/>
        <v/>
      </c>
      <c r="QB58" s="43" t="str">
        <f t="shared" si="147"/>
        <v/>
      </c>
      <c r="QC58" s="43" t="str">
        <f t="shared" si="148"/>
        <v/>
      </c>
      <c r="QD58" s="43" t="str">
        <f t="shared" si="149"/>
        <v/>
      </c>
      <c r="QE58" s="43" t="str">
        <f t="shared" si="150"/>
        <v/>
      </c>
      <c r="QF58" s="43" t="str">
        <f t="shared" si="151"/>
        <v/>
      </c>
      <c r="QG58" s="43" t="str">
        <f t="shared" si="152"/>
        <v/>
      </c>
      <c r="QH58" s="43" t="str">
        <f t="shared" si="153"/>
        <v/>
      </c>
      <c r="QI58" s="43" t="str">
        <f t="shared" si="154"/>
        <v/>
      </c>
      <c r="QJ58" s="43" t="str">
        <f t="shared" si="155"/>
        <v/>
      </c>
      <c r="QK58" s="43" t="str">
        <f t="shared" si="156"/>
        <v/>
      </c>
      <c r="QL58" s="43" t="str">
        <f t="shared" si="157"/>
        <v/>
      </c>
      <c r="QM58" s="43" t="str">
        <f t="shared" si="158"/>
        <v/>
      </c>
      <c r="QN58" s="43" t="str">
        <f t="shared" si="159"/>
        <v/>
      </c>
      <c r="QO58" s="43" t="str">
        <f t="shared" si="160"/>
        <v/>
      </c>
      <c r="QP58" s="43" t="str">
        <f t="shared" si="161"/>
        <v/>
      </c>
      <c r="QQ58" s="43" t="str">
        <f t="shared" si="162"/>
        <v/>
      </c>
      <c r="QR58" s="43">
        <f t="shared" si="192"/>
        <v>33</v>
      </c>
      <c r="QS58" s="43"/>
      <c r="QT58" s="21" t="str">
        <f t="shared" si="163"/>
        <v/>
      </c>
      <c r="QU58" s="21" t="str">
        <f t="shared" si="164"/>
        <v/>
      </c>
      <c r="QV58" s="21" t="str">
        <f t="shared" si="165"/>
        <v/>
      </c>
      <c r="QW58" s="21" t="str">
        <f t="shared" si="166"/>
        <v/>
      </c>
      <c r="QX58" s="21" t="str">
        <f t="shared" si="167"/>
        <v/>
      </c>
      <c r="QY58" s="21" t="str">
        <f t="shared" si="168"/>
        <v/>
      </c>
      <c r="QZ58" s="21" t="str">
        <f t="shared" si="169"/>
        <v/>
      </c>
      <c r="RA58" s="21" t="str">
        <f t="shared" si="170"/>
        <v/>
      </c>
      <c r="RB58" s="21" t="str">
        <f t="shared" si="171"/>
        <v/>
      </c>
      <c r="RC58" s="21" t="str">
        <f t="shared" si="172"/>
        <v/>
      </c>
      <c r="RD58" s="21" t="str">
        <f t="shared" si="173"/>
        <v/>
      </c>
      <c r="RE58" s="21" t="str">
        <f t="shared" si="174"/>
        <v/>
      </c>
      <c r="RF58" s="21" t="str">
        <f t="shared" si="175"/>
        <v/>
      </c>
      <c r="RG58" s="21" t="str">
        <f t="shared" si="176"/>
        <v/>
      </c>
      <c r="RH58" s="21" t="str">
        <f t="shared" si="177"/>
        <v/>
      </c>
      <c r="RI58" s="21" t="str">
        <f t="shared" si="178"/>
        <v/>
      </c>
      <c r="RJ58" s="21" t="str">
        <f t="shared" si="179"/>
        <v/>
      </c>
      <c r="RK58" s="21" t="str">
        <f t="shared" si="180"/>
        <v/>
      </c>
      <c r="RL58" s="21" t="str">
        <f t="shared" si="181"/>
        <v/>
      </c>
      <c r="RM58" s="21" t="str">
        <f t="shared" si="182"/>
        <v/>
      </c>
      <c r="RN58" s="21" t="str">
        <f t="shared" si="183"/>
        <v/>
      </c>
      <c r="RO58" s="21" t="str">
        <f t="shared" si="184"/>
        <v/>
      </c>
      <c r="RP58" s="21" t="str">
        <f t="shared" si="185"/>
        <v/>
      </c>
      <c r="RQ58" s="21" t="str">
        <f t="shared" si="186"/>
        <v/>
      </c>
      <c r="RR58" s="21" t="str">
        <f t="shared" si="187"/>
        <v/>
      </c>
      <c r="RS58" s="21" t="str">
        <f t="shared" si="188"/>
        <v/>
      </c>
      <c r="RT58" s="21" t="str">
        <f t="shared" si="189"/>
        <v/>
      </c>
      <c r="RU58" s="21" t="str">
        <f t="shared" si="190"/>
        <v/>
      </c>
      <c r="RV58" s="21">
        <f t="shared" si="191"/>
        <v>10</v>
      </c>
      <c r="RW58" s="284">
        <f>IF(OR(Tabla1[[#This Row],[FUM FORMULA CONFIABLE]]="",Tabla1[[#This Row],[FUM FORMULA CONFIABLE]]="SD"),"",IF(Tabla1[[#This Row],[FUM FORMULA CONFIABLE]]="CORREGIDA",Tabla1[[#This Row],[FUM X ECO 1]],Tabla1[[#This Row],[FUM x AMENORREA]]))</f>
        <v>44777</v>
      </c>
      <c r="RX58" s="21">
        <f>IF(AND(Tabla1[[#This Row],[FUM X ECO 1]]="",Tabla1[[#This Row],[FUM x AMENORREA]]=""),"",IF(AND(Tabla1[[#This Row],[FUM X ECO 1]]="",Tabla1[[#This Row],[FUM x AMENORREA]]&lt;&gt;""),"X",SUM(Tabla1[[#This Row],[FUM X ECO 1]]-Tabla1[[#This Row],[FUM x AMENORREA]])))</f>
        <v>0</v>
      </c>
      <c r="RY58" s="21">
        <f t="shared" si="193"/>
        <v>0</v>
      </c>
    </row>
    <row r="59" spans="1:493" ht="45" customHeight="1" x14ac:dyDescent="0.25">
      <c r="A59" s="109" t="s">
        <v>1169</v>
      </c>
      <c r="B59" s="43" t="s">
        <v>890</v>
      </c>
      <c r="C59" s="43" t="s">
        <v>845</v>
      </c>
      <c r="D59" s="124" t="s">
        <v>846</v>
      </c>
      <c r="E59" s="43" t="s">
        <v>943</v>
      </c>
      <c r="F59" s="43" t="s">
        <v>1170</v>
      </c>
      <c r="G59" s="43" t="s">
        <v>1171</v>
      </c>
      <c r="H59" s="43" t="s">
        <v>1172</v>
      </c>
      <c r="I59" s="109" t="s">
        <v>851</v>
      </c>
      <c r="J59" s="110">
        <v>1002848334</v>
      </c>
      <c r="K59" s="43" t="s">
        <v>852</v>
      </c>
      <c r="L59" s="175" t="s">
        <v>853</v>
      </c>
      <c r="M59" s="22">
        <v>36064</v>
      </c>
      <c r="N59" s="213">
        <f t="shared" ca="1" si="0"/>
        <v>25.12054794520548</v>
      </c>
      <c r="O59" s="22">
        <v>44894</v>
      </c>
      <c r="P59" s="214" t="str">
        <f t="shared" si="194"/>
        <v>SI</v>
      </c>
      <c r="Q59" s="26" t="s">
        <v>855</v>
      </c>
      <c r="R59" s="22">
        <v>44894</v>
      </c>
      <c r="S59" s="21" t="s">
        <v>856</v>
      </c>
      <c r="T59" s="24" t="s">
        <v>690</v>
      </c>
      <c r="U59" s="21" t="s">
        <v>857</v>
      </c>
      <c r="V59" s="21" t="s">
        <v>858</v>
      </c>
      <c r="W59" s="21" t="s">
        <v>933</v>
      </c>
      <c r="X59" s="21" t="s">
        <v>933</v>
      </c>
      <c r="Y59" s="21" t="s">
        <v>859</v>
      </c>
      <c r="Z59" s="21">
        <v>3114068394</v>
      </c>
      <c r="AA59" s="21" t="s">
        <v>860</v>
      </c>
      <c r="AB59" s="27" t="s">
        <v>861</v>
      </c>
      <c r="AC59" s="26" t="s">
        <v>862</v>
      </c>
      <c r="AD59" s="38" t="s">
        <v>846</v>
      </c>
      <c r="AE59" s="26" t="s">
        <v>854</v>
      </c>
      <c r="AF59" s="26" t="s">
        <v>854</v>
      </c>
      <c r="AG59" s="23" t="s">
        <v>864</v>
      </c>
      <c r="AH59" s="23" t="s">
        <v>864</v>
      </c>
      <c r="AI59" s="24" t="s">
        <v>863</v>
      </c>
      <c r="AJ59" s="23" t="s">
        <v>864</v>
      </c>
      <c r="AK59" s="220" t="str">
        <f>IF(AND(AD59="",AE59="",AF59="",AG59="",AH59="",AI59="",AJ59=""),"",IF(OR(Tabla1[[#This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EVALUACIÓN",IF(AND(O59="",R59=""),"",IF(AND(OR(O59&gt;0,R59&gt;0),NG59&gt;=0,NG59&lt;2),"SIN RIESGO",IF(AND(OR(O59&gt;0,R59&gt;0),NG59&gt;=2),"CON RIESGO","ASD")))))</f>
        <v>SIN RIESGO</v>
      </c>
      <c r="AL59" s="23" t="s">
        <v>864</v>
      </c>
      <c r="AM59" s="26" t="s">
        <v>864</v>
      </c>
      <c r="AN59" s="26" t="s">
        <v>864</v>
      </c>
      <c r="AO59" s="26" t="s">
        <v>864</v>
      </c>
      <c r="AP59" s="26" t="s">
        <v>864</v>
      </c>
      <c r="AQ59" s="26" t="s">
        <v>864</v>
      </c>
      <c r="AR59" s="26" t="s">
        <v>864</v>
      </c>
      <c r="AS59" s="21">
        <v>2</v>
      </c>
      <c r="AT59" s="21">
        <v>1</v>
      </c>
      <c r="AU59" s="21">
        <v>1</v>
      </c>
      <c r="AV59" s="26" t="s">
        <v>864</v>
      </c>
      <c r="AW59" s="21">
        <v>0</v>
      </c>
      <c r="AX59" s="26" t="s">
        <v>864</v>
      </c>
      <c r="AY59" s="26" t="s">
        <v>864</v>
      </c>
      <c r="AZ59" s="26" t="s">
        <v>864</v>
      </c>
      <c r="BA59" s="26" t="s">
        <v>864</v>
      </c>
      <c r="BB59" s="26" t="s">
        <v>864</v>
      </c>
      <c r="BC59" s="26" t="s">
        <v>864</v>
      </c>
      <c r="BD59" s="26" t="s">
        <v>864</v>
      </c>
      <c r="BE59" s="26" t="s">
        <v>864</v>
      </c>
      <c r="BF59" s="26" t="s">
        <v>864</v>
      </c>
      <c r="BG59" s="26" t="s">
        <v>864</v>
      </c>
      <c r="BH59" s="26" t="s">
        <v>864</v>
      </c>
      <c r="BI59" s="26" t="s">
        <v>864</v>
      </c>
      <c r="BJ59" s="26"/>
      <c r="BK59" s="26"/>
      <c r="BL59" s="26" t="s">
        <v>864</v>
      </c>
      <c r="BM59" s="26" t="s">
        <v>864</v>
      </c>
      <c r="BN59" s="22"/>
      <c r="BO59" s="22">
        <v>44821</v>
      </c>
      <c r="BP59" s="21" t="s">
        <v>854</v>
      </c>
      <c r="BQ59" s="222">
        <f t="shared" si="2"/>
        <v>0</v>
      </c>
      <c r="BR59" s="223">
        <f t="shared" si="3"/>
        <v>44821</v>
      </c>
      <c r="BS59" s="224">
        <f t="shared" si="4"/>
        <v>10.428571428571429</v>
      </c>
      <c r="BT59" s="216" t="str">
        <f t="shared" si="5"/>
        <v>II TRIM</v>
      </c>
      <c r="BU59" s="214" t="str">
        <f t="shared" ca="1" si="6"/>
        <v/>
      </c>
      <c r="BV59" s="25"/>
      <c r="BW59" s="22">
        <v>44898</v>
      </c>
      <c r="BX59" s="28">
        <v>11</v>
      </c>
      <c r="BY59" s="28"/>
      <c r="BZ59" s="22"/>
      <c r="CA59" s="21"/>
      <c r="CB59" s="26" t="s">
        <v>864</v>
      </c>
      <c r="CC59" s="26" t="s">
        <v>864</v>
      </c>
      <c r="CD59" s="26" t="s">
        <v>878</v>
      </c>
      <c r="CE59" s="26" t="s">
        <v>864</v>
      </c>
      <c r="CF59" s="22" t="s">
        <v>1517</v>
      </c>
      <c r="CG59" s="21">
        <v>1.55</v>
      </c>
      <c r="CH59" s="21">
        <v>59</v>
      </c>
      <c r="CI59" s="214">
        <f t="shared" si="7"/>
        <v>24.557752341311129</v>
      </c>
      <c r="CJ59" s="225" t="e">
        <f>IF(AND(CI59&lt;10,CH59="SD"),"SIN DATO PESO PREGESTACION O I TRIM",IF(AND(OR(R59&gt;0,O59&gt;0),CI59="X"),"INGRESAR DATO DE PESO",IF(CI59="SD","INGRESAR DATO DE TALLA Y PESO",IF(AND(OR(Tabla1[[#This Row],[MOMENTO EN QUE SE REALIZA EL PESO AL INGRESO A CPN]]="PREGESTACIÓN",NZ59="Menor"),CI59&lt;18.5),"BAJO PESO",IF(AND(OR(Tabla1[[#This Row],[MOMENTO EN QUE SE REALIZA EL PESO AL INGRESO A CPN]]="PREGESTACIÓN",NZ59="Menor"),CI59&lt;25),"NORMAL",IF(AND(OR(Tabla1[[#This Row],[MOMENTO EN QUE SE REALIZA EL PESO AL INGRESO A CPN]]="PREGESTACIÓN",NZ59="Menor"),CI59&lt;30),"SOBREPESO",IF(AND(OR(Tabla1[[#This Row],[MOMENTO EN QUE SE REALIZA EL PESO AL INGRESO A CPN]]="PREGESTACIÓN",NZ59="Menor"),CI59&gt;=30,CI59&lt;50),"OBESIDAD",IF(AND(BS59&gt;0,Tabla1[[#This Row],[MOMENTO EN QUE SE REALIZA EL PESO AL INGRESO A CPN]]="GESTACIÓN"),HLOOKUP(NZ59,$OA$2:PH59,NY59),""))))))))</f>
        <v>#REF!</v>
      </c>
      <c r="CK59" s="212">
        <f t="shared" si="8"/>
        <v>45063</v>
      </c>
      <c r="CL59" s="21">
        <v>65.8</v>
      </c>
      <c r="CM59" s="214">
        <f t="shared" si="9"/>
        <v>27.38813735691987</v>
      </c>
      <c r="CN59" s="216">
        <f t="shared" si="10"/>
        <v>34</v>
      </c>
      <c r="CO59" s="216" t="e">
        <f>IF(PI59="","",IF(PI59&gt;0,HLOOKUP(PI59,$PJ$2:QQ59,NY59),""))</f>
        <v>#REF!</v>
      </c>
      <c r="CP59" s="21"/>
      <c r="CQ59" s="216" t="e">
        <f>IF(QR59="Menor","NO APLICA-MENOR 13 SEM",IF(AND(CC59="SI",CN59&gt;23),"NO APLICA- GEMELAR",IF(QR59="","",IF(QR59&gt;0,HLOOKUP(QR59,$QS$2:RU59,NY59),""))))</f>
        <v>#REF!</v>
      </c>
      <c r="CR59" s="21">
        <v>100</v>
      </c>
      <c r="CS59" s="21">
        <v>60</v>
      </c>
      <c r="CT59" s="217" t="str">
        <f>IF(R59="","",IF(AND(BS59&gt;1,BS59&lt;12,Tabla1[[#This Row],[T.A. SISTOLICA - ANTES DE SEMANA 12]]="",Tabla1[[#This Row],[T.A. DIASTOLICA - ANTES DE SEMANA 12]]=""),"REGISTRE DATO TA ANTES SEMANA 12",IF(AND(BS59&gt;11,BS59&lt;43,Tabla1[[#This Row],[T.A. SISTOLICA - ANTES DE SEMANA 12]]="",Tabla1[[#This Row],[T.A. DIASTOLICA - ANTES DE SEMANA 12]]=""),"NO APLICA REGISTRO TA-INGRESO TARDIO",IF(AND(OR(O59&gt;0,R59&gt;0),OR(CR59&gt;=140,CS59&gt;=90)),"DEFINIR ESTADIO HTA",IF(AND(OR(O59&gt;0,R59&gt;0),AND(CR59&gt;120,CR59&lt;=139)),"PRE HTA SEGUIMIENTO",IF(AND(OR(O59&gt;0,R59&gt;0),AND(CS59&gt;80,CS59&lt;=89)),"PRE HTA SEGUIMIENTO",IF(AND(OR(O59&gt;0,R59&gt;0),AND(CR59&gt;=80,CR59&lt;=120)),"APARENTEMENTE NORMAL",IF(AND(OR(O59&gt;0,R59&gt;0),AND(CS59&gt;=50,CS59&lt;=80)),"APARENTEMENTE NORMAL",IF(AND(OR(O59&gt;0,R59&gt;0),AND(CR59&gt;1,CR59&lt;=70),AND(CS59&gt;1,CS59&lt;=40)),"HIPOTENSIÓN","")))))))))</f>
        <v>APARENTEMENTE NORMAL</v>
      </c>
      <c r="CU59" s="21"/>
      <c r="CV59" s="21"/>
      <c r="CW59" s="217" t="str">
        <f ca="1">IF(R59="","",IF(AND(CN59&gt;19,CN59&lt;27,Tabla1[[#This Row],[T.A. SISTOLICA (Entre semana 20 y 26)]]="",Tabla1[[#This Row],[T.A. DIATOLICA (Entre semana 20 y 26)]]=""),"ACUDE A CONTROL SEM 20 A 26 REGISTRE TA AHORA",IF(AND(BS59&gt;1,BS59&lt;27,BU59&gt;19,Tabla1[[#This Row],[T.A. SISTOLICA (Entre semana 20 y 26)]]="",Tabla1[[#This Row],[T.A. DIATOLICA (Entre semana 20 y 26)]]=""),"COMPLETE REGISTRO TA CONTROL SEM 20 A26 ",IF(AND(BS59&gt;26,BS59&lt;43,Tabla1[[#This Row],[T.A. SISTOLICA (Entre semana 20 y 26)]]="",Tabla1[[#This Row],[T.A. DIATOLICA (Entre semana 20 y 26)]]=""),"NO APLICA REGISTRO TA-INGRESO TARDIO",IF(AND(OR(O59&gt;0,R59&gt;0),OR(CU59&gt;=140,CV59&gt;=90)),"ALTO RIESGO PREECLAMPSIA,DEFINIR ESTADIO HTA",IF(AND(OR(O59&gt;0,R59&gt;0),AND(CU59&gt;120,CU59&lt;=139)),"PRE HTA SEGUIMIENTO,RIESGO HIPERTENSION INDUCIDA POR EL EMBARAZO",IF(AND(OR(O59&gt;0,R59&gt;0),AND(CV59&gt;80,CV59&lt;=89)),"PRE HTA SEGUIMIENTO, RIESGO HIPERTENSION INDUCIDA POR EL EMBARAZO",IF(AND(OR(O59&lt;&gt;"",R59&lt;&gt;""),CS59&lt;&gt;"",CV59&lt;&gt;"",CS59&lt;=CV59),"VIGILAR CIFRAS PRESION ARTERIAL",IF(AND(OR(O59&gt;0,R59&gt;0),AND(CU59&gt;120,CU59&lt;=139)),"PRE HTA SEGUIMIENTO",IF(AND(OR(O59&gt;0,R59&gt;0),AND(CU59&gt;1,CU59&lt;=70),AND(CV59&gt;1,CV59&lt;=40)),"HIPOTENSIÓN",IF(AND(OR(O59&lt;&gt;"",R59&lt;&gt;""),CS59&lt;&gt;"",CV59&lt;&gt;"",CS59&gt;CV59),"APARENTEMENTE NORMAL",IF(AND(OR(O59&gt;0,R59&gt;0),AND(CU59&gt;=80,CU59&lt;=120)),"APARENTEMENTE NORMAL",IF(AND(OR(O59&gt;0,R59&gt;0),AND(CV59&gt;=50,CV59&lt;=80)),"APARENTEMENTE NORMAL","")))))))))))))</f>
        <v xml:space="preserve">COMPLETE REGISTRO TA CONTROL SEM 20 A26 </v>
      </c>
      <c r="CX59" s="21"/>
      <c r="CY59" s="21"/>
      <c r="CZ59" s="216" t="str">
        <f t="shared" si="195"/>
        <v>ACUDE A CONTROL SEM 30 A 34- REGISTRE AHORA</v>
      </c>
      <c r="DA59" s="21">
        <v>100</v>
      </c>
      <c r="DB59" s="21">
        <v>60</v>
      </c>
      <c r="DC59" s="217" t="str">
        <f t="shared" si="12"/>
        <v>APARENTEMENTE NORMAL</v>
      </c>
      <c r="DD59" s="22">
        <v>44894</v>
      </c>
      <c r="DE59" s="22">
        <v>44894</v>
      </c>
      <c r="DF59" s="22">
        <v>44910</v>
      </c>
      <c r="DG59" s="22">
        <v>44968</v>
      </c>
      <c r="DH59" s="22">
        <v>44995</v>
      </c>
      <c r="DI59" s="22">
        <v>45034</v>
      </c>
      <c r="DJ59" s="22">
        <v>45063</v>
      </c>
      <c r="DK59" s="22"/>
      <c r="DL59" s="22"/>
      <c r="DM59" s="22"/>
      <c r="DN59" s="22"/>
      <c r="DO59" s="22"/>
      <c r="DP59" s="22"/>
      <c r="DQ59" s="22"/>
      <c r="DR59" s="28">
        <v>1</v>
      </c>
      <c r="DS59" s="22"/>
      <c r="DT59" s="22"/>
      <c r="DU59" s="216" t="str">
        <f t="shared" ca="1" si="196"/>
        <v>SALE SIN PLAN DE PARTO</v>
      </c>
      <c r="DV59" s="226" t="str">
        <f t="shared" si="197"/>
        <v>SALIO PROGRAMA</v>
      </c>
      <c r="DW5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59" s="216" t="str">
        <f t="shared" ca="1" si="15"/>
        <v/>
      </c>
      <c r="DY59" s="212">
        <f>IF(R59="","",IF(R59&gt;0,MAX(Tabla1[[#This Row],[FECHA C2]:[FECHA C13]],Tabla1[[#This Row],[FECHA CONSULTA PRIMERA VEZ PROGRAMA CPN ]])))</f>
        <v>45063</v>
      </c>
      <c r="DZ59" s="216">
        <f t="shared" si="16"/>
        <v>34</v>
      </c>
      <c r="EA59" s="222">
        <f>IF(R59&gt;0,SUM(COUNTA(DF59:DQ59)+COUNTA(Tabla1[[#This Row],[FECHA CONSULTA PRIMERA VEZ PROGRAMA CPN ]])),"")</f>
        <v>6</v>
      </c>
      <c r="EB59" s="222" t="str">
        <f t="shared" si="17"/>
        <v>SI</v>
      </c>
      <c r="EC59" s="214">
        <f t="shared" si="18"/>
        <v>9</v>
      </c>
      <c r="ED59" s="227">
        <f t="shared" si="19"/>
        <v>0.66666666666666663</v>
      </c>
      <c r="EE59" s="22">
        <v>44894</v>
      </c>
      <c r="EF59" s="22"/>
      <c r="EG59" s="22">
        <v>44894</v>
      </c>
      <c r="EH59" s="22"/>
      <c r="EI59" s="22">
        <v>44894</v>
      </c>
      <c r="EJ59" s="22"/>
      <c r="EK59" s="22"/>
      <c r="EL59" s="21"/>
      <c r="EM59" s="21">
        <v>13</v>
      </c>
      <c r="EN59" s="22">
        <v>44897</v>
      </c>
      <c r="EO59" s="222">
        <f t="shared" si="20"/>
        <v>10.857142857142858</v>
      </c>
      <c r="EP59" s="214" t="str">
        <f t="shared" si="21"/>
        <v>NORMAL- SUMINISTRAR SULFATO FERROSO</v>
      </c>
      <c r="EQ59" s="216" t="str">
        <f t="shared" si="22"/>
        <v>I TRIM</v>
      </c>
      <c r="ER59" s="24"/>
      <c r="ES59" s="22"/>
      <c r="ET59" s="29" t="str">
        <f t="shared" ca="1" si="198"/>
        <v>SALE SIN TAMIZAJE HEMOGLOBINA SEM 28</v>
      </c>
      <c r="EU59" s="25" t="str">
        <f t="shared" si="24"/>
        <v/>
      </c>
      <c r="EV59" s="24" t="s">
        <v>1173</v>
      </c>
      <c r="EW59" s="24">
        <v>44897</v>
      </c>
      <c r="EX59" s="22"/>
      <c r="EY59" s="29">
        <f t="shared" si="199"/>
        <v>10.857142857142858</v>
      </c>
      <c r="EZ59" s="25" t="str">
        <f t="shared" ca="1" si="200"/>
        <v/>
      </c>
      <c r="FA59" s="21">
        <v>78</v>
      </c>
      <c r="FB59" s="22">
        <v>44897</v>
      </c>
      <c r="FC59" s="29">
        <f t="shared" si="27"/>
        <v>10.857142857142858</v>
      </c>
      <c r="FD59" s="29">
        <v>73</v>
      </c>
      <c r="FE59" s="29">
        <v>81</v>
      </c>
      <c r="FF59" s="29">
        <v>83</v>
      </c>
      <c r="FG59" s="21" t="str">
        <f t="shared" ca="1" si="28"/>
        <v>NORMAL</v>
      </c>
      <c r="FH59" s="31">
        <v>45016</v>
      </c>
      <c r="FI59" s="29">
        <f t="shared" si="29"/>
        <v>27.857142857142858</v>
      </c>
      <c r="FJ59" s="22" t="s">
        <v>867</v>
      </c>
      <c r="FK59" s="22">
        <v>44897</v>
      </c>
      <c r="FL59" s="29">
        <f t="shared" ca="1" si="30"/>
        <v>10.857142857142858</v>
      </c>
      <c r="FM59" s="22"/>
      <c r="FN59" s="31"/>
      <c r="FO59" s="29" t="str">
        <f t="shared" ca="1" si="201"/>
        <v>PIERDE TOMA DE TAMIZAJE</v>
      </c>
      <c r="FP59" s="22" t="s">
        <v>867</v>
      </c>
      <c r="FQ59" s="31">
        <v>45016</v>
      </c>
      <c r="FR59" s="29">
        <f t="shared" ca="1" si="202"/>
        <v>27.857142857142858</v>
      </c>
      <c r="FS59" s="22"/>
      <c r="FT59" s="32"/>
      <c r="FU59" s="29" t="str">
        <f>IF(AND(FJ59="",FM59="",FP59="",FS59=""),"",IF(OR(OR(Tabla1[[#This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59" s="28"/>
      <c r="FW59" s="22"/>
      <c r="FX59" s="29" t="str">
        <f t="shared" si="33"/>
        <v>TOMAR EXAMEN</v>
      </c>
      <c r="FY59" s="22">
        <v>44897</v>
      </c>
      <c r="FZ59" s="22">
        <v>44897</v>
      </c>
      <c r="GA59" s="29">
        <f t="shared" ca="1" si="203"/>
        <v>10.857142857142858</v>
      </c>
      <c r="GB59" s="22"/>
      <c r="GC59" s="22"/>
      <c r="GD59" s="29" t="str">
        <f t="shared" ca="1" si="204"/>
        <v>PIERDE TOMA DE TAMIZAJE</v>
      </c>
      <c r="GE59" s="22"/>
      <c r="GF59" s="22"/>
      <c r="GG59" s="29" t="str">
        <f t="shared" ca="1" si="205"/>
        <v>PIERDE TOMA DE TAMIZAJE</v>
      </c>
      <c r="GH59" s="22"/>
      <c r="GI59" s="29"/>
      <c r="GJ59" s="22"/>
      <c r="GK59" s="22"/>
      <c r="GL59" s="22"/>
      <c r="GM59" s="22"/>
      <c r="GN59" s="28" t="s">
        <v>869</v>
      </c>
      <c r="GO59" s="22">
        <v>44897</v>
      </c>
      <c r="GP59" s="29">
        <f t="shared" si="37"/>
        <v>10.857142857142858</v>
      </c>
      <c r="GQ59" s="28" t="s">
        <v>880</v>
      </c>
      <c r="GR59" s="28" t="s">
        <v>869</v>
      </c>
      <c r="GS59" s="22" t="str">
        <f t="shared" si="206"/>
        <v>SE EXCLUYE INFECCION</v>
      </c>
      <c r="GT59" s="22">
        <v>44897</v>
      </c>
      <c r="GU59" s="29">
        <f t="shared" si="39"/>
        <v>10.857142857142858</v>
      </c>
      <c r="GV59" s="21" t="str">
        <f t="shared" si="40"/>
        <v>I TRIM</v>
      </c>
      <c r="GW59" s="28" t="s">
        <v>869</v>
      </c>
      <c r="GX59" s="30"/>
      <c r="GY59" s="21"/>
      <c r="GZ59" s="21"/>
      <c r="HA59" s="21"/>
      <c r="HB59" s="21"/>
      <c r="HC59" s="21"/>
      <c r="HD59" s="21"/>
      <c r="HE59" s="21"/>
      <c r="HF59" s="22"/>
      <c r="HG59" s="22" t="str">
        <f>IF(OR(O59&gt;0,R59&gt;0),CONCATENATE(IF(Tabla1[[#This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59" s="22" t="e">
        <f t="shared" si="41"/>
        <v>#REF!</v>
      </c>
      <c r="HI59" s="22" t="e">
        <f t="shared" ca="1" si="42"/>
        <v>#REF!</v>
      </c>
      <c r="HJ59" s="21"/>
      <c r="HK59" s="21" t="str">
        <f t="shared" si="44"/>
        <v>SIN ANTECEDENTES DE RIESGO</v>
      </c>
      <c r="HL59" s="24" t="str">
        <f t="shared" si="45"/>
        <v>APARENTEMENTE NORMAL</v>
      </c>
      <c r="HM59" s="21" t="str">
        <f t="shared" ca="1" si="46"/>
        <v/>
      </c>
      <c r="HN59" s="30" t="str">
        <f t="shared" si="207"/>
        <v>SALIO PROGRAMA</v>
      </c>
      <c r="HO59" s="21"/>
      <c r="HP59" s="21" t="s">
        <v>864</v>
      </c>
      <c r="HQ59" s="21">
        <v>44894</v>
      </c>
      <c r="HR59" s="21" t="str">
        <f>IF(R59="","",IF(Tabla1[[#This Row],[ALARMA FACTORES DE RIESGO COMPLICACIONES HIPERTENSIVAS3]]="SIN ANTECEDENTES DE RIESGO","No Aplica para suministro de ASA",IF(AND(Tabla1[[#This Row],[FECHA INICIO DE SUMINISTRO DE ASA]]&gt;0,RV59&lt;12),"Inicia ASA ANTES de Sem 12",IF(AND(RV59&gt;11,RV59&lt;17,OR(HK59="RIESGO ALTO DE COMPLICACIONES HIPERTENSIVAS VER MANEJO GUIA SUMINISTRO ASA Y CALCIO",HK59="RIESGO MODERADO (2 O MAS CRITERIOS) VER MANEJO GUIA SUMINISTRO ASA Y CALCIO")),"Inicio oportuno de ASA",IF(AND(RV59&gt;12,OR(HK59="RIESGO ALTO DE COMPLICACIONES HIPERTENSIVAS VER MANEJO GUIA SUMINISTRO ASA Y CALCIO",HK59="RIESGO MODERADO (2 O MAS CRITERIOS) VER MANEJO GUIA SUMINISTRO ASA Y CALCIO")),"Inicio no oportuno mayor a 16 semanas",IF(AND(BU59&lt;12,OR(HK59="RIESGO ALTO DE COMPLICACIONES HIPERTENSIVAS VER MANEJO GUIA SUMINISTRO ASA Y CALCIO",HK59="RIESGO MODERADO (2 O MAS CRITERIOS) VER MANEJO GUIA SUMINISTRO ASA Y CALCIO")),"Pendiente Inicio de ASA a la semana 12",IF(AND(BU59&gt;11,BU59&lt;17,OR(HK59="RIESGO ALTO DE COMPLICACIONES HIPERTENSIVAS VER MANEJO GUIA SUMINISTRO ASA Y CALCIO",HK59="RIESGO MODERADO (2 O MAS CRITERIOS) VER MANEJO GUIA SUMINISTRO ASA Y CALCIO")),"Iniciar de inmediato ASA",IF(AND(BU59&gt;16,OR(HK59="RIESGO ALTO DE COMPLICACIONES HIPERTENSIVAS VER MANEJO GUIA SUMINISTRO ASA Y CALCIO",HK59="RIESGO MODERADO (2 O MAS CRITERIOS) VER MANEJO GUIA SUMINISTRO ASA Y CALCIO")),"Pierde Oportunidad, Inicio tardío de ASA","XXXXX"))))))))</f>
        <v>No Aplica para suministro de ASA</v>
      </c>
      <c r="HS59" s="22">
        <v>44894</v>
      </c>
      <c r="HT59" s="22" t="s">
        <v>870</v>
      </c>
      <c r="HU59" s="22">
        <v>44894</v>
      </c>
      <c r="HV59" s="22" t="s">
        <v>870</v>
      </c>
      <c r="HW59" s="22">
        <v>44894</v>
      </c>
      <c r="HX59" s="22" t="s">
        <v>935</v>
      </c>
      <c r="HY59" s="22">
        <v>44894</v>
      </c>
      <c r="HZ59" s="28">
        <f t="shared" si="48"/>
        <v>10.428571428571429</v>
      </c>
      <c r="IA59" s="26" t="s">
        <v>864</v>
      </c>
      <c r="IB59" s="26"/>
      <c r="IC59" s="111"/>
      <c r="ID59" s="22"/>
      <c r="IE59" s="22" t="str">
        <f t="shared" ca="1" si="49"/>
        <v>SALE SIN VACUNA</v>
      </c>
      <c r="IF59" s="22"/>
      <c r="IG59" s="22">
        <f t="shared" si="50"/>
        <v>45101</v>
      </c>
      <c r="IH59" s="29">
        <f t="shared" ca="1" si="51"/>
        <v>-132</v>
      </c>
      <c r="II59" s="22" t="str">
        <f t="shared" ca="1" si="52"/>
        <v>POSIBLEMENTE NACIO</v>
      </c>
      <c r="IJ59" s="22"/>
      <c r="IK59" s="21" t="s">
        <v>898</v>
      </c>
      <c r="IL59" s="21"/>
      <c r="IM59" s="34"/>
      <c r="IN59" s="349">
        <v>45070</v>
      </c>
      <c r="IO59" s="21" t="s">
        <v>1640</v>
      </c>
      <c r="IP59" s="29">
        <f t="shared" si="208"/>
        <v>35.571428571428569</v>
      </c>
      <c r="IQ59" s="110"/>
      <c r="IR59" s="21" t="s">
        <v>879</v>
      </c>
      <c r="IS59" s="21" t="s">
        <v>1641</v>
      </c>
      <c r="IT59" s="21" t="s">
        <v>1642</v>
      </c>
      <c r="IU59" s="21"/>
      <c r="IV59" s="21"/>
      <c r="IW59" s="21"/>
      <c r="IX59" s="21"/>
      <c r="IY59" s="21"/>
      <c r="IZ59" s="21"/>
      <c r="JA59" s="21"/>
      <c r="JB59" s="30">
        <v>1</v>
      </c>
      <c r="JC59" s="21" t="s">
        <v>1647</v>
      </c>
      <c r="JD59" s="36">
        <v>2700</v>
      </c>
      <c r="JE59" s="21" t="str">
        <f t="shared" si="209"/>
        <v>ERROR VERIFICAR DATO EDAD GESTACIONAL VS PESO</v>
      </c>
      <c r="JF59" s="30"/>
      <c r="JG59" s="21"/>
      <c r="JH59" s="21"/>
      <c r="JI59" s="21"/>
      <c r="JJ59" s="30"/>
      <c r="JK59" s="22"/>
      <c r="JL59" s="22"/>
      <c r="JM59" s="21"/>
      <c r="JN59" s="36"/>
      <c r="JO59" s="21" t="str">
        <f t="shared" si="210"/>
        <v/>
      </c>
      <c r="JP59" s="22"/>
      <c r="JQ59" s="21"/>
      <c r="JR59" s="21"/>
      <c r="JS59" s="21"/>
      <c r="JT59" s="30"/>
      <c r="JU59" s="22"/>
      <c r="JV59" s="22"/>
      <c r="JW59" s="33"/>
      <c r="JX59" s="28" t="str">
        <f t="shared" si="211"/>
        <v>INASISTENTE</v>
      </c>
      <c r="JY59" s="33"/>
      <c r="JZ59" s="28" t="str">
        <f t="shared" si="212"/>
        <v>INASISTENTE</v>
      </c>
      <c r="KA59" s="21"/>
      <c r="KB59" s="21"/>
      <c r="KC59" s="21"/>
      <c r="KD59" s="37"/>
      <c r="KE59" s="28"/>
      <c r="KF59" s="28"/>
      <c r="KG59" s="28"/>
      <c r="KH59" s="39"/>
      <c r="KI59" s="39"/>
      <c r="KJ59" s="66"/>
      <c r="KK59" s="39"/>
      <c r="KL59" s="39"/>
      <c r="KM59" s="66"/>
      <c r="KN59" s="39"/>
      <c r="KO59" s="39"/>
      <c r="KP59" s="39"/>
      <c r="KQ59" s="39"/>
      <c r="KR59" s="39"/>
      <c r="KS59" s="39"/>
      <c r="KT59" s="39"/>
      <c r="KU59" s="38"/>
      <c r="KV59" s="38"/>
      <c r="KW59" s="38"/>
      <c r="KX59" s="38"/>
      <c r="KY59" s="38"/>
      <c r="KZ59" s="38"/>
      <c r="LA59" s="38"/>
      <c r="LB59" s="38"/>
      <c r="LC59" s="38"/>
      <c r="LD59" s="38"/>
      <c r="LE59" s="38"/>
      <c r="LF59" s="38"/>
      <c r="LG59" s="38"/>
      <c r="LH59" s="38"/>
      <c r="LI59" s="38"/>
      <c r="LJ59" s="38"/>
      <c r="LK59" s="38"/>
      <c r="LL59" s="38"/>
      <c r="LM59" s="38"/>
      <c r="LN59" s="38"/>
      <c r="LO59" s="38"/>
      <c r="LP59" s="38"/>
      <c r="LQ59" s="38"/>
      <c r="LR59" s="38"/>
      <c r="LS59" s="38"/>
      <c r="LT59" s="38"/>
      <c r="LU59" s="38"/>
      <c r="LV59" s="38"/>
      <c r="LW59" s="38"/>
      <c r="LX59" s="38"/>
      <c r="LY59" s="38"/>
      <c r="LZ59" s="38"/>
      <c r="MA59" s="38"/>
      <c r="MB59" s="38"/>
      <c r="MC59" s="38"/>
      <c r="MD59" s="38"/>
      <c r="ME59" s="38"/>
      <c r="MF59" s="38"/>
      <c r="MG59" s="38"/>
      <c r="MH59" s="43">
        <f t="shared" si="213"/>
        <v>0</v>
      </c>
      <c r="MI59" s="43" t="str">
        <f t="shared" si="214"/>
        <v/>
      </c>
      <c r="MJ59" s="43" t="str">
        <f t="shared" si="215"/>
        <v/>
      </c>
      <c r="MK59" s="43">
        <f t="shared" si="216"/>
        <v>0</v>
      </c>
      <c r="ML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59" s="43">
        <f t="shared" si="217"/>
        <v>10.428571428571429</v>
      </c>
      <c r="MN59" s="43">
        <f t="shared" si="218"/>
        <v>11</v>
      </c>
      <c r="MO59" s="43">
        <f t="shared" si="219"/>
        <v>2022</v>
      </c>
      <c r="MP59" s="43" t="str">
        <f t="shared" si="220"/>
        <v>IV TRIMESTRE AÑO</v>
      </c>
      <c r="MQ59" s="43">
        <f t="shared" si="221"/>
        <v>23.825558475689878</v>
      </c>
      <c r="MR59" s="43">
        <f t="shared" si="222"/>
        <v>0</v>
      </c>
      <c r="MS59" s="43" t="str">
        <f t="shared" si="223"/>
        <v xml:space="preserve"> DE 20 A 24 AÑOS</v>
      </c>
      <c r="MT59" s="43">
        <f t="shared" si="224"/>
        <v>0</v>
      </c>
      <c r="MU59" s="43">
        <f t="shared" si="225"/>
        <v>0</v>
      </c>
      <c r="MV59" s="43">
        <f t="shared" si="226"/>
        <v>0</v>
      </c>
      <c r="MW59" s="43">
        <f t="shared" si="227"/>
        <v>0</v>
      </c>
      <c r="MX59" s="43" t="str">
        <f t="shared" si="228"/>
        <v/>
      </c>
      <c r="MY59" s="43" t="str">
        <f t="shared" ca="1" si="229"/>
        <v/>
      </c>
      <c r="MZ59" s="43" t="str">
        <f t="shared" si="230"/>
        <v/>
      </c>
      <c r="NA59" s="43">
        <f t="shared" si="231"/>
        <v>0</v>
      </c>
      <c r="NB59" s="43" t="str">
        <f t="shared" si="232"/>
        <v/>
      </c>
      <c r="NC59" s="43" t="str">
        <f t="shared" si="233"/>
        <v/>
      </c>
      <c r="ND59" s="43">
        <f t="shared" ca="1" si="234"/>
        <v>0</v>
      </c>
      <c r="NE59" s="43">
        <f>IF(OR(O59&gt;0,R59&gt;0),SUM(COUNTIF(Tabla1[[#This Row],[AÑOS AL INICIO5 CPN]],"&gt;=40"),COUNTIF(AS59,"0"),COUNTIF(AR59,"SI"),COUNTIF(CC59,"SI"),COUNTIF(BQ59,"&gt;119"),COUNTIF(CI59,"&gt;=35")),"")</f>
        <v>0</v>
      </c>
      <c r="NF59" s="43" t="str">
        <f t="shared" si="235"/>
        <v/>
      </c>
      <c r="NG59" s="43">
        <f t="shared" si="236"/>
        <v>0</v>
      </c>
      <c r="NH59" s="43">
        <f t="shared" si="237"/>
        <v>77</v>
      </c>
      <c r="NI5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CPN",P59="NO"),"Z",IF(AND(Tabla1[[#This Row],[CITA PROXIMO CONTROL]]="CITA MANUAL",Tabla1[[#This Row],[GESTANTES ACTUALES]]="ACTIVA INGRESO A CPN"),"W",IF(AND(Tabla1[[#This Row],[GESTANTES ACTUALES]]="SALIO PROGRAMA",IN59=""),"S",IF(AND(Tabla1[[#This Row],[CITA PROXIMO CONTROL]]&gt;0,IN59=""),(Tabla1[[#This Row],[CITA PROXIMO CONTROL]]-TODAY()),"SD"))))))))</f>
        <v>SD</v>
      </c>
      <c r="NJ59" s="43">
        <f>MONTH(Tabla1[[#This Row],[FECHA DE SALIDA  DEL PROGRAMA]])</f>
        <v>5</v>
      </c>
      <c r="NK59" s="43">
        <f>YEAR(Tabla1[[#This Row],[FECHA DE SALIDA  DEL PROGRAMA]])</f>
        <v>2023</v>
      </c>
      <c r="NL59" s="43" t="str">
        <f t="shared" si="238"/>
        <v>X</v>
      </c>
      <c r="NM59" s="43" t="str">
        <f t="shared" si="239"/>
        <v>NO</v>
      </c>
      <c r="NN59" s="43" t="str">
        <f ca="1">IF(AND(O59&gt;0,R59=""),"NO CPN",IF(AND(O59="",R59=""),"",IF(AND(R59&gt;0,Tabla1[[#This Row],[SEMANAS DE GESTACION ACTUALIZADAS]]&lt;=12),"NO APLICA",IF(AND(FH59&lt;&gt;"",FN59&lt;&gt;""),"SI","NO"))))</f>
        <v>NO</v>
      </c>
      <c r="NO59" s="43" t="str">
        <f ca="1">IF(AND(O59&gt;0,R59=""),"NO CPN",IF(AND(O59="",R59=""),"",IF(AND(R59&gt;0,Tabla1[[#This Row],[SEMANAS DE GESTACION ACTUALIZADAS]]&lt;=27),"NO APLICA",IF(AND(ES59&lt;&gt;"",FQ59&lt;&gt;"",GF59&lt;&gt;""),"SI","NO"))))</f>
        <v>NO</v>
      </c>
      <c r="NP59" s="204" t="str">
        <f t="shared" si="240"/>
        <v>I TRIM</v>
      </c>
      <c r="NQ59" s="21" t="str">
        <f t="shared" si="241"/>
        <v/>
      </c>
      <c r="NR59" s="21">
        <f t="shared" si="242"/>
        <v>3</v>
      </c>
      <c r="NS59" s="205">
        <f t="shared" ca="1" si="243"/>
        <v>2</v>
      </c>
      <c r="NT59" s="21">
        <f t="shared" ca="1" si="244"/>
        <v>1</v>
      </c>
      <c r="NU59" s="21" t="str">
        <f t="shared" ca="1" si="245"/>
        <v>INCOMPLETO</v>
      </c>
      <c r="NV59" s="21" t="str">
        <f t="shared" ca="1" si="246"/>
        <v>INCOMPLETO</v>
      </c>
      <c r="NW59" s="206" t="str">
        <f>IF(AND(O59="",R59=""),"",IF(OR(AND(Tabla1[[#This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59" s="207" t="str">
        <f t="shared" ca="1" si="247"/>
        <v>SIN VACUNAR</v>
      </c>
      <c r="NY59" s="43">
        <f>ROW(Tabla1[[#This Row],['# DE TAMIZAJES SIFILIS TOMADOS ]])</f>
        <v>59</v>
      </c>
      <c r="NZ59" s="43">
        <f t="shared" si="93"/>
        <v>10</v>
      </c>
      <c r="OA59" s="43" t="str">
        <f t="shared" si="94"/>
        <v/>
      </c>
      <c r="OB59" s="43" t="str">
        <f t="shared" si="95"/>
        <v>NORMAL</v>
      </c>
      <c r="OC59" s="43" t="str">
        <f t="shared" si="96"/>
        <v/>
      </c>
      <c r="OD59" s="43" t="str">
        <f t="shared" si="97"/>
        <v/>
      </c>
      <c r="OE59" s="43" t="str">
        <f t="shared" si="98"/>
        <v/>
      </c>
      <c r="OF59" s="43" t="str">
        <f t="shared" si="99"/>
        <v/>
      </c>
      <c r="OG59" s="43" t="str">
        <f t="shared" si="100"/>
        <v/>
      </c>
      <c r="OH59" s="43" t="str">
        <f t="shared" si="101"/>
        <v/>
      </c>
      <c r="OI59" s="43" t="str">
        <f t="shared" si="102"/>
        <v/>
      </c>
      <c r="OJ59" s="43" t="str">
        <f t="shared" si="103"/>
        <v/>
      </c>
      <c r="OK59" s="43" t="str">
        <f t="shared" si="104"/>
        <v/>
      </c>
      <c r="OL59" s="43" t="str">
        <f t="shared" si="105"/>
        <v/>
      </c>
      <c r="OM59" s="43" t="str">
        <f t="shared" si="106"/>
        <v/>
      </c>
      <c r="ON59" s="43" t="str">
        <f t="shared" si="107"/>
        <v/>
      </c>
      <c r="OO59" s="43" t="str">
        <f t="shared" si="108"/>
        <v/>
      </c>
      <c r="OP59" s="43" t="str">
        <f t="shared" si="109"/>
        <v/>
      </c>
      <c r="OQ59" s="43" t="str">
        <f t="shared" si="110"/>
        <v/>
      </c>
      <c r="OR59" s="43" t="str">
        <f t="shared" si="111"/>
        <v/>
      </c>
      <c r="OS59" s="43" t="str">
        <f t="shared" si="112"/>
        <v/>
      </c>
      <c r="OT59" s="43" t="str">
        <f t="shared" si="113"/>
        <v/>
      </c>
      <c r="OU59" s="43" t="str">
        <f t="shared" si="114"/>
        <v/>
      </c>
      <c r="OV59" s="110" t="str">
        <f t="shared" si="115"/>
        <v/>
      </c>
      <c r="OW59" s="43" t="str">
        <f t="shared" si="116"/>
        <v/>
      </c>
      <c r="OX59" s="43" t="str">
        <f t="shared" si="117"/>
        <v/>
      </c>
      <c r="OY59" s="43" t="str">
        <f t="shared" si="118"/>
        <v/>
      </c>
      <c r="OZ59" s="43" t="str">
        <f t="shared" si="119"/>
        <v/>
      </c>
      <c r="PA59" s="43" t="str">
        <f t="shared" si="120"/>
        <v/>
      </c>
      <c r="PB59" s="43" t="str">
        <f t="shared" si="121"/>
        <v/>
      </c>
      <c r="PC59" s="43" t="str">
        <f t="shared" si="122"/>
        <v/>
      </c>
      <c r="PD59" s="43" t="str">
        <f t="shared" si="123"/>
        <v/>
      </c>
      <c r="PE59" s="43" t="str">
        <f t="shared" si="124"/>
        <v/>
      </c>
      <c r="PF59" s="43" t="str">
        <f t="shared" si="125"/>
        <v/>
      </c>
      <c r="PG59" s="43" t="str">
        <f t="shared" si="126"/>
        <v/>
      </c>
      <c r="PH59" s="43" t="str">
        <f t="shared" si="127"/>
        <v/>
      </c>
      <c r="PI59" s="43">
        <f t="shared" si="128"/>
        <v>34</v>
      </c>
      <c r="PJ59" s="43" t="str">
        <f t="shared" si="129"/>
        <v/>
      </c>
      <c r="PK59" s="43" t="str">
        <f t="shared" si="130"/>
        <v/>
      </c>
      <c r="PL59" s="43" t="str">
        <f t="shared" si="131"/>
        <v/>
      </c>
      <c r="PM59" s="43" t="str">
        <f t="shared" si="132"/>
        <v/>
      </c>
      <c r="PN59" s="43" t="str">
        <f t="shared" si="133"/>
        <v/>
      </c>
      <c r="PO59" s="43" t="str">
        <f t="shared" si="134"/>
        <v/>
      </c>
      <c r="PP59" s="43" t="str">
        <f t="shared" si="135"/>
        <v/>
      </c>
      <c r="PQ59" s="43" t="str">
        <f t="shared" si="136"/>
        <v/>
      </c>
      <c r="PR59" s="43" t="str">
        <f t="shared" si="137"/>
        <v/>
      </c>
      <c r="PS59" s="43" t="str">
        <f t="shared" si="138"/>
        <v/>
      </c>
      <c r="PT59" s="43" t="str">
        <f t="shared" si="139"/>
        <v/>
      </c>
      <c r="PU59" s="43" t="str">
        <f t="shared" si="140"/>
        <v/>
      </c>
      <c r="PV59" s="43" t="str">
        <f t="shared" si="141"/>
        <v/>
      </c>
      <c r="PW59" s="43" t="str">
        <f t="shared" si="142"/>
        <v/>
      </c>
      <c r="PX59" s="43" t="str">
        <f t="shared" si="143"/>
        <v/>
      </c>
      <c r="PY59" s="43" t="str">
        <f t="shared" si="144"/>
        <v/>
      </c>
      <c r="PZ59" s="43" t="str">
        <f t="shared" si="145"/>
        <v/>
      </c>
      <c r="QA59" s="43" t="str">
        <f t="shared" si="146"/>
        <v/>
      </c>
      <c r="QB59" s="43" t="str">
        <f t="shared" si="147"/>
        <v/>
      </c>
      <c r="QC59" s="43" t="str">
        <f t="shared" si="148"/>
        <v/>
      </c>
      <c r="QD59" s="43" t="str">
        <f t="shared" si="149"/>
        <v/>
      </c>
      <c r="QE59" s="43" t="str">
        <f t="shared" si="150"/>
        <v/>
      </c>
      <c r="QF59" s="43" t="str">
        <f t="shared" si="151"/>
        <v/>
      </c>
      <c r="QG59" s="43" t="str">
        <f t="shared" si="152"/>
        <v/>
      </c>
      <c r="QH59" s="43" t="str">
        <f t="shared" si="153"/>
        <v/>
      </c>
      <c r="QI59" s="43" t="str">
        <f t="shared" si="154"/>
        <v>NORMAL</v>
      </c>
      <c r="QJ59" s="43" t="str">
        <f t="shared" si="155"/>
        <v/>
      </c>
      <c r="QK59" s="43" t="str">
        <f t="shared" si="156"/>
        <v/>
      </c>
      <c r="QL59" s="43" t="str">
        <f t="shared" si="157"/>
        <v/>
      </c>
      <c r="QM59" s="43" t="str">
        <f t="shared" si="158"/>
        <v/>
      </c>
      <c r="QN59" s="43" t="str">
        <f t="shared" si="159"/>
        <v/>
      </c>
      <c r="QO59" s="43" t="str">
        <f t="shared" si="160"/>
        <v/>
      </c>
      <c r="QP59" s="43" t="str">
        <f t="shared" si="161"/>
        <v/>
      </c>
      <c r="QQ59" s="43" t="str">
        <f t="shared" si="162"/>
        <v/>
      </c>
      <c r="QR59" s="43">
        <f t="shared" si="192"/>
        <v>34</v>
      </c>
      <c r="QS59" s="43"/>
      <c r="QT59" s="21" t="str">
        <f t="shared" si="163"/>
        <v/>
      </c>
      <c r="QU59" s="21" t="str">
        <f t="shared" si="164"/>
        <v/>
      </c>
      <c r="QV59" s="21" t="str">
        <f t="shared" si="165"/>
        <v/>
      </c>
      <c r="QW59" s="21" t="str">
        <f t="shared" si="166"/>
        <v/>
      </c>
      <c r="QX59" s="21" t="str">
        <f t="shared" si="167"/>
        <v/>
      </c>
      <c r="QY59" s="21" t="str">
        <f t="shared" si="168"/>
        <v/>
      </c>
      <c r="QZ59" s="21" t="str">
        <f t="shared" si="169"/>
        <v/>
      </c>
      <c r="RA59" s="21" t="str">
        <f t="shared" si="170"/>
        <v/>
      </c>
      <c r="RB59" s="21" t="str">
        <f t="shared" si="171"/>
        <v/>
      </c>
      <c r="RC59" s="21" t="str">
        <f t="shared" si="172"/>
        <v/>
      </c>
      <c r="RD59" s="21" t="str">
        <f t="shared" si="173"/>
        <v/>
      </c>
      <c r="RE59" s="21" t="str">
        <f t="shared" si="174"/>
        <v/>
      </c>
      <c r="RF59" s="21" t="str">
        <f t="shared" si="175"/>
        <v/>
      </c>
      <c r="RG59" s="21" t="str">
        <f t="shared" si="176"/>
        <v/>
      </c>
      <c r="RH59" s="21" t="str">
        <f t="shared" si="177"/>
        <v/>
      </c>
      <c r="RI59" s="21" t="str">
        <f t="shared" si="178"/>
        <v/>
      </c>
      <c r="RJ59" s="21" t="str">
        <f t="shared" si="179"/>
        <v/>
      </c>
      <c r="RK59" s="21" t="str">
        <f t="shared" si="180"/>
        <v/>
      </c>
      <c r="RL59" s="21" t="str">
        <f t="shared" si="181"/>
        <v/>
      </c>
      <c r="RM59" s="21" t="str">
        <f t="shared" si="182"/>
        <v/>
      </c>
      <c r="RN59" s="21" t="str">
        <f t="shared" si="183"/>
        <v/>
      </c>
      <c r="RO59" s="21" t="str">
        <f t="shared" si="184"/>
        <v/>
      </c>
      <c r="RP59" s="21" t="str">
        <f t="shared" si="185"/>
        <v/>
      </c>
      <c r="RQ59" s="21" t="str">
        <f t="shared" si="186"/>
        <v/>
      </c>
      <c r="RR59" s="21" t="str">
        <f t="shared" si="187"/>
        <v/>
      </c>
      <c r="RS59" s="21" t="str">
        <f t="shared" si="188"/>
        <v/>
      </c>
      <c r="RT59" s="21" t="str">
        <f t="shared" si="189"/>
        <v/>
      </c>
      <c r="RU59" s="21" t="str">
        <f t="shared" si="190"/>
        <v/>
      </c>
      <c r="RV59" s="21">
        <f t="shared" si="191"/>
        <v>10.428571428571429</v>
      </c>
      <c r="RW59" s="284">
        <f>IF(OR(Tabla1[[#This Row],[FUM FORMULA CONFIABLE]]="",Tabla1[[#This Row],[FUM FORMULA CONFIABLE]]="SD"),"",IF(Tabla1[[#This Row],[FUM FORMULA CONFIABLE]]="CORREGIDA",Tabla1[[#This Row],[FUM X ECO 1]],Tabla1[[#This Row],[FUM x AMENORREA]]))</f>
        <v>44821</v>
      </c>
      <c r="RX59" s="21">
        <f>IF(AND(Tabla1[[#This Row],[FUM X ECO 1]]="",Tabla1[[#This Row],[FUM x AMENORREA]]=""),"",IF(AND(Tabla1[[#This Row],[FUM X ECO 1]]="",Tabla1[[#This Row],[FUM x AMENORREA]]&lt;&gt;""),"X",SUM(Tabla1[[#This Row],[FUM X ECO 1]]-Tabla1[[#This Row],[FUM x AMENORREA]])))</f>
        <v>0</v>
      </c>
      <c r="RY59" s="21">
        <f t="shared" si="193"/>
        <v>0</v>
      </c>
    </row>
    <row r="60" spans="1:493" ht="45" customHeight="1" x14ac:dyDescent="0.25">
      <c r="A60" s="109" t="s">
        <v>1174</v>
      </c>
      <c r="B60" s="43" t="s">
        <v>1121</v>
      </c>
      <c r="C60" s="43" t="s">
        <v>845</v>
      </c>
      <c r="D60" s="124" t="s">
        <v>846</v>
      </c>
      <c r="E60" s="43" t="s">
        <v>1175</v>
      </c>
      <c r="F60" s="43" t="s">
        <v>1176</v>
      </c>
      <c r="G60" s="43" t="s">
        <v>1177</v>
      </c>
      <c r="H60" s="43" t="s">
        <v>1100</v>
      </c>
      <c r="I60" s="109" t="s">
        <v>851</v>
      </c>
      <c r="J60" s="110">
        <v>1002846348</v>
      </c>
      <c r="K60" s="43" t="s">
        <v>852</v>
      </c>
      <c r="L60" s="175" t="s">
        <v>853</v>
      </c>
      <c r="M60" s="22">
        <v>35907</v>
      </c>
      <c r="N60" s="213">
        <f t="shared" ca="1" si="0"/>
        <v>25.550684931506851</v>
      </c>
      <c r="O60" s="22">
        <v>44898</v>
      </c>
      <c r="P60" s="214" t="str">
        <f t="shared" si="194"/>
        <v>SI</v>
      </c>
      <c r="Q60" s="26" t="s">
        <v>855</v>
      </c>
      <c r="R60" s="22">
        <v>44898</v>
      </c>
      <c r="S60" s="21" t="s">
        <v>856</v>
      </c>
      <c r="T60" s="24" t="s">
        <v>690</v>
      </c>
      <c r="U60" s="21" t="s">
        <v>857</v>
      </c>
      <c r="V60" s="21" t="s">
        <v>858</v>
      </c>
      <c r="W60" s="21" t="s">
        <v>1125</v>
      </c>
      <c r="X60" s="21" t="s">
        <v>1125</v>
      </c>
      <c r="Y60" s="21" t="s">
        <v>859</v>
      </c>
      <c r="Z60" s="21">
        <v>3137529885</v>
      </c>
      <c r="AA60" s="21" t="s">
        <v>860</v>
      </c>
      <c r="AB60" s="27" t="s">
        <v>861</v>
      </c>
      <c r="AC60" s="26" t="s">
        <v>877</v>
      </c>
      <c r="AD60" s="38" t="s">
        <v>846</v>
      </c>
      <c r="AE60" s="26" t="s">
        <v>854</v>
      </c>
      <c r="AF60" s="26" t="s">
        <v>854</v>
      </c>
      <c r="AG60" s="23" t="s">
        <v>864</v>
      </c>
      <c r="AH60" s="23" t="s">
        <v>864</v>
      </c>
      <c r="AI60" s="24" t="s">
        <v>863</v>
      </c>
      <c r="AJ60" s="23" t="s">
        <v>864</v>
      </c>
      <c r="AK60" s="220" t="str">
        <f>IF(AND(AD60="",AE60="",AF60="",AG60="",AH60="",AI60="",AJ60=""),"",IF(OR(Tabla1[[#This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EVALUACIÓN",IF(AND(O60="",R60=""),"",IF(AND(OR(O60&gt;0,R60&gt;0),NG60&gt;=0,NG60&lt;2),"SIN RIESGO",IF(AND(OR(O60&gt;0,R60&gt;0),NG60&gt;=2),"CON RIESGO","ASD")))))</f>
        <v>SIN RIESGO</v>
      </c>
      <c r="AL60" s="23" t="s">
        <v>864</v>
      </c>
      <c r="AM60" s="26" t="s">
        <v>864</v>
      </c>
      <c r="AN60" s="26" t="s">
        <v>864</v>
      </c>
      <c r="AO60" s="26" t="s">
        <v>864</v>
      </c>
      <c r="AP60" s="26" t="s">
        <v>864</v>
      </c>
      <c r="AQ60" s="26" t="s">
        <v>864</v>
      </c>
      <c r="AR60" s="26" t="s">
        <v>864</v>
      </c>
      <c r="AS60" s="21">
        <v>0</v>
      </c>
      <c r="AT60" s="21">
        <v>0</v>
      </c>
      <c r="AU60" s="21">
        <v>0</v>
      </c>
      <c r="AV60" s="26" t="s">
        <v>864</v>
      </c>
      <c r="AW60" s="21">
        <v>0</v>
      </c>
      <c r="AX60" s="26" t="s">
        <v>864</v>
      </c>
      <c r="AY60" s="26" t="s">
        <v>864</v>
      </c>
      <c r="AZ60" s="26" t="s">
        <v>864</v>
      </c>
      <c r="BA60" s="26" t="s">
        <v>864</v>
      </c>
      <c r="BB60" s="26" t="s">
        <v>864</v>
      </c>
      <c r="BC60" s="26" t="s">
        <v>864</v>
      </c>
      <c r="BD60" s="26" t="s">
        <v>864</v>
      </c>
      <c r="BE60" s="26" t="s">
        <v>864</v>
      </c>
      <c r="BF60" s="26" t="s">
        <v>864</v>
      </c>
      <c r="BG60" s="26" t="s">
        <v>864</v>
      </c>
      <c r="BH60" s="26" t="s">
        <v>864</v>
      </c>
      <c r="BI60" s="26" t="s">
        <v>864</v>
      </c>
      <c r="BJ60" s="26" t="s">
        <v>864</v>
      </c>
      <c r="BK60" s="26" t="s">
        <v>864</v>
      </c>
      <c r="BL60" s="26" t="s">
        <v>864</v>
      </c>
      <c r="BM60" s="26" t="s">
        <v>864</v>
      </c>
      <c r="BN60" s="22"/>
      <c r="BO60" s="22">
        <v>44850</v>
      </c>
      <c r="BP60" s="21" t="s">
        <v>1380</v>
      </c>
      <c r="BQ60" s="222">
        <f t="shared" si="2"/>
        <v>0</v>
      </c>
      <c r="BR60" s="223">
        <f t="shared" si="3"/>
        <v>44831.5</v>
      </c>
      <c r="BS60" s="224">
        <f t="shared" si="4"/>
        <v>9.5</v>
      </c>
      <c r="BT60" s="216" t="str">
        <f t="shared" si="5"/>
        <v>I TRIM</v>
      </c>
      <c r="BU60" s="214" t="str">
        <f t="shared" ca="1" si="6"/>
        <v/>
      </c>
      <c r="BV60" s="25"/>
      <c r="BW60" s="22">
        <v>44898</v>
      </c>
      <c r="BX60" s="28">
        <v>9.5</v>
      </c>
      <c r="BY60" s="28"/>
      <c r="BZ60" s="22">
        <v>44995</v>
      </c>
      <c r="CA60" s="21">
        <v>20.5</v>
      </c>
      <c r="CB60" s="26" t="s">
        <v>864</v>
      </c>
      <c r="CC60" s="26" t="s">
        <v>864</v>
      </c>
      <c r="CD60" s="26"/>
      <c r="CE60" s="26" t="s">
        <v>864</v>
      </c>
      <c r="CF60" s="22" t="s">
        <v>1517</v>
      </c>
      <c r="CG60" s="21">
        <v>1.43</v>
      </c>
      <c r="CH60" s="21">
        <v>56</v>
      </c>
      <c r="CI60" s="214">
        <f t="shared" si="7"/>
        <v>27.385202210377038</v>
      </c>
      <c r="CJ60" s="225" t="str">
        <f>IF(AND(CI60&lt;10,CH60="SD"),"SIN DATO PESO PREGESTACION O I TRIM",IF(AND(OR(R60&gt;0,O60&gt;0),CI60="X"),"INGRESAR DATO DE PESO",IF(CI60="SD","INGRESAR DATO DE TALLA Y PESO",IF(AND(OR(Tabla1[[#This Row],[MOMENTO EN QUE SE REALIZA EL PESO AL INGRESO A CPN]]="PREGESTACIÓN",NZ60="Menor"),CI60&lt;18.5),"BAJO PESO",IF(AND(OR(Tabla1[[#This Row],[MOMENTO EN QUE SE REALIZA EL PESO AL INGRESO A CPN]]="PREGESTACIÓN",NZ60="Menor"),CI60&lt;25),"NORMAL",IF(AND(OR(Tabla1[[#This Row],[MOMENTO EN QUE SE REALIZA EL PESO AL INGRESO A CPN]]="PREGESTACIÓN",NZ60="Menor"),CI60&lt;30),"SOBREPESO",IF(AND(OR(Tabla1[[#This Row],[MOMENTO EN QUE SE REALIZA EL PESO AL INGRESO A CPN]]="PREGESTACIÓN",NZ60="Menor"),CI60&gt;=30,CI60&lt;50),"OBESIDAD",IF(AND(BS60&gt;0,Tabla1[[#This Row],[MOMENTO EN QUE SE REALIZA EL PESO AL INGRESO A CPN]]="GESTACIÓN"),HLOOKUP(NZ60,$OA$2:PH60,NY60),""))))))))</f>
        <v>SOBREPESO</v>
      </c>
      <c r="CK60" s="212">
        <f t="shared" si="8"/>
        <v>45110</v>
      </c>
      <c r="CL60" s="21">
        <v>61.1</v>
      </c>
      <c r="CM60" s="214">
        <f t="shared" si="9"/>
        <v>29.879211697393519</v>
      </c>
      <c r="CN60" s="216">
        <f t="shared" si="10"/>
        <v>39</v>
      </c>
      <c r="CO60" s="216" t="e">
        <f>IF(PI60="","",IF(PI60&gt;0,HLOOKUP(PI60,$PJ$2:QQ60,NY60),""))</f>
        <v>#REF!</v>
      </c>
      <c r="CP60" s="21">
        <v>35</v>
      </c>
      <c r="CQ60" s="216" t="e">
        <f>IF(QR60="Menor","NO APLICA-MENOR 13 SEM",IF(AND(CC60="SI",CN60&gt;23),"NO APLICA- GEMELAR",IF(QR60="","",IF(QR60&gt;0,HLOOKUP(QR60,$QS$2:RU60,NY60),""))))</f>
        <v>#REF!</v>
      </c>
      <c r="CR60" s="21">
        <v>100</v>
      </c>
      <c r="CS60" s="21">
        <v>60</v>
      </c>
      <c r="CT60" s="217" t="str">
        <f>IF(R60="","",IF(AND(BS60&gt;1,BS60&lt;12,Tabla1[[#This Row],[T.A. SISTOLICA - ANTES DE SEMANA 12]]="",Tabla1[[#This Row],[T.A. DIASTOLICA - ANTES DE SEMANA 12]]=""),"REGISTRE DATO TA ANTES SEMANA 12",IF(AND(BS60&gt;11,BS60&lt;43,Tabla1[[#This Row],[T.A. SISTOLICA - ANTES DE SEMANA 12]]="",Tabla1[[#This Row],[T.A. DIASTOLICA - ANTES DE SEMANA 12]]=""),"NO APLICA REGISTRO TA-INGRESO TARDIO",IF(AND(OR(O60&gt;0,R60&gt;0),OR(CR60&gt;=140,CS60&gt;=90)),"DEFINIR ESTADIO HTA",IF(AND(OR(O60&gt;0,R60&gt;0),AND(CR60&gt;120,CR60&lt;=139)),"PRE HTA SEGUIMIENTO",IF(AND(OR(O60&gt;0,R60&gt;0),AND(CS60&gt;80,CS60&lt;=89)),"PRE HTA SEGUIMIENTO",IF(AND(OR(O60&gt;0,R60&gt;0),AND(CR60&gt;=80,CR60&lt;=120)),"APARENTEMENTE NORMAL",IF(AND(OR(O60&gt;0,R60&gt;0),AND(CS60&gt;=50,CS60&lt;=80)),"APARENTEMENTE NORMAL",IF(AND(OR(O60&gt;0,R60&gt;0),AND(CR60&gt;1,CR60&lt;=70),AND(CS60&gt;1,CS60&lt;=40)),"HIPOTENSIÓN","")))))))))</f>
        <v>APARENTEMENTE NORMAL</v>
      </c>
      <c r="CU60" s="21"/>
      <c r="CV60" s="21"/>
      <c r="CW60" s="217" t="str">
        <f ca="1">IF(R60="","",IF(AND(CN60&gt;19,CN60&lt;27,Tabla1[[#This Row],[T.A. SISTOLICA (Entre semana 20 y 26)]]="",Tabla1[[#This Row],[T.A. DIATOLICA (Entre semana 20 y 26)]]=""),"ACUDE A CONTROL SEM 20 A 26 REGISTRE TA AHORA",IF(AND(BS60&gt;1,BS60&lt;27,BU60&gt;19,Tabla1[[#This Row],[T.A. SISTOLICA (Entre semana 20 y 26)]]="",Tabla1[[#This Row],[T.A. DIATOLICA (Entre semana 20 y 26)]]=""),"COMPLETE REGISTRO TA CONTROL SEM 20 A26 ",IF(AND(BS60&gt;26,BS60&lt;43,Tabla1[[#This Row],[T.A. SISTOLICA (Entre semana 20 y 26)]]="",Tabla1[[#This Row],[T.A. DIATOLICA (Entre semana 20 y 26)]]=""),"NO APLICA REGISTRO TA-INGRESO TARDIO",IF(AND(OR(O60&gt;0,R60&gt;0),OR(CU60&gt;=140,CV60&gt;=90)),"ALTO RIESGO PREECLAMPSIA,DEFINIR ESTADIO HTA",IF(AND(OR(O60&gt;0,R60&gt;0),AND(CU60&gt;120,CU60&lt;=139)),"PRE HTA SEGUIMIENTO,RIESGO HIPERTENSION INDUCIDA POR EL EMBARAZO",IF(AND(OR(O60&gt;0,R60&gt;0),AND(CV60&gt;80,CV60&lt;=89)),"PRE HTA SEGUIMIENTO, RIESGO HIPERTENSION INDUCIDA POR EL EMBARAZO",IF(AND(OR(O60&lt;&gt;"",R60&lt;&gt;""),CS60&lt;&gt;"",CV60&lt;&gt;"",CS60&lt;=CV60),"VIGILAR CIFRAS PRESION ARTERIAL",IF(AND(OR(O60&gt;0,R60&gt;0),AND(CU60&gt;120,CU60&lt;=139)),"PRE HTA SEGUIMIENTO",IF(AND(OR(O60&gt;0,R60&gt;0),AND(CU60&gt;1,CU60&lt;=70),AND(CV60&gt;1,CV60&lt;=40)),"HIPOTENSIÓN",IF(AND(OR(O60&lt;&gt;"",R60&lt;&gt;""),CS60&lt;&gt;"",CV60&lt;&gt;"",CS60&gt;CV60),"APARENTEMENTE NORMAL",IF(AND(OR(O60&gt;0,R60&gt;0),AND(CU60&gt;=80,CU60&lt;=120)),"APARENTEMENTE NORMAL",IF(AND(OR(O60&gt;0,R60&gt;0),AND(CV60&gt;=50,CV60&lt;=80)),"APARENTEMENTE NORMAL","")))))))))))))</f>
        <v xml:space="preserve">COMPLETE REGISTRO TA CONTROL SEM 20 A26 </v>
      </c>
      <c r="CX60" s="21"/>
      <c r="CY60" s="21"/>
      <c r="CZ60" s="216" t="str">
        <f t="shared" si="195"/>
        <v/>
      </c>
      <c r="DA60" s="21">
        <v>90</v>
      </c>
      <c r="DB60" s="21">
        <v>60</v>
      </c>
      <c r="DC60" s="217" t="str">
        <f t="shared" si="12"/>
        <v>APARENTEMENTE NORMAL</v>
      </c>
      <c r="DD60" s="22">
        <v>44898</v>
      </c>
      <c r="DE60" s="22">
        <v>44898</v>
      </c>
      <c r="DF60" s="22">
        <v>44975</v>
      </c>
      <c r="DG60" s="22">
        <v>45063</v>
      </c>
      <c r="DH60" s="22">
        <v>45110</v>
      </c>
      <c r="DI60" s="22"/>
      <c r="DJ60" s="22"/>
      <c r="DK60" s="22"/>
      <c r="DL60" s="22"/>
      <c r="DM60" s="22"/>
      <c r="DN60" s="22"/>
      <c r="DO60" s="22"/>
      <c r="DP60" s="22"/>
      <c r="DQ60" s="22"/>
      <c r="DR60" s="28">
        <v>1</v>
      </c>
      <c r="DS60" s="22"/>
      <c r="DT60" s="22"/>
      <c r="DU60" s="216" t="str">
        <f t="shared" ca="1" si="196"/>
        <v>SALE SIN PLAN DE PARTO</v>
      </c>
      <c r="DV60" s="226" t="str">
        <f t="shared" si="197"/>
        <v>SALIO PROGRAMA</v>
      </c>
      <c r="DW6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0" s="216" t="str">
        <f t="shared" ca="1" si="15"/>
        <v/>
      </c>
      <c r="DY60" s="212">
        <f>IF(R60="","",IF(R60&gt;0,MAX(Tabla1[[#This Row],[FECHA C2]:[FECHA C13]],Tabla1[[#This Row],[FECHA CONSULTA PRIMERA VEZ PROGRAMA CPN ]])))</f>
        <v>45110</v>
      </c>
      <c r="DZ60" s="216">
        <f t="shared" si="16"/>
        <v>39</v>
      </c>
      <c r="EA60" s="222">
        <f>IF(R60&gt;0,SUM(COUNTA(DF60:DQ60)+COUNTA(Tabla1[[#This Row],[FECHA CONSULTA PRIMERA VEZ PROGRAMA CPN ]])),"")</f>
        <v>4</v>
      </c>
      <c r="EB60" s="222" t="str">
        <f t="shared" si="17"/>
        <v>SI</v>
      </c>
      <c r="EC60" s="214">
        <f t="shared" si="18"/>
        <v>9</v>
      </c>
      <c r="ED60" s="227">
        <f t="shared" si="19"/>
        <v>0.44444444444444442</v>
      </c>
      <c r="EE60" s="22">
        <v>44898</v>
      </c>
      <c r="EF60" s="22">
        <v>44898</v>
      </c>
      <c r="EG60" s="22">
        <v>44898</v>
      </c>
      <c r="EH60" s="22"/>
      <c r="EI60" s="22">
        <v>44898</v>
      </c>
      <c r="EJ60" s="22"/>
      <c r="EK60" s="22"/>
      <c r="EL60" s="21"/>
      <c r="EM60" s="21">
        <v>12.5</v>
      </c>
      <c r="EN60" s="22">
        <v>44989</v>
      </c>
      <c r="EO60" s="222">
        <f t="shared" si="20"/>
        <v>22.5</v>
      </c>
      <c r="EP60" s="214" t="str">
        <f t="shared" si="21"/>
        <v>NORMAL- SUMINISTRAR SULFATO FERROSO</v>
      </c>
      <c r="EQ60" s="216" t="str">
        <f t="shared" si="22"/>
        <v>II TRIM</v>
      </c>
      <c r="ER60" s="24">
        <v>13.4</v>
      </c>
      <c r="ES60" s="22">
        <v>45115</v>
      </c>
      <c r="ET60" s="29" t="str">
        <f t="shared" si="198"/>
        <v>CORREGIR FECHA RESULTADO</v>
      </c>
      <c r="EU60" s="25" t="str">
        <f t="shared" si="24"/>
        <v>NORMAL- SUMINISTRAR SULFATO FERROSO</v>
      </c>
      <c r="EV60" s="24" t="s">
        <v>1510</v>
      </c>
      <c r="EW60" s="290"/>
      <c r="EX60" s="32">
        <v>44989</v>
      </c>
      <c r="EY60" s="29">
        <f>IF(AND(BT60="ERROR FUM O INGRESO",EX60&gt;0),"ERROR FUM O INGRESO",IF(AND(EX60="",R60="",O60=""),"",IF(OR(AND(EX60&lt;&gt;"",EX60&lt;RW60),AND(EX60&lt;&gt;"",SUM((EX60-RW60)/7)&gt;40)),"CORREGIR FECHA RESULTADO",IF(AND(EX60="",OR(O60&gt;0,R60&gt;0)),"TOMAR EXAMEN",IF(EX60&gt;0,SUM(EX60-RW60)/7,"")))))</f>
        <v>22.5</v>
      </c>
      <c r="EZ60" s="25" t="str">
        <f>IF(EV60="RH POSITIVO","SIN RIESGO DE ISOINMUNIZACIÓN",IF(AND(EV60="RH NEGATIVO CON COOMBS NEGATIVO",#REF!="",BU60&lt;=24),"COOMBS C/MES Y APLICAR RHESUMAN SEM 28",IF(AND(EV60="RH NEGATIVO CON COOMBS NEGATIVO",#REF!="",AND(BU60&gt;24,BU60&lt;27)),"FALTAN DE 4 A 2 SEMANAS PARA APLICAR RHESUMAN A SEM 28",IF(AND(EV60="RH NEGATIVO CON COOMBS NEGATIVO",#REF!="",AND(BU60&gt;26.99,BU60&lt;27.99)),"FALTAN 1 SEMANAS PARA APLICAR RHESUMAN A SEM 28",IF(AND(EV60="RH NEGATIVO CON COOMBS NEGATIVO",#REF!="",AND(BU60&gt;27.99,BU60&lt;29)),"SEMANA 28 APLICAR DE INMEDIATO RHESUMAN",IF(AND(EV60="RH NEGATIVO CON COOMBS NEGATIVO",#REF!="",AND(BU60&gt;28.99,BU60&lt;42)),"DEBE APLICAR RHESUMAN, ES NO OPORTUNO &gt; 28 SEMANAS",IF(AND(EV60="RH NEGATIVO CON COOMBS NEGATIVO",#REF!&gt;0),SUM(#REF!-RW60)/7,IF(EV60="RH NEGATIVO SIN COOMBS","TOMAR COOMBS INMEDIATO PARA DEFINIR MANEJO",IF(EV60="RH NEGATIVO CON COOMBS POSITIVO","TOMAR COOMBS CUANTITATIVO Y REMISIÓN","")))))))))</f>
        <v>SIN RIESGO DE ISOINMUNIZACIÓN</v>
      </c>
      <c r="FA60" s="21"/>
      <c r="FB60" s="22"/>
      <c r="FC60" s="29" t="str">
        <f t="shared" si="27"/>
        <v>TOMAR EXAMEN</v>
      </c>
      <c r="FD60" s="29"/>
      <c r="FE60" s="29"/>
      <c r="FF60" s="29"/>
      <c r="FG60" s="21" t="str">
        <f t="shared" ca="1" si="28"/>
        <v/>
      </c>
      <c r="FH60" s="31"/>
      <c r="FI60" s="29" t="str">
        <f t="shared" si="29"/>
        <v>TOMAR EXAMEN</v>
      </c>
      <c r="FJ60" s="22"/>
      <c r="FK60" s="22"/>
      <c r="FL60" s="29" t="str">
        <f t="shared" ca="1" si="30"/>
        <v>PIERDE TOMA DE TAMIZAJE</v>
      </c>
      <c r="FM60" s="22"/>
      <c r="FN60" s="32"/>
      <c r="FO60" s="29" t="str">
        <f t="shared" ca="1" si="201"/>
        <v>PIERDE TOMA DE TAMIZAJE</v>
      </c>
      <c r="FP60" s="22" t="s">
        <v>867</v>
      </c>
      <c r="FQ60" s="32">
        <v>45115</v>
      </c>
      <c r="FR60" s="29">
        <f t="shared" ca="1" si="202"/>
        <v>40.5</v>
      </c>
      <c r="FS60" s="22"/>
      <c r="FT60" s="32"/>
      <c r="FU60" s="29" t="str">
        <f>IF(AND(FJ60="",FM60="",FP60="",FS60=""),"",IF(OR(OR(Tabla1[[#This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0" s="28"/>
      <c r="FW60" s="22"/>
      <c r="FX60" s="29" t="str">
        <f t="shared" si="33"/>
        <v>TOMAR EXAMEN</v>
      </c>
      <c r="FY60" s="22"/>
      <c r="FZ60" s="22"/>
      <c r="GA60" s="29"/>
      <c r="GB60" s="22" t="s">
        <v>868</v>
      </c>
      <c r="GC60" s="22">
        <v>44989</v>
      </c>
      <c r="GD60" s="29">
        <f t="shared" ca="1" si="204"/>
        <v>22.5</v>
      </c>
      <c r="GE60" s="22" t="s">
        <v>868</v>
      </c>
      <c r="GF60" s="22">
        <v>45115</v>
      </c>
      <c r="GG60" s="29">
        <f t="shared" ca="1" si="205"/>
        <v>40.5</v>
      </c>
      <c r="GH60" s="22"/>
      <c r="GI60" s="29"/>
      <c r="GJ60" s="22"/>
      <c r="GK60" s="22"/>
      <c r="GL60" s="22"/>
      <c r="GM60" s="22"/>
      <c r="GN60" s="28"/>
      <c r="GO60" s="22"/>
      <c r="GP60" s="29" t="str">
        <f t="shared" si="37"/>
        <v>TOMAR EXAMEN</v>
      </c>
      <c r="GQ60" s="28"/>
      <c r="GR60" s="28"/>
      <c r="GS60" s="22" t="str">
        <f t="shared" si="206"/>
        <v/>
      </c>
      <c r="GT60" s="22"/>
      <c r="GU60" s="29" t="str">
        <f t="shared" si="39"/>
        <v>TOMAR EXAMEN</v>
      </c>
      <c r="GV60" s="21" t="str">
        <f t="shared" si="40"/>
        <v>POR DEFINIR</v>
      </c>
      <c r="GW60" s="28"/>
      <c r="GX60" s="30"/>
      <c r="GY60" s="21"/>
      <c r="GZ60" s="21"/>
      <c r="HA60" s="21"/>
      <c r="HB60" s="21"/>
      <c r="HC60" s="21"/>
      <c r="HD60" s="21"/>
      <c r="HE60" s="21"/>
      <c r="HF60" s="22"/>
      <c r="HG60" s="22" t="str">
        <f>IF(OR(O60&gt;0,R60&gt;0),CONCATENATE(IF(Tabla1[[#This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0" s="22" t="e">
        <f t="shared" si="41"/>
        <v>#REF!</v>
      </c>
      <c r="HI60" s="22" t="e">
        <f t="shared" ca="1" si="42"/>
        <v>#REF!</v>
      </c>
      <c r="HJ60" s="21"/>
      <c r="HK60" s="21" t="str">
        <f t="shared" si="44"/>
        <v>SIN ANTECEDENTES DE RIESGO</v>
      </c>
      <c r="HL60" s="24" t="str">
        <f t="shared" si="45"/>
        <v>APARENTEMENTE NORMAL</v>
      </c>
      <c r="HM60" s="21" t="str">
        <f t="shared" ca="1" si="46"/>
        <v/>
      </c>
      <c r="HN60" s="30" t="str">
        <f t="shared" si="207"/>
        <v>SALIO PROGRAMA</v>
      </c>
      <c r="HO60" s="21"/>
      <c r="HP60" s="21" t="s">
        <v>864</v>
      </c>
      <c r="HQ60" s="21">
        <v>44898</v>
      </c>
      <c r="HR60" s="21" t="str">
        <f>IF(R60="","",IF(Tabla1[[#This Row],[ALARMA FACTORES DE RIESGO COMPLICACIONES HIPERTENSIVAS3]]="SIN ANTECEDENTES DE RIESGO","No Aplica para suministro de ASA",IF(AND(Tabla1[[#This Row],[FECHA INICIO DE SUMINISTRO DE ASA]]&gt;0,RV60&lt;12),"Inicia ASA ANTES de Sem 12",IF(AND(RV60&gt;11,RV60&lt;17,OR(HK60="RIESGO ALTO DE COMPLICACIONES HIPERTENSIVAS VER MANEJO GUIA SUMINISTRO ASA Y CALCIO",HK60="RIESGO MODERADO (2 O MAS CRITERIOS) VER MANEJO GUIA SUMINISTRO ASA Y CALCIO")),"Inicio oportuno de ASA",IF(AND(RV60&gt;12,OR(HK60="RIESGO ALTO DE COMPLICACIONES HIPERTENSIVAS VER MANEJO GUIA SUMINISTRO ASA Y CALCIO",HK60="RIESGO MODERADO (2 O MAS CRITERIOS) VER MANEJO GUIA SUMINISTRO ASA Y CALCIO")),"Inicio no oportuno mayor a 16 semanas",IF(AND(BU60&lt;12,OR(HK60="RIESGO ALTO DE COMPLICACIONES HIPERTENSIVAS VER MANEJO GUIA SUMINISTRO ASA Y CALCIO",HK60="RIESGO MODERADO (2 O MAS CRITERIOS) VER MANEJO GUIA SUMINISTRO ASA Y CALCIO")),"Pendiente Inicio de ASA a la semana 12",IF(AND(BU60&gt;11,BU60&lt;17,OR(HK60="RIESGO ALTO DE COMPLICACIONES HIPERTENSIVAS VER MANEJO GUIA SUMINISTRO ASA Y CALCIO",HK60="RIESGO MODERADO (2 O MAS CRITERIOS) VER MANEJO GUIA SUMINISTRO ASA Y CALCIO")),"Iniciar de inmediato ASA",IF(AND(BU60&gt;16,OR(HK60="RIESGO ALTO DE COMPLICACIONES HIPERTENSIVAS VER MANEJO GUIA SUMINISTRO ASA Y CALCIO",HK60="RIESGO MODERADO (2 O MAS CRITERIOS) VER MANEJO GUIA SUMINISTRO ASA Y CALCIO")),"Pierde Oportunidad, Inicio tardío de ASA","XXXXX"))))))))</f>
        <v>No Aplica para suministro de ASA</v>
      </c>
      <c r="HS60" s="22">
        <v>44898</v>
      </c>
      <c r="HT60" s="22" t="s">
        <v>935</v>
      </c>
      <c r="HU60" s="22">
        <v>44898</v>
      </c>
      <c r="HV60" s="22" t="s">
        <v>870</v>
      </c>
      <c r="HW60" s="22">
        <v>44898</v>
      </c>
      <c r="HX60" s="22" t="s">
        <v>935</v>
      </c>
      <c r="HY60" s="22">
        <v>44898</v>
      </c>
      <c r="HZ60" s="28">
        <f t="shared" si="48"/>
        <v>9.5</v>
      </c>
      <c r="IA60" s="26" t="s">
        <v>864</v>
      </c>
      <c r="IB60" s="26"/>
      <c r="IC60" s="111"/>
      <c r="ID60" s="22">
        <v>44975</v>
      </c>
      <c r="IE60" s="22" t="str">
        <f t="shared" ca="1" si="49"/>
        <v>VACUNA APLICADA ENTRE SEMANA 20 Y SEMANA 26</v>
      </c>
      <c r="IF60" s="22"/>
      <c r="IG60" s="22">
        <f t="shared" si="50"/>
        <v>45111.5</v>
      </c>
      <c r="IH60" s="29">
        <f t="shared" ca="1" si="51"/>
        <v>-121.5</v>
      </c>
      <c r="II60" s="22" t="str">
        <f t="shared" ca="1" si="52"/>
        <v>POSIBLEMENTE NACIO</v>
      </c>
      <c r="IJ60" s="22"/>
      <c r="IK60" s="21" t="s">
        <v>1652</v>
      </c>
      <c r="IL60" s="21"/>
      <c r="IM60" s="34"/>
      <c r="IN60" s="349">
        <v>45131</v>
      </c>
      <c r="IO60" s="21" t="s">
        <v>1186</v>
      </c>
      <c r="IP60" s="29">
        <f t="shared" si="208"/>
        <v>42.785714285714285</v>
      </c>
      <c r="IQ60" s="110" t="s">
        <v>1654</v>
      </c>
      <c r="IR60" s="21" t="s">
        <v>1651</v>
      </c>
      <c r="IS60" s="21" t="s">
        <v>1646</v>
      </c>
      <c r="IT60" s="21" t="s">
        <v>1642</v>
      </c>
      <c r="IU60" s="21"/>
      <c r="IV60" s="21"/>
      <c r="IW60" s="21"/>
      <c r="IX60" s="21"/>
      <c r="IY60" s="21"/>
      <c r="IZ60" s="21"/>
      <c r="JA60" s="21"/>
      <c r="JB60" s="30">
        <v>1</v>
      </c>
      <c r="JC60" s="21" t="s">
        <v>1647</v>
      </c>
      <c r="JD60" s="36">
        <v>3350</v>
      </c>
      <c r="JE60" s="21" t="str">
        <f t="shared" si="209"/>
        <v>PESO ADECUADO EDAD GESTACIONAL</v>
      </c>
      <c r="JF60" s="30"/>
      <c r="JG60" s="21"/>
      <c r="JH60" s="21"/>
      <c r="JI60" s="21" t="s">
        <v>854</v>
      </c>
      <c r="JJ60" s="30" t="s">
        <v>866</v>
      </c>
      <c r="JK60" s="22"/>
      <c r="JL60" s="22"/>
      <c r="JM60" s="21"/>
      <c r="JN60" s="36"/>
      <c r="JO60" s="21" t="str">
        <f t="shared" si="210"/>
        <v/>
      </c>
      <c r="JP60" s="22"/>
      <c r="JQ60" s="21"/>
      <c r="JR60" s="21"/>
      <c r="JS60" s="21"/>
      <c r="JT60" s="30"/>
      <c r="JU60" s="22"/>
      <c r="JV60" s="22"/>
      <c r="JW60" s="33"/>
      <c r="JX60" s="28" t="str">
        <f t="shared" si="211"/>
        <v>INASISTENTE</v>
      </c>
      <c r="JY60" s="33"/>
      <c r="JZ60" s="28" t="str">
        <f t="shared" si="212"/>
        <v>INASISTENTE</v>
      </c>
      <c r="KA60" s="21"/>
      <c r="KB60" s="21"/>
      <c r="KC60" s="21"/>
      <c r="KD60" s="37"/>
      <c r="KE60" s="28"/>
      <c r="KF60" s="28"/>
      <c r="KG60" s="28"/>
      <c r="KH60" s="39"/>
      <c r="KI60" s="39"/>
      <c r="KJ60" s="66"/>
      <c r="KK60" s="39"/>
      <c r="KL60" s="39"/>
      <c r="KM60" s="66"/>
      <c r="KN60" s="39"/>
      <c r="KO60" s="39"/>
      <c r="KP60" s="39"/>
      <c r="KQ60" s="39"/>
      <c r="KR60" s="39"/>
      <c r="KS60" s="39"/>
      <c r="KT60" s="39"/>
      <c r="KU60" s="38"/>
      <c r="KV60" s="38"/>
      <c r="KW60" s="38"/>
      <c r="KX60" s="38"/>
      <c r="KY60" s="38"/>
      <c r="KZ60" s="38"/>
      <c r="LA60" s="38"/>
      <c r="LB60" s="38"/>
      <c r="LC60" s="38"/>
      <c r="LD60" s="38"/>
      <c r="LE60" s="38"/>
      <c r="LF60" s="38"/>
      <c r="LG60" s="38"/>
      <c r="LH60" s="38"/>
      <c r="LI60" s="38"/>
      <c r="LJ60" s="38"/>
      <c r="LK60" s="38"/>
      <c r="LL60" s="38"/>
      <c r="LM60" s="38"/>
      <c r="LN60" s="38"/>
      <c r="LO60" s="38"/>
      <c r="LP60" s="38"/>
      <c r="LQ60" s="38"/>
      <c r="LR60" s="38"/>
      <c r="LS60" s="38"/>
      <c r="LT60" s="38"/>
      <c r="LU60" s="38"/>
      <c r="LV60" s="38"/>
      <c r="LW60" s="38"/>
      <c r="LX60" s="38"/>
      <c r="LY60" s="38"/>
      <c r="LZ60" s="38"/>
      <c r="MA60" s="38"/>
      <c r="MB60" s="38"/>
      <c r="MC60" s="38"/>
      <c r="MD60" s="38"/>
      <c r="ME60" s="38"/>
      <c r="MF60" s="38"/>
      <c r="MG60" s="38"/>
      <c r="MH60" s="43">
        <f t="shared" si="213"/>
        <v>0</v>
      </c>
      <c r="MI60" s="43" t="str">
        <f t="shared" si="214"/>
        <v/>
      </c>
      <c r="MJ60" s="43" t="str">
        <f t="shared" si="215"/>
        <v/>
      </c>
      <c r="MK60" s="43">
        <f t="shared" si="216"/>
        <v>0</v>
      </c>
      <c r="ML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0" s="43">
        <f t="shared" si="217"/>
        <v>9.5</v>
      </c>
      <c r="MN60" s="43">
        <f t="shared" si="218"/>
        <v>12</v>
      </c>
      <c r="MO60" s="43">
        <f t="shared" si="219"/>
        <v>2022</v>
      </c>
      <c r="MP60" s="43" t="str">
        <f t="shared" si="220"/>
        <v>IV TRIMESTRE AÑO</v>
      </c>
      <c r="MQ60" s="43">
        <f t="shared" si="221"/>
        <v>24.258103372755144</v>
      </c>
      <c r="MR60" s="43">
        <f t="shared" si="222"/>
        <v>0</v>
      </c>
      <c r="MS60" s="43" t="str">
        <f t="shared" si="223"/>
        <v xml:space="preserve"> DE 20 A 24 AÑOS</v>
      </c>
      <c r="MT60" s="43">
        <f t="shared" si="224"/>
        <v>0</v>
      </c>
      <c r="MU60" s="43">
        <f t="shared" si="225"/>
        <v>1</v>
      </c>
      <c r="MV60" s="43">
        <f t="shared" si="226"/>
        <v>0</v>
      </c>
      <c r="MW60" s="43">
        <f t="shared" si="227"/>
        <v>0</v>
      </c>
      <c r="MX60" s="43" t="str">
        <f t="shared" si="228"/>
        <v/>
      </c>
      <c r="MY60" s="43" t="str">
        <f t="shared" ca="1" si="229"/>
        <v/>
      </c>
      <c r="MZ60" s="43" t="str">
        <f t="shared" si="230"/>
        <v/>
      </c>
      <c r="NA60" s="43" t="str">
        <f t="shared" si="231"/>
        <v/>
      </c>
      <c r="NB60" s="43" t="str">
        <f t="shared" si="232"/>
        <v/>
      </c>
      <c r="NC60" s="43" t="str">
        <f t="shared" si="233"/>
        <v/>
      </c>
      <c r="ND60" s="43">
        <f t="shared" ca="1" si="234"/>
        <v>1</v>
      </c>
      <c r="NE60" s="43">
        <f>IF(OR(O60&gt;0,R60&gt;0),SUM(COUNTIF(Tabla1[[#This Row],[AÑOS AL INICIO5 CPN]],"&gt;=40"),COUNTIF(AS60,"0"),COUNTIF(AR60,"SI"),COUNTIF(CC60,"SI"),COUNTIF(BQ60,"&gt;119"),COUNTIF(CI60,"&gt;=35")),"")</f>
        <v>1</v>
      </c>
      <c r="NF60" s="43">
        <f t="shared" si="235"/>
        <v>20.5</v>
      </c>
      <c r="NG60" s="43">
        <f t="shared" si="236"/>
        <v>0</v>
      </c>
      <c r="NH60" s="43">
        <f t="shared" si="237"/>
        <v>66.5</v>
      </c>
      <c r="NI6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CPN",P60="NO"),"Z",IF(AND(Tabla1[[#This Row],[CITA PROXIMO CONTROL]]="CITA MANUAL",Tabla1[[#This Row],[GESTANTES ACTUALES]]="ACTIVA INGRESO A CPN"),"W",IF(AND(Tabla1[[#This Row],[GESTANTES ACTUALES]]="SALIO PROGRAMA",IN60=""),"S",IF(AND(Tabla1[[#This Row],[CITA PROXIMO CONTROL]]&gt;0,IN60=""),(Tabla1[[#This Row],[CITA PROXIMO CONTROL]]-TODAY()),"SD"))))))))</f>
        <v>SD</v>
      </c>
      <c r="NJ60" s="43">
        <f>MONTH(Tabla1[[#This Row],[FECHA DE SALIDA  DEL PROGRAMA]])</f>
        <v>7</v>
      </c>
      <c r="NK60" s="43">
        <f>YEAR(Tabla1[[#This Row],[FECHA DE SALIDA  DEL PROGRAMA]])</f>
        <v>2023</v>
      </c>
      <c r="NL60" s="43" t="str">
        <f t="shared" si="238"/>
        <v>X</v>
      </c>
      <c r="NM60" s="43" t="e">
        <f>IF(AND(O60&gt;0,R60=""),"NO CPN",IF(AND(O60="",R60=""),"",IF(AND(EN60&lt;&gt;"",#REF!&lt;&gt;"",FB60&lt;&gt;"",FK60&lt;&gt;"",FW60&lt;&gt;"",FZ60&lt;&gt;"",GO60&lt;&gt;"",GQ60&lt;&gt;"",GR60&lt;&gt;""),"SI","NO")))</f>
        <v>#REF!</v>
      </c>
      <c r="NN60" s="43" t="str">
        <f ca="1">IF(AND(O60&gt;0,R60=""),"NO CPN",IF(AND(O60="",R60=""),"",IF(AND(R60&gt;0,Tabla1[[#This Row],[SEMANAS DE GESTACION ACTUALIZADAS]]&lt;=12),"NO APLICA",IF(AND(FH60&lt;&gt;"",FN60&lt;&gt;""),"SI","NO"))))</f>
        <v>NO</v>
      </c>
      <c r="NO60" s="43" t="str">
        <f ca="1">IF(AND(O60&gt;0,R60=""),"NO CPN",IF(AND(O60="",R60=""),"",IF(AND(R60&gt;0,Tabla1[[#This Row],[SEMANAS DE GESTACION ACTUALIZADAS]]&lt;=27),"NO APLICA",IF(AND(ES60&lt;&gt;"",FQ60&lt;&gt;"",GF60&lt;&gt;""),"SI","NO"))))</f>
        <v>SI</v>
      </c>
      <c r="NP60" s="204" t="str">
        <f t="shared" si="240"/>
        <v>I TRIM</v>
      </c>
      <c r="NQ60" s="21" t="str">
        <f t="shared" si="241"/>
        <v/>
      </c>
      <c r="NR60" s="21">
        <f t="shared" si="242"/>
        <v>3</v>
      </c>
      <c r="NS60" s="205">
        <f t="shared" ca="1" si="243"/>
        <v>1</v>
      </c>
      <c r="NT60" s="21">
        <f t="shared" ca="1" si="244"/>
        <v>2</v>
      </c>
      <c r="NU60" s="21" t="str">
        <f t="shared" ca="1" si="245"/>
        <v>INCOMPLETO</v>
      </c>
      <c r="NV60" s="21" t="str">
        <f t="shared" ca="1" si="246"/>
        <v>INCOMPLETO</v>
      </c>
      <c r="NW60" s="206" t="str">
        <f>IF(AND(O60="",R60=""),"",IF(OR(AND(Tabla1[[#This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0" s="207" t="str">
        <f t="shared" ca="1" si="247"/>
        <v>VACUNADA</v>
      </c>
      <c r="NY60" s="43">
        <f>ROW(Tabla1[[#This Row],['# DE TAMIZAJES SIFILIS TOMADOS ]])</f>
        <v>60</v>
      </c>
      <c r="NZ60" s="43" t="str">
        <f t="shared" si="93"/>
        <v>Menor</v>
      </c>
      <c r="OA60" s="43" t="str">
        <f t="shared" si="94"/>
        <v>SOBREPESO</v>
      </c>
      <c r="OB60" s="43" t="str">
        <f t="shared" si="95"/>
        <v/>
      </c>
      <c r="OC60" s="43" t="str">
        <f t="shared" si="96"/>
        <v/>
      </c>
      <c r="OD60" s="43" t="str">
        <f t="shared" si="97"/>
        <v/>
      </c>
      <c r="OE60" s="43" t="str">
        <f t="shared" si="98"/>
        <v/>
      </c>
      <c r="OF60" s="43" t="str">
        <f t="shared" si="99"/>
        <v/>
      </c>
      <c r="OG60" s="43" t="str">
        <f t="shared" si="100"/>
        <v/>
      </c>
      <c r="OH60" s="43" t="str">
        <f t="shared" si="101"/>
        <v/>
      </c>
      <c r="OI60" s="43" t="str">
        <f t="shared" si="102"/>
        <v/>
      </c>
      <c r="OJ60" s="43" t="str">
        <f t="shared" si="103"/>
        <v/>
      </c>
      <c r="OK60" s="43" t="str">
        <f t="shared" si="104"/>
        <v/>
      </c>
      <c r="OL60" s="43" t="str">
        <f t="shared" si="105"/>
        <v/>
      </c>
      <c r="OM60" s="43" t="str">
        <f t="shared" si="106"/>
        <v/>
      </c>
      <c r="ON60" s="43" t="str">
        <f t="shared" si="107"/>
        <v/>
      </c>
      <c r="OO60" s="43" t="str">
        <f t="shared" si="108"/>
        <v/>
      </c>
      <c r="OP60" s="43" t="str">
        <f t="shared" si="109"/>
        <v/>
      </c>
      <c r="OQ60" s="43" t="str">
        <f t="shared" si="110"/>
        <v/>
      </c>
      <c r="OR60" s="43" t="str">
        <f t="shared" si="111"/>
        <v/>
      </c>
      <c r="OS60" s="43" t="str">
        <f t="shared" si="112"/>
        <v/>
      </c>
      <c r="OT60" s="43" t="str">
        <f t="shared" si="113"/>
        <v/>
      </c>
      <c r="OU60" s="43" t="str">
        <f t="shared" si="114"/>
        <v/>
      </c>
      <c r="OV60" s="110" t="str">
        <f t="shared" si="115"/>
        <v/>
      </c>
      <c r="OW60" s="43" t="str">
        <f t="shared" si="116"/>
        <v/>
      </c>
      <c r="OX60" s="43" t="str">
        <f t="shared" si="117"/>
        <v/>
      </c>
      <c r="OY60" s="43" t="str">
        <f t="shared" si="118"/>
        <v/>
      </c>
      <c r="OZ60" s="43" t="str">
        <f t="shared" si="119"/>
        <v/>
      </c>
      <c r="PA60" s="43" t="str">
        <f t="shared" si="120"/>
        <v/>
      </c>
      <c r="PB60" s="43" t="str">
        <f t="shared" si="121"/>
        <v/>
      </c>
      <c r="PC60" s="43" t="str">
        <f t="shared" si="122"/>
        <v/>
      </c>
      <c r="PD60" s="43" t="str">
        <f t="shared" si="123"/>
        <v/>
      </c>
      <c r="PE60" s="43" t="str">
        <f t="shared" si="124"/>
        <v/>
      </c>
      <c r="PF60" s="43" t="str">
        <f t="shared" si="125"/>
        <v/>
      </c>
      <c r="PG60" s="43" t="str">
        <f t="shared" si="126"/>
        <v/>
      </c>
      <c r="PH60" s="43" t="str">
        <f t="shared" si="127"/>
        <v/>
      </c>
      <c r="PI60" s="43">
        <f t="shared" si="128"/>
        <v>39</v>
      </c>
      <c r="PJ60" s="43" t="str">
        <f t="shared" si="129"/>
        <v/>
      </c>
      <c r="PK60" s="43" t="str">
        <f t="shared" si="130"/>
        <v/>
      </c>
      <c r="PL60" s="43" t="str">
        <f t="shared" si="131"/>
        <v/>
      </c>
      <c r="PM60" s="43" t="str">
        <f t="shared" si="132"/>
        <v/>
      </c>
      <c r="PN60" s="43" t="str">
        <f t="shared" si="133"/>
        <v/>
      </c>
      <c r="PO60" s="43" t="str">
        <f t="shared" si="134"/>
        <v/>
      </c>
      <c r="PP60" s="43" t="str">
        <f t="shared" si="135"/>
        <v/>
      </c>
      <c r="PQ60" s="43" t="str">
        <f t="shared" si="136"/>
        <v/>
      </c>
      <c r="PR60" s="43" t="str">
        <f t="shared" si="137"/>
        <v/>
      </c>
      <c r="PS60" s="43" t="str">
        <f t="shared" si="138"/>
        <v/>
      </c>
      <c r="PT60" s="43" t="str">
        <f t="shared" si="139"/>
        <v/>
      </c>
      <c r="PU60" s="43" t="str">
        <f t="shared" si="140"/>
        <v/>
      </c>
      <c r="PV60" s="43" t="str">
        <f t="shared" si="141"/>
        <v/>
      </c>
      <c r="PW60" s="43" t="str">
        <f t="shared" si="142"/>
        <v/>
      </c>
      <c r="PX60" s="43" t="str">
        <f t="shared" si="143"/>
        <v/>
      </c>
      <c r="PY60" s="43" t="str">
        <f t="shared" si="144"/>
        <v/>
      </c>
      <c r="PZ60" s="43" t="str">
        <f t="shared" si="145"/>
        <v/>
      </c>
      <c r="QA60" s="43" t="str">
        <f t="shared" si="146"/>
        <v/>
      </c>
      <c r="QB60" s="43" t="str">
        <f t="shared" si="147"/>
        <v/>
      </c>
      <c r="QC60" s="43" t="str">
        <f t="shared" si="148"/>
        <v/>
      </c>
      <c r="QD60" s="43" t="str">
        <f t="shared" si="149"/>
        <v/>
      </c>
      <c r="QE60" s="43" t="str">
        <f t="shared" si="150"/>
        <v/>
      </c>
      <c r="QF60" s="43" t="str">
        <f t="shared" si="151"/>
        <v/>
      </c>
      <c r="QG60" s="43" t="str">
        <f t="shared" si="152"/>
        <v/>
      </c>
      <c r="QH60" s="43" t="str">
        <f t="shared" si="153"/>
        <v/>
      </c>
      <c r="QI60" s="43" t="str">
        <f t="shared" si="154"/>
        <v/>
      </c>
      <c r="QJ60" s="43" t="str">
        <f t="shared" si="155"/>
        <v/>
      </c>
      <c r="QK60" s="43" t="str">
        <f t="shared" si="156"/>
        <v/>
      </c>
      <c r="QL60" s="43" t="str">
        <f t="shared" si="157"/>
        <v/>
      </c>
      <c r="QM60" s="43" t="str">
        <f t="shared" si="158"/>
        <v/>
      </c>
      <c r="QN60" s="43" t="str">
        <f t="shared" si="159"/>
        <v>SOBREPESO</v>
      </c>
      <c r="QO60" s="43" t="str">
        <f t="shared" si="160"/>
        <v/>
      </c>
      <c r="QP60" s="43" t="str">
        <f t="shared" si="161"/>
        <v/>
      </c>
      <c r="QQ60" s="43" t="str">
        <f t="shared" si="162"/>
        <v/>
      </c>
      <c r="QR60" s="43">
        <f t="shared" si="192"/>
        <v>39</v>
      </c>
      <c r="QS60" s="43"/>
      <c r="QT60" s="21" t="str">
        <f t="shared" si="163"/>
        <v/>
      </c>
      <c r="QU60" s="21" t="str">
        <f t="shared" si="164"/>
        <v/>
      </c>
      <c r="QV60" s="21" t="str">
        <f t="shared" si="165"/>
        <v/>
      </c>
      <c r="QW60" s="21" t="str">
        <f t="shared" si="166"/>
        <v/>
      </c>
      <c r="QX60" s="21" t="str">
        <f t="shared" si="167"/>
        <v/>
      </c>
      <c r="QY60" s="21" t="str">
        <f t="shared" si="168"/>
        <v/>
      </c>
      <c r="QZ60" s="21" t="str">
        <f t="shared" si="169"/>
        <v/>
      </c>
      <c r="RA60" s="21" t="str">
        <f t="shared" si="170"/>
        <v/>
      </c>
      <c r="RB60" s="21" t="str">
        <f t="shared" si="171"/>
        <v/>
      </c>
      <c r="RC60" s="21" t="str">
        <f t="shared" si="172"/>
        <v/>
      </c>
      <c r="RD60" s="21" t="str">
        <f t="shared" si="173"/>
        <v/>
      </c>
      <c r="RE60" s="21" t="str">
        <f t="shared" si="174"/>
        <v/>
      </c>
      <c r="RF60" s="21" t="str">
        <f t="shared" si="175"/>
        <v/>
      </c>
      <c r="RG60" s="21" t="str">
        <f t="shared" si="176"/>
        <v/>
      </c>
      <c r="RH60" s="21" t="str">
        <f t="shared" si="177"/>
        <v/>
      </c>
      <c r="RI60" s="21" t="str">
        <f t="shared" si="178"/>
        <v/>
      </c>
      <c r="RJ60" s="21" t="str">
        <f t="shared" si="179"/>
        <v/>
      </c>
      <c r="RK60" s="21" t="str">
        <f t="shared" si="180"/>
        <v/>
      </c>
      <c r="RL60" s="21" t="str">
        <f t="shared" si="181"/>
        <v/>
      </c>
      <c r="RM60" s="21" t="str">
        <f t="shared" si="182"/>
        <v/>
      </c>
      <c r="RN60" s="21" t="str">
        <f t="shared" si="183"/>
        <v/>
      </c>
      <c r="RO60" s="21" t="str">
        <f t="shared" si="184"/>
        <v/>
      </c>
      <c r="RP60" s="21" t="str">
        <f t="shared" si="185"/>
        <v/>
      </c>
      <c r="RQ60" s="21" t="str">
        <f t="shared" si="186"/>
        <v/>
      </c>
      <c r="RR60" s="21" t="str">
        <f t="shared" si="187"/>
        <v/>
      </c>
      <c r="RS60" s="21" t="str">
        <f t="shared" si="188"/>
        <v/>
      </c>
      <c r="RT60" s="21" t="str">
        <f t="shared" si="189"/>
        <v>ALTO PARA EDAD GESTACIONAL</v>
      </c>
      <c r="RU60" s="21" t="str">
        <f t="shared" si="190"/>
        <v/>
      </c>
      <c r="RV60" s="21">
        <f t="shared" si="191"/>
        <v>9.5</v>
      </c>
      <c r="RW60" s="284">
        <f>IF(OR(Tabla1[[#This Row],[FUM FORMULA CONFIABLE]]="",Tabla1[[#This Row],[FUM FORMULA CONFIABLE]]="SD"),"",IF(Tabla1[[#This Row],[FUM FORMULA CONFIABLE]]="CORREGIDA",Tabla1[[#This Row],[FUM X ECO 1]],Tabla1[[#This Row],[FUM x AMENORREA]]))</f>
        <v>44831.5</v>
      </c>
      <c r="RX60" s="21">
        <f>IF(AND(Tabla1[[#This Row],[FUM X ECO 1]]="",Tabla1[[#This Row],[FUM x AMENORREA]]=""),"",IF(AND(Tabla1[[#This Row],[FUM X ECO 1]]="",Tabla1[[#This Row],[FUM x AMENORREA]]&lt;&gt;""),"X",SUM(Tabla1[[#This Row],[FUM X ECO 1]]-Tabla1[[#This Row],[FUM x AMENORREA]])))</f>
        <v>-18.5</v>
      </c>
      <c r="RY60" s="21">
        <f t="shared" si="193"/>
        <v>1</v>
      </c>
    </row>
    <row r="61" spans="1:493" s="338" customFormat="1" ht="45" customHeight="1" x14ac:dyDescent="0.25">
      <c r="A61" s="300"/>
      <c r="B61" s="301" t="s">
        <v>942</v>
      </c>
      <c r="C61" s="301" t="s">
        <v>845</v>
      </c>
      <c r="D61" s="302" t="s">
        <v>846</v>
      </c>
      <c r="E61" s="301" t="s">
        <v>1126</v>
      </c>
      <c r="F61" s="301" t="s">
        <v>874</v>
      </c>
      <c r="G61" s="301" t="s">
        <v>1178</v>
      </c>
      <c r="H61" s="301"/>
      <c r="I61" s="300" t="s">
        <v>851</v>
      </c>
      <c r="J61" s="303">
        <v>1002848392</v>
      </c>
      <c r="K61" s="301" t="s">
        <v>852</v>
      </c>
      <c r="L61" s="304" t="s">
        <v>853</v>
      </c>
      <c r="M61" s="305">
        <v>36104</v>
      </c>
      <c r="N61" s="306">
        <f t="shared" ca="1" si="0"/>
        <v>25.010958904109589</v>
      </c>
      <c r="O61" s="305">
        <v>44898</v>
      </c>
      <c r="P61" s="307" t="str">
        <f t="shared" si="194"/>
        <v>SI</v>
      </c>
      <c r="Q61" s="308" t="s">
        <v>855</v>
      </c>
      <c r="R61" s="305">
        <v>44898</v>
      </c>
      <c r="S61" s="309" t="s">
        <v>856</v>
      </c>
      <c r="T61" s="310" t="s">
        <v>690</v>
      </c>
      <c r="U61" s="309" t="s">
        <v>857</v>
      </c>
      <c r="V61" s="309" t="s">
        <v>858</v>
      </c>
      <c r="W61" s="309" t="s">
        <v>859</v>
      </c>
      <c r="X61" s="309" t="s">
        <v>859</v>
      </c>
      <c r="Y61" s="309" t="s">
        <v>859</v>
      </c>
      <c r="Z61" s="309" t="s">
        <v>894</v>
      </c>
      <c r="AA61" s="309" t="s">
        <v>860</v>
      </c>
      <c r="AB61" s="311" t="s">
        <v>861</v>
      </c>
      <c r="AC61" s="308" t="s">
        <v>897</v>
      </c>
      <c r="AD61" s="312" t="s">
        <v>846</v>
      </c>
      <c r="AE61" s="308" t="s">
        <v>854</v>
      </c>
      <c r="AF61" s="308" t="s">
        <v>854</v>
      </c>
      <c r="AG61" s="313" t="s">
        <v>864</v>
      </c>
      <c r="AH61" s="313" t="s">
        <v>864</v>
      </c>
      <c r="AI61" s="310" t="s">
        <v>863</v>
      </c>
      <c r="AJ61" s="313" t="s">
        <v>864</v>
      </c>
      <c r="AK61" s="314" t="str">
        <f>IF(AND(AD61="",AE61="",AF61="",AG61="",AH61="",AI61="",AJ61=""),"",IF(OR(Tabla1[[#This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EVALUACIÓN",IF(AND(O61="",R61=""),"",IF(AND(OR(O61&gt;0,R61&gt;0),NG61&gt;=0,NG61&lt;2),"SIN RIESGO",IF(AND(OR(O61&gt;0,R61&gt;0),NG61&gt;=2),"CON RIESGO","ASD")))))</f>
        <v>SIN RIESGO</v>
      </c>
      <c r="AL61" s="313" t="s">
        <v>864</v>
      </c>
      <c r="AM61" s="308" t="s">
        <v>864</v>
      </c>
      <c r="AN61" s="308" t="s">
        <v>864</v>
      </c>
      <c r="AO61" s="308" t="s">
        <v>864</v>
      </c>
      <c r="AP61" s="308" t="s">
        <v>864</v>
      </c>
      <c r="AQ61" s="308" t="s">
        <v>864</v>
      </c>
      <c r="AR61" s="308" t="s">
        <v>864</v>
      </c>
      <c r="AS61" s="309">
        <v>1</v>
      </c>
      <c r="AT61" s="309">
        <v>1</v>
      </c>
      <c r="AU61" s="309">
        <v>0</v>
      </c>
      <c r="AV61" s="308" t="s">
        <v>864</v>
      </c>
      <c r="AW61" s="309">
        <v>0</v>
      </c>
      <c r="AX61" s="308" t="s">
        <v>864</v>
      </c>
      <c r="AY61" s="308" t="s">
        <v>864</v>
      </c>
      <c r="AZ61" s="308" t="s">
        <v>864</v>
      </c>
      <c r="BA61" s="308" t="s">
        <v>864</v>
      </c>
      <c r="BB61" s="308" t="s">
        <v>864</v>
      </c>
      <c r="BC61" s="308" t="s">
        <v>864</v>
      </c>
      <c r="BD61" s="308" t="s">
        <v>864</v>
      </c>
      <c r="BE61" s="308" t="s">
        <v>864</v>
      </c>
      <c r="BF61" s="308" t="s">
        <v>864</v>
      </c>
      <c r="BG61" s="308" t="s">
        <v>864</v>
      </c>
      <c r="BH61" s="308" t="s">
        <v>864</v>
      </c>
      <c r="BI61" s="308" t="s">
        <v>864</v>
      </c>
      <c r="BJ61" s="308"/>
      <c r="BK61" s="308"/>
      <c r="BL61" s="308" t="s">
        <v>864</v>
      </c>
      <c r="BM61" s="308" t="s">
        <v>864</v>
      </c>
      <c r="BN61" s="305"/>
      <c r="BO61" s="305">
        <v>44766</v>
      </c>
      <c r="BP61" s="309" t="s">
        <v>864</v>
      </c>
      <c r="BQ61" s="315">
        <f t="shared" si="2"/>
        <v>0</v>
      </c>
      <c r="BR61" s="316" t="str">
        <f t="shared" si="3"/>
        <v/>
      </c>
      <c r="BS61" s="317">
        <f t="shared" si="4"/>
        <v>18.857142857142858</v>
      </c>
      <c r="BT61" s="318" t="str">
        <f t="shared" si="5"/>
        <v>DEFINIR CON ECO</v>
      </c>
      <c r="BU61" s="307" t="str">
        <f t="shared" ca="1" si="6"/>
        <v/>
      </c>
      <c r="BV61" s="319"/>
      <c r="BW61" s="305"/>
      <c r="BX61" s="320"/>
      <c r="BY61" s="320"/>
      <c r="BZ61" s="305"/>
      <c r="CA61" s="309"/>
      <c r="CB61" s="308"/>
      <c r="CC61" s="308"/>
      <c r="CD61" s="308"/>
      <c r="CE61" s="308"/>
      <c r="CF61" s="22" t="s">
        <v>1517</v>
      </c>
      <c r="CG61" s="309">
        <v>1.56</v>
      </c>
      <c r="CH61" s="309">
        <v>55.5</v>
      </c>
      <c r="CI61" s="307">
        <f t="shared" si="7"/>
        <v>22.805719921104533</v>
      </c>
      <c r="CJ61" s="321" t="e">
        <f>IF(AND(CI61&lt;10,CH61="SD"),"SIN DATO PESO PREGESTACION O I TRIM",IF(AND(OR(R61&gt;0,O61&gt;0),CI61="X"),"INGRESAR DATO DE PESO",IF(CI61="SD","INGRESAR DATO DE TALLA Y PESO",IF(AND(OR(Tabla1[[#This Row],[MOMENTO EN QUE SE REALIZA EL PESO AL INGRESO A CPN]]="PREGESTACIÓN",NZ61="Menor"),CI61&lt;18.5),"BAJO PESO",IF(AND(OR(Tabla1[[#This Row],[MOMENTO EN QUE SE REALIZA EL PESO AL INGRESO A CPN]]="PREGESTACIÓN",NZ61="Menor"),CI61&lt;25),"NORMAL",IF(AND(OR(Tabla1[[#This Row],[MOMENTO EN QUE SE REALIZA EL PESO AL INGRESO A CPN]]="PREGESTACIÓN",NZ61="Menor"),CI61&lt;30),"SOBREPESO",IF(AND(OR(Tabla1[[#This Row],[MOMENTO EN QUE SE REALIZA EL PESO AL INGRESO A CPN]]="PREGESTACIÓN",NZ61="Menor"),CI61&gt;=30,CI61&lt;50),"OBESIDAD",IF(AND(BS61&gt;0,Tabla1[[#This Row],[MOMENTO EN QUE SE REALIZA EL PESO AL INGRESO A CPN]]="GESTACIÓN"),HLOOKUP(NZ61,$OA$2:PH61,NY61),""))))))))</f>
        <v>#REF!</v>
      </c>
      <c r="CK61" s="322">
        <f t="shared" si="8"/>
        <v>44960</v>
      </c>
      <c r="CL61" s="309"/>
      <c r="CM61" s="307">
        <f t="shared" si="9"/>
        <v>0</v>
      </c>
      <c r="CN61" s="318">
        <f t="shared" si="10"/>
        <v>27</v>
      </c>
      <c r="CO61" s="318" t="e">
        <f>IF(PI61="","",IF(PI61&gt;0,HLOOKUP(PI61,$PJ$2:QQ61,NY61),""))</f>
        <v>#REF!</v>
      </c>
      <c r="CP61" s="309"/>
      <c r="CQ61" s="318" t="e">
        <f>IF(QR61="Menor","NO APLICA-MENOR 13 SEM",IF(AND(CC61="SI",CN61&gt;23),"NO APLICA- GEMELAR",IF(QR61="","",IF(QR61&gt;0,HLOOKUP(QR61,$QS$2:RU61,NY61),""))))</f>
        <v>#REF!</v>
      </c>
      <c r="CR61" s="309">
        <v>100</v>
      </c>
      <c r="CS61" s="309">
        <v>60</v>
      </c>
      <c r="CT61" s="323" t="str">
        <f>IF(R61="","",IF(AND(BS61&gt;1,BS61&lt;12,Tabla1[[#This Row],[T.A. SISTOLICA - ANTES DE SEMANA 12]]="",Tabla1[[#This Row],[T.A. DIASTOLICA - ANTES DE SEMANA 12]]=""),"REGISTRE DATO TA ANTES SEMANA 12",IF(AND(BS61&gt;11,BS61&lt;43,Tabla1[[#This Row],[T.A. SISTOLICA - ANTES DE SEMANA 12]]="",Tabla1[[#This Row],[T.A. DIASTOLICA - ANTES DE SEMANA 12]]=""),"NO APLICA REGISTRO TA-INGRESO TARDIO",IF(AND(OR(O61&gt;0,R61&gt;0),OR(CR61&gt;=140,CS61&gt;=90)),"DEFINIR ESTADIO HTA",IF(AND(OR(O61&gt;0,R61&gt;0),AND(CR61&gt;120,CR61&lt;=139)),"PRE HTA SEGUIMIENTO",IF(AND(OR(O61&gt;0,R61&gt;0),AND(CS61&gt;80,CS61&lt;=89)),"PRE HTA SEGUIMIENTO",IF(AND(OR(O61&gt;0,R61&gt;0),AND(CR61&gt;=80,CR61&lt;=120)),"APARENTEMENTE NORMAL",IF(AND(OR(O61&gt;0,R61&gt;0),AND(CS61&gt;=50,CS61&lt;=80)),"APARENTEMENTE NORMAL",IF(AND(OR(O61&gt;0,R61&gt;0),AND(CR61&gt;1,CR61&lt;=70),AND(CS61&gt;1,CS61&lt;=40)),"HIPOTENSIÓN","")))))))))</f>
        <v>APARENTEMENTE NORMAL</v>
      </c>
      <c r="CU61" s="309"/>
      <c r="CV61" s="309"/>
      <c r="CW61" s="323" t="str">
        <f ca="1">IF(R61="","",IF(AND(CN61&gt;19,CN61&lt;27,Tabla1[[#This Row],[T.A. SISTOLICA (Entre semana 20 y 26)]]="",Tabla1[[#This Row],[T.A. DIATOLICA (Entre semana 20 y 26)]]=""),"ACUDE A CONTROL SEM 20 A 26 REGISTRE TA AHORA",IF(AND(BS61&gt;1,BS61&lt;27,BU61&gt;19,Tabla1[[#This Row],[T.A. SISTOLICA (Entre semana 20 y 26)]]="",Tabla1[[#This Row],[T.A. DIATOLICA (Entre semana 20 y 26)]]=""),"COMPLETE REGISTRO TA CONTROL SEM 20 A26 ",IF(AND(BS61&gt;26,BS61&lt;43,Tabla1[[#This Row],[T.A. SISTOLICA (Entre semana 20 y 26)]]="",Tabla1[[#This Row],[T.A. DIATOLICA (Entre semana 20 y 26)]]=""),"NO APLICA REGISTRO TA-INGRESO TARDIO",IF(AND(OR(O61&gt;0,R61&gt;0),OR(CU61&gt;=140,CV61&gt;=90)),"ALTO RIESGO PREECLAMPSIA,DEFINIR ESTADIO HTA",IF(AND(OR(O61&gt;0,R61&gt;0),AND(CU61&gt;120,CU61&lt;=139)),"PRE HTA SEGUIMIENTO,RIESGO HIPERTENSION INDUCIDA POR EL EMBARAZO",IF(AND(OR(O61&gt;0,R61&gt;0),AND(CV61&gt;80,CV61&lt;=89)),"PRE HTA SEGUIMIENTO, RIESGO HIPERTENSION INDUCIDA POR EL EMBARAZO",IF(AND(OR(O61&lt;&gt;"",R61&lt;&gt;""),CS61&lt;&gt;"",CV61&lt;&gt;"",CS61&lt;=CV61),"VIGILAR CIFRAS PRESION ARTERIAL",IF(AND(OR(O61&gt;0,R61&gt;0),AND(CU61&gt;120,CU61&lt;=139)),"PRE HTA SEGUIMIENTO",IF(AND(OR(O61&gt;0,R61&gt;0),AND(CU61&gt;1,CU61&lt;=70),AND(CV61&gt;1,CV61&lt;=40)),"HIPOTENSIÓN",IF(AND(OR(O61&lt;&gt;"",R61&lt;&gt;""),CS61&lt;&gt;"",CV61&lt;&gt;"",CS61&gt;CV61),"APARENTEMENTE NORMAL",IF(AND(OR(O61&gt;0,R61&gt;0),AND(CU61&gt;=80,CU61&lt;=120)),"APARENTEMENTE NORMAL",IF(AND(OR(O61&gt;0,R61&gt;0),AND(CV61&gt;=50,CV61&lt;=80)),"APARENTEMENTE NORMAL","")))))))))))))</f>
        <v xml:space="preserve">COMPLETE REGISTRO TA CONTROL SEM 20 A26 </v>
      </c>
      <c r="CX61" s="309"/>
      <c r="CY61" s="309"/>
      <c r="CZ61" s="318" t="str">
        <f t="shared" si="195"/>
        <v/>
      </c>
      <c r="DA61" s="309"/>
      <c r="DB61" s="309"/>
      <c r="DC61" s="323" t="str">
        <f t="shared" si="12"/>
        <v>REGISTRE DATO PRESIÓN ARTERIAL MENSUAL</v>
      </c>
      <c r="DD61" s="305">
        <v>44898</v>
      </c>
      <c r="DE61" s="305">
        <v>44898</v>
      </c>
      <c r="DF61" s="305">
        <v>44960</v>
      </c>
      <c r="DG61" s="305"/>
      <c r="DH61" s="305"/>
      <c r="DI61" s="305"/>
      <c r="DJ61" s="305"/>
      <c r="DK61" s="305"/>
      <c r="DL61" s="305"/>
      <c r="DM61" s="305"/>
      <c r="DN61" s="305"/>
      <c r="DO61" s="305"/>
      <c r="DP61" s="305"/>
      <c r="DQ61" s="305"/>
      <c r="DR61" s="320">
        <v>1</v>
      </c>
      <c r="DS61" s="305"/>
      <c r="DT61" s="305"/>
      <c r="DU61" s="318" t="str">
        <f t="shared" ca="1" si="196"/>
        <v>CONCERTAR PLAN DE PARTO INMEDIATO</v>
      </c>
      <c r="DV61" s="324" t="str">
        <f t="shared" si="197"/>
        <v>ACTIVA INGRESO A CPN</v>
      </c>
      <c r="DW61"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1" s="318" t="e">
        <f t="shared" ca="1" si="15"/>
        <v>#REF!</v>
      </c>
      <c r="DY61" s="322">
        <f>IF(R61="","",IF(R61&gt;0,MAX(Tabla1[[#This Row],[FECHA C2]:[FECHA C13]],Tabla1[[#This Row],[FECHA CONSULTA PRIMERA VEZ PROGRAMA CPN ]])))</f>
        <v>44960</v>
      </c>
      <c r="DZ61" s="318">
        <f t="shared" si="16"/>
        <v>27</v>
      </c>
      <c r="EA61" s="315">
        <f>IF(R61&gt;0,SUM(COUNTA(DF61:DQ61)+COUNTA(Tabla1[[#This Row],[FECHA CONSULTA PRIMERA VEZ PROGRAMA CPN ]])),"")</f>
        <v>2</v>
      </c>
      <c r="EB61" s="315" t="str">
        <f t="shared" si="17"/>
        <v>NO</v>
      </c>
      <c r="EC61" s="307">
        <f t="shared" si="18"/>
        <v>7</v>
      </c>
      <c r="ED61" s="325">
        <f t="shared" si="19"/>
        <v>0.2857142857142857</v>
      </c>
      <c r="EE61" s="305">
        <v>44898</v>
      </c>
      <c r="EF61" s="305">
        <v>44898</v>
      </c>
      <c r="EG61" s="305">
        <v>44898</v>
      </c>
      <c r="EH61" s="305"/>
      <c r="EI61" s="305">
        <v>44899</v>
      </c>
      <c r="EJ61" s="305"/>
      <c r="EK61" s="305"/>
      <c r="EL61" s="309"/>
      <c r="EM61" s="309">
        <v>12.9</v>
      </c>
      <c r="EN61" s="305">
        <v>44898</v>
      </c>
      <c r="EO61" s="315">
        <f t="shared" si="20"/>
        <v>18.857142857142858</v>
      </c>
      <c r="EP61" s="307" t="str">
        <f t="shared" si="21"/>
        <v>NORMAL- SUMINISTRAR SULFATO FERROSO</v>
      </c>
      <c r="EQ61" s="318" t="str">
        <f t="shared" si="22"/>
        <v>II TRIM</v>
      </c>
      <c r="ER61" s="310"/>
      <c r="ES61" s="305"/>
      <c r="ET61" s="326" t="str">
        <f t="shared" ca="1" si="198"/>
        <v>TOMA DE HEMOGLOBINA TARDÍA</v>
      </c>
      <c r="EU61" s="319" t="str">
        <f t="shared" si="24"/>
        <v/>
      </c>
      <c r="EV61" s="310" t="s">
        <v>866</v>
      </c>
      <c r="EW61" s="310">
        <v>44898</v>
      </c>
      <c r="EX61" s="305"/>
      <c r="EY61" s="326">
        <f t="shared" ref="EY61:EY94" si="248">IF(AND(BT61="ERROR FUM O INGRESO",EW61&gt;0),"ERROR FUM O INGRESO",IF(AND(EW61="",R61="",O61=""),"",IF(OR(AND(EW61&lt;&gt;"",EW61&lt;RW61),AND(EW61&lt;&gt;"",SUM((EW61-RW61)/7)&gt;40)),"CORREGIR FECHA RESULTADO",IF(AND(EW61="",OR(O61&gt;0,R61&gt;0)),"TOMAR EXAMEN",IF(EW61&gt;0,SUM(EW61-RW61)/7,"")))))</f>
        <v>18.857142857142858</v>
      </c>
      <c r="EZ61" s="319" t="str">
        <f t="shared" ref="EZ61:EZ94" ca="1" si="249">IF(EV61="RH POSITIVO","SIN RIESGO DE ISOINMUNIZACIÓN",IF(AND(EV61="RH NEGATIVO CON COOMBS NEGATIVO",EX61="",BU61&lt;=24),"COOMBS C/MES Y APLICAR RHESUMAN SEM 28",IF(AND(EV61="RH NEGATIVO CON COOMBS NEGATIVO",EX61="",AND(BU61&gt;24,BU61&lt;27)),"FALTAN DE 4 A 2 SEMANAS PARA APLICAR RHESUMAN A SEM 28",IF(AND(EV61="RH NEGATIVO CON COOMBS NEGATIVO",EX61="",AND(BU61&gt;26.99,BU61&lt;27.99)),"FALTAN 1 SEMANAS PARA APLICAR RHESUMAN A SEM 28",IF(AND(EV61="RH NEGATIVO CON COOMBS NEGATIVO",EX61="",AND(BU61&gt;27.99,BU61&lt;29)),"SEMANA 28 APLICAR DE INMEDIATO RHESUMAN",IF(AND(EV61="RH NEGATIVO CON COOMBS NEGATIVO",EX61="",AND(BU61&gt;28.99,BU61&lt;42)),"DEBE APLICAR RHESUMAN, ES NO OPORTUNO &gt; 28 SEMANAS",IF(AND(EV61="RH NEGATIVO CON COOMBS NEGATIVO",EX61&gt;0),SUM(EX61-RW61)/7,IF(EV61="RH NEGATIVO SIN COOMBS","TOMAR COOMBS INMEDIATO PARA DEFINIR MANEJO",IF(EV61="RH NEGATIVO CON COOMBS POSITIVO","TOMAR COOMBS CUANTITATIVO Y REMISIÓN","")))))))))</f>
        <v/>
      </c>
      <c r="FA61" s="309">
        <v>76</v>
      </c>
      <c r="FB61" s="305">
        <v>44898</v>
      </c>
      <c r="FC61" s="326">
        <f t="shared" si="27"/>
        <v>18.857142857142858</v>
      </c>
      <c r="FD61" s="326"/>
      <c r="FE61" s="326"/>
      <c r="FF61" s="326"/>
      <c r="FG61" s="309" t="str">
        <f t="shared" ca="1" si="28"/>
        <v/>
      </c>
      <c r="FH61" s="327"/>
      <c r="FI61" s="326" t="str">
        <f t="shared" si="29"/>
        <v>TOMAR EXAMEN</v>
      </c>
      <c r="FJ61" s="305"/>
      <c r="FK61" s="305"/>
      <c r="FL61" s="326" t="str">
        <f t="shared" ca="1" si="30"/>
        <v>NO APLICA-INGRESO TARDIO</v>
      </c>
      <c r="FM61" s="305" t="s">
        <v>867</v>
      </c>
      <c r="FN61" s="328">
        <v>44898</v>
      </c>
      <c r="FO61" s="326">
        <f t="shared" ca="1" si="201"/>
        <v>18.857142857142858</v>
      </c>
      <c r="FP61" s="305"/>
      <c r="FQ61" s="328"/>
      <c r="FR61" s="326" t="str">
        <f t="shared" ca="1" si="202"/>
        <v>TOMA INMEDIATA DE TAMIZAJE</v>
      </c>
      <c r="FS61" s="305"/>
      <c r="FT61" s="328"/>
      <c r="FU61" s="326" t="str">
        <f>IF(AND(FJ61="",FM61="",FP61="",FS61=""),"",IF(OR(OR(Tabla1[[#This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1" s="320"/>
      <c r="FW61" s="305"/>
      <c r="FX61" s="326" t="str">
        <f t="shared" si="33"/>
        <v>TOMAR EXAMEN</v>
      </c>
      <c r="FY61" s="305">
        <v>44898</v>
      </c>
      <c r="FZ61" s="305">
        <v>44898</v>
      </c>
      <c r="GA61" s="326" t="str">
        <f t="shared" ref="GA61:GA92" si="250">IF(AND(BT61="ERROR FUM O INGRESO",FZ61&gt;0),"ERROR FUM O INGRESO",IF(AND(FZ61="",R61="",O61=""),"",IF(OR(AND(FZ61&lt;&gt;"",FZ61&lt;RW61),AND(FZ61&lt;&gt;"",AND(SUM((FZ61-RW61)/7)&gt;=13,SUM((FZ61-RW61)/7)&lt;27))),"REGISTRAR EN II TRIMESTRE",IF(OR(AND(FZ61&lt;&gt;"",FZ61&lt;RW61),AND(FZ61&lt;&gt;"",AND(SUM((FZ61-RW61)/7)&gt;=27,SUM((FZ61-RW61)/7)&lt;44))),"REGISTRAR EN III TRIMESTRE",IF(AND(FZ61="",OR(O61&gt;0,R61&gt;0),AND(BU61&gt;1,BU61&lt;10)),"EN RANGO PARA TOMAR EXAMEN",IF(AND(FZ61="",OR(O61&gt;0,R61&gt;0),AND(BU61&gt;=10,BU61&lt;12)),"TOMA INMEDIATA DE TAMIZAJE",IF(AND(FZ61="",BS61&lt;12,OR(O61&gt;0,R61&gt;0)),"PIERDE TOMA DE TAMIZAJE",IF(AND(FZ61="",OR(O61&gt;0,R61&gt;0),AND(BS61&gt;=13,BS61&lt;44)),"NO APLICA-INGRESO TARDIO",IF(FZ61&gt;0,SUM(FZ61-RW61)/7,"")))))))))</f>
        <v>REGISTRAR EN II TRIMESTRE</v>
      </c>
      <c r="GB61" s="305" t="s">
        <v>868</v>
      </c>
      <c r="GC61" s="305">
        <v>44898</v>
      </c>
      <c r="GD61" s="326">
        <f t="shared" ca="1" si="204"/>
        <v>18.857142857142858</v>
      </c>
      <c r="GE61" s="305"/>
      <c r="GF61" s="305"/>
      <c r="GG61" s="326" t="str">
        <f t="shared" ca="1" si="205"/>
        <v>TOMA INMEDIATA DE TAMIZAJE</v>
      </c>
      <c r="GH61" s="305"/>
      <c r="GI61" s="326"/>
      <c r="GJ61" s="305"/>
      <c r="GK61" s="305"/>
      <c r="GL61" s="305"/>
      <c r="GM61" s="305"/>
      <c r="GN61" s="320" t="s">
        <v>869</v>
      </c>
      <c r="GO61" s="305">
        <v>44898</v>
      </c>
      <c r="GP61" s="326">
        <f t="shared" si="37"/>
        <v>18.857142857142858</v>
      </c>
      <c r="GQ61" s="320" t="s">
        <v>880</v>
      </c>
      <c r="GR61" s="320" t="s">
        <v>869</v>
      </c>
      <c r="GS61" s="305" t="str">
        <f t="shared" si="206"/>
        <v>SE EXCLUYE INFECCION</v>
      </c>
      <c r="GT61" s="305">
        <v>44898</v>
      </c>
      <c r="GU61" s="326">
        <f t="shared" si="39"/>
        <v>18.857142857142858</v>
      </c>
      <c r="GV61" s="309" t="str">
        <f t="shared" si="40"/>
        <v>II TRIM</v>
      </c>
      <c r="GW61" s="320" t="s">
        <v>869</v>
      </c>
      <c r="GX61" s="329"/>
      <c r="GY61" s="309"/>
      <c r="GZ61" s="309"/>
      <c r="HA61" s="309"/>
      <c r="HB61" s="309"/>
      <c r="HC61" s="309"/>
      <c r="HD61" s="309"/>
      <c r="HE61" s="309"/>
      <c r="HF61" s="305"/>
      <c r="HG61" s="305" t="str">
        <f>IF(OR(O61&gt;0,R61&gt;0),CONCATENATE(IF(Tabla1[[#This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1" s="305" t="e">
        <f t="shared" si="41"/>
        <v>#REF!</v>
      </c>
      <c r="HI61" s="305" t="e">
        <f t="shared" ca="1" si="42"/>
        <v>#REF!</v>
      </c>
      <c r="HJ61" s="309"/>
      <c r="HK61" s="309" t="str">
        <f t="shared" si="44"/>
        <v>SIN ANTECEDENTES DE RIESGO</v>
      </c>
      <c r="HL61" s="310" t="str">
        <f t="shared" si="45"/>
        <v>REGISTRE DATO PRESIÓN ARTERIAL MENSUAL</v>
      </c>
      <c r="HM61" s="309" t="e">
        <f t="shared" ca="1" si="46"/>
        <v>#REF!</v>
      </c>
      <c r="HN61" s="329" t="str">
        <f t="shared" si="207"/>
        <v>ACTIVA INGRESO A CPN</v>
      </c>
      <c r="HO61" s="309"/>
      <c r="HP61" s="309" t="s">
        <v>864</v>
      </c>
      <c r="HQ61" s="309">
        <v>44898</v>
      </c>
      <c r="HR61" s="309" t="str">
        <f>IF(R61="","",IF(Tabla1[[#This Row],[ALARMA FACTORES DE RIESGO COMPLICACIONES HIPERTENSIVAS3]]="SIN ANTECEDENTES DE RIESGO","No Aplica para suministro de ASA",IF(AND(Tabla1[[#This Row],[FECHA INICIO DE SUMINISTRO DE ASA]]&gt;0,RV61&lt;12),"Inicia ASA ANTES de Sem 12",IF(AND(RV61&gt;11,RV61&lt;17,OR(HK61="RIESGO ALTO DE COMPLICACIONES HIPERTENSIVAS VER MANEJO GUIA SUMINISTRO ASA Y CALCIO",HK61="RIESGO MODERADO (2 O MAS CRITERIOS) VER MANEJO GUIA SUMINISTRO ASA Y CALCIO")),"Inicio oportuno de ASA",IF(AND(RV61&gt;12,OR(HK61="RIESGO ALTO DE COMPLICACIONES HIPERTENSIVAS VER MANEJO GUIA SUMINISTRO ASA Y CALCIO",HK61="RIESGO MODERADO (2 O MAS CRITERIOS) VER MANEJO GUIA SUMINISTRO ASA Y CALCIO")),"Inicio no oportuno mayor a 16 semanas",IF(AND(BU61&lt;12,OR(HK61="RIESGO ALTO DE COMPLICACIONES HIPERTENSIVAS VER MANEJO GUIA SUMINISTRO ASA Y CALCIO",HK61="RIESGO MODERADO (2 O MAS CRITERIOS) VER MANEJO GUIA SUMINISTRO ASA Y CALCIO")),"Pendiente Inicio de ASA a la semana 12",IF(AND(BU61&gt;11,BU61&lt;17,OR(HK61="RIESGO ALTO DE COMPLICACIONES HIPERTENSIVAS VER MANEJO GUIA SUMINISTRO ASA Y CALCIO",HK61="RIESGO MODERADO (2 O MAS CRITERIOS) VER MANEJO GUIA SUMINISTRO ASA Y CALCIO")),"Iniciar de inmediato ASA",IF(AND(BU61&gt;16,OR(HK61="RIESGO ALTO DE COMPLICACIONES HIPERTENSIVAS VER MANEJO GUIA SUMINISTRO ASA Y CALCIO",HK61="RIESGO MODERADO (2 O MAS CRITERIOS) VER MANEJO GUIA SUMINISTRO ASA Y CALCIO")),"Pierde Oportunidad, Inicio tardío de ASA","XXXXX"))))))))</f>
        <v>No Aplica para suministro de ASA</v>
      </c>
      <c r="HS61" s="305">
        <v>44898</v>
      </c>
      <c r="HT61" s="305" t="s">
        <v>870</v>
      </c>
      <c r="HU61" s="305"/>
      <c r="HV61" s="305"/>
      <c r="HW61" s="305">
        <v>44898</v>
      </c>
      <c r="HX61" s="305" t="s">
        <v>870</v>
      </c>
      <c r="HY61" s="305">
        <v>44898</v>
      </c>
      <c r="HZ61" s="320">
        <f t="shared" si="48"/>
        <v>18.857142857142858</v>
      </c>
      <c r="IA61" s="308" t="s">
        <v>864</v>
      </c>
      <c r="IB61" s="308"/>
      <c r="IC61" s="330"/>
      <c r="ID61" s="305"/>
      <c r="IE61" s="305" t="str">
        <f t="shared" ca="1" si="49"/>
        <v/>
      </c>
      <c r="IF61" s="305"/>
      <c r="IG61" s="305">
        <f t="shared" si="50"/>
        <v>45046</v>
      </c>
      <c r="IH61" s="326">
        <f t="shared" ca="1" si="51"/>
        <v>-187</v>
      </c>
      <c r="II61" s="305" t="str">
        <f t="shared" ca="1" si="52"/>
        <v>POSIBLEMENTE NACIO</v>
      </c>
      <c r="IJ61" s="305"/>
      <c r="IK61" s="309"/>
      <c r="IL61" s="309"/>
      <c r="IM61" s="331"/>
      <c r="IN61" s="350"/>
      <c r="IO61" s="309"/>
      <c r="IP61" s="29" t="str">
        <f t="shared" si="208"/>
        <v/>
      </c>
      <c r="IQ61" s="303"/>
      <c r="IR61" s="309"/>
      <c r="IS61" s="309"/>
      <c r="IT61" s="309"/>
      <c r="IU61" s="309"/>
      <c r="IV61" s="309"/>
      <c r="IW61" s="309"/>
      <c r="IX61" s="309"/>
      <c r="IY61" s="309"/>
      <c r="IZ61" s="309"/>
      <c r="JA61" s="309"/>
      <c r="JB61" s="329"/>
      <c r="JC61" s="309"/>
      <c r="JD61" s="333"/>
      <c r="JE61" s="309" t="str">
        <f t="shared" si="209"/>
        <v/>
      </c>
      <c r="JF61" s="329"/>
      <c r="JG61" s="309"/>
      <c r="JH61" s="309"/>
      <c r="JI61" s="309"/>
      <c r="JJ61" s="329"/>
      <c r="JK61" s="305"/>
      <c r="JL61" s="305"/>
      <c r="JM61" s="309"/>
      <c r="JN61" s="333"/>
      <c r="JO61" s="309" t="str">
        <f t="shared" si="210"/>
        <v/>
      </c>
      <c r="JP61" s="305"/>
      <c r="JQ61" s="309"/>
      <c r="JR61" s="309"/>
      <c r="JS61" s="309"/>
      <c r="JT61" s="329"/>
      <c r="JU61" s="305"/>
      <c r="JV61" s="305"/>
      <c r="JW61" s="334"/>
      <c r="JX61" s="320" t="str">
        <f t="shared" si="211"/>
        <v/>
      </c>
      <c r="JY61" s="334"/>
      <c r="JZ61" s="320" t="str">
        <f t="shared" si="212"/>
        <v/>
      </c>
      <c r="KA61" s="309"/>
      <c r="KB61" s="309"/>
      <c r="KC61" s="309"/>
      <c r="KD61" s="335"/>
      <c r="KE61" s="320"/>
      <c r="KF61" s="320"/>
      <c r="KG61" s="320"/>
      <c r="KH61" s="336"/>
      <c r="KI61" s="336"/>
      <c r="KJ61" s="337"/>
      <c r="KK61" s="336"/>
      <c r="KL61" s="336"/>
      <c r="KM61" s="337"/>
      <c r="KN61" s="336"/>
      <c r="KO61" s="336"/>
      <c r="KP61" s="336"/>
      <c r="KQ61" s="336"/>
      <c r="KR61" s="336"/>
      <c r="KS61" s="336"/>
      <c r="KT61" s="336"/>
      <c r="KU61" s="312"/>
      <c r="KV61" s="312"/>
      <c r="KW61" s="312"/>
      <c r="KX61" s="312"/>
      <c r="KY61" s="312"/>
      <c r="KZ61" s="312"/>
      <c r="LA61" s="312"/>
      <c r="LB61" s="312"/>
      <c r="LC61" s="312"/>
      <c r="LD61" s="312"/>
      <c r="LE61" s="312"/>
      <c r="LF61" s="312"/>
      <c r="LG61" s="312"/>
      <c r="LH61" s="312"/>
      <c r="LI61" s="312"/>
      <c r="LJ61" s="312"/>
      <c r="LK61" s="312"/>
      <c r="LL61" s="312"/>
      <c r="LM61" s="312"/>
      <c r="LN61" s="312"/>
      <c r="LO61" s="312"/>
      <c r="LP61" s="312"/>
      <c r="LQ61" s="312"/>
      <c r="LR61" s="312"/>
      <c r="LS61" s="312"/>
      <c r="LT61" s="312"/>
      <c r="LU61" s="312"/>
      <c r="LV61" s="312"/>
      <c r="LW61" s="312"/>
      <c r="LX61" s="312"/>
      <c r="LY61" s="312"/>
      <c r="LZ61" s="312"/>
      <c r="MA61" s="312"/>
      <c r="MB61" s="312"/>
      <c r="MC61" s="312"/>
      <c r="MD61" s="312"/>
      <c r="ME61" s="312"/>
      <c r="MF61" s="312"/>
      <c r="MG61" s="312"/>
      <c r="MH61" s="43">
        <f t="shared" si="213"/>
        <v>0</v>
      </c>
      <c r="MI61" s="43" t="str">
        <f t="shared" si="214"/>
        <v/>
      </c>
      <c r="MJ61" s="43" t="str">
        <f t="shared" si="215"/>
        <v/>
      </c>
      <c r="MK61" s="43">
        <f t="shared" si="216"/>
        <v>0</v>
      </c>
      <c r="ML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1" s="43">
        <f t="shared" si="217"/>
        <v>18.857142857142858</v>
      </c>
      <c r="MN61" s="43">
        <f t="shared" si="218"/>
        <v>12</v>
      </c>
      <c r="MO61" s="43">
        <f t="shared" si="219"/>
        <v>2022</v>
      </c>
      <c r="MP61" s="43" t="str">
        <f t="shared" si="220"/>
        <v>IV TRIMESTRE AÑO</v>
      </c>
      <c r="MQ61" s="43">
        <f t="shared" si="221"/>
        <v>23.729741568112132</v>
      </c>
      <c r="MR61" s="43">
        <f t="shared" si="222"/>
        <v>0</v>
      </c>
      <c r="MS61" s="43" t="str">
        <f t="shared" si="223"/>
        <v xml:space="preserve"> DE 20 A 24 AÑOS</v>
      </c>
      <c r="MT61" s="43">
        <f t="shared" si="224"/>
        <v>0</v>
      </c>
      <c r="MU61" s="43">
        <f t="shared" si="225"/>
        <v>0</v>
      </c>
      <c r="MV61" s="43">
        <f t="shared" si="226"/>
        <v>0</v>
      </c>
      <c r="MW61" s="43">
        <f t="shared" si="227"/>
        <v>0</v>
      </c>
      <c r="MX61" s="43" t="str">
        <f t="shared" si="228"/>
        <v/>
      </c>
      <c r="MY61" s="43" t="str">
        <f t="shared" ca="1" si="229"/>
        <v/>
      </c>
      <c r="MZ61" s="43" t="str">
        <f t="shared" si="230"/>
        <v/>
      </c>
      <c r="NA61" s="43" t="str">
        <f t="shared" si="231"/>
        <v/>
      </c>
      <c r="NB61" s="43" t="str">
        <f t="shared" si="232"/>
        <v/>
      </c>
      <c r="NC61" s="43" t="str">
        <f t="shared" si="233"/>
        <v/>
      </c>
      <c r="ND61" s="43">
        <f t="shared" ca="1" si="234"/>
        <v>0</v>
      </c>
      <c r="NE61" s="43">
        <f>IF(OR(O61&gt;0,R61&gt;0),SUM(COUNTIF(Tabla1[[#This Row],[AÑOS AL INICIO5 CPN]],"&gt;=40"),COUNTIF(AS61,"0"),COUNTIF(AR61,"SI"),COUNTIF(CC61,"SI"),COUNTIF(BQ61,"&gt;119"),COUNTIF(CI61,"&gt;=35")),"")</f>
        <v>0</v>
      </c>
      <c r="NF61" s="43" t="str">
        <f t="shared" si="235"/>
        <v/>
      </c>
      <c r="NG61" s="43">
        <f t="shared" si="236"/>
        <v>0</v>
      </c>
      <c r="NH61" s="43" t="str">
        <f t="shared" si="237"/>
        <v/>
      </c>
      <c r="NI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CPN",P61="NO"),"Z",IF(AND(Tabla1[[#This Row],[CITA PROXIMO CONTROL]]="CITA MANUAL",Tabla1[[#This Row],[GESTANTES ACTUALES]]="ACTIVA INGRESO A CPN"),"W",IF(AND(Tabla1[[#This Row],[GESTANTES ACTUALES]]="SALIO PROGRAMA",IN61=""),"S",IF(AND(Tabla1[[#This Row],[CITA PROXIMO CONTROL]]&gt;0,IN61=""),(Tabla1[[#This Row],[CITA PROXIMO CONTROL]]-TODAY()),"SD"))))))))</f>
        <v>#REF!</v>
      </c>
      <c r="NJ61" s="43">
        <f>MONTH(Tabla1[[#This Row],[FECHA DE SALIDA  DEL PROGRAMA]])</f>
        <v>1</v>
      </c>
      <c r="NK61" s="43">
        <f>YEAR(Tabla1[[#This Row],[FECHA DE SALIDA  DEL PROGRAMA]])</f>
        <v>1900</v>
      </c>
      <c r="NL61" s="43" t="str">
        <f t="shared" si="238"/>
        <v>X</v>
      </c>
      <c r="NM61" s="43" t="str">
        <f t="shared" ref="NM61:NM89" si="251">IF(AND(O61&gt;0,R61=""),"NO CPN",IF(AND(O61="",R61=""),"",IF(AND(EN61&lt;&gt;"",EX61&lt;&gt;"",FB61&lt;&gt;"",FK61&lt;&gt;"",FW61&lt;&gt;"",FZ61&lt;&gt;"",GO61&lt;&gt;"",GQ61&lt;&gt;"",GR61&lt;&gt;""),"SI","NO")))</f>
        <v>NO</v>
      </c>
      <c r="NN61" s="43" t="str">
        <f ca="1">IF(AND(O61&gt;0,R61=""),"NO CPN",IF(AND(O61="",R61=""),"",IF(AND(R61&gt;0,Tabla1[[#This Row],[SEMANAS DE GESTACION ACTUALIZADAS]]&lt;=12),"NO APLICA",IF(AND(FH61&lt;&gt;"",FN61&lt;&gt;""),"SI","NO"))))</f>
        <v>NO</v>
      </c>
      <c r="NO61" s="43" t="str">
        <f ca="1">IF(AND(O61&gt;0,R61=""),"NO CPN",IF(AND(O61="",R61=""),"",IF(AND(R61&gt;0,Tabla1[[#This Row],[SEMANAS DE GESTACION ACTUALIZADAS]]&lt;=27),"NO APLICA",IF(AND(ES61&lt;&gt;"",FQ61&lt;&gt;"",GF61&lt;&gt;""),"SI","NO"))))</f>
        <v>NO</v>
      </c>
      <c r="NP61" s="204" t="str">
        <f t="shared" si="240"/>
        <v>DEFINIR CON ECO</v>
      </c>
      <c r="NQ61" s="21">
        <f t="shared" si="241"/>
        <v>10</v>
      </c>
      <c r="NR61" s="21" t="str">
        <f t="shared" ca="1" si="242"/>
        <v>REVISAR FUM O FECHA SALIDA PROGRAMA</v>
      </c>
      <c r="NS61" s="205">
        <f t="shared" ca="1" si="243"/>
        <v>1</v>
      </c>
      <c r="NT61" s="21">
        <f t="shared" ca="1" si="244"/>
        <v>1</v>
      </c>
      <c r="NU61" s="21" t="str">
        <f t="shared" ca="1" si="245"/>
        <v>POR DEFINIR</v>
      </c>
      <c r="NV61" s="21" t="str">
        <f t="shared" ca="1" si="246"/>
        <v>POR DEFINIR</v>
      </c>
      <c r="NW61" s="206" t="str">
        <f>IF(AND(O61="",R61=""),"",IF(OR(AND(Tabla1[[#This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1" s="207" t="str">
        <f t="shared" ca="1" si="247"/>
        <v>SIN VACUNAR</v>
      </c>
      <c r="NY61" s="43">
        <f>ROW(Tabla1[[#This Row],['# DE TAMIZAJES SIFILIS TOMADOS ]])</f>
        <v>61</v>
      </c>
      <c r="NZ61" s="43">
        <f t="shared" si="93"/>
        <v>18</v>
      </c>
      <c r="OA61" s="43" t="str">
        <f t="shared" si="94"/>
        <v/>
      </c>
      <c r="OB61" s="43" t="str">
        <f t="shared" si="95"/>
        <v/>
      </c>
      <c r="OC61" s="43" t="str">
        <f t="shared" si="96"/>
        <v/>
      </c>
      <c r="OD61" s="43" t="str">
        <f t="shared" si="97"/>
        <v/>
      </c>
      <c r="OE61" s="43" t="str">
        <f t="shared" si="98"/>
        <v/>
      </c>
      <c r="OF61" s="43" t="str">
        <f t="shared" si="99"/>
        <v/>
      </c>
      <c r="OG61" s="43" t="str">
        <f t="shared" si="100"/>
        <v/>
      </c>
      <c r="OH61" s="43" t="str">
        <f t="shared" si="101"/>
        <v/>
      </c>
      <c r="OI61" s="43" t="str">
        <f t="shared" si="102"/>
        <v/>
      </c>
      <c r="OJ61" s="43" t="str">
        <f t="shared" si="103"/>
        <v>NORMAL</v>
      </c>
      <c r="OK61" s="43" t="str">
        <f t="shared" si="104"/>
        <v/>
      </c>
      <c r="OL61" s="43" t="str">
        <f t="shared" si="105"/>
        <v/>
      </c>
      <c r="OM61" s="43" t="str">
        <f t="shared" si="106"/>
        <v/>
      </c>
      <c r="ON61" s="43" t="str">
        <f t="shared" si="107"/>
        <v/>
      </c>
      <c r="OO61" s="43" t="str">
        <f t="shared" si="108"/>
        <v/>
      </c>
      <c r="OP61" s="43" t="str">
        <f t="shared" si="109"/>
        <v/>
      </c>
      <c r="OQ61" s="43" t="str">
        <f t="shared" si="110"/>
        <v/>
      </c>
      <c r="OR61" s="43" t="str">
        <f t="shared" si="111"/>
        <v/>
      </c>
      <c r="OS61" s="43" t="str">
        <f t="shared" si="112"/>
        <v/>
      </c>
      <c r="OT61" s="43" t="str">
        <f t="shared" si="113"/>
        <v/>
      </c>
      <c r="OU61" s="43" t="str">
        <f t="shared" si="114"/>
        <v/>
      </c>
      <c r="OV61" s="110" t="str">
        <f t="shared" si="115"/>
        <v/>
      </c>
      <c r="OW61" s="43" t="str">
        <f t="shared" si="116"/>
        <v/>
      </c>
      <c r="OX61" s="43" t="str">
        <f t="shared" si="117"/>
        <v/>
      </c>
      <c r="OY61" s="43" t="str">
        <f t="shared" si="118"/>
        <v/>
      </c>
      <c r="OZ61" s="43" t="str">
        <f t="shared" si="119"/>
        <v/>
      </c>
      <c r="PA61" s="43" t="str">
        <f t="shared" si="120"/>
        <v/>
      </c>
      <c r="PB61" s="43" t="str">
        <f t="shared" si="121"/>
        <v/>
      </c>
      <c r="PC61" s="43" t="str">
        <f t="shared" si="122"/>
        <v/>
      </c>
      <c r="PD61" s="43" t="str">
        <f t="shared" si="123"/>
        <v/>
      </c>
      <c r="PE61" s="43" t="str">
        <f t="shared" si="124"/>
        <v/>
      </c>
      <c r="PF61" s="43" t="str">
        <f t="shared" si="125"/>
        <v/>
      </c>
      <c r="PG61" s="43" t="str">
        <f t="shared" si="126"/>
        <v/>
      </c>
      <c r="PH61" s="43" t="str">
        <f t="shared" si="127"/>
        <v/>
      </c>
      <c r="PI61" s="43">
        <f t="shared" si="128"/>
        <v>27</v>
      </c>
      <c r="PJ61" s="43" t="str">
        <f t="shared" si="129"/>
        <v/>
      </c>
      <c r="PK61" s="43" t="str">
        <f t="shared" si="130"/>
        <v/>
      </c>
      <c r="PL61" s="43" t="str">
        <f t="shared" si="131"/>
        <v/>
      </c>
      <c r="PM61" s="43" t="str">
        <f t="shared" si="132"/>
        <v/>
      </c>
      <c r="PN61" s="43" t="str">
        <f t="shared" si="133"/>
        <v/>
      </c>
      <c r="PO61" s="43" t="str">
        <f t="shared" si="134"/>
        <v/>
      </c>
      <c r="PP61" s="43" t="str">
        <f t="shared" si="135"/>
        <v/>
      </c>
      <c r="PQ61" s="43" t="str">
        <f t="shared" si="136"/>
        <v/>
      </c>
      <c r="PR61" s="43" t="str">
        <f t="shared" si="137"/>
        <v/>
      </c>
      <c r="PS61" s="43" t="str">
        <f t="shared" si="138"/>
        <v/>
      </c>
      <c r="PT61" s="43" t="str">
        <f t="shared" si="139"/>
        <v/>
      </c>
      <c r="PU61" s="43" t="str">
        <f t="shared" si="140"/>
        <v/>
      </c>
      <c r="PV61" s="43" t="str">
        <f t="shared" si="141"/>
        <v/>
      </c>
      <c r="PW61" s="43" t="str">
        <f t="shared" si="142"/>
        <v/>
      </c>
      <c r="PX61" s="43" t="str">
        <f t="shared" si="143"/>
        <v/>
      </c>
      <c r="PY61" s="43" t="str">
        <f t="shared" si="144"/>
        <v/>
      </c>
      <c r="PZ61" s="43" t="str">
        <f t="shared" si="145"/>
        <v/>
      </c>
      <c r="QA61" s="43" t="str">
        <f t="shared" si="146"/>
        <v/>
      </c>
      <c r="QB61" s="43" t="str">
        <f t="shared" si="147"/>
        <v/>
      </c>
      <c r="QC61" s="43" t="str">
        <f t="shared" si="148"/>
        <v/>
      </c>
      <c r="QD61" s="43" t="str">
        <f t="shared" si="149"/>
        <v/>
      </c>
      <c r="QE61" s="43" t="str">
        <f t="shared" si="150"/>
        <v/>
      </c>
      <c r="QF61" s="43" t="str">
        <f t="shared" si="151"/>
        <v/>
      </c>
      <c r="QG61" s="43" t="str">
        <f t="shared" si="152"/>
        <v/>
      </c>
      <c r="QH61" s="43" t="str">
        <f t="shared" si="153"/>
        <v/>
      </c>
      <c r="QI61" s="43" t="str">
        <f t="shared" si="154"/>
        <v/>
      </c>
      <c r="QJ61" s="43" t="str">
        <f t="shared" si="155"/>
        <v/>
      </c>
      <c r="QK61" s="43" t="str">
        <f t="shared" si="156"/>
        <v/>
      </c>
      <c r="QL61" s="43" t="str">
        <f t="shared" si="157"/>
        <v/>
      </c>
      <c r="QM61" s="43" t="str">
        <f t="shared" si="158"/>
        <v/>
      </c>
      <c r="QN61" s="43" t="str">
        <f t="shared" si="159"/>
        <v/>
      </c>
      <c r="QO61" s="43" t="str">
        <f t="shared" si="160"/>
        <v/>
      </c>
      <c r="QP61" s="43" t="str">
        <f t="shared" si="161"/>
        <v/>
      </c>
      <c r="QQ61" s="43" t="str">
        <f t="shared" si="162"/>
        <v/>
      </c>
      <c r="QR61" s="43">
        <f t="shared" si="192"/>
        <v>27</v>
      </c>
      <c r="QS61" s="43"/>
      <c r="QT61" s="21" t="str">
        <f t="shared" si="163"/>
        <v/>
      </c>
      <c r="QU61" s="21" t="str">
        <f t="shared" si="164"/>
        <v/>
      </c>
      <c r="QV61" s="21" t="str">
        <f t="shared" si="165"/>
        <v/>
      </c>
      <c r="QW61" s="21" t="str">
        <f t="shared" si="166"/>
        <v/>
      </c>
      <c r="QX61" s="21" t="str">
        <f t="shared" si="167"/>
        <v/>
      </c>
      <c r="QY61" s="21" t="str">
        <f t="shared" si="168"/>
        <v/>
      </c>
      <c r="QZ61" s="21" t="str">
        <f t="shared" si="169"/>
        <v/>
      </c>
      <c r="RA61" s="21" t="str">
        <f t="shared" si="170"/>
        <v/>
      </c>
      <c r="RB61" s="21" t="str">
        <f t="shared" si="171"/>
        <v/>
      </c>
      <c r="RC61" s="21" t="str">
        <f t="shared" si="172"/>
        <v/>
      </c>
      <c r="RD61" s="21" t="str">
        <f t="shared" si="173"/>
        <v/>
      </c>
      <c r="RE61" s="21" t="str">
        <f t="shared" si="174"/>
        <v/>
      </c>
      <c r="RF61" s="21" t="str">
        <f t="shared" si="175"/>
        <v/>
      </c>
      <c r="RG61" s="21" t="str">
        <f t="shared" si="176"/>
        <v/>
      </c>
      <c r="RH61" s="21" t="str">
        <f t="shared" si="177"/>
        <v/>
      </c>
      <c r="RI61" s="21" t="str">
        <f t="shared" si="178"/>
        <v/>
      </c>
      <c r="RJ61" s="21" t="str">
        <f t="shared" si="179"/>
        <v/>
      </c>
      <c r="RK61" s="21" t="str">
        <f t="shared" si="180"/>
        <v/>
      </c>
      <c r="RL61" s="21" t="str">
        <f t="shared" si="181"/>
        <v/>
      </c>
      <c r="RM61" s="21" t="str">
        <f t="shared" si="182"/>
        <v/>
      </c>
      <c r="RN61" s="21" t="str">
        <f t="shared" si="183"/>
        <v/>
      </c>
      <c r="RO61" s="21" t="str">
        <f t="shared" si="184"/>
        <v/>
      </c>
      <c r="RP61" s="21" t="str">
        <f t="shared" si="185"/>
        <v/>
      </c>
      <c r="RQ61" s="21" t="str">
        <f t="shared" si="186"/>
        <v/>
      </c>
      <c r="RR61" s="21" t="str">
        <f t="shared" si="187"/>
        <v/>
      </c>
      <c r="RS61" s="21" t="str">
        <f t="shared" si="188"/>
        <v/>
      </c>
      <c r="RT61" s="21" t="str">
        <f t="shared" si="189"/>
        <v/>
      </c>
      <c r="RU61" s="21" t="str">
        <f t="shared" si="190"/>
        <v/>
      </c>
      <c r="RV61" s="21">
        <f t="shared" si="191"/>
        <v>18.857142857142858</v>
      </c>
      <c r="RW61" s="284">
        <f>IF(OR(Tabla1[[#This Row],[FUM FORMULA CONFIABLE]]="",Tabla1[[#This Row],[FUM FORMULA CONFIABLE]]="SD"),"",IF(Tabla1[[#This Row],[FUM FORMULA CONFIABLE]]="CORREGIDA",Tabla1[[#This Row],[FUM X ECO 1]],Tabla1[[#This Row],[FUM x AMENORREA]]))</f>
        <v>44766</v>
      </c>
      <c r="RX61" s="21" t="str">
        <f>IF(AND(Tabla1[[#This Row],[FUM X ECO 1]]="",Tabla1[[#This Row],[FUM x AMENORREA]]=""),"",IF(AND(Tabla1[[#This Row],[FUM X ECO 1]]="",Tabla1[[#This Row],[FUM x AMENORREA]]&lt;&gt;""),"X",SUM(Tabla1[[#This Row],[FUM X ECO 1]]-Tabla1[[#This Row],[FUM x AMENORREA]])))</f>
        <v>X</v>
      </c>
      <c r="RY61" s="21" t="str">
        <f t="shared" si="193"/>
        <v>x</v>
      </c>
    </row>
    <row r="62" spans="1:493" ht="45" customHeight="1" x14ac:dyDescent="0.25">
      <c r="A62" s="109"/>
      <c r="B62" s="43"/>
      <c r="C62" s="43" t="s">
        <v>845</v>
      </c>
      <c r="D62" s="124" t="s">
        <v>846</v>
      </c>
      <c r="E62" s="43" t="s">
        <v>1179</v>
      </c>
      <c r="F62" s="43" t="s">
        <v>1180</v>
      </c>
      <c r="G62" s="43" t="s">
        <v>1181</v>
      </c>
      <c r="H62" s="43" t="s">
        <v>1182</v>
      </c>
      <c r="I62" s="109" t="s">
        <v>1094</v>
      </c>
      <c r="J62" s="110">
        <v>1059597173</v>
      </c>
      <c r="K62" s="43" t="s">
        <v>852</v>
      </c>
      <c r="L62" s="175" t="s">
        <v>886</v>
      </c>
      <c r="M62" s="22">
        <v>39117</v>
      </c>
      <c r="N62" s="213">
        <f t="shared" ca="1" si="0"/>
        <v>16.756164383561643</v>
      </c>
      <c r="O62" s="22">
        <v>44901</v>
      </c>
      <c r="P62" s="214" t="str">
        <f t="shared" si="194"/>
        <v>SI</v>
      </c>
      <c r="Q62" s="26" t="s">
        <v>855</v>
      </c>
      <c r="R62" s="22">
        <v>44901</v>
      </c>
      <c r="S62" s="21" t="s">
        <v>856</v>
      </c>
      <c r="T62" s="24" t="s">
        <v>690</v>
      </c>
      <c r="U62" s="21" t="s">
        <v>857</v>
      </c>
      <c r="V62" s="21" t="s">
        <v>858</v>
      </c>
      <c r="W62" s="21" t="s">
        <v>859</v>
      </c>
      <c r="X62" s="21" t="s">
        <v>1183</v>
      </c>
      <c r="Y62" s="21" t="s">
        <v>859</v>
      </c>
      <c r="Z62" s="21" t="s">
        <v>1184</v>
      </c>
      <c r="AA62" s="21" t="s">
        <v>860</v>
      </c>
      <c r="AB62" s="27" t="s">
        <v>861</v>
      </c>
      <c r="AC62" s="26" t="s">
        <v>877</v>
      </c>
      <c r="AD62" s="38" t="s">
        <v>846</v>
      </c>
      <c r="AE62" s="26" t="s">
        <v>854</v>
      </c>
      <c r="AF62" s="26" t="s">
        <v>854</v>
      </c>
      <c r="AG62" s="23" t="s">
        <v>864</v>
      </c>
      <c r="AH62" s="23" t="s">
        <v>864</v>
      </c>
      <c r="AI62" s="24" t="s">
        <v>863</v>
      </c>
      <c r="AJ62" s="23" t="s">
        <v>864</v>
      </c>
      <c r="AK62" s="220" t="str">
        <f>IF(AND(AD62="",AE62="",AF62="",AG62="",AH62="",AI62="",AJ62=""),"",IF(OR(Tabla1[[#This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EVALUACIÓN",IF(AND(O62="",R62=""),"",IF(AND(OR(O62&gt;0,R62&gt;0),NG62&gt;=0,NG62&lt;2),"SIN RIESGO",IF(AND(OR(O62&gt;0,R62&gt;0),NG62&gt;=2),"CON RIESGO","ASD")))))</f>
        <v>SIN RIESGO</v>
      </c>
      <c r="AL62" s="23" t="s">
        <v>864</v>
      </c>
      <c r="AM62" s="26" t="s">
        <v>864</v>
      </c>
      <c r="AN62" s="26" t="s">
        <v>864</v>
      </c>
      <c r="AO62" s="26" t="s">
        <v>864</v>
      </c>
      <c r="AP62" s="26" t="s">
        <v>864</v>
      </c>
      <c r="AQ62" s="26" t="s">
        <v>864</v>
      </c>
      <c r="AR62" s="26" t="s">
        <v>864</v>
      </c>
      <c r="AS62" s="21">
        <v>0</v>
      </c>
      <c r="AT62" s="21">
        <v>0</v>
      </c>
      <c r="AU62" s="21">
        <v>0</v>
      </c>
      <c r="AV62" s="26" t="s">
        <v>864</v>
      </c>
      <c r="AW62" s="21">
        <v>0</v>
      </c>
      <c r="AX62" s="26" t="s">
        <v>864</v>
      </c>
      <c r="AY62" s="26" t="s">
        <v>864</v>
      </c>
      <c r="AZ62" s="26" t="s">
        <v>864</v>
      </c>
      <c r="BA62" s="26" t="s">
        <v>864</v>
      </c>
      <c r="BB62" s="26" t="s">
        <v>864</v>
      </c>
      <c r="BC62" s="26" t="s">
        <v>864</v>
      </c>
      <c r="BD62" s="26" t="s">
        <v>864</v>
      </c>
      <c r="BE62" s="26" t="s">
        <v>864</v>
      </c>
      <c r="BF62" s="26" t="s">
        <v>864</v>
      </c>
      <c r="BG62" s="26" t="s">
        <v>864</v>
      </c>
      <c r="BH62" s="26" t="s">
        <v>864</v>
      </c>
      <c r="BI62" s="26" t="s">
        <v>864</v>
      </c>
      <c r="BJ62" s="26"/>
      <c r="BK62" s="26"/>
      <c r="BL62" s="26" t="s">
        <v>864</v>
      </c>
      <c r="BM62" s="26" t="s">
        <v>864</v>
      </c>
      <c r="BN62" s="22"/>
      <c r="BO62" s="22">
        <v>44876</v>
      </c>
      <c r="BP62" s="21" t="s">
        <v>854</v>
      </c>
      <c r="BQ62" s="222">
        <f t="shared" si="2"/>
        <v>0</v>
      </c>
      <c r="BR62" s="223">
        <f t="shared" si="3"/>
        <v>44876</v>
      </c>
      <c r="BS62" s="224">
        <f t="shared" si="4"/>
        <v>3.5714285714285716</v>
      </c>
      <c r="BT62" s="216" t="str">
        <f t="shared" si="5"/>
        <v>I TRIM</v>
      </c>
      <c r="BU62" s="214" t="str">
        <f t="shared" ca="1" si="6"/>
        <v/>
      </c>
      <c r="BV62" s="25"/>
      <c r="BW62" s="22">
        <v>44918</v>
      </c>
      <c r="BX62" s="28">
        <v>6</v>
      </c>
      <c r="BY62" s="28"/>
      <c r="BZ62" s="22"/>
      <c r="CA62" s="21"/>
      <c r="CB62" s="26" t="s">
        <v>864</v>
      </c>
      <c r="CC62" s="26" t="s">
        <v>864</v>
      </c>
      <c r="CD62" s="26"/>
      <c r="CE62" s="26" t="s">
        <v>864</v>
      </c>
      <c r="CF62" s="22" t="s">
        <v>1517</v>
      </c>
      <c r="CG62" s="21">
        <v>1.54</v>
      </c>
      <c r="CH62" s="21">
        <v>45</v>
      </c>
      <c r="CI62" s="214">
        <f t="shared" si="7"/>
        <v>18.974531961544947</v>
      </c>
      <c r="CJ62" s="225" t="str">
        <f>IF(AND(CI62&lt;10,CH62="SD"),"SIN DATO PESO PREGESTACION O I TRIM",IF(AND(OR(R62&gt;0,O62&gt;0),CI62="X"),"INGRESAR DATO DE PESO",IF(CI62="SD","INGRESAR DATO DE TALLA Y PESO",IF(AND(OR(Tabla1[[#This Row],[MOMENTO EN QUE SE REALIZA EL PESO AL INGRESO A CPN]]="PREGESTACIÓN",NZ62="Menor"),CI62&lt;18.5),"BAJO PESO",IF(AND(OR(Tabla1[[#This Row],[MOMENTO EN QUE SE REALIZA EL PESO AL INGRESO A CPN]]="PREGESTACIÓN",NZ62="Menor"),CI62&lt;25),"NORMAL",IF(AND(OR(Tabla1[[#This Row],[MOMENTO EN QUE SE REALIZA EL PESO AL INGRESO A CPN]]="PREGESTACIÓN",NZ62="Menor"),CI62&lt;30),"SOBREPESO",IF(AND(OR(Tabla1[[#This Row],[MOMENTO EN QUE SE REALIZA EL PESO AL INGRESO A CPN]]="PREGESTACIÓN",NZ62="Menor"),CI62&gt;=30,CI62&lt;50),"OBESIDAD",IF(AND(BS62&gt;0,Tabla1[[#This Row],[MOMENTO EN QUE SE REALIZA EL PESO AL INGRESO A CPN]]="GESTACIÓN"),HLOOKUP(NZ62,$OA$2:PH62,NY62),""))))))))</f>
        <v>NORMAL</v>
      </c>
      <c r="CK62" s="212">
        <f t="shared" si="8"/>
        <v>44901</v>
      </c>
      <c r="CL62" s="21"/>
      <c r="CM62" s="214">
        <f t="shared" si="9"/>
        <v>0</v>
      </c>
      <c r="CN62" s="216">
        <f t="shared" si="10"/>
        <v>3</v>
      </c>
      <c r="CO62" s="216" t="e">
        <f>IF(PI62="","",IF(PI62&gt;0,HLOOKUP(PI62,$PJ$2:QQ62,NY62),""))</f>
        <v>#REF!</v>
      </c>
      <c r="CP62" s="21"/>
      <c r="CQ62" s="216" t="str">
        <f>IF(QR62="Menor","NO APLICA-MENOR 13 SEM",IF(AND(CC62="SI",CN62&gt;23),"NO APLICA- GEMELAR",IF(QR62="","",IF(QR62&gt;0,HLOOKUP(QR62,$QS$2:RU62,NY62),""))))</f>
        <v>NO APLICA-MENOR 13 SEM</v>
      </c>
      <c r="CR62" s="21">
        <v>100</v>
      </c>
      <c r="CS62" s="21">
        <v>60</v>
      </c>
      <c r="CT62" s="217" t="str">
        <f>IF(R62="","",IF(AND(BS62&gt;1,BS62&lt;12,Tabla1[[#This Row],[T.A. SISTOLICA - ANTES DE SEMANA 12]]="",Tabla1[[#This Row],[T.A. DIASTOLICA - ANTES DE SEMANA 12]]=""),"REGISTRE DATO TA ANTES SEMANA 12",IF(AND(BS62&gt;11,BS62&lt;43,Tabla1[[#This Row],[T.A. SISTOLICA - ANTES DE SEMANA 12]]="",Tabla1[[#This Row],[T.A. DIASTOLICA - ANTES DE SEMANA 12]]=""),"NO APLICA REGISTRO TA-INGRESO TARDIO",IF(AND(OR(O62&gt;0,R62&gt;0),OR(CR62&gt;=140,CS62&gt;=90)),"DEFINIR ESTADIO HTA",IF(AND(OR(O62&gt;0,R62&gt;0),AND(CR62&gt;120,CR62&lt;=139)),"PRE HTA SEGUIMIENTO",IF(AND(OR(O62&gt;0,R62&gt;0),AND(CS62&gt;80,CS62&lt;=89)),"PRE HTA SEGUIMIENTO",IF(AND(OR(O62&gt;0,R62&gt;0),AND(CR62&gt;=80,CR62&lt;=120)),"APARENTEMENTE NORMAL",IF(AND(OR(O62&gt;0,R62&gt;0),AND(CS62&gt;=50,CS62&lt;=80)),"APARENTEMENTE NORMAL",IF(AND(OR(O62&gt;0,R62&gt;0),AND(CR62&gt;1,CR62&lt;=70),AND(CS62&gt;1,CS62&lt;=40)),"HIPOTENSIÓN","")))))))))</f>
        <v>APARENTEMENTE NORMAL</v>
      </c>
      <c r="CU62" s="21"/>
      <c r="CV62" s="21"/>
      <c r="CW62" s="217" t="str">
        <f ca="1">IF(R62="","",IF(AND(CN62&gt;19,CN62&lt;27,Tabla1[[#This Row],[T.A. SISTOLICA (Entre semana 20 y 26)]]="",Tabla1[[#This Row],[T.A. DIATOLICA (Entre semana 20 y 26)]]=""),"ACUDE A CONTROL SEM 20 A 26 REGISTRE TA AHORA",IF(AND(BS62&gt;1,BS62&lt;27,BU62&gt;19,Tabla1[[#This Row],[T.A. SISTOLICA (Entre semana 20 y 26)]]="",Tabla1[[#This Row],[T.A. DIATOLICA (Entre semana 20 y 26)]]=""),"COMPLETE REGISTRO TA CONTROL SEM 20 A26 ",IF(AND(BS62&gt;26,BS62&lt;43,Tabla1[[#This Row],[T.A. SISTOLICA (Entre semana 20 y 26)]]="",Tabla1[[#This Row],[T.A. DIATOLICA (Entre semana 20 y 26)]]=""),"NO APLICA REGISTRO TA-INGRESO TARDIO",IF(AND(OR(O62&gt;0,R62&gt;0),OR(CU62&gt;=140,CV62&gt;=90)),"ALTO RIESGO PREECLAMPSIA,DEFINIR ESTADIO HTA",IF(AND(OR(O62&gt;0,R62&gt;0),AND(CU62&gt;120,CU62&lt;=139)),"PRE HTA SEGUIMIENTO,RIESGO HIPERTENSION INDUCIDA POR EL EMBARAZO",IF(AND(OR(O62&gt;0,R62&gt;0),AND(CV62&gt;80,CV62&lt;=89)),"PRE HTA SEGUIMIENTO, RIESGO HIPERTENSION INDUCIDA POR EL EMBARAZO",IF(AND(OR(O62&lt;&gt;"",R62&lt;&gt;""),CS62&lt;&gt;"",CV62&lt;&gt;"",CS62&lt;=CV62),"VIGILAR CIFRAS PRESION ARTERIAL",IF(AND(OR(O62&gt;0,R62&gt;0),AND(CU62&gt;120,CU62&lt;=139)),"PRE HTA SEGUIMIENTO",IF(AND(OR(O62&gt;0,R62&gt;0),AND(CU62&gt;1,CU62&lt;=70),AND(CV62&gt;1,CV62&lt;=40)),"HIPOTENSIÓN",IF(AND(OR(O62&lt;&gt;"",R62&lt;&gt;""),CS62&lt;&gt;"",CV62&lt;&gt;"",CS62&gt;CV62),"APARENTEMENTE NORMAL",IF(AND(OR(O62&gt;0,R62&gt;0),AND(CU62&gt;=80,CU62&lt;=120)),"APARENTEMENTE NORMAL",IF(AND(OR(O62&gt;0,R62&gt;0),AND(CV62&gt;=50,CV62&lt;=80)),"APARENTEMENTE NORMAL","")))))))))))))</f>
        <v xml:space="preserve">COMPLETE REGISTRO TA CONTROL SEM 20 A26 </v>
      </c>
      <c r="CX62" s="21"/>
      <c r="CY62" s="21"/>
      <c r="CZ62" s="216" t="str">
        <f t="shared" si="195"/>
        <v/>
      </c>
      <c r="DA62" s="21"/>
      <c r="DB62" s="21"/>
      <c r="DC62" s="217" t="str">
        <f t="shared" si="12"/>
        <v>REGISTRE DATO PRESIÓN ARTERIAL MENSUAL</v>
      </c>
      <c r="DD62" s="22">
        <v>44901</v>
      </c>
      <c r="DE62" s="22">
        <v>44901</v>
      </c>
      <c r="DF62" s="22"/>
      <c r="DG62" s="22"/>
      <c r="DH62" s="22"/>
      <c r="DI62" s="22"/>
      <c r="DJ62" s="22"/>
      <c r="DK62" s="22"/>
      <c r="DL62" s="22"/>
      <c r="DM62" s="22"/>
      <c r="DN62" s="22"/>
      <c r="DO62" s="22"/>
      <c r="DP62" s="22"/>
      <c r="DQ62" s="22"/>
      <c r="DR62" s="28">
        <v>1</v>
      </c>
      <c r="DS62" s="22"/>
      <c r="DT62" s="22"/>
      <c r="DU62" s="216" t="str">
        <f t="shared" ca="1" si="196"/>
        <v>NO APLICA SALE PROGRAMA ANTES III TRIM</v>
      </c>
      <c r="DV62" s="226" t="str">
        <f t="shared" si="197"/>
        <v>SALIO PROGRAMA</v>
      </c>
      <c r="DW6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2" s="216" t="str">
        <f t="shared" ca="1" si="15"/>
        <v/>
      </c>
      <c r="DY62" s="212">
        <f>IF(R62="","",IF(R62&gt;0,MAX(Tabla1[[#This Row],[FECHA C2]:[FECHA C13]],Tabla1[[#This Row],[FECHA CONSULTA PRIMERA VEZ PROGRAMA CPN ]])))</f>
        <v>44901</v>
      </c>
      <c r="DZ62" s="216">
        <f t="shared" si="16"/>
        <v>3</v>
      </c>
      <c r="EA62" s="222">
        <f>IF(R62&gt;0,SUM(COUNTA(DF62:DQ62)+COUNTA(Tabla1[[#This Row],[FECHA CONSULTA PRIMERA VEZ PROGRAMA CPN ]])),"")</f>
        <v>1</v>
      </c>
      <c r="EB62" s="222" t="str">
        <f t="shared" si="17"/>
        <v>NO</v>
      </c>
      <c r="EC62" s="214">
        <f t="shared" si="18"/>
        <v>11</v>
      </c>
      <c r="ED62" s="227">
        <f t="shared" si="19"/>
        <v>9.0909090909090912E-2</v>
      </c>
      <c r="EE62" s="22">
        <v>44901</v>
      </c>
      <c r="EF62" s="22">
        <v>44902</v>
      </c>
      <c r="EG62" s="22">
        <v>44901</v>
      </c>
      <c r="EH62" s="22">
        <v>44914</v>
      </c>
      <c r="EI62" s="22">
        <v>44901</v>
      </c>
      <c r="EJ62" s="22">
        <v>44914</v>
      </c>
      <c r="EK62" s="22">
        <v>44914</v>
      </c>
      <c r="EL62" s="21">
        <v>1</v>
      </c>
      <c r="EM62" s="21">
        <v>13.2</v>
      </c>
      <c r="EN62" s="22">
        <v>44902</v>
      </c>
      <c r="EO62" s="222">
        <f t="shared" si="20"/>
        <v>3.7142857142857144</v>
      </c>
      <c r="EP62" s="214" t="str">
        <f t="shared" si="21"/>
        <v>NORMAL- SUMINISTRAR SULFATO FERROSO</v>
      </c>
      <c r="EQ62" s="216" t="str">
        <f t="shared" si="22"/>
        <v>I TRIM</v>
      </c>
      <c r="ER62" s="24"/>
      <c r="ES62" s="22"/>
      <c r="ET62" s="29" t="str">
        <f t="shared" ca="1" si="198"/>
        <v>NO APLICA-SALE ANTES SEM 28</v>
      </c>
      <c r="EU62" s="25" t="str">
        <f t="shared" si="24"/>
        <v/>
      </c>
      <c r="EV62" s="24" t="s">
        <v>866</v>
      </c>
      <c r="EW62" s="24">
        <v>44902</v>
      </c>
      <c r="EX62" s="22"/>
      <c r="EY62" s="29">
        <f t="shared" si="248"/>
        <v>3.7142857142857144</v>
      </c>
      <c r="EZ62" s="25" t="str">
        <f t="shared" ca="1" si="249"/>
        <v/>
      </c>
      <c r="FA62" s="21">
        <v>77</v>
      </c>
      <c r="FB62" s="22">
        <v>44902</v>
      </c>
      <c r="FC62" s="29">
        <f t="shared" si="27"/>
        <v>3.7142857142857144</v>
      </c>
      <c r="FD62" s="29"/>
      <c r="FE62" s="29"/>
      <c r="FF62" s="29"/>
      <c r="FG62" s="21" t="str">
        <f t="shared" ca="1" si="28"/>
        <v/>
      </c>
      <c r="FH62" s="31"/>
      <c r="FI62" s="29" t="str">
        <f t="shared" si="29"/>
        <v>TOMAR EXAMEN</v>
      </c>
      <c r="FJ62" s="22" t="s">
        <v>867</v>
      </c>
      <c r="FK62" s="22">
        <v>44902</v>
      </c>
      <c r="FL62" s="29">
        <f t="shared" ca="1" si="30"/>
        <v>3.7142857142857144</v>
      </c>
      <c r="FM62" s="22"/>
      <c r="FN62" s="32"/>
      <c r="FO62" s="29" t="str">
        <f t="shared" ca="1" si="201"/>
        <v>NO APLICA-SALIO DEL PROGRAMA I TRIM</v>
      </c>
      <c r="FP62" s="22"/>
      <c r="FQ62" s="32"/>
      <c r="FR62" s="29" t="str">
        <f t="shared" ca="1" si="202"/>
        <v>NO APLICA-SALIO DEL PROGRAMA I O II TRIM</v>
      </c>
      <c r="FS62" s="22"/>
      <c r="FT62" s="32"/>
      <c r="FU62" s="29" t="str">
        <f>IF(AND(FJ62="",FM62="",FP62="",FS62=""),"",IF(OR(OR(Tabla1[[#This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2" s="28"/>
      <c r="FW62" s="22"/>
      <c r="FX62" s="29" t="str">
        <f t="shared" si="33"/>
        <v>TOMAR EXAMEN</v>
      </c>
      <c r="FY62" s="22">
        <v>44902</v>
      </c>
      <c r="FZ62" s="22">
        <v>44902</v>
      </c>
      <c r="GA62" s="29">
        <f t="shared" ca="1" si="250"/>
        <v>3.7142857142857144</v>
      </c>
      <c r="GB62" s="22"/>
      <c r="GC62" s="22"/>
      <c r="GD62" s="29" t="str">
        <f t="shared" ca="1" si="204"/>
        <v>NO APLICA-SALIO DEL PROGRAMA I TRIM</v>
      </c>
      <c r="GE62" s="22"/>
      <c r="GF62" s="22"/>
      <c r="GG62" s="29" t="str">
        <f t="shared" ca="1" si="205"/>
        <v>NO APLICA-SALIO DEL PROGRAMA I O II TRIM</v>
      </c>
      <c r="GH62" s="22"/>
      <c r="GI62" s="29"/>
      <c r="GJ62" s="22"/>
      <c r="GK62" s="22"/>
      <c r="GL62" s="22"/>
      <c r="GM62" s="22"/>
      <c r="GN62" s="28" t="s">
        <v>869</v>
      </c>
      <c r="GO62" s="22">
        <v>44902</v>
      </c>
      <c r="GP62" s="29">
        <f t="shared" si="37"/>
        <v>3.7142857142857144</v>
      </c>
      <c r="GQ62" s="28" t="s">
        <v>869</v>
      </c>
      <c r="GR62" s="28" t="s">
        <v>869</v>
      </c>
      <c r="GS62" s="22" t="str">
        <f t="shared" si="206"/>
        <v>CONTROL Igm</v>
      </c>
      <c r="GT62" s="22">
        <v>44902</v>
      </c>
      <c r="GU62" s="29">
        <f t="shared" si="39"/>
        <v>3.7142857142857144</v>
      </c>
      <c r="GV62" s="21" t="str">
        <f t="shared" si="40"/>
        <v>I TRIM</v>
      </c>
      <c r="GW62" s="28" t="s">
        <v>869</v>
      </c>
      <c r="GX62" s="30"/>
      <c r="GY62" s="21"/>
      <c r="GZ62" s="21"/>
      <c r="HA62" s="21"/>
      <c r="HB62" s="21"/>
      <c r="HC62" s="21"/>
      <c r="HD62" s="21"/>
      <c r="HE62" s="21"/>
      <c r="HF62" s="22"/>
      <c r="HG62" s="22" t="str">
        <f>IF(OR(O62&gt;0,R62&gt;0),CONCATENATE(IF(Tabla1[[#This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2" s="22" t="e">
        <f t="shared" si="41"/>
        <v>#REF!</v>
      </c>
      <c r="HI62" s="22" t="e">
        <f t="shared" ca="1" si="42"/>
        <v>#REF!</v>
      </c>
      <c r="HJ62" s="21"/>
      <c r="HK62" s="21" t="str">
        <f t="shared" si="44"/>
        <v>SIN ANTECEDENTES DE RIESGO</v>
      </c>
      <c r="HL62" s="24" t="str">
        <f t="shared" si="45"/>
        <v>REGISTRE DATO PRESIÓN ARTERIAL MENSUAL</v>
      </c>
      <c r="HM62" s="21" t="str">
        <f t="shared" ca="1" si="46"/>
        <v/>
      </c>
      <c r="HN62" s="30" t="str">
        <f t="shared" si="207"/>
        <v>SALIO PROGRAMA</v>
      </c>
      <c r="HO62" s="21"/>
      <c r="HP62" s="21" t="s">
        <v>854</v>
      </c>
      <c r="HQ62" s="21">
        <v>44902</v>
      </c>
      <c r="HR62" s="21" t="str">
        <f>IF(R62="","",IF(Tabla1[[#This Row],[ALARMA FACTORES DE RIESGO COMPLICACIONES HIPERTENSIVAS3]]="SIN ANTECEDENTES DE RIESGO","No Aplica para suministro de ASA",IF(AND(Tabla1[[#This Row],[FECHA INICIO DE SUMINISTRO DE ASA]]&gt;0,RV62&lt;12),"Inicia ASA ANTES de Sem 12",IF(AND(RV62&gt;11,RV62&lt;17,OR(HK62="RIESGO ALTO DE COMPLICACIONES HIPERTENSIVAS VER MANEJO GUIA SUMINISTRO ASA Y CALCIO",HK62="RIESGO MODERADO (2 O MAS CRITERIOS) VER MANEJO GUIA SUMINISTRO ASA Y CALCIO")),"Inicio oportuno de ASA",IF(AND(RV62&gt;12,OR(HK62="RIESGO ALTO DE COMPLICACIONES HIPERTENSIVAS VER MANEJO GUIA SUMINISTRO ASA Y CALCIO",HK62="RIESGO MODERADO (2 O MAS CRITERIOS) VER MANEJO GUIA SUMINISTRO ASA Y CALCIO")),"Inicio no oportuno mayor a 16 semanas",IF(AND(BU62&lt;12,OR(HK62="RIESGO ALTO DE COMPLICACIONES HIPERTENSIVAS VER MANEJO GUIA SUMINISTRO ASA Y CALCIO",HK62="RIESGO MODERADO (2 O MAS CRITERIOS) VER MANEJO GUIA SUMINISTRO ASA Y CALCIO")),"Pendiente Inicio de ASA a la semana 12",IF(AND(BU62&gt;11,BU62&lt;17,OR(HK62="RIESGO ALTO DE COMPLICACIONES HIPERTENSIVAS VER MANEJO GUIA SUMINISTRO ASA Y CALCIO",HK62="RIESGO MODERADO (2 O MAS CRITERIOS) VER MANEJO GUIA SUMINISTRO ASA Y CALCIO")),"Iniciar de inmediato ASA",IF(AND(BU62&gt;16,OR(HK62="RIESGO ALTO DE COMPLICACIONES HIPERTENSIVAS VER MANEJO GUIA SUMINISTRO ASA Y CALCIO",HK62="RIESGO MODERADO (2 O MAS CRITERIOS) VER MANEJO GUIA SUMINISTRO ASA Y CALCIO")),"Pierde Oportunidad, Inicio tardío de ASA","XXXXX"))))))))</f>
        <v>No Aplica para suministro de ASA</v>
      </c>
      <c r="HS62" s="22">
        <v>44902</v>
      </c>
      <c r="HT62" s="22" t="s">
        <v>935</v>
      </c>
      <c r="HU62" s="22">
        <v>44902</v>
      </c>
      <c r="HV62" s="22" t="s">
        <v>870</v>
      </c>
      <c r="HW62" s="22">
        <v>44902</v>
      </c>
      <c r="HX62" s="22" t="s">
        <v>935</v>
      </c>
      <c r="HY62" s="22">
        <v>44901</v>
      </c>
      <c r="HZ62" s="28">
        <f t="shared" si="48"/>
        <v>3.5714285714285716</v>
      </c>
      <c r="IA62" s="26" t="s">
        <v>864</v>
      </c>
      <c r="IB62" s="26"/>
      <c r="IC62" s="111"/>
      <c r="ID62" s="22"/>
      <c r="IE62" s="22" t="str">
        <f t="shared" ca="1" si="49"/>
        <v/>
      </c>
      <c r="IF62" s="22"/>
      <c r="IG62" s="22">
        <f t="shared" si="50"/>
        <v>45156</v>
      </c>
      <c r="IH62" s="29">
        <f t="shared" ca="1" si="51"/>
        <v>-77</v>
      </c>
      <c r="II62" s="22" t="str">
        <f t="shared" ca="1" si="52"/>
        <v>POSIBLEMENTE NACIO</v>
      </c>
      <c r="IJ62" s="22"/>
      <c r="IK62" s="21" t="s">
        <v>1185</v>
      </c>
      <c r="IL62" s="21"/>
      <c r="IM62" s="34"/>
      <c r="IN62" s="349">
        <v>44929</v>
      </c>
      <c r="IO62" s="21" t="s">
        <v>1186</v>
      </c>
      <c r="IP62" s="29">
        <f t="shared" si="208"/>
        <v>7.5714285714285712</v>
      </c>
      <c r="IQ62" s="110">
        <v>1062077317</v>
      </c>
      <c r="IR62" s="21"/>
      <c r="IS62" s="21"/>
      <c r="IT62" s="21"/>
      <c r="IU62" s="21"/>
      <c r="IV62" s="21"/>
      <c r="IW62" s="21"/>
      <c r="IX62" s="21"/>
      <c r="IY62" s="21"/>
      <c r="IZ62" s="21"/>
      <c r="JA62" s="21"/>
      <c r="JB62" s="30"/>
      <c r="JC62" s="21"/>
      <c r="JD62" s="36"/>
      <c r="JE62" s="21" t="str">
        <f t="shared" si="209"/>
        <v/>
      </c>
      <c r="JF62" s="30"/>
      <c r="JG62" s="21"/>
      <c r="JH62" s="21"/>
      <c r="JI62" s="21"/>
      <c r="JJ62" s="30"/>
      <c r="JK62" s="22"/>
      <c r="JL62" s="22"/>
      <c r="JM62" s="21"/>
      <c r="JN62" s="36"/>
      <c r="JO62" s="21" t="str">
        <f t="shared" si="210"/>
        <v/>
      </c>
      <c r="JP62" s="22"/>
      <c r="JQ62" s="21"/>
      <c r="JR62" s="21"/>
      <c r="JS62" s="21"/>
      <c r="JT62" s="30"/>
      <c r="JU62" s="22"/>
      <c r="JV62" s="22"/>
      <c r="JW62" s="33"/>
      <c r="JX62" s="28" t="str">
        <f t="shared" si="211"/>
        <v/>
      </c>
      <c r="JY62" s="33"/>
      <c r="JZ62" s="28" t="str">
        <f t="shared" si="212"/>
        <v>INASISTENTE</v>
      </c>
      <c r="KA62" s="21"/>
      <c r="KB62" s="21"/>
      <c r="KC62" s="21"/>
      <c r="KD62" s="37"/>
      <c r="KE62" s="28"/>
      <c r="KF62" s="28"/>
      <c r="KG62" s="28"/>
      <c r="KH62" s="39"/>
      <c r="KI62" s="39"/>
      <c r="KJ62" s="66"/>
      <c r="KK62" s="39"/>
      <c r="KL62" s="39"/>
      <c r="KM62" s="66"/>
      <c r="KN62" s="39"/>
      <c r="KO62" s="39"/>
      <c r="KP62" s="39"/>
      <c r="KQ62" s="39"/>
      <c r="KR62" s="39"/>
      <c r="KS62" s="39"/>
      <c r="KT62" s="39"/>
      <c r="KU62" s="38"/>
      <c r="KV62" s="38"/>
      <c r="KW62" s="38"/>
      <c r="KX62" s="38"/>
      <c r="KY62" s="38"/>
      <c r="KZ62" s="38"/>
      <c r="LA62" s="38"/>
      <c r="LB62" s="38"/>
      <c r="LC62" s="38"/>
      <c r="LD62" s="38"/>
      <c r="LE62" s="38"/>
      <c r="LF62" s="38"/>
      <c r="LG62" s="38"/>
      <c r="LH62" s="38"/>
      <c r="LI62" s="38"/>
      <c r="LJ62" s="38"/>
      <c r="LK62" s="38"/>
      <c r="LL62" s="38"/>
      <c r="LM62" s="38"/>
      <c r="LN62" s="38"/>
      <c r="LO62" s="38"/>
      <c r="LP62" s="38"/>
      <c r="LQ62" s="38"/>
      <c r="LR62" s="38"/>
      <c r="LS62" s="38"/>
      <c r="LT62" s="38"/>
      <c r="LU62" s="38"/>
      <c r="LV62" s="38"/>
      <c r="LW62" s="38"/>
      <c r="LX62" s="38"/>
      <c r="LY62" s="38"/>
      <c r="LZ62" s="38"/>
      <c r="MA62" s="38"/>
      <c r="MB62" s="38"/>
      <c r="MC62" s="38"/>
      <c r="MD62" s="38"/>
      <c r="ME62" s="38"/>
      <c r="MF62" s="38"/>
      <c r="MG62" s="38"/>
      <c r="MH62" s="43">
        <f t="shared" si="213"/>
        <v>0</v>
      </c>
      <c r="MI62" s="43" t="str">
        <f t="shared" si="214"/>
        <v/>
      </c>
      <c r="MJ62" s="43" t="str">
        <f t="shared" si="215"/>
        <v/>
      </c>
      <c r="MK62" s="43">
        <f t="shared" si="216"/>
        <v>0</v>
      </c>
      <c r="ML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2" s="43">
        <f t="shared" si="217"/>
        <v>3.5714285714285716</v>
      </c>
      <c r="MN62" s="43">
        <f t="shared" si="218"/>
        <v>12</v>
      </c>
      <c r="MO62" s="43">
        <f t="shared" si="219"/>
        <v>2022</v>
      </c>
      <c r="MP62" s="43" t="str">
        <f t="shared" si="220"/>
        <v>IV TRIMESTRE AÑO</v>
      </c>
      <c r="MQ62" s="43">
        <f t="shared" si="221"/>
        <v>15.609943057380638</v>
      </c>
      <c r="MR62" s="43">
        <f t="shared" si="222"/>
        <v>1</v>
      </c>
      <c r="MS62" s="43" t="str">
        <f t="shared" si="223"/>
        <v>DE 14 A 19AÑOS</v>
      </c>
      <c r="MT62" s="43">
        <f t="shared" si="224"/>
        <v>0</v>
      </c>
      <c r="MU62" s="43">
        <f t="shared" si="225"/>
        <v>1</v>
      </c>
      <c r="MV62" s="43">
        <f t="shared" si="226"/>
        <v>0</v>
      </c>
      <c r="MW62" s="43">
        <f t="shared" si="227"/>
        <v>0</v>
      </c>
      <c r="MX62" s="43" t="str">
        <f t="shared" si="228"/>
        <v/>
      </c>
      <c r="MY62" s="43" t="str">
        <f t="shared" ca="1" si="229"/>
        <v/>
      </c>
      <c r="MZ62" s="43" t="str">
        <f t="shared" si="230"/>
        <v/>
      </c>
      <c r="NA62" s="43" t="str">
        <f t="shared" si="231"/>
        <v/>
      </c>
      <c r="NB62" s="43" t="str">
        <f t="shared" si="232"/>
        <v/>
      </c>
      <c r="NC62" s="43" t="str">
        <f t="shared" si="233"/>
        <v/>
      </c>
      <c r="ND62" s="43">
        <f t="shared" ca="1" si="234"/>
        <v>2</v>
      </c>
      <c r="NE62" s="43">
        <f>IF(OR(O62&gt;0,R62&gt;0),SUM(COUNTIF(Tabla1[[#This Row],[AÑOS AL INICIO5 CPN]],"&gt;=40"),COUNTIF(AS62,"0"),COUNTIF(AR62,"SI"),COUNTIF(CC62,"SI"),COUNTIF(BQ62,"&gt;119"),COUNTIF(CI62,"&gt;=35")),"")</f>
        <v>1</v>
      </c>
      <c r="NF62" s="43" t="str">
        <f t="shared" si="235"/>
        <v/>
      </c>
      <c r="NG62" s="43">
        <f t="shared" si="236"/>
        <v>0</v>
      </c>
      <c r="NH62" s="43">
        <f t="shared" si="237"/>
        <v>42</v>
      </c>
      <c r="NI6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CPN",P62="NO"),"Z",IF(AND(Tabla1[[#This Row],[CITA PROXIMO CONTROL]]="CITA MANUAL",Tabla1[[#This Row],[GESTANTES ACTUALES]]="ACTIVA INGRESO A CPN"),"W",IF(AND(Tabla1[[#This Row],[GESTANTES ACTUALES]]="SALIO PROGRAMA",IN62=""),"S",IF(AND(Tabla1[[#This Row],[CITA PROXIMO CONTROL]]&gt;0,IN62=""),(Tabla1[[#This Row],[CITA PROXIMO CONTROL]]-TODAY()),"SD"))))))))</f>
        <v>SD</v>
      </c>
      <c r="NJ62" s="43">
        <f>MONTH(Tabla1[[#This Row],[FECHA DE SALIDA  DEL PROGRAMA]])</f>
        <v>1</v>
      </c>
      <c r="NK62" s="43">
        <f>YEAR(Tabla1[[#This Row],[FECHA DE SALIDA  DEL PROGRAMA]])</f>
        <v>2023</v>
      </c>
      <c r="NL62" s="43">
        <f t="shared" si="238"/>
        <v>13</v>
      </c>
      <c r="NM62" s="43" t="str">
        <f t="shared" si="251"/>
        <v>NO</v>
      </c>
      <c r="NN62" s="43" t="str">
        <f ca="1">IF(AND(O62&gt;0,R62=""),"NO CPN",IF(AND(O62="",R62=""),"",IF(AND(R62&gt;0,Tabla1[[#This Row],[SEMANAS DE GESTACION ACTUALIZADAS]]&lt;=12),"NO APLICA",IF(AND(FH62&lt;&gt;"",FN62&lt;&gt;""),"SI","NO"))))</f>
        <v>NO</v>
      </c>
      <c r="NO62" s="43" t="str">
        <f ca="1">IF(AND(O62&gt;0,R62=""),"NO CPN",IF(AND(O62="",R62=""),"",IF(AND(R62&gt;0,Tabla1[[#This Row],[SEMANAS DE GESTACION ACTUALIZADAS]]&lt;=27),"NO APLICA",IF(AND(ES62&lt;&gt;"",FQ62&lt;&gt;"",GF62&lt;&gt;""),"SI","NO"))))</f>
        <v>NO</v>
      </c>
      <c r="NP62" s="204" t="str">
        <f t="shared" si="240"/>
        <v>I TRIM</v>
      </c>
      <c r="NQ62" s="21" t="str">
        <f t="shared" si="241"/>
        <v/>
      </c>
      <c r="NR62" s="21">
        <f t="shared" si="242"/>
        <v>1</v>
      </c>
      <c r="NS62" s="205">
        <f t="shared" ca="1" si="243"/>
        <v>1</v>
      </c>
      <c r="NT62" s="21">
        <f t="shared" ca="1" si="244"/>
        <v>1</v>
      </c>
      <c r="NU62" s="21" t="str">
        <f t="shared" ca="1" si="245"/>
        <v>COMPLETO</v>
      </c>
      <c r="NV62" s="21" t="str">
        <f t="shared" ca="1" si="246"/>
        <v>COMPLETO</v>
      </c>
      <c r="NW62" s="206" t="str">
        <f>IF(AND(O62="",R62=""),"",IF(OR(AND(Tabla1[[#This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2" s="207" t="str">
        <f t="shared" ca="1" si="247"/>
        <v>SIN VACUNAR</v>
      </c>
      <c r="NY62" s="43">
        <f>ROW(Tabla1[[#This Row],['# DE TAMIZAJES SIFILIS TOMADOS ]])</f>
        <v>62</v>
      </c>
      <c r="NZ62" s="43" t="str">
        <f t="shared" si="93"/>
        <v>Menor</v>
      </c>
      <c r="OA62" s="43" t="str">
        <f t="shared" si="94"/>
        <v>NORMAL</v>
      </c>
      <c r="OB62" s="43" t="str">
        <f t="shared" si="95"/>
        <v/>
      </c>
      <c r="OC62" s="43" t="str">
        <f t="shared" si="96"/>
        <v/>
      </c>
      <c r="OD62" s="43" t="str">
        <f t="shared" si="97"/>
        <v/>
      </c>
      <c r="OE62" s="43" t="str">
        <f t="shared" si="98"/>
        <v/>
      </c>
      <c r="OF62" s="43" t="str">
        <f t="shared" si="99"/>
        <v/>
      </c>
      <c r="OG62" s="43" t="str">
        <f t="shared" si="100"/>
        <v/>
      </c>
      <c r="OH62" s="43" t="str">
        <f t="shared" si="101"/>
        <v/>
      </c>
      <c r="OI62" s="43" t="str">
        <f t="shared" si="102"/>
        <v/>
      </c>
      <c r="OJ62" s="43" t="str">
        <f t="shared" si="103"/>
        <v/>
      </c>
      <c r="OK62" s="43" t="str">
        <f t="shared" si="104"/>
        <v/>
      </c>
      <c r="OL62" s="43" t="str">
        <f t="shared" si="105"/>
        <v/>
      </c>
      <c r="OM62" s="43" t="str">
        <f t="shared" si="106"/>
        <v/>
      </c>
      <c r="ON62" s="43" t="str">
        <f t="shared" si="107"/>
        <v/>
      </c>
      <c r="OO62" s="43" t="str">
        <f t="shared" si="108"/>
        <v/>
      </c>
      <c r="OP62" s="43" t="str">
        <f t="shared" si="109"/>
        <v/>
      </c>
      <c r="OQ62" s="43" t="str">
        <f t="shared" si="110"/>
        <v/>
      </c>
      <c r="OR62" s="43" t="str">
        <f t="shared" si="111"/>
        <v/>
      </c>
      <c r="OS62" s="43" t="str">
        <f t="shared" si="112"/>
        <v/>
      </c>
      <c r="OT62" s="43" t="str">
        <f t="shared" si="113"/>
        <v/>
      </c>
      <c r="OU62" s="43" t="str">
        <f t="shared" si="114"/>
        <v/>
      </c>
      <c r="OV62" s="110" t="str">
        <f t="shared" si="115"/>
        <v/>
      </c>
      <c r="OW62" s="43" t="str">
        <f t="shared" si="116"/>
        <v/>
      </c>
      <c r="OX62" s="43" t="str">
        <f t="shared" si="117"/>
        <v/>
      </c>
      <c r="OY62" s="43" t="str">
        <f t="shared" si="118"/>
        <v/>
      </c>
      <c r="OZ62" s="43" t="str">
        <f t="shared" si="119"/>
        <v/>
      </c>
      <c r="PA62" s="43" t="str">
        <f t="shared" si="120"/>
        <v/>
      </c>
      <c r="PB62" s="43" t="str">
        <f t="shared" si="121"/>
        <v/>
      </c>
      <c r="PC62" s="43" t="str">
        <f t="shared" si="122"/>
        <v/>
      </c>
      <c r="PD62" s="43" t="str">
        <f t="shared" si="123"/>
        <v/>
      </c>
      <c r="PE62" s="43" t="str">
        <f t="shared" si="124"/>
        <v/>
      </c>
      <c r="PF62" s="43" t="str">
        <f t="shared" si="125"/>
        <v/>
      </c>
      <c r="PG62" s="43" t="str">
        <f t="shared" si="126"/>
        <v/>
      </c>
      <c r="PH62" s="43" t="str">
        <f t="shared" si="127"/>
        <v/>
      </c>
      <c r="PI62" s="43" t="str">
        <f t="shared" si="128"/>
        <v>Menor</v>
      </c>
      <c r="PJ62" s="43" t="str">
        <f t="shared" si="129"/>
        <v/>
      </c>
      <c r="PK62" s="43" t="str">
        <f t="shared" si="130"/>
        <v/>
      </c>
      <c r="PL62" s="43" t="str">
        <f t="shared" si="131"/>
        <v/>
      </c>
      <c r="PM62" s="43" t="str">
        <f t="shared" si="132"/>
        <v/>
      </c>
      <c r="PN62" s="43" t="str">
        <f t="shared" si="133"/>
        <v/>
      </c>
      <c r="PO62" s="43" t="str">
        <f t="shared" si="134"/>
        <v/>
      </c>
      <c r="PP62" s="43" t="str">
        <f t="shared" si="135"/>
        <v/>
      </c>
      <c r="PQ62" s="43" t="str">
        <f t="shared" si="136"/>
        <v/>
      </c>
      <c r="PR62" s="43" t="str">
        <f t="shared" si="137"/>
        <v/>
      </c>
      <c r="PS62" s="43" t="str">
        <f t="shared" si="138"/>
        <v/>
      </c>
      <c r="PT62" s="43" t="str">
        <f t="shared" si="139"/>
        <v/>
      </c>
      <c r="PU62" s="43" t="str">
        <f t="shared" si="140"/>
        <v/>
      </c>
      <c r="PV62" s="43" t="str">
        <f t="shared" si="141"/>
        <v/>
      </c>
      <c r="PW62" s="43" t="str">
        <f t="shared" si="142"/>
        <v/>
      </c>
      <c r="PX62" s="43" t="str">
        <f t="shared" si="143"/>
        <v/>
      </c>
      <c r="PY62" s="43" t="str">
        <f t="shared" si="144"/>
        <v/>
      </c>
      <c r="PZ62" s="43" t="str">
        <f t="shared" si="145"/>
        <v/>
      </c>
      <c r="QA62" s="43" t="str">
        <f t="shared" si="146"/>
        <v/>
      </c>
      <c r="QB62" s="43" t="str">
        <f t="shared" si="147"/>
        <v/>
      </c>
      <c r="QC62" s="43" t="str">
        <f t="shared" si="148"/>
        <v/>
      </c>
      <c r="QD62" s="43" t="str">
        <f t="shared" si="149"/>
        <v/>
      </c>
      <c r="QE62" s="43" t="str">
        <f t="shared" si="150"/>
        <v/>
      </c>
      <c r="QF62" s="43" t="str">
        <f t="shared" si="151"/>
        <v/>
      </c>
      <c r="QG62" s="43" t="str">
        <f t="shared" si="152"/>
        <v/>
      </c>
      <c r="QH62" s="43" t="str">
        <f t="shared" si="153"/>
        <v/>
      </c>
      <c r="QI62" s="43" t="str">
        <f t="shared" si="154"/>
        <v/>
      </c>
      <c r="QJ62" s="43" t="str">
        <f t="shared" si="155"/>
        <v/>
      </c>
      <c r="QK62" s="43" t="str">
        <f t="shared" si="156"/>
        <v/>
      </c>
      <c r="QL62" s="43" t="str">
        <f t="shared" si="157"/>
        <v/>
      </c>
      <c r="QM62" s="43" t="str">
        <f t="shared" si="158"/>
        <v/>
      </c>
      <c r="QN62" s="43" t="str">
        <f t="shared" si="159"/>
        <v/>
      </c>
      <c r="QO62" s="43" t="str">
        <f t="shared" si="160"/>
        <v/>
      </c>
      <c r="QP62" s="43" t="str">
        <f t="shared" si="161"/>
        <v/>
      </c>
      <c r="QQ62" s="43" t="str">
        <f t="shared" si="162"/>
        <v/>
      </c>
      <c r="QR62" s="43" t="str">
        <f t="shared" si="192"/>
        <v>Menor</v>
      </c>
      <c r="QS62" s="43"/>
      <c r="QT62" s="21" t="str">
        <f t="shared" si="163"/>
        <v/>
      </c>
      <c r="QU62" s="21" t="str">
        <f t="shared" si="164"/>
        <v/>
      </c>
      <c r="QV62" s="21" t="str">
        <f t="shared" si="165"/>
        <v/>
      </c>
      <c r="QW62" s="21" t="str">
        <f t="shared" si="166"/>
        <v/>
      </c>
      <c r="QX62" s="21" t="str">
        <f t="shared" si="167"/>
        <v/>
      </c>
      <c r="QY62" s="21" t="str">
        <f t="shared" si="168"/>
        <v/>
      </c>
      <c r="QZ62" s="21" t="str">
        <f t="shared" si="169"/>
        <v/>
      </c>
      <c r="RA62" s="21" t="str">
        <f t="shared" si="170"/>
        <v/>
      </c>
      <c r="RB62" s="21" t="str">
        <f t="shared" si="171"/>
        <v/>
      </c>
      <c r="RC62" s="21" t="str">
        <f t="shared" si="172"/>
        <v/>
      </c>
      <c r="RD62" s="21" t="str">
        <f t="shared" si="173"/>
        <v/>
      </c>
      <c r="RE62" s="21" t="str">
        <f t="shared" si="174"/>
        <v/>
      </c>
      <c r="RF62" s="21" t="str">
        <f t="shared" si="175"/>
        <v/>
      </c>
      <c r="RG62" s="21" t="str">
        <f t="shared" si="176"/>
        <v/>
      </c>
      <c r="RH62" s="21" t="str">
        <f t="shared" si="177"/>
        <v/>
      </c>
      <c r="RI62" s="21" t="str">
        <f t="shared" si="178"/>
        <v/>
      </c>
      <c r="RJ62" s="21" t="str">
        <f t="shared" si="179"/>
        <v/>
      </c>
      <c r="RK62" s="21" t="str">
        <f t="shared" si="180"/>
        <v/>
      </c>
      <c r="RL62" s="21" t="str">
        <f t="shared" si="181"/>
        <v/>
      </c>
      <c r="RM62" s="21" t="str">
        <f t="shared" si="182"/>
        <v/>
      </c>
      <c r="RN62" s="21" t="str">
        <f t="shared" si="183"/>
        <v/>
      </c>
      <c r="RO62" s="21" t="str">
        <f t="shared" si="184"/>
        <v/>
      </c>
      <c r="RP62" s="21" t="str">
        <f t="shared" si="185"/>
        <v/>
      </c>
      <c r="RQ62" s="21" t="str">
        <f t="shared" si="186"/>
        <v/>
      </c>
      <c r="RR62" s="21" t="str">
        <f t="shared" si="187"/>
        <v/>
      </c>
      <c r="RS62" s="21" t="str">
        <f t="shared" si="188"/>
        <v/>
      </c>
      <c r="RT62" s="21" t="str">
        <f t="shared" si="189"/>
        <v/>
      </c>
      <c r="RU62" s="21" t="str">
        <f t="shared" si="190"/>
        <v/>
      </c>
      <c r="RV62" s="21">
        <f t="shared" si="191"/>
        <v>3.7142857142857144</v>
      </c>
      <c r="RW62" s="284">
        <f>IF(OR(Tabla1[[#This Row],[FUM FORMULA CONFIABLE]]="",Tabla1[[#This Row],[FUM FORMULA CONFIABLE]]="SD"),"",IF(Tabla1[[#This Row],[FUM FORMULA CONFIABLE]]="CORREGIDA",Tabla1[[#This Row],[FUM X ECO 1]],Tabla1[[#This Row],[FUM x AMENORREA]]))</f>
        <v>44876</v>
      </c>
      <c r="RX62" s="21">
        <f>IF(AND(Tabla1[[#This Row],[FUM X ECO 1]]="",Tabla1[[#This Row],[FUM x AMENORREA]]=""),"",IF(AND(Tabla1[[#This Row],[FUM X ECO 1]]="",Tabla1[[#This Row],[FUM x AMENORREA]]&lt;&gt;""),"X",SUM(Tabla1[[#This Row],[FUM X ECO 1]]-Tabla1[[#This Row],[FUM x AMENORREA]])))</f>
        <v>0</v>
      </c>
      <c r="RY62" s="21">
        <f t="shared" si="193"/>
        <v>0</v>
      </c>
    </row>
    <row r="63" spans="1:493" ht="45" customHeight="1" x14ac:dyDescent="0.25">
      <c r="A63" s="109"/>
      <c r="B63" s="43"/>
      <c r="C63" s="43" t="s">
        <v>845</v>
      </c>
      <c r="D63" s="124" t="s">
        <v>846</v>
      </c>
      <c r="E63" s="43" t="s">
        <v>1187</v>
      </c>
      <c r="F63" s="43" t="s">
        <v>1188</v>
      </c>
      <c r="G63" s="43" t="s">
        <v>1189</v>
      </c>
      <c r="H63" s="43" t="s">
        <v>1190</v>
      </c>
      <c r="I63" s="109" t="s">
        <v>1094</v>
      </c>
      <c r="J63" s="110">
        <v>1062077317</v>
      </c>
      <c r="K63" s="43" t="s">
        <v>852</v>
      </c>
      <c r="L63" s="175" t="s">
        <v>886</v>
      </c>
      <c r="M63" s="22">
        <v>38599</v>
      </c>
      <c r="N63" s="213">
        <f t="shared" ca="1" si="0"/>
        <v>18.175342465753424</v>
      </c>
      <c r="O63" s="22">
        <v>44901</v>
      </c>
      <c r="P63" s="214" t="str">
        <f t="shared" si="194"/>
        <v>SI</v>
      </c>
      <c r="Q63" s="26" t="s">
        <v>855</v>
      </c>
      <c r="R63" s="22">
        <v>44901</v>
      </c>
      <c r="S63" s="21" t="s">
        <v>856</v>
      </c>
      <c r="T63" s="24" t="s">
        <v>690</v>
      </c>
      <c r="U63" s="21" t="s">
        <v>857</v>
      </c>
      <c r="V63" s="21" t="s">
        <v>858</v>
      </c>
      <c r="W63" s="21" t="s">
        <v>1191</v>
      </c>
      <c r="X63" s="21" t="s">
        <v>1191</v>
      </c>
      <c r="Y63" s="21" t="s">
        <v>859</v>
      </c>
      <c r="Z63" s="21">
        <v>3148084194</v>
      </c>
      <c r="AA63" s="21" t="s">
        <v>860</v>
      </c>
      <c r="AB63" s="27" t="s">
        <v>861</v>
      </c>
      <c r="AC63" s="26" t="s">
        <v>888</v>
      </c>
      <c r="AD63" s="38" t="s">
        <v>846</v>
      </c>
      <c r="AE63" s="26" t="s">
        <v>854</v>
      </c>
      <c r="AF63" s="26" t="s">
        <v>854</v>
      </c>
      <c r="AG63" s="23" t="s">
        <v>864</v>
      </c>
      <c r="AH63" s="23" t="s">
        <v>864</v>
      </c>
      <c r="AI63" s="24" t="s">
        <v>863</v>
      </c>
      <c r="AJ63" s="23" t="s">
        <v>864</v>
      </c>
      <c r="AK63" s="220" t="str">
        <f>IF(AND(AD63="",AE63="",AF63="",AG63="",AH63="",AI63="",AJ63=""),"",IF(OR(Tabla1[[#This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EVALUACIÓN",IF(AND(O63="",R63=""),"",IF(AND(OR(O63&gt;0,R63&gt;0),NG63&gt;=0,NG63&lt;2),"SIN RIESGO",IF(AND(OR(O63&gt;0,R63&gt;0),NG63&gt;=2),"CON RIESGO","ASD")))))</f>
        <v>SIN RIESGO</v>
      </c>
      <c r="AL63" s="23" t="s">
        <v>864</v>
      </c>
      <c r="AM63" s="26" t="s">
        <v>864</v>
      </c>
      <c r="AN63" s="26" t="s">
        <v>864</v>
      </c>
      <c r="AO63" s="26" t="s">
        <v>864</v>
      </c>
      <c r="AP63" s="26" t="s">
        <v>864</v>
      </c>
      <c r="AQ63" s="26" t="s">
        <v>864</v>
      </c>
      <c r="AR63" s="26" t="s">
        <v>864</v>
      </c>
      <c r="AS63" s="21">
        <v>0</v>
      </c>
      <c r="AT63" s="21">
        <v>0</v>
      </c>
      <c r="AU63" s="21">
        <v>0</v>
      </c>
      <c r="AV63" s="26" t="s">
        <v>864</v>
      </c>
      <c r="AW63" s="21">
        <v>0</v>
      </c>
      <c r="AX63" s="26" t="s">
        <v>864</v>
      </c>
      <c r="AY63" s="26" t="s">
        <v>864</v>
      </c>
      <c r="AZ63" s="26" t="s">
        <v>864</v>
      </c>
      <c r="BA63" s="26" t="s">
        <v>864</v>
      </c>
      <c r="BB63" s="26" t="s">
        <v>864</v>
      </c>
      <c r="BC63" s="26" t="s">
        <v>864</v>
      </c>
      <c r="BD63" s="26" t="s">
        <v>864</v>
      </c>
      <c r="BE63" s="26" t="s">
        <v>864</v>
      </c>
      <c r="BF63" s="26" t="s">
        <v>864</v>
      </c>
      <c r="BG63" s="26" t="s">
        <v>864</v>
      </c>
      <c r="BH63" s="26" t="s">
        <v>864</v>
      </c>
      <c r="BI63" s="26" t="s">
        <v>864</v>
      </c>
      <c r="BJ63" s="26"/>
      <c r="BK63" s="26"/>
      <c r="BL63" s="26" t="s">
        <v>864</v>
      </c>
      <c r="BM63" s="26" t="s">
        <v>864</v>
      </c>
      <c r="BN63" s="22"/>
      <c r="BO63" s="22">
        <v>44819</v>
      </c>
      <c r="BP63" s="21" t="s">
        <v>854</v>
      </c>
      <c r="BQ63" s="222">
        <f t="shared" si="2"/>
        <v>0</v>
      </c>
      <c r="BR63" s="223">
        <f t="shared" si="3"/>
        <v>44789.3</v>
      </c>
      <c r="BS63" s="224">
        <f t="shared" si="4"/>
        <v>11.714285714285714</v>
      </c>
      <c r="BT63" s="216" t="str">
        <f t="shared" si="5"/>
        <v>II TRIM</v>
      </c>
      <c r="BU63" s="214" t="str">
        <f t="shared" ca="1" si="6"/>
        <v/>
      </c>
      <c r="BV63" s="25"/>
      <c r="BW63" s="22">
        <v>44888</v>
      </c>
      <c r="BX63" s="28">
        <v>14.1</v>
      </c>
      <c r="BY63" s="28"/>
      <c r="BZ63" s="22">
        <v>45283</v>
      </c>
      <c r="CA63" s="21">
        <v>14.1</v>
      </c>
      <c r="CB63" s="26" t="s">
        <v>864</v>
      </c>
      <c r="CC63" s="26" t="s">
        <v>864</v>
      </c>
      <c r="CD63" s="26" t="s">
        <v>865</v>
      </c>
      <c r="CE63" s="26" t="s">
        <v>864</v>
      </c>
      <c r="CF63" s="22" t="s">
        <v>1517</v>
      </c>
      <c r="CG63" s="21">
        <v>1.54</v>
      </c>
      <c r="CH63" s="21">
        <v>55</v>
      </c>
      <c r="CI63" s="214">
        <f t="shared" si="7"/>
        <v>23.19109461966605</v>
      </c>
      <c r="CJ63" s="225" t="e">
        <f>IF(AND(CI63&lt;10,CH63="SD"),"SIN DATO PESO PREGESTACION O I TRIM",IF(AND(OR(R63&gt;0,O63&gt;0),CI63="X"),"INGRESAR DATO DE PESO",IF(CI63="SD","INGRESAR DATO DE TALLA Y PESO",IF(AND(OR(Tabla1[[#This Row],[MOMENTO EN QUE SE REALIZA EL PESO AL INGRESO A CPN]]="PREGESTACIÓN",NZ63="Menor"),CI63&lt;18.5),"BAJO PESO",IF(AND(OR(Tabla1[[#This Row],[MOMENTO EN QUE SE REALIZA EL PESO AL INGRESO A CPN]]="PREGESTACIÓN",NZ63="Menor"),CI63&lt;25),"NORMAL",IF(AND(OR(Tabla1[[#This Row],[MOMENTO EN QUE SE REALIZA EL PESO AL INGRESO A CPN]]="PREGESTACIÓN",NZ63="Menor"),CI63&lt;30),"SOBREPESO",IF(AND(OR(Tabla1[[#This Row],[MOMENTO EN QUE SE REALIZA EL PESO AL INGRESO A CPN]]="PREGESTACIÓN",NZ63="Menor"),CI63&gt;=30,CI63&lt;50),"OBESIDAD",IF(AND(BS63&gt;0,Tabla1[[#This Row],[MOMENTO EN QUE SE REALIZA EL PESO AL INGRESO A CPN]]="GESTACIÓN"),HLOOKUP(NZ63,$OA$2:PH63,NY63),""))))))))</f>
        <v>#REF!</v>
      </c>
      <c r="CK63" s="212">
        <f t="shared" si="8"/>
        <v>45049</v>
      </c>
      <c r="CL63" s="21">
        <v>69.8</v>
      </c>
      <c r="CM63" s="214">
        <f t="shared" si="9"/>
        <v>29.431607353685276</v>
      </c>
      <c r="CN63" s="216">
        <f t="shared" si="10"/>
        <v>32</v>
      </c>
      <c r="CO63" s="216" t="e">
        <f>IF(PI63="","",IF(PI63&gt;0,HLOOKUP(PI63,$PJ$2:QQ63,NY63),""))</f>
        <v>#REF!</v>
      </c>
      <c r="CP63" s="21">
        <v>32</v>
      </c>
      <c r="CQ63" s="216" t="e">
        <f>IF(QR63="Menor","NO APLICA-MENOR 13 SEM",IF(AND(CC63="SI",CN63&gt;23),"NO APLICA- GEMELAR",IF(QR63="","",IF(QR63&gt;0,HLOOKUP(QR63,$QS$2:RU63,NY63),""))))</f>
        <v>#REF!</v>
      </c>
      <c r="CR63" s="21">
        <v>100</v>
      </c>
      <c r="CS63" s="21">
        <v>60</v>
      </c>
      <c r="CT63" s="217" t="str">
        <f>IF(R63="","",IF(AND(BS63&gt;1,BS63&lt;12,Tabla1[[#This Row],[T.A. SISTOLICA - ANTES DE SEMANA 12]]="",Tabla1[[#This Row],[T.A. DIASTOLICA - ANTES DE SEMANA 12]]=""),"REGISTRE DATO TA ANTES SEMANA 12",IF(AND(BS63&gt;11,BS63&lt;43,Tabla1[[#This Row],[T.A. SISTOLICA - ANTES DE SEMANA 12]]="",Tabla1[[#This Row],[T.A. DIASTOLICA - ANTES DE SEMANA 12]]=""),"NO APLICA REGISTRO TA-INGRESO TARDIO",IF(AND(OR(O63&gt;0,R63&gt;0),OR(CR63&gt;=140,CS63&gt;=90)),"DEFINIR ESTADIO HTA",IF(AND(OR(O63&gt;0,R63&gt;0),AND(CR63&gt;120,CR63&lt;=139)),"PRE HTA SEGUIMIENTO",IF(AND(OR(O63&gt;0,R63&gt;0),AND(CS63&gt;80,CS63&lt;=89)),"PRE HTA SEGUIMIENTO",IF(AND(OR(O63&gt;0,R63&gt;0),AND(CR63&gt;=80,CR63&lt;=120)),"APARENTEMENTE NORMAL",IF(AND(OR(O63&gt;0,R63&gt;0),AND(CS63&gt;=50,CS63&lt;=80)),"APARENTEMENTE NORMAL",IF(AND(OR(O63&gt;0,R63&gt;0),AND(CR63&gt;1,CR63&lt;=70),AND(CS63&gt;1,CS63&lt;=40)),"HIPOTENSIÓN","")))))))))</f>
        <v>APARENTEMENTE NORMAL</v>
      </c>
      <c r="CU63" s="21">
        <v>100</v>
      </c>
      <c r="CV63" s="21">
        <v>60</v>
      </c>
      <c r="CW63" s="217" t="str">
        <f ca="1">IF(R63="","",IF(AND(CN63&gt;19,CN63&lt;27,Tabla1[[#This Row],[T.A. SISTOLICA (Entre semana 20 y 26)]]="",Tabla1[[#This Row],[T.A. DIATOLICA (Entre semana 20 y 26)]]=""),"ACUDE A CONTROL SEM 20 A 26 REGISTRE TA AHORA",IF(AND(BS63&gt;1,BS63&lt;27,BU63&gt;19,Tabla1[[#This Row],[T.A. SISTOLICA (Entre semana 20 y 26)]]="",Tabla1[[#This Row],[T.A. DIATOLICA (Entre semana 20 y 26)]]=""),"COMPLETE REGISTRO TA CONTROL SEM 20 A26 ",IF(AND(BS63&gt;26,BS63&lt;43,Tabla1[[#This Row],[T.A. SISTOLICA (Entre semana 20 y 26)]]="",Tabla1[[#This Row],[T.A. DIATOLICA (Entre semana 20 y 26)]]=""),"NO APLICA REGISTRO TA-INGRESO TARDIO",IF(AND(OR(O63&gt;0,R63&gt;0),OR(CU63&gt;=140,CV63&gt;=90)),"ALTO RIESGO PREECLAMPSIA,DEFINIR ESTADIO HTA",IF(AND(OR(O63&gt;0,R63&gt;0),AND(CU63&gt;120,CU63&lt;=139)),"PRE HTA SEGUIMIENTO,RIESGO HIPERTENSION INDUCIDA POR EL EMBARAZO",IF(AND(OR(O63&gt;0,R63&gt;0),AND(CV63&gt;80,CV63&lt;=89)),"PRE HTA SEGUIMIENTO, RIESGO HIPERTENSION INDUCIDA POR EL EMBARAZO",IF(AND(OR(O63&lt;&gt;"",R63&lt;&gt;""),CS63&lt;&gt;"",CV63&lt;&gt;"",CS63&lt;=CV63),"VIGILAR CIFRAS PRESION ARTERIAL",IF(AND(OR(O63&gt;0,R63&gt;0),AND(CU63&gt;120,CU63&lt;=139)),"PRE HTA SEGUIMIENTO",IF(AND(OR(O63&gt;0,R63&gt;0),AND(CU63&gt;1,CU63&lt;=70),AND(CV63&gt;1,CV63&lt;=40)),"HIPOTENSIÓN",IF(AND(OR(O63&lt;&gt;"",R63&lt;&gt;""),CS63&lt;&gt;"",CV63&lt;&gt;"",CS63&gt;CV63),"APARENTEMENTE NORMAL",IF(AND(OR(O63&gt;0,R63&gt;0),AND(CU63&gt;=80,CU63&lt;=120)),"APARENTEMENTE NORMAL",IF(AND(OR(O63&gt;0,R63&gt;0),AND(CV63&gt;=50,CV63&lt;=80)),"APARENTEMENTE NORMAL","")))))))))))))</f>
        <v>VIGILAR CIFRAS PRESION ARTERIAL</v>
      </c>
      <c r="CX63" s="21">
        <v>100</v>
      </c>
      <c r="CY63" s="21">
        <v>60</v>
      </c>
      <c r="CZ63" s="216" t="str">
        <f t="shared" si="195"/>
        <v>APARENTEMENTE NORMAL</v>
      </c>
      <c r="DA63" s="21">
        <v>100</v>
      </c>
      <c r="DB63" s="21">
        <v>60</v>
      </c>
      <c r="DC63" s="217" t="str">
        <f t="shared" si="12"/>
        <v>APARENTEMENTE NORMAL</v>
      </c>
      <c r="DD63" s="22">
        <v>44901</v>
      </c>
      <c r="DE63" s="22">
        <v>44901</v>
      </c>
      <c r="DF63" s="22">
        <v>44938</v>
      </c>
      <c r="DG63" s="22">
        <v>45010</v>
      </c>
      <c r="DH63" s="22">
        <v>45017</v>
      </c>
      <c r="DI63" s="22">
        <v>45049</v>
      </c>
      <c r="DJ63" s="22"/>
      <c r="DK63" s="22"/>
      <c r="DL63" s="22"/>
      <c r="DM63" s="22"/>
      <c r="DN63" s="22"/>
      <c r="DO63" s="22"/>
      <c r="DP63" s="22"/>
      <c r="DQ63" s="22"/>
      <c r="DR63" s="28">
        <v>2</v>
      </c>
      <c r="DS63" s="22"/>
      <c r="DT63" s="22"/>
      <c r="DU63" s="216" t="str">
        <f t="shared" ca="1" si="196"/>
        <v>SALE SIN PLAN DE PARTO</v>
      </c>
      <c r="DV63" s="226" t="str">
        <f t="shared" si="197"/>
        <v>SALIO PROGRAMA</v>
      </c>
      <c r="DW6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3" s="216" t="str">
        <f t="shared" ca="1" si="15"/>
        <v/>
      </c>
      <c r="DY63" s="212">
        <f>IF(R63="","",IF(R63&gt;0,MAX(Tabla1[[#This Row],[FECHA C2]:[FECHA C13]],Tabla1[[#This Row],[FECHA CONSULTA PRIMERA VEZ PROGRAMA CPN ]])))</f>
        <v>45049</v>
      </c>
      <c r="DZ63" s="216">
        <f t="shared" si="16"/>
        <v>32</v>
      </c>
      <c r="EA63" s="222">
        <f>IF(R63&gt;0,SUM(COUNTA(DF63:DQ63)+COUNTA(Tabla1[[#This Row],[FECHA CONSULTA PRIMERA VEZ PROGRAMA CPN ]])),"")</f>
        <v>5</v>
      </c>
      <c r="EB63" s="222" t="str">
        <f t="shared" si="17"/>
        <v>SI</v>
      </c>
      <c r="EC63" s="214">
        <f t="shared" si="18"/>
        <v>9</v>
      </c>
      <c r="ED63" s="227">
        <f t="shared" si="19"/>
        <v>0.55555555555555558</v>
      </c>
      <c r="EE63" s="22">
        <v>44901</v>
      </c>
      <c r="EF63" s="22">
        <v>44918</v>
      </c>
      <c r="EG63" s="22">
        <v>44901</v>
      </c>
      <c r="EH63" s="22"/>
      <c r="EI63" s="22">
        <v>44901</v>
      </c>
      <c r="EJ63" s="22"/>
      <c r="EK63" s="22"/>
      <c r="EL63" s="21"/>
      <c r="EM63" s="21">
        <v>14.6</v>
      </c>
      <c r="EN63" s="22">
        <v>44901</v>
      </c>
      <c r="EO63" s="222">
        <f t="shared" si="20"/>
        <v>11.714285714285714</v>
      </c>
      <c r="EP63" s="214" t="str">
        <f t="shared" si="21"/>
        <v>NO DAR SULFATO FERROSO</v>
      </c>
      <c r="EQ63" s="216" t="str">
        <f t="shared" si="22"/>
        <v>I TRIM</v>
      </c>
      <c r="ER63" s="24"/>
      <c r="ES63" s="22"/>
      <c r="ET63" s="29" t="str">
        <f t="shared" ca="1" si="198"/>
        <v>SALE SIN TAMIZAJE HEMOGLOBINA SEM 28</v>
      </c>
      <c r="EU63" s="25" t="str">
        <f t="shared" si="24"/>
        <v/>
      </c>
      <c r="EV63" s="24" t="s">
        <v>866</v>
      </c>
      <c r="EW63" s="24">
        <v>44901</v>
      </c>
      <c r="EX63" s="22"/>
      <c r="EY63" s="29">
        <f t="shared" si="248"/>
        <v>11.714285714285714</v>
      </c>
      <c r="EZ63" s="25" t="str">
        <f t="shared" ca="1" si="249"/>
        <v/>
      </c>
      <c r="FA63" s="21">
        <v>78</v>
      </c>
      <c r="FB63" s="22">
        <v>44901</v>
      </c>
      <c r="FC63" s="29">
        <f t="shared" si="27"/>
        <v>11.714285714285714</v>
      </c>
      <c r="FD63" s="29"/>
      <c r="FE63" s="29"/>
      <c r="FF63" s="29"/>
      <c r="FG63" s="21" t="str">
        <f t="shared" ca="1" si="28"/>
        <v/>
      </c>
      <c r="FH63" s="31"/>
      <c r="FI63" s="29" t="str">
        <f t="shared" si="29"/>
        <v>TOMAR EXAMEN</v>
      </c>
      <c r="FJ63" s="22"/>
      <c r="FK63" s="22"/>
      <c r="FL63" s="29" t="str">
        <f t="shared" ca="1" si="30"/>
        <v>PIERDE TOMA DE TAMIZAJE</v>
      </c>
      <c r="FM63" s="22" t="s">
        <v>867</v>
      </c>
      <c r="FN63" s="32">
        <v>44901</v>
      </c>
      <c r="FO63" s="29" t="str">
        <f t="shared" ca="1" si="201"/>
        <v>REGISTRAR EN I TRIMESTRE</v>
      </c>
      <c r="FP63" s="22"/>
      <c r="FQ63" s="32"/>
      <c r="FR63" s="29" t="str">
        <f t="shared" ca="1" si="202"/>
        <v>PIERDE TOMA DE TAMIZAJE</v>
      </c>
      <c r="FS63" s="22"/>
      <c r="FT63" s="32"/>
      <c r="FU63" s="29" t="str">
        <f>IF(AND(FJ63="",FM63="",FP63="",FS63=""),"",IF(OR(OR(Tabla1[[#This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3" s="28"/>
      <c r="FW63" s="22"/>
      <c r="FX63" s="29" t="str">
        <f t="shared" si="33"/>
        <v>TOMAR EXAMEN</v>
      </c>
      <c r="FY63" s="22">
        <v>44901</v>
      </c>
      <c r="FZ63" s="22">
        <v>44901</v>
      </c>
      <c r="GA63" s="29">
        <f t="shared" ca="1" si="250"/>
        <v>11.714285714285714</v>
      </c>
      <c r="GB63" s="22" t="s">
        <v>868</v>
      </c>
      <c r="GC63" s="22">
        <v>44901</v>
      </c>
      <c r="GD63" s="29" t="str">
        <f t="shared" ca="1" si="204"/>
        <v>REGISTRAR EN I TRIMESTRE</v>
      </c>
      <c r="GE63" s="22"/>
      <c r="GF63" s="22"/>
      <c r="GG63" s="29" t="str">
        <f t="shared" ca="1" si="205"/>
        <v>PIERDE TOMA DE TAMIZAJE</v>
      </c>
      <c r="GH63" s="22"/>
      <c r="GI63" s="29"/>
      <c r="GJ63" s="22"/>
      <c r="GK63" s="22"/>
      <c r="GL63" s="22"/>
      <c r="GM63" s="22"/>
      <c r="GN63" s="28" t="s">
        <v>869</v>
      </c>
      <c r="GO63" s="22">
        <v>44901</v>
      </c>
      <c r="GP63" s="29">
        <f t="shared" si="37"/>
        <v>11.714285714285714</v>
      </c>
      <c r="GQ63" s="28" t="s">
        <v>880</v>
      </c>
      <c r="GR63" s="28" t="s">
        <v>869</v>
      </c>
      <c r="GS63" s="22" t="str">
        <f t="shared" si="206"/>
        <v>SE EXCLUYE INFECCION</v>
      </c>
      <c r="GT63" s="22">
        <v>44901</v>
      </c>
      <c r="GU63" s="29">
        <f t="shared" si="39"/>
        <v>11.714285714285714</v>
      </c>
      <c r="GV63" s="21" t="str">
        <f t="shared" si="40"/>
        <v>I TRIM</v>
      </c>
      <c r="GW63" s="28" t="s">
        <v>869</v>
      </c>
      <c r="GX63" s="30"/>
      <c r="GY63" s="21"/>
      <c r="GZ63" s="21"/>
      <c r="HA63" s="21"/>
      <c r="HB63" s="21"/>
      <c r="HC63" s="21"/>
      <c r="HD63" s="21"/>
      <c r="HE63" s="21"/>
      <c r="HF63" s="22"/>
      <c r="HG63" s="22" t="str">
        <f>IF(OR(O63&gt;0,R63&gt;0),CONCATENATE(IF(Tabla1[[#This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3" s="22" t="e">
        <f t="shared" si="41"/>
        <v>#REF!</v>
      </c>
      <c r="HI63" s="22" t="e">
        <f t="shared" ca="1" si="42"/>
        <v>#REF!</v>
      </c>
      <c r="HJ63" s="21"/>
      <c r="HK63" s="21" t="str">
        <f t="shared" si="44"/>
        <v>SIN ANTECEDENTES DE RIESGO</v>
      </c>
      <c r="HL63" s="24" t="str">
        <f t="shared" si="45"/>
        <v>APARENTEMENTE NORMAL</v>
      </c>
      <c r="HM63" s="21" t="str">
        <f t="shared" ca="1" si="46"/>
        <v/>
      </c>
      <c r="HN63" s="30" t="str">
        <f t="shared" si="207"/>
        <v>SALIO PROGRAMA</v>
      </c>
      <c r="HO63" s="21"/>
      <c r="HP63" s="21"/>
      <c r="HQ63" s="21">
        <v>44901</v>
      </c>
      <c r="HR63" s="21" t="str">
        <f>IF(R63="","",IF(Tabla1[[#This Row],[ALARMA FACTORES DE RIESGO COMPLICACIONES HIPERTENSIVAS3]]="SIN ANTECEDENTES DE RIESGO","No Aplica para suministro de ASA",IF(AND(Tabla1[[#This Row],[FECHA INICIO DE SUMINISTRO DE ASA]]&gt;0,RV63&lt;12),"Inicia ASA ANTES de Sem 12",IF(AND(RV63&gt;11,RV63&lt;17,OR(HK63="RIESGO ALTO DE COMPLICACIONES HIPERTENSIVAS VER MANEJO GUIA SUMINISTRO ASA Y CALCIO",HK63="RIESGO MODERADO (2 O MAS CRITERIOS) VER MANEJO GUIA SUMINISTRO ASA Y CALCIO")),"Inicio oportuno de ASA",IF(AND(RV63&gt;12,OR(HK63="RIESGO ALTO DE COMPLICACIONES HIPERTENSIVAS VER MANEJO GUIA SUMINISTRO ASA Y CALCIO",HK63="RIESGO MODERADO (2 O MAS CRITERIOS) VER MANEJO GUIA SUMINISTRO ASA Y CALCIO")),"Inicio no oportuno mayor a 16 semanas",IF(AND(BU63&lt;12,OR(HK63="RIESGO ALTO DE COMPLICACIONES HIPERTENSIVAS VER MANEJO GUIA SUMINISTRO ASA Y CALCIO",HK63="RIESGO MODERADO (2 O MAS CRITERIOS) VER MANEJO GUIA SUMINISTRO ASA Y CALCIO")),"Pendiente Inicio de ASA a la semana 12",IF(AND(BU63&gt;11,BU63&lt;17,OR(HK63="RIESGO ALTO DE COMPLICACIONES HIPERTENSIVAS VER MANEJO GUIA SUMINISTRO ASA Y CALCIO",HK63="RIESGO MODERADO (2 O MAS CRITERIOS) VER MANEJO GUIA SUMINISTRO ASA Y CALCIO")),"Iniciar de inmediato ASA",IF(AND(BU63&gt;16,OR(HK63="RIESGO ALTO DE COMPLICACIONES HIPERTENSIVAS VER MANEJO GUIA SUMINISTRO ASA Y CALCIO",HK63="RIESGO MODERADO (2 O MAS CRITERIOS) VER MANEJO GUIA SUMINISTRO ASA Y CALCIO")),"Pierde Oportunidad, Inicio tardío de ASA","XXXXX"))))))))</f>
        <v>No Aplica para suministro de ASA</v>
      </c>
      <c r="HS63" s="22">
        <v>44901</v>
      </c>
      <c r="HT63" s="22" t="s">
        <v>870</v>
      </c>
      <c r="HU63" s="22">
        <v>44938</v>
      </c>
      <c r="HV63" s="22" t="s">
        <v>870</v>
      </c>
      <c r="HW63" s="22">
        <v>44901</v>
      </c>
      <c r="HX63" s="22" t="s">
        <v>870</v>
      </c>
      <c r="HY63" s="22">
        <v>44880</v>
      </c>
      <c r="HZ63" s="28">
        <f t="shared" si="48"/>
        <v>8.7142857142857135</v>
      </c>
      <c r="IA63" s="26" t="s">
        <v>864</v>
      </c>
      <c r="IB63" s="26"/>
      <c r="IC63" s="111">
        <v>44918</v>
      </c>
      <c r="ID63" s="22"/>
      <c r="IE63" s="22" t="str">
        <f t="shared" ca="1" si="49"/>
        <v>SALE SIN VACUNA</v>
      </c>
      <c r="IF63" s="22"/>
      <c r="IG63" s="22">
        <f t="shared" si="50"/>
        <v>45099</v>
      </c>
      <c r="IH63" s="29">
        <f t="shared" ca="1" si="51"/>
        <v>-134</v>
      </c>
      <c r="II63" s="22" t="str">
        <f t="shared" ca="1" si="52"/>
        <v>POSIBLEMENTE NACIO</v>
      </c>
      <c r="IJ63" s="22"/>
      <c r="IK63" s="21" t="s">
        <v>898</v>
      </c>
      <c r="IL63" s="21"/>
      <c r="IM63" s="34"/>
      <c r="IN63" s="349">
        <v>45094</v>
      </c>
      <c r="IO63" s="21" t="s">
        <v>1640</v>
      </c>
      <c r="IP63" s="29">
        <f t="shared" si="208"/>
        <v>39.285714285714285</v>
      </c>
      <c r="IQ63" s="110"/>
      <c r="IR63" s="21" t="s">
        <v>879</v>
      </c>
      <c r="IS63" s="21" t="s">
        <v>1641</v>
      </c>
      <c r="IT63" s="21" t="s">
        <v>1642</v>
      </c>
      <c r="IU63" s="21"/>
      <c r="IV63" s="21"/>
      <c r="IW63" s="21"/>
      <c r="IX63" s="21"/>
      <c r="IY63" s="21"/>
      <c r="IZ63" s="21"/>
      <c r="JA63" s="21"/>
      <c r="JB63" s="30">
        <v>1</v>
      </c>
      <c r="JC63" s="21" t="s">
        <v>1647</v>
      </c>
      <c r="JD63" s="36">
        <v>3500</v>
      </c>
      <c r="JE63" s="21" t="str">
        <f t="shared" si="209"/>
        <v>PESO ADECUADO EDAD GESTACIONAL</v>
      </c>
      <c r="JF63" s="30"/>
      <c r="JG63" s="21"/>
      <c r="JH63" s="21"/>
      <c r="JI63" s="21"/>
      <c r="JJ63" s="30"/>
      <c r="JK63" s="22"/>
      <c r="JL63" s="22"/>
      <c r="JM63" s="21"/>
      <c r="JN63" s="36"/>
      <c r="JO63" s="21" t="str">
        <f t="shared" si="210"/>
        <v/>
      </c>
      <c r="JP63" s="22"/>
      <c r="JQ63" s="21"/>
      <c r="JR63" s="21"/>
      <c r="JS63" s="21"/>
      <c r="JT63" s="30"/>
      <c r="JU63" s="22"/>
      <c r="JV63" s="22"/>
      <c r="JW63" s="33"/>
      <c r="JX63" s="28" t="str">
        <f t="shared" si="211"/>
        <v>INASISTENTE</v>
      </c>
      <c r="JY63" s="33"/>
      <c r="JZ63" s="28" t="str">
        <f t="shared" si="212"/>
        <v>INASISTENTE</v>
      </c>
      <c r="KA63" s="21"/>
      <c r="KB63" s="21"/>
      <c r="KC63" s="21"/>
      <c r="KD63" s="37"/>
      <c r="KE63" s="28"/>
      <c r="KF63" s="28"/>
      <c r="KG63" s="28"/>
      <c r="KH63" s="39"/>
      <c r="KI63" s="39"/>
      <c r="KJ63" s="66"/>
      <c r="KK63" s="39"/>
      <c r="KL63" s="39"/>
      <c r="KM63" s="66"/>
      <c r="KN63" s="39"/>
      <c r="KO63" s="39"/>
      <c r="KP63" s="39"/>
      <c r="KQ63" s="39"/>
      <c r="KR63" s="39"/>
      <c r="KS63" s="39"/>
      <c r="KT63" s="39"/>
      <c r="KU63" s="38"/>
      <c r="KV63" s="38"/>
      <c r="KW63" s="38"/>
      <c r="KX63" s="38"/>
      <c r="KY63" s="38"/>
      <c r="KZ63" s="38"/>
      <c r="LA63" s="38"/>
      <c r="LB63" s="38"/>
      <c r="LC63" s="38"/>
      <c r="LD63" s="38"/>
      <c r="LE63" s="38"/>
      <c r="LF63" s="38"/>
      <c r="LG63" s="38"/>
      <c r="LH63" s="38"/>
      <c r="LI63" s="38"/>
      <c r="LJ63" s="38"/>
      <c r="LK63" s="38"/>
      <c r="LL63" s="38"/>
      <c r="LM63" s="38"/>
      <c r="LN63" s="38"/>
      <c r="LO63" s="38"/>
      <c r="LP63" s="38"/>
      <c r="LQ63" s="38"/>
      <c r="LR63" s="38"/>
      <c r="LS63" s="38"/>
      <c r="LT63" s="38"/>
      <c r="LU63" s="38"/>
      <c r="LV63" s="38"/>
      <c r="LW63" s="38"/>
      <c r="LX63" s="38"/>
      <c r="LY63" s="38"/>
      <c r="LZ63" s="38"/>
      <c r="MA63" s="38"/>
      <c r="MB63" s="38"/>
      <c r="MC63" s="38"/>
      <c r="MD63" s="38"/>
      <c r="ME63" s="38"/>
      <c r="MF63" s="38"/>
      <c r="MG63" s="38"/>
      <c r="MH63" s="43">
        <f t="shared" si="213"/>
        <v>0</v>
      </c>
      <c r="MI63" s="43" t="str">
        <f t="shared" si="214"/>
        <v/>
      </c>
      <c r="MJ63" s="43" t="str">
        <f t="shared" si="215"/>
        <v/>
      </c>
      <c r="MK63" s="43">
        <f t="shared" si="216"/>
        <v>0</v>
      </c>
      <c r="ML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3" s="43">
        <f t="shared" si="217"/>
        <v>11.714285714285714</v>
      </c>
      <c r="MN63" s="43">
        <f t="shared" si="218"/>
        <v>12</v>
      </c>
      <c r="MO63" s="43">
        <f t="shared" si="219"/>
        <v>2022</v>
      </c>
      <c r="MP63" s="43" t="str">
        <f t="shared" si="220"/>
        <v>IV TRIMESTRE AÑO</v>
      </c>
      <c r="MQ63" s="43">
        <f t="shared" si="221"/>
        <v>17.006132282084973</v>
      </c>
      <c r="MR63" s="43">
        <f t="shared" si="222"/>
        <v>0</v>
      </c>
      <c r="MS63" s="43" t="str">
        <f t="shared" si="223"/>
        <v>DE 14 A 19AÑOS</v>
      </c>
      <c r="MT63" s="43">
        <f t="shared" si="224"/>
        <v>0</v>
      </c>
      <c r="MU63" s="43">
        <f t="shared" si="225"/>
        <v>1</v>
      </c>
      <c r="MV63" s="43">
        <f t="shared" si="226"/>
        <v>0</v>
      </c>
      <c r="MW63" s="43">
        <f t="shared" si="227"/>
        <v>0</v>
      </c>
      <c r="MX63" s="43" t="str">
        <f t="shared" si="228"/>
        <v/>
      </c>
      <c r="MY63" s="43" t="str">
        <f t="shared" ca="1" si="229"/>
        <v/>
      </c>
      <c r="MZ63" s="43" t="str">
        <f t="shared" si="230"/>
        <v/>
      </c>
      <c r="NA63" s="43">
        <f t="shared" si="231"/>
        <v>0</v>
      </c>
      <c r="NB63" s="43" t="str">
        <f t="shared" si="232"/>
        <v/>
      </c>
      <c r="NC63" s="43" t="str">
        <f t="shared" si="233"/>
        <v/>
      </c>
      <c r="ND63" s="43">
        <f t="shared" ca="1" si="234"/>
        <v>1</v>
      </c>
      <c r="NE63" s="43">
        <f>IF(OR(O63&gt;0,R63&gt;0),SUM(COUNTIF(Tabla1[[#This Row],[AÑOS AL INICIO5 CPN]],"&gt;=40"),COUNTIF(AS63,"0"),COUNTIF(AR63,"SI"),COUNTIF(CC63,"SI"),COUNTIF(BQ63,"&gt;119"),COUNTIF(CI63,"&gt;=35")),"")</f>
        <v>1</v>
      </c>
      <c r="NF63" s="43" t="str">
        <f t="shared" si="235"/>
        <v/>
      </c>
      <c r="NG63" s="43">
        <f t="shared" si="236"/>
        <v>0</v>
      </c>
      <c r="NH63" s="43">
        <f t="shared" si="237"/>
        <v>98.7</v>
      </c>
      <c r="NI6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CPN",P63="NO"),"Z",IF(AND(Tabla1[[#This Row],[CITA PROXIMO CONTROL]]="CITA MANUAL",Tabla1[[#This Row],[GESTANTES ACTUALES]]="ACTIVA INGRESO A CPN"),"W",IF(AND(Tabla1[[#This Row],[GESTANTES ACTUALES]]="SALIO PROGRAMA",IN63=""),"S",IF(AND(Tabla1[[#This Row],[CITA PROXIMO CONTROL]]&gt;0,IN63=""),(Tabla1[[#This Row],[CITA PROXIMO CONTROL]]-TODAY()),"SD"))))))))</f>
        <v>SD</v>
      </c>
      <c r="NJ63" s="43">
        <f>MONTH(Tabla1[[#This Row],[FECHA DE SALIDA  DEL PROGRAMA]])</f>
        <v>6</v>
      </c>
      <c r="NK63" s="43">
        <f>YEAR(Tabla1[[#This Row],[FECHA DE SALIDA  DEL PROGRAMA]])</f>
        <v>2023</v>
      </c>
      <c r="NL63" s="43" t="str">
        <f t="shared" si="238"/>
        <v>X</v>
      </c>
      <c r="NM63" s="43" t="str">
        <f t="shared" si="251"/>
        <v>NO</v>
      </c>
      <c r="NN63" s="43" t="str">
        <f ca="1">IF(AND(O63&gt;0,R63=""),"NO CPN",IF(AND(O63="",R63=""),"",IF(AND(R63&gt;0,Tabla1[[#This Row],[SEMANAS DE GESTACION ACTUALIZADAS]]&lt;=12),"NO APLICA",IF(AND(FH63&lt;&gt;"",FN63&lt;&gt;""),"SI","NO"))))</f>
        <v>NO</v>
      </c>
      <c r="NO63" s="43" t="str">
        <f ca="1">IF(AND(O63&gt;0,R63=""),"NO CPN",IF(AND(O63="",R63=""),"",IF(AND(R63&gt;0,Tabla1[[#This Row],[SEMANAS DE GESTACION ACTUALIZADAS]]&lt;=27),"NO APLICA",IF(AND(ES63&lt;&gt;"",FQ63&lt;&gt;"",GF63&lt;&gt;""),"SI","NO"))))</f>
        <v>NO</v>
      </c>
      <c r="NP63" s="204" t="str">
        <f t="shared" si="240"/>
        <v>I TRIM</v>
      </c>
      <c r="NQ63" s="21" t="str">
        <f t="shared" si="241"/>
        <v/>
      </c>
      <c r="NR63" s="21">
        <f t="shared" si="242"/>
        <v>3</v>
      </c>
      <c r="NS63" s="205">
        <f t="shared" ca="1" si="243"/>
        <v>0</v>
      </c>
      <c r="NT63" s="21">
        <f t="shared" ca="1" si="244"/>
        <v>1</v>
      </c>
      <c r="NU63" s="21" t="str">
        <f t="shared" ca="1" si="245"/>
        <v>INCOMPLETO</v>
      </c>
      <c r="NV63" s="21" t="str">
        <f t="shared" ca="1" si="246"/>
        <v>INCOMPLETO</v>
      </c>
      <c r="NW63" s="206" t="str">
        <f>IF(AND(O63="",R63=""),"",IF(OR(AND(Tabla1[[#This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3" s="207" t="str">
        <f t="shared" ca="1" si="247"/>
        <v>SIN VACUNAR</v>
      </c>
      <c r="NY63" s="43">
        <f>ROW(Tabla1[[#This Row],['# DE TAMIZAJES SIFILIS TOMADOS ]])</f>
        <v>63</v>
      </c>
      <c r="NZ63" s="43">
        <f t="shared" si="93"/>
        <v>11</v>
      </c>
      <c r="OA63" s="43" t="str">
        <f t="shared" si="94"/>
        <v/>
      </c>
      <c r="OB63" s="43" t="str">
        <f t="shared" si="95"/>
        <v/>
      </c>
      <c r="OC63" s="43" t="str">
        <f t="shared" si="96"/>
        <v>NORMAL</v>
      </c>
      <c r="OD63" s="43" t="str">
        <f t="shared" si="97"/>
        <v/>
      </c>
      <c r="OE63" s="43" t="str">
        <f t="shared" si="98"/>
        <v/>
      </c>
      <c r="OF63" s="43" t="str">
        <f t="shared" si="99"/>
        <v/>
      </c>
      <c r="OG63" s="43" t="str">
        <f t="shared" si="100"/>
        <v/>
      </c>
      <c r="OH63" s="43" t="str">
        <f t="shared" si="101"/>
        <v/>
      </c>
      <c r="OI63" s="43" t="str">
        <f t="shared" si="102"/>
        <v/>
      </c>
      <c r="OJ63" s="43" t="str">
        <f t="shared" si="103"/>
        <v/>
      </c>
      <c r="OK63" s="43" t="str">
        <f t="shared" si="104"/>
        <v/>
      </c>
      <c r="OL63" s="43" t="str">
        <f t="shared" si="105"/>
        <v/>
      </c>
      <c r="OM63" s="43" t="str">
        <f t="shared" si="106"/>
        <v/>
      </c>
      <c r="ON63" s="43" t="str">
        <f t="shared" si="107"/>
        <v/>
      </c>
      <c r="OO63" s="43" t="str">
        <f t="shared" si="108"/>
        <v/>
      </c>
      <c r="OP63" s="43" t="str">
        <f t="shared" si="109"/>
        <v/>
      </c>
      <c r="OQ63" s="43" t="str">
        <f t="shared" si="110"/>
        <v/>
      </c>
      <c r="OR63" s="43" t="str">
        <f t="shared" si="111"/>
        <v/>
      </c>
      <c r="OS63" s="43" t="str">
        <f t="shared" si="112"/>
        <v/>
      </c>
      <c r="OT63" s="43" t="str">
        <f t="shared" si="113"/>
        <v/>
      </c>
      <c r="OU63" s="43" t="str">
        <f t="shared" si="114"/>
        <v/>
      </c>
      <c r="OV63" s="110" t="str">
        <f t="shared" si="115"/>
        <v/>
      </c>
      <c r="OW63" s="43" t="str">
        <f t="shared" si="116"/>
        <v/>
      </c>
      <c r="OX63" s="43" t="str">
        <f t="shared" si="117"/>
        <v/>
      </c>
      <c r="OY63" s="43" t="str">
        <f t="shared" si="118"/>
        <v/>
      </c>
      <c r="OZ63" s="43" t="str">
        <f t="shared" si="119"/>
        <v/>
      </c>
      <c r="PA63" s="43" t="str">
        <f t="shared" si="120"/>
        <v/>
      </c>
      <c r="PB63" s="43" t="str">
        <f t="shared" si="121"/>
        <v/>
      </c>
      <c r="PC63" s="43" t="str">
        <f t="shared" si="122"/>
        <v/>
      </c>
      <c r="PD63" s="43" t="str">
        <f t="shared" si="123"/>
        <v/>
      </c>
      <c r="PE63" s="43" t="str">
        <f t="shared" si="124"/>
        <v/>
      </c>
      <c r="PF63" s="43" t="str">
        <f t="shared" si="125"/>
        <v/>
      </c>
      <c r="PG63" s="43" t="str">
        <f t="shared" si="126"/>
        <v/>
      </c>
      <c r="PH63" s="43" t="str">
        <f t="shared" si="127"/>
        <v/>
      </c>
      <c r="PI63" s="43">
        <f t="shared" si="128"/>
        <v>32</v>
      </c>
      <c r="PJ63" s="43" t="str">
        <f t="shared" si="129"/>
        <v/>
      </c>
      <c r="PK63" s="43" t="str">
        <f t="shared" si="130"/>
        <v/>
      </c>
      <c r="PL63" s="43" t="str">
        <f t="shared" si="131"/>
        <v/>
      </c>
      <c r="PM63" s="43" t="str">
        <f t="shared" si="132"/>
        <v/>
      </c>
      <c r="PN63" s="43" t="str">
        <f t="shared" si="133"/>
        <v/>
      </c>
      <c r="PO63" s="43" t="str">
        <f t="shared" si="134"/>
        <v/>
      </c>
      <c r="PP63" s="43" t="str">
        <f t="shared" si="135"/>
        <v/>
      </c>
      <c r="PQ63" s="43" t="str">
        <f t="shared" si="136"/>
        <v/>
      </c>
      <c r="PR63" s="43" t="str">
        <f t="shared" si="137"/>
        <v/>
      </c>
      <c r="PS63" s="43" t="str">
        <f t="shared" si="138"/>
        <v/>
      </c>
      <c r="PT63" s="43" t="str">
        <f t="shared" si="139"/>
        <v/>
      </c>
      <c r="PU63" s="43" t="str">
        <f t="shared" si="140"/>
        <v/>
      </c>
      <c r="PV63" s="43" t="str">
        <f t="shared" si="141"/>
        <v/>
      </c>
      <c r="PW63" s="43" t="str">
        <f t="shared" si="142"/>
        <v/>
      </c>
      <c r="PX63" s="43" t="str">
        <f t="shared" si="143"/>
        <v/>
      </c>
      <c r="PY63" s="43" t="str">
        <f t="shared" si="144"/>
        <v/>
      </c>
      <c r="PZ63" s="43" t="str">
        <f t="shared" si="145"/>
        <v/>
      </c>
      <c r="QA63" s="43" t="str">
        <f t="shared" si="146"/>
        <v/>
      </c>
      <c r="QB63" s="43" t="str">
        <f t="shared" si="147"/>
        <v/>
      </c>
      <c r="QC63" s="43" t="str">
        <f t="shared" si="148"/>
        <v/>
      </c>
      <c r="QD63" s="43" t="str">
        <f t="shared" si="149"/>
        <v/>
      </c>
      <c r="QE63" s="43" t="str">
        <f t="shared" si="150"/>
        <v/>
      </c>
      <c r="QF63" s="43" t="str">
        <f t="shared" si="151"/>
        <v/>
      </c>
      <c r="QG63" s="43" t="str">
        <f t="shared" si="152"/>
        <v>SOBREPESO</v>
      </c>
      <c r="QH63" s="43" t="str">
        <f t="shared" si="153"/>
        <v/>
      </c>
      <c r="QI63" s="43" t="str">
        <f t="shared" si="154"/>
        <v/>
      </c>
      <c r="QJ63" s="43" t="str">
        <f t="shared" si="155"/>
        <v/>
      </c>
      <c r="QK63" s="43" t="str">
        <f t="shared" si="156"/>
        <v/>
      </c>
      <c r="QL63" s="43" t="str">
        <f t="shared" si="157"/>
        <v/>
      </c>
      <c r="QM63" s="43" t="str">
        <f t="shared" si="158"/>
        <v/>
      </c>
      <c r="QN63" s="43" t="str">
        <f t="shared" si="159"/>
        <v/>
      </c>
      <c r="QO63" s="43" t="str">
        <f t="shared" si="160"/>
        <v/>
      </c>
      <c r="QP63" s="43" t="str">
        <f t="shared" si="161"/>
        <v/>
      </c>
      <c r="QQ63" s="43" t="str">
        <f t="shared" si="162"/>
        <v/>
      </c>
      <c r="QR63" s="43">
        <f t="shared" si="192"/>
        <v>32</v>
      </c>
      <c r="QS63" s="43"/>
      <c r="QT63" s="21" t="str">
        <f t="shared" si="163"/>
        <v/>
      </c>
      <c r="QU63" s="21" t="str">
        <f t="shared" si="164"/>
        <v/>
      </c>
      <c r="QV63" s="21" t="str">
        <f t="shared" si="165"/>
        <v/>
      </c>
      <c r="QW63" s="21" t="str">
        <f t="shared" si="166"/>
        <v/>
      </c>
      <c r="QX63" s="21" t="str">
        <f t="shared" si="167"/>
        <v/>
      </c>
      <c r="QY63" s="21" t="str">
        <f t="shared" si="168"/>
        <v/>
      </c>
      <c r="QZ63" s="21" t="str">
        <f t="shared" si="169"/>
        <v/>
      </c>
      <c r="RA63" s="21" t="str">
        <f t="shared" si="170"/>
        <v/>
      </c>
      <c r="RB63" s="21" t="str">
        <f t="shared" si="171"/>
        <v/>
      </c>
      <c r="RC63" s="21" t="str">
        <f t="shared" si="172"/>
        <v/>
      </c>
      <c r="RD63" s="21" t="str">
        <f t="shared" si="173"/>
        <v/>
      </c>
      <c r="RE63" s="21" t="str">
        <f t="shared" si="174"/>
        <v/>
      </c>
      <c r="RF63" s="21" t="str">
        <f t="shared" si="175"/>
        <v/>
      </c>
      <c r="RG63" s="21" t="str">
        <f t="shared" si="176"/>
        <v/>
      </c>
      <c r="RH63" s="21" t="str">
        <f t="shared" si="177"/>
        <v/>
      </c>
      <c r="RI63" s="21" t="str">
        <f t="shared" si="178"/>
        <v/>
      </c>
      <c r="RJ63" s="21" t="str">
        <f t="shared" si="179"/>
        <v/>
      </c>
      <c r="RK63" s="21" t="str">
        <f t="shared" si="180"/>
        <v/>
      </c>
      <c r="RL63" s="21" t="str">
        <f t="shared" si="181"/>
        <v/>
      </c>
      <c r="RM63" s="21" t="str">
        <f t="shared" si="182"/>
        <v>ALTO PARA EDAD GESTACIONAL</v>
      </c>
      <c r="RN63" s="21" t="str">
        <f t="shared" si="183"/>
        <v/>
      </c>
      <c r="RO63" s="21" t="str">
        <f t="shared" si="184"/>
        <v/>
      </c>
      <c r="RP63" s="21" t="str">
        <f t="shared" si="185"/>
        <v/>
      </c>
      <c r="RQ63" s="21" t="str">
        <f t="shared" si="186"/>
        <v/>
      </c>
      <c r="RR63" s="21" t="str">
        <f t="shared" si="187"/>
        <v/>
      </c>
      <c r="RS63" s="21" t="str">
        <f t="shared" si="188"/>
        <v/>
      </c>
      <c r="RT63" s="21" t="str">
        <f t="shared" si="189"/>
        <v/>
      </c>
      <c r="RU63" s="21" t="str">
        <f t="shared" si="190"/>
        <v/>
      </c>
      <c r="RV63" s="21">
        <f t="shared" si="191"/>
        <v>11.714285714285714</v>
      </c>
      <c r="RW63" s="284">
        <f>IF(OR(Tabla1[[#This Row],[FUM FORMULA CONFIABLE]]="",Tabla1[[#This Row],[FUM FORMULA CONFIABLE]]="SD"),"",IF(Tabla1[[#This Row],[FUM FORMULA CONFIABLE]]="CORREGIDA",Tabla1[[#This Row],[FUM X ECO 1]],Tabla1[[#This Row],[FUM x AMENORREA]]))</f>
        <v>44819</v>
      </c>
      <c r="RX63" s="21">
        <f>IF(AND(Tabla1[[#This Row],[FUM X ECO 1]]="",Tabla1[[#This Row],[FUM x AMENORREA]]=""),"",IF(AND(Tabla1[[#This Row],[FUM X ECO 1]]="",Tabla1[[#This Row],[FUM x AMENORREA]]&lt;&gt;""),"X",SUM(Tabla1[[#This Row],[FUM X ECO 1]]-Tabla1[[#This Row],[FUM x AMENORREA]])))</f>
        <v>-29.69999999999709</v>
      </c>
      <c r="RY63" s="21">
        <f t="shared" si="193"/>
        <v>1</v>
      </c>
    </row>
    <row r="64" spans="1:493" ht="45" customHeight="1" x14ac:dyDescent="0.25">
      <c r="A64" s="109" t="s">
        <v>1625</v>
      </c>
      <c r="B64" s="43"/>
      <c r="C64" s="43" t="s">
        <v>845</v>
      </c>
      <c r="D64" s="124" t="s">
        <v>846</v>
      </c>
      <c r="E64" s="43" t="s">
        <v>974</v>
      </c>
      <c r="F64" s="43" t="s">
        <v>1144</v>
      </c>
      <c r="G64" s="43" t="s">
        <v>1192</v>
      </c>
      <c r="H64" s="43" t="s">
        <v>1193</v>
      </c>
      <c r="I64" s="109" t="s">
        <v>1094</v>
      </c>
      <c r="J64" s="110">
        <v>1059595334</v>
      </c>
      <c r="K64" s="43" t="s">
        <v>852</v>
      </c>
      <c r="L64" s="175" t="s">
        <v>886</v>
      </c>
      <c r="M64" s="22">
        <v>38344</v>
      </c>
      <c r="N64" s="213">
        <f t="shared" ca="1" si="0"/>
        <v>18.873972602739727</v>
      </c>
      <c r="O64" s="22">
        <v>45111</v>
      </c>
      <c r="P64" s="214" t="str">
        <f t="shared" si="194"/>
        <v>SI</v>
      </c>
      <c r="Q64" s="26" t="s">
        <v>855</v>
      </c>
      <c r="R64" s="22">
        <v>45111</v>
      </c>
      <c r="S64" s="21" t="s">
        <v>856</v>
      </c>
      <c r="T64" s="24" t="s">
        <v>690</v>
      </c>
      <c r="U64" s="21" t="s">
        <v>964</v>
      </c>
      <c r="V64" s="21" t="s">
        <v>858</v>
      </c>
      <c r="W64" s="21" t="s">
        <v>1194</v>
      </c>
      <c r="X64" s="21" t="s">
        <v>1195</v>
      </c>
      <c r="Y64" s="21" t="s">
        <v>859</v>
      </c>
      <c r="Z64" s="21" t="s">
        <v>1567</v>
      </c>
      <c r="AA64" s="21" t="s">
        <v>860</v>
      </c>
      <c r="AB64" s="27" t="s">
        <v>861</v>
      </c>
      <c r="AC64" s="26" t="s">
        <v>897</v>
      </c>
      <c r="AD64" s="38" t="s">
        <v>1546</v>
      </c>
      <c r="AE64" s="26" t="s">
        <v>854</v>
      </c>
      <c r="AF64" s="26" t="s">
        <v>854</v>
      </c>
      <c r="AG64" s="23" t="s">
        <v>864</v>
      </c>
      <c r="AH64" s="23" t="s">
        <v>864</v>
      </c>
      <c r="AI64" s="24" t="s">
        <v>863</v>
      </c>
      <c r="AJ64" s="23" t="s">
        <v>864</v>
      </c>
      <c r="AK64" s="220" t="str">
        <f>IF(AND(AD64="",AE64="",AF64="",AG64="",AH64="",AI64="",AJ64=""),"",IF(OR(Tabla1[[#This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EVALUACIÓN",IF(AND(O64="",R64=""),"",IF(AND(OR(O64&gt;0,R64&gt;0),NG64&gt;=0,NG64&lt;2),"SIN RIESGO",IF(AND(OR(O64&gt;0,R64&gt;0),NG64&gt;=2),"CON RIESGO","ASD")))))</f>
        <v>SIN RIESGO</v>
      </c>
      <c r="AL64" s="23" t="s">
        <v>854</v>
      </c>
      <c r="AM64" s="26" t="s">
        <v>864</v>
      </c>
      <c r="AN64" s="26" t="s">
        <v>864</v>
      </c>
      <c r="AO64" s="26" t="s">
        <v>864</v>
      </c>
      <c r="AP64" s="26" t="s">
        <v>864</v>
      </c>
      <c r="AQ64" s="26" t="s">
        <v>864</v>
      </c>
      <c r="AR64" s="26" t="s">
        <v>864</v>
      </c>
      <c r="AS64" s="21">
        <v>2</v>
      </c>
      <c r="AT64" s="21">
        <v>1</v>
      </c>
      <c r="AU64" s="21">
        <v>1</v>
      </c>
      <c r="AV64" s="26" t="s">
        <v>864</v>
      </c>
      <c r="AW64" s="21">
        <v>0</v>
      </c>
      <c r="AX64" s="26" t="s">
        <v>854</v>
      </c>
      <c r="AY64" s="26" t="s">
        <v>864</v>
      </c>
      <c r="AZ64" s="26" t="s">
        <v>864</v>
      </c>
      <c r="BA64" s="26" t="s">
        <v>864</v>
      </c>
      <c r="BB64" s="26" t="s">
        <v>864</v>
      </c>
      <c r="BC64" s="26" t="s">
        <v>864</v>
      </c>
      <c r="BD64" s="26" t="s">
        <v>864</v>
      </c>
      <c r="BE64" s="26" t="s">
        <v>864</v>
      </c>
      <c r="BF64" s="26" t="s">
        <v>864</v>
      </c>
      <c r="BG64" s="26" t="s">
        <v>864</v>
      </c>
      <c r="BH64" s="26" t="s">
        <v>864</v>
      </c>
      <c r="BI64" s="26" t="s">
        <v>864</v>
      </c>
      <c r="BJ64" s="26" t="s">
        <v>864</v>
      </c>
      <c r="BK64" s="26" t="s">
        <v>864</v>
      </c>
      <c r="BL64" s="26" t="s">
        <v>864</v>
      </c>
      <c r="BM64" s="26" t="s">
        <v>864</v>
      </c>
      <c r="BN64" s="22">
        <v>43661</v>
      </c>
      <c r="BO64" s="22">
        <v>45073</v>
      </c>
      <c r="BP64" s="21" t="s">
        <v>864</v>
      </c>
      <c r="BQ64" s="222">
        <f t="shared" si="2"/>
        <v>47.06666666666667</v>
      </c>
      <c r="BR64" s="223">
        <f t="shared" si="3"/>
        <v>45069.2</v>
      </c>
      <c r="BS64" s="224">
        <f t="shared" si="4"/>
        <v>5.4285714285714288</v>
      </c>
      <c r="BT64" s="216" t="str">
        <f t="shared" si="5"/>
        <v>DEFINIR CON ECO</v>
      </c>
      <c r="BU64" s="214">
        <f t="shared" ca="1" si="6"/>
        <v>22.857142857142858</v>
      </c>
      <c r="BV64" s="25" t="s">
        <v>1478</v>
      </c>
      <c r="BW64" s="22">
        <v>45121</v>
      </c>
      <c r="BX64" s="28">
        <v>7.4</v>
      </c>
      <c r="BY64" s="28"/>
      <c r="BZ64" s="22"/>
      <c r="CA64" s="21"/>
      <c r="CB64" s="26"/>
      <c r="CC64" s="26"/>
      <c r="CD64" s="26"/>
      <c r="CE64" s="26"/>
      <c r="CF64" s="22" t="s">
        <v>1517</v>
      </c>
      <c r="CG64" s="21">
        <v>1.57</v>
      </c>
      <c r="CH64" s="21">
        <v>69.3</v>
      </c>
      <c r="CI64" s="214">
        <f t="shared" si="7"/>
        <v>28.114730820722947</v>
      </c>
      <c r="CJ64" s="225" t="str">
        <f>IF(AND(CI64&lt;10,CH64="SD"),"SIN DATO PESO PREGESTACION O I TRIM",IF(AND(OR(R64&gt;0,O64&gt;0),CI64="X"),"INGRESAR DATO DE PESO",IF(CI64="SD","INGRESAR DATO DE TALLA Y PESO",IF(AND(OR(Tabla1[[#This Row],[MOMENTO EN QUE SE REALIZA EL PESO AL INGRESO A CPN]]="PREGESTACIÓN",NZ64="Menor"),CI64&lt;18.5),"BAJO PESO",IF(AND(OR(Tabla1[[#This Row],[MOMENTO EN QUE SE REALIZA EL PESO AL INGRESO A CPN]]="PREGESTACIÓN",NZ64="Menor"),CI64&lt;25),"NORMAL",IF(AND(OR(Tabla1[[#This Row],[MOMENTO EN QUE SE REALIZA EL PESO AL INGRESO A CPN]]="PREGESTACIÓN",NZ64="Menor"),CI64&lt;30),"SOBREPESO",IF(AND(OR(Tabla1[[#This Row],[MOMENTO EN QUE SE REALIZA EL PESO AL INGRESO A CPN]]="PREGESTACIÓN",NZ64="Menor"),CI64&gt;=30,CI64&lt;50),"OBESIDAD",IF(AND(BS64&gt;0,Tabla1[[#This Row],[MOMENTO EN QUE SE REALIZA EL PESO AL INGRESO A CPN]]="GESTACIÓN"),HLOOKUP(NZ64,$OA$2:PH64,NY64),""))))))))</f>
        <v>SOBREPESO</v>
      </c>
      <c r="CK64" s="212">
        <f t="shared" si="8"/>
        <v>45143</v>
      </c>
      <c r="CL64" s="21">
        <v>59.1</v>
      </c>
      <c r="CM64" s="214">
        <f t="shared" si="9"/>
        <v>23.976631912045114</v>
      </c>
      <c r="CN64" s="216">
        <f t="shared" si="10"/>
        <v>10</v>
      </c>
      <c r="CO64" s="216" t="e">
        <f>IF(PI64="","",IF(PI64&gt;0,HLOOKUP(PI64,$PJ$2:QQ64,NY64),""))</f>
        <v>#REF!</v>
      </c>
      <c r="CP64" s="21"/>
      <c r="CQ64" s="216" t="str">
        <f>IF(QR64="Menor","NO APLICA-MENOR 13 SEM",IF(AND(CC64="SI",CN64&gt;23),"NO APLICA- GEMELAR",IF(QR64="","",IF(QR64&gt;0,HLOOKUP(QR64,$QS$2:RU64,NY64),""))))</f>
        <v>NO APLICA-MENOR 13 SEM</v>
      </c>
      <c r="CR64" s="21">
        <v>90</v>
      </c>
      <c r="CS64" s="21">
        <v>60</v>
      </c>
      <c r="CT64" s="217" t="str">
        <f>IF(R64="","",IF(AND(BS64&gt;1,BS64&lt;12,Tabla1[[#This Row],[T.A. SISTOLICA - ANTES DE SEMANA 12]]="",Tabla1[[#This Row],[T.A. DIASTOLICA - ANTES DE SEMANA 12]]=""),"REGISTRE DATO TA ANTES SEMANA 12",IF(AND(BS64&gt;11,BS64&lt;43,Tabla1[[#This Row],[T.A. SISTOLICA - ANTES DE SEMANA 12]]="",Tabla1[[#This Row],[T.A. DIASTOLICA - ANTES DE SEMANA 12]]=""),"NO APLICA REGISTRO TA-INGRESO TARDIO",IF(AND(OR(O64&gt;0,R64&gt;0),OR(CR64&gt;=140,CS64&gt;=90)),"DEFINIR ESTADIO HTA",IF(AND(OR(O64&gt;0,R64&gt;0),AND(CR64&gt;120,CR64&lt;=139)),"PRE HTA SEGUIMIENTO",IF(AND(OR(O64&gt;0,R64&gt;0),AND(CS64&gt;80,CS64&lt;=89)),"PRE HTA SEGUIMIENTO",IF(AND(OR(O64&gt;0,R64&gt;0),AND(CR64&gt;=80,CR64&lt;=120)),"APARENTEMENTE NORMAL",IF(AND(OR(O64&gt;0,R64&gt;0),AND(CS64&gt;=50,CS64&lt;=80)),"APARENTEMENTE NORMAL",IF(AND(OR(O64&gt;0,R64&gt;0),AND(CR64&gt;1,CR64&lt;=70),AND(CS64&gt;1,CS64&lt;=40)),"HIPOTENSIÓN","")))))))))</f>
        <v>APARENTEMENTE NORMAL</v>
      </c>
      <c r="CU64" s="21"/>
      <c r="CV64" s="21"/>
      <c r="CW64" s="217" t="str">
        <f ca="1">IF(R64="","",IF(AND(CN64&gt;19,CN64&lt;27,Tabla1[[#This Row],[T.A. SISTOLICA (Entre semana 20 y 26)]]="",Tabla1[[#This Row],[T.A. DIATOLICA (Entre semana 20 y 26)]]=""),"ACUDE A CONTROL SEM 20 A 26 REGISTRE TA AHORA",IF(AND(BS64&gt;1,BS64&lt;27,BU64&gt;19,Tabla1[[#This Row],[T.A. SISTOLICA (Entre semana 20 y 26)]]="",Tabla1[[#This Row],[T.A. DIATOLICA (Entre semana 20 y 26)]]=""),"COMPLETE REGISTRO TA CONTROL SEM 20 A26 ",IF(AND(BS64&gt;26,BS64&lt;43,Tabla1[[#This Row],[T.A. SISTOLICA (Entre semana 20 y 26)]]="",Tabla1[[#This Row],[T.A. DIATOLICA (Entre semana 20 y 26)]]=""),"NO APLICA REGISTRO TA-INGRESO TARDIO",IF(AND(OR(O64&gt;0,R64&gt;0),OR(CU64&gt;=140,CV64&gt;=90)),"ALTO RIESGO PREECLAMPSIA,DEFINIR ESTADIO HTA",IF(AND(OR(O64&gt;0,R64&gt;0),AND(CU64&gt;120,CU64&lt;=139)),"PRE HTA SEGUIMIENTO,RIESGO HIPERTENSION INDUCIDA POR EL EMBARAZO",IF(AND(OR(O64&gt;0,R64&gt;0),AND(CV64&gt;80,CV64&lt;=89)),"PRE HTA SEGUIMIENTO, RIESGO HIPERTENSION INDUCIDA POR EL EMBARAZO",IF(AND(OR(O64&lt;&gt;"",R64&lt;&gt;""),CS64&lt;&gt;"",CV64&lt;&gt;"",CS64&lt;=CV64),"VIGILAR CIFRAS PRESION ARTERIAL",IF(AND(OR(O64&gt;0,R64&gt;0),AND(CU64&gt;120,CU64&lt;=139)),"PRE HTA SEGUIMIENTO",IF(AND(OR(O64&gt;0,R64&gt;0),AND(CU64&gt;1,CU64&lt;=70),AND(CV64&gt;1,CV64&lt;=40)),"HIPOTENSIÓN",IF(AND(OR(O64&lt;&gt;"",R64&lt;&gt;""),CS64&lt;&gt;"",CV64&lt;&gt;"",CS64&gt;CV64),"APARENTEMENTE NORMAL",IF(AND(OR(O64&gt;0,R64&gt;0),AND(CU64&gt;=80,CU64&lt;=120)),"APARENTEMENTE NORMAL",IF(AND(OR(O64&gt;0,R64&gt;0),AND(CV64&gt;=50,CV64&lt;=80)),"APARENTEMENTE NORMAL","")))))))))))))</f>
        <v xml:space="preserve">COMPLETE REGISTRO TA CONTROL SEM 20 A26 </v>
      </c>
      <c r="CX64" s="21"/>
      <c r="CY64" s="21"/>
      <c r="CZ64" s="216" t="str">
        <f t="shared" si="195"/>
        <v/>
      </c>
      <c r="DA64" s="21">
        <v>90</v>
      </c>
      <c r="DB64" s="21">
        <v>60</v>
      </c>
      <c r="DC64" s="217" t="str">
        <f t="shared" si="12"/>
        <v>APARENTEMENTE NORMAL</v>
      </c>
      <c r="DD64" s="22">
        <v>45111</v>
      </c>
      <c r="DE64" s="22">
        <v>45111</v>
      </c>
      <c r="DF64" s="22">
        <v>45143</v>
      </c>
      <c r="DG64" s="22"/>
      <c r="DH64" s="22"/>
      <c r="DI64" s="22"/>
      <c r="DJ64" s="22"/>
      <c r="DK64" s="22"/>
      <c r="DL64" s="22"/>
      <c r="DM64" s="22"/>
      <c r="DN64" s="22"/>
      <c r="DO64" s="22"/>
      <c r="DP64" s="22"/>
      <c r="DQ64" s="22"/>
      <c r="DR64" s="28">
        <v>1</v>
      </c>
      <c r="DS64" s="22"/>
      <c r="DT64" s="22"/>
      <c r="DU64" s="216" t="str">
        <f t="shared" ca="1" si="196"/>
        <v>EN ESPERA</v>
      </c>
      <c r="DV64" s="226" t="str">
        <f t="shared" si="197"/>
        <v>ACTIVA INGRESO A CPN</v>
      </c>
      <c r="DW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64" s="216" t="e">
        <f t="shared" ca="1" si="15"/>
        <v>#REF!</v>
      </c>
      <c r="DY64" s="212">
        <f>IF(R64="","",IF(R64&gt;0,MAX(Tabla1[[#This Row],[FECHA C2]:[FECHA C13]],Tabla1[[#This Row],[FECHA CONSULTA PRIMERA VEZ PROGRAMA CPN ]])))</f>
        <v>45143</v>
      </c>
      <c r="DZ64" s="216">
        <f t="shared" si="16"/>
        <v>10</v>
      </c>
      <c r="EA64" s="222">
        <f>IF(R64&gt;0,SUM(COUNTA(DF64:DQ64)+COUNTA(Tabla1[[#This Row],[FECHA CONSULTA PRIMERA VEZ PROGRAMA CPN ]])),"")</f>
        <v>2</v>
      </c>
      <c r="EB64" s="222" t="str">
        <f t="shared" si="17"/>
        <v>NO</v>
      </c>
      <c r="EC64" s="214">
        <f t="shared" si="18"/>
        <v>10</v>
      </c>
      <c r="ED64" s="227">
        <f t="shared" si="19"/>
        <v>0.2</v>
      </c>
      <c r="EE64" s="212">
        <f>IF(X64="","",IF(X64&gt;0,MAX(Tabla1[[#This Row],[FECHA C2]:[FECHA C13]],Tabla1[[#This Row],[FECHA CONSULTA PRIMERA VEZ PROGRAMA CPN ]])))</f>
        <v>45143</v>
      </c>
      <c r="EF64" s="22"/>
      <c r="EG64" s="212">
        <f>IF(Z64="","",IF(Z64&gt;0,MAX(Tabla1[[#This Row],[FECHA C2]:[FECHA C13]],Tabla1[[#This Row],[FECHA CONSULTA PRIMERA VEZ PROGRAMA CPN ]])))</f>
        <v>45143</v>
      </c>
      <c r="EH64" s="22"/>
      <c r="EI64" s="212">
        <f>IF(AB64="","",IF(AB64&gt;0,MAX(Tabla1[[#This Row],[FECHA C2]:[FECHA C13]],Tabla1[[#This Row],[FECHA CONSULTA PRIMERA VEZ PROGRAMA CPN ]])))</f>
        <v>45143</v>
      </c>
      <c r="EJ64" s="22"/>
      <c r="EK64" s="22"/>
      <c r="EL64" s="21"/>
      <c r="EM64" s="21">
        <v>15</v>
      </c>
      <c r="EN64" s="22">
        <v>45121</v>
      </c>
      <c r="EO64" s="222">
        <f t="shared" si="20"/>
        <v>6.8571428571428568</v>
      </c>
      <c r="EP64" s="214" t="str">
        <f t="shared" si="21"/>
        <v>NO DAR SULFATO FERROSO</v>
      </c>
      <c r="EQ64" s="216" t="str">
        <f t="shared" si="22"/>
        <v>I TRIM</v>
      </c>
      <c r="ER64" s="24"/>
      <c r="ES64" s="22"/>
      <c r="ET64" s="29" t="str">
        <f t="shared" ca="1" si="198"/>
        <v>EN ESPERA PARA TOMA EXAMEN</v>
      </c>
      <c r="EU64" s="25" t="str">
        <f t="shared" si="24"/>
        <v/>
      </c>
      <c r="EV64" s="24" t="s">
        <v>1510</v>
      </c>
      <c r="EW64" s="32">
        <v>45121</v>
      </c>
      <c r="EX64" s="22"/>
      <c r="EY64" s="29">
        <f t="shared" si="248"/>
        <v>6.8571428571428568</v>
      </c>
      <c r="EZ64" s="25" t="str">
        <f t="shared" si="249"/>
        <v>SIN RIESGO DE ISOINMUNIZACIÓN</v>
      </c>
      <c r="FA64" s="21">
        <v>89</v>
      </c>
      <c r="FB64" s="22">
        <v>45030</v>
      </c>
      <c r="FC64" s="29" t="str">
        <f t="shared" si="27"/>
        <v>CORREGIR FECHA RESULTADO</v>
      </c>
      <c r="FD64" s="29"/>
      <c r="FE64" s="29"/>
      <c r="FF64" s="29"/>
      <c r="FG64" s="21" t="str">
        <f t="shared" ca="1" si="28"/>
        <v>PROGRAMAR TOMA PTOG SIGUIENTE CONTROL</v>
      </c>
      <c r="FH64" s="31"/>
      <c r="FI64" s="29" t="str">
        <f t="shared" si="29"/>
        <v>TOMAR EXAMEN</v>
      </c>
      <c r="FJ64" s="22" t="s">
        <v>867</v>
      </c>
      <c r="FK64" s="22">
        <v>45121</v>
      </c>
      <c r="FL64" s="29">
        <f t="shared" ca="1" si="30"/>
        <v>6.8571428571428568</v>
      </c>
      <c r="FM64" s="22"/>
      <c r="FN64" s="32"/>
      <c r="FO64" s="29" t="str">
        <f t="shared" ca="1" si="201"/>
        <v>EN RANGO PARA TOMAR EXAMEN</v>
      </c>
      <c r="FP64" s="22"/>
      <c r="FQ64" s="32"/>
      <c r="FR64" s="29" t="str">
        <f t="shared" ca="1" si="202"/>
        <v>EN ESPERA-ESTÁ I TRIM O II TRIM</v>
      </c>
      <c r="FS64" s="22"/>
      <c r="FT64" s="32"/>
      <c r="FU64" s="29" t="str">
        <f>IF(AND(FJ64="",FM64="",FP64="",FS64=""),"",IF(OR(OR(Tabla1[[#This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4" s="28"/>
      <c r="FW64" s="22"/>
      <c r="FX64" s="29" t="str">
        <f t="shared" si="33"/>
        <v>TOMAR EXAMEN</v>
      </c>
      <c r="FY64" s="22" t="s">
        <v>868</v>
      </c>
      <c r="FZ64" s="22">
        <v>45121</v>
      </c>
      <c r="GA64" s="29">
        <f t="shared" ca="1" si="250"/>
        <v>6.8571428571428568</v>
      </c>
      <c r="GB64" s="22"/>
      <c r="GC64" s="22"/>
      <c r="GD64" s="29" t="str">
        <f t="shared" ca="1" si="204"/>
        <v>EN RANGO PARA TOMAR EXAMEN</v>
      </c>
      <c r="GE64" s="22"/>
      <c r="GF64" s="22"/>
      <c r="GG64" s="29" t="str">
        <f t="shared" ca="1" si="205"/>
        <v>EN ESPERA-ESTÁ I TRIM O II TRIM</v>
      </c>
      <c r="GH64" s="22"/>
      <c r="GI64" s="29"/>
      <c r="GJ64" s="22"/>
      <c r="GK64" s="22"/>
      <c r="GL64" s="22"/>
      <c r="GM64" s="22"/>
      <c r="GN64" s="28" t="s">
        <v>869</v>
      </c>
      <c r="GO64" s="22">
        <v>45121</v>
      </c>
      <c r="GP64" s="29">
        <f t="shared" si="37"/>
        <v>6.8571428571428568</v>
      </c>
      <c r="GQ64" s="28"/>
      <c r="GR64" s="28" t="s">
        <v>869</v>
      </c>
      <c r="GS64" s="22" t="str">
        <f t="shared" si="206"/>
        <v/>
      </c>
      <c r="GT64" s="22">
        <v>45121</v>
      </c>
      <c r="GU64" s="29">
        <f t="shared" si="39"/>
        <v>6.8571428571428568</v>
      </c>
      <c r="GV64" s="21" t="str">
        <f t="shared" si="40"/>
        <v>I TRIM</v>
      </c>
      <c r="GW64" s="28"/>
      <c r="GX64" s="30"/>
      <c r="GY64" s="21"/>
      <c r="GZ64" s="21"/>
      <c r="HA64" s="21"/>
      <c r="HB64" s="21"/>
      <c r="HC64" s="21"/>
      <c r="HD64" s="21"/>
      <c r="HE64" s="21"/>
      <c r="HF64" s="22"/>
      <c r="HG64" s="22" t="str">
        <f>IF(OR(O64&gt;0,R64&gt;0),CONCATENATE(IF(Tabla1[[#This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4" s="22" t="e">
        <f t="shared" si="41"/>
        <v>#REF!</v>
      </c>
      <c r="HI64" s="22" t="str">
        <f t="shared" si="42"/>
        <v>ALTO RIESGO</v>
      </c>
      <c r="HJ64" s="21"/>
      <c r="HK64" s="21" t="str">
        <f t="shared" si="44"/>
        <v>RIESGO ALTO DE COMPLICACIONES HIPERTENSIVAS VER MANEJO GUIA SUMINISTRO ASA Y CALCIO</v>
      </c>
      <c r="HL64" s="24" t="str">
        <f t="shared" si="45"/>
        <v>APARENTEMENTE NORMAL</v>
      </c>
      <c r="HM64" s="21" t="e">
        <f t="shared" ca="1" si="46"/>
        <v>#REF!</v>
      </c>
      <c r="HN64" s="30" t="str">
        <f t="shared" si="207"/>
        <v>ACTIVA INGRESO A CPN</v>
      </c>
      <c r="HO64" s="21"/>
      <c r="HP64" s="21" t="s">
        <v>1626</v>
      </c>
      <c r="HQ64" s="349">
        <v>45110</v>
      </c>
      <c r="HR64" s="21" t="str">
        <f>IF(R64="","",IF(Tabla1[[#This Row],[ALARMA FACTORES DE RIESGO COMPLICACIONES HIPERTENSIVAS3]]="SIN ANTECEDENTES DE RIESGO","No Aplica para suministro de ASA",IF(AND(Tabla1[[#This Row],[FECHA INICIO DE SUMINISTRO DE ASA]]&gt;0,RV64&lt;12),"Inicia ASA ANTES de Sem 12",IF(AND(RV64&gt;11,RV64&lt;17,OR(HK64="RIESGO ALTO DE COMPLICACIONES HIPERTENSIVAS VER MANEJO GUIA SUMINISTRO ASA Y CALCIO",HK64="RIESGO MODERADO (2 O MAS CRITERIOS) VER MANEJO GUIA SUMINISTRO ASA Y CALCIO")),"Inicio oportuno de ASA",IF(AND(RV64&gt;12,OR(HK64="RIESGO ALTO DE COMPLICACIONES HIPERTENSIVAS VER MANEJO GUIA SUMINISTRO ASA Y CALCIO",HK64="RIESGO MODERADO (2 O MAS CRITERIOS) VER MANEJO GUIA SUMINISTRO ASA Y CALCIO")),"Inicio no oportuno mayor a 16 semanas",IF(AND(BU64&lt;12,OR(HK64="RIESGO ALTO DE COMPLICACIONES HIPERTENSIVAS VER MANEJO GUIA SUMINISTRO ASA Y CALCIO",HK64="RIESGO MODERADO (2 O MAS CRITERIOS) VER MANEJO GUIA SUMINISTRO ASA Y CALCIO")),"Pendiente Inicio de ASA a la semana 12",IF(AND(BU64&gt;11,BU64&lt;17,OR(HK64="RIESGO ALTO DE COMPLICACIONES HIPERTENSIVAS VER MANEJO GUIA SUMINISTRO ASA Y CALCIO",HK64="RIESGO MODERADO (2 O MAS CRITERIOS) VER MANEJO GUIA SUMINISTRO ASA Y CALCIO")),"Iniciar de inmediato ASA",IF(AND(BU64&gt;16,OR(HK64="RIESGO ALTO DE COMPLICACIONES HIPERTENSIVAS VER MANEJO GUIA SUMINISTRO ASA Y CALCIO",HK64="RIESGO MODERADO (2 O MAS CRITERIOS) VER MANEJO GUIA SUMINISTRO ASA Y CALCIO")),"Pierde Oportunidad, Inicio tardío de ASA","XXXXX"))))))))</f>
        <v>Inicia ASA ANTES de Sem 12</v>
      </c>
      <c r="HS64" s="22"/>
      <c r="HT64" s="22"/>
      <c r="HU64" s="22">
        <v>45110</v>
      </c>
      <c r="HV64" s="22" t="s">
        <v>1506</v>
      </c>
      <c r="HW64" s="22">
        <v>45110</v>
      </c>
      <c r="HX64" s="22" t="s">
        <v>1511</v>
      </c>
      <c r="HY64" s="22">
        <v>45111</v>
      </c>
      <c r="HZ64" s="28">
        <f t="shared" si="48"/>
        <v>5.4285714285714288</v>
      </c>
      <c r="IA64" s="26"/>
      <c r="IB64" s="26"/>
      <c r="IC64" s="111"/>
      <c r="ID64" s="22"/>
      <c r="IE64" s="22" t="str">
        <f t="shared" ca="1" si="49"/>
        <v>PROGRAMAR APLICACION DE VACUNA</v>
      </c>
      <c r="IF64" s="22"/>
      <c r="IG64" s="22">
        <f t="shared" si="50"/>
        <v>45353</v>
      </c>
      <c r="IH64" s="29">
        <f t="shared" ca="1" si="51"/>
        <v>120</v>
      </c>
      <c r="II64" s="22" t="str">
        <f t="shared" ca="1" si="52"/>
        <v>PENDIENTE</v>
      </c>
      <c r="IJ64" s="22"/>
      <c r="IK64" s="21"/>
      <c r="IL64" s="21"/>
      <c r="IM64" s="34"/>
      <c r="IN64" s="22"/>
      <c r="IO64" s="21"/>
      <c r="IP64" s="29" t="str">
        <f t="shared" si="208"/>
        <v/>
      </c>
      <c r="IQ64" s="110"/>
      <c r="IR64" s="21"/>
      <c r="IS64" s="21"/>
      <c r="IT64" s="21"/>
      <c r="IU64" s="21"/>
      <c r="IV64" s="21"/>
      <c r="IW64" s="21"/>
      <c r="IX64" s="21"/>
      <c r="IY64" s="21"/>
      <c r="IZ64" s="21"/>
      <c r="JA64" s="21"/>
      <c r="JB64" s="30"/>
      <c r="JC64" s="21"/>
      <c r="JD64" s="36"/>
      <c r="JE64" s="21" t="str">
        <f t="shared" si="209"/>
        <v/>
      </c>
      <c r="JF64" s="30"/>
      <c r="JG64" s="21"/>
      <c r="JH64" s="21"/>
      <c r="JI64" s="21"/>
      <c r="JJ64" s="30"/>
      <c r="JK64" s="22"/>
      <c r="JL64" s="22"/>
      <c r="JM64" s="21"/>
      <c r="JN64" s="36"/>
      <c r="JO64" s="21" t="str">
        <f t="shared" si="210"/>
        <v/>
      </c>
      <c r="JP64" s="22"/>
      <c r="JQ64" s="21"/>
      <c r="JR64" s="21"/>
      <c r="JS64" s="21"/>
      <c r="JT64" s="30"/>
      <c r="JU64" s="22"/>
      <c r="JV64" s="22"/>
      <c r="JW64" s="33"/>
      <c r="JX64" s="28" t="str">
        <f t="shared" si="211"/>
        <v/>
      </c>
      <c r="JY64" s="33"/>
      <c r="JZ64" s="28" t="str">
        <f t="shared" si="212"/>
        <v/>
      </c>
      <c r="KA64" s="21"/>
      <c r="KB64" s="21"/>
      <c r="KC64" s="21"/>
      <c r="KD64" s="37"/>
      <c r="KE64" s="28"/>
      <c r="KF64" s="28"/>
      <c r="KG64" s="28"/>
      <c r="KH64" s="39"/>
      <c r="KI64" s="39"/>
      <c r="KJ64" s="66"/>
      <c r="KK64" s="39"/>
      <c r="KL64" s="39"/>
      <c r="KM64" s="66"/>
      <c r="KN64" s="39"/>
      <c r="KO64" s="39"/>
      <c r="KP64" s="39"/>
      <c r="KQ64" s="39"/>
      <c r="KR64" s="39"/>
      <c r="KS64" s="39"/>
      <c r="KT64" s="39"/>
      <c r="KU64" s="38"/>
      <c r="KV64" s="38"/>
      <c r="KW64" s="38"/>
      <c r="KX64" s="38"/>
      <c r="KY64" s="38"/>
      <c r="KZ64" s="38"/>
      <c r="LA64" s="38"/>
      <c r="LB64" s="38"/>
      <c r="LC64" s="38"/>
      <c r="LD64" s="38"/>
      <c r="LE64" s="38"/>
      <c r="LF64" s="38"/>
      <c r="LG64" s="38"/>
      <c r="LH64" s="38"/>
      <c r="LI64" s="38"/>
      <c r="LJ64" s="38"/>
      <c r="LK64" s="38"/>
      <c r="LL64" s="38"/>
      <c r="LM64" s="38"/>
      <c r="LN64" s="38"/>
      <c r="LO64" s="38"/>
      <c r="LP64" s="38"/>
      <c r="LQ64" s="38"/>
      <c r="LR64" s="38"/>
      <c r="LS64" s="38"/>
      <c r="LT64" s="38"/>
      <c r="LU64" s="38"/>
      <c r="LV64" s="38"/>
      <c r="LW64" s="38"/>
      <c r="LX64" s="38"/>
      <c r="LY64" s="38"/>
      <c r="LZ64" s="38"/>
      <c r="MA64" s="38"/>
      <c r="MB64" s="38"/>
      <c r="MC64" s="38"/>
      <c r="MD64" s="38"/>
      <c r="ME64" s="38"/>
      <c r="MF64" s="38"/>
      <c r="MG64" s="38"/>
      <c r="MH64" s="43">
        <f t="shared" si="213"/>
        <v>0</v>
      </c>
      <c r="MI64" s="43" t="str">
        <f t="shared" si="214"/>
        <v/>
      </c>
      <c r="MJ64" s="43" t="str">
        <f t="shared" si="215"/>
        <v/>
      </c>
      <c r="MK64" s="43">
        <f t="shared" si="216"/>
        <v>0</v>
      </c>
      <c r="ML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4" s="43">
        <f t="shared" si="217"/>
        <v>5.4285714285714288</v>
      </c>
      <c r="MN64" s="43">
        <f t="shared" si="218"/>
        <v>7</v>
      </c>
      <c r="MO64" s="43">
        <f t="shared" si="219"/>
        <v>2023</v>
      </c>
      <c r="MP64" s="43" t="str">
        <f t="shared" si="220"/>
        <v>III TRIMESTRE AÑO</v>
      </c>
      <c r="MQ64" s="43">
        <f t="shared" si="221"/>
        <v>18.262702584318877</v>
      </c>
      <c r="MR64" s="43">
        <f t="shared" si="222"/>
        <v>0</v>
      </c>
      <c r="MS64" s="43" t="str">
        <f t="shared" si="223"/>
        <v>DE 14 A 19AÑOS</v>
      </c>
      <c r="MT64" s="43">
        <f t="shared" si="224"/>
        <v>1</v>
      </c>
      <c r="MU64" s="43">
        <f t="shared" si="225"/>
        <v>0</v>
      </c>
      <c r="MV64" s="43">
        <f t="shared" si="226"/>
        <v>0</v>
      </c>
      <c r="MW64" s="43">
        <f t="shared" si="227"/>
        <v>0</v>
      </c>
      <c r="MX64" s="43" t="str">
        <f t="shared" si="228"/>
        <v/>
      </c>
      <c r="MY64" s="43" t="str">
        <f t="shared" ca="1" si="229"/>
        <v/>
      </c>
      <c r="MZ64" s="43" t="str">
        <f t="shared" si="230"/>
        <v/>
      </c>
      <c r="NA64" s="43" t="str">
        <f t="shared" si="231"/>
        <v/>
      </c>
      <c r="NB64" s="43" t="str">
        <f t="shared" si="232"/>
        <v/>
      </c>
      <c r="NC64" s="43" t="str">
        <f t="shared" si="233"/>
        <v/>
      </c>
      <c r="ND64" s="43">
        <f t="shared" ca="1" si="234"/>
        <v>2</v>
      </c>
      <c r="NE64" s="43">
        <f>IF(OR(O64&gt;0,R64&gt;0),SUM(COUNTIF(Tabla1[[#This Row],[AÑOS AL INICIO5 CPN]],"&gt;=40"),COUNTIF(AS64,"0"),COUNTIF(AR64,"SI"),COUNTIF(CC64,"SI"),COUNTIF(BQ64,"&gt;119"),COUNTIF(CI64,"&gt;=35")),"")</f>
        <v>0</v>
      </c>
      <c r="NF64" s="43" t="str">
        <f t="shared" si="235"/>
        <v/>
      </c>
      <c r="NG64" s="43">
        <f t="shared" si="236"/>
        <v>0</v>
      </c>
      <c r="NH64" s="43">
        <f t="shared" si="237"/>
        <v>51.800000000000004</v>
      </c>
      <c r="NI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CPN",P64="NO"),"Z",IF(AND(Tabla1[[#This Row],[CITA PROXIMO CONTROL]]="CITA MANUAL",Tabla1[[#This Row],[GESTANTES ACTUALES]]="ACTIVA INGRESO A CPN"),"W",IF(AND(Tabla1[[#This Row],[GESTANTES ACTUALES]]="SALIO PROGRAMA",IN64=""),"S",IF(AND(Tabla1[[#This Row],[CITA PROXIMO CONTROL]]&gt;0,IN64=""),(Tabla1[[#This Row],[CITA PROXIMO CONTROL]]-TODAY()),"SD"))))))))</f>
        <v>#REF!</v>
      </c>
      <c r="NJ64" s="43">
        <f>MONTH(Tabla1[[#This Row],[FECHA DE SALIDA  DEL PROGRAMA]])</f>
        <v>1</v>
      </c>
      <c r="NK64" s="43">
        <f>YEAR(Tabla1[[#This Row],[FECHA DE SALIDA  DEL PROGRAMA]])</f>
        <v>1900</v>
      </c>
      <c r="NL64" s="43" t="str">
        <f t="shared" si="238"/>
        <v>X</v>
      </c>
      <c r="NM64" s="43" t="str">
        <f t="shared" si="251"/>
        <v>NO</v>
      </c>
      <c r="NN64" s="43" t="str">
        <f ca="1">IF(AND(O64&gt;0,R64=""),"NO CPN",IF(AND(O64="",R64=""),"",IF(AND(R64&gt;0,Tabla1[[#This Row],[SEMANAS DE GESTACION ACTUALIZADAS]]&lt;=12),"NO APLICA",IF(AND(FH64&lt;&gt;"",FN64&lt;&gt;""),"SI","NO"))))</f>
        <v>NO</v>
      </c>
      <c r="NO64" s="43" t="str">
        <f ca="1">IF(AND(O64&gt;0,R64=""),"NO CPN",IF(AND(O64="",R64=""),"",IF(AND(R64&gt;0,Tabla1[[#This Row],[SEMANAS DE GESTACION ACTUALIZADAS]]&lt;=27),"NO APLICA",IF(AND(ES64&lt;&gt;"",FQ64&lt;&gt;"",GF64&lt;&gt;""),"SI","NO"))))</f>
        <v>NO APLICA</v>
      </c>
      <c r="NP64" s="204" t="str">
        <f t="shared" si="240"/>
        <v>DEFINIR CON ECO</v>
      </c>
      <c r="NQ64" s="21">
        <f t="shared" si="241"/>
        <v>9</v>
      </c>
      <c r="NR64" s="21">
        <f t="shared" ca="1" si="242"/>
        <v>2</v>
      </c>
      <c r="NS64" s="205">
        <f t="shared" ca="1" si="243"/>
        <v>1</v>
      </c>
      <c r="NT64" s="21">
        <f t="shared" ca="1" si="244"/>
        <v>1</v>
      </c>
      <c r="NU64" s="21" t="str">
        <f t="shared" ca="1" si="245"/>
        <v>INCOMPLETO</v>
      </c>
      <c r="NV64" s="21" t="str">
        <f t="shared" ca="1" si="246"/>
        <v>INCOMPLETO</v>
      </c>
      <c r="NW64" s="206" t="str">
        <f>IF(AND(O64="",R64=""),"",IF(OR(AND(Tabla1[[#This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4" s="207" t="str">
        <f t="shared" ca="1" si="247"/>
        <v>SIN VACUNAR</v>
      </c>
      <c r="NY64" s="43">
        <f>ROW(Tabla1[[#This Row],['# DE TAMIZAJES SIFILIS TOMADOS ]])</f>
        <v>64</v>
      </c>
      <c r="NZ64" s="43" t="str">
        <f t="shared" si="93"/>
        <v>Menor</v>
      </c>
      <c r="OA64" s="43" t="str">
        <f t="shared" si="94"/>
        <v>SOBREPESO</v>
      </c>
      <c r="OB64" s="43" t="str">
        <f t="shared" si="95"/>
        <v/>
      </c>
      <c r="OC64" s="43" t="str">
        <f t="shared" si="96"/>
        <v/>
      </c>
      <c r="OD64" s="43" t="str">
        <f t="shared" si="97"/>
        <v/>
      </c>
      <c r="OE64" s="43" t="str">
        <f t="shared" si="98"/>
        <v/>
      </c>
      <c r="OF64" s="43" t="str">
        <f t="shared" si="99"/>
        <v/>
      </c>
      <c r="OG64" s="43" t="str">
        <f t="shared" si="100"/>
        <v/>
      </c>
      <c r="OH64" s="43" t="str">
        <f t="shared" si="101"/>
        <v/>
      </c>
      <c r="OI64" s="43" t="str">
        <f t="shared" si="102"/>
        <v/>
      </c>
      <c r="OJ64" s="43" t="str">
        <f t="shared" si="103"/>
        <v/>
      </c>
      <c r="OK64" s="43" t="str">
        <f t="shared" si="104"/>
        <v/>
      </c>
      <c r="OL64" s="43" t="str">
        <f t="shared" si="105"/>
        <v/>
      </c>
      <c r="OM64" s="43" t="str">
        <f t="shared" si="106"/>
        <v/>
      </c>
      <c r="ON64" s="43" t="str">
        <f t="shared" si="107"/>
        <v/>
      </c>
      <c r="OO64" s="43" t="str">
        <f t="shared" si="108"/>
        <v/>
      </c>
      <c r="OP64" s="43" t="str">
        <f t="shared" si="109"/>
        <v/>
      </c>
      <c r="OQ64" s="43" t="str">
        <f t="shared" si="110"/>
        <v/>
      </c>
      <c r="OR64" s="43" t="str">
        <f t="shared" si="111"/>
        <v/>
      </c>
      <c r="OS64" s="43" t="str">
        <f t="shared" si="112"/>
        <v/>
      </c>
      <c r="OT64" s="43" t="str">
        <f t="shared" si="113"/>
        <v/>
      </c>
      <c r="OU64" s="43" t="str">
        <f t="shared" si="114"/>
        <v/>
      </c>
      <c r="OV64" s="110" t="str">
        <f t="shared" si="115"/>
        <v/>
      </c>
      <c r="OW64" s="43" t="str">
        <f t="shared" si="116"/>
        <v/>
      </c>
      <c r="OX64" s="43" t="str">
        <f t="shared" si="117"/>
        <v/>
      </c>
      <c r="OY64" s="43" t="str">
        <f t="shared" si="118"/>
        <v/>
      </c>
      <c r="OZ64" s="43" t="str">
        <f t="shared" si="119"/>
        <v/>
      </c>
      <c r="PA64" s="43" t="str">
        <f t="shared" si="120"/>
        <v/>
      </c>
      <c r="PB64" s="43" t="str">
        <f t="shared" si="121"/>
        <v/>
      </c>
      <c r="PC64" s="43" t="str">
        <f t="shared" si="122"/>
        <v/>
      </c>
      <c r="PD64" s="43" t="str">
        <f t="shared" si="123"/>
        <v/>
      </c>
      <c r="PE64" s="43" t="str">
        <f t="shared" si="124"/>
        <v/>
      </c>
      <c r="PF64" s="43" t="str">
        <f t="shared" si="125"/>
        <v/>
      </c>
      <c r="PG64" s="43" t="str">
        <f t="shared" si="126"/>
        <v/>
      </c>
      <c r="PH64" s="43" t="str">
        <f t="shared" si="127"/>
        <v/>
      </c>
      <c r="PI64" s="43">
        <f t="shared" si="128"/>
        <v>10</v>
      </c>
      <c r="PJ64" s="43" t="str">
        <f t="shared" si="129"/>
        <v/>
      </c>
      <c r="PK64" s="43" t="str">
        <f t="shared" si="130"/>
        <v>NORMAL</v>
      </c>
      <c r="PL64" s="43" t="str">
        <f t="shared" si="131"/>
        <v/>
      </c>
      <c r="PM64" s="43" t="str">
        <f t="shared" si="132"/>
        <v/>
      </c>
      <c r="PN64" s="43" t="str">
        <f t="shared" si="133"/>
        <v/>
      </c>
      <c r="PO64" s="43" t="str">
        <f t="shared" si="134"/>
        <v/>
      </c>
      <c r="PP64" s="43" t="str">
        <f t="shared" si="135"/>
        <v/>
      </c>
      <c r="PQ64" s="43" t="str">
        <f t="shared" si="136"/>
        <v/>
      </c>
      <c r="PR64" s="43" t="str">
        <f t="shared" si="137"/>
        <v/>
      </c>
      <c r="PS64" s="43" t="str">
        <f t="shared" si="138"/>
        <v/>
      </c>
      <c r="PT64" s="43" t="str">
        <f t="shared" si="139"/>
        <v/>
      </c>
      <c r="PU64" s="43" t="str">
        <f t="shared" si="140"/>
        <v/>
      </c>
      <c r="PV64" s="43" t="str">
        <f t="shared" si="141"/>
        <v/>
      </c>
      <c r="PW64" s="43" t="str">
        <f t="shared" si="142"/>
        <v/>
      </c>
      <c r="PX64" s="43" t="str">
        <f t="shared" si="143"/>
        <v/>
      </c>
      <c r="PY64" s="43" t="str">
        <f t="shared" si="144"/>
        <v/>
      </c>
      <c r="PZ64" s="43" t="str">
        <f t="shared" si="145"/>
        <v/>
      </c>
      <c r="QA64" s="43" t="str">
        <f t="shared" si="146"/>
        <v/>
      </c>
      <c r="QB64" s="43" t="str">
        <f t="shared" si="147"/>
        <v/>
      </c>
      <c r="QC64" s="43" t="str">
        <f t="shared" si="148"/>
        <v/>
      </c>
      <c r="QD64" s="43" t="str">
        <f t="shared" si="149"/>
        <v/>
      </c>
      <c r="QE64" s="43" t="str">
        <f t="shared" si="150"/>
        <v/>
      </c>
      <c r="QF64" s="43" t="str">
        <f t="shared" si="151"/>
        <v/>
      </c>
      <c r="QG64" s="43" t="str">
        <f t="shared" si="152"/>
        <v/>
      </c>
      <c r="QH64" s="43" t="str">
        <f t="shared" si="153"/>
        <v/>
      </c>
      <c r="QI64" s="43" t="str">
        <f t="shared" si="154"/>
        <v/>
      </c>
      <c r="QJ64" s="43" t="str">
        <f t="shared" si="155"/>
        <v/>
      </c>
      <c r="QK64" s="43" t="str">
        <f t="shared" si="156"/>
        <v/>
      </c>
      <c r="QL64" s="43" t="str">
        <f t="shared" si="157"/>
        <v/>
      </c>
      <c r="QM64" s="43" t="str">
        <f t="shared" si="158"/>
        <v/>
      </c>
      <c r="QN64" s="43" t="str">
        <f t="shared" si="159"/>
        <v/>
      </c>
      <c r="QO64" s="43" t="str">
        <f t="shared" si="160"/>
        <v/>
      </c>
      <c r="QP64" s="43" t="str">
        <f t="shared" si="161"/>
        <v/>
      </c>
      <c r="QQ64" s="43" t="str">
        <f t="shared" si="162"/>
        <v/>
      </c>
      <c r="QR64" s="43" t="str">
        <f t="shared" si="192"/>
        <v>Menor</v>
      </c>
      <c r="QS64" s="43"/>
      <c r="QT64" s="21" t="str">
        <f t="shared" si="163"/>
        <v/>
      </c>
      <c r="QU64" s="21" t="str">
        <f t="shared" si="164"/>
        <v/>
      </c>
      <c r="QV64" s="21" t="str">
        <f t="shared" si="165"/>
        <v/>
      </c>
      <c r="QW64" s="21" t="str">
        <f t="shared" si="166"/>
        <v/>
      </c>
      <c r="QX64" s="21" t="str">
        <f t="shared" si="167"/>
        <v/>
      </c>
      <c r="QY64" s="21" t="str">
        <f t="shared" si="168"/>
        <v/>
      </c>
      <c r="QZ64" s="21" t="str">
        <f t="shared" si="169"/>
        <v/>
      </c>
      <c r="RA64" s="21" t="str">
        <f t="shared" si="170"/>
        <v/>
      </c>
      <c r="RB64" s="21" t="str">
        <f t="shared" si="171"/>
        <v/>
      </c>
      <c r="RC64" s="21" t="str">
        <f t="shared" si="172"/>
        <v/>
      </c>
      <c r="RD64" s="21" t="str">
        <f t="shared" si="173"/>
        <v/>
      </c>
      <c r="RE64" s="21" t="str">
        <f t="shared" si="174"/>
        <v/>
      </c>
      <c r="RF64" s="21" t="str">
        <f t="shared" si="175"/>
        <v/>
      </c>
      <c r="RG64" s="21" t="str">
        <f t="shared" si="176"/>
        <v/>
      </c>
      <c r="RH64" s="21" t="str">
        <f t="shared" si="177"/>
        <v/>
      </c>
      <c r="RI64" s="21" t="str">
        <f t="shared" si="178"/>
        <v/>
      </c>
      <c r="RJ64" s="21" t="str">
        <f t="shared" si="179"/>
        <v/>
      </c>
      <c r="RK64" s="21" t="str">
        <f t="shared" si="180"/>
        <v/>
      </c>
      <c r="RL64" s="21" t="str">
        <f t="shared" si="181"/>
        <v/>
      </c>
      <c r="RM64" s="21" t="str">
        <f t="shared" si="182"/>
        <v/>
      </c>
      <c r="RN64" s="21" t="str">
        <f t="shared" si="183"/>
        <v/>
      </c>
      <c r="RO64" s="21" t="str">
        <f t="shared" si="184"/>
        <v/>
      </c>
      <c r="RP64" s="21" t="str">
        <f t="shared" si="185"/>
        <v/>
      </c>
      <c r="RQ64" s="21" t="str">
        <f t="shared" si="186"/>
        <v/>
      </c>
      <c r="RR64" s="21" t="str">
        <f t="shared" si="187"/>
        <v/>
      </c>
      <c r="RS64" s="21" t="str">
        <f t="shared" si="188"/>
        <v/>
      </c>
      <c r="RT64" s="21" t="str">
        <f t="shared" si="189"/>
        <v/>
      </c>
      <c r="RU64" s="21" t="str">
        <f t="shared" si="190"/>
        <v/>
      </c>
      <c r="RV64" s="21">
        <f t="shared" si="191"/>
        <v>5.2857142857142856</v>
      </c>
      <c r="RW64" s="284">
        <f>IF(OR(Tabla1[[#This Row],[FUM FORMULA CONFIABLE]]="",Tabla1[[#This Row],[FUM FORMULA CONFIABLE]]="SD"),"",IF(Tabla1[[#This Row],[FUM FORMULA CONFIABLE]]="CORREGIDA",Tabla1[[#This Row],[FUM X ECO 1]],Tabla1[[#This Row],[FUM x AMENORREA]]))</f>
        <v>45073</v>
      </c>
      <c r="RX64" s="21">
        <f>IF(AND(Tabla1[[#This Row],[FUM X ECO 1]]="",Tabla1[[#This Row],[FUM x AMENORREA]]=""),"",IF(AND(Tabla1[[#This Row],[FUM X ECO 1]]="",Tabla1[[#This Row],[FUM x AMENORREA]]&lt;&gt;""),"X",SUM(Tabla1[[#This Row],[FUM X ECO 1]]-Tabla1[[#This Row],[FUM x AMENORREA]])))</f>
        <v>-3.8000000000029104</v>
      </c>
      <c r="RY64" s="21">
        <f t="shared" si="193"/>
        <v>0</v>
      </c>
    </row>
    <row r="65" spans="1:493" ht="45" customHeight="1" x14ac:dyDescent="0.25">
      <c r="A65" s="109"/>
      <c r="B65" s="43"/>
      <c r="C65" s="43" t="s">
        <v>845</v>
      </c>
      <c r="D65" s="124" t="s">
        <v>846</v>
      </c>
      <c r="E65" s="43" t="s">
        <v>1196</v>
      </c>
      <c r="F65" s="43" t="s">
        <v>1197</v>
      </c>
      <c r="G65" s="43" t="s">
        <v>1198</v>
      </c>
      <c r="H65" s="43" t="s">
        <v>1199</v>
      </c>
      <c r="I65" s="109" t="s">
        <v>851</v>
      </c>
      <c r="J65" s="110">
        <v>1059601546</v>
      </c>
      <c r="K65" s="43" t="s">
        <v>852</v>
      </c>
      <c r="L65" s="175" t="s">
        <v>853</v>
      </c>
      <c r="M65" s="22">
        <v>34010</v>
      </c>
      <c r="N65" s="213">
        <f t="shared" ca="1" si="0"/>
        <v>30.747945205479454</v>
      </c>
      <c r="O65" s="22">
        <v>44908</v>
      </c>
      <c r="P65" s="214" t="str">
        <f t="shared" si="194"/>
        <v>SI</v>
      </c>
      <c r="Q65" s="26" t="s">
        <v>855</v>
      </c>
      <c r="R65" s="22">
        <v>44908</v>
      </c>
      <c r="S65" s="21" t="s">
        <v>856</v>
      </c>
      <c r="T65" s="24" t="s">
        <v>690</v>
      </c>
      <c r="U65" s="21" t="s">
        <v>857</v>
      </c>
      <c r="V65" s="21" t="s">
        <v>858</v>
      </c>
      <c r="W65" s="21" t="s">
        <v>1200</v>
      </c>
      <c r="X65" s="21" t="s">
        <v>1062</v>
      </c>
      <c r="Y65" s="21" t="s">
        <v>859</v>
      </c>
      <c r="Z65" s="21">
        <v>3206301547</v>
      </c>
      <c r="AA65" s="21" t="s">
        <v>860</v>
      </c>
      <c r="AB65" s="27" t="s">
        <v>861</v>
      </c>
      <c r="AC65" s="26" t="s">
        <v>862</v>
      </c>
      <c r="AD65" s="38" t="s">
        <v>846</v>
      </c>
      <c r="AE65" s="26" t="s">
        <v>854</v>
      </c>
      <c r="AF65" s="26" t="s">
        <v>854</v>
      </c>
      <c r="AG65" s="23" t="s">
        <v>864</v>
      </c>
      <c r="AH65" s="23" t="s">
        <v>864</v>
      </c>
      <c r="AI65" s="24" t="s">
        <v>863</v>
      </c>
      <c r="AJ65" s="23" t="s">
        <v>864</v>
      </c>
      <c r="AK65" s="220" t="str">
        <f>IF(AND(AD65="",AE65="",AF65="",AG65="",AH65="",AI65="",AJ65=""),"",IF(OR(Tabla1[[#This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EVALUACIÓN",IF(AND(O65="",R65=""),"",IF(AND(OR(O65&gt;0,R65&gt;0),NG65&gt;=0,NG65&lt;2),"SIN RIESGO",IF(AND(OR(O65&gt;0,R65&gt;0),NG65&gt;=2),"CON RIESGO","ASD")))))</f>
        <v>SIN RIESGO</v>
      </c>
      <c r="AL65" s="23" t="s">
        <v>864</v>
      </c>
      <c r="AM65" s="26" t="s">
        <v>864</v>
      </c>
      <c r="AN65" s="26" t="s">
        <v>864</v>
      </c>
      <c r="AO65" s="26" t="s">
        <v>864</v>
      </c>
      <c r="AP65" s="26" t="s">
        <v>864</v>
      </c>
      <c r="AQ65" s="26" t="s">
        <v>864</v>
      </c>
      <c r="AR65" s="26" t="s">
        <v>864</v>
      </c>
      <c r="AS65" s="21">
        <v>4</v>
      </c>
      <c r="AT65" s="21">
        <v>4</v>
      </c>
      <c r="AU65" s="21">
        <v>0</v>
      </c>
      <c r="AV65" s="26" t="s">
        <v>864</v>
      </c>
      <c r="AW65" s="21">
        <v>0</v>
      </c>
      <c r="AX65" s="26" t="s">
        <v>864</v>
      </c>
      <c r="AY65" s="26" t="s">
        <v>864</v>
      </c>
      <c r="AZ65" s="26" t="s">
        <v>864</v>
      </c>
      <c r="BA65" s="26" t="s">
        <v>864</v>
      </c>
      <c r="BB65" s="26" t="s">
        <v>864</v>
      </c>
      <c r="BC65" s="26" t="s">
        <v>864</v>
      </c>
      <c r="BD65" s="26" t="s">
        <v>864</v>
      </c>
      <c r="BE65" s="26" t="s">
        <v>864</v>
      </c>
      <c r="BF65" s="26" t="s">
        <v>864</v>
      </c>
      <c r="BG65" s="26" t="s">
        <v>864</v>
      </c>
      <c r="BH65" s="26" t="s">
        <v>864</v>
      </c>
      <c r="BI65" s="26" t="s">
        <v>864</v>
      </c>
      <c r="BJ65" s="26"/>
      <c r="BK65" s="26"/>
      <c r="BL65" s="26" t="s">
        <v>864</v>
      </c>
      <c r="BM65" s="26" t="s">
        <v>864</v>
      </c>
      <c r="BN65" s="22">
        <v>43997</v>
      </c>
      <c r="BO65" s="22">
        <v>44764</v>
      </c>
      <c r="BP65" s="21" t="s">
        <v>854</v>
      </c>
      <c r="BQ65" s="222">
        <f t="shared" si="2"/>
        <v>25.566666666666666</v>
      </c>
      <c r="BR65" s="223">
        <f t="shared" si="3"/>
        <v>44764</v>
      </c>
      <c r="BS65" s="224">
        <f t="shared" si="4"/>
        <v>20.571428571428573</v>
      </c>
      <c r="BT65" s="216" t="str">
        <f t="shared" si="5"/>
        <v>II TRIM</v>
      </c>
      <c r="BU65" s="214" t="str">
        <f t="shared" ca="1" si="6"/>
        <v/>
      </c>
      <c r="BV65" s="25"/>
      <c r="BW65" s="22">
        <v>44918</v>
      </c>
      <c r="BX65" s="28">
        <v>22</v>
      </c>
      <c r="BY65" s="28"/>
      <c r="BZ65" s="22"/>
      <c r="CA65" s="21"/>
      <c r="CB65" s="26" t="s">
        <v>864</v>
      </c>
      <c r="CC65" s="26" t="s">
        <v>865</v>
      </c>
      <c r="CD65" s="26" t="s">
        <v>972</v>
      </c>
      <c r="CE65" s="26" t="s">
        <v>864</v>
      </c>
      <c r="CF65" s="22" t="s">
        <v>1517</v>
      </c>
      <c r="CG65" s="21">
        <v>1.45</v>
      </c>
      <c r="CH65" s="21">
        <v>66</v>
      </c>
      <c r="CI65" s="214">
        <f t="shared" si="7"/>
        <v>31.391200951248514</v>
      </c>
      <c r="CJ65" s="225" t="e">
        <f>IF(AND(CI65&lt;10,CH65="SD"),"SIN DATO PESO PREGESTACION O I TRIM",IF(AND(OR(R65&gt;0,O65&gt;0),CI65="X"),"INGRESAR DATO DE PESO",IF(CI65="SD","INGRESAR DATO DE TALLA Y PESO",IF(AND(OR(Tabla1[[#This Row],[MOMENTO EN QUE SE REALIZA EL PESO AL INGRESO A CPN]]="PREGESTACIÓN",NZ65="Menor"),CI65&lt;18.5),"BAJO PESO",IF(AND(OR(Tabla1[[#This Row],[MOMENTO EN QUE SE REALIZA EL PESO AL INGRESO A CPN]]="PREGESTACIÓN",NZ65="Menor"),CI65&lt;25),"NORMAL",IF(AND(OR(Tabla1[[#This Row],[MOMENTO EN QUE SE REALIZA EL PESO AL INGRESO A CPN]]="PREGESTACIÓN",NZ65="Menor"),CI65&lt;30),"SOBREPESO",IF(AND(OR(Tabla1[[#This Row],[MOMENTO EN QUE SE REALIZA EL PESO AL INGRESO A CPN]]="PREGESTACIÓN",NZ65="Menor"),CI65&gt;=30,CI65&lt;50),"OBESIDAD",IF(AND(BS65&gt;0,Tabla1[[#This Row],[MOMENTO EN QUE SE REALIZA EL PESO AL INGRESO A CPN]]="GESTACIÓN"),HLOOKUP(NZ65,$OA$2:PH65,NY65),""))))))))</f>
        <v>#REF!</v>
      </c>
      <c r="CK65" s="212">
        <f t="shared" si="8"/>
        <v>44908</v>
      </c>
      <c r="CL65" s="21"/>
      <c r="CM65" s="214">
        <f t="shared" si="9"/>
        <v>0</v>
      </c>
      <c r="CN65" s="216">
        <f t="shared" si="10"/>
        <v>20</v>
      </c>
      <c r="CO65" s="216" t="e">
        <f>IF(PI65="","",IF(PI65&gt;0,HLOOKUP(PI65,$PJ$2:QQ65,NY65),""))</f>
        <v>#REF!</v>
      </c>
      <c r="CP65" s="21"/>
      <c r="CQ65" s="216" t="e">
        <f>IF(QR65="Menor","NO APLICA-MENOR 13 SEM",IF(AND(CC65="SI",CN65&gt;23),"NO APLICA- GEMELAR",IF(QR65="","",IF(QR65&gt;0,HLOOKUP(QR65,$QS$2:RU65,NY65),""))))</f>
        <v>#REF!</v>
      </c>
      <c r="CR65" s="21"/>
      <c r="CS65" s="21"/>
      <c r="CT65" s="217" t="str">
        <f>IF(R65="","",IF(AND(BS65&gt;1,BS65&lt;12,Tabla1[[#This Row],[T.A. SISTOLICA - ANTES DE SEMANA 12]]="",Tabla1[[#This Row],[T.A. DIASTOLICA - ANTES DE SEMANA 12]]=""),"REGISTRE DATO TA ANTES SEMANA 12",IF(AND(BS65&gt;11,BS65&lt;43,Tabla1[[#This Row],[T.A. SISTOLICA - ANTES DE SEMANA 12]]="",Tabla1[[#This Row],[T.A. DIASTOLICA - ANTES DE SEMANA 12]]=""),"NO APLICA REGISTRO TA-INGRESO TARDIO",IF(AND(OR(O65&gt;0,R65&gt;0),OR(CR65&gt;=140,CS65&gt;=90)),"DEFINIR ESTADIO HTA",IF(AND(OR(O65&gt;0,R65&gt;0),AND(CR65&gt;120,CR65&lt;=139)),"PRE HTA SEGUIMIENTO",IF(AND(OR(O65&gt;0,R65&gt;0),AND(CS65&gt;80,CS65&lt;=89)),"PRE HTA SEGUIMIENTO",IF(AND(OR(O65&gt;0,R65&gt;0),AND(CR65&gt;=80,CR65&lt;=120)),"APARENTEMENTE NORMAL",IF(AND(OR(O65&gt;0,R65&gt;0),AND(CS65&gt;=50,CS65&lt;=80)),"APARENTEMENTE NORMAL",IF(AND(OR(O65&gt;0,R65&gt;0),AND(CR65&gt;1,CR65&lt;=70),AND(CS65&gt;1,CS65&lt;=40)),"HIPOTENSIÓN","")))))))))</f>
        <v>NO APLICA REGISTRO TA-INGRESO TARDIO</v>
      </c>
      <c r="CU65" s="21">
        <v>100</v>
      </c>
      <c r="CV65" s="21">
        <v>60</v>
      </c>
      <c r="CW65" s="217" t="str">
        <f ca="1">IF(R65="","",IF(AND(CN65&gt;19,CN65&lt;27,Tabla1[[#This Row],[T.A. SISTOLICA (Entre semana 20 y 26)]]="",Tabla1[[#This Row],[T.A. DIATOLICA (Entre semana 20 y 26)]]=""),"ACUDE A CONTROL SEM 20 A 26 REGISTRE TA AHORA",IF(AND(BS65&gt;1,BS65&lt;27,BU65&gt;19,Tabla1[[#This Row],[T.A. SISTOLICA (Entre semana 20 y 26)]]="",Tabla1[[#This Row],[T.A. DIATOLICA (Entre semana 20 y 26)]]=""),"COMPLETE REGISTRO TA CONTROL SEM 20 A26 ",IF(AND(BS65&gt;26,BS65&lt;43,Tabla1[[#This Row],[T.A. SISTOLICA (Entre semana 20 y 26)]]="",Tabla1[[#This Row],[T.A. DIATOLICA (Entre semana 20 y 26)]]=""),"NO APLICA REGISTRO TA-INGRESO TARDIO",IF(AND(OR(O65&gt;0,R65&gt;0),OR(CU65&gt;=140,CV65&gt;=90)),"ALTO RIESGO PREECLAMPSIA,DEFINIR ESTADIO HTA",IF(AND(OR(O65&gt;0,R65&gt;0),AND(CU65&gt;120,CU65&lt;=139)),"PRE HTA SEGUIMIENTO,RIESGO HIPERTENSION INDUCIDA POR EL EMBARAZO",IF(AND(OR(O65&gt;0,R65&gt;0),AND(CV65&gt;80,CV65&lt;=89)),"PRE HTA SEGUIMIENTO, RIESGO HIPERTENSION INDUCIDA POR EL EMBARAZO",IF(AND(OR(O65&lt;&gt;"",R65&lt;&gt;""),CS65&lt;&gt;"",CV65&lt;&gt;"",CS65&lt;=CV65),"VIGILAR CIFRAS PRESION ARTERIAL",IF(AND(OR(O65&gt;0,R65&gt;0),AND(CU65&gt;120,CU65&lt;=139)),"PRE HTA SEGUIMIENTO",IF(AND(OR(O65&gt;0,R65&gt;0),AND(CU65&gt;1,CU65&lt;=70),AND(CV65&gt;1,CV65&lt;=40)),"HIPOTENSIÓN",IF(AND(OR(O65&lt;&gt;"",R65&lt;&gt;""),CS65&lt;&gt;"",CV65&lt;&gt;"",CS65&gt;CV65),"APARENTEMENTE NORMAL",IF(AND(OR(O65&gt;0,R65&gt;0),AND(CU65&gt;=80,CU65&lt;=120)),"APARENTEMENTE NORMAL",IF(AND(OR(O65&gt;0,R65&gt;0),AND(CV65&gt;=50,CV65&lt;=80)),"APARENTEMENTE NORMAL","")))))))))))))</f>
        <v>APARENTEMENTE NORMAL</v>
      </c>
      <c r="CX65" s="21"/>
      <c r="CY65" s="21"/>
      <c r="CZ65" s="216" t="str">
        <f t="shared" si="195"/>
        <v/>
      </c>
      <c r="DA65" s="21"/>
      <c r="DB65" s="21"/>
      <c r="DC65" s="217" t="str">
        <f t="shared" si="12"/>
        <v>REGISTRE DATO PRESIÓN ARTERIAL MENSUAL</v>
      </c>
      <c r="DD65" s="22">
        <v>44908</v>
      </c>
      <c r="DE65" s="22">
        <v>44908</v>
      </c>
      <c r="DF65" s="22"/>
      <c r="DG65" s="22"/>
      <c r="DH65" s="22"/>
      <c r="DI65" s="22"/>
      <c r="DJ65" s="22"/>
      <c r="DK65" s="22"/>
      <c r="DL65" s="22"/>
      <c r="DM65" s="22"/>
      <c r="DN65" s="22"/>
      <c r="DO65" s="22"/>
      <c r="DP65" s="22"/>
      <c r="DQ65" s="22"/>
      <c r="DR65" s="28">
        <v>1</v>
      </c>
      <c r="DS65" s="22"/>
      <c r="DT65" s="22"/>
      <c r="DU65" s="216" t="str">
        <f t="shared" ca="1" si="196"/>
        <v>SALE SIN PLAN DE PARTO</v>
      </c>
      <c r="DV65" s="226" t="str">
        <f t="shared" si="197"/>
        <v>SALIO PROGRAMA</v>
      </c>
      <c r="DW6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5" s="216" t="str">
        <f t="shared" ca="1" si="15"/>
        <v/>
      </c>
      <c r="DY65" s="212">
        <f>IF(R65="","",IF(R65&gt;0,MAX(Tabla1[[#This Row],[FECHA C2]:[FECHA C13]],Tabla1[[#This Row],[FECHA CONSULTA PRIMERA VEZ PROGRAMA CPN ]])))</f>
        <v>44908</v>
      </c>
      <c r="DZ65" s="216">
        <f t="shared" si="16"/>
        <v>20</v>
      </c>
      <c r="EA65" s="222">
        <f>IF(R65&gt;0,SUM(COUNTA(DF65:DQ65)+COUNTA(Tabla1[[#This Row],[FECHA CONSULTA PRIMERA VEZ PROGRAMA CPN ]])),"")</f>
        <v>1</v>
      </c>
      <c r="EB65" s="222" t="str">
        <f t="shared" si="17"/>
        <v>NO</v>
      </c>
      <c r="EC65" s="214">
        <f t="shared" si="18"/>
        <v>6</v>
      </c>
      <c r="ED65" s="227">
        <f t="shared" si="19"/>
        <v>0.16666666666666666</v>
      </c>
      <c r="EE65" s="22">
        <v>44908</v>
      </c>
      <c r="EF65" s="22">
        <v>44918</v>
      </c>
      <c r="EG65" s="22">
        <v>44908</v>
      </c>
      <c r="EH65" s="22"/>
      <c r="EI65" s="22">
        <v>44908</v>
      </c>
      <c r="EJ65" s="22"/>
      <c r="EK65" s="22"/>
      <c r="EL65" s="21"/>
      <c r="EM65" s="21">
        <v>11.6</v>
      </c>
      <c r="EN65" s="22">
        <v>44911</v>
      </c>
      <c r="EO65" s="222">
        <f t="shared" si="20"/>
        <v>21</v>
      </c>
      <c r="EP65" s="214" t="str">
        <f t="shared" si="21"/>
        <v>NORMAL- SUMINISTRAR SULFATO FERROSO</v>
      </c>
      <c r="EQ65" s="216" t="str">
        <f t="shared" si="22"/>
        <v>II TRIM</v>
      </c>
      <c r="ER65" s="24"/>
      <c r="ES65" s="22"/>
      <c r="ET65" s="29" t="str">
        <f t="shared" ca="1" si="198"/>
        <v>SALE SIN TAMIZAJE HEMOGLOBINA SEM 28</v>
      </c>
      <c r="EU65" s="25" t="str">
        <f t="shared" si="24"/>
        <v/>
      </c>
      <c r="EV65" s="24" t="s">
        <v>926</v>
      </c>
      <c r="EW65" s="24">
        <v>44911</v>
      </c>
      <c r="EX65" s="22"/>
      <c r="EY65" s="29">
        <f t="shared" si="248"/>
        <v>21</v>
      </c>
      <c r="EZ65" s="25" t="str">
        <f t="shared" ca="1" si="249"/>
        <v/>
      </c>
      <c r="FA65" s="21"/>
      <c r="FB65" s="22"/>
      <c r="FC65" s="29" t="str">
        <f t="shared" si="27"/>
        <v>TOMAR EXAMEN</v>
      </c>
      <c r="FD65" s="29"/>
      <c r="FE65" s="29"/>
      <c r="FF65" s="29"/>
      <c r="FG65" s="21" t="str">
        <f t="shared" ca="1" si="28"/>
        <v/>
      </c>
      <c r="FH65" s="31"/>
      <c r="FI65" s="29" t="str">
        <f t="shared" si="29"/>
        <v>TOMAR EXAMEN</v>
      </c>
      <c r="FJ65" s="22"/>
      <c r="FK65" s="22"/>
      <c r="FL65" s="29" t="str">
        <f t="shared" ca="1" si="30"/>
        <v>NO APLICA-INGRESO TARDIO</v>
      </c>
      <c r="FM65" s="22" t="s">
        <v>867</v>
      </c>
      <c r="FN65" s="32">
        <v>44911</v>
      </c>
      <c r="FO65" s="29">
        <f t="shared" ca="1" si="201"/>
        <v>21</v>
      </c>
      <c r="FP65" s="22"/>
      <c r="FQ65" s="32"/>
      <c r="FR65" s="29" t="str">
        <f t="shared" ca="1" si="202"/>
        <v>PIERDE TOMA DE TAMIZAJE</v>
      </c>
      <c r="FS65" s="22"/>
      <c r="FT65" s="32"/>
      <c r="FU65" s="29" t="str">
        <f>IF(AND(FJ65="",FM65="",FP65="",FS65=""),"",IF(OR(OR(Tabla1[[#This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5" s="28"/>
      <c r="FW65" s="22"/>
      <c r="FX65" s="29" t="str">
        <f t="shared" si="33"/>
        <v>TOMAR EXAMEN</v>
      </c>
      <c r="FY65" s="22"/>
      <c r="FZ65" s="22"/>
      <c r="GA65" s="29" t="str">
        <f t="shared" ca="1" si="250"/>
        <v>NO APLICA-INGRESO TARDIO</v>
      </c>
      <c r="GB65" s="22" t="s">
        <v>868</v>
      </c>
      <c r="GC65" s="22">
        <v>44911</v>
      </c>
      <c r="GD65" s="29">
        <f t="shared" ca="1" si="204"/>
        <v>21</v>
      </c>
      <c r="GE65" s="22"/>
      <c r="GF65" s="22"/>
      <c r="GG65" s="29" t="str">
        <f t="shared" ca="1" si="205"/>
        <v>PIERDE TOMA DE TAMIZAJE</v>
      </c>
      <c r="GH65" s="22"/>
      <c r="GI65" s="29"/>
      <c r="GJ65" s="22"/>
      <c r="GK65" s="22"/>
      <c r="GL65" s="22"/>
      <c r="GM65" s="22"/>
      <c r="GN65" s="28" t="s">
        <v>869</v>
      </c>
      <c r="GO65" s="22">
        <v>44911</v>
      </c>
      <c r="GP65" s="29">
        <f t="shared" si="37"/>
        <v>21</v>
      </c>
      <c r="GQ65" s="28" t="s">
        <v>869</v>
      </c>
      <c r="GR65" s="28" t="s">
        <v>869</v>
      </c>
      <c r="GS65" s="22" t="str">
        <f t="shared" si="206"/>
        <v>CONTROL Igm</v>
      </c>
      <c r="GT65" s="22">
        <v>44911</v>
      </c>
      <c r="GU65" s="29">
        <f t="shared" si="39"/>
        <v>21</v>
      </c>
      <c r="GV65" s="21" t="str">
        <f t="shared" si="40"/>
        <v>II TRIM</v>
      </c>
      <c r="GW65" s="28" t="s">
        <v>869</v>
      </c>
      <c r="GX65" s="30"/>
      <c r="GY65" s="21"/>
      <c r="GZ65" s="21"/>
      <c r="HA65" s="21"/>
      <c r="HB65" s="21"/>
      <c r="HC65" s="21"/>
      <c r="HD65" s="21"/>
      <c r="HE65" s="21"/>
      <c r="HF65" s="22"/>
      <c r="HG65" s="22" t="str">
        <f>IF(OR(O65&gt;0,R65&gt;0),CONCATENATE(IF(Tabla1[[#This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5" s="22" t="e">
        <f t="shared" si="41"/>
        <v>#REF!</v>
      </c>
      <c r="HI65" s="22" t="e">
        <f t="shared" ca="1" si="42"/>
        <v>#REF!</v>
      </c>
      <c r="HJ65" s="21"/>
      <c r="HK65" s="21" t="str">
        <f t="shared" si="44"/>
        <v>SIN ANTECEDENTES DE RIESGO</v>
      </c>
      <c r="HL65" s="24" t="str">
        <f t="shared" si="45"/>
        <v>REGISTRE DATO PRESIÓN ARTERIAL MENSUAL</v>
      </c>
      <c r="HM65" s="21" t="str">
        <f t="shared" ca="1" si="46"/>
        <v/>
      </c>
      <c r="HN65" s="30" t="str">
        <f t="shared" si="207"/>
        <v>SALIO PROGRAMA</v>
      </c>
      <c r="HO65" s="21"/>
      <c r="HP65" s="21"/>
      <c r="HQ65" s="21">
        <v>44908</v>
      </c>
      <c r="HR65" s="21" t="str">
        <f>IF(R65="","",IF(Tabla1[[#This Row],[ALARMA FACTORES DE RIESGO COMPLICACIONES HIPERTENSIVAS3]]="SIN ANTECEDENTES DE RIESGO","No Aplica para suministro de ASA",IF(AND(Tabla1[[#This Row],[FECHA INICIO DE SUMINISTRO DE ASA]]&gt;0,RV65&lt;12),"Inicia ASA ANTES de Sem 12",IF(AND(RV65&gt;11,RV65&lt;17,OR(HK65="RIESGO ALTO DE COMPLICACIONES HIPERTENSIVAS VER MANEJO GUIA SUMINISTRO ASA Y CALCIO",HK65="RIESGO MODERADO (2 O MAS CRITERIOS) VER MANEJO GUIA SUMINISTRO ASA Y CALCIO")),"Inicio oportuno de ASA",IF(AND(RV65&gt;12,OR(HK65="RIESGO ALTO DE COMPLICACIONES HIPERTENSIVAS VER MANEJO GUIA SUMINISTRO ASA Y CALCIO",HK65="RIESGO MODERADO (2 O MAS CRITERIOS) VER MANEJO GUIA SUMINISTRO ASA Y CALCIO")),"Inicio no oportuno mayor a 16 semanas",IF(AND(BU65&lt;12,OR(HK65="RIESGO ALTO DE COMPLICACIONES HIPERTENSIVAS VER MANEJO GUIA SUMINISTRO ASA Y CALCIO",HK65="RIESGO MODERADO (2 O MAS CRITERIOS) VER MANEJO GUIA SUMINISTRO ASA Y CALCIO")),"Pendiente Inicio de ASA a la semana 12",IF(AND(BU65&gt;11,BU65&lt;17,OR(HK65="RIESGO ALTO DE COMPLICACIONES HIPERTENSIVAS VER MANEJO GUIA SUMINISTRO ASA Y CALCIO",HK65="RIESGO MODERADO (2 O MAS CRITERIOS) VER MANEJO GUIA SUMINISTRO ASA Y CALCIO")),"Iniciar de inmediato ASA",IF(AND(BU65&gt;16,OR(HK65="RIESGO ALTO DE COMPLICACIONES HIPERTENSIVAS VER MANEJO GUIA SUMINISTRO ASA Y CALCIO",HK65="RIESGO MODERADO (2 O MAS CRITERIOS) VER MANEJO GUIA SUMINISTRO ASA Y CALCIO")),"Pierde Oportunidad, Inicio tardío de ASA","XXXXX"))))))))</f>
        <v>No Aplica para suministro de ASA</v>
      </c>
      <c r="HS65" s="22">
        <v>44908</v>
      </c>
      <c r="HT65" s="22" t="s">
        <v>870</v>
      </c>
      <c r="HU65" s="22"/>
      <c r="HV65" s="22" t="s">
        <v>870</v>
      </c>
      <c r="HW65" s="22">
        <v>44908</v>
      </c>
      <c r="HX65" s="22"/>
      <c r="HY65" s="22">
        <v>44908</v>
      </c>
      <c r="HZ65" s="28">
        <f t="shared" si="48"/>
        <v>20.571428571428573</v>
      </c>
      <c r="IA65" s="26"/>
      <c r="IB65" s="26"/>
      <c r="IC65" s="111"/>
      <c r="ID65" s="22"/>
      <c r="IE65" s="22" t="str">
        <f t="shared" ca="1" si="49"/>
        <v>SALE SIN VACUNA</v>
      </c>
      <c r="IF65" s="22"/>
      <c r="IG65" s="22">
        <f t="shared" si="50"/>
        <v>45044</v>
      </c>
      <c r="IH65" s="29">
        <f t="shared" ca="1" si="51"/>
        <v>-189</v>
      </c>
      <c r="II65" s="22" t="str">
        <f t="shared" ca="1" si="52"/>
        <v>POSIBLEMENTE NACIO</v>
      </c>
      <c r="IJ65" s="22"/>
      <c r="IK65" s="21" t="s">
        <v>898</v>
      </c>
      <c r="IL65" s="21"/>
      <c r="IM65" s="34"/>
      <c r="IN65" s="349">
        <v>45049</v>
      </c>
      <c r="IO65" s="21" t="s">
        <v>1186</v>
      </c>
      <c r="IP65" s="29">
        <f t="shared" si="208"/>
        <v>40.714285714285715</v>
      </c>
      <c r="IQ65" s="35" t="s">
        <v>1650</v>
      </c>
      <c r="IR65" s="21" t="s">
        <v>1651</v>
      </c>
      <c r="IS65" s="21" t="s">
        <v>1646</v>
      </c>
      <c r="IT65" s="21" t="s">
        <v>1642</v>
      </c>
      <c r="IU65" s="21"/>
      <c r="IV65" s="21"/>
      <c r="IW65" s="21"/>
      <c r="IX65" s="21"/>
      <c r="IY65" s="21"/>
      <c r="IZ65" s="21"/>
      <c r="JA65" s="21"/>
      <c r="JB65" s="30">
        <v>1</v>
      </c>
      <c r="JC65" s="21" t="s">
        <v>1643</v>
      </c>
      <c r="JD65" s="36">
        <v>3920</v>
      </c>
      <c r="JE65" s="21" t="str">
        <f t="shared" si="209"/>
        <v>PESO ADECUADO EDAD GESTACIONAL</v>
      </c>
      <c r="JF65" s="30"/>
      <c r="JG65" s="21"/>
      <c r="JH65" s="21"/>
      <c r="JI65" s="21" t="s">
        <v>854</v>
      </c>
      <c r="JJ65" s="30" t="s">
        <v>926</v>
      </c>
      <c r="JK65" s="22"/>
      <c r="JL65" s="22"/>
      <c r="JM65" s="21"/>
      <c r="JN65" s="36"/>
      <c r="JO65" s="21" t="str">
        <f t="shared" si="210"/>
        <v/>
      </c>
      <c r="JP65" s="22"/>
      <c r="JQ65" s="21"/>
      <c r="JR65" s="21"/>
      <c r="JS65" s="21"/>
      <c r="JT65" s="30"/>
      <c r="JU65" s="22"/>
      <c r="JV65" s="22"/>
      <c r="JW65" s="33"/>
      <c r="JX65" s="28" t="str">
        <f t="shared" si="211"/>
        <v>INASISTENTE</v>
      </c>
      <c r="JY65" s="33"/>
      <c r="JZ65" s="28" t="str">
        <f t="shared" si="212"/>
        <v>INASISTENTE</v>
      </c>
      <c r="KA65" s="21"/>
      <c r="KB65" s="21"/>
      <c r="KC65" s="21"/>
      <c r="KD65" s="37"/>
      <c r="KE65" s="28"/>
      <c r="KF65" s="28"/>
      <c r="KG65" s="28"/>
      <c r="KH65" s="39"/>
      <c r="KI65" s="39"/>
      <c r="KJ65" s="66"/>
      <c r="KK65" s="39"/>
      <c r="KL65" s="39"/>
      <c r="KM65" s="66"/>
      <c r="KN65" s="39"/>
      <c r="KO65" s="39"/>
      <c r="KP65" s="39"/>
      <c r="KQ65" s="39"/>
      <c r="KR65" s="39"/>
      <c r="KS65" s="39"/>
      <c r="KT65" s="39"/>
      <c r="KU65" s="38"/>
      <c r="KV65" s="38"/>
      <c r="KW65" s="38"/>
      <c r="KX65" s="38"/>
      <c r="KY65" s="38"/>
      <c r="KZ65" s="38"/>
      <c r="LA65" s="38"/>
      <c r="LB65" s="38"/>
      <c r="LC65" s="38"/>
      <c r="LD65" s="38"/>
      <c r="LE65" s="38"/>
      <c r="LF65" s="38"/>
      <c r="LG65" s="38"/>
      <c r="LH65" s="38"/>
      <c r="LI65" s="38"/>
      <c r="LJ65" s="38"/>
      <c r="LK65" s="38"/>
      <c r="LL65" s="38"/>
      <c r="LM65" s="38"/>
      <c r="LN65" s="38"/>
      <c r="LO65" s="38"/>
      <c r="LP65" s="38"/>
      <c r="LQ65" s="38"/>
      <c r="LR65" s="38"/>
      <c r="LS65" s="38"/>
      <c r="LT65" s="38"/>
      <c r="LU65" s="38"/>
      <c r="LV65" s="38"/>
      <c r="LW65" s="38"/>
      <c r="LX65" s="38"/>
      <c r="LY65" s="38"/>
      <c r="LZ65" s="38"/>
      <c r="MA65" s="38"/>
      <c r="MB65" s="38"/>
      <c r="MC65" s="38"/>
      <c r="MD65" s="38"/>
      <c r="ME65" s="38"/>
      <c r="MF65" s="38"/>
      <c r="MG65" s="38"/>
      <c r="MH65" s="43">
        <f t="shared" si="213"/>
        <v>0</v>
      </c>
      <c r="MI65" s="43" t="str">
        <f t="shared" si="214"/>
        <v/>
      </c>
      <c r="MJ65" s="43" t="str">
        <f t="shared" si="215"/>
        <v/>
      </c>
      <c r="MK65" s="43">
        <f t="shared" si="216"/>
        <v>0</v>
      </c>
      <c r="ML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5" s="43">
        <f t="shared" si="217"/>
        <v>20.571428571428573</v>
      </c>
      <c r="MN65" s="43">
        <f t="shared" si="218"/>
        <v>12</v>
      </c>
      <c r="MO65" s="43">
        <f t="shared" si="219"/>
        <v>2022</v>
      </c>
      <c r="MP65" s="43" t="str">
        <f t="shared" si="220"/>
        <v>IV TRIMESTRE AÑO</v>
      </c>
      <c r="MQ65" s="43">
        <f t="shared" si="221"/>
        <v>29.410315374507224</v>
      </c>
      <c r="MR65" s="43">
        <f t="shared" si="222"/>
        <v>0</v>
      </c>
      <c r="MS65" s="43" t="str">
        <f t="shared" si="223"/>
        <v xml:space="preserve"> DE 25 A 29 AÑOS</v>
      </c>
      <c r="MT65" s="43">
        <f t="shared" si="224"/>
        <v>0</v>
      </c>
      <c r="MU65" s="43">
        <f t="shared" si="225"/>
        <v>0</v>
      </c>
      <c r="MV65" s="43">
        <f t="shared" si="226"/>
        <v>0</v>
      </c>
      <c r="MW65" s="43">
        <f t="shared" si="227"/>
        <v>0</v>
      </c>
      <c r="MX65" s="43" t="str">
        <f t="shared" si="228"/>
        <v/>
      </c>
      <c r="MY65" s="43" t="str">
        <f t="shared" ca="1" si="229"/>
        <v/>
      </c>
      <c r="MZ65" s="43" t="str">
        <f t="shared" si="230"/>
        <v/>
      </c>
      <c r="NA65" s="43" t="str">
        <f t="shared" si="231"/>
        <v/>
      </c>
      <c r="NB65" s="43" t="str">
        <f t="shared" si="232"/>
        <v/>
      </c>
      <c r="NC65" s="43" t="str">
        <f t="shared" si="233"/>
        <v/>
      </c>
      <c r="ND65" s="43">
        <f t="shared" ca="1" si="234"/>
        <v>0</v>
      </c>
      <c r="NE65" s="43">
        <f>IF(OR(O65&gt;0,R65&gt;0),SUM(COUNTIF(Tabla1[[#This Row],[AÑOS AL INICIO5 CPN]],"&gt;=40"),COUNTIF(AS65,"0"),COUNTIF(AR65,"SI"),COUNTIF(CC65,"SI"),COUNTIF(BQ65,"&gt;119"),COUNTIF(CI65,"&gt;=35")),"")</f>
        <v>0</v>
      </c>
      <c r="NF65" s="43" t="str">
        <f t="shared" si="235"/>
        <v/>
      </c>
      <c r="NG65" s="43">
        <f t="shared" si="236"/>
        <v>0</v>
      </c>
      <c r="NH65" s="43">
        <f t="shared" si="237"/>
        <v>154</v>
      </c>
      <c r="NI6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CPN",P65="NO"),"Z",IF(AND(Tabla1[[#This Row],[CITA PROXIMO CONTROL]]="CITA MANUAL",Tabla1[[#This Row],[GESTANTES ACTUALES]]="ACTIVA INGRESO A CPN"),"W",IF(AND(Tabla1[[#This Row],[GESTANTES ACTUALES]]="SALIO PROGRAMA",IN65=""),"S",IF(AND(Tabla1[[#This Row],[CITA PROXIMO CONTROL]]&gt;0,IN65=""),(Tabla1[[#This Row],[CITA PROXIMO CONTROL]]-TODAY()),"SD"))))))))</f>
        <v>SD</v>
      </c>
      <c r="NJ65" s="43">
        <f>MONTH(Tabla1[[#This Row],[FECHA DE SALIDA  DEL PROGRAMA]])</f>
        <v>5</v>
      </c>
      <c r="NK65" s="43">
        <f>YEAR(Tabla1[[#This Row],[FECHA DE SALIDA  DEL PROGRAMA]])</f>
        <v>2023</v>
      </c>
      <c r="NL65" s="43" t="str">
        <f t="shared" si="238"/>
        <v>X</v>
      </c>
      <c r="NM65" s="43" t="str">
        <f t="shared" si="251"/>
        <v>NO</v>
      </c>
      <c r="NN65" s="43" t="str">
        <f ca="1">IF(AND(O65&gt;0,R65=""),"NO CPN",IF(AND(O65="",R65=""),"",IF(AND(R65&gt;0,Tabla1[[#This Row],[SEMANAS DE GESTACION ACTUALIZADAS]]&lt;=12),"NO APLICA",IF(AND(FH65&lt;&gt;"",FN65&lt;&gt;""),"SI","NO"))))</f>
        <v>NO</v>
      </c>
      <c r="NO65" s="43" t="str">
        <f ca="1">IF(AND(O65&gt;0,R65=""),"NO CPN",IF(AND(O65="",R65=""),"",IF(AND(R65&gt;0,Tabla1[[#This Row],[SEMANAS DE GESTACION ACTUALIZADAS]]&lt;=27),"NO APLICA",IF(AND(ES65&lt;&gt;"",FQ65&lt;&gt;"",GF65&lt;&gt;""),"SI","NO"))))</f>
        <v>NO</v>
      </c>
      <c r="NP65" s="204" t="str">
        <f t="shared" si="240"/>
        <v>II TRIM</v>
      </c>
      <c r="NQ65" s="21" t="str">
        <f t="shared" si="241"/>
        <v/>
      </c>
      <c r="NR65" s="21">
        <f t="shared" si="242"/>
        <v>2</v>
      </c>
      <c r="NS65" s="205">
        <f t="shared" ca="1" si="243"/>
        <v>1</v>
      </c>
      <c r="NT65" s="21">
        <f t="shared" ca="1" si="244"/>
        <v>1</v>
      </c>
      <c r="NU65" s="21" t="str">
        <f t="shared" ca="1" si="245"/>
        <v>INCOMPLETO</v>
      </c>
      <c r="NV65" s="21" t="str">
        <f t="shared" ca="1" si="246"/>
        <v>INCOMPLETO</v>
      </c>
      <c r="NW65" s="206" t="str">
        <f>IF(AND(O65="",R65=""),"",IF(OR(AND(Tabla1[[#This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5" s="207" t="str">
        <f t="shared" ca="1" si="247"/>
        <v>SIN VACUNAR</v>
      </c>
      <c r="NY65" s="43">
        <f>ROW(Tabla1[[#This Row],['# DE TAMIZAJES SIFILIS TOMADOS ]])</f>
        <v>65</v>
      </c>
      <c r="NZ65" s="43">
        <f t="shared" si="93"/>
        <v>20</v>
      </c>
      <c r="OA65" s="43" t="str">
        <f t="shared" si="94"/>
        <v/>
      </c>
      <c r="OB65" s="43" t="str">
        <f t="shared" si="95"/>
        <v/>
      </c>
      <c r="OC65" s="43" t="str">
        <f t="shared" si="96"/>
        <v/>
      </c>
      <c r="OD65" s="43" t="str">
        <f t="shared" si="97"/>
        <v/>
      </c>
      <c r="OE65" s="43" t="str">
        <f t="shared" si="98"/>
        <v/>
      </c>
      <c r="OF65" s="43" t="str">
        <f t="shared" si="99"/>
        <v/>
      </c>
      <c r="OG65" s="43" t="str">
        <f t="shared" si="100"/>
        <v/>
      </c>
      <c r="OH65" s="43" t="str">
        <f t="shared" si="101"/>
        <v/>
      </c>
      <c r="OI65" s="43" t="str">
        <f t="shared" si="102"/>
        <v/>
      </c>
      <c r="OJ65" s="43" t="str">
        <f t="shared" si="103"/>
        <v/>
      </c>
      <c r="OK65" s="43" t="str">
        <f t="shared" si="104"/>
        <v/>
      </c>
      <c r="OL65" s="43" t="str">
        <f t="shared" si="105"/>
        <v>OBESIDAD</v>
      </c>
      <c r="OM65" s="43" t="str">
        <f t="shared" si="106"/>
        <v/>
      </c>
      <c r="ON65" s="43" t="str">
        <f t="shared" si="107"/>
        <v/>
      </c>
      <c r="OO65" s="43" t="str">
        <f t="shared" si="108"/>
        <v/>
      </c>
      <c r="OP65" s="43" t="str">
        <f t="shared" si="109"/>
        <v/>
      </c>
      <c r="OQ65" s="43" t="str">
        <f t="shared" si="110"/>
        <v/>
      </c>
      <c r="OR65" s="43" t="str">
        <f t="shared" si="111"/>
        <v/>
      </c>
      <c r="OS65" s="43" t="str">
        <f t="shared" si="112"/>
        <v/>
      </c>
      <c r="OT65" s="43" t="str">
        <f t="shared" si="113"/>
        <v/>
      </c>
      <c r="OU65" s="43" t="str">
        <f t="shared" si="114"/>
        <v/>
      </c>
      <c r="OV65" s="110" t="str">
        <f t="shared" si="115"/>
        <v/>
      </c>
      <c r="OW65" s="43" t="str">
        <f t="shared" si="116"/>
        <v/>
      </c>
      <c r="OX65" s="43" t="str">
        <f t="shared" si="117"/>
        <v/>
      </c>
      <c r="OY65" s="43" t="str">
        <f t="shared" si="118"/>
        <v/>
      </c>
      <c r="OZ65" s="43" t="str">
        <f t="shared" si="119"/>
        <v/>
      </c>
      <c r="PA65" s="43" t="str">
        <f t="shared" si="120"/>
        <v/>
      </c>
      <c r="PB65" s="43" t="str">
        <f t="shared" si="121"/>
        <v/>
      </c>
      <c r="PC65" s="43" t="str">
        <f t="shared" si="122"/>
        <v/>
      </c>
      <c r="PD65" s="43" t="str">
        <f t="shared" si="123"/>
        <v/>
      </c>
      <c r="PE65" s="43" t="str">
        <f t="shared" si="124"/>
        <v/>
      </c>
      <c r="PF65" s="43" t="str">
        <f t="shared" si="125"/>
        <v/>
      </c>
      <c r="PG65" s="43" t="str">
        <f t="shared" si="126"/>
        <v/>
      </c>
      <c r="PH65" s="43" t="str">
        <f t="shared" si="127"/>
        <v/>
      </c>
      <c r="PI65" s="43">
        <f t="shared" si="128"/>
        <v>20</v>
      </c>
      <c r="PJ65" s="43" t="str">
        <f t="shared" si="129"/>
        <v/>
      </c>
      <c r="PK65" s="43" t="str">
        <f t="shared" si="130"/>
        <v/>
      </c>
      <c r="PL65" s="43" t="str">
        <f t="shared" si="131"/>
        <v/>
      </c>
      <c r="PM65" s="43" t="str">
        <f t="shared" si="132"/>
        <v/>
      </c>
      <c r="PN65" s="43" t="str">
        <f t="shared" si="133"/>
        <v/>
      </c>
      <c r="PO65" s="43" t="str">
        <f t="shared" si="134"/>
        <v/>
      </c>
      <c r="PP65" s="43" t="str">
        <f t="shared" si="135"/>
        <v/>
      </c>
      <c r="PQ65" s="43" t="str">
        <f t="shared" si="136"/>
        <v/>
      </c>
      <c r="PR65" s="43" t="str">
        <f t="shared" si="137"/>
        <v/>
      </c>
      <c r="PS65" s="43" t="str">
        <f t="shared" si="138"/>
        <v/>
      </c>
      <c r="PT65" s="43" t="str">
        <f t="shared" si="139"/>
        <v/>
      </c>
      <c r="PU65" s="43" t="str">
        <f t="shared" si="140"/>
        <v/>
      </c>
      <c r="PV65" s="43" t="str">
        <f t="shared" si="141"/>
        <v/>
      </c>
      <c r="PW65" s="43" t="str">
        <f t="shared" si="142"/>
        <v/>
      </c>
      <c r="PX65" s="43" t="str">
        <f t="shared" si="143"/>
        <v/>
      </c>
      <c r="PY65" s="43" t="str">
        <f t="shared" si="144"/>
        <v/>
      </c>
      <c r="PZ65" s="43" t="str">
        <f t="shared" si="145"/>
        <v/>
      </c>
      <c r="QA65" s="43" t="str">
        <f t="shared" si="146"/>
        <v/>
      </c>
      <c r="QB65" s="43" t="str">
        <f t="shared" si="147"/>
        <v/>
      </c>
      <c r="QC65" s="43" t="str">
        <f t="shared" si="148"/>
        <v/>
      </c>
      <c r="QD65" s="43" t="str">
        <f t="shared" si="149"/>
        <v/>
      </c>
      <c r="QE65" s="43" t="str">
        <f t="shared" si="150"/>
        <v/>
      </c>
      <c r="QF65" s="43" t="str">
        <f t="shared" si="151"/>
        <v/>
      </c>
      <c r="QG65" s="43" t="str">
        <f t="shared" si="152"/>
        <v/>
      </c>
      <c r="QH65" s="43" t="str">
        <f t="shared" si="153"/>
        <v/>
      </c>
      <c r="QI65" s="43" t="str">
        <f t="shared" si="154"/>
        <v/>
      </c>
      <c r="QJ65" s="43" t="str">
        <f t="shared" si="155"/>
        <v/>
      </c>
      <c r="QK65" s="43" t="str">
        <f t="shared" si="156"/>
        <v/>
      </c>
      <c r="QL65" s="43" t="str">
        <f t="shared" si="157"/>
        <v/>
      </c>
      <c r="QM65" s="43" t="str">
        <f t="shared" si="158"/>
        <v/>
      </c>
      <c r="QN65" s="43" t="str">
        <f t="shared" si="159"/>
        <v/>
      </c>
      <c r="QO65" s="43" t="str">
        <f t="shared" si="160"/>
        <v/>
      </c>
      <c r="QP65" s="43" t="str">
        <f t="shared" si="161"/>
        <v/>
      </c>
      <c r="QQ65" s="43" t="str">
        <f t="shared" si="162"/>
        <v/>
      </c>
      <c r="QR65" s="43">
        <f t="shared" si="192"/>
        <v>20</v>
      </c>
      <c r="QS65" s="43"/>
      <c r="QT65" s="21" t="str">
        <f t="shared" si="163"/>
        <v/>
      </c>
      <c r="QU65" s="21" t="str">
        <f t="shared" si="164"/>
        <v/>
      </c>
      <c r="QV65" s="21" t="str">
        <f t="shared" si="165"/>
        <v/>
      </c>
      <c r="QW65" s="21" t="str">
        <f t="shared" si="166"/>
        <v/>
      </c>
      <c r="QX65" s="21" t="str">
        <f t="shared" si="167"/>
        <v/>
      </c>
      <c r="QY65" s="21" t="str">
        <f t="shared" si="168"/>
        <v/>
      </c>
      <c r="QZ65" s="21" t="str">
        <f t="shared" si="169"/>
        <v/>
      </c>
      <c r="RA65" s="21" t="str">
        <f t="shared" si="170"/>
        <v/>
      </c>
      <c r="RB65" s="21" t="str">
        <f t="shared" si="171"/>
        <v/>
      </c>
      <c r="RC65" s="21" t="str">
        <f t="shared" si="172"/>
        <v/>
      </c>
      <c r="RD65" s="21" t="str">
        <f t="shared" si="173"/>
        <v/>
      </c>
      <c r="RE65" s="21" t="str">
        <f t="shared" si="174"/>
        <v/>
      </c>
      <c r="RF65" s="21" t="str">
        <f t="shared" si="175"/>
        <v/>
      </c>
      <c r="RG65" s="21" t="str">
        <f t="shared" si="176"/>
        <v/>
      </c>
      <c r="RH65" s="21" t="str">
        <f t="shared" si="177"/>
        <v/>
      </c>
      <c r="RI65" s="21" t="str">
        <f t="shared" si="178"/>
        <v/>
      </c>
      <c r="RJ65" s="21" t="str">
        <f t="shared" si="179"/>
        <v/>
      </c>
      <c r="RK65" s="21" t="str">
        <f t="shared" si="180"/>
        <v/>
      </c>
      <c r="RL65" s="21" t="str">
        <f t="shared" si="181"/>
        <v/>
      </c>
      <c r="RM65" s="21" t="str">
        <f t="shared" si="182"/>
        <v/>
      </c>
      <c r="RN65" s="21" t="str">
        <f t="shared" si="183"/>
        <v/>
      </c>
      <c r="RO65" s="21" t="str">
        <f t="shared" si="184"/>
        <v/>
      </c>
      <c r="RP65" s="21" t="str">
        <f t="shared" si="185"/>
        <v/>
      </c>
      <c r="RQ65" s="21" t="str">
        <f t="shared" si="186"/>
        <v/>
      </c>
      <c r="RR65" s="21" t="str">
        <f t="shared" si="187"/>
        <v/>
      </c>
      <c r="RS65" s="21" t="str">
        <f t="shared" si="188"/>
        <v/>
      </c>
      <c r="RT65" s="21" t="str">
        <f t="shared" si="189"/>
        <v/>
      </c>
      <c r="RU65" s="21" t="str">
        <f t="shared" si="190"/>
        <v/>
      </c>
      <c r="RV65" s="21">
        <f t="shared" si="191"/>
        <v>20.571428571428573</v>
      </c>
      <c r="RW65" s="284">
        <f>IF(OR(Tabla1[[#This Row],[FUM FORMULA CONFIABLE]]="",Tabla1[[#This Row],[FUM FORMULA CONFIABLE]]="SD"),"",IF(Tabla1[[#This Row],[FUM FORMULA CONFIABLE]]="CORREGIDA",Tabla1[[#This Row],[FUM X ECO 1]],Tabla1[[#This Row],[FUM x AMENORREA]]))</f>
        <v>44764</v>
      </c>
      <c r="RX65" s="21">
        <f>IF(AND(Tabla1[[#This Row],[FUM X ECO 1]]="",Tabla1[[#This Row],[FUM x AMENORREA]]=""),"",IF(AND(Tabla1[[#This Row],[FUM X ECO 1]]="",Tabla1[[#This Row],[FUM x AMENORREA]]&lt;&gt;""),"X",SUM(Tabla1[[#This Row],[FUM X ECO 1]]-Tabla1[[#This Row],[FUM x AMENORREA]])))</f>
        <v>0</v>
      </c>
      <c r="RY65" s="21">
        <f t="shared" si="193"/>
        <v>0</v>
      </c>
    </row>
    <row r="66" spans="1:493" ht="45" customHeight="1" x14ac:dyDescent="0.25">
      <c r="A66" s="109"/>
      <c r="B66" s="43" t="s">
        <v>1121</v>
      </c>
      <c r="C66" s="43" t="s">
        <v>845</v>
      </c>
      <c r="D66" s="124" t="s">
        <v>846</v>
      </c>
      <c r="E66" s="43" t="s">
        <v>848</v>
      </c>
      <c r="F66" s="43" t="s">
        <v>1201</v>
      </c>
      <c r="G66" s="43" t="s">
        <v>1059</v>
      </c>
      <c r="H66" s="43" t="s">
        <v>1202</v>
      </c>
      <c r="I66" s="109" t="s">
        <v>851</v>
      </c>
      <c r="J66" s="110">
        <v>25545957</v>
      </c>
      <c r="K66" s="43" t="s">
        <v>852</v>
      </c>
      <c r="L66" s="175" t="s">
        <v>853</v>
      </c>
      <c r="M66" s="22">
        <v>29665</v>
      </c>
      <c r="N66" s="213">
        <f t="shared" ca="1" si="0"/>
        <v>42.652054794520545</v>
      </c>
      <c r="O66" s="22">
        <v>44908</v>
      </c>
      <c r="P66" s="214" t="str">
        <f t="shared" si="194"/>
        <v>SI</v>
      </c>
      <c r="Q66" s="26" t="s">
        <v>855</v>
      </c>
      <c r="R66" s="22">
        <v>44908</v>
      </c>
      <c r="S66" s="21" t="s">
        <v>856</v>
      </c>
      <c r="T66" s="24" t="s">
        <v>690</v>
      </c>
      <c r="U66" s="21" t="s">
        <v>857</v>
      </c>
      <c r="V66" s="21" t="s">
        <v>858</v>
      </c>
      <c r="W66" s="21" t="s">
        <v>920</v>
      </c>
      <c r="X66" s="21" t="s">
        <v>920</v>
      </c>
      <c r="Y66" s="21" t="s">
        <v>859</v>
      </c>
      <c r="Z66" s="21">
        <v>3218787283</v>
      </c>
      <c r="AA66" s="21" t="s">
        <v>860</v>
      </c>
      <c r="AB66" s="27" t="s">
        <v>861</v>
      </c>
      <c r="AC66" s="26" t="s">
        <v>877</v>
      </c>
      <c r="AD66" s="38" t="s">
        <v>846</v>
      </c>
      <c r="AE66" s="26" t="s">
        <v>854</v>
      </c>
      <c r="AF66" s="26" t="s">
        <v>854</v>
      </c>
      <c r="AG66" s="23" t="s">
        <v>864</v>
      </c>
      <c r="AH66" s="23" t="s">
        <v>864</v>
      </c>
      <c r="AI66" s="24" t="s">
        <v>863</v>
      </c>
      <c r="AJ66" s="23" t="s">
        <v>864</v>
      </c>
      <c r="AK66" s="220" t="str">
        <f>IF(AND(AD66="",AE66="",AF66="",AG66="",AH66="",AI66="",AJ66=""),"",IF(OR(Tabla1[[#This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EVALUACIÓN",IF(AND(O66="",R66=""),"",IF(AND(OR(O66&gt;0,R66&gt;0),NG66&gt;=0,NG66&lt;2),"SIN RIESGO",IF(AND(OR(O66&gt;0,R66&gt;0),NG66&gt;=2),"CON RIESGO","ASD")))))</f>
        <v>SIN RIESGO</v>
      </c>
      <c r="AL66" s="23" t="s">
        <v>864</v>
      </c>
      <c r="AM66" s="26" t="s">
        <v>864</v>
      </c>
      <c r="AN66" s="26" t="s">
        <v>864</v>
      </c>
      <c r="AO66" s="26" t="s">
        <v>864</v>
      </c>
      <c r="AP66" s="26" t="s">
        <v>864</v>
      </c>
      <c r="AQ66" s="26" t="s">
        <v>864</v>
      </c>
      <c r="AR66" s="26" t="s">
        <v>864</v>
      </c>
      <c r="AS66" s="21">
        <v>3</v>
      </c>
      <c r="AT66" s="21">
        <v>3</v>
      </c>
      <c r="AU66" s="21">
        <v>0</v>
      </c>
      <c r="AV66" s="26" t="s">
        <v>864</v>
      </c>
      <c r="AW66" s="21">
        <v>0</v>
      </c>
      <c r="AX66" s="26" t="s">
        <v>864</v>
      </c>
      <c r="AY66" s="26" t="s">
        <v>864</v>
      </c>
      <c r="AZ66" s="26" t="s">
        <v>864</v>
      </c>
      <c r="BA66" s="26" t="s">
        <v>864</v>
      </c>
      <c r="BB66" s="26" t="s">
        <v>864</v>
      </c>
      <c r="BC66" s="26" t="s">
        <v>864</v>
      </c>
      <c r="BD66" s="26" t="s">
        <v>864</v>
      </c>
      <c r="BE66" s="26" t="s">
        <v>864</v>
      </c>
      <c r="BF66" s="26" t="s">
        <v>864</v>
      </c>
      <c r="BG66" s="26" t="s">
        <v>864</v>
      </c>
      <c r="BH66" s="26" t="s">
        <v>864</v>
      </c>
      <c r="BI66" s="26" t="s">
        <v>864</v>
      </c>
      <c r="BJ66" s="26"/>
      <c r="BK66" s="26"/>
      <c r="BL66" s="26" t="s">
        <v>864</v>
      </c>
      <c r="BM66" s="26" t="s">
        <v>864</v>
      </c>
      <c r="BN66" s="22">
        <v>37756</v>
      </c>
      <c r="BO66" s="22">
        <v>44806</v>
      </c>
      <c r="BP66" s="21" t="s">
        <v>854</v>
      </c>
      <c r="BQ66" s="222">
        <f t="shared" si="2"/>
        <v>235</v>
      </c>
      <c r="BR66" s="223">
        <f t="shared" si="3"/>
        <v>44806</v>
      </c>
      <c r="BS66" s="224">
        <f t="shared" si="4"/>
        <v>14.571428571428571</v>
      </c>
      <c r="BT66" s="216" t="str">
        <f t="shared" si="5"/>
        <v>II TRIM</v>
      </c>
      <c r="BU66" s="214" t="str">
        <f t="shared" ca="1" si="6"/>
        <v/>
      </c>
      <c r="BV66" s="25" t="s">
        <v>988</v>
      </c>
      <c r="BW66" s="22">
        <v>44918</v>
      </c>
      <c r="BX66" s="28">
        <v>16</v>
      </c>
      <c r="BY66" s="28"/>
      <c r="BZ66" s="22">
        <v>44995</v>
      </c>
      <c r="CA66" s="21"/>
      <c r="CB66" s="26" t="s">
        <v>864</v>
      </c>
      <c r="CC66" s="26" t="s">
        <v>864</v>
      </c>
      <c r="CD66" s="26" t="s">
        <v>865</v>
      </c>
      <c r="CE66" s="26" t="s">
        <v>864</v>
      </c>
      <c r="CF66" s="22" t="s">
        <v>1517</v>
      </c>
      <c r="CG66" s="21">
        <v>1.48</v>
      </c>
      <c r="CH66" s="21">
        <v>61.4</v>
      </c>
      <c r="CI66" s="214">
        <f t="shared" si="7"/>
        <v>28.031409788166545</v>
      </c>
      <c r="CJ66" s="225" t="e">
        <f>IF(AND(CI66&lt;10,CH66="SD"),"SIN DATO PESO PREGESTACION O I TRIM",IF(AND(OR(R66&gt;0,O66&gt;0),CI66="X"),"INGRESAR DATO DE PESO",IF(CI66="SD","INGRESAR DATO DE TALLA Y PESO",IF(AND(OR(Tabla1[[#This Row],[MOMENTO EN QUE SE REALIZA EL PESO AL INGRESO A CPN]]="PREGESTACIÓN",NZ66="Menor"),CI66&lt;18.5),"BAJO PESO",IF(AND(OR(Tabla1[[#This Row],[MOMENTO EN QUE SE REALIZA EL PESO AL INGRESO A CPN]]="PREGESTACIÓN",NZ66="Menor"),CI66&lt;25),"NORMAL",IF(AND(OR(Tabla1[[#This Row],[MOMENTO EN QUE SE REALIZA EL PESO AL INGRESO A CPN]]="PREGESTACIÓN",NZ66="Menor"),CI66&lt;30),"SOBREPESO",IF(AND(OR(Tabla1[[#This Row],[MOMENTO EN QUE SE REALIZA EL PESO AL INGRESO A CPN]]="PREGESTACIÓN",NZ66="Menor"),CI66&gt;=30,CI66&lt;50),"OBESIDAD",IF(AND(BS66&gt;0,Tabla1[[#This Row],[MOMENTO EN QUE SE REALIZA EL PESO AL INGRESO A CPN]]="GESTACIÓN"),HLOOKUP(NZ66,$OA$2:PH66,NY66),""))))))))</f>
        <v>#REF!</v>
      </c>
      <c r="CK66" s="212">
        <f t="shared" si="8"/>
        <v>45051</v>
      </c>
      <c r="CL66" s="21">
        <v>68.5</v>
      </c>
      <c r="CM66" s="214">
        <f t="shared" si="9"/>
        <v>31.272826880934989</v>
      </c>
      <c r="CN66" s="216">
        <f t="shared" si="10"/>
        <v>35</v>
      </c>
      <c r="CO66" s="216" t="e">
        <f>IF(PI66="","",IF(PI66&gt;0,HLOOKUP(PI66,$PJ$2:QQ66,NY66),""))</f>
        <v>#REF!</v>
      </c>
      <c r="CP66" s="21"/>
      <c r="CQ66" s="216" t="e">
        <f>IF(QR66="Menor","NO APLICA-MENOR 13 SEM",IF(AND(CC66="SI",CN66&gt;23),"NO APLICA- GEMELAR",IF(QR66="","",IF(QR66&gt;0,HLOOKUP(QR66,$QS$2:RU66,NY66),""))))</f>
        <v>#REF!</v>
      </c>
      <c r="CR66" s="21"/>
      <c r="CS66" s="21"/>
      <c r="CT66" s="217" t="str">
        <f>IF(R66="","",IF(AND(BS66&gt;1,BS66&lt;12,Tabla1[[#This Row],[T.A. SISTOLICA - ANTES DE SEMANA 12]]="",Tabla1[[#This Row],[T.A. DIASTOLICA - ANTES DE SEMANA 12]]=""),"REGISTRE DATO TA ANTES SEMANA 12",IF(AND(BS66&gt;11,BS66&lt;43,Tabla1[[#This Row],[T.A. SISTOLICA - ANTES DE SEMANA 12]]="",Tabla1[[#This Row],[T.A. DIASTOLICA - ANTES DE SEMANA 12]]=""),"NO APLICA REGISTRO TA-INGRESO TARDIO",IF(AND(OR(O66&gt;0,R66&gt;0),OR(CR66&gt;=140,CS66&gt;=90)),"DEFINIR ESTADIO HTA",IF(AND(OR(O66&gt;0,R66&gt;0),AND(CR66&gt;120,CR66&lt;=139)),"PRE HTA SEGUIMIENTO",IF(AND(OR(O66&gt;0,R66&gt;0),AND(CS66&gt;80,CS66&lt;=89)),"PRE HTA SEGUIMIENTO",IF(AND(OR(O66&gt;0,R66&gt;0),AND(CR66&gt;=80,CR66&lt;=120)),"APARENTEMENTE NORMAL",IF(AND(OR(O66&gt;0,R66&gt;0),AND(CS66&gt;=50,CS66&lt;=80)),"APARENTEMENTE NORMAL",IF(AND(OR(O66&gt;0,R66&gt;0),AND(CR66&gt;1,CR66&lt;=70),AND(CS66&gt;1,CS66&lt;=40)),"HIPOTENSIÓN","")))))))))</f>
        <v>NO APLICA REGISTRO TA-INGRESO TARDIO</v>
      </c>
      <c r="CU66" s="21">
        <v>110</v>
      </c>
      <c r="CV66" s="21">
        <v>60</v>
      </c>
      <c r="CW66" s="217" t="str">
        <f ca="1">IF(R66="","",IF(AND(CN66&gt;19,CN66&lt;27,Tabla1[[#This Row],[T.A. SISTOLICA (Entre semana 20 y 26)]]="",Tabla1[[#This Row],[T.A. DIATOLICA (Entre semana 20 y 26)]]=""),"ACUDE A CONTROL SEM 20 A 26 REGISTRE TA AHORA",IF(AND(BS66&gt;1,BS66&lt;27,BU66&gt;19,Tabla1[[#This Row],[T.A. SISTOLICA (Entre semana 20 y 26)]]="",Tabla1[[#This Row],[T.A. DIATOLICA (Entre semana 20 y 26)]]=""),"COMPLETE REGISTRO TA CONTROL SEM 20 A26 ",IF(AND(BS66&gt;26,BS66&lt;43,Tabla1[[#This Row],[T.A. SISTOLICA (Entre semana 20 y 26)]]="",Tabla1[[#This Row],[T.A. DIATOLICA (Entre semana 20 y 26)]]=""),"NO APLICA REGISTRO TA-INGRESO TARDIO",IF(AND(OR(O66&gt;0,R66&gt;0),OR(CU66&gt;=140,CV66&gt;=90)),"ALTO RIESGO PREECLAMPSIA,DEFINIR ESTADIO HTA",IF(AND(OR(O66&gt;0,R66&gt;0),AND(CU66&gt;120,CU66&lt;=139)),"PRE HTA SEGUIMIENTO,RIESGO HIPERTENSION INDUCIDA POR EL EMBARAZO",IF(AND(OR(O66&gt;0,R66&gt;0),AND(CV66&gt;80,CV66&lt;=89)),"PRE HTA SEGUIMIENTO, RIESGO HIPERTENSION INDUCIDA POR EL EMBARAZO",IF(AND(OR(O66&lt;&gt;"",R66&lt;&gt;""),CS66&lt;&gt;"",CV66&lt;&gt;"",CS66&lt;=CV66),"VIGILAR CIFRAS PRESION ARTERIAL",IF(AND(OR(O66&gt;0,R66&gt;0),AND(CU66&gt;120,CU66&lt;=139)),"PRE HTA SEGUIMIENTO",IF(AND(OR(O66&gt;0,R66&gt;0),AND(CU66&gt;1,CU66&lt;=70),AND(CV66&gt;1,CV66&lt;=40)),"HIPOTENSIÓN",IF(AND(OR(O66&lt;&gt;"",R66&lt;&gt;""),CS66&lt;&gt;"",CV66&lt;&gt;"",CS66&gt;CV66),"APARENTEMENTE NORMAL",IF(AND(OR(O66&gt;0,R66&gt;0),AND(CU66&gt;=80,CU66&lt;=120)),"APARENTEMENTE NORMAL",IF(AND(OR(O66&gt;0,R66&gt;0),AND(CV66&gt;=50,CV66&lt;=80)),"APARENTEMENTE NORMAL","")))))))))))))</f>
        <v>APARENTEMENTE NORMAL</v>
      </c>
      <c r="CX66" s="21"/>
      <c r="CY66" s="21"/>
      <c r="CZ66" s="216" t="str">
        <f t="shared" si="195"/>
        <v/>
      </c>
      <c r="DA66" s="21">
        <v>100</v>
      </c>
      <c r="DB66" s="21">
        <v>60</v>
      </c>
      <c r="DC66" s="217" t="str">
        <f t="shared" si="12"/>
        <v>VIGILAR CIFRAS PRESION ARTERIAL</v>
      </c>
      <c r="DD66" s="22">
        <v>44908</v>
      </c>
      <c r="DE66" s="22">
        <v>44908</v>
      </c>
      <c r="DF66" s="22">
        <v>44959</v>
      </c>
      <c r="DG66" s="22">
        <v>44995</v>
      </c>
      <c r="DH66" s="22">
        <v>45009</v>
      </c>
      <c r="DI66" s="22">
        <v>45051</v>
      </c>
      <c r="DJ66" s="22"/>
      <c r="DK66" s="22"/>
      <c r="DL66" s="22"/>
      <c r="DM66" s="22"/>
      <c r="DN66" s="22"/>
      <c r="DO66" s="22"/>
      <c r="DP66" s="22"/>
      <c r="DQ66" s="22"/>
      <c r="DR66" s="28">
        <v>1</v>
      </c>
      <c r="DS66" s="22"/>
      <c r="DT66" s="22"/>
      <c r="DU66" s="216" t="str">
        <f t="shared" ca="1" si="196"/>
        <v>SALE SIN PLAN DE PARTO</v>
      </c>
      <c r="DV66" s="226" t="str">
        <f t="shared" si="197"/>
        <v>SALIO PROGRAMA</v>
      </c>
      <c r="DW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6" s="216" t="str">
        <f t="shared" ca="1" si="15"/>
        <v/>
      </c>
      <c r="DY66" s="212">
        <f>IF(R66="","",IF(R66&gt;0,MAX(Tabla1[[#This Row],[FECHA C2]:[FECHA C13]],Tabla1[[#This Row],[FECHA CONSULTA PRIMERA VEZ PROGRAMA CPN ]])))</f>
        <v>45051</v>
      </c>
      <c r="DZ66" s="216">
        <f t="shared" si="16"/>
        <v>35</v>
      </c>
      <c r="EA66" s="222">
        <f>IF(R66&gt;0,SUM(COUNTA(DF66:DQ66)+COUNTA(Tabla1[[#This Row],[FECHA CONSULTA PRIMERA VEZ PROGRAMA CPN ]])),"")</f>
        <v>5</v>
      </c>
      <c r="EB66" s="222" t="str">
        <f t="shared" si="17"/>
        <v>SI</v>
      </c>
      <c r="EC66" s="214">
        <f t="shared" si="18"/>
        <v>8</v>
      </c>
      <c r="ED66" s="227">
        <f t="shared" si="19"/>
        <v>0.625</v>
      </c>
      <c r="EE66" s="22">
        <v>44908</v>
      </c>
      <c r="EF66" s="22">
        <v>45016</v>
      </c>
      <c r="EG66" s="22">
        <v>44908</v>
      </c>
      <c r="EH66" s="22"/>
      <c r="EI66" s="22">
        <v>44908</v>
      </c>
      <c r="EJ66" s="22">
        <v>44944</v>
      </c>
      <c r="EK66" s="22">
        <v>44944</v>
      </c>
      <c r="EL66" s="21">
        <v>1</v>
      </c>
      <c r="EM66" s="21">
        <v>12.9</v>
      </c>
      <c r="EN66" s="22">
        <v>44908</v>
      </c>
      <c r="EO66" s="222">
        <f t="shared" si="20"/>
        <v>14.571428571428571</v>
      </c>
      <c r="EP66" s="214" t="str">
        <f t="shared" si="21"/>
        <v>NORMAL- SUMINISTRAR SULFATO FERROSO</v>
      </c>
      <c r="EQ66" s="216" t="str">
        <f t="shared" si="22"/>
        <v>II TRIM</v>
      </c>
      <c r="ER66" s="24"/>
      <c r="ES66" s="22"/>
      <c r="ET66" s="29" t="str">
        <f t="shared" ca="1" si="198"/>
        <v>SALE SIN TAMIZAJE HEMOGLOBINA SEM 28</v>
      </c>
      <c r="EU66" s="25" t="str">
        <f t="shared" si="24"/>
        <v/>
      </c>
      <c r="EV66" s="24" t="s">
        <v>866</v>
      </c>
      <c r="EW66" s="24">
        <v>44908</v>
      </c>
      <c r="EX66" s="22"/>
      <c r="EY66" s="29">
        <f t="shared" si="248"/>
        <v>14.571428571428571</v>
      </c>
      <c r="EZ66" s="25" t="str">
        <f t="shared" ca="1" si="249"/>
        <v/>
      </c>
      <c r="FA66" s="21">
        <v>72</v>
      </c>
      <c r="FB66" s="22">
        <v>44908</v>
      </c>
      <c r="FC66" s="29">
        <f t="shared" si="27"/>
        <v>14.571428571428571</v>
      </c>
      <c r="FD66" s="29"/>
      <c r="FE66" s="29"/>
      <c r="FF66" s="29"/>
      <c r="FG66" s="21" t="str">
        <f t="shared" ca="1" si="28"/>
        <v/>
      </c>
      <c r="FH66" s="31"/>
      <c r="FI66" s="29" t="str">
        <f t="shared" si="29"/>
        <v>TOMAR EXAMEN</v>
      </c>
      <c r="FJ66" s="22"/>
      <c r="FK66" s="22"/>
      <c r="FL66" s="29" t="str">
        <f t="shared" ca="1" si="30"/>
        <v>NO APLICA-INGRESO TARDIO</v>
      </c>
      <c r="FM66" s="22" t="s">
        <v>867</v>
      </c>
      <c r="FN66" s="32">
        <v>44908</v>
      </c>
      <c r="FO66" s="29">
        <f t="shared" ca="1" si="201"/>
        <v>14.571428571428571</v>
      </c>
      <c r="FP66" s="22"/>
      <c r="FQ66" s="32"/>
      <c r="FR66" s="29" t="str">
        <f t="shared" ca="1" si="202"/>
        <v>PIERDE TOMA DE TAMIZAJE</v>
      </c>
      <c r="FS66" s="22"/>
      <c r="FT66" s="32"/>
      <c r="FU66" s="29" t="str">
        <f>IF(AND(FJ66="",FM66="",FP66="",FS66=""),"",IF(OR(OR(Tabla1[[#This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6" s="28"/>
      <c r="FW66" s="22"/>
      <c r="FX66" s="29" t="str">
        <f t="shared" si="33"/>
        <v>TOMAR EXAMEN</v>
      </c>
      <c r="FY66" s="22">
        <v>44908</v>
      </c>
      <c r="FZ66" s="22">
        <v>44908</v>
      </c>
      <c r="GA66" s="29" t="str">
        <f t="shared" si="250"/>
        <v>REGISTRAR EN II TRIMESTRE</v>
      </c>
      <c r="GB66" s="22" t="s">
        <v>868</v>
      </c>
      <c r="GC66" s="22">
        <v>44908</v>
      </c>
      <c r="GD66" s="29">
        <f t="shared" ca="1" si="204"/>
        <v>14.571428571428571</v>
      </c>
      <c r="GE66" s="22" t="s">
        <v>868</v>
      </c>
      <c r="GF66" s="22">
        <v>45051</v>
      </c>
      <c r="GG66" s="29">
        <f t="shared" ca="1" si="205"/>
        <v>35</v>
      </c>
      <c r="GH66" s="22"/>
      <c r="GI66" s="29"/>
      <c r="GJ66" s="22"/>
      <c r="GK66" s="22"/>
      <c r="GL66" s="22"/>
      <c r="GM66" s="22"/>
      <c r="GN66" s="28" t="s">
        <v>869</v>
      </c>
      <c r="GO66" s="22">
        <v>44908</v>
      </c>
      <c r="GP66" s="29">
        <f t="shared" si="37"/>
        <v>14.571428571428571</v>
      </c>
      <c r="GQ66" s="28" t="s">
        <v>880</v>
      </c>
      <c r="GR66" s="28" t="s">
        <v>869</v>
      </c>
      <c r="GS66" s="22" t="str">
        <f t="shared" si="206"/>
        <v>SE EXCLUYE INFECCION</v>
      </c>
      <c r="GT66" s="22">
        <v>44908</v>
      </c>
      <c r="GU66" s="29">
        <f t="shared" si="39"/>
        <v>14.571428571428571</v>
      </c>
      <c r="GV66" s="21" t="str">
        <f t="shared" si="40"/>
        <v>II TRIM</v>
      </c>
      <c r="GW66" s="28" t="s">
        <v>869</v>
      </c>
      <c r="GX66" s="30"/>
      <c r="GY66" s="21"/>
      <c r="GZ66" s="21"/>
      <c r="HA66" s="21"/>
      <c r="HB66" s="21"/>
      <c r="HC66" s="21"/>
      <c r="HD66" s="21"/>
      <c r="HE66" s="21"/>
      <c r="HF66" s="22"/>
      <c r="HG66" s="22" t="str">
        <f>IF(OR(O66&gt;0,R66&gt;0),CONCATENATE(IF(Tabla1[[#This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6" s="22" t="e">
        <f t="shared" si="41"/>
        <v>#REF!</v>
      </c>
      <c r="HI66" s="22" t="str">
        <f t="shared" si="42"/>
        <v>ALTO RIESGO</v>
      </c>
      <c r="HJ66" s="21"/>
      <c r="HK66" s="21" t="str">
        <f t="shared" si="44"/>
        <v>RIESGO MODERADO (2 O MAS CRITERIOS) VER MANEJO GUIA SUMINISTRO ASA Y CALCIO</v>
      </c>
      <c r="HL66" s="24" t="str">
        <f t="shared" si="45"/>
        <v>VIGILAR CIFRAS PRESION ARTERIAL</v>
      </c>
      <c r="HM66" s="21" t="str">
        <f t="shared" ca="1" si="46"/>
        <v/>
      </c>
      <c r="HN66" s="30" t="str">
        <f t="shared" si="207"/>
        <v>SALIO PROGRAMA</v>
      </c>
      <c r="HO66" s="21"/>
      <c r="HP66" s="21"/>
      <c r="HQ66" s="21">
        <v>44908</v>
      </c>
      <c r="HR66" s="21" t="str">
        <f>IF(R66="","",IF(Tabla1[[#This Row],[ALARMA FACTORES DE RIESGO COMPLICACIONES HIPERTENSIVAS3]]="SIN ANTECEDENTES DE RIESGO","No Aplica para suministro de ASA",IF(AND(Tabla1[[#This Row],[FECHA INICIO DE SUMINISTRO DE ASA]]&gt;0,RV66&lt;12),"Inicia ASA ANTES de Sem 12",IF(AND(RV66&gt;11,RV66&lt;17,OR(HK66="RIESGO ALTO DE COMPLICACIONES HIPERTENSIVAS VER MANEJO GUIA SUMINISTRO ASA Y CALCIO",HK66="RIESGO MODERADO (2 O MAS CRITERIOS) VER MANEJO GUIA SUMINISTRO ASA Y CALCIO")),"Inicio oportuno de ASA",IF(AND(RV66&gt;12,OR(HK66="RIESGO ALTO DE COMPLICACIONES HIPERTENSIVAS VER MANEJO GUIA SUMINISTRO ASA Y CALCIO",HK66="RIESGO MODERADO (2 O MAS CRITERIOS) VER MANEJO GUIA SUMINISTRO ASA Y CALCIO")),"Inicio no oportuno mayor a 16 semanas",IF(AND(BU66&lt;12,OR(HK66="RIESGO ALTO DE COMPLICACIONES HIPERTENSIVAS VER MANEJO GUIA SUMINISTRO ASA Y CALCIO",HK66="RIESGO MODERADO (2 O MAS CRITERIOS) VER MANEJO GUIA SUMINISTRO ASA Y CALCIO")),"Pendiente Inicio de ASA a la semana 12",IF(AND(BU66&gt;11,BU66&lt;17,OR(HK66="RIESGO ALTO DE COMPLICACIONES HIPERTENSIVAS VER MANEJO GUIA SUMINISTRO ASA Y CALCIO",HK66="RIESGO MODERADO (2 O MAS CRITERIOS) VER MANEJO GUIA SUMINISTRO ASA Y CALCIO")),"Iniciar de inmediato ASA",IF(AND(BU66&gt;16,OR(HK66="RIESGO ALTO DE COMPLICACIONES HIPERTENSIVAS VER MANEJO GUIA SUMINISTRO ASA Y CALCIO",HK66="RIESGO MODERADO (2 O MAS CRITERIOS) VER MANEJO GUIA SUMINISTRO ASA Y CALCIO")),"Pierde Oportunidad, Inicio tardío de ASA","XXXXX"))))))))</f>
        <v>Inicio oportuno de ASA</v>
      </c>
      <c r="HS66" s="22">
        <v>44908</v>
      </c>
      <c r="HT66" s="22" t="s">
        <v>870</v>
      </c>
      <c r="HU66" s="22"/>
      <c r="HV66" s="22"/>
      <c r="HW66" s="22">
        <v>44908</v>
      </c>
      <c r="HX66" s="22" t="s">
        <v>870</v>
      </c>
      <c r="HY66" s="22">
        <v>44908</v>
      </c>
      <c r="HZ66" s="28">
        <f t="shared" si="48"/>
        <v>14.571428571428571</v>
      </c>
      <c r="IA66" s="26" t="s">
        <v>864</v>
      </c>
      <c r="IB66" s="26"/>
      <c r="IC66" s="111">
        <v>44918</v>
      </c>
      <c r="ID66" s="22">
        <v>44995</v>
      </c>
      <c r="IE66" s="22" t="str">
        <f t="shared" ca="1" si="49"/>
        <v>VACUNA APLICADA ENTRE SEMANA 27 Y EL PARTO</v>
      </c>
      <c r="IF66" s="22"/>
      <c r="IG66" s="22">
        <f t="shared" si="50"/>
        <v>45086</v>
      </c>
      <c r="IH66" s="29">
        <f t="shared" ca="1" si="51"/>
        <v>-147</v>
      </c>
      <c r="II66" s="22" t="str">
        <f t="shared" ca="1" si="52"/>
        <v>POSIBLEMENTE NACIO</v>
      </c>
      <c r="IJ66" s="22"/>
      <c r="IK66" s="21" t="s">
        <v>898</v>
      </c>
      <c r="IL66" s="21"/>
      <c r="IM66" s="34"/>
      <c r="IN66" s="349">
        <v>45072</v>
      </c>
      <c r="IO66" s="21" t="s">
        <v>1186</v>
      </c>
      <c r="IP66" s="29">
        <f t="shared" si="208"/>
        <v>38</v>
      </c>
      <c r="IQ66" s="110" t="s">
        <v>1654</v>
      </c>
      <c r="IR66" s="21" t="s">
        <v>1651</v>
      </c>
      <c r="IS66" s="21" t="s">
        <v>1646</v>
      </c>
      <c r="IT66" s="21" t="s">
        <v>1642</v>
      </c>
      <c r="IU66" s="21"/>
      <c r="IV66" s="21"/>
      <c r="IW66" s="21"/>
      <c r="IX66" s="21"/>
      <c r="IY66" s="21"/>
      <c r="IZ66" s="21"/>
      <c r="JA66" s="21"/>
      <c r="JB66" s="30">
        <v>1</v>
      </c>
      <c r="JC66" s="21" t="s">
        <v>1643</v>
      </c>
      <c r="JD66" s="36">
        <v>2620</v>
      </c>
      <c r="JE66" s="21" t="str">
        <f t="shared" si="209"/>
        <v>PESO ADECUADO EDAD GESTACIONAL</v>
      </c>
      <c r="JF66" s="30"/>
      <c r="JG66" s="21"/>
      <c r="JH66" s="21"/>
      <c r="JI66" s="21" t="s">
        <v>854</v>
      </c>
      <c r="JJ66" s="30" t="s">
        <v>866</v>
      </c>
      <c r="JK66" s="22"/>
      <c r="JL66" s="22"/>
      <c r="JM66" s="21"/>
      <c r="JN66" s="36"/>
      <c r="JO66" s="21" t="str">
        <f t="shared" si="210"/>
        <v/>
      </c>
      <c r="JP66" s="22"/>
      <c r="JQ66" s="21"/>
      <c r="JR66" s="21"/>
      <c r="JS66" s="21"/>
      <c r="JT66" s="30"/>
      <c r="JU66" s="22"/>
      <c r="JV66" s="22"/>
      <c r="JW66" s="33"/>
      <c r="JX66" s="28" t="str">
        <f t="shared" si="211"/>
        <v>INASISTENTE</v>
      </c>
      <c r="JY66" s="33"/>
      <c r="JZ66" s="28" t="str">
        <f t="shared" si="212"/>
        <v>INASISTENTE</v>
      </c>
      <c r="KA66" s="21"/>
      <c r="KB66" s="21"/>
      <c r="KC66" s="21"/>
      <c r="KD66" s="37"/>
      <c r="KE66" s="28"/>
      <c r="KF66" s="28"/>
      <c r="KG66" s="28"/>
      <c r="KH66" s="39"/>
      <c r="KI66" s="39"/>
      <c r="KJ66" s="66"/>
      <c r="KK66" s="39"/>
      <c r="KL66" s="39"/>
      <c r="KM66" s="66"/>
      <c r="KN66" s="39"/>
      <c r="KO66" s="39"/>
      <c r="KP66" s="39"/>
      <c r="KQ66" s="39"/>
      <c r="KR66" s="39"/>
      <c r="KS66" s="39"/>
      <c r="KT66" s="39"/>
      <c r="KU66" s="38"/>
      <c r="KV66" s="38"/>
      <c r="KW66" s="38"/>
      <c r="KX66" s="38"/>
      <c r="KY66" s="38"/>
      <c r="KZ66" s="38"/>
      <c r="LA66" s="38"/>
      <c r="LB66" s="38"/>
      <c r="LC66" s="38"/>
      <c r="LD66" s="38"/>
      <c r="LE66" s="38"/>
      <c r="LF66" s="38"/>
      <c r="LG66" s="38"/>
      <c r="LH66" s="38"/>
      <c r="LI66" s="38"/>
      <c r="LJ66" s="38"/>
      <c r="LK66" s="38"/>
      <c r="LL66" s="38"/>
      <c r="LM66" s="38"/>
      <c r="LN66" s="38"/>
      <c r="LO66" s="38"/>
      <c r="LP66" s="38"/>
      <c r="LQ66" s="38"/>
      <c r="LR66" s="38"/>
      <c r="LS66" s="38"/>
      <c r="LT66" s="38"/>
      <c r="LU66" s="38"/>
      <c r="LV66" s="38"/>
      <c r="LW66" s="38"/>
      <c r="LX66" s="38"/>
      <c r="LY66" s="38"/>
      <c r="LZ66" s="38"/>
      <c r="MA66" s="38"/>
      <c r="MB66" s="38"/>
      <c r="MC66" s="38"/>
      <c r="MD66" s="38"/>
      <c r="ME66" s="38"/>
      <c r="MF66" s="38"/>
      <c r="MG66" s="38"/>
      <c r="MH66" s="43">
        <f t="shared" si="213"/>
        <v>0</v>
      </c>
      <c r="MI66" s="43" t="str">
        <f t="shared" si="214"/>
        <v/>
      </c>
      <c r="MJ66" s="43" t="str">
        <f t="shared" si="215"/>
        <v/>
      </c>
      <c r="MK66" s="43">
        <f t="shared" si="216"/>
        <v>0</v>
      </c>
      <c r="ML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6" s="43">
        <f t="shared" si="217"/>
        <v>14.571428571428571</v>
      </c>
      <c r="MN66" s="43">
        <f t="shared" si="218"/>
        <v>12</v>
      </c>
      <c r="MO66" s="43">
        <f t="shared" si="219"/>
        <v>2022</v>
      </c>
      <c r="MP66" s="43" t="str">
        <f t="shared" si="220"/>
        <v>IV TRIMESTRE AÑO</v>
      </c>
      <c r="MQ66" s="43">
        <f t="shared" si="221"/>
        <v>41.127354358300479</v>
      </c>
      <c r="MR66" s="43">
        <f t="shared" si="222"/>
        <v>2</v>
      </c>
      <c r="MS66" s="43" t="str">
        <f t="shared" si="223"/>
        <v xml:space="preserve"> DE 40 Y MAS</v>
      </c>
      <c r="MT66" s="43">
        <f t="shared" si="224"/>
        <v>0</v>
      </c>
      <c r="MU66" s="43">
        <f t="shared" si="225"/>
        <v>0</v>
      </c>
      <c r="MV66" s="43">
        <f t="shared" si="226"/>
        <v>0</v>
      </c>
      <c r="MW66" s="43">
        <f t="shared" si="227"/>
        <v>0</v>
      </c>
      <c r="MX66" s="43" t="str">
        <f t="shared" si="228"/>
        <v/>
      </c>
      <c r="MY66" s="43" t="str">
        <f t="shared" ca="1" si="229"/>
        <v/>
      </c>
      <c r="MZ66" s="43" t="str">
        <f t="shared" si="230"/>
        <v/>
      </c>
      <c r="NA66" s="43">
        <f t="shared" si="231"/>
        <v>0</v>
      </c>
      <c r="NB66" s="43" t="str">
        <f t="shared" si="232"/>
        <v/>
      </c>
      <c r="NC66" s="43" t="str">
        <f t="shared" si="233"/>
        <v/>
      </c>
      <c r="ND66" s="43">
        <f t="shared" ca="1" si="234"/>
        <v>2</v>
      </c>
      <c r="NE66" s="43">
        <f>IF(OR(O66&gt;0,R66&gt;0),SUM(COUNTIF(Tabla1[[#This Row],[AÑOS AL INICIO5 CPN]],"&gt;=40"),COUNTIF(AS66,"0"),COUNTIF(AR66,"SI"),COUNTIF(CC66,"SI"),COUNTIF(BQ66,"&gt;119"),COUNTIF(CI66,"&gt;=35")),"")</f>
        <v>2</v>
      </c>
      <c r="NF66" s="43">
        <f t="shared" si="235"/>
        <v>27</v>
      </c>
      <c r="NG66" s="43">
        <f t="shared" si="236"/>
        <v>0</v>
      </c>
      <c r="NH66" s="43">
        <f t="shared" si="237"/>
        <v>112</v>
      </c>
      <c r="NI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CPN",P66="NO"),"Z",IF(AND(Tabla1[[#This Row],[CITA PROXIMO CONTROL]]="CITA MANUAL",Tabla1[[#This Row],[GESTANTES ACTUALES]]="ACTIVA INGRESO A CPN"),"W",IF(AND(Tabla1[[#This Row],[GESTANTES ACTUALES]]="SALIO PROGRAMA",IN66=""),"S",IF(AND(Tabla1[[#This Row],[CITA PROXIMO CONTROL]]&gt;0,IN66=""),(Tabla1[[#This Row],[CITA PROXIMO CONTROL]]-TODAY()),"SD"))))))))</f>
        <v>SD</v>
      </c>
      <c r="NJ66" s="43">
        <f>MONTH(Tabla1[[#This Row],[FECHA DE SALIDA  DEL PROGRAMA]])</f>
        <v>5</v>
      </c>
      <c r="NK66" s="43">
        <f>YEAR(Tabla1[[#This Row],[FECHA DE SALIDA  DEL PROGRAMA]])</f>
        <v>2023</v>
      </c>
      <c r="NL66" s="43">
        <f t="shared" si="238"/>
        <v>36</v>
      </c>
      <c r="NM66" s="43" t="str">
        <f t="shared" si="251"/>
        <v>NO</v>
      </c>
      <c r="NN66" s="43" t="str">
        <f ca="1">IF(AND(O66&gt;0,R66=""),"NO CPN",IF(AND(O66="",R66=""),"",IF(AND(R66&gt;0,Tabla1[[#This Row],[SEMANAS DE GESTACION ACTUALIZADAS]]&lt;=12),"NO APLICA",IF(AND(FH66&lt;&gt;"",FN66&lt;&gt;""),"SI","NO"))))</f>
        <v>NO</v>
      </c>
      <c r="NO66" s="43" t="str">
        <f ca="1">IF(AND(O66&gt;0,R66=""),"NO CPN",IF(AND(O66="",R66=""),"",IF(AND(R66&gt;0,Tabla1[[#This Row],[SEMANAS DE GESTACION ACTUALIZADAS]]&lt;=27),"NO APLICA",IF(AND(ES66&lt;&gt;"",FQ66&lt;&gt;"",GF66&lt;&gt;""),"SI","NO"))))</f>
        <v>NO</v>
      </c>
      <c r="NP66" s="204" t="str">
        <f t="shared" si="240"/>
        <v>II TRIM</v>
      </c>
      <c r="NQ66" s="21" t="str">
        <f t="shared" si="241"/>
        <v/>
      </c>
      <c r="NR66" s="21">
        <f t="shared" si="242"/>
        <v>2</v>
      </c>
      <c r="NS66" s="205">
        <f t="shared" ca="1" si="243"/>
        <v>1</v>
      </c>
      <c r="NT66" s="21">
        <f t="shared" ca="1" si="244"/>
        <v>2</v>
      </c>
      <c r="NU66" s="21" t="str">
        <f t="shared" ca="1" si="245"/>
        <v>INCOMPLETO</v>
      </c>
      <c r="NV66" s="21" t="str">
        <f t="shared" ca="1" si="246"/>
        <v>COMPLETO</v>
      </c>
      <c r="NW66" s="206" t="str">
        <f>IF(AND(O66="",R66=""),"",IF(OR(AND(Tabla1[[#This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66" s="207" t="str">
        <f t="shared" ca="1" si="247"/>
        <v>VACUNADA</v>
      </c>
      <c r="NY66" s="43">
        <f>ROW(Tabla1[[#This Row],['# DE TAMIZAJES SIFILIS TOMADOS ]])</f>
        <v>66</v>
      </c>
      <c r="NZ66" s="43">
        <f t="shared" si="93"/>
        <v>14</v>
      </c>
      <c r="OA66" s="43" t="str">
        <f t="shared" si="94"/>
        <v/>
      </c>
      <c r="OB66" s="43" t="str">
        <f t="shared" si="95"/>
        <v/>
      </c>
      <c r="OC66" s="43" t="str">
        <f t="shared" si="96"/>
        <v/>
      </c>
      <c r="OD66" s="43" t="str">
        <f t="shared" si="97"/>
        <v/>
      </c>
      <c r="OE66" s="43" t="str">
        <f t="shared" si="98"/>
        <v/>
      </c>
      <c r="OF66" s="43" t="str">
        <f t="shared" si="99"/>
        <v>SOBREPESO</v>
      </c>
      <c r="OG66" s="43" t="str">
        <f t="shared" si="100"/>
        <v/>
      </c>
      <c r="OH66" s="43" t="str">
        <f t="shared" si="101"/>
        <v/>
      </c>
      <c r="OI66" s="43" t="str">
        <f t="shared" si="102"/>
        <v/>
      </c>
      <c r="OJ66" s="43" t="str">
        <f t="shared" si="103"/>
        <v/>
      </c>
      <c r="OK66" s="43" t="str">
        <f t="shared" si="104"/>
        <v/>
      </c>
      <c r="OL66" s="43" t="str">
        <f t="shared" si="105"/>
        <v/>
      </c>
      <c r="OM66" s="43" t="str">
        <f t="shared" si="106"/>
        <v/>
      </c>
      <c r="ON66" s="43" t="str">
        <f t="shared" si="107"/>
        <v/>
      </c>
      <c r="OO66" s="43" t="str">
        <f t="shared" si="108"/>
        <v/>
      </c>
      <c r="OP66" s="43" t="str">
        <f t="shared" si="109"/>
        <v/>
      </c>
      <c r="OQ66" s="43" t="str">
        <f t="shared" si="110"/>
        <v/>
      </c>
      <c r="OR66" s="43" t="str">
        <f t="shared" si="111"/>
        <v/>
      </c>
      <c r="OS66" s="43" t="str">
        <f t="shared" si="112"/>
        <v/>
      </c>
      <c r="OT66" s="43" t="str">
        <f t="shared" si="113"/>
        <v/>
      </c>
      <c r="OU66" s="43" t="str">
        <f t="shared" si="114"/>
        <v/>
      </c>
      <c r="OV66" s="110" t="str">
        <f t="shared" si="115"/>
        <v/>
      </c>
      <c r="OW66" s="43" t="str">
        <f t="shared" si="116"/>
        <v/>
      </c>
      <c r="OX66" s="43" t="str">
        <f t="shared" si="117"/>
        <v/>
      </c>
      <c r="OY66" s="43" t="str">
        <f t="shared" si="118"/>
        <v/>
      </c>
      <c r="OZ66" s="43" t="str">
        <f t="shared" si="119"/>
        <v/>
      </c>
      <c r="PA66" s="43" t="str">
        <f t="shared" si="120"/>
        <v/>
      </c>
      <c r="PB66" s="43" t="str">
        <f t="shared" si="121"/>
        <v/>
      </c>
      <c r="PC66" s="43" t="str">
        <f t="shared" si="122"/>
        <v/>
      </c>
      <c r="PD66" s="43" t="str">
        <f t="shared" si="123"/>
        <v/>
      </c>
      <c r="PE66" s="43" t="str">
        <f t="shared" si="124"/>
        <v/>
      </c>
      <c r="PF66" s="43" t="str">
        <f t="shared" si="125"/>
        <v/>
      </c>
      <c r="PG66" s="43" t="str">
        <f t="shared" si="126"/>
        <v/>
      </c>
      <c r="PH66" s="43" t="str">
        <f t="shared" si="127"/>
        <v/>
      </c>
      <c r="PI66" s="43">
        <f t="shared" si="128"/>
        <v>35</v>
      </c>
      <c r="PJ66" s="43" t="str">
        <f t="shared" si="129"/>
        <v/>
      </c>
      <c r="PK66" s="43" t="str">
        <f t="shared" si="130"/>
        <v/>
      </c>
      <c r="PL66" s="43" t="str">
        <f t="shared" si="131"/>
        <v/>
      </c>
      <c r="PM66" s="43" t="str">
        <f t="shared" si="132"/>
        <v/>
      </c>
      <c r="PN66" s="43" t="str">
        <f t="shared" si="133"/>
        <v/>
      </c>
      <c r="PO66" s="43" t="str">
        <f t="shared" si="134"/>
        <v/>
      </c>
      <c r="PP66" s="43" t="str">
        <f t="shared" si="135"/>
        <v/>
      </c>
      <c r="PQ66" s="43" t="str">
        <f t="shared" si="136"/>
        <v/>
      </c>
      <c r="PR66" s="43" t="str">
        <f t="shared" si="137"/>
        <v/>
      </c>
      <c r="PS66" s="43" t="str">
        <f t="shared" si="138"/>
        <v/>
      </c>
      <c r="PT66" s="43" t="str">
        <f t="shared" si="139"/>
        <v/>
      </c>
      <c r="PU66" s="43" t="str">
        <f t="shared" si="140"/>
        <v/>
      </c>
      <c r="PV66" s="43" t="str">
        <f t="shared" si="141"/>
        <v/>
      </c>
      <c r="PW66" s="43" t="str">
        <f t="shared" si="142"/>
        <v/>
      </c>
      <c r="PX66" s="43" t="str">
        <f t="shared" si="143"/>
        <v/>
      </c>
      <c r="PY66" s="43" t="str">
        <f t="shared" si="144"/>
        <v/>
      </c>
      <c r="PZ66" s="43" t="str">
        <f t="shared" si="145"/>
        <v/>
      </c>
      <c r="QA66" s="43" t="str">
        <f t="shared" si="146"/>
        <v/>
      </c>
      <c r="QB66" s="43" t="str">
        <f t="shared" si="147"/>
        <v/>
      </c>
      <c r="QC66" s="43" t="str">
        <f t="shared" si="148"/>
        <v/>
      </c>
      <c r="QD66" s="43" t="str">
        <f t="shared" si="149"/>
        <v/>
      </c>
      <c r="QE66" s="43" t="str">
        <f t="shared" si="150"/>
        <v/>
      </c>
      <c r="QF66" s="43" t="str">
        <f t="shared" si="151"/>
        <v/>
      </c>
      <c r="QG66" s="43" t="str">
        <f t="shared" si="152"/>
        <v/>
      </c>
      <c r="QH66" s="43" t="str">
        <f t="shared" si="153"/>
        <v/>
      </c>
      <c r="QI66" s="43" t="str">
        <f t="shared" si="154"/>
        <v/>
      </c>
      <c r="QJ66" s="43" t="str">
        <f t="shared" si="155"/>
        <v>SOBREPESO</v>
      </c>
      <c r="QK66" s="43" t="str">
        <f t="shared" si="156"/>
        <v/>
      </c>
      <c r="QL66" s="43" t="str">
        <f t="shared" si="157"/>
        <v/>
      </c>
      <c r="QM66" s="43" t="str">
        <f t="shared" si="158"/>
        <v/>
      </c>
      <c r="QN66" s="43" t="str">
        <f t="shared" si="159"/>
        <v/>
      </c>
      <c r="QO66" s="43" t="str">
        <f t="shared" si="160"/>
        <v/>
      </c>
      <c r="QP66" s="43" t="str">
        <f t="shared" si="161"/>
        <v/>
      </c>
      <c r="QQ66" s="43" t="str">
        <f t="shared" si="162"/>
        <v/>
      </c>
      <c r="QR66" s="43">
        <f t="shared" si="192"/>
        <v>35</v>
      </c>
      <c r="QS66" s="43"/>
      <c r="QT66" s="21" t="str">
        <f t="shared" si="163"/>
        <v/>
      </c>
      <c r="QU66" s="21" t="str">
        <f t="shared" si="164"/>
        <v/>
      </c>
      <c r="QV66" s="21" t="str">
        <f t="shared" si="165"/>
        <v/>
      </c>
      <c r="QW66" s="21" t="str">
        <f t="shared" si="166"/>
        <v/>
      </c>
      <c r="QX66" s="21" t="str">
        <f t="shared" si="167"/>
        <v/>
      </c>
      <c r="QY66" s="21" t="str">
        <f t="shared" si="168"/>
        <v/>
      </c>
      <c r="QZ66" s="21" t="str">
        <f t="shared" si="169"/>
        <v/>
      </c>
      <c r="RA66" s="21" t="str">
        <f t="shared" si="170"/>
        <v/>
      </c>
      <c r="RB66" s="21" t="str">
        <f t="shared" si="171"/>
        <v/>
      </c>
      <c r="RC66" s="21" t="str">
        <f t="shared" si="172"/>
        <v/>
      </c>
      <c r="RD66" s="21" t="str">
        <f t="shared" si="173"/>
        <v/>
      </c>
      <c r="RE66" s="21" t="str">
        <f t="shared" si="174"/>
        <v/>
      </c>
      <c r="RF66" s="21" t="str">
        <f t="shared" si="175"/>
        <v/>
      </c>
      <c r="RG66" s="21" t="str">
        <f t="shared" si="176"/>
        <v/>
      </c>
      <c r="RH66" s="21" t="str">
        <f t="shared" si="177"/>
        <v/>
      </c>
      <c r="RI66" s="21" t="str">
        <f t="shared" si="178"/>
        <v/>
      </c>
      <c r="RJ66" s="21" t="str">
        <f t="shared" si="179"/>
        <v/>
      </c>
      <c r="RK66" s="21" t="str">
        <f t="shared" si="180"/>
        <v/>
      </c>
      <c r="RL66" s="21" t="str">
        <f t="shared" si="181"/>
        <v/>
      </c>
      <c r="RM66" s="21" t="str">
        <f t="shared" si="182"/>
        <v/>
      </c>
      <c r="RN66" s="21" t="str">
        <f t="shared" si="183"/>
        <v/>
      </c>
      <c r="RO66" s="21" t="str">
        <f t="shared" si="184"/>
        <v/>
      </c>
      <c r="RP66" s="21" t="str">
        <f t="shared" si="185"/>
        <v/>
      </c>
      <c r="RQ66" s="21" t="str">
        <f t="shared" si="186"/>
        <v/>
      </c>
      <c r="RR66" s="21" t="str">
        <f t="shared" si="187"/>
        <v/>
      </c>
      <c r="RS66" s="21" t="str">
        <f t="shared" si="188"/>
        <v/>
      </c>
      <c r="RT66" s="21" t="str">
        <f t="shared" si="189"/>
        <v/>
      </c>
      <c r="RU66" s="21" t="str">
        <f t="shared" si="190"/>
        <v/>
      </c>
      <c r="RV66" s="21">
        <f t="shared" si="191"/>
        <v>14.571428571428571</v>
      </c>
      <c r="RW66" s="284">
        <f>IF(OR(Tabla1[[#This Row],[FUM FORMULA CONFIABLE]]="",Tabla1[[#This Row],[FUM FORMULA CONFIABLE]]="SD"),"",IF(Tabla1[[#This Row],[FUM FORMULA CONFIABLE]]="CORREGIDA",Tabla1[[#This Row],[FUM X ECO 1]],Tabla1[[#This Row],[FUM x AMENORREA]]))</f>
        <v>44806</v>
      </c>
      <c r="RX66" s="21">
        <f>IF(AND(Tabla1[[#This Row],[FUM X ECO 1]]="",Tabla1[[#This Row],[FUM x AMENORREA]]=""),"",IF(AND(Tabla1[[#This Row],[FUM X ECO 1]]="",Tabla1[[#This Row],[FUM x AMENORREA]]&lt;&gt;""),"X",SUM(Tabla1[[#This Row],[FUM X ECO 1]]-Tabla1[[#This Row],[FUM x AMENORREA]])))</f>
        <v>0</v>
      </c>
      <c r="RY66" s="21">
        <f t="shared" si="193"/>
        <v>0</v>
      </c>
    </row>
    <row r="67" spans="1:493" ht="45" customHeight="1" x14ac:dyDescent="0.25">
      <c r="A67" s="109"/>
      <c r="B67" s="43" t="s">
        <v>1143</v>
      </c>
      <c r="C67" s="43" t="s">
        <v>845</v>
      </c>
      <c r="D67" s="124" t="s">
        <v>846</v>
      </c>
      <c r="E67" s="43" t="s">
        <v>909</v>
      </c>
      <c r="F67" s="43"/>
      <c r="G67" s="43" t="s">
        <v>1203</v>
      </c>
      <c r="H67" s="43"/>
      <c r="I67" s="109" t="s">
        <v>851</v>
      </c>
      <c r="J67" s="110">
        <v>25546720</v>
      </c>
      <c r="K67" s="43" t="s">
        <v>852</v>
      </c>
      <c r="L67" s="175" t="s">
        <v>1509</v>
      </c>
      <c r="M67" s="22">
        <v>29382</v>
      </c>
      <c r="N67" s="213">
        <f t="shared" ref="N67:N130" ca="1" si="252">IF(M67&gt;0,SUM(TODAY()-M67)/365,"")</f>
        <v>43.42739726027397</v>
      </c>
      <c r="O67" s="22">
        <v>44909</v>
      </c>
      <c r="P67" s="214" t="str">
        <f t="shared" ref="P67:P71" si="253">IF(AND(O67="",R67&gt;0),"ACUDE ESPONTANEAMENTE",IF(AND(AND(O67&gt;0,R67=""),OR(IN67&gt;0,IK67&lt;&gt;"")),"NA",IF(AND(O67&gt;0,IN67="",R67=""),"NO",IF(AND(O67&gt;0,R67&gt;0),"SI",""))))</f>
        <v>SI</v>
      </c>
      <c r="Q67" s="26" t="s">
        <v>855</v>
      </c>
      <c r="R67" s="22">
        <v>44909</v>
      </c>
      <c r="S67" s="21" t="s">
        <v>856</v>
      </c>
      <c r="T67" s="24" t="s">
        <v>690</v>
      </c>
      <c r="U67" s="21" t="s">
        <v>857</v>
      </c>
      <c r="V67" s="21" t="s">
        <v>858</v>
      </c>
      <c r="W67" s="21" t="s">
        <v>1204</v>
      </c>
      <c r="X67" s="21" t="s">
        <v>1204</v>
      </c>
      <c r="Y67" s="21" t="s">
        <v>859</v>
      </c>
      <c r="Z67" s="21" t="s">
        <v>894</v>
      </c>
      <c r="AA67" s="21" t="s">
        <v>860</v>
      </c>
      <c r="AB67" s="27" t="s">
        <v>861</v>
      </c>
      <c r="AC67" s="26" t="s">
        <v>862</v>
      </c>
      <c r="AD67" s="38" t="s">
        <v>846</v>
      </c>
      <c r="AE67" s="26" t="s">
        <v>854</v>
      </c>
      <c r="AF67" s="26" t="s">
        <v>854</v>
      </c>
      <c r="AG67" s="23" t="s">
        <v>864</v>
      </c>
      <c r="AH67" s="23" t="s">
        <v>864</v>
      </c>
      <c r="AI67" s="24" t="s">
        <v>863</v>
      </c>
      <c r="AJ67" s="23" t="s">
        <v>864</v>
      </c>
      <c r="AK67" s="220" t="str">
        <f>IF(AND(AD67="",AE67="",AF67="",AG67="",AH67="",AI67="",AJ67=""),"",IF(OR(Tabla1[[#This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EVALUACIÓN",IF(AND(O67="",R67=""),"",IF(AND(OR(O67&gt;0,R67&gt;0),NG67&gt;=0,NG67&lt;2),"SIN RIESGO",IF(AND(OR(O67&gt;0,R67&gt;0),NG67&gt;=2),"CON RIESGO","ASD")))))</f>
        <v>SIN RIESGO</v>
      </c>
      <c r="AL67" s="23" t="s">
        <v>864</v>
      </c>
      <c r="AM67" s="26" t="s">
        <v>864</v>
      </c>
      <c r="AN67" s="26" t="s">
        <v>864</v>
      </c>
      <c r="AO67" s="26" t="s">
        <v>864</v>
      </c>
      <c r="AP67" s="26" t="s">
        <v>864</v>
      </c>
      <c r="AQ67" s="26" t="s">
        <v>864</v>
      </c>
      <c r="AR67" s="26" t="s">
        <v>864</v>
      </c>
      <c r="AS67" s="21">
        <v>4</v>
      </c>
      <c r="AT67" s="21">
        <v>4</v>
      </c>
      <c r="AU67" s="21">
        <v>0</v>
      </c>
      <c r="AV67" s="26" t="s">
        <v>864</v>
      </c>
      <c r="AW67" s="21">
        <v>0</v>
      </c>
      <c r="AX67" s="26" t="s">
        <v>864</v>
      </c>
      <c r="AY67" s="26" t="s">
        <v>864</v>
      </c>
      <c r="AZ67" s="26" t="s">
        <v>864</v>
      </c>
      <c r="BA67" s="26" t="s">
        <v>864</v>
      </c>
      <c r="BB67" s="26" t="s">
        <v>864</v>
      </c>
      <c r="BC67" s="26" t="s">
        <v>864</v>
      </c>
      <c r="BD67" s="26" t="s">
        <v>864</v>
      </c>
      <c r="BE67" s="26" t="s">
        <v>864</v>
      </c>
      <c r="BF67" s="26" t="s">
        <v>864</v>
      </c>
      <c r="BG67" s="26" t="s">
        <v>864</v>
      </c>
      <c r="BH67" s="26" t="s">
        <v>864</v>
      </c>
      <c r="BI67" s="26" t="s">
        <v>864</v>
      </c>
      <c r="BJ67" s="26" t="s">
        <v>864</v>
      </c>
      <c r="BK67" s="26" t="s">
        <v>864</v>
      </c>
      <c r="BL67" s="26" t="s">
        <v>864</v>
      </c>
      <c r="BM67" s="26" t="s">
        <v>864</v>
      </c>
      <c r="BN67" s="22">
        <v>42368</v>
      </c>
      <c r="BO67" s="22">
        <v>44837</v>
      </c>
      <c r="BP67" s="21" t="s">
        <v>854</v>
      </c>
      <c r="BQ67" s="222">
        <f t="shared" ref="BQ67:BQ130" si="254">IF(OR(BN67="SD",RW67=""),"",IF(BN67="",0,SUM(RW67-BN67)/30))</f>
        <v>82.3</v>
      </c>
      <c r="BR67" s="223">
        <f t="shared" ref="BR67:BR130" si="255">IF(BX67&gt;0,SUM(BW67-NH67),"")</f>
        <v>44838.2</v>
      </c>
      <c r="BS67" s="224">
        <f t="shared" ref="BS67:BS130" si="256">IF(AND(BP67="Corregida",BO67&gt;0,R67&gt;0,ISBLANK(BX67)),"SIN SEMANAS X ECO",IF(AND(BP67="Corregida",BO67&gt;0,R67&gt;0),SUM(R67-BR67)/7,IF(AND(OR(BP67="SI",BP67="NO"),BO67&gt;0,R67&gt;0),SUM(R67-BO67)/7,"")))</f>
        <v>10.285714285714286</v>
      </c>
      <c r="BT67" s="216" t="str">
        <f t="shared" ref="BT67:BT130" si="257">IF(AND(BS67="",IG67=""),"",IF(AND(BS67="",IG67="DEFINIR FPP POR ECO"),"SIN DATO",IF(BS67&lt;0,"ERROR FUM O INGRESO O ECO",IF(BP67="NO","DEFINIR CON ECO",IF(BS67&lt;10,"I TRIM",IF(BS67&lt;27,"II TRIM",IF(AND(BS67&gt;26,BS67&lt;45),"III TRIM","ERROR FUM O INGRESO O ECO")))))))</f>
        <v>II TRIM</v>
      </c>
      <c r="BU67" s="214" t="str">
        <f t="shared" ref="BU67:BU130" ca="1" si="258">IF(AND(BO67="",BR67=""),"",IF(SUM((TODAY()-RW67)/7)&gt;43.1,"",IF(AND(RW67&gt;0,OR(BP67="si",BP67="Corregida",BP67="NO")),SUM((TODAY()-RW67)/7),"")))</f>
        <v/>
      </c>
      <c r="BV67" s="25"/>
      <c r="BW67" s="22">
        <v>44918</v>
      </c>
      <c r="BX67" s="28">
        <v>11.4</v>
      </c>
      <c r="BY67" s="28" t="s">
        <v>988</v>
      </c>
      <c r="BZ67" s="22">
        <v>45051</v>
      </c>
      <c r="CA67" s="21">
        <v>30.2</v>
      </c>
      <c r="CB67" s="26" t="s">
        <v>864</v>
      </c>
      <c r="CC67" s="26" t="s">
        <v>864</v>
      </c>
      <c r="CD67" s="26"/>
      <c r="CE67" s="26" t="s">
        <v>864</v>
      </c>
      <c r="CF67" s="22" t="s">
        <v>1517</v>
      </c>
      <c r="CG67" s="21">
        <v>1.6</v>
      </c>
      <c r="CH67" s="21">
        <v>80</v>
      </c>
      <c r="CI67" s="214">
        <f t="shared" ref="CI67:CI130" si="259">IF(AND(OR(O67&gt;0,R67&gt;0),CG67=""),"SD",IF(AND(OR(O67="",R67=""),CG67=""),"",IF(AND(OR(O67&gt;0,R67&gt;0),CG67&gt;0,CH67&gt;0),SUM(CH67)/(CG67*CG67),"X")))</f>
        <v>31.249999999999993</v>
      </c>
      <c r="CJ67" s="225" t="e">
        <f>IF(AND(CI67&lt;10,CH67="SD"),"SIN DATO PESO PREGESTACION O I TRIM",IF(AND(OR(R67&gt;0,O67&gt;0),CI67="X"),"INGRESAR DATO DE PESO",IF(CI67="SD","INGRESAR DATO DE TALLA Y PESO",IF(AND(OR(Tabla1[[#This Row],[MOMENTO EN QUE SE REALIZA EL PESO AL INGRESO A CPN]]="PREGESTACIÓN",NZ67="Menor"),CI67&lt;18.5),"BAJO PESO",IF(AND(OR(Tabla1[[#This Row],[MOMENTO EN QUE SE REALIZA EL PESO AL INGRESO A CPN]]="PREGESTACIÓN",NZ67="Menor"),CI67&lt;25),"NORMAL",IF(AND(OR(Tabla1[[#This Row],[MOMENTO EN QUE SE REALIZA EL PESO AL INGRESO A CPN]]="PREGESTACIÓN",NZ67="Menor"),CI67&lt;30),"SOBREPESO",IF(AND(OR(Tabla1[[#This Row],[MOMENTO EN QUE SE REALIZA EL PESO AL INGRESO A CPN]]="PREGESTACIÓN",NZ67="Menor"),CI67&gt;=30,CI67&lt;50),"OBESIDAD",IF(AND(BS67&gt;0,Tabla1[[#This Row],[MOMENTO EN QUE SE REALIZA EL PESO AL INGRESO A CPN]]="GESTACIÓN"),HLOOKUP(NZ67,$OA$2:PH67,NY67),""))))))))</f>
        <v>#REF!</v>
      </c>
      <c r="CK67" s="212">
        <f t="shared" ref="CK67:CK130" si="260">DY67</f>
        <v>45113</v>
      </c>
      <c r="CL67" s="21">
        <v>92</v>
      </c>
      <c r="CM67" s="214">
        <f t="shared" ref="CM67:CM130" si="261">IF(AND(OR(O67&gt;0,R67&gt;0),CG67=""),"SD",IF(AND(OR(O67="",R67=""),CG67=""),"",IF(AND(OR(O67&gt;0,R67&gt;0),CG67&gt;0),SUM(CL67)/(CG67*CG67),"X")))</f>
        <v>35.937499999999993</v>
      </c>
      <c r="CN67" s="216">
        <f t="shared" ref="CN67:CN130" si="262">DZ67</f>
        <v>39</v>
      </c>
      <c r="CO67" s="216" t="e">
        <f>IF(PI67="","",IF(PI67&gt;0,HLOOKUP(PI67,$PJ$2:QQ67,NY67),""))</f>
        <v>#REF!</v>
      </c>
      <c r="CP67" s="21"/>
      <c r="CQ67" s="216" t="e">
        <f>IF(QR67="Menor","NO APLICA-MENOR 13 SEM",IF(AND(CC67="SI",CN67&gt;23),"NO APLICA- GEMELAR",IF(QR67="","",IF(QR67&gt;0,HLOOKUP(QR67,$QS$2:RU67,NY67),""))))</f>
        <v>#REF!</v>
      </c>
      <c r="CR67" s="21">
        <v>110</v>
      </c>
      <c r="CS67" s="21">
        <v>60</v>
      </c>
      <c r="CT67" s="217" t="str">
        <f>IF(R67="","",IF(AND(BS67&gt;1,BS67&lt;12,Tabla1[[#This Row],[T.A. SISTOLICA - ANTES DE SEMANA 12]]="",Tabla1[[#This Row],[T.A. DIASTOLICA - ANTES DE SEMANA 12]]=""),"REGISTRE DATO TA ANTES SEMANA 12",IF(AND(BS67&gt;11,BS67&lt;43,Tabla1[[#This Row],[T.A. SISTOLICA - ANTES DE SEMANA 12]]="",Tabla1[[#This Row],[T.A. DIASTOLICA - ANTES DE SEMANA 12]]=""),"NO APLICA REGISTRO TA-INGRESO TARDIO",IF(AND(OR(O67&gt;0,R67&gt;0),OR(CR67&gt;=140,CS67&gt;=90)),"DEFINIR ESTADIO HTA",IF(AND(OR(O67&gt;0,R67&gt;0),AND(CR67&gt;120,CR67&lt;=139)),"PRE HTA SEGUIMIENTO",IF(AND(OR(O67&gt;0,R67&gt;0),AND(CS67&gt;80,CS67&lt;=89)),"PRE HTA SEGUIMIENTO",IF(AND(OR(O67&gt;0,R67&gt;0),AND(CR67&gt;=80,CR67&lt;=120)),"APARENTEMENTE NORMAL",IF(AND(OR(O67&gt;0,R67&gt;0),AND(CS67&gt;=50,CS67&lt;=80)),"APARENTEMENTE NORMAL",IF(AND(OR(O67&gt;0,R67&gt;0),AND(CR67&gt;1,CR67&lt;=70),AND(CS67&gt;1,CS67&lt;=40)),"HIPOTENSIÓN","")))))))))</f>
        <v>APARENTEMENTE NORMAL</v>
      </c>
      <c r="CU67" s="21"/>
      <c r="CV67" s="21"/>
      <c r="CW67" s="217" t="str">
        <f ca="1">IF(R67="","",IF(AND(CN67&gt;19,CN67&lt;27,Tabla1[[#This Row],[T.A. SISTOLICA (Entre semana 20 y 26)]]="",Tabla1[[#This Row],[T.A. DIATOLICA (Entre semana 20 y 26)]]=""),"ACUDE A CONTROL SEM 20 A 26 REGISTRE TA AHORA",IF(AND(BS67&gt;1,BS67&lt;27,BU67&gt;19,Tabla1[[#This Row],[T.A. SISTOLICA (Entre semana 20 y 26)]]="",Tabla1[[#This Row],[T.A. DIATOLICA (Entre semana 20 y 26)]]=""),"COMPLETE REGISTRO TA CONTROL SEM 20 A26 ",IF(AND(BS67&gt;26,BS67&lt;43,Tabla1[[#This Row],[T.A. SISTOLICA (Entre semana 20 y 26)]]="",Tabla1[[#This Row],[T.A. DIATOLICA (Entre semana 20 y 26)]]=""),"NO APLICA REGISTRO TA-INGRESO TARDIO",IF(AND(OR(O67&gt;0,R67&gt;0),OR(CU67&gt;=140,CV67&gt;=90)),"ALTO RIESGO PREECLAMPSIA,DEFINIR ESTADIO HTA",IF(AND(OR(O67&gt;0,R67&gt;0),AND(CU67&gt;120,CU67&lt;=139)),"PRE HTA SEGUIMIENTO,RIESGO HIPERTENSION INDUCIDA POR EL EMBARAZO",IF(AND(OR(O67&gt;0,R67&gt;0),AND(CV67&gt;80,CV67&lt;=89)),"PRE HTA SEGUIMIENTO, RIESGO HIPERTENSION INDUCIDA POR EL EMBARAZO",IF(AND(OR(O67&lt;&gt;"",R67&lt;&gt;""),CS67&lt;&gt;"",CV67&lt;&gt;"",CS67&lt;=CV67),"VIGILAR CIFRAS PRESION ARTERIAL",IF(AND(OR(O67&gt;0,R67&gt;0),AND(CU67&gt;120,CU67&lt;=139)),"PRE HTA SEGUIMIENTO",IF(AND(OR(O67&gt;0,R67&gt;0),AND(CU67&gt;1,CU67&lt;=70),AND(CV67&gt;1,CV67&lt;=40)),"HIPOTENSIÓN",IF(AND(OR(O67&lt;&gt;"",R67&lt;&gt;""),CS67&lt;&gt;"",CV67&lt;&gt;"",CS67&gt;CV67),"APARENTEMENTE NORMAL",IF(AND(OR(O67&gt;0,R67&gt;0),AND(CU67&gt;=80,CU67&lt;=120)),"APARENTEMENTE NORMAL",IF(AND(OR(O67&gt;0,R67&gt;0),AND(CV67&gt;=50,CV67&lt;=80)),"APARENTEMENTE NORMAL","")))))))))))))</f>
        <v xml:space="preserve">COMPLETE REGISTRO TA CONTROL SEM 20 A26 </v>
      </c>
      <c r="CX67" s="21"/>
      <c r="CY67" s="21"/>
      <c r="CZ67" s="216" t="str">
        <f t="shared" ref="CZ67:CZ98" si="263">IF(R67="","",IF(AND(CN67&gt;31,CN67&lt;35,CX67="",CY67=""),"ACUDE A CONTROL SEM 30 A 34- REGISTRE AHORA",IF(AND(BS67&gt;34,BS67&lt;43,CX68="",CY68=""),"NO APLICA-INGRESO TARDIO",IF(AND(OR(O67&gt;0,R67&gt;0),OR(CX67&gt;=140,CY67&gt;=90)),"ESTUDIO INMEDIATO HTA PARA DESCARTAR PREECLAMSIA",IF(AND(OR(O67&gt;0,R67&gt;0),AND(CX67&gt;=130,CX67&lt;=139)),"PRE HTA,RIESGO ALTO PREECLAMPSIA",IF(AND(OR(O67&gt;0,R67&gt;0),AND(CY67&gt;80,CY67&lt;=89)),"PRE HTA,RIESGO ALTO PREECLAMPSIA",IF(AND(OR(O67&gt;0,R67&gt;0),AND(CX67&gt;120,CX67&lt;=129)),"RANGO PREHIPERTENSIVO SEGUIMIENTO HTA",IF(AND(OR(O67&lt;&gt;"",R67&lt;&gt;""),CS67&lt;&gt;"",CY67&lt;&gt;"",CS67&lt;CY67),"VIGILAR CIFRAS PRESION ARTERIAL",IF(AND(OR(O67&lt;&gt;"",R67&lt;&gt;""),CS67&lt;&gt;"",CY67&lt;&gt;"",CS67=CY67),"APARENTEMENTE NORMAL",IF(AND(OR(O67&gt;0,R67&gt;0),CX67&gt;=80,CX67&lt;=120),"APARENTEMENTE NORMAL",IF(AND(OR(O67&gt;0,R67&gt;0),CY67&gt;=50,CY67&lt;=80),"APARENTEMENTE NORMAL","")))))))))))</f>
        <v/>
      </c>
      <c r="DA67" s="21">
        <v>120</v>
      </c>
      <c r="DB67" s="21">
        <v>80</v>
      </c>
      <c r="DC67" s="217" t="str">
        <f t="shared" ref="DC67:DC130" si="264">IF(AND(R67="",DA67="",DB67=""),"",IF(AND(R67&lt;&gt;"",DA67="",DB67=""),"REGISTRE DATO PRESIÓN ARTERIAL MENSUAL",IF(AND(OR(O67&gt;0,R67&gt;0),OR(DA67&gt;=140,DB67&gt;=90)),"ESTUDIO INMEDIATO HTA PARA DESCARTAR PREECLAMSIA",IF(AND(OR(O67&gt;0,R67&gt;0),AND(DA67&gt;=130,DA67&lt;=139)),"PRE HTA,RIESGO ALTO PREECLAMPSIA",IF(AND(OR(O67&gt;0,R67&gt;0),AND(DB67&gt;80,DB67&lt;=89)),"PRE HTA,RIESGO ALTO PREECLAMPSIA",IF(AND(OR(O67&gt;0,R67&gt;0),AND(DA67&gt;120,DA67&lt;=129)),"RANGO PREHIPERTENSIVO SEGUIMIENTO HTA",IF(AND(CN67&gt;34,CN67&lt;43,OR(O67&lt;&gt;"",R67&lt;&gt;""),CS67&lt;&gt;"",CY67&lt;&gt;"",DB67&lt;&gt;"",OR(CS67&lt;DB67,CS67&lt;CY67)),"VIGILAR CIFRAS PRESION ARTERIAL",IF(AND(CN67&gt;34,CN67&lt;43,OR(O67&lt;&gt;"",R67&lt;&gt;""),CR67="",CS67="",OR(CY67&lt;DB67,CX67&lt;DA67)),"VIGILAR CIFRAS PRESION ARTERIAL",IF(AND(CN67&gt;34,CN67&lt;43,OR(O67&lt;&gt;"",R67&lt;&gt;""),CS67&lt;&gt;"",CY67&lt;&gt;"",DB67&lt;&gt;"",OR(CS67=DB67,CS67=CY67)),"APARENTEMENTE NORMAL",IF(AND(OR(O67&gt;0,R67&gt;0),AND(DA67&gt;=80,DA67&lt;=120)),"APARENTEMENTE NORMAL",IF(AND(CN67&gt;34,CN67&lt;43,OR(O67&gt;0,R67&gt;0),AND(DB67&gt;=50,DB67&lt;=80)),"APARENTEMENTE NORMAL","")))))))))))</f>
        <v>APARENTEMENTE NORMAL</v>
      </c>
      <c r="DD67" s="22">
        <v>44909</v>
      </c>
      <c r="DE67" s="22">
        <v>44909</v>
      </c>
      <c r="DF67" s="22">
        <v>44957</v>
      </c>
      <c r="DG67" s="22">
        <v>44995</v>
      </c>
      <c r="DH67" s="22">
        <v>45029</v>
      </c>
      <c r="DI67" s="22">
        <v>45061</v>
      </c>
      <c r="DJ67" s="22">
        <v>45090</v>
      </c>
      <c r="DK67" s="22">
        <v>45113</v>
      </c>
      <c r="DL67" s="22"/>
      <c r="DM67" s="22"/>
      <c r="DN67" s="22"/>
      <c r="DO67" s="22"/>
      <c r="DP67" s="22"/>
      <c r="DQ67" s="22"/>
      <c r="DR67" s="28">
        <v>1</v>
      </c>
      <c r="DS67" s="22"/>
      <c r="DT67" s="22"/>
      <c r="DU67" s="216" t="str">
        <f t="shared" ref="DU67:DU71" ca="1" si="265">IF(AND(BT67="ERROR FUM O INGRESO",DS67&gt;0),"ERROR FUM O INGRESO",IF(AND(DS67="",R67="",O67=""),"",IF(OR(AND(DS67&lt;&gt;"",DS67&lt;RW67),AND(DS67&lt;&gt;"",AND(SUM((DS67-RW67)/7)&gt;0,SUM((DS67-RW67)/7)&lt;28))),"PLAN REALIZADO ANTES III TRIM", IF(AND(DS67="",OR(O67&gt;0,R67&gt;0),AND(BU67&gt;=28, BU67&lt;35,DV67="ACTIVA INGRESO A CPN")),"PLANEAR PLAN DE PARTO", IF(AND(DS67="",OR(O67&gt;0,R67&gt;0),BU67&gt;=35,DV67="ACTIVA INGRESO A CPN"),"CONCERTAR PLAN DE PARTO INMEDIATO", IF(AND(DS67="",OR(O67&gt;0,R67&gt;0),AND(BU67&gt;0, BU67&lt;28),OR(DV67="ACTIVA INGRESO A CPN", DV67=" ACTIVA SIN INGRESO CPN")),"EN ESPERA", IF(AND(DS67="",OR(O67&gt;0,R67&gt;0),AND(IP67&gt;0, IP67&lt;28)),"NO APLICA SALE PROGRAMA ANTES III TRIM", IF(AND(DS67="",OR(O67&gt;0,R67&gt;0),AND(IP67&gt;=28, IP67&lt;35)),"SALE PROGRAMA ANTES SEMANA 35", IF(AND(DS67="",OR(O67&gt;0,R67&gt;0),IP67&gt;35),"SALE SIN PLAN DE PARTO",IF(DS67&gt;0,SUM(DS67-BO67)/7,""))))))))))</f>
        <v>SALE SIN PLAN DE PARTO</v>
      </c>
      <c r="DV67" s="226" t="str">
        <f t="shared" si="197"/>
        <v>SALIO PROGRAMA</v>
      </c>
      <c r="DW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7" s="216" t="str">
        <f t="shared" ref="DX67:DX130" ca="1" si="266">IF(NI67="SD","",IF(AND(NI67&lt;=33,NI67&gt;=8),"MES DE CONTROL",IF(AND(NI67&gt;=1,NI67&lt;8),"SEMANA DE CONTROL",IF(NI67=0,"DIA DE CONTROL",IF(NI67&lt;0,"INASISTENTE",IF(NI67="Y","SEGUIMIENTO FUERA MUNICIPIO",IF(NI67="Z","BUSCAR PARA INGRESO A CPN",IF(NI67="W","DEFINIR FECHA CITA",IF(NI67="X","NO REALIZO CPN",IF(NI67="I","IVE",IF(NI67="S","DILIGENCIAR FECHA SALIDA PROGRAMA","REVISAR FORMULA")))))))))))</f>
        <v/>
      </c>
      <c r="DY67" s="212">
        <f>IF(R67="","",IF(R67&gt;0,MAX(Tabla1[[#This Row],[FECHA C2]:[FECHA C13]],Tabla1[[#This Row],[FECHA CONSULTA PRIMERA VEZ PROGRAMA CPN ]])))</f>
        <v>45113</v>
      </c>
      <c r="DZ67" s="216">
        <f t="shared" ref="DZ67:DZ130" si="267">IF(AND(DY67="",RW67="",R67=""),"",IF(AND(R67="",RW67&gt;0,DY67=""),"",IF(AND(R67&gt;0,DY67&lt;RW67),"REVISAR FUM O FECHA CPN",IF(AND(R67&gt;0,DY67&gt;0,RW67=""),"SD",IF(AND(R67&gt;0,DY67&gt;0,RW67&gt;0),INT(SUM(DY67-RW67)/7))))))</f>
        <v>39</v>
      </c>
      <c r="EA67" s="222">
        <f>IF(R67&gt;0,SUM(COUNTA(DF67:DQ67)+COUNTA(Tabla1[[#This Row],[FECHA CONSULTA PRIMERA VEZ PROGRAMA CPN ]])),"")</f>
        <v>7</v>
      </c>
      <c r="EB67" s="222" t="str">
        <f t="shared" ref="EB67:EB130" si="268">IF(AND(EA67&gt;=0,EA67&lt;4),"NO",IF(AND(EA67&gt;=4,EA67&lt;12),"SI",""))</f>
        <v>SI</v>
      </c>
      <c r="EC67" s="214">
        <f t="shared" ref="EC67:EC130" si="269">IF(BS67="","",IF(BS67&gt;0,INT(SUM(((40-BS67)/4)+2)),"X"))</f>
        <v>9</v>
      </c>
      <c r="ED67" s="227">
        <f t="shared" ref="ED67:ED130" si="270">IF(EC67="","",IF(EA67&gt;0,SUM(EA67/EC67),"X"))</f>
        <v>0.77777777777777779</v>
      </c>
      <c r="EE67" s="22">
        <v>44909</v>
      </c>
      <c r="EF67" s="22">
        <v>45283</v>
      </c>
      <c r="EG67" s="22">
        <v>44909</v>
      </c>
      <c r="EH67" s="22"/>
      <c r="EI67" s="22">
        <v>44909</v>
      </c>
      <c r="EJ67" s="22"/>
      <c r="EK67" s="22"/>
      <c r="EL67" s="21"/>
      <c r="EM67" s="21">
        <v>13</v>
      </c>
      <c r="EN67" s="22">
        <v>44911</v>
      </c>
      <c r="EO67" s="222">
        <f t="shared" ref="EO67:EO130" si="271">IF(AND(BT67="ERROR FUM O INGRESO",EN67&gt;0),"ERROR FUM O INGRESO",IF(AND(EN67="",R67="",O67=""),"",IF(OR(AND(EN67&lt;&gt;"",EN67&lt;RW67),AND(EN67&lt;&gt;"",SUM((EN67-RW67)/7)&gt;40)),"CORREGIR FECHA RESULTADO",IF(AND(EN67="",OR(O67&gt;0,R67&gt;0)),"TOMAR EXAMEN",IF(EN67&gt;0,SUM(EN67-RW67)/7,"")))))</f>
        <v>10.571428571428571</v>
      </c>
      <c r="EP67" s="214" t="str">
        <f t="shared" ref="EP67:EP130" si="272">IF(AND(OR(O67&gt;0,R67&gt;0),EM67=""),"",IF(AND(OR(O67&gt;0,R67&gt;0),EM67&gt;0,EM67&lt;11),"MANEJO MD POR ANEMIA FERROPENICA",IF(AND(OR(O67&gt;0,R67&gt;0),EM67&lt;=14),"NORMAL- SUMINISTRAR SULFATO FERROSO",IF(AND(OR(O67&gt;0,R67&gt;0),EM67&lt;20),"NO DAR SULFATO FERROSO",""))))</f>
        <v>NORMAL- SUMINISTRAR SULFATO FERROSO</v>
      </c>
      <c r="EQ67" s="216" t="str">
        <f t="shared" ref="EQ67:EQ130" si="273">IF(AND(EO67="",BT67=""),"",IF(AND(EO67&lt;&gt;"",BT67="SIN DATO"),"SIN DATO",IF(AND(EO67="",BT67&lt;&gt;""),"",IF(AND(EO67&lt;0,BT67&gt;0),"ERROR FUM O INGRESO",IF(EO67&lt;=13,"I TRIM",IF(EO67&lt;28,"II TRIM",IF(AND(EO67&gt;27,EO67&lt;45),"III TRIM","POR DEFINIR")))))))</f>
        <v>I TRIM</v>
      </c>
      <c r="ER67" s="24"/>
      <c r="ES67" s="22"/>
      <c r="ET67" s="29" t="str">
        <f t="shared" ref="ET67:ET71" ca="1" si="274">IF(AND(BT67="ERROR FUM O INGRESO",ES67&gt;0),"ERROR FUM O INGRESO",IF(AND(ES67="",R67="",O67=""),"",IF(OR(AND(ES67&lt;&gt;"",ES67&lt;RW67),AND(ES67&lt;&gt;"",SUM((ES67-RW67)/7)&gt;40)),"CORREGIR FECHA RESULTADO",IF(AND(BU67&gt;1,BU67&lt;23,ER67="",ES67=""),"EN ESPERA PARA TOMA EXAMEN",IF(AND(BU67&gt;22,BU67&lt;26,ER67="",ES67=""),"PROGRAMAR TOMA HEMOGLOBINA A SEM 28",IF(AND(BU67&gt;25,BU67&lt;28,ER67="",ES67=""),"TOMA HEMOGLOBINA A SEM 28 EN 1 SEMANA",IF(AND(BU67&gt;27,BU67&lt;31,ES67="",OR(O67&gt;0,R67&gt;0)),"EN SEMANA 28 TOMA INMEDIATA DE EXAMEN",IF(AND(IP67&gt;0,IP67&lt;28,ES67="",OR(O67&gt;0,R67&gt;0)),"NO APLICA-SALE ANTES SEM 28",IF(AND(IP67&gt;28,IP67&lt;43,ES67="",OR(O67&gt;0,R67&gt;0)),"SALE SIN TAMIZAJE HEMOGLOBINA SEM 28",IF(AND(BS67&gt;0,ES67="",OR(O67&gt;0,R67&gt;0)),"TOMA DE HEMOGLOBINA TARDÍA",IF(ES67&gt;0,SUM(ES67-RW67)/7,"")))))))))))</f>
        <v>SALE SIN TAMIZAJE HEMOGLOBINA SEM 28</v>
      </c>
      <c r="EU67" s="25" t="str">
        <f t="shared" ref="EU67:EU130" si="275">IF(AND(OR(O67&gt;0,R67&gt;0),ER67=""),"",IF(AND(OR(O67&gt;0,R67&gt;0),ER67&gt;0,ER67&lt;10.5),"MANEJO MD POR ANEMIA FERROPENICA",IF(AND(OR(O67&gt;0,R67&gt;0),ER67&lt;14),"NORMAL- SUMINISTRAR SULFATO FERROSO",IF(AND(OR(O67&gt;0,R67&gt;0),ER67&lt;20),"NO DAR SULFATO FERROSO",""))))</f>
        <v/>
      </c>
      <c r="EV67" s="24" t="s">
        <v>866</v>
      </c>
      <c r="EW67" s="24">
        <v>44911</v>
      </c>
      <c r="EX67" s="22"/>
      <c r="EY67" s="29">
        <f t="shared" si="248"/>
        <v>10.571428571428571</v>
      </c>
      <c r="EZ67" s="25" t="str">
        <f t="shared" ca="1" si="249"/>
        <v/>
      </c>
      <c r="FA67" s="21">
        <v>60</v>
      </c>
      <c r="FB67" s="22">
        <v>44911</v>
      </c>
      <c r="FC67" s="29">
        <f t="shared" ref="FC67:FC130" si="276">IF(AND(BT67="ERROR FUM O INGRESO",FB67&gt;0),"ERROR FUM O INGRESO",IF(AND(FB67="",R67="",O67=""),"",IF(OR(AND(FB67&lt;&gt;"",FB67&lt;RW67),AND(FB67&lt;&gt;"",SUM((FB67-RW67)/7)&gt;40)),"CORREGIR FECHA RESULTADO",IF(AND(FB67="",BS67&gt;=24,OR(O67&gt;0,R67&gt;0)),"PIERDE TOMA TAMIZAJE- INGRESO TARDIO",IF(AND(FB67="",OR(O67&gt;0,R67&gt;0)),"TOMAR EXAMEN",IF(SUM((FB67-RW67)/7)&gt;=24,"NO APLICA &gt; 23 SEM -TOMAR PTOG",IF(AND(SUM((FB67-RW67)/7)&lt;24,FA67&gt;126),"DIABETES PREGESTACIONAL- REMITIR",IF(FB67&gt;0,SUM(FB67-RW67)/7,""))))))))</f>
        <v>10.571428571428571</v>
      </c>
      <c r="FD67" s="29">
        <v>62</v>
      </c>
      <c r="FE67" s="29">
        <v>170</v>
      </c>
      <c r="FF67" s="29">
        <v>133</v>
      </c>
      <c r="FG67" s="21" t="str">
        <f t="shared" ref="FG67:FG130" ca="1" si="277">IF(AND(OR(FD67&gt;0,FE67&gt;0,FF67&gt;0),FI67&gt;0,FI67&lt;24,AND(FD67&gt;1,FD67&lt;92),AND(FE67&gt;1,FE67&lt;180),AND(FF67&gt;1,FF67&lt;153)),"NORMAL, NO DESCARTA DIABETES POR REALIZARLO ANTES DE  SEMANA 24, ",IF(AND(OR(FD67&gt;0,FE67&gt;0,FF67&gt;0),FI67&gt;0,FI67&lt;24,OR(FD67&gt;=92,FE67&gt;=180,FF67&gt;=153)),"DIABETES, REMITIR",IF(AND(BU67="",FH67="",FD67="",FE67="",FF67=""),"",IF(AND(BU67&gt;=19,BU67&lt;24,FH67="",FD67="",FE67="",FF67=""),"PROGRAMAR TOMA PTOG SIGUIENTE CONTROL",IF(AND(BU67&gt;=24,FH67="",FD67="",FE67="",FF67=""),"TOMAR PTOG",IF(OR(FD67&gt;=92,FE67&gt;=180,FF67&gt;=153),"DIABETES, REMITIR",IF(AND(AND(FD67&gt;1,FD67&lt;92),AND(FE67&gt;1,FE67&lt;180),AND(FF67&gt;1,FF67&lt;153)),"NORMAL",IF(AND(FD67&gt;0,OR(FE67=0,FF67=0)),"NO COMPLETA EXAMEN",""))))))))</f>
        <v>NORMAL</v>
      </c>
      <c r="FH67" s="31">
        <v>45114</v>
      </c>
      <c r="FI67" s="29">
        <f t="shared" ref="FI67:FI130" si="278">IF(AND(BT67="ERROR FUM O INGRESO",FH67&gt;0),"ERROR FUM O INGRESO",IF(AND(FH67="",R67="",O67=""),"",IF(OR(AND(FH67&lt;&gt;"",FH67&lt;RW67),AND(FH67&lt;&gt;"",SUM((FH67-RW67)/7)&gt;40)),"CORREGIR FECHA RESULTADO",IF(AND(FH67="",OR(O67&gt;0,R67&gt;0)),"TOMAR EXAMEN",IF(FH67&gt;0,SUM(FH67-RW67)/7,"")))))</f>
        <v>39.571428571428569</v>
      </c>
      <c r="FJ67" s="22" t="s">
        <v>867</v>
      </c>
      <c r="FK67" s="22">
        <v>44911</v>
      </c>
      <c r="FL67" s="29">
        <f t="shared" ref="FL67:FL130" ca="1" si="279">IF(AND(BT67="ERROR FUM O INGRESO",FK67&gt;0),"ERROR FUM O INGRESO",IF(AND(FK67="",R67="",O67=""),"",IF(OR(AND(FK67&lt;&gt;"",FK67&lt;RW67),AND(FK67&lt;&gt;"",AND(SUM((FK67-RW67)/7)&gt;=13,SUM((FK67-RW67)/7)&lt;27))),"REGISTRAR EN II TRIMESTRE",IF(OR(AND(FK67&lt;&gt;"",FK67&lt;RW67),AND(FK67&lt;&gt;"",AND(SUM((FK67-RW67)/7)&gt;=27,SUM((FK67-RW67)/7)&lt;44))),"REGISTRAR EN III TRIMESTRE",IF(AND(FK67="",OR(O67&gt;0,R67&gt;0),AND(BU67&gt;1,BU67&lt;10)),"EN RANGO PARA TOMAR EXAMEN",IF(AND(FK67="",OR(O67&gt;0,R67&gt;0),AND(BU67&gt;=10,BU67&lt;13)),"TOMA INMEDIATA DE TAMIZAJE",IF(AND(FK67="",BS67&lt;13,OR(O67&gt;0,R67&gt;0)),"PIERDE TOMA DE TAMIZAJE",IF(AND(FK67="",OR(O67&gt;0,R67&gt;0),AND(BS67&gt;=13,BS67&lt;43)),"NO APLICA-INGRESO TARDIO",IF(FK67&gt;0,SUM(FK67-RW67)/7,"")))))))))</f>
        <v>10.571428571428571</v>
      </c>
      <c r="FM67" s="22"/>
      <c r="FN67" s="290"/>
      <c r="FO67" s="29"/>
      <c r="FP67" s="22" t="s">
        <v>867</v>
      </c>
      <c r="FQ67" s="32">
        <v>45093</v>
      </c>
      <c r="FR67" s="29" t="e">
        <f>IF(AND(BT67="ERROR FUM O INGRESO",#REF!&gt;0),"ERROR FUM O INGRESO",IF(AND(#REF!="",R67="",O67=""),"",IF(AND(#REF!&lt;&gt;"",#REF!&lt;RW67), "INCOHERENCIA FUM Y FECHA TAMIZAJE",IF(AND(#REF!="",DV67="ACTIVA INGRESO A CPN",AND(BU67&gt;0,BU67&lt;27)),"EN ESPERA-ESTÁ I TRIM O II TRIM", IF(AND(#REF!="",AND(BS67&gt;0, BS67&lt;27),OR(O67&gt;0,R67&gt;0),AND(IP67&gt;0,IP67&lt;27)),"NO APLICA-SALIO DEL PROGRAMA I O II TRIM",IF(AND(#REF!&lt;&gt;"",AND(SUM((#REF!-RW67)/7)&gt;0,SUM((#REF!-RW67)/7)&lt;13)),"REGISTAR EN I TRIMESTRE",IF(AND(#REF!&lt;&gt;"",AND(SUM((#REF!-RW67)/7)&gt;=13,SUM((#REF!-RW67)/7)&lt;27)),"REGISTRAR EN II TRIMESTRE",IF(AND(#REF!="",OR(O67&gt;0,R67&gt;0),AND(BU67&gt;=28,BU67&lt;35),DV67="ACTIVA INGRESO A CPN"),"EN RANGO PARA TOMAR EXAMEN",IF(AND(#REF!="",OR(O67&gt;0,R67&gt;0),BU67&gt;=35, DV67="ACTIVA INGRESO A CPN"),"TOMA INMEDIATA DE TAMIZAJE",IF(AND(#REF!="",DV67= "SALE SIN INGRESO CPN"),"NO APLICA-SIN CPN",IF(AND(#REF!="",AND(IP67&gt;26,IP67&lt;43)),"PIERDE TOMA DE TAMIZAJE",IF(#REF!&gt;0,SUM(#REF!-RW67)/7,""))))))))))))</f>
        <v>#REF!</v>
      </c>
      <c r="FS67" s="22" t="s">
        <v>867</v>
      </c>
      <c r="FT67" s="32">
        <v>44911</v>
      </c>
      <c r="FU67" s="29" t="str">
        <f>IF(AND(FJ67="",FM67="",FP67="",FS67=""),"",IF(OR(OR(Tabla1[[#This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7" s="28"/>
      <c r="FW67" s="22"/>
      <c r="FX67" s="29" t="str">
        <f t="shared" ref="FX67:FX130" si="280">IF(AND(BT67="ERROR FUM O INGRESO",FW67&gt;0),"ERROR FUM O INGRESO",IF(AND(FW67="",R67="",O67=""),"",IF(OR(AND(FW67&lt;&gt;"",FW67&lt;RW67),AND(FW67&lt;&gt;"",SUM((FW67-RW67)/7)&gt;40)),"CORREGIR FECHA RESULTADO",IF(AND(FW67="",OR(O67&gt;0,R67&gt;0)),"TOMAR EXAMEN",IF(FW67&gt;0,SUM(FW67-RW67)/7,"")))))</f>
        <v>TOMAR EXAMEN</v>
      </c>
      <c r="FY67" s="22">
        <v>44911</v>
      </c>
      <c r="FZ67" s="22">
        <v>44911</v>
      </c>
      <c r="GA67" s="29">
        <f t="shared" ca="1" si="250"/>
        <v>10.571428571428571</v>
      </c>
      <c r="GB67" s="22" t="s">
        <v>868</v>
      </c>
      <c r="GC67" s="22">
        <v>44996</v>
      </c>
      <c r="GD67" s="29">
        <f t="shared" ref="GD67:GD71" ca="1" si="281">IF(AND(BT67="ERROR FUM O INGRESO",GC67&gt;0),"ERROR FUM O INGRESO",IF(AND(GC67="",R67="",O67=""),"",IF(AND(GC67&lt;&gt;"",GC67&lt;RW67), "INCOHERENCIA FUM Y FECHA TAMIZAJE",IF(AND(GC67="",DV67="ACTIVA INGRESO A CPN",AND(BU67&gt;0,BU67&lt;13)),"EN ESPERA-ESTÁ I TRIM", IF(AND(GC67="",AND(BS67&gt;0, BS67&lt;12),OR(O67&gt;0,R67&gt;0),AND(IP67&gt;0,IP67&lt;13)),"NO APLICA-SALIO DEL PROGRAMA I TRIM",IF(AND(GC67&lt;&gt;"",AND(SUM((GC67-RW67)/7)&gt;0,SUM((GC67-RW67)/7)&lt;13)),"REGISTRAR EN I TRIMESTRE",IF(AND(GC67&lt;&gt;"",AND(SUM((GC67-RW67)/7)&gt;=27,SUM((GC67-RW67)/7)&lt;44)),"REGISTRAR EN III TRIMESTRE",IF(AND(GC67="",OR(O67&gt;0,R67&gt;0),AND(BU67&gt;=12,BU67&lt;25),DV67="ACTIVA INGRESO A CPN"),"EN RANGO PARA TOMAR EXAMEN",IF(AND(GC67="",OR(O67&gt;0,R67&gt;0),AND(BU67&gt;=25,BU67&lt;27),DV67="ACTIVA INGRESO A CPN"),"TOMA INMEDIATA DE TAMIZAJE",IF(AND(GC67="",OR(O67&gt;0,R67&gt;0),AND(BS67&gt;=27,BS67&lt;43)),"NO APLICA-INGRESO TARDIO",IF(AND(GC67="",BS67&lt;27),"PIERDE TOMA DE TAMIZAJE",IF(GC67&gt;0,SUM(GC67-RW67)/7,""))))))))))))</f>
        <v>22.714285714285715</v>
      </c>
      <c r="GE67" s="22" t="s">
        <v>868</v>
      </c>
      <c r="GF67" s="22">
        <v>45092</v>
      </c>
      <c r="GG67" s="29">
        <f t="shared" ref="GG67:GG71" ca="1" si="282">IF(AND(BT67="ERROR FUM O INGRESO",GF67&gt;0),"ERROR FUM O INGRESO",IF(AND(GF67="",R67="",O67=""),"",IF(AND(GF67&lt;&gt;"",GF67&lt;RW67), "INCOHERENCIA FUM Y FECHA TAMIZAJE",IF(AND(GF67="",DV67="ACTIVA INGRESO A CPN",AND(BU67&gt;0,BU67&lt;27)),"EN ESPERA-ESTÁ I TRIM O II TRIM", IF(AND(GF67="",AND(BS67&gt;0, BS67&lt;28),OR(O67&gt;0,R67&gt;0),AND(IP67&gt;0,IP67&lt;28)),"NO APLICA-SALIO DEL PROGRAMA I O II TRIM",IF(AND(GF67&lt;&gt;"",AND(SUM((GF67-RW67)/7)&gt;0,SUM((GF67-RW67)/7)&lt;13)),"REGISTAR EN I TRIMESTRE",IF(AND(GF67&lt;&gt;"",AND(SUM((GF67-RW67)/7)&gt;=13,SUM((GF67-RW67)/7)&lt;27)),"REGISTRAR EN II TRIMESTRE",IF(AND(GF67="",OR(O67&gt;0,R67&gt;0),AND(BU67&gt;=28,BU67&lt;35),DV67="ACTIVA INGRESO A CPN"),"EN RANGO PARA TOMAR EXAMEN",IF(AND(GF67="",OR(O67&gt;0,R67&gt;0),BU67&gt;=35, DV67="ACTIVA INGRESO A CPN"),"TOMA INMEDIATA DE TAMIZAJE",IF(AND(GF67="",DV67= "SALE SIN INGRESO CPN"),"NO APLICA-SIN CPN",IF(AND(GF67="",BS67&lt;44),"PIERDE TOMA DE TAMIZAJE",IF(GF67&gt;0,SUM(GF67-RW67)/7,""))))))))))))</f>
        <v>36.428571428571431</v>
      </c>
      <c r="GH67" s="22"/>
      <c r="GI67" s="29"/>
      <c r="GJ67" s="22"/>
      <c r="GK67" s="22"/>
      <c r="GL67" s="22"/>
      <c r="GM67" s="22"/>
      <c r="GN67" s="28" t="s">
        <v>869</v>
      </c>
      <c r="GO67" s="22">
        <v>44911</v>
      </c>
      <c r="GP67" s="29">
        <f t="shared" ref="GP67:GP130" si="283">IF(AND(BT67="ERROR FUM O INGRESO",GO67&gt;0),"ERROR FUM O INGRESO",IF(AND(GO67="",R67="",O67=""),"",IF(OR(AND(GO67&lt;&gt;"",GO67&lt;RW67),AND(GO67&lt;&gt;"",SUM((GO67-RW67)/7)&gt;40)),"CORREGIR FECHA RESULTADO",IF(AND(GO67="",OR(O67&gt;0,R67&gt;0)),"TOMAR EXAMEN",IF(GO67&gt;0,SUM(GO67-RW67)/7,"")))))</f>
        <v>10.571428571428571</v>
      </c>
      <c r="GQ67" s="28" t="s">
        <v>869</v>
      </c>
      <c r="GR67" s="28" t="s">
        <v>869</v>
      </c>
      <c r="GS67" s="22" t="str">
        <f t="shared" ref="GS67:GS98" si="284">IF(GQ67="NEGATIVO","CONTROL Igm",IF(AND(GQ67="POSITIVO",GR67="NEGATIVO"),"SE EXCLUYE INFECCION",IF(AND(GQ67="POSITIVO",GR67="POSITIVO"),"TOXOPLASMOSIS, REMITIR PARA MANEJO","")))</f>
        <v>CONTROL Igm</v>
      </c>
      <c r="GT67" s="22">
        <v>44911</v>
      </c>
      <c r="GU67" s="29">
        <f t="shared" ref="GU67:GU130" si="285">IF(AND(BT67="ERROR FUM O INGRESO",GT67&gt;0),"ERROR FUM O INGRESO",IF(AND(GT67="",R67="",O67=""),"",IF(OR(AND(GT67&lt;&gt;"",GT67&lt;BO67),AND(GT67&lt;&gt;"",SUM((GT67-BO67)/7)&gt;40)),"CORREGIR FECHA RESULTADO",IF(AND(GT67="",OR(O67&gt;0,R67&gt;0)),"TOMAR EXAMEN",IF(GT67&gt;0,SUM(GT67-BO67)/7,"")))))</f>
        <v>10.571428571428571</v>
      </c>
      <c r="GV67" s="21" t="str">
        <f t="shared" ref="GV67:GV130" si="286">IF(AND(GU67="",BT67=""),"",IF(AND(GU67&lt;&gt;"",BT67="SIN DATO"),"SIN DATO",IF(AND(GU67="",BT67&lt;&gt;""),"",IF(AND(GU67&lt;0,BT67&gt;0),"ERROR FUM O INGRESO",IF(GU67&lt;=13,"I TRIM",IF(GU67&lt;28,"II TRIM",IF(AND(GU67&gt;27,GU67&lt;45),"III TRIM","POR DEFINIR")))))))</f>
        <v>I TRIM</v>
      </c>
      <c r="GW67" s="28" t="s">
        <v>869</v>
      </c>
      <c r="GX67" s="30"/>
      <c r="GY67" s="21"/>
      <c r="GZ67" s="21"/>
      <c r="HA67" s="21"/>
      <c r="HB67" s="21"/>
      <c r="HC67" s="21"/>
      <c r="HD67" s="21"/>
      <c r="HE67" s="21"/>
      <c r="HF67" s="22"/>
      <c r="HG67" s="22" t="str">
        <f>IF(OR(O67&gt;0,R67&gt;0),CONCATENATE(IF(Tabla1[[#This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7" s="22" t="e">
        <f t="shared" ref="HH67:HH130" si="287">IF(OR(O67&gt;0,R67&gt;0),CONCATENATE(IF(AZ67="SI","ANTECEDENTE EMBARAZO MOLAR",""),"*",CONCATENATE(IF(BA67="SI","ANTECEDENTE MUERTE NEONATAL",""),"*",CONCATENATE(IF(AND(BQ67&gt;0,BQ67&lt;13),"PERIODO INTERGENESICO CORTO",""),"*",CONCATENATE(IF(AND(BS67&gt;13,BS67&lt;42),"INGRESO TARDIO A CPN",""),"*",CONCATENATE(IF(CO67="BAJO PESO","BAJO PESO",""),"*",CONCATENATE(IF(CO67="SOBREPESO","SOBREPESO",""),"*",CONCATENATE(IF(CO67="OBESIDAD","OBESIDAD",""),"*",CONCATENATE(IF(GN67="POSITIVO","SEGUIMIENTO INFECCIÓN HEP B",""),"*",CONCATENATE(IF(GS67="TOXOPLASMOSIS, REMITIR PARA MANEJO","INFECCIÓN TOXOPLASMOSIS",""),"*",CONCATENATE(IF(GS67="CONTROL Igm","PREVENCIÓN CONTAGIO TOXOPLASMOSIS",""),"*",CONCATENATE(IF(OR(HF67="COVID19 PRIMER TRIMESTRE",HF67="COVID19 SEGUNDO TRIMESTRE",HF67="COVID19 TERCER TRIMESTRE",HF67="COVID19 PUERPERIO"),"INFECCIÓN SARS-CoV2 CONFIRMADA",""),"*",CONCATENATE(IF(GY67="Esquema vigente – Alterado","DESCARTAR CANCER DE UTERO",""),"*",)))))))))))),"")</f>
        <v>#REF!</v>
      </c>
      <c r="HI67" s="22" t="e">
        <f t="shared" ref="HI67:HI130" ca="1" si="288">IF(AND(O67="",R67=""),"",IF(AND(OR(O67&lt;&gt;"",R67&lt;&gt;""),OR(HK67="RIESGO ALTO DE COMPLICACIONES HIPERTENSIVAS VER MANEJO GUIA SUMINISTRO ASA Y CALCIO",HK67="RIESGO MODERADO (2 O MAS CRITERIOS) VER MANEJO GUIA SUMINISTRO ASA Y CALCIO")),"ALTO RIESGO",IF(AND(HH67="************",OR(O67&lt;&gt;"",R67&lt;&gt;""),AND(ND67&gt;=0,ND67&lt;3)),"BAJO RIESGO",IF(AND(OR(O67&lt;&gt;"",R67&lt;&gt;""),OR(HF67="COVID19 PRIMER TRIMESTRE",HF67="COVID19 SEGUNDO TRIMESTRE",HF67="COVID19 TERCER TRIMESTRE",HF67="COVID19 PUERPERIO")),"ALTO RIESGO",IF(AND(HH67&lt;&gt;"",OR(O67&lt;&gt;"",R67&lt;&gt;""),AND(ND67&gt;=0,ND67&lt;3)),"CON RIESGO",IF(AND(OR(O67&lt;&gt;"",R67&lt;&gt;""),ND67&gt;2),"ALTO RIESGO",""))))))</f>
        <v>#REF!</v>
      </c>
      <c r="HJ67" s="21"/>
      <c r="HK67" s="21" t="str">
        <f t="shared" ref="HK67:HK130" si="289">IF(AND(O67="",R67=""),"",IF(AND(OR(O67&gt;0,R67&gt;0),OR(AL67="SI",BG67="SI",BD67="SI",BE67="SI",BH67="SI")),"RIESGO ALTO DE COMPLICACIONES HIPERTENSIVAS VER MANEJO GUIA SUMINISTRO ASA Y CALCIO",IF(AND(OR(O67&gt;0,R67&gt;0),NE67&gt;1),"RIESGO MODERADO (2 O MAS CRITERIOS) VER MANEJO GUIA SUMINISTRO ASA Y CALCIO","SIN ANTECEDENTES DE RIESGO")))</f>
        <v>SIN ANTECEDENTES DE RIESGO</v>
      </c>
      <c r="HL67" s="24" t="str">
        <f t="shared" ref="HL67:HL130" si="290">DC67</f>
        <v>APARENTEMENTE NORMAL</v>
      </c>
      <c r="HM67" s="21" t="str">
        <f t="shared" ref="HM67:HM130" ca="1" si="291">IF(NI67="SD","",IF(AND(NI67&lt;=33,NI67&gt;=8),"MES DE CONTROL",IF(AND(NI67&gt;=1,NI67&lt;8),"SEMANA DE CONTROL",IF(NI67=0,"DIA DE CONTROL",IF(NI67&lt;0,"INASISTENTE",IF(NI67="Y","SEGUIMIENTO FUERA MUNICIPIO",IF(NI67="Z","BUSCAR PARA INGRESO A CPN",IF(NI67="W","DEFINIR FECHA CITA",IF(NI67="X","NO REALIZO CPN",IF(NI67="S","DILIGENCIAR FECHA SALIDA PROGRAMA","REVISAR FORMULA"))))))))))</f>
        <v/>
      </c>
      <c r="HN67" s="30" t="str">
        <f t="shared" si="207"/>
        <v>SALIO PROGRAMA</v>
      </c>
      <c r="HO67" s="21"/>
      <c r="HP67" s="21"/>
      <c r="HQ67" s="21">
        <v>44909</v>
      </c>
      <c r="HR67" s="21" t="str">
        <f>IF(R67="","",IF(Tabla1[[#This Row],[ALARMA FACTORES DE RIESGO COMPLICACIONES HIPERTENSIVAS3]]="SIN ANTECEDENTES DE RIESGO","No Aplica para suministro de ASA",IF(AND(Tabla1[[#This Row],[FECHA INICIO DE SUMINISTRO DE ASA]]&gt;0,RV67&lt;12),"Inicia ASA ANTES de Sem 12",IF(AND(RV67&gt;11,RV67&lt;17,OR(HK67="RIESGO ALTO DE COMPLICACIONES HIPERTENSIVAS VER MANEJO GUIA SUMINISTRO ASA Y CALCIO",HK67="RIESGO MODERADO (2 O MAS CRITERIOS) VER MANEJO GUIA SUMINISTRO ASA Y CALCIO")),"Inicio oportuno de ASA",IF(AND(RV67&gt;12,OR(HK67="RIESGO ALTO DE COMPLICACIONES HIPERTENSIVAS VER MANEJO GUIA SUMINISTRO ASA Y CALCIO",HK67="RIESGO MODERADO (2 O MAS CRITERIOS) VER MANEJO GUIA SUMINISTRO ASA Y CALCIO")),"Inicio no oportuno mayor a 16 semanas",IF(AND(BU67&lt;12,OR(HK67="RIESGO ALTO DE COMPLICACIONES HIPERTENSIVAS VER MANEJO GUIA SUMINISTRO ASA Y CALCIO",HK67="RIESGO MODERADO (2 O MAS CRITERIOS) VER MANEJO GUIA SUMINISTRO ASA Y CALCIO")),"Pendiente Inicio de ASA a la semana 12",IF(AND(BU67&gt;11,BU67&lt;17,OR(HK67="RIESGO ALTO DE COMPLICACIONES HIPERTENSIVAS VER MANEJO GUIA SUMINISTRO ASA Y CALCIO",HK67="RIESGO MODERADO (2 O MAS CRITERIOS) VER MANEJO GUIA SUMINISTRO ASA Y CALCIO")),"Iniciar de inmediato ASA",IF(AND(BU67&gt;16,OR(HK67="RIESGO ALTO DE COMPLICACIONES HIPERTENSIVAS VER MANEJO GUIA SUMINISTRO ASA Y CALCIO",HK67="RIESGO MODERADO (2 O MAS CRITERIOS) VER MANEJO GUIA SUMINISTRO ASA Y CALCIO")),"Pierde Oportunidad, Inicio tardío de ASA","XXXXX"))))))))</f>
        <v>No Aplica para suministro de ASA</v>
      </c>
      <c r="HS67" s="22">
        <v>44909</v>
      </c>
      <c r="HT67" s="22" t="s">
        <v>870</v>
      </c>
      <c r="HU67" s="22">
        <v>44909</v>
      </c>
      <c r="HV67" s="22" t="s">
        <v>870</v>
      </c>
      <c r="HW67" s="22">
        <v>44909</v>
      </c>
      <c r="HX67" s="22" t="s">
        <v>870</v>
      </c>
      <c r="HY67" s="22">
        <v>44909</v>
      </c>
      <c r="HZ67" s="28">
        <f t="shared" ref="HZ67:HZ130" si="292">IF(AND(BT67="ERROR FUM O INGRESO",HY67&gt;0),"ERROR FUM O INGRESO",IF(AND(HY67="",R67=""),"",IF(OR(AND(HY67&lt;&gt;"",HY67&lt;RW67),AND(HY67&lt;&gt;"",SUM((HY67-RW67)/7)&gt;40)),"CORREGIR FECHA CONSULTA",IF(AND(HY67="",R67&gt;0),"PENDIENTE CONSULTA",IF(HY67&gt;0,SUM(HY67-RW67)/7,"")))))</f>
        <v>10.285714285714286</v>
      </c>
      <c r="IA67" s="26" t="s">
        <v>864</v>
      </c>
      <c r="IB67" s="26"/>
      <c r="IC67" s="111"/>
      <c r="ID67" s="22">
        <v>44995</v>
      </c>
      <c r="IE67" s="22" t="str">
        <f t="shared" ref="IE67:IE130" ca="1" si="293">IF(AND(RW67="",NF67="SD"),"SIN DATO EDAD GESTACIONAL",IF(AND(RW67="",ID67=""),"",IF(AND(AND(BU67&gt;0,BU67&lt;20),ID67=""),"EN ESPERA PARA VACUNAR",IF(AND(AND(BU67&gt;19,BU67&lt;27),ID67=""),"PROGRAMAR APLICACION DE VACUNA",IF(AND(AND(BU67&gt;26,BU67&lt;43),ID67=""),"INASISTENTE",IF(AND(AND(NF67&gt;19,NF67&lt;27),ID67&gt;0),"VACUNA APLICADA ENTRE SEMANA 20 Y SEMANA 26",IF(AND(NF67&lt;20,ID67&gt;0),"VACUNA APLICADA ANTES SEMANA 20",IF(AND(NF67&gt;26,ID67&gt;0),"VACUNA APLICADA ENTRE SEMANA 27 Y EL PARTO",IF(AND(OR(IK67="CESAREA",IK67="PARTO"),II67="POSIBLEMENTE NACIO",ID67=""),"SALE SIN VACUNA","")))))))))</f>
        <v>VACUNA APLICADA ENTRE SEMANA 20 Y SEMANA 26</v>
      </c>
      <c r="IF67" s="22"/>
      <c r="IG67" s="22">
        <f t="shared" ref="IG67:IG130" si="294">IF(OR(BP67="SI",BP67="Corregida",BP67="NO"),(RW67+280),IF(BP67="Sin Dato","DEFINIR FPP POR ECO",""))</f>
        <v>45117</v>
      </c>
      <c r="IH67" s="29">
        <f t="shared" ref="IH67:IH130" ca="1" si="295">IF(OR(IG67="DEFINIR FPP POR ECO",BT67="ERROR FUM O INGRESO"),"SIN DEFINIR",IF(IG67="","",IF(IG67&gt;0,SUM(IG67-TODAY()),"X")))</f>
        <v>-116</v>
      </c>
      <c r="II67" s="22" t="str">
        <f t="shared" ref="II67:II130" ca="1" si="296">IF(IH67&lt;0,"POSIBLEMENTE NACIO",IF(IH67="SIN DEFINIR","SIN DATO",IF(AND(IH67&gt;=0,IH67&lt;=7),"SEMANA DE PARTO",IF(AND(IH67&gt;=8,IH67&lt;=28),"MENOS DE 4 SEMANAS",IF(AND(IH67&gt;=29,IH67&lt;=280),"PENDIENTE","")))))</f>
        <v>POSIBLEMENTE NACIO</v>
      </c>
      <c r="IJ67" s="22"/>
      <c r="IK67" s="21" t="s">
        <v>898</v>
      </c>
      <c r="IL67" s="21"/>
      <c r="IM67" s="34"/>
      <c r="IN67" s="349">
        <v>45115</v>
      </c>
      <c r="IO67" s="21" t="s">
        <v>1186</v>
      </c>
      <c r="IP67" s="29">
        <f t="shared" ref="IP67:IP73" si="297">IF(AND(IN67&gt;0,IK67&lt;&gt;""),SUM(IN67-RW67)/7,"")</f>
        <v>39.714285714285715</v>
      </c>
      <c r="IQ67" s="110" t="s">
        <v>1644</v>
      </c>
      <c r="IR67" s="21" t="s">
        <v>1645</v>
      </c>
      <c r="IS67" s="21" t="s">
        <v>1646</v>
      </c>
      <c r="IT67" s="21" t="s">
        <v>1642</v>
      </c>
      <c r="IU67" s="21"/>
      <c r="IV67" s="21"/>
      <c r="IW67" s="21"/>
      <c r="IX67" s="21"/>
      <c r="IY67" s="21"/>
      <c r="IZ67" s="21"/>
      <c r="JA67" s="21"/>
      <c r="JB67" s="30">
        <v>1</v>
      </c>
      <c r="JC67" s="21" t="s">
        <v>1647</v>
      </c>
      <c r="JD67" s="36">
        <v>3750</v>
      </c>
      <c r="JE67" s="21" t="str">
        <f t="shared" ref="JE67:JE71" si="298">IF(AND(JD67&gt;700,JD67&lt;2500,IP67&gt;36),"BAJO PESO AL NACER",IF(AND(JD67&gt;500,JD67&lt;2500,IP67&lt;37),"PREMATURO",IF(AND(JD67&gt;2499,JD67&lt;5000,IP67&lt;37),"ERROR VERIFICAR DATO EDAD GESTACIONAL VS PESO",IF(AND(JD67&gt;2499,JD67&lt;4000,IP67&gt;36),"PESO ADECUADO EDAD GESTACIONAL",IF(AND(JD67&gt;3999,JD67&lt;6000,IP67&gt;36),"PESO GRANDE EDAD GESTACIONAL","")))))</f>
        <v>PESO ADECUADO EDAD GESTACIONAL</v>
      </c>
      <c r="JF67" s="30"/>
      <c r="JG67" s="21"/>
      <c r="JH67" s="21"/>
      <c r="JI67" s="21" t="s">
        <v>854</v>
      </c>
      <c r="JJ67" s="30" t="s">
        <v>866</v>
      </c>
      <c r="JK67" s="22"/>
      <c r="JL67" s="22"/>
      <c r="JM67" s="21"/>
      <c r="JN67" s="36"/>
      <c r="JO67" s="21" t="str">
        <f t="shared" ref="JO67:JO71" si="299">IF(AND(JN67&gt;700,JN67&lt;2500,IP67&gt;36,IP67&lt;43),"BAJO PESO AL NACER",IF(AND(JN67&gt;700,JN67&lt;2500,IP67&lt;37),"PREMATURO",IF(AND(JN67&gt;2499,JN67&lt;5000,IP67&lt;37),"ERROR VERIFICAR DATO EDAD GESTACIONAL VS PESO",IF(AND(JN67&gt;2499,JN67&lt;4000,IP67&gt;36,IP67&lt;43),"PESO ADECUADO EDAD GESTACIONAL",IF(AND(JN67&gt;3999,JN67&lt;6000,IP67&gt;36,IP67&lt;43),"PESO GRANDE EDAD GESTACIONAL","")))))</f>
        <v/>
      </c>
      <c r="JP67" s="22"/>
      <c r="JQ67" s="21"/>
      <c r="JR67" s="21"/>
      <c r="JS67" s="21"/>
      <c r="JT67" s="30"/>
      <c r="JU67" s="22"/>
      <c r="JV67" s="22"/>
      <c r="JW67" s="33"/>
      <c r="JX67" s="28" t="str">
        <f t="shared" ref="JX67:JX71" si="300">IF(AND(JW67&lt;&gt;"",JW67&lt;IN67),"INCONSISTENCIA FECHA CONTROL",IF(AND(OR(IK67="Parto",IK67="Cesarea"),JW67&gt;0,IN67&gt;0),SUM(JW67-IN67),IF(AND(OR(IK67="Parto",IK67="Cesarea"),JW67="",IN67&gt;0),"INASISTENTE","")))</f>
        <v>INASISTENTE</v>
      </c>
      <c r="JY67" s="33"/>
      <c r="JZ67" s="28" t="str">
        <f t="shared" ref="JZ67:JZ71" si="301">IF(AND(JY67&lt;&gt;"",JY67&lt;IN67),"INCONSISTENCIA FECHA CONTROL",IF(AND(OR(IK67="Parto",IK67="Cesarea",IK67="Aborto Espontaneo",IK67="Aborto Inducido",IK67="IVE"),JY67&gt;0,IN67&gt;0),SUM(JY67-IN67),IF(AND(JY67&lt;&gt;"",JY67&lt;IN67),"INCONSISTENCIA FECHA CONTROL",IF(AND(OR(IK67="Parto",IK67="Cesarea",IK67="Aborto Espontaneo",IK67="Aborto Inducido",IK67="IVE"),JY67="",IN67&gt;0),"INASISTENTE",""))))</f>
        <v>INASISTENTE</v>
      </c>
      <c r="KA67" s="21"/>
      <c r="KB67" s="21"/>
      <c r="KC67" s="21"/>
      <c r="KD67" s="37"/>
      <c r="KE67" s="28"/>
      <c r="KF67" s="28"/>
      <c r="KG67" s="28"/>
      <c r="KH67" s="39"/>
      <c r="KI67" s="39"/>
      <c r="KJ67" s="66"/>
      <c r="KK67" s="39"/>
      <c r="KL67" s="39"/>
      <c r="KM67" s="66"/>
      <c r="KN67" s="39"/>
      <c r="KO67" s="39"/>
      <c r="KP67" s="39"/>
      <c r="KQ67" s="39"/>
      <c r="KR67" s="39"/>
      <c r="KS67" s="39"/>
      <c r="KT67" s="39"/>
      <c r="KU67" s="38"/>
      <c r="KV67" s="38"/>
      <c r="KW67" s="38"/>
      <c r="KX67" s="38"/>
      <c r="KY67" s="38"/>
      <c r="KZ67" s="38"/>
      <c r="LA67" s="38"/>
      <c r="LB67" s="38"/>
      <c r="LC67" s="38"/>
      <c r="LD67" s="38"/>
      <c r="LE67" s="38"/>
      <c r="LF67" s="38"/>
      <c r="LG67" s="38"/>
      <c r="LH67" s="38"/>
      <c r="LI67" s="38"/>
      <c r="LJ67" s="38"/>
      <c r="LK67" s="38"/>
      <c r="LL67" s="38"/>
      <c r="LM67" s="38"/>
      <c r="LN67" s="38"/>
      <c r="LO67" s="38"/>
      <c r="LP67" s="38"/>
      <c r="LQ67" s="38"/>
      <c r="LR67" s="38"/>
      <c r="LS67" s="38"/>
      <c r="LT67" s="38"/>
      <c r="LU67" s="38"/>
      <c r="LV67" s="38"/>
      <c r="LW67" s="38"/>
      <c r="LX67" s="38"/>
      <c r="LY67" s="38"/>
      <c r="LZ67" s="38"/>
      <c r="MA67" s="38"/>
      <c r="MB67" s="38"/>
      <c r="MC67" s="38"/>
      <c r="MD67" s="38"/>
      <c r="ME67" s="38"/>
      <c r="MF67" s="38"/>
      <c r="MG67" s="38"/>
      <c r="MH67" s="43">
        <f t="shared" ref="MH67:MH98" si="302">SUM(COUNTIF(KU67,"PARTERO (A)"),COUNTIF(KY67,"PARTERO (A)"),COUNTIF(LC67,"PARTERO (A)"),COUNTIF(LG67,"PARTERO (A)"),COUNTIF(LK67,"PARTERO (A)"),COUNTIF(LO67,"PARTERO (A)"),COUNTIF(ME67,"PARTERO (A)"))</f>
        <v>0</v>
      </c>
      <c r="MI67" s="43" t="str">
        <f t="shared" ref="MI67:MI98" si="303">IF(AND(R67="",O67=""),"",IF(AND(OR(O67&gt;0,R67&gt;0),KT67&gt;0),SUM(KT67-RW67)/7,""))</f>
        <v/>
      </c>
      <c r="MJ67" s="43" t="str">
        <f t="shared" ref="MJ67:MJ98" si="304">IF(AND(MI67="",BT67=""),"",IF(AND(MI67&lt;&gt;"",BT67="SIN DATO"),"SIN DATO",IF(AND(MI67="",BT67&lt;&gt;""),"",IF(AND(MI67&lt;0,BT67&gt;0),"ERROR FUM O INGRESO",IF(MI67&lt;=13,"I TRIM",IF(MI67&lt;28,"II TRIM",IF(AND(MI67&gt;27,MI67&lt;45),"III TRIM","POR DEFINIR")))))))</f>
        <v/>
      </c>
      <c r="MK67" s="43">
        <f t="shared" ref="MK67:MK98" si="305">SUM(COUNTIF(KU67,"MEDICO (A) TRADICIONAL"),COUNTIF(KY67,"MEDICO (A) TRADICIONAL"),COUNTIF(LC67,"MEDICO (A) TRADICIONAL"),COUNTIF(LG67,"MEDICO (A) TRADICIONAL"),COUNTIF(LK67,"MEDICO (A) TRADICIONAL"),COUNTIF(LO67,"MEDICO (A) TRADICIONAL"),COUNTIF(ME67,"MEDICO (A) TRADICIONAL"))</f>
        <v>0</v>
      </c>
      <c r="ML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7" s="43">
        <f t="shared" ref="MM67:MM98" si="306">IF(AND(O67&gt;0,RW67&gt;0),SUM(O67-RW67)/7,"")</f>
        <v>10.285714285714286</v>
      </c>
      <c r="MN67" s="43">
        <f t="shared" ref="MN67:MN98" si="307">IF(R67&gt;0,MONTH(R67),"")</f>
        <v>12</v>
      </c>
      <c r="MO67" s="43">
        <f t="shared" ref="MO67:MO98" si="308">IF(R67&gt;0,YEAR(R67),"")</f>
        <v>2022</v>
      </c>
      <c r="MP67" s="43" t="str">
        <f t="shared" ref="MP67:MP98" si="309">IF(AND(MN67&gt;=1,MN67&lt;=3),"I TRIMESTRE AÑO",IF(AND(MN67&gt;=4,MN67&lt;=6),"II TRIMESTRE AÑO",IF(AND(MN67&gt;=7,MN67&lt;=9),"III TRIMESTRE AÑO",IF(AND(MN67&gt;=10,MN67&lt;=12),"IV TRIMESTRE AÑO",""))))</f>
        <v>IV TRIMESTRE AÑO</v>
      </c>
      <c r="MQ67" s="43">
        <f t="shared" ref="MQ67:MQ98" si="310">IF(AND(M67&gt;0,R67&gt;0),DAYS360(M67,R67)/30.44/12,IF(AND(M67&gt;0,O67&gt;0,R67=""),DAYS360(M67,O67)/30.44/12,""))</f>
        <v>41.896627244853264</v>
      </c>
      <c r="MR67" s="43">
        <f t="shared" ref="MR67:MR98" si="311">IF(AND(MQ67&gt;7,MQ67&lt;14),2,IF(MQ67&lt;16,1,IF(MQ67&lt;=35,0,IF(AND(MQ67&gt;35,MQ67&lt;50),2,""))))</f>
        <v>2</v>
      </c>
      <c r="MS67" s="43" t="str">
        <f t="shared" ref="MS67:MS98" si="312">+IF(MQ67="","",IF(MQ67&lt;14,"MENOR 14 AÑOS",IF(MQ67&lt;20,"DE 14 A 19AÑOS",IF(MQ67&lt;25," DE 20 A 24 AÑOS",IF(MQ67&lt;30," DE 25 A 29 AÑOS",IF(MQ67&lt;35," DE 30 A 34 AÑOS",IF(MQ67&lt;40," DE 35 A 39 AÑOS"," DE 40 Y MAS")))))))</f>
        <v xml:space="preserve"> DE 40 Y MAS</v>
      </c>
      <c r="MT67" s="43">
        <f t="shared" ref="MT67:MT98" si="313">IF(OR(AX67="SI",BA67="SI"),1,IF(AND(AX67="NO",BA67="NO"),0,""))</f>
        <v>0</v>
      </c>
      <c r="MU67" s="43">
        <f t="shared" ref="MU67:MU98" si="314">IF(AT67="","",IF(AT67=0,1,IF(AND(AT67&gt;=1,AT67&lt;=4),0,IF(AT67&gt;=5,2,"X"))))</f>
        <v>0</v>
      </c>
      <c r="MV67" s="43">
        <f t="shared" ref="MV67:MV98" si="315">IF(AW67="","",IF(AW67=0,0,IF(AW67=1,1,IF(OR(AW67=2,AW67="3 o MAS"),2,"X"))))</f>
        <v>0</v>
      </c>
      <c r="MW67" s="43">
        <f t="shared" ref="MW67:MW98" si="316">IF(AY67="SI",1,IF(AY67="NO",0,""))</f>
        <v>0</v>
      </c>
      <c r="MX67" s="43" t="str">
        <f t="shared" ref="MX67:MX98" si="317">IF(OR(AND(EM67&gt;0,EM67&lt;11),AND(ER67&gt;0,ER67&lt;10.5)),1,"")</f>
        <v/>
      </c>
      <c r="MY67" s="43" t="str">
        <f t="shared" ca="1" si="229"/>
        <v/>
      </c>
      <c r="MZ67" s="43" t="str">
        <f t="shared" ref="MZ67:MZ98" si="318">IF(AND(GJ67="",GL67="",BB67=""),"",IF(OR(OR(GJ67="P.R REACTIVA",GJ67="ELISA REACTIVA"),OR(BB67="SI",GL67="POSITIVA",GL67="NO CONCLUYENTE")),3,""))</f>
        <v/>
      </c>
      <c r="NA67" s="43" t="str">
        <f t="shared" ref="NA67:NA98" si="319">IF(CD67="","",IF(OR(CD67="CEFÁLICA",CD67="SD"),0,IF(OR(CD67="PODÁLICA",CD67="TRANSVERSA O DE FRENTE",CD67="OBLICUA"),3,"")))</f>
        <v/>
      </c>
      <c r="NB67" s="43" t="str">
        <f t="shared" ref="NB67:NB98" si="320">IF(GZ67="","",IF(GZ67="POSITIVO",2,"0"))</f>
        <v/>
      </c>
      <c r="NC67" s="43" t="str">
        <f t="shared" ref="NC67:NC98" si="321">IF(AND(HB67="",HD67=""),"",IF(OR(HB67="POSITIVO",HD67="POSITIVO"),3,0))</f>
        <v/>
      </c>
      <c r="ND67" s="43">
        <f t="shared" ref="ND67:ND98" ca="1" si="322">IF(AND(O67="",R67=""),"",IF(OR(O67&lt;&gt;"",R67&lt;&gt;""),SUM(COUNTIF(AL67:AR67,"SI"),COUNTIF(AV67,"SI"),COUNTIF(BC67,"SI, CONTROLADA"),COUNTIF(BI67,"SI"),COUNTIF(BM67,"SI"),SUM(COUNTIF(BC67,"SI, SIN MANEJO")*3),SUM(COUNTIF(BC67,"SI, NO CONTROLADA")*3),SUM(COUNTIF(BD67:BG67,"SI")*3),SUM(COUNTIF(CB67:CC67,"SI")*3),SUM(COUNTIF(AD67,"Consumo Actual")*3),SUM(COUNTIF(AD67,"Hasta Antes de la Gestación")*2),SUM(COUNTIF(BK67,"SI")*3),SUM(COUNTIF(BL67,"SI")*2),SUM(COUNTIF(CE67,"SI")*2),SUM(COUNTIF(BH67,"SI")*2),SUM(COUNTIF(FG67,"DIABETES, REMITIR")*2),SUM(MT67:NC67),SUM(MR67),SUM(NG67),SUM(COUNTIF(EZ67,"COOMBS C/MES Y RESUMAN SEM 28")*2),SUM(COUNTIF(EZ67,"TOMAR COOMBS CUANTITATIVO Y REMISIÓN")*3),SUM(COUNTIF(FU67,"SIFILIS GESTACIONAL")*3)),""))</f>
        <v>2</v>
      </c>
      <c r="NE67" s="43">
        <f>IF(OR(O67&gt;0,R67&gt;0),SUM(COUNTIF(Tabla1[[#This Row],[AÑOS AL INICIO5 CPN]],"&gt;=40"),COUNTIF(AS67,"0"),COUNTIF(AR67,"SI"),COUNTIF(CC67,"SI"),COUNTIF(BQ67,"&gt;119"),COUNTIF(CI67,"&gt;=35")),"")</f>
        <v>1</v>
      </c>
      <c r="NF67" s="43">
        <f t="shared" ref="NF67:NF98" si="323">IF(AND(R67="",O67=""),"",IF(AND(OR(O67&gt;0,R67&gt;0),RW67=""),"SD",IF(AND(OR(O67&gt;0,R67&gt;0),ID67&gt;0),SUM(ID67-RW67)/7,"")))</f>
        <v>22.571428571428573</v>
      </c>
      <c r="NG67" s="43">
        <f t="shared" ref="NG67:NG98" si="324">IF(AND(AD67="",AE67="",AF67="",AG67="",AH67="",AI67="",AJ67=""),"",SUM(COUNTIF(AD67,"Hasta Antes de la Gestación")/2,SUM(COUNTIF(AE67,"NO")/2),COUNTIF(AF67,"NO"),SUM(COUNTIF(AG67,"SI")/2),COUNTIF(AH67,"SI"),SUM(COUNTIF(AJ67,"SI")*2),COUNTIF(AD67,"Consumo Actual"),COUNTIF(AI67,"HABITANTE DE CALLE"),COUNTIF(AI67,"DESPLAZADA"),COUNTIF(AI67,"MIGRATORIA"),COUNTIF(AI67,"DISCAPACIDAD FISICA"),COUNTIF(AI67,"DISCAPACIDAD CONDUCTUAL"),COUNTIF(AI67,"DISCAPACIDAD VISUAL"),COUNTIF(AI67,"DISCAPACIDAD AUDITIVA"),COUNTIF(AI67,"DISCAPACIDAD MULTIPLE"),COUNTIF(AI67,"DISCAPACIDAD SISTEMICA")))</f>
        <v>0</v>
      </c>
      <c r="NH67" s="43">
        <f t="shared" ref="NH67:NH98" si="325">IF(BX67&gt;0,BX67*7,"")</f>
        <v>79.8</v>
      </c>
      <c r="NI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CPN",P67="NO"),"Z",IF(AND(Tabla1[[#This Row],[CITA PROXIMO CONTROL]]="CITA MANUAL",Tabla1[[#This Row],[GESTANTES ACTUALES]]="ACTIVA INGRESO A CPN"),"W",IF(AND(Tabla1[[#This Row],[GESTANTES ACTUALES]]="SALIO PROGRAMA",IN67=""),"S",IF(AND(Tabla1[[#This Row],[CITA PROXIMO CONTROL]]&gt;0,IN67=""),(Tabla1[[#This Row],[CITA PROXIMO CONTROL]]-TODAY()),"SD"))))))))</f>
        <v>SD</v>
      </c>
      <c r="NJ67" s="43">
        <f>MONTH(Tabla1[[#This Row],[FECHA DE SALIDA  DEL PROGRAMA]])</f>
        <v>7</v>
      </c>
      <c r="NK67" s="43">
        <f>YEAR(Tabla1[[#This Row],[FECHA DE SALIDA  DEL PROGRAMA]])</f>
        <v>2023</v>
      </c>
      <c r="NL67" s="43" t="str">
        <f t="shared" ref="NL67:NL98" si="326">IF(AND(O67&gt;0,R67=""),"NO CPN",IF(AND(O67="",R67=""),"",IF(AND(R67&gt;0,EJ67&gt;0,EI67&gt;0),_xlfn.DAYS(EJ67,EI67),IF(AND(R67&gt;0,EJ67&gt;0,EI67=""),"NO CITA","X"))))</f>
        <v>X</v>
      </c>
      <c r="NM67" s="43" t="str">
        <f t="shared" si="251"/>
        <v>NO</v>
      </c>
      <c r="NN67" s="43" t="str">
        <f ca="1">IF(AND(O67&gt;0,R67=""),"NO CPN",IF(AND(O67="",R67=""),"",IF(AND(R67&gt;0,Tabla1[[#This Row],[SEMANAS DE GESTACION ACTUALIZADAS]]&lt;=12),"NO APLICA",IF(AND(FH67&lt;&gt;"",FQ67&lt;&gt;""),"SI","NO"))))</f>
        <v>SI</v>
      </c>
      <c r="NO67" s="43" t="e">
        <f ca="1">IF(AND(O67&gt;0,R67=""),"NO CPN",IF(AND(O67="",R67=""),"",IF(AND(R67&gt;0,Tabla1[[#This Row],[SEMANAS DE GESTACION ACTUALIZADAS]]&lt;=27),"NO APLICA",IF(AND(ES67&lt;&gt;"",#REF!&lt;&gt;"",GF67&lt;&gt;""),"SI","NO"))))</f>
        <v>#REF!</v>
      </c>
      <c r="NP67" s="204" t="str">
        <f t="shared" ref="NP67:NP98" si="327">IF(AND(BS67="",IG67=""),"",IF(AND(BS67="",IG67="DEFINIR FPP POR ECO"),"SIN DATO",IF(BS67&lt;0,"ERROR FUM O INGRESO",IF(BP67="NO","DEFINIR CON ECO",IF(BS67&lt;12,"I TRIM",IF(BS67&lt;27,"II TRIM",IF(AND(BS67&gt;26,BS67&lt;45),"III TRIM","ERROR FUM O INGRESO")))))))</f>
        <v>I TRIM</v>
      </c>
      <c r="NQ67" s="21">
        <f t="shared" si="241"/>
        <v>1</v>
      </c>
      <c r="NR67" s="21">
        <f t="shared" si="242"/>
        <v>3</v>
      </c>
      <c r="NS67" s="205">
        <f t="shared" ref="NS67:NS98" ca="1" si="328">COUNT(FL67,FO67,FR67,FT67)</f>
        <v>2</v>
      </c>
      <c r="NT67" s="21">
        <f t="shared" ref="NT67:NT98" ca="1" si="329">COUNT(GA67,GD67,GG67,GI67)</f>
        <v>3</v>
      </c>
      <c r="NU67" s="21" t="str">
        <f t="shared" ref="NU67:NU98" ca="1" si="330">IF(NR67="","",IF(NR67="REVISAR FUM O FECHA SALIDA PROGRAMA","POR DEFINIR",IF(OR(NR67=NS67,NS67&gt;NR67),"COMPLETO",IF(NS67&lt;NR67,"INCOMPLETO",""))))</f>
        <v>INCOMPLETO</v>
      </c>
      <c r="NV67" s="21" t="str">
        <f t="shared" ref="NV67:NV98" ca="1" si="331">IF(NR67="","",IF(NR67="REVISAR FUM O FECHA SALIDA PROGRAMA","POR DEFINIR",IF(OR(NR67=NT67,NT67&gt;NR67),"COMPLETO",IF(NT67&lt;NR67,"INCOMPLETO",""))))</f>
        <v>COMPLETO</v>
      </c>
      <c r="NW67" s="206" t="str">
        <f>IF(AND(O67="",R67=""),"",IF(OR(AND(Tabla1[[#This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7" s="207" t="str">
        <f t="shared" ref="NX67:NX98" ca="1" si="332">IF(AND(O67="",R67=""),"",IF(OR(IE67="VACUNA APLICADA ENTRE SEMANA 20 Y SEMANA 26",IE67="VACUNA APLICADA ENTRE SEMANA 27 Y EL PARTO",IE67="VACUNA APLICADA ANTES SEMANA 20"),"VACUNADA","SIN VACUNAR"))</f>
        <v>VACUNADA</v>
      </c>
      <c r="NY67" s="43">
        <f>ROW(Tabla1[[#This Row],['# DE TAMIZAJES SIFILIS TOMADOS ]])</f>
        <v>67</v>
      </c>
      <c r="NZ67" s="43">
        <f t="shared" ref="NZ67:NZ129" si="333">IF(BS67="","",IF(BS67&lt;10,"Menor",INT(BS67)))</f>
        <v>10</v>
      </c>
      <c r="OA67" s="43" t="str">
        <f t="shared" ref="OA67:OA129" si="334">IF(AND(NZ67=$OA$2,CI67&gt;10,CI67&lt;18.5),"BAJO PESO",IF(AND(NZ67=$OA$2,CI67&gt;18.4,CI67&lt;25),"NORMAL",IF(AND(NZ67=$OA$2,CI67&gt;24,CI67&lt;30),"SOBREPESO",IF(AND(NZ67=$OA$2,CI67&gt;29,CI67&lt;50),"OBESIDAD",""))))</f>
        <v/>
      </c>
      <c r="OB67" s="43" t="str">
        <f t="shared" ref="OB67:OB129" si="335">IF(AND(NZ67=$OB$2,CI67&gt;10,CI67&lt;20.3),"BAJO PESO",IF(AND(NZ67=$OB$2,CI67&gt;20.2,CI67&lt;25.3),"NORMAL",IF(AND(NZ67=$OB$2,CI67&gt;25.2,CI67&lt;30.3),"SOBREPESO",IF(AND(NZ67=$OB$2,CI67&gt;30.2,CI67&lt;50),"OBESIDAD",""))))</f>
        <v>OBESIDAD</v>
      </c>
      <c r="OC67" s="43" t="str">
        <f t="shared" ref="OC67:OC129" si="336">IF(AND(NZ67=$OC$2,CI67&gt;10,CI67&lt;20.4),"BAJO PESO",IF(AND(NZ67=$OC$2,CI67&gt;20.3,CI67&lt;25.4),"NORMAL",IF(AND(NZ67=$OC$2,CI67&gt;25.3,CI67&lt;30.4),"SOBREPESO",IF(AND(NZ67=$OC$2,CI67&gt;30.3,CI67&lt;50),"OBESIDAD",""))))</f>
        <v/>
      </c>
      <c r="OD67" s="43" t="str">
        <f t="shared" ref="OD67:OD129" si="337">IF(AND(NZ67=$OD$2,CI67&gt;10,CI67&lt;20.5),"BAJO PESO",IF(AND(NZ67=$OD$2,CI67&gt;20.4,CI67&lt;25.5),"NORMAL",IF(AND(NZ67=$OD$2,CI67&gt;25.4,CI67&lt;30.4),"SOBREPESO",IF(AND(NZ67=$OD$2,CI67&gt;30.3,CI67&lt;50),"OBESIDAD",""))))</f>
        <v/>
      </c>
      <c r="OE67" s="43" t="str">
        <f t="shared" ref="OE67:OE129" si="338">IF(AND(NZ67=$OE$2,CI67&gt;10,CI67&lt;20.7),"BAJO PESO",IF(AND(NZ67=$OE$2,CI67&gt;20.6,CI67&lt;25.7),"NORMAL",IF(AND(NZ67=$OE$2,CI67&gt;25.7,CI67&lt;30.5),"SOBREPESO",IF(AND(NZ67=$OE$2,CI67&gt;30.4,CI67&lt;50),"OBESIDAD",""))))</f>
        <v/>
      </c>
      <c r="OF67" s="43" t="str">
        <f t="shared" ref="OF67:OF129" si="339">IF(AND(NZ67=$OF$2,CI67&gt;10,CI67&lt;20.8),"BAJO PESO",IF(AND(NZ67=$OF$2,CI67&gt;20.7,CI67&lt;25.8),"NORMAL",IF(AND(NZ67=$OF$2,CI67&gt;25.7,CI67&lt;30.6),"SOBREPESO",IF(AND(NZ67=$OF$2,CI67&gt;30.5,CI67&lt;50),"OBESIDAD",""))))</f>
        <v/>
      </c>
      <c r="OG67" s="43" t="str">
        <f t="shared" ref="OG67:OG129" si="340">IF(AND(NZ67=$OG$2,CI67&gt;10,CI67&lt;20.9),"BAJO PESO",IF(AND(NZ67=$OG$2,CI67&gt;20.8,CI67&lt;25.9),"NORMAL",IF(AND(NZ67=$OG$2,CI67&gt;25.8,CI67&lt;30.7),"SOBREPESO",IF(AND(NZ67=$OG$2,CI67&gt;30.6,CI67&lt;50),"OBESIDAD",""))))</f>
        <v/>
      </c>
      <c r="OH67" s="43" t="str">
        <f t="shared" ref="OH67:OH129" si="341">IF(AND(NZ67=$OH$2,CI67&gt;10,CI67&lt;21.1),"BAJO PESO",IF(AND(NZ67=$OH$2,CI67&gt;21,CI67&lt;26),"NORMAL",IF(AND(NZ67=$OH$2,CI67&gt;25.9,CI67&lt;30.8),"SOBREPESO",IF(AND(NZ67=$OH$2,CI67&gt;30.7,CI67&lt;50),"OBESIDAD",""))))</f>
        <v/>
      </c>
      <c r="OI67" s="43" t="str">
        <f t="shared" ref="OI67:OI129" si="342">IF(AND(NZ67=$OI$2,CI67&gt;10,CI67&lt;21.2),"BAJO PESO",IF(AND(NZ67=$OI$2,CI67&gt;21.1,CI67&lt;26.1),"NORMAL",IF(AND(NZ67=$OI$2,CI67&gt;26,CI67&lt;31.9),"SOBREPESO",IF(AND(NZ67=$OI$2,CI67&gt;30.8,CI67&lt;50),"OBESIDAD",""))))</f>
        <v/>
      </c>
      <c r="OJ67" s="43" t="str">
        <f t="shared" ref="OJ67:OJ129" si="343">IF(AND(NZ67=$OJ$2,CI67&gt;10,CI67&lt;21.3),"BAJO PESO",IF(AND(NZ67=$OJ$2,CI67&gt;21.2,CI67&lt;26.2),"NORMAL",IF(AND(NZ67=$OJ$2,CI67&gt;26.1,CI67&lt;31),"SOBREPESO",IF(AND(NZ67=$OJ$2,CI67&gt;30.9,CI67&lt;50),"OBESIDAD",""))))</f>
        <v/>
      </c>
      <c r="OK67" s="43" t="str">
        <f t="shared" ref="OK67:OK129" si="344">IF(AND(NZ67=$OK$2,CI67&gt;10,CI67&lt;21.5),"BAJO PESO",IF(AND(NZ67=$OK$2,CI67&gt;21.4,CI67&lt;26.3),"NORMAL",IF(AND(NZ67=$OK$2,CI67&gt;26.2,CI67&lt;31),"SOBREPESO",IF(AND(NZ67=$OK$2,CI67&gt;30.9,CI67&lt;50),"OBESIDAD",""))))</f>
        <v/>
      </c>
      <c r="OL67" s="43" t="str">
        <f t="shared" ref="OL67:OL129" si="345">IF(AND(NZ67=$OL$2,CI67&gt;10,CI67&lt;21.6),"BAJO PESO",IF(AND(NZ67=$OL$2,CI67&gt;21.5,CI67&lt;26.4),"NORMAL",IF(AND(NZ67=$OL$2,CI67&gt;26.3,CI67&lt;31.1),"SOBREPESO",IF(AND(NZ67=$OL$2,CI67&gt;31,CI67&lt;50),"OBESIDAD",""))))</f>
        <v/>
      </c>
      <c r="OM67" s="43" t="str">
        <f t="shared" ref="OM67:OM129" si="346">IF(AND(NZ67=$OM$2,CI67&gt;10,CI67&lt;21.8),"BAJO PESO",IF(AND(NZ67=$OM$2,CI67&gt;21.7,CI67&lt;26.5),"NORMAL",IF(AND(NZ67=$OM$2,CI67&gt;26.4,CI67&lt;31.2),"SOBREPESO",IF(AND(NZ67=$OM$2,CI67&gt;31.1,CI67&lt;50),"OBESIDAD",""))))</f>
        <v/>
      </c>
      <c r="ON67" s="43" t="str">
        <f t="shared" ref="ON67:ON129" si="347">IF(AND(NZ67=$ON$2,CI67&gt;10,CI67&lt;21.9),"BAJO PESO",IF(AND(NZ67=$ON$2,CI67&gt;21.8,CI67&lt;26.7),"NORMAL",IF(AND(NZ67=$ON$2,CI67&gt;26.6,CI67&lt;31.3),"SOBREPESO",IF(AND(NZ67=$ON$2,CI67&gt;31.2,CI67&lt;50),"OBESIDAD",""))))</f>
        <v/>
      </c>
      <c r="OO67" s="43" t="str">
        <f t="shared" ref="OO67:OO129" si="348">IF(AND(NZ67=$OO$2,CI67&gt;10,CI67&lt;22.1),"BAJO PESO",IF(AND(NZ67=$OO$2,CI67&gt;22,CI67&lt;26.8),"NORMAL",IF(AND(NZ67=$OO$2,CI67&gt;26.7,CI67&lt;31.4),"SOBREPESO",IF(AND(NZ67=$OO$2,CI67&gt;31.3,CI67&lt;50),"OBESIDAD",""))))</f>
        <v/>
      </c>
      <c r="OP67" s="43" t="str">
        <f t="shared" ref="OP67:OP129" si="349">IF(AND(NZ67=$OP$2,CI67&gt;10,CI67&lt;22.3),"BAJO PESO",IF(AND(NZ67=$OP$2,CI67&gt;22.2,CI67&lt;27),"NORMAL",IF(AND(NZ67=$OP$2,CI67&gt;26.9,CI67&lt;31.6),"SOBREPESO",IF(AND(NZ67=$OP$2,CI67&gt;31.5,CI67&lt;50),"OBESIDAD",""))))</f>
        <v/>
      </c>
      <c r="OQ67" s="43" t="str">
        <f t="shared" ref="OQ67:OQ129" si="350">IF(AND(NZ67=$OQ$2,$CI67&gt;10,CI67&lt;22.5),"BAJO PESO",IF(AND(NZ67=$OQ$2,CI67&gt;22.4,CI67&lt;27.1),"NORMAL",IF(AND(NZ67=$OQ$2,CI67&gt;27,CI67&lt;31.7),"SOBREPESO",IF(AND(NZ67=$OQ$2,CI67&gt;31.6,CI67&lt;50),"OBESIDAD",""))))</f>
        <v/>
      </c>
      <c r="OR67" s="43" t="str">
        <f t="shared" ref="OR67:OR129" si="351">IF(AND(NZ67=$OR$2,CI67&gt;10,CI67&lt;22.7),"BAJO PESO",IF(AND(NZ67=$OR$2,CI67&gt;22.6,CI67&lt;27.3),"NORMAL",IF(AND(NZ67=$OR$2,CI67&gt;27.1,CI67&lt;31.8),"SOBREPESO",IF(AND(NZ67=$OR$2,CI67&gt;31.7,CI67&lt;50),"OBESIDAD",""))))</f>
        <v/>
      </c>
      <c r="OS67" s="43" t="str">
        <f t="shared" ref="OS67:OS129" si="352">IF(AND(NZ67=$OS$2,CI67&gt;10,CI67&lt;22.8),"BAJO PESO",IF(AND(NZ67=$OS$2,CI67&gt;22.7,CI67&lt;27.4),"NORMAL",IF(AND(NZ67=$OS$2,CI67&gt;27.3,CI67&lt;31.9),"SOBREPESO",IF(AND(NZ67=$OS$2,CI67&gt;31.8,CI67&lt;50),"OBESIDAD",""))))</f>
        <v/>
      </c>
      <c r="OT67" s="43" t="str">
        <f t="shared" ref="OT67:OT129" si="353">IF(AND(NZ67=$OT$2,CI67&gt;10,CI67&lt;23),"BAJO PESO",IF(AND(NZ67=$OT$2,CI67&gt;22.9,CI67&lt;27.6),"NORMAL",IF(AND(NZ67=$OT$2,CI67&gt;27.5,CI67&lt;32),"SOBREPESO",IF(AND(NZ67=$OT$2,CI67&gt;31.9,CI67&lt;50),"OBESIDAD",""))))</f>
        <v/>
      </c>
      <c r="OU67" s="43" t="str">
        <f t="shared" ref="OU67:OU129" si="354">IF(AND(NZ67=$OU$2,CI67&gt;10,CI67&lt;23.2),"BAJO PESO",IF(AND(NZ67=$OU$2,CI67&gt;23.1,CI67&lt;27.7),"NORMAL",IF(AND(NZ67=$OU$2,CI67&gt;27.6,CI67&lt;32.1),"SOBREPESO",IF(AND(NZ67=$OU$2,CI67&gt;32,CI67&lt;50),"OBESIDAD",""))))</f>
        <v/>
      </c>
      <c r="OV67" s="110" t="str">
        <f t="shared" ref="OV67:OV129" si="355">IF(AND(NZ67=$OV$2,CI67&gt;10,CI67&lt;23.4),"BAJO PESO",IF(AND(NZ67=$OV$2,CI67&gt;23.3,CI67&lt;27.9),"NORMAL",IF(AND(NZ67=$OV$2,CI67&gt;27.8,CI67&lt;32.2),"SOBREPESO",IF(AND(NZ67=$OV$2,CI67&gt;32.1,CI67&lt;50),"OBESIDAD",""))))</f>
        <v/>
      </c>
      <c r="OW67" s="43" t="str">
        <f t="shared" ref="OW67:OW129" si="356">IF(AND(NZ67=$OW$2,CI67&gt;10,CI67&lt;23.5),"BAJO PESO",IF(AND(NZ67=$OW$2,CI67&gt;23.4,CI67&lt;28),"NORMAL",IF(AND(NZ67=$OW$2,CI67&gt;27.9,CI67&lt;32.1),"SOBREPESO",IF(AND(NZ67=$OW$2,CI67&gt;32.2,CI67&lt;50),"OBESIDAD",""))))</f>
        <v/>
      </c>
      <c r="OX67" s="43" t="str">
        <f t="shared" ref="OX67:OX129" si="357">IF(AND(NZ67=$OX$2,CI67&gt;10,CI67&lt;23.7),"BAJO PESO",IF(AND(NZ67=$OX$2,CI67&gt;23.6,CI67&lt;28.1),"NORMAL",IF(AND(NZ67=$OX$2,CI67&gt;28,CI67&lt;33.4),"SOBREPESO",IF(AND(NZ67=$OX$2,CI67&gt;33.3,CI67&lt;50),"OBESIDAD",""))))</f>
        <v/>
      </c>
      <c r="OY67" s="43" t="str">
        <f t="shared" ref="OY67:OY129" si="358">IF(AND(NZ67=$OY$2,CI67&gt;10,CI67&lt;23.9),"BAJO PESO",IF(AND(NZ67=$OY$2,CI67&gt;23.8,CI67&lt;28.2),"NORMAL",IF(AND(NZ67=$OY$2,CI67&gt;28.1,CI67&lt;33.5),"SOBREPESO",IF(AND(NZ67=$OY$2,CI67&gt;33.4,CI67&lt;50),"OBESIDAD",""))))</f>
        <v/>
      </c>
      <c r="OZ67" s="43" t="str">
        <f t="shared" ref="OZ67:OZ129" si="359">IF(AND(NZ67=$OZ$2,CI67&gt;10,CI67&lt;24),"BAJO PESO",IF(AND(NZ67=$OZ$2,CI67&gt;23.9,CI67&lt;28.4),"NORMAL",IF(AND(NZ67=$OZ$2,CI67&gt;28.3,CI67&lt;33.6),"SOBREPESO",IF(AND(NZ67=$OZ$2,CI67&gt;33.5,CI67&lt;50),"OBESIDAD",""))))</f>
        <v/>
      </c>
      <c r="PA67" s="43" t="str">
        <f t="shared" ref="PA67:PA129" si="360">IF(AND(NZ67=$PA$2,CI67&gt;10,CI67&lt;24.2),"BAJO PESO",IF(AND(NZ67=$PA$2,CI67&gt;24.1,CI67&lt;28.5),"NORMAL",IF(AND(NZ67=$PA$2,CI67&gt;28.4,CI67&lt;33.7),"SOBREPESO",IF(AND(NZ67=$PA$2,CI67&gt;33.6,CI67&lt;50),"OBESIDAD",""))))</f>
        <v/>
      </c>
      <c r="PB67" s="43" t="str">
        <f t="shared" ref="PB67:PB129" si="361">IF(AND(NZ67=$PB$2,CI67&gt;10,CI67&lt;24.3),"BAJO PESO",IF(AND(NZ67=$PB$2,CI67&gt;24.2,CI67&lt;28.6),"NORMAL",IF(AND(NZ67=$PB$2,CI67&gt;28.5,CI67&lt;33.8),"SOBREPESO",IF(AND(NZ67=$PB$2,CI67&gt;33.7,CI67&lt;50),"OBESIDAD",""))))</f>
        <v/>
      </c>
      <c r="PC67" s="43" t="str">
        <f t="shared" ref="PC67:PC129" si="362">IF(AND(NZ67=$PC$2,CI67&gt;10,CI67&lt;24.5),"BAJO PESO",IF(AND(NZ67=$PC$2,CI67&gt;24.4,CI67&lt;28.8),"NORMAL",IF(AND(NZ67=$PC$2,CI67&gt;28.7,CI67&lt;32.9),"SOBREPESO",IF(AND(NZ67=$PC$2,CI67&gt;32.8,CI67&lt;50),"OBESIDAD",""))))</f>
        <v/>
      </c>
      <c r="PD67" s="43" t="str">
        <f t="shared" ref="PD67:PD129" si="363">IF(AND(NZ67=$PD$2,CI67&gt;10,CI67&lt;24.6),"BAJO PESO",IF(AND(NZ67=$PD$2,CI67&gt;24.5,CI67&lt;28.9),"NORMAL",IF(AND(NZ67=$PD$2,CI67&gt;28.8,CI67&lt;33),"SOBREPESO",IF(AND(NZ67=$PD$2,CI67&gt;32.9,CI67&lt;50),"OBESIDAD",""))))</f>
        <v/>
      </c>
      <c r="PE67" s="43" t="str">
        <f t="shared" ref="PE67:PE129" si="364">IF(AND(NZ67=$PE$2,CI67&gt;10,CI67&lt;24.8),"BAJO PESO",IF(AND(NZ67=$PE$2,CI67&gt;24.7,CI67&lt;29),"NORMAL",IF(AND(NZ67=$PE$2,CI67&gt;28.9,CI67&lt;33.1),"SOBREPESO",IF(AND(NZ67=$PE$2,CI67&gt;33,CI67&lt;50),"OBESIDAD",""))))</f>
        <v/>
      </c>
      <c r="PF67" s="43" t="str">
        <f t="shared" ref="PF67:PF129" si="365">IF(AND(NZ67=$PF$2,CI67&gt;10,CI67&lt;25),"BAJO PESO",IF(AND(NZ67=$PF$2,CI67&gt;24.9,CI67&lt;29.2),"NORMAL",IF(AND(NZ67=$PF$2,CI67&gt;29.1,CI67&lt;33.2),"SOBREPESO",IF(AND(NZ67=$PF$2,CI67&gt;33.1,CI67&lt;50),"OBESIDAD",""))))</f>
        <v/>
      </c>
      <c r="PG67" s="43" t="str">
        <f t="shared" ref="PG67:PG129" si="366">IF(AND(NZ67=$PG$2,CI67&gt;10,CI67&lt;25.1),"BAJO PESO",IF(AND(NZ67=$PG$2,CI67&gt;25,CI67&lt;29.3),"NORMAL",IF(AND(NZ67=$PG$2,CI67&gt;29.2,CI67&lt;33.3),"SOBREPESO",IF(AND(NZ67=$PG$2,CI67&gt;33.2,CI67&lt;50),"OBESIDAD",""))))</f>
        <v/>
      </c>
      <c r="PH67" s="43" t="str">
        <f t="shared" ref="PH67:PH129" si="367">IF(AND(NZ67=$PH$2,CI67&gt;10,CI67&lt;25.1),"BAJO PESO",IF(AND(NZ67=$PH$2,CI67&gt;25,CI67&lt;29.4),"NORMAL",IF(AND(NZ67=$PH$2,CI67&gt;29.3,CI67&lt;33.3),"SOBREPESO",IF(AND(NZ67=$PH$2,CI67&gt;33.2,CI67&lt;50),"OBESIDAD",""))))</f>
        <v/>
      </c>
      <c r="PI67" s="43">
        <f t="shared" ref="PI67:PI129" si="368">IF(DZ67="","",IF(DZ67&lt;10,"Menor",DZ67))</f>
        <v>39</v>
      </c>
      <c r="PJ67" s="43" t="str">
        <f t="shared" ref="PJ67:PJ129" si="369">IF(AND(PI67=$PJ$2,CM67&gt;10,CM67&lt;18.5),"BAJO PESO",IF(AND(PI67=$PJ$2,CM67&gt;18.4,CM67&lt;25),"NORMAL",IF(AND(PI67=$PJ$2,CM67&gt;24,CM67&lt;30),"SOBREPESO",IF(AND(PI67=$PJ$2,CM67&gt;29,CM67&lt;50),"OBESIDAD",""))))</f>
        <v/>
      </c>
      <c r="PK67" s="43" t="str">
        <f t="shared" ref="PK67:PK129" si="370">IF(AND(PI67=$PK$2,CM67&gt;10,CM67&lt;20.3),"BAJO PESO",IF(AND(PI67=$PK$2,CM67&gt;20.2,CM67&lt;25.3),"NORMAL",IF(AND(PI67=$PK$2,CM67&gt;25.2,CM67&lt;30.3),"SOBREPESO",IF(AND(PI67=$PK$2,CM67&gt;30.2,CM67&lt;50),"OBESIDAD",""))))</f>
        <v/>
      </c>
      <c r="PL67" s="43" t="str">
        <f t="shared" ref="PL67:PL129" si="371">IF(AND(PI67=$PL$2,CM67&gt;10,CM67&lt;20.4),"BAJO PESO",IF(AND(PI67=$PL$2,CM67&gt;20.3,CM67&lt;25.4),"NORMAL",IF(AND(PI67=$PL$2,CM67&gt;25.3,CM67&lt;30.4),"SOBREPESO",IF(AND(PI67=$PL$2,CM67&gt;30.3,CM67&lt;50),"OBESIDAD",""))))</f>
        <v/>
      </c>
      <c r="PM67" s="43" t="str">
        <f t="shared" ref="PM67:PM129" si="372">IF(AND(PI67=$PM$2,CM67&gt;10,CM67&lt;20.5),"BAJO PESO",IF(AND(PI67=$PM$2,CM67&gt;20.4,CM67&lt;25.5),"NORMAL",IF(AND(PI67=$PM$2,CM67&gt;25.4,CM67&lt;30.4),"SOBREPESO",IF(AND(PI67=$PM$2,CM67&gt;30.3,CM67&lt;50),"OBESIDAD",""))))</f>
        <v/>
      </c>
      <c r="PN67" s="43" t="str">
        <f t="shared" ref="PN67:PN129" si="373">IF(AND(PI67=$PN$2,CM67&gt;10,CM67&lt;20.7),"BAJO PESO",IF(AND(PI67=$PN$2,CM67&gt;20.6,CM67&lt;25.7),"NORMAL",IF(AND(PI67=$PN$2,CM67&gt;25.7,CM67&lt;30.5),"SOBREPESO",IF(AND(PI67=$PN$2,CM67&gt;30.4,CM67&lt;50),"OBESIDAD",""))))</f>
        <v/>
      </c>
      <c r="PO67" s="43" t="str">
        <f t="shared" ref="PO67:PO129" si="374">IF(AND(PI67=$PO$2,CM67&gt;10,CM67&lt;20.8),"BAJO PESO",IF(AND(PI67=$PO$2,CM67&gt;20.7,CM67&lt;25.8),"NORMAL",IF(AND(PI67=$PO$2,CM67&gt;25.7,CM67&lt;30.6),"SOBREPESO",IF(AND(PI67=$PO$2,CM67&gt;30.5,CM67&lt;50),"OBESIDAD",""))))</f>
        <v/>
      </c>
      <c r="PP67" s="43" t="str">
        <f t="shared" ref="PP67:PP129" si="375">IF(AND(PI67=$PP$2,CM67&gt;10,CM67&lt;20.9),"BAJO PESO",IF(AND(PI67=$PP$2,CM67&gt;20.8,CM67&lt;25.9),"NORMAL",IF(AND(PI67=$PP$2,CM67&gt;25.8,CM67&lt;30.7),"SOBREPESO",IF(AND(PI67=$PP$2,CM67&gt;30.6,CM67&lt;50),"OBESIDAD",""))))</f>
        <v/>
      </c>
      <c r="PQ67" s="43" t="str">
        <f t="shared" ref="PQ67:PQ129" si="376">IF(AND(PI67=$PQ$2,CM67&gt;10,CM67&lt;21.1),"BAJO PESO",IF(AND(PI67=$PQ$2,CM67&gt;21,CM67&lt;26),"NORMAL",IF(AND(PI67=$PQ$2,CM67&gt;25.9,CM67&lt;30.8),"SOBREPESO",IF(AND(PI67=$PQ$2,CM67&gt;30.7,CM67&lt;50),"OBESIDAD",""))))</f>
        <v/>
      </c>
      <c r="PR67" s="43" t="str">
        <f t="shared" ref="PR67:PR129" si="377">IF(AND(PI67=$PR$2,CM67&gt;10,CM67&lt;21.2),"BAJO PESO",IF(AND(PI67=$PR$2,CM67&gt;21.1,CM67&lt;26.1),"NORMAL",IF(AND(PI67=$PR$2,CM67&gt;26,CM67&lt;31.9),"SOBREPESO",IF(AND(PI67=$PR$2,CM67&gt;30.8,CM67&lt;50),"OBESIDAD",""))))</f>
        <v/>
      </c>
      <c r="PS67" s="43" t="str">
        <f t="shared" ref="PS67:PS129" si="378">IF(AND(PI67=$PS$2,CM67&gt;10,CM67&lt;21.3),"BAJO PESO",IF(AND(PI67=$PS$2,CM67&gt;21.2,CM67&lt;26.2),"NORMAL",IF(AND(PI67=$PS$2,CM67&gt;26.1,CM67&lt;31),"SOBREPESO",IF(AND(PI67=$PS$2,CM67&gt;30.9,CM67&lt;50),"OBESIDAD",""))))</f>
        <v/>
      </c>
      <c r="PT67" s="43" t="str">
        <f t="shared" ref="PT67:PT129" si="379">IF(AND(PI67=$PT$2,CM67&gt;10,CM67&lt;21.5),"BAJO PESO",IF(AND(PI67=$PT$2,CM67&gt;21.4,CM67&lt;26.3),"NORMAL",IF(AND(PI67=$PT$2,CM67&gt;26.2,CM67&lt;31),"SOBREPESO",IF(AND(PI67=$PT$2,CM67&gt;30.9,CM67&lt;50),"OBESIDAD",""))))</f>
        <v/>
      </c>
      <c r="PU67" s="43" t="str">
        <f t="shared" ref="PU67:PU129" si="380">IF(AND(PI67=$PU$2,CM67&gt;10,CM67&lt;21.6),"BAJO PESO",IF(AND(PI67=$PU$2,CM67&gt;21.5,CM67&lt;26.4),"NORMAL",IF(AND(PI67=$PU$2,CM67&gt;26.3,CM67&lt;31.1),"SOBREPESO",IF(AND(PI67=$PU$2,CM67&gt;31,CM67&lt;50),"OBESIDAD",""))))</f>
        <v/>
      </c>
      <c r="PV67" s="43" t="str">
        <f t="shared" ref="PV67:PV129" si="381">IF(AND(PI67=$PV$2,CM67&gt;10,CM67&lt;21.8),"BAJO PESO",IF(AND(PI67=$PV$2,CM67&gt;21.7,CM67&lt;26.5),"NORMAL",IF(AND(PI67=$PV$2,CM67&gt;26.4,CM67&lt;31.2),"SOBREPESO",IF(AND(PI67=$PV$2,CM67&gt;31.1,CM67&lt;50),"OBESIDAD",""))))</f>
        <v/>
      </c>
      <c r="PW67" s="43" t="str">
        <f t="shared" ref="PW67:PW129" si="382">IF(AND(PI67=$PW$2,CM67&gt;10,CM67&lt;21.9),"BAJO PESO",IF(AND(PI67=$PW$2,CM67&gt;21.8,CM67&lt;26.7),"NORMAL",IF(AND(PI67=$PW$2,CM67&gt;26.6,CM67&lt;31.3),"SOBREPESO",IF(AND(PI67=$PW$2,CM67&gt;31.2,CM67&lt;50),"OBESIDAD",""))))</f>
        <v/>
      </c>
      <c r="PX67" s="43" t="str">
        <f t="shared" ref="PX67:PX129" si="383">IF(AND(PI67=$PX$2,CM67&gt;10,CM67&lt;22.1),"BAJO PESO",IF(AND(PI67=$PX$2,CM67&gt;22,CM67&lt;26.8),"NORMAL",IF(AND(PI67=$PX$2,CM67&gt;26.7,CM67&lt;31.4),"SOBREPESO",IF(AND(PI67=$PX$2,CM67&gt;31.3,CM67&lt;50),"OBESIDAD",""))))</f>
        <v/>
      </c>
      <c r="PY67" s="43" t="str">
        <f t="shared" ref="PY67:PY129" si="384">IF(AND(PI67=$PY$2,CM67&gt;10,CM67&lt;22.3),"BAJO PESO",IF(AND(PI67=$PY$2,CM67&gt;22.2,CM67&lt;27),"NORMAL",IF(AND(PI67=$PY$2,CM67&gt;26.9,CM67&lt;31.6),"SOBREPESO",IF(AND(PI67=$PY$2,CM67&gt;31.5,CM67&lt;50),"OBESIDAD",""))))</f>
        <v/>
      </c>
      <c r="PZ67" s="43" t="str">
        <f t="shared" ref="PZ67:PZ129" si="385">IF(AND(PI67=$PZ$2,$CM67&gt;10,CM67&lt;22.5),"BAJO PESO",IF(AND(PI67=$PZ$2,CM67&gt;22.4,CM67&lt;27.1),"NORMAL",IF(AND(PI67=$PZ$2,CM67&gt;27,CM67&lt;31.7),"SOBREPESO",IF(AND(PI67=$PZ$2,CM67&gt;31.6,CM67&lt;50),"OBESIDAD",""))))</f>
        <v/>
      </c>
      <c r="QA67" s="43" t="str">
        <f t="shared" ref="QA67:QA129" si="386">IF(AND(PI67=$QA$2,CM67&gt;10,CM67&lt;22.7),"BAJO PESO",IF(AND(PI67=$QA$2,CM67&gt;22.6,CM67&lt;27.3),"NORMAL",IF(AND(PI67=$QA$2,CM67&gt;27.1,CM67&lt;31.8),"SOBREPESO",IF(AND(PI67=$QA$2,CM67&gt;31.7,CM67&lt;50),"OBESIDAD",""))))</f>
        <v/>
      </c>
      <c r="QB67" s="43" t="str">
        <f t="shared" ref="QB67:QB129" si="387">IF(AND(PI67=$QB$2,CM67&gt;10,CM67&lt;22.8),"BAJO PESO",IF(AND(PI67=$QB$2,CM67&gt;22.7,CM67&lt;27.4),"NORMAL",IF(AND(PI67=$QB$2,CM67&gt;27.3,CM67&lt;31.9),"SOBREPESO",IF(AND(PI67=$QB$2,CM67&gt;31.8,CM67&lt;50),"OBESIDAD",""))))</f>
        <v/>
      </c>
      <c r="QC67" s="43" t="str">
        <f t="shared" ref="QC67:QC129" si="388">IF(AND(PI67=$QC$2,CM67&gt;10,CM67&lt;23),"BAJO PESO",IF(AND(PI67=$QC$2,CM67&gt;22.9,CM67&lt;27.6),"NORMAL",IF(AND(PI67=$QC$2,CM67&gt;27.5,CM67&lt;32),"SOBREPESO",IF(AND(PI67=$QC$2,CM67&gt;31.9,CM67&lt;50),"OBESIDAD",""))))</f>
        <v/>
      </c>
      <c r="QD67" s="43" t="str">
        <f t="shared" ref="QD67:QD129" si="389">IF(AND(PI67=$QD$2,CM67&gt;10,CM67&lt;23.2),"BAJO PESO",IF(AND(PI67=$QD$2,CM67&gt;23.1,CM67&lt;27.7),"NORMAL",IF(AND(PI67=$QD$2,CM67&gt;27.6,CM67&lt;32.1),"SOBREPESO",IF(AND(PI67=$QD$2,CM67&gt;32,CM67&lt;50),"OBESIDAD",""))))</f>
        <v/>
      </c>
      <c r="QE67" s="43" t="str">
        <f t="shared" ref="QE67:QE129" si="390">IF(AND(PI67=$QE$2,CM67&gt;10,CM67&lt;23.4),"BAJO PESO",IF(AND(PI67=$QE$2,CM67&gt;23.3,CM67&lt;27.9),"NORMAL",IF(AND(PI67=$QE$2,CM67&gt;27.8,CM67&lt;32.2),"SOBREPESO",IF(AND(PI67=$QE$2,CM67&gt;32.1,CM67&lt;50),"OBESIDAD",""))))</f>
        <v/>
      </c>
      <c r="QF67" s="43" t="str">
        <f t="shared" ref="QF67:QF129" si="391">IF(AND(PI67=$QF$2,CM67&gt;10,CM67&lt;23.5),"BAJO PESO",IF(AND(PI67=$QF$2,CM67&gt;23.4,CM67&lt;28),"NORMAL",IF(AND(PI67=$QF$2,CM67&gt;27.9,CM67&lt;32.1),"SOBREPESO",IF(AND(PI67=$QF$2,CM67&gt;32.2,CM67&lt;50),"OBESIDAD",""))))</f>
        <v/>
      </c>
      <c r="QG67" s="43" t="str">
        <f t="shared" ref="QG67:QG129" si="392">IF(AND(PI67=$QG$2,CM67&gt;10,CM67&lt;23.7),"BAJO PESO",IF(AND(PI67=$QG$2,CM67&gt;23.6,CM67&lt;28.1),"NORMAL",IF(AND(PI67=$QG$2,CM67&gt;28,CM67&lt;33.4),"SOBREPESO",IF(AND(PI67=$QG$2,CM67&gt;33.3,CM67&lt;50),"OBESIDAD",""))))</f>
        <v/>
      </c>
      <c r="QH67" s="43" t="str">
        <f t="shared" ref="QH67:QH129" si="393">IF(AND(PI67=$QH$2,CM67&gt;10,CM67&lt;23.9),"BAJO PESO",IF(AND(PI67=$QH$2,CM67&gt;23.8,CM67&lt;28.2),"NORMAL",IF(AND(PI67=$QH$2,CM67&gt;28.1,CM67&lt;33.5),"SOBREPESO",IF(AND(PI67=$QH$2,CM67&gt;33.4,CM67&lt;50),"OBESIDAD",""))))</f>
        <v/>
      </c>
      <c r="QI67" s="43" t="str">
        <f t="shared" ref="QI67:QI129" si="394">IF(AND(PI67=$QI$2,CM67&gt;10,CM67&lt;24),"BAJO PESO",IF(AND(PI67=$QI$2,CM67&gt;23.9,CM67&lt;28.4),"NORMAL",IF(AND(PI67=$QI$2,CM67&gt;28.3,CM67&lt;33.6),"SOBREPESO",IF(AND(PI67=$QI$2,CM67&gt;33.5,CM67&lt;50),"OBESIDAD",""))))</f>
        <v/>
      </c>
      <c r="QJ67" s="43" t="str">
        <f t="shared" ref="QJ67:QJ129" si="395">IF(AND(PI67=$QJ$2,CM67&gt;10,CM67&lt;24.2),"BAJO PESO",IF(AND(PI67=$QJ$2,CM67&gt;24.1,CM67&lt;28.5),"NORMAL",IF(AND(PI67=$QJ$2,CM67&gt;28.4,CM67&lt;33.7),"SOBREPESO",IF(AND(PI67=$QJ$2,CM67&gt;33.6,CM67&lt;50),"OBESIDAD",""))))</f>
        <v/>
      </c>
      <c r="QK67" s="43" t="str">
        <f t="shared" ref="QK67:QK129" si="396">IF(AND(PI67=$QK$2,CM67&gt;10,CM67&lt;24.3),"BAJO PESO",IF(AND(PI67=$QK$2,CM67&gt;24.2,CM67&lt;28.6),"NORMAL",IF(AND(PI67=$QK$2,CM67&gt;28.5,CM67&lt;33.8),"SOBREPESO",IF(AND(PI67=$QK$2,CM67&gt;33.7,CM67&lt;50),"OBESIDAD",""))))</f>
        <v/>
      </c>
      <c r="QL67" s="43" t="str">
        <f t="shared" ref="QL67:QL129" si="397">IF(AND(PI67=$QL$2,CM67&gt;10,CM67&lt;24.5),"BAJO PESO",IF(AND(PI67=$QL$2,CM67&gt;24.4,CM67&lt;28.8),"NORMAL",IF(AND(PI67=$QL$2,CM67&gt;28.7,CM67&lt;32.9),"SOBREPESO",IF(AND(PI67=$QL$2,CM67&gt;32.8,CM67&lt;50),"OBESIDAD",""))))</f>
        <v/>
      </c>
      <c r="QM67" s="43" t="str">
        <f t="shared" ref="QM67:QM129" si="398">IF(AND(PI67=$QM$2,CM67&gt;10,CM67&lt;24.6),"BAJO PESO",IF(AND(PI67=$QM$2,CM67&gt;24.5,CM67&lt;28.9),"NORMAL",IF(AND(PI67=$QM$2,CM67&gt;28.8,CM67&lt;33),"SOBREPESO",IF(AND(PI67=$QM$2,CM67&gt;32.9,CM67&lt;50),"OBESIDAD",""))))</f>
        <v/>
      </c>
      <c r="QN67" s="43" t="str">
        <f t="shared" ref="QN67:QN129" si="399">IF(AND(PI67=$QN$2,CM67&gt;10,CM67&lt;24.8),"BAJO PESO",IF(AND(PI67=$QN$2,CM67&gt;24.7,CM67&lt;29),"NORMAL",IF(AND(PI67=$QN$2,CM67&gt;28.9,CM67&lt;33.1),"SOBREPESO",IF(AND(PI67=$QN$2,CM67&gt;33,CM67&lt;50),"OBESIDAD",""))))</f>
        <v>OBESIDAD</v>
      </c>
      <c r="QO67" s="43" t="str">
        <f t="shared" ref="QO67:QO129" si="400">IF(AND(PI67=$QO$2,CM67&gt;10,CM67&lt;25),"BAJO PESO",IF(AND(PI67=$QO$2,CM67&gt;24.9,CM67&lt;29.2),"NORMAL",IF(AND(PI67=$QO$2,CM67&gt;29.1,CM67&lt;33.2),"SOBREPESO",IF(AND(PI67=$QO$2,CM67&gt;33.1,CM67&lt;50),"OBESIDAD",""))))</f>
        <v/>
      </c>
      <c r="QP67" s="43" t="str">
        <f t="shared" ref="QP67:QP129" si="401">IF(AND(PI67=$QP$2,CM67&gt;10,CM67&lt;25.1),"BAJO PESO",IF(AND(PI67=$QP$2,CM67&gt;25,CM67&lt;29.3),"NORMAL",IF(AND(PI67=$QP$2,CM67&gt;29.2,CM67&lt;33.3),"SOBREPESO",IF(AND(PI67=$QP$2,CM67&gt;33.2,CM67&lt;50),"OBESIDAD",""))))</f>
        <v/>
      </c>
      <c r="QQ67" s="43" t="str">
        <f t="shared" ref="QQ67:QQ129" si="402">IF(AND(PI67=$QQ$2,CM67&gt;10,CM67&lt;25.1),"BAJO PESO",IF(AND(PI67=$QQ$2,CM67&gt;25,CM67&lt;29.4),"NORMAL",IF(AND(PI67=$QQ$2,CM67&gt;29.3,CM67&lt;33.3),"SOBREPESO",IF(AND(PI67=$QQ$2,CM67&gt;33.2,CM67&lt;50),"OBESIDAD",""))))</f>
        <v/>
      </c>
      <c r="QR67" s="43">
        <f t="shared" si="192"/>
        <v>39</v>
      </c>
      <c r="QS67" s="43"/>
      <c r="QT67" s="21" t="str">
        <f t="shared" ref="QT67:QT129" si="403">IF(AND(QR67=$QT$2,CP67&gt;1,CP67&lt;8),"BAJO PARA EDAD GESTACIONAL",IF(AND(QR67=$QT$2,CP67&gt;=8,CP67&lt;=12),"ADECUADO PARA EDAD GESTACIONAL",IF(AND(QR67=$QT$2,CP67&gt;12,CP67&lt;38),"ALTO PARA EDAD GESTACIONAL","")))</f>
        <v/>
      </c>
      <c r="QU67" s="21" t="str">
        <f t="shared" ref="QU67:QU129" si="404">IF(AND(QR67=$QU$2,CP67&gt;1,CP67&lt;8.5),"BAJO PARA EDAD GESTACIONAL",IF(AND(QR67=$QU$2,CP67&gt;=8.5,CP67&lt;=14.5),"ADECUADO PARA EDAD GESTACIONAL",IF(AND(QR67=$QU$2,CP67&gt;14.5,CP67&lt;38),"ALTO PARA EDAD GESTACIONAL","")))</f>
        <v/>
      </c>
      <c r="QV67" s="21" t="str">
        <f t="shared" ref="QV67:QV129" si="405">IF(AND(QR67=$QV$2,CP67&gt;1,CP67&lt;9.5),"BAJO PARA EDAD GESTACIONAL",IF(AND(QR67=$QV$2,CP67&gt;=9.5,CP67&lt;=15),"ADECUADO PARA EDAD GESTACIONAL",IF(AND(QR67=$QV$2,CP67&gt;15,CP67&lt;38),"ALTO PARA EDAD GESTACIONAL","")))</f>
        <v/>
      </c>
      <c r="QW67" s="21" t="str">
        <f t="shared" ref="QW67:QW129" si="406">IF(AND(QR67=$QW$2,CP67&gt;1,CP67&lt;11.5),"BAJO PARA EDAD GESTACIONAL",IF(AND(QR67=$QW$2,CP67&gt;=11.5,CP67&lt;=18),"ADECUADO PARA EDAD GESTACIONAL",IF(AND(QR67=$QW$2,CP67&gt;18,CP67&lt;38),"ALTO PARA EDAD GESTACIONAL","")))</f>
        <v/>
      </c>
      <c r="QX67" s="21" t="str">
        <f t="shared" ref="QX67:QX129" si="407">IF(AND(QR67=$QX$2,CP67&gt;1,CP67&lt;12.5),"BAJO PARA EDAD GESTACIONAL",IF(AND(QR67=$QX$2,CP67&gt;=12.5,CP67&lt;=18),"ADECUADO PARA EDAD GESTACIONAL",IF(AND(QR67=$QX$2,CP67&gt;18,CP67&lt;38),"ALTO PARA EDAD GESTACIONAL","")))</f>
        <v/>
      </c>
      <c r="QY67" s="21" t="str">
        <f t="shared" ref="QY67:QY129" si="408">IF(AND(QR67=$QY$2,CP67&gt;1,CP67&lt;13.5),"BAJO PARA EDAD GESTACIONAL",IF(AND(QR67=$QY$2,CP67&gt;=13.5,CP67&lt;=19),"ADECUADO PARA EDAD GESTACIONAL",IF(AND(QR67=$QY$2,CP67&gt;19,CP67&lt;38),"ALTO PARA EDAD GESTACIONAL","")))</f>
        <v/>
      </c>
      <c r="QZ67" s="21" t="str">
        <f t="shared" ref="QZ67:QZ129" si="409">IF(AND(QR67=$QZ$2,CP67&gt;1,CP67&lt;14),"BAJO PARA EDAD GESTACIONAL",IF(AND(QR67=$QZ$2,CP67&gt;=14,CP67&lt;=19.5),"ADECUADO PARA EDAD GESTACIONAL",IF(AND(QR67=$QZ$2,CP67&gt;19.5,CP67&lt;38),"ALTO PARA EDAD GESTACIONAL","")))</f>
        <v/>
      </c>
      <c r="RA67" s="21" t="str">
        <f t="shared" ref="RA67:RA129" si="410">IF(AND(QR67=$RA$2,CP67&gt;1,CP67&lt;15),"BAJO PARA EDAD GESTACIONAL",IF(AND(QR67=$RA$2,CP67&gt;=15,CP67&lt;=21),"ADECUADO PARA EDAD GESTACIONAL",IF(AND(QR67=$RA$2,CP67&gt;21,CP67&lt;38),"ALTO PARA EDAD GESTACIONAL","")))</f>
        <v/>
      </c>
      <c r="RB67" s="21" t="str">
        <f t="shared" ref="RB67:RB129" si="411">IF(AND(QR67=$RB$2,CP67&gt;1,CP67&lt;15.5),"BAJO PARA EDAD GESTACIONAL",IF(AND(QR67=$RB$2,CP67&gt;=15.5,CP67&lt;=21.5),"ADECUADO PARA EDAD GESTACIONAL",IF(AND(QR67=$RB$2,CP67&gt;21.5,CP67&lt;38),"ALTO PARA EDAD GESTACIONAL","")))</f>
        <v/>
      </c>
      <c r="RC67" s="21" t="str">
        <f t="shared" ref="RC67:RC129" si="412">IF(AND(QR67=$RC$2,CP67&gt;1,CP67&lt;16.5),"BAJO PARA EDAD GESTACIONAL",IF(AND(QR67=$RC$2,CP67&gt;=16.5,CP67&lt;=22.5),"ADECUADO PARA EDAD GESTACIONAL",IF(AND(QR67=$RC$2,CP67&gt;22.5,CP67&lt;38),"ALTO PARA EDAD GESTACIONAL","")))</f>
        <v/>
      </c>
      <c r="RD67" s="21" t="str">
        <f t="shared" ref="RD67:RD129" si="413">IF(AND(QR67=$RD$2,CP67&gt;1,CP67&lt;17.5),"BAJO PARA EDAD GESTACIONAL",IF(AND(QR67=$RD$2,CP67&gt;=17.5,CP67&lt;=23),"ADECUADO PARA EDAD GESTACIONAL",IF(AND(QR67=$RD$2,CP67&gt;23,CP67&lt;38),"ALTO PARA EDAD GESTACIONAL","")))</f>
        <v/>
      </c>
      <c r="RE67" s="21" t="str">
        <f t="shared" ref="RE67:RE129" si="414">IF(AND(QR67=$RE$2,CP67&gt;1,CP67&lt;18.5),"BAJO PARA EDAD GESTACIONAL",IF(AND(QR67=$RE$2,CP67&gt;=18.5,CP67&lt;=24),"ADECUADO PARA EDAD GESTACIONAL",IF(AND(QR67=$RE$2,CP67&gt;24,CP67&lt;38),"ALTO PARA EDAD GESTACIONAL","")))</f>
        <v/>
      </c>
      <c r="RF67" s="21" t="str">
        <f t="shared" ref="RF67:RF129" si="415">IF(AND(QR67=$RF$2,CP67&gt;1,CP67&lt;19.5),"BAJO PARA EDAD GESTACIONAL",IF(AND(QR67=$RF$2,CP67&gt;=19.5,CP67&lt;=25),"ADECUADO PARA EDAD GESTACIONAL",IF(AND(QR67=$RF$2,CP67&gt;25,CP67&lt;38),"ALTO PARA EDAD GESTACIONAL","")))</f>
        <v/>
      </c>
      <c r="RG67" s="21" t="str">
        <f t="shared" ref="RG67:RG129" si="416">IF(AND(QR67=$RG$2,CP67&gt;1,CP67&lt;20),"BAJO PARA EDAD GESTACIONAL",IF(AND(QR67=$RG$2,CP67&gt;=20,CP67&lt;=25.5),"ADECUADO PARA EDAD GESTACIONAL",IF(AND(QR67=$RG$2,CP67&gt;25.5,CP67&lt;38),"ALTO PARA EDAD GESTACIONAL","")))</f>
        <v/>
      </c>
      <c r="RH67" s="21" t="str">
        <f t="shared" ref="RH67:RH129" si="417">IF(AND(QR67=$RH$2,CP67&gt;1,CP67&lt;20.5),"BAJO PARA EDAD GESTACIONAL",IF(AND(QR67=$RH$2,CP67&gt;=20.5,CP67&lt;=26.5),"ADECUADO PARA EDAD GESTACIONAL",IF(AND(QR67=$RH$2,CP67&gt;26.5,CP67&lt;38),"ALTO PARA EDAD GESTACIONAL","")))</f>
        <v/>
      </c>
      <c r="RI67" s="21" t="str">
        <f t="shared" ref="RI67:RI129" si="418">IF(AND(QR67=$RI$2,CP67&gt;1,CP67&lt;21),"BAJO PARA EDAD GESTACIONAL",IF(AND(QR67=$RI$2,CP67&gt;=21,CP67&lt;=27),"ADECUADO PARA EDAD GESTACIONAL",IF(AND(QR67=$RI$2,CP67&gt;27,CP67&lt;38),"ALTO PARA EDAD GESTACIONAL","")))</f>
        <v/>
      </c>
      <c r="RJ67" s="21" t="str">
        <f t="shared" ref="RJ67:RJ129" si="419">IF(AND(QR67=$RJ$2,CP67&gt;1,CP67&lt;22.5),"BAJO PARA EDAD GESTACIONAL",IF(AND(QR67=$RJ$2,CP67&gt;=22.5,CP67&lt;=28),"ADECUADO PARA EDAD GESTACIONAL",IF(AND(QR67=$RJ$2,CP67&gt;28,CP67&lt;38),"ALTO PARA EDAD GESTACIONAL","")))</f>
        <v/>
      </c>
      <c r="RK67" s="21" t="str">
        <f t="shared" ref="RK67:RK129" si="420">IF(AND(QR67=$RK$2,CP67&gt;1,CP67&lt;23.5),"BAJO PARA EDAD GESTACIONAL",IF(AND(QR67=$RK$2,CP67&gt;=23.5,CP67&lt;=29),"ADECUADO PARA EDAD GESTACIONAL",IF(AND(QR67=$RK$2,CP67&gt;29,CP67&lt;38),"ALTO PARA EDAD GESTACIONAL","")))</f>
        <v/>
      </c>
      <c r="RL67" s="21" t="str">
        <f t="shared" ref="RL67:RL129" si="421">IF(AND(QR67=$RL$2,CP67&gt;1,CP67&lt;24),"BAJO PARA EDAD GESTACIONAL",IF(AND(QR67=$RL$2,CP67&gt;=24,CP67&lt;=29.5),"ADECUADO PARA EDAD GESTACIONAL",IF(AND(QR67=$RL$2,CP67&gt;29.5,CP67&lt;38),"ALTO PARA EDAD GESTACIONAL","")))</f>
        <v/>
      </c>
      <c r="RM67" s="21" t="str">
        <f t="shared" ref="RM67:RM129" si="422">IF(AND(QR67=$RM$2,CP67&gt;1,CP67&lt;25),"BAJO PARA EDAD GESTACIONAL",IF(AND(QR67=$RM$2,CP67&gt;=25,CP67&lt;=30),"ADECUADO PARA EDAD GESTACIONAL",IF(AND(QR67=$RM$2,CP67&gt;30,CP67&lt;38),"ALTO PARA EDAD GESTACIONAL","")))</f>
        <v/>
      </c>
      <c r="RN67" s="21" t="str">
        <f t="shared" ref="RN67:RN129" si="423">IF(AND(QR67=$RN$2,CP67&gt;1,CP67&lt;25.5),"BAJO PARA EDAD GESTACIONAL",IF(AND(QR67=$RN$2,CP67&gt;=25.5,CP67&lt;=31),"ADECUADO PARA EDAD GESTACIONAL",IF(AND(QR67=$RN$2,CP67&gt;31,CP67&lt;38),"ALTO PARA EDAD GESTACIONAL","")))</f>
        <v/>
      </c>
      <c r="RO67" s="21" t="str">
        <f t="shared" ref="RO67:RO129" si="424">IF(AND(QR67=$RO$2,CP67&gt;1,CP67&lt;26),"BAJO PARA EDAD GESTACIONAL",IF(AND(QR67=$RO$2,CP67&gt;=26,CP67&lt;=32),"ADECUADO PARA EDAD GESTACIONAL",IF(AND(QR67=$RO$2,CP67&gt;32,CP67&lt;38),"ALTO PARA EDAD GESTACIONAL","")))</f>
        <v/>
      </c>
      <c r="RP67" s="21" t="str">
        <f t="shared" ref="RP67:RP129" si="425">IF(AND(QR67=$RP$2,CP67&gt;1,CP67&lt;26.5),"BAJO PARA EDAD GESTACIONAL",IF(AND(QR67=$RP$2,CP67&gt;=26.5,CP67&lt;=33),"ADECUADO PARA EDAD GESTACIONAL",IF(AND(QR67=$RP$2,CP67&gt;33,CP67&lt;38),"ALTO PARA EDAD GESTACIONAL","")))</f>
        <v/>
      </c>
      <c r="RQ67" s="21" t="str">
        <f t="shared" ref="RQ67:RQ129" si="426">IF(AND(QR67=$RQ$2,CP67&gt;1,CP67&lt;28),"BAJO PARA EDAD GESTACIONAL",IF(AND(QR67=$RQ$2,CP67&gt;=28,CP67&lt;=33),"ADECUADO PARA EDAD GESTACIONAL",IF(AND(QR67=$RQ$2,CP67&gt;33,CP67&lt;38),"ALTO PARA EDAD GESTACIONAL","")))</f>
        <v/>
      </c>
      <c r="RR67" s="21" t="str">
        <f t="shared" ref="RR67:RR129" si="427">IF(AND(QR67=$RR$2,CP67&gt;1,CP67&lt;28.5),"BAJO PARA EDAD GESTACIONAL",IF(AND(QR67=$RR$2,CP67&gt;=28.5,CP67&lt;=34),"ADECUADO PARA EDAD GESTACIONAL",IF(AND(QR67=$RR$2,CP67&gt;34,CP67&lt;38),"ALTO PARA EDAD GESTACIONAL","")))</f>
        <v/>
      </c>
      <c r="RS67" s="21" t="str">
        <f t="shared" ref="RS67:RS129" si="428">IF(AND(QR67=$RS$2,CP67&gt;1,CP67&lt;29.5),"BAJO PARA EDAD GESTACIONAL",IF(AND(QR67=$RS$2,CP67&gt;=29.5,CP67&lt;=34),"ADECUADO PARA EDAD GESTACIONAL",IF(AND(QR67=$RS$2,CP67&gt;34,CP67&lt;38),"ALTO PARA EDAD GESTACIONAL","")))</f>
        <v/>
      </c>
      <c r="RT67" s="21" t="str">
        <f t="shared" ref="RT67:RT129" si="429">IF(AND(QR67=$RT$2,CP67&gt;1,CP67&lt;30.5),"BAJO PARA EDAD GESTACIONAL",IF(AND(QR67=$RT$2,CP67&gt;=30.5,CP67&lt;=34),"ADECUADO PARA EDAD GESTACIONAL",IF(AND(QR67=$RT$2,CP67&gt;34,CP67&lt;38),"ALTO PARA EDAD GESTACIONAL","")))</f>
        <v/>
      </c>
      <c r="RU67" s="21" t="str">
        <f t="shared" ref="RU67:RU129" si="430">IF(AND(QR67=$RU$2,CP67&gt;1,CP67&lt;31),"BAJO PARA EDAD GESTACIONAL",IF(AND(QR67=$RU$2,CP67&gt;=31,CP67&lt;=34.5),"ADECUADO PARA EDAD GESTACIONAL",IF(AND(QR67=$RU$2,CP67&gt;34.5,CP67&lt;38),"ALTO PARA EDAD GESTACIONAL","")))</f>
        <v/>
      </c>
      <c r="RV67" s="21">
        <f t="shared" ref="RV67:RV129" si="431">IF(AND(R67="",HQ67=""),"",IF(SUM((HQ67-RW67)/7)&gt;43.1,"",IF(SUM((HQ67-RW67)/7)&lt;0,-1,SUM((HQ67-RW67)/7))))</f>
        <v>10.285714285714286</v>
      </c>
      <c r="RW67" s="284">
        <f>IF(OR(Tabla1[[#This Row],[FUM FORMULA CONFIABLE]]="",Tabla1[[#This Row],[FUM FORMULA CONFIABLE]]="SD"),"",IF(Tabla1[[#This Row],[FUM FORMULA CONFIABLE]]="CORREGIDA",Tabla1[[#This Row],[FUM X ECO 1]],Tabla1[[#This Row],[FUM x AMENORREA]]))</f>
        <v>44837</v>
      </c>
      <c r="RX67" s="21">
        <f>IF(AND(Tabla1[[#This Row],[FUM X ECO 1]]="",Tabla1[[#This Row],[FUM x AMENORREA]]=""),"",IF(AND(Tabla1[[#This Row],[FUM X ECO 1]]="",Tabla1[[#This Row],[FUM x AMENORREA]]&lt;&gt;""),"X",SUM(Tabla1[[#This Row],[FUM X ECO 1]]-Tabla1[[#This Row],[FUM x AMENORREA]])))</f>
        <v>1.1999999999970896</v>
      </c>
      <c r="RY67" s="21">
        <f t="shared" si="193"/>
        <v>0</v>
      </c>
    </row>
    <row r="68" spans="1:493" ht="45" customHeight="1" x14ac:dyDescent="0.25">
      <c r="A68" s="109"/>
      <c r="B68" s="43" t="s">
        <v>946</v>
      </c>
      <c r="C68" s="43" t="s">
        <v>845</v>
      </c>
      <c r="D68" s="124" t="s">
        <v>846</v>
      </c>
      <c r="E68" s="43" t="s">
        <v>1205</v>
      </c>
      <c r="F68" s="43" t="s">
        <v>1206</v>
      </c>
      <c r="G68" s="43" t="s">
        <v>1090</v>
      </c>
      <c r="H68" s="43" t="s">
        <v>1207</v>
      </c>
      <c r="I68" s="109" t="s">
        <v>851</v>
      </c>
      <c r="J68" s="110">
        <v>1002848281</v>
      </c>
      <c r="K68" s="43" t="s">
        <v>852</v>
      </c>
      <c r="L68" s="175" t="s">
        <v>853</v>
      </c>
      <c r="M68" s="22">
        <v>37978</v>
      </c>
      <c r="N68" s="213">
        <f t="shared" ca="1" si="252"/>
        <v>19.876712328767123</v>
      </c>
      <c r="O68" s="22">
        <v>44909</v>
      </c>
      <c r="P68" s="214" t="str">
        <f t="shared" si="253"/>
        <v>SI</v>
      </c>
      <c r="Q68" s="26" t="s">
        <v>855</v>
      </c>
      <c r="R68" s="22">
        <v>44909</v>
      </c>
      <c r="S68" s="21" t="s">
        <v>856</v>
      </c>
      <c r="T68" s="24" t="s">
        <v>690</v>
      </c>
      <c r="U68" s="21" t="s">
        <v>857</v>
      </c>
      <c r="V68" s="21" t="s">
        <v>858</v>
      </c>
      <c r="W68" s="21" t="s">
        <v>951</v>
      </c>
      <c r="X68" s="21" t="s">
        <v>951</v>
      </c>
      <c r="Y68" s="21" t="s">
        <v>859</v>
      </c>
      <c r="Z68" s="21">
        <v>3146905734</v>
      </c>
      <c r="AA68" s="21" t="s">
        <v>860</v>
      </c>
      <c r="AB68" s="27" t="s">
        <v>861</v>
      </c>
      <c r="AC68" s="26" t="s">
        <v>862</v>
      </c>
      <c r="AD68" s="38" t="s">
        <v>846</v>
      </c>
      <c r="AE68" s="26" t="s">
        <v>854</v>
      </c>
      <c r="AF68" s="26" t="s">
        <v>854</v>
      </c>
      <c r="AG68" s="23" t="s">
        <v>864</v>
      </c>
      <c r="AH68" s="23" t="s">
        <v>864</v>
      </c>
      <c r="AI68" s="24" t="s">
        <v>863</v>
      </c>
      <c r="AJ68" s="23" t="s">
        <v>864</v>
      </c>
      <c r="AK68" s="220" t="str">
        <f>IF(AND(AD68="",AE68="",AF68="",AG68="",AH68="",AI68="",AJ68=""),"",IF(OR(Tabla1[[#This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EVALUACIÓN",IF(AND(O68="",R68=""),"",IF(AND(OR(O68&gt;0,R68&gt;0),NG68&gt;=0,NG68&lt;2),"SIN RIESGO",IF(AND(OR(O68&gt;0,R68&gt;0),NG68&gt;=2),"CON RIESGO","ASD")))))</f>
        <v>SIN RIESGO</v>
      </c>
      <c r="AL68" s="23" t="s">
        <v>864</v>
      </c>
      <c r="AM68" s="26" t="s">
        <v>864</v>
      </c>
      <c r="AN68" s="26" t="s">
        <v>864</v>
      </c>
      <c r="AO68" s="26" t="s">
        <v>864</v>
      </c>
      <c r="AP68" s="26" t="s">
        <v>864</v>
      </c>
      <c r="AQ68" s="26" t="s">
        <v>864</v>
      </c>
      <c r="AR68" s="26" t="s">
        <v>864</v>
      </c>
      <c r="AS68" s="21">
        <v>0</v>
      </c>
      <c r="AT68" s="21">
        <v>0</v>
      </c>
      <c r="AU68" s="21">
        <v>0</v>
      </c>
      <c r="AV68" s="26" t="s">
        <v>1065</v>
      </c>
      <c r="AW68" s="21">
        <v>0</v>
      </c>
      <c r="AX68" s="26" t="s">
        <v>864</v>
      </c>
      <c r="AY68" s="26" t="s">
        <v>864</v>
      </c>
      <c r="AZ68" s="26" t="s">
        <v>864</v>
      </c>
      <c r="BA68" s="26" t="s">
        <v>864</v>
      </c>
      <c r="BB68" s="26" t="s">
        <v>864</v>
      </c>
      <c r="BC68" s="26" t="s">
        <v>864</v>
      </c>
      <c r="BD68" s="26" t="s">
        <v>864</v>
      </c>
      <c r="BE68" s="26" t="s">
        <v>864</v>
      </c>
      <c r="BF68" s="26" t="s">
        <v>864</v>
      </c>
      <c r="BG68" s="26" t="s">
        <v>864</v>
      </c>
      <c r="BH68" s="26" t="s">
        <v>864</v>
      </c>
      <c r="BI68" s="26" t="s">
        <v>864</v>
      </c>
      <c r="BJ68" s="26"/>
      <c r="BK68" s="26"/>
      <c r="BL68" s="26" t="s">
        <v>864</v>
      </c>
      <c r="BM68" s="26" t="s">
        <v>864</v>
      </c>
      <c r="BN68" s="22"/>
      <c r="BO68" s="22">
        <v>44784</v>
      </c>
      <c r="BP68" s="21" t="s">
        <v>854</v>
      </c>
      <c r="BQ68" s="222">
        <f t="shared" si="254"/>
        <v>0</v>
      </c>
      <c r="BR68" s="223">
        <f t="shared" si="255"/>
        <v>44784.3</v>
      </c>
      <c r="BS68" s="224">
        <f t="shared" si="256"/>
        <v>17.857142857142858</v>
      </c>
      <c r="BT68" s="216" t="str">
        <f t="shared" si="257"/>
        <v>II TRIM</v>
      </c>
      <c r="BU68" s="214" t="str">
        <f t="shared" ca="1" si="258"/>
        <v/>
      </c>
      <c r="BV68" s="25"/>
      <c r="BW68" s="22">
        <v>44918</v>
      </c>
      <c r="BX68" s="28">
        <v>19.100000000000001</v>
      </c>
      <c r="BY68" s="28"/>
      <c r="BZ68" s="22">
        <v>44995</v>
      </c>
      <c r="CA68" s="21">
        <v>29.4</v>
      </c>
      <c r="CB68" s="26" t="s">
        <v>864</v>
      </c>
      <c r="CC68" s="26" t="s">
        <v>864</v>
      </c>
      <c r="CD68" s="26" t="s">
        <v>878</v>
      </c>
      <c r="CE68" s="26" t="s">
        <v>864</v>
      </c>
      <c r="CF68" s="22" t="s">
        <v>1517</v>
      </c>
      <c r="CG68" s="21">
        <v>1.46</v>
      </c>
      <c r="CH68" s="21">
        <v>59</v>
      </c>
      <c r="CI68" s="214">
        <f t="shared" si="259"/>
        <v>27.678738975417531</v>
      </c>
      <c r="CJ68" s="225" t="e">
        <f>IF(AND(CI68&lt;10,CH68="SD"),"SIN DATO PESO PREGESTACION O I TRIM",IF(AND(OR(R68&gt;0,O68&gt;0),CI68="X"),"INGRESAR DATO DE PESO",IF(CI68="SD","INGRESAR DATO DE TALLA Y PESO",IF(AND(OR(Tabla1[[#This Row],[MOMENTO EN QUE SE REALIZA EL PESO AL INGRESO A CPN]]="PREGESTACIÓN",NZ68="Menor"),CI68&lt;18.5),"BAJO PESO",IF(AND(OR(Tabla1[[#This Row],[MOMENTO EN QUE SE REALIZA EL PESO AL INGRESO A CPN]]="PREGESTACIÓN",NZ68="Menor"),CI68&lt;25),"NORMAL",IF(AND(OR(Tabla1[[#This Row],[MOMENTO EN QUE SE REALIZA EL PESO AL INGRESO A CPN]]="PREGESTACIÓN",NZ68="Menor"),CI68&lt;30),"SOBREPESO",IF(AND(OR(Tabla1[[#This Row],[MOMENTO EN QUE SE REALIZA EL PESO AL INGRESO A CPN]]="PREGESTACIÓN",NZ68="Menor"),CI68&gt;=30,CI68&lt;50),"OBESIDAD",IF(AND(BS68&gt;0,Tabla1[[#This Row],[MOMENTO EN QUE SE REALIZA EL PESO AL INGRESO A CPN]]="GESTACIÓN"),HLOOKUP(NZ68,$OA$2:PH68,NY68),""))))))))</f>
        <v>#REF!</v>
      </c>
      <c r="CK68" s="212">
        <f t="shared" si="260"/>
        <v>45048</v>
      </c>
      <c r="CL68" s="21"/>
      <c r="CM68" s="214">
        <f t="shared" si="261"/>
        <v>0</v>
      </c>
      <c r="CN68" s="216">
        <f t="shared" si="262"/>
        <v>37</v>
      </c>
      <c r="CO68" s="216" t="e">
        <f>IF(PI68="","",IF(PI68&gt;0,HLOOKUP(PI68,$PJ$2:QQ68,NY68),""))</f>
        <v>#REF!</v>
      </c>
      <c r="CP68" s="21">
        <v>30</v>
      </c>
      <c r="CQ68" s="216" t="e">
        <f>IF(QR68="Menor","NO APLICA-MENOR 13 SEM",IF(AND(CC68="SI",CN68&gt;23),"NO APLICA- GEMELAR",IF(QR68="","",IF(QR68&gt;0,HLOOKUP(QR68,$QS$2:RU68,NY68),""))))</f>
        <v>#REF!</v>
      </c>
      <c r="CR68" s="21">
        <v>110</v>
      </c>
      <c r="CS68" s="21">
        <v>60</v>
      </c>
      <c r="CT68" s="217" t="str">
        <f>IF(R68="","",IF(AND(BS68&gt;1,BS68&lt;12,Tabla1[[#This Row],[T.A. SISTOLICA - ANTES DE SEMANA 12]]="",Tabla1[[#This Row],[T.A. DIASTOLICA - ANTES DE SEMANA 12]]=""),"REGISTRE DATO TA ANTES SEMANA 12",IF(AND(BS68&gt;11,BS68&lt;43,Tabla1[[#This Row],[T.A. SISTOLICA - ANTES DE SEMANA 12]]="",Tabla1[[#This Row],[T.A. DIASTOLICA - ANTES DE SEMANA 12]]=""),"NO APLICA REGISTRO TA-INGRESO TARDIO",IF(AND(OR(O68&gt;0,R68&gt;0),OR(CR68&gt;=140,CS68&gt;=90)),"DEFINIR ESTADIO HTA",IF(AND(OR(O68&gt;0,R68&gt;0),AND(CR68&gt;120,CR68&lt;=139)),"PRE HTA SEGUIMIENTO",IF(AND(OR(O68&gt;0,R68&gt;0),AND(CS68&gt;80,CS68&lt;=89)),"PRE HTA SEGUIMIENTO",IF(AND(OR(O68&gt;0,R68&gt;0),AND(CR68&gt;=80,CR68&lt;=120)),"APARENTEMENTE NORMAL",IF(AND(OR(O68&gt;0,R68&gt;0),AND(CS68&gt;=50,CS68&lt;=80)),"APARENTEMENTE NORMAL",IF(AND(OR(O68&gt;0,R68&gt;0),AND(CR68&gt;1,CR68&lt;=70),AND(CS68&gt;1,CS68&lt;=40)),"HIPOTENSIÓN","")))))))))</f>
        <v>APARENTEMENTE NORMAL</v>
      </c>
      <c r="CU68" s="21">
        <v>100</v>
      </c>
      <c r="CV68" s="21">
        <v>60</v>
      </c>
      <c r="CW68" s="217" t="str">
        <f ca="1">IF(R68="","",IF(AND(CN68&gt;19,CN68&lt;27,Tabla1[[#This Row],[T.A. SISTOLICA (Entre semana 20 y 26)]]="",Tabla1[[#This Row],[T.A. DIATOLICA (Entre semana 20 y 26)]]=""),"ACUDE A CONTROL SEM 20 A 26 REGISTRE TA AHORA",IF(AND(BS68&gt;1,BS68&lt;27,BU68&gt;19,Tabla1[[#This Row],[T.A. SISTOLICA (Entre semana 20 y 26)]]="",Tabla1[[#This Row],[T.A. DIATOLICA (Entre semana 20 y 26)]]=""),"COMPLETE REGISTRO TA CONTROL SEM 20 A26 ",IF(AND(BS68&gt;26,BS68&lt;43,Tabla1[[#This Row],[T.A. SISTOLICA (Entre semana 20 y 26)]]="",Tabla1[[#This Row],[T.A. DIATOLICA (Entre semana 20 y 26)]]=""),"NO APLICA REGISTRO TA-INGRESO TARDIO",IF(AND(OR(O68&gt;0,R68&gt;0),OR(CU68&gt;=140,CV68&gt;=90)),"ALTO RIESGO PREECLAMPSIA,DEFINIR ESTADIO HTA",IF(AND(OR(O68&gt;0,R68&gt;0),AND(CU68&gt;120,CU68&lt;=139)),"PRE HTA SEGUIMIENTO,RIESGO HIPERTENSION INDUCIDA POR EL EMBARAZO",IF(AND(OR(O68&gt;0,R68&gt;0),AND(CV68&gt;80,CV68&lt;=89)),"PRE HTA SEGUIMIENTO, RIESGO HIPERTENSION INDUCIDA POR EL EMBARAZO",IF(AND(OR(O68&lt;&gt;"",R68&lt;&gt;""),CS68&lt;&gt;"",CV68&lt;&gt;"",CS68&lt;=CV68),"VIGILAR CIFRAS PRESION ARTERIAL",IF(AND(OR(O68&gt;0,R68&gt;0),AND(CU68&gt;120,CU68&lt;=139)),"PRE HTA SEGUIMIENTO",IF(AND(OR(O68&gt;0,R68&gt;0),AND(CU68&gt;1,CU68&lt;=70),AND(CV68&gt;1,CV68&lt;=40)),"HIPOTENSIÓN",IF(AND(OR(O68&lt;&gt;"",R68&lt;&gt;""),CS68&lt;&gt;"",CV68&lt;&gt;"",CS68&gt;CV68),"APARENTEMENTE NORMAL",IF(AND(OR(O68&gt;0,R68&gt;0),AND(CU68&gt;=80,CU68&lt;=120)),"APARENTEMENTE NORMAL",IF(AND(OR(O68&gt;0,R68&gt;0),AND(CV68&gt;=50,CV68&lt;=80)),"APARENTEMENTE NORMAL","")))))))))))))</f>
        <v>VIGILAR CIFRAS PRESION ARTERIAL</v>
      </c>
      <c r="CX68" s="21"/>
      <c r="CY68" s="21"/>
      <c r="CZ68" s="216" t="str">
        <f t="shared" si="263"/>
        <v/>
      </c>
      <c r="DA68" s="21">
        <v>100</v>
      </c>
      <c r="DB68" s="21">
        <v>60</v>
      </c>
      <c r="DC68" s="217" t="str">
        <f t="shared" si="264"/>
        <v>APARENTEMENTE NORMAL</v>
      </c>
      <c r="DD68" s="22">
        <v>44909</v>
      </c>
      <c r="DE68" s="22">
        <v>44909</v>
      </c>
      <c r="DF68" s="22">
        <v>44961</v>
      </c>
      <c r="DG68" s="22">
        <v>44994</v>
      </c>
      <c r="DH68" s="22">
        <v>45048</v>
      </c>
      <c r="DI68" s="22"/>
      <c r="DJ68" s="22"/>
      <c r="DK68" s="22"/>
      <c r="DL68" s="22"/>
      <c r="DM68" s="22"/>
      <c r="DN68" s="22"/>
      <c r="DO68" s="22"/>
      <c r="DP68" s="22"/>
      <c r="DQ68" s="22"/>
      <c r="DR68" s="28">
        <v>1</v>
      </c>
      <c r="DS68" s="22"/>
      <c r="DT68" s="22"/>
      <c r="DU68" s="216" t="str">
        <f t="shared" ca="1" si="265"/>
        <v>SALE SIN PLAN DE PARTO</v>
      </c>
      <c r="DV68" s="226" t="str">
        <f t="shared" si="197"/>
        <v>SALIO PROGRAMA</v>
      </c>
      <c r="DW6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8" s="216" t="str">
        <f t="shared" ca="1" si="266"/>
        <v/>
      </c>
      <c r="DY68" s="212">
        <f>IF(R68="","",IF(R68&gt;0,MAX(Tabla1[[#This Row],[FECHA C2]:[FECHA C13]],Tabla1[[#This Row],[FECHA CONSULTA PRIMERA VEZ PROGRAMA CPN ]])))</f>
        <v>45048</v>
      </c>
      <c r="DZ68" s="216">
        <f t="shared" si="267"/>
        <v>37</v>
      </c>
      <c r="EA68" s="222">
        <f>IF(R68&gt;0,SUM(COUNTA(DF68:DQ68)+COUNTA(Tabla1[[#This Row],[FECHA CONSULTA PRIMERA VEZ PROGRAMA CPN ]])),"")</f>
        <v>4</v>
      </c>
      <c r="EB68" s="222" t="str">
        <f t="shared" si="268"/>
        <v>SI</v>
      </c>
      <c r="EC68" s="214">
        <f t="shared" si="269"/>
        <v>7</v>
      </c>
      <c r="ED68" s="227">
        <f t="shared" si="270"/>
        <v>0.5714285714285714</v>
      </c>
      <c r="EE68" s="22">
        <v>44909</v>
      </c>
      <c r="EF68" s="22">
        <v>44916</v>
      </c>
      <c r="EG68" s="22">
        <v>44909</v>
      </c>
      <c r="EH68" s="22"/>
      <c r="EI68" s="22">
        <v>44909</v>
      </c>
      <c r="EJ68" s="22"/>
      <c r="EK68" s="22"/>
      <c r="EL68" s="21"/>
      <c r="EM68" s="21">
        <v>12.9</v>
      </c>
      <c r="EN68" s="22">
        <v>44916</v>
      </c>
      <c r="EO68" s="222">
        <f t="shared" si="271"/>
        <v>18.857142857142858</v>
      </c>
      <c r="EP68" s="214" t="str">
        <f t="shared" si="272"/>
        <v>NORMAL- SUMINISTRAR SULFATO FERROSO</v>
      </c>
      <c r="EQ68" s="216" t="str">
        <f t="shared" si="273"/>
        <v>II TRIM</v>
      </c>
      <c r="ER68" s="24"/>
      <c r="ES68" s="22"/>
      <c r="ET68" s="29" t="str">
        <f t="shared" ca="1" si="274"/>
        <v>SALE SIN TAMIZAJE HEMOGLOBINA SEM 28</v>
      </c>
      <c r="EU68" s="25" t="str">
        <f t="shared" si="275"/>
        <v/>
      </c>
      <c r="EV68" s="24" t="s">
        <v>866</v>
      </c>
      <c r="EW68" s="24">
        <v>44916</v>
      </c>
      <c r="EX68" s="22"/>
      <c r="EY68" s="29">
        <f t="shared" si="248"/>
        <v>18.857142857142858</v>
      </c>
      <c r="EZ68" s="25" t="str">
        <f t="shared" ca="1" si="249"/>
        <v/>
      </c>
      <c r="FA68" s="21">
        <v>80</v>
      </c>
      <c r="FB68" s="22">
        <v>44916</v>
      </c>
      <c r="FC68" s="29">
        <f t="shared" si="276"/>
        <v>18.857142857142858</v>
      </c>
      <c r="FD68" s="29">
        <v>60</v>
      </c>
      <c r="FE68" s="29">
        <v>115</v>
      </c>
      <c r="FF68" s="29">
        <v>99</v>
      </c>
      <c r="FG68" s="21" t="str">
        <f t="shared" ca="1" si="277"/>
        <v>NORMAL</v>
      </c>
      <c r="FH68" s="31">
        <v>44995</v>
      </c>
      <c r="FI68" s="29">
        <f t="shared" si="278"/>
        <v>30.142857142857142</v>
      </c>
      <c r="FJ68" s="22"/>
      <c r="FK68" s="22"/>
      <c r="FL68" s="29" t="str">
        <f t="shared" ca="1" si="279"/>
        <v>NO APLICA-INGRESO TARDIO</v>
      </c>
      <c r="FM68" s="22" t="s">
        <v>867</v>
      </c>
      <c r="FN68" s="32">
        <v>44916</v>
      </c>
      <c r="FO68" s="29">
        <f ca="1">IF(AND(BT68="ERROR FUM O INGRESO",FN68&gt;0),"ERROR FUM O INGRESO",IF(AND(FN68="",R68="",O68=""),"",IF(AND(FN68&lt;&gt;"",FN68&lt;RW68), "INCOHERENCIA FUM Y FECHA TAMIZAJE",IF(AND(FN68="",DV68="ACTIVA INGRESO A CPN",AND(BU68&gt;0,BU68&lt;13)),"EN ESPERA-ESTÁ I TRIM", IF(AND(FN68="",AND(BS68&gt;0, BS68&lt;13),OR(O68&gt;0,R68&gt;0),AND(IP68&gt;0,IP68&lt;13)),"NO APLICA-SALIO DEL PROGRAMA I TRIM",IF(AND(FN68&lt;&gt;"",AND(SUM((FN68-RW68)/7)&gt;0,SUM((FN68-RW68)/7)&lt;13)),"REGISTRAR EN I TRIMESTRE",IF(AND(FN68&lt;&gt;"",AND(SUM((FN68-RW68)/7)&gt;=27,SUM((FN68-RW68)/7)&lt;44)),"REGISTRAR EN III TRIMESTRE",IF(AND(FN68="",OR(O68&gt;0,R68&gt;0),AND(BU68&gt;=13,BU68&lt;24),DV68="ACTIVA INGRESO A CPN"),"EN RANGO PARA TOMAR EXAMEN",IF(AND(FN68="",OR(O68&gt;0,R68&gt;0),AND(BU68&gt;=25,BU68&lt;27),DV68="ACTIVA INGRESO A CPN"),"TOMA INMEDIATA DE TAMIZAJE",IF(AND(FN68="",OR(O68&gt;0,R68&gt;0),AND(BS68&gt;=27,BS68&lt;44)),"NO APLICA-INGRESO TARDIO",IF(AND(FN68="",BS68&lt;27,OR(AND(IP68&gt;12,IP68&lt;44),BU68&gt;12)),"PIERDE TOMA DE TAMIZAJE",IF(FN68&gt;0,SUM(FN68-RW68)/7,""))))))))))))</f>
        <v>18.857142857142858</v>
      </c>
      <c r="FP68" s="22" t="s">
        <v>867</v>
      </c>
      <c r="FQ68" s="32">
        <v>44995</v>
      </c>
      <c r="FR68" s="29">
        <f ca="1">IF(AND(BT68="ERROR FUM O INGRESO",FQ68&gt;0),"ERROR FUM O INGRESO",IF(AND(FQ68="",R68="",O68=""),"",IF(AND(FQ68&lt;&gt;"",FQ68&lt;RW68), "INCOHERENCIA FUM Y FECHA TAMIZAJE",IF(AND(FQ68="",DV68="ACTIVA INGRESO A CPN",AND(BU68&gt;0,BU68&lt;27)),"EN ESPERA-ESTÁ I TRIM O II TRIM", IF(AND(FQ68="",AND(BS68&gt;0, BS68&lt;27),OR(O68&gt;0,R68&gt;0),AND(IP68&gt;0,IP68&lt;27)),"NO APLICA-SALIO DEL PROGRAMA I O II TRIM",IF(AND(FQ68&lt;&gt;"",AND(SUM((FQ68-RW68)/7)&gt;0,SUM((FQ68-RW68)/7)&lt;13)),"REGISTAR EN I TRIMESTRE",IF(AND(FQ68&lt;&gt;"",AND(SUM((FQ68-RW68)/7)&gt;=13,SUM((FQ68-RW68)/7)&lt;27)),"REGISTRAR EN II TRIMESTRE",IF(AND(FQ68="",OR(O68&gt;0,R68&gt;0),AND(BU68&gt;=28,BU68&lt;35),DV68="ACTIVA INGRESO A CPN"),"EN RANGO PARA TOMAR EXAMEN",IF(AND(FQ68="",OR(O68&gt;0,R68&gt;0),BU68&gt;=35, DV68="ACTIVA INGRESO A CPN"),"TOMA INMEDIATA DE TAMIZAJE",IF(AND(FQ68="",DV68= "SALE SIN INGRESO CPN"),"NO APLICA-SIN CPN",IF(AND(FQ68="",AND(IP68&gt;26,IP68&lt;43)),"PIERDE TOMA DE TAMIZAJE",IF(FQ68&gt;0,SUM(FQ68-RW68)/7,""))))))))))))</f>
        <v>30.142857142857142</v>
      </c>
      <c r="FS68" s="22"/>
      <c r="FT68" s="32"/>
      <c r="FU68" s="29" t="str">
        <f>IF(AND(FJ68="",FM68="",FP68="",FS68=""),"",IF(OR(OR(Tabla1[[#This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8" s="28"/>
      <c r="FW68" s="22"/>
      <c r="FX68" s="29" t="str">
        <f t="shared" si="280"/>
        <v>TOMAR EXAMEN</v>
      </c>
      <c r="FY68" s="22">
        <v>44916</v>
      </c>
      <c r="FZ68" s="22">
        <v>44916</v>
      </c>
      <c r="GA68" s="29" t="str">
        <f t="shared" si="250"/>
        <v>REGISTRAR EN II TRIMESTRE</v>
      </c>
      <c r="GB68" s="22" t="s">
        <v>868</v>
      </c>
      <c r="GC68" s="22">
        <v>44916</v>
      </c>
      <c r="GD68" s="29">
        <f t="shared" ca="1" si="281"/>
        <v>18.857142857142858</v>
      </c>
      <c r="GE68" s="22" t="s">
        <v>868</v>
      </c>
      <c r="GF68" s="22">
        <v>44995</v>
      </c>
      <c r="GG68" s="29">
        <f t="shared" ca="1" si="282"/>
        <v>30.142857142857142</v>
      </c>
      <c r="GH68" s="22"/>
      <c r="GI68" s="29"/>
      <c r="GJ68" s="22"/>
      <c r="GK68" s="22"/>
      <c r="GL68" s="22"/>
      <c r="GM68" s="22"/>
      <c r="GN68" s="28" t="s">
        <v>869</v>
      </c>
      <c r="GO68" s="22">
        <v>44916</v>
      </c>
      <c r="GP68" s="29">
        <f t="shared" si="283"/>
        <v>18.857142857142858</v>
      </c>
      <c r="GQ68" s="28" t="s">
        <v>869</v>
      </c>
      <c r="GR68" s="28" t="s">
        <v>869</v>
      </c>
      <c r="GS68" s="22" t="str">
        <f t="shared" si="284"/>
        <v>CONTROL Igm</v>
      </c>
      <c r="GT68" s="22">
        <v>44916</v>
      </c>
      <c r="GU68" s="29">
        <f t="shared" si="285"/>
        <v>18.857142857142858</v>
      </c>
      <c r="GV68" s="21" t="str">
        <f t="shared" si="286"/>
        <v>II TRIM</v>
      </c>
      <c r="GW68" s="28" t="s">
        <v>869</v>
      </c>
      <c r="GX68" s="30"/>
      <c r="GY68" s="21"/>
      <c r="GZ68" s="21"/>
      <c r="HA68" s="21"/>
      <c r="HB68" s="21"/>
      <c r="HC68" s="21"/>
      <c r="HD68" s="21"/>
      <c r="HE68" s="21"/>
      <c r="HF68" s="22"/>
      <c r="HG68" s="22" t="str">
        <f>IF(OR(O68&gt;0,R68&gt;0),CONCATENATE(IF(Tabla1[[#This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8" s="22" t="e">
        <f t="shared" si="287"/>
        <v>#REF!</v>
      </c>
      <c r="HI68" s="22" t="e">
        <f t="shared" ca="1" si="288"/>
        <v>#REF!</v>
      </c>
      <c r="HJ68" s="21"/>
      <c r="HK68" s="21" t="str">
        <f t="shared" si="289"/>
        <v>SIN ANTECEDENTES DE RIESGO</v>
      </c>
      <c r="HL68" s="24" t="str">
        <f t="shared" si="290"/>
        <v>APARENTEMENTE NORMAL</v>
      </c>
      <c r="HM68" s="21" t="str">
        <f t="shared" ca="1" si="291"/>
        <v/>
      </c>
      <c r="HN68" s="30" t="str">
        <f t="shared" si="207"/>
        <v>SALIO PROGRAMA</v>
      </c>
      <c r="HO68" s="21"/>
      <c r="HP68" s="21"/>
      <c r="HQ68" s="21">
        <v>44909</v>
      </c>
      <c r="HR68" s="21" t="str">
        <f>IF(R68="","",IF(Tabla1[[#This Row],[ALARMA FACTORES DE RIESGO COMPLICACIONES HIPERTENSIVAS3]]="SIN ANTECEDENTES DE RIESGO","No Aplica para suministro de ASA",IF(AND(Tabla1[[#This Row],[FECHA INICIO DE SUMINISTRO DE ASA]]&gt;0,RV68&lt;12),"Inicia ASA ANTES de Sem 12",IF(AND(RV68&gt;11,RV68&lt;17,OR(HK68="RIESGO ALTO DE COMPLICACIONES HIPERTENSIVAS VER MANEJO GUIA SUMINISTRO ASA Y CALCIO",HK68="RIESGO MODERADO (2 O MAS CRITERIOS) VER MANEJO GUIA SUMINISTRO ASA Y CALCIO")),"Inicio oportuno de ASA",IF(AND(RV68&gt;12,OR(HK68="RIESGO ALTO DE COMPLICACIONES HIPERTENSIVAS VER MANEJO GUIA SUMINISTRO ASA Y CALCIO",HK68="RIESGO MODERADO (2 O MAS CRITERIOS) VER MANEJO GUIA SUMINISTRO ASA Y CALCIO")),"Inicio no oportuno mayor a 16 semanas",IF(AND(BU68&lt;12,OR(HK68="RIESGO ALTO DE COMPLICACIONES HIPERTENSIVAS VER MANEJO GUIA SUMINISTRO ASA Y CALCIO",HK68="RIESGO MODERADO (2 O MAS CRITERIOS) VER MANEJO GUIA SUMINISTRO ASA Y CALCIO")),"Pendiente Inicio de ASA a la semana 12",IF(AND(BU68&gt;11,BU68&lt;17,OR(HK68="RIESGO ALTO DE COMPLICACIONES HIPERTENSIVAS VER MANEJO GUIA SUMINISTRO ASA Y CALCIO",HK68="RIESGO MODERADO (2 O MAS CRITERIOS) VER MANEJO GUIA SUMINISTRO ASA Y CALCIO")),"Iniciar de inmediato ASA",IF(AND(BU68&gt;16,OR(HK68="RIESGO ALTO DE COMPLICACIONES HIPERTENSIVAS VER MANEJO GUIA SUMINISTRO ASA Y CALCIO",HK68="RIESGO MODERADO (2 O MAS CRITERIOS) VER MANEJO GUIA SUMINISTRO ASA Y CALCIO")),"Pierde Oportunidad, Inicio tardío de ASA","XXXXX"))))))))</f>
        <v>No Aplica para suministro de ASA</v>
      </c>
      <c r="HS68" s="22">
        <v>44909</v>
      </c>
      <c r="HT68" s="22" t="s">
        <v>870</v>
      </c>
      <c r="HU68" s="22">
        <v>44909</v>
      </c>
      <c r="HV68" s="22" t="s">
        <v>870</v>
      </c>
      <c r="HW68" s="22">
        <v>44909</v>
      </c>
      <c r="HX68" s="22" t="s">
        <v>870</v>
      </c>
      <c r="HY68" s="22">
        <v>44910</v>
      </c>
      <c r="HZ68" s="28">
        <f t="shared" si="292"/>
        <v>18</v>
      </c>
      <c r="IA68" s="26" t="s">
        <v>864</v>
      </c>
      <c r="IB68" s="26"/>
      <c r="IC68" s="111"/>
      <c r="ID68" s="22"/>
      <c r="IE68" s="22" t="str">
        <f t="shared" ca="1" si="293"/>
        <v>SALE SIN VACUNA</v>
      </c>
      <c r="IF68" s="22"/>
      <c r="IG68" s="22">
        <f t="shared" si="294"/>
        <v>45064</v>
      </c>
      <c r="IH68" s="29">
        <f t="shared" ca="1" si="295"/>
        <v>-169</v>
      </c>
      <c r="II68" s="22" t="str">
        <f t="shared" ca="1" si="296"/>
        <v>POSIBLEMENTE NACIO</v>
      </c>
      <c r="IJ68" s="22"/>
      <c r="IK68" s="21" t="s">
        <v>1652</v>
      </c>
      <c r="IL68" s="21"/>
      <c r="IM68" s="34"/>
      <c r="IN68" s="349">
        <v>45051</v>
      </c>
      <c r="IO68" s="21" t="s">
        <v>1186</v>
      </c>
      <c r="IP68" s="29">
        <f t="shared" si="297"/>
        <v>38.142857142857146</v>
      </c>
      <c r="IQ68" s="110" t="s">
        <v>1654</v>
      </c>
      <c r="IR68" s="21" t="s">
        <v>1651</v>
      </c>
      <c r="IS68" s="21" t="s">
        <v>1646</v>
      </c>
      <c r="IT68" s="21" t="s">
        <v>1642</v>
      </c>
      <c r="IU68" s="21"/>
      <c r="IV68" s="21"/>
      <c r="IW68" s="21"/>
      <c r="IX68" s="21"/>
      <c r="IY68" s="21"/>
      <c r="IZ68" s="21"/>
      <c r="JA68" s="21"/>
      <c r="JB68" s="30">
        <v>1</v>
      </c>
      <c r="JC68" s="21" t="s">
        <v>1647</v>
      </c>
      <c r="JD68" s="36">
        <v>2745</v>
      </c>
      <c r="JE68" s="21" t="str">
        <f t="shared" si="298"/>
        <v>PESO ADECUADO EDAD GESTACIONAL</v>
      </c>
      <c r="JF68" s="30"/>
      <c r="JG68" s="21"/>
      <c r="JH68" s="21"/>
      <c r="JI68" s="21" t="s">
        <v>854</v>
      </c>
      <c r="JJ68" s="30" t="s">
        <v>866</v>
      </c>
      <c r="JK68" s="22"/>
      <c r="JL68" s="22"/>
      <c r="JM68" s="21"/>
      <c r="JN68" s="36"/>
      <c r="JO68" s="21" t="str">
        <f t="shared" si="299"/>
        <v/>
      </c>
      <c r="JP68" s="22"/>
      <c r="JQ68" s="21"/>
      <c r="JR68" s="21"/>
      <c r="JS68" s="21"/>
      <c r="JT68" s="30"/>
      <c r="JU68" s="22"/>
      <c r="JV68" s="22"/>
      <c r="JW68" s="33"/>
      <c r="JX68" s="28" t="str">
        <f t="shared" si="300"/>
        <v>INASISTENTE</v>
      </c>
      <c r="JY68" s="33"/>
      <c r="JZ68" s="28" t="str">
        <f t="shared" si="301"/>
        <v>INASISTENTE</v>
      </c>
      <c r="KA68" s="21"/>
      <c r="KB68" s="21"/>
      <c r="KC68" s="21"/>
      <c r="KD68" s="37"/>
      <c r="KE68" s="28"/>
      <c r="KF68" s="28"/>
      <c r="KG68" s="28"/>
      <c r="KH68" s="39"/>
      <c r="KI68" s="39"/>
      <c r="KJ68" s="66"/>
      <c r="KK68" s="39"/>
      <c r="KL68" s="39"/>
      <c r="KM68" s="66"/>
      <c r="KN68" s="39"/>
      <c r="KO68" s="39"/>
      <c r="KP68" s="39"/>
      <c r="KQ68" s="39"/>
      <c r="KR68" s="39"/>
      <c r="KS68" s="39"/>
      <c r="KT68" s="39"/>
      <c r="KU68" s="38"/>
      <c r="KV68" s="38"/>
      <c r="KW68" s="38"/>
      <c r="KX68" s="38"/>
      <c r="KY68" s="38"/>
      <c r="KZ68" s="38"/>
      <c r="LA68" s="38"/>
      <c r="LB68" s="38"/>
      <c r="LC68" s="38"/>
      <c r="LD68" s="38"/>
      <c r="LE68" s="38"/>
      <c r="LF68" s="38"/>
      <c r="LG68" s="38"/>
      <c r="LH68" s="38"/>
      <c r="LI68" s="38"/>
      <c r="LJ68" s="38"/>
      <c r="LK68" s="38"/>
      <c r="LL68" s="38"/>
      <c r="LM68" s="38"/>
      <c r="LN68" s="38"/>
      <c r="LO68" s="38"/>
      <c r="LP68" s="38"/>
      <c r="LQ68" s="38"/>
      <c r="LR68" s="38"/>
      <c r="LS68" s="38"/>
      <c r="LT68" s="38"/>
      <c r="LU68" s="38"/>
      <c r="LV68" s="38"/>
      <c r="LW68" s="38"/>
      <c r="LX68" s="38"/>
      <c r="LY68" s="38"/>
      <c r="LZ68" s="38"/>
      <c r="MA68" s="38"/>
      <c r="MB68" s="38"/>
      <c r="MC68" s="38"/>
      <c r="MD68" s="38"/>
      <c r="ME68" s="38"/>
      <c r="MF68" s="38"/>
      <c r="MG68" s="38"/>
      <c r="MH68" s="43">
        <f t="shared" si="302"/>
        <v>0</v>
      </c>
      <c r="MI68" s="43" t="str">
        <f t="shared" si="303"/>
        <v/>
      </c>
      <c r="MJ68" s="43" t="str">
        <f t="shared" si="304"/>
        <v/>
      </c>
      <c r="MK68" s="43">
        <f t="shared" si="305"/>
        <v>0</v>
      </c>
      <c r="ML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8" s="43">
        <f t="shared" si="306"/>
        <v>17.857142857142858</v>
      </c>
      <c r="MN68" s="43">
        <f t="shared" si="307"/>
        <v>12</v>
      </c>
      <c r="MO68" s="43">
        <f t="shared" si="308"/>
        <v>2022</v>
      </c>
      <c r="MP68" s="43" t="str">
        <f t="shared" si="309"/>
        <v>IV TRIMESTRE AÑO</v>
      </c>
      <c r="MQ68" s="43">
        <f t="shared" si="310"/>
        <v>18.70072273324573</v>
      </c>
      <c r="MR68" s="43">
        <f t="shared" si="311"/>
        <v>0</v>
      </c>
      <c r="MS68" s="43" t="str">
        <f t="shared" si="312"/>
        <v>DE 14 A 19AÑOS</v>
      </c>
      <c r="MT68" s="43">
        <f t="shared" si="313"/>
        <v>0</v>
      </c>
      <c r="MU68" s="43">
        <f t="shared" si="314"/>
        <v>1</v>
      </c>
      <c r="MV68" s="43">
        <f t="shared" si="315"/>
        <v>0</v>
      </c>
      <c r="MW68" s="43">
        <f t="shared" si="316"/>
        <v>0</v>
      </c>
      <c r="MX68" s="43" t="str">
        <f t="shared" si="317"/>
        <v/>
      </c>
      <c r="MY68" s="43" t="str">
        <f t="shared" ca="1" si="229"/>
        <v/>
      </c>
      <c r="MZ68" s="43" t="str">
        <f t="shared" si="318"/>
        <v/>
      </c>
      <c r="NA68" s="43">
        <f t="shared" si="319"/>
        <v>0</v>
      </c>
      <c r="NB68" s="43" t="str">
        <f t="shared" si="320"/>
        <v/>
      </c>
      <c r="NC68" s="43" t="str">
        <f t="shared" si="321"/>
        <v/>
      </c>
      <c r="ND68" s="43">
        <f t="shared" ca="1" si="322"/>
        <v>1</v>
      </c>
      <c r="NE68" s="43">
        <f>IF(OR(O68&gt;0,R68&gt;0),SUM(COUNTIF(Tabla1[[#This Row],[AÑOS AL INICIO5 CPN]],"&gt;=40"),COUNTIF(AS68,"0"),COUNTIF(AR68,"SI"),COUNTIF(CC68,"SI"),COUNTIF(BQ68,"&gt;119"),COUNTIF(CI68,"&gt;=35")),"")</f>
        <v>1</v>
      </c>
      <c r="NF68" s="43" t="str">
        <f t="shared" si="323"/>
        <v/>
      </c>
      <c r="NG68" s="43">
        <f t="shared" si="324"/>
        <v>0</v>
      </c>
      <c r="NH68" s="43">
        <f t="shared" si="325"/>
        <v>133.70000000000002</v>
      </c>
      <c r="NI6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CPN",P68="NO"),"Z",IF(AND(Tabla1[[#This Row],[CITA PROXIMO CONTROL]]="CITA MANUAL",Tabla1[[#This Row],[GESTANTES ACTUALES]]="ACTIVA INGRESO A CPN"),"W",IF(AND(Tabla1[[#This Row],[GESTANTES ACTUALES]]="SALIO PROGRAMA",IN68=""),"S",IF(AND(Tabla1[[#This Row],[CITA PROXIMO CONTROL]]&gt;0,IN68=""),(Tabla1[[#This Row],[CITA PROXIMO CONTROL]]-TODAY()),"SD"))))))))</f>
        <v>SD</v>
      </c>
      <c r="NJ68" s="43">
        <f>MONTH(Tabla1[[#This Row],[FECHA DE SALIDA  DEL PROGRAMA]])</f>
        <v>5</v>
      </c>
      <c r="NK68" s="43">
        <f>YEAR(Tabla1[[#This Row],[FECHA DE SALIDA  DEL PROGRAMA]])</f>
        <v>2023</v>
      </c>
      <c r="NL68" s="43" t="str">
        <f t="shared" si="326"/>
        <v>X</v>
      </c>
      <c r="NM68" s="43" t="str">
        <f t="shared" si="251"/>
        <v>NO</v>
      </c>
      <c r="NN68" s="43" t="str">
        <f ca="1">IF(AND(O68&gt;0,R68=""),"NO CPN",IF(AND(O68="",R68=""),"",IF(AND(R68&gt;0,Tabla1[[#This Row],[SEMANAS DE GESTACION ACTUALIZADAS]]&lt;=12),"NO APLICA",IF(AND(FH68&lt;&gt;"",FN68&lt;&gt;""),"SI","NO"))))</f>
        <v>SI</v>
      </c>
      <c r="NO68" s="43" t="str">
        <f ca="1">IF(AND(O68&gt;0,R68=""),"NO CPN",IF(AND(O68="",R68=""),"",IF(AND(R68&gt;0,Tabla1[[#This Row],[SEMANAS DE GESTACION ACTUALIZADAS]]&lt;=27),"NO APLICA",IF(AND(ES68&lt;&gt;"",FQ68&lt;&gt;"",GF68&lt;&gt;""),"SI","NO"))))</f>
        <v>NO</v>
      </c>
      <c r="NP68" s="204" t="str">
        <f t="shared" si="327"/>
        <v>II TRIM</v>
      </c>
      <c r="NQ68" s="21" t="str">
        <f t="shared" si="241"/>
        <v/>
      </c>
      <c r="NR68" s="21">
        <f t="shared" si="242"/>
        <v>2</v>
      </c>
      <c r="NS68" s="205">
        <f t="shared" ca="1" si="328"/>
        <v>2</v>
      </c>
      <c r="NT68" s="21">
        <f t="shared" ca="1" si="329"/>
        <v>2</v>
      </c>
      <c r="NU68" s="21" t="str">
        <f t="shared" ca="1" si="330"/>
        <v>COMPLETO</v>
      </c>
      <c r="NV68" s="21" t="str">
        <f t="shared" ca="1" si="331"/>
        <v>COMPLETO</v>
      </c>
      <c r="NW68" s="206" t="str">
        <f>IF(AND(O68="",R68=""),"",IF(OR(AND(Tabla1[[#This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8" s="207" t="str">
        <f t="shared" ca="1" si="332"/>
        <v>SIN VACUNAR</v>
      </c>
      <c r="NY68" s="43">
        <f>ROW(Tabla1[[#This Row],['# DE TAMIZAJES SIFILIS TOMADOS ]])</f>
        <v>68</v>
      </c>
      <c r="NZ68" s="43">
        <f t="shared" si="333"/>
        <v>17</v>
      </c>
      <c r="OA68" s="43" t="str">
        <f t="shared" si="334"/>
        <v/>
      </c>
      <c r="OB68" s="43" t="str">
        <f t="shared" si="335"/>
        <v/>
      </c>
      <c r="OC68" s="43" t="str">
        <f t="shared" si="336"/>
        <v/>
      </c>
      <c r="OD68" s="43" t="str">
        <f t="shared" si="337"/>
        <v/>
      </c>
      <c r="OE68" s="43" t="str">
        <f t="shared" si="338"/>
        <v/>
      </c>
      <c r="OF68" s="43" t="str">
        <f t="shared" si="339"/>
        <v/>
      </c>
      <c r="OG68" s="43" t="str">
        <f t="shared" si="340"/>
        <v/>
      </c>
      <c r="OH68" s="43" t="str">
        <f t="shared" si="341"/>
        <v/>
      </c>
      <c r="OI68" s="43" t="str">
        <f t="shared" si="342"/>
        <v>SOBREPESO</v>
      </c>
      <c r="OJ68" s="43" t="str">
        <f t="shared" si="343"/>
        <v/>
      </c>
      <c r="OK68" s="43" t="str">
        <f t="shared" si="344"/>
        <v/>
      </c>
      <c r="OL68" s="43" t="str">
        <f t="shared" si="345"/>
        <v/>
      </c>
      <c r="OM68" s="43" t="str">
        <f t="shared" si="346"/>
        <v/>
      </c>
      <c r="ON68" s="43" t="str">
        <f t="shared" si="347"/>
        <v/>
      </c>
      <c r="OO68" s="43" t="str">
        <f t="shared" si="348"/>
        <v/>
      </c>
      <c r="OP68" s="43" t="str">
        <f t="shared" si="349"/>
        <v/>
      </c>
      <c r="OQ68" s="43" t="str">
        <f t="shared" si="350"/>
        <v/>
      </c>
      <c r="OR68" s="43" t="str">
        <f t="shared" si="351"/>
        <v/>
      </c>
      <c r="OS68" s="43" t="str">
        <f t="shared" si="352"/>
        <v/>
      </c>
      <c r="OT68" s="43" t="str">
        <f t="shared" si="353"/>
        <v/>
      </c>
      <c r="OU68" s="43" t="str">
        <f t="shared" si="354"/>
        <v/>
      </c>
      <c r="OV68" s="110" t="str">
        <f t="shared" si="355"/>
        <v/>
      </c>
      <c r="OW68" s="43" t="str">
        <f t="shared" si="356"/>
        <v/>
      </c>
      <c r="OX68" s="43" t="str">
        <f t="shared" si="357"/>
        <v/>
      </c>
      <c r="OY68" s="43" t="str">
        <f t="shared" si="358"/>
        <v/>
      </c>
      <c r="OZ68" s="43" t="str">
        <f t="shared" si="359"/>
        <v/>
      </c>
      <c r="PA68" s="43" t="str">
        <f t="shared" si="360"/>
        <v/>
      </c>
      <c r="PB68" s="43" t="str">
        <f t="shared" si="361"/>
        <v/>
      </c>
      <c r="PC68" s="43" t="str">
        <f t="shared" si="362"/>
        <v/>
      </c>
      <c r="PD68" s="43" t="str">
        <f t="shared" si="363"/>
        <v/>
      </c>
      <c r="PE68" s="43" t="str">
        <f t="shared" si="364"/>
        <v/>
      </c>
      <c r="PF68" s="43" t="str">
        <f t="shared" si="365"/>
        <v/>
      </c>
      <c r="PG68" s="43" t="str">
        <f t="shared" si="366"/>
        <v/>
      </c>
      <c r="PH68" s="43" t="str">
        <f t="shared" si="367"/>
        <v/>
      </c>
      <c r="PI68" s="43">
        <f t="shared" si="368"/>
        <v>37</v>
      </c>
      <c r="PJ68" s="43" t="str">
        <f t="shared" si="369"/>
        <v/>
      </c>
      <c r="PK68" s="43" t="str">
        <f t="shared" si="370"/>
        <v/>
      </c>
      <c r="PL68" s="43" t="str">
        <f t="shared" si="371"/>
        <v/>
      </c>
      <c r="PM68" s="43" t="str">
        <f t="shared" si="372"/>
        <v/>
      </c>
      <c r="PN68" s="43" t="str">
        <f t="shared" si="373"/>
        <v/>
      </c>
      <c r="PO68" s="43" t="str">
        <f t="shared" si="374"/>
        <v/>
      </c>
      <c r="PP68" s="43" t="str">
        <f t="shared" si="375"/>
        <v/>
      </c>
      <c r="PQ68" s="43" t="str">
        <f t="shared" si="376"/>
        <v/>
      </c>
      <c r="PR68" s="43" t="str">
        <f t="shared" si="377"/>
        <v/>
      </c>
      <c r="PS68" s="43" t="str">
        <f t="shared" si="378"/>
        <v/>
      </c>
      <c r="PT68" s="43" t="str">
        <f t="shared" si="379"/>
        <v/>
      </c>
      <c r="PU68" s="43" t="str">
        <f t="shared" si="380"/>
        <v/>
      </c>
      <c r="PV68" s="43" t="str">
        <f t="shared" si="381"/>
        <v/>
      </c>
      <c r="PW68" s="43" t="str">
        <f t="shared" si="382"/>
        <v/>
      </c>
      <c r="PX68" s="43" t="str">
        <f t="shared" si="383"/>
        <v/>
      </c>
      <c r="PY68" s="43" t="str">
        <f t="shared" si="384"/>
        <v/>
      </c>
      <c r="PZ68" s="43" t="str">
        <f t="shared" si="385"/>
        <v/>
      </c>
      <c r="QA68" s="43" t="str">
        <f t="shared" si="386"/>
        <v/>
      </c>
      <c r="QB68" s="43" t="str">
        <f t="shared" si="387"/>
        <v/>
      </c>
      <c r="QC68" s="43" t="str">
        <f t="shared" si="388"/>
        <v/>
      </c>
      <c r="QD68" s="43" t="str">
        <f t="shared" si="389"/>
        <v/>
      </c>
      <c r="QE68" s="43" t="str">
        <f t="shared" si="390"/>
        <v/>
      </c>
      <c r="QF68" s="43" t="str">
        <f t="shared" si="391"/>
        <v/>
      </c>
      <c r="QG68" s="43" t="str">
        <f t="shared" si="392"/>
        <v/>
      </c>
      <c r="QH68" s="43" t="str">
        <f t="shared" si="393"/>
        <v/>
      </c>
      <c r="QI68" s="43" t="str">
        <f t="shared" si="394"/>
        <v/>
      </c>
      <c r="QJ68" s="43" t="str">
        <f t="shared" si="395"/>
        <v/>
      </c>
      <c r="QK68" s="43" t="str">
        <f t="shared" si="396"/>
        <v/>
      </c>
      <c r="QL68" s="43" t="str">
        <f t="shared" si="397"/>
        <v/>
      </c>
      <c r="QM68" s="43" t="str">
        <f t="shared" si="398"/>
        <v/>
      </c>
      <c r="QN68" s="43" t="str">
        <f t="shared" si="399"/>
        <v/>
      </c>
      <c r="QO68" s="43" t="str">
        <f t="shared" si="400"/>
        <v/>
      </c>
      <c r="QP68" s="43" t="str">
        <f t="shared" si="401"/>
        <v/>
      </c>
      <c r="QQ68" s="43" t="str">
        <f t="shared" si="402"/>
        <v/>
      </c>
      <c r="QR68" s="43">
        <f t="shared" ref="QR68:QR130" si="432">IF(DZ68="","",IF(DZ68&lt;13,"Menor",IF(DZ68&gt;40,"Mayor",DZ68)))</f>
        <v>37</v>
      </c>
      <c r="QS68" s="43"/>
      <c r="QT68" s="21" t="str">
        <f t="shared" si="403"/>
        <v/>
      </c>
      <c r="QU68" s="21" t="str">
        <f t="shared" si="404"/>
        <v/>
      </c>
      <c r="QV68" s="21" t="str">
        <f t="shared" si="405"/>
        <v/>
      </c>
      <c r="QW68" s="21" t="str">
        <f t="shared" si="406"/>
        <v/>
      </c>
      <c r="QX68" s="21" t="str">
        <f t="shared" si="407"/>
        <v/>
      </c>
      <c r="QY68" s="21" t="str">
        <f t="shared" si="408"/>
        <v/>
      </c>
      <c r="QZ68" s="21" t="str">
        <f t="shared" si="409"/>
        <v/>
      </c>
      <c r="RA68" s="21" t="str">
        <f t="shared" si="410"/>
        <v/>
      </c>
      <c r="RB68" s="21" t="str">
        <f t="shared" si="411"/>
        <v/>
      </c>
      <c r="RC68" s="21" t="str">
        <f t="shared" si="412"/>
        <v/>
      </c>
      <c r="RD68" s="21" t="str">
        <f t="shared" si="413"/>
        <v/>
      </c>
      <c r="RE68" s="21" t="str">
        <f t="shared" si="414"/>
        <v/>
      </c>
      <c r="RF68" s="21" t="str">
        <f t="shared" si="415"/>
        <v/>
      </c>
      <c r="RG68" s="21" t="str">
        <f t="shared" si="416"/>
        <v/>
      </c>
      <c r="RH68" s="21" t="str">
        <f t="shared" si="417"/>
        <v/>
      </c>
      <c r="RI68" s="21" t="str">
        <f t="shared" si="418"/>
        <v/>
      </c>
      <c r="RJ68" s="21" t="str">
        <f t="shared" si="419"/>
        <v/>
      </c>
      <c r="RK68" s="21" t="str">
        <f t="shared" si="420"/>
        <v/>
      </c>
      <c r="RL68" s="21" t="str">
        <f t="shared" si="421"/>
        <v/>
      </c>
      <c r="RM68" s="21" t="str">
        <f t="shared" si="422"/>
        <v/>
      </c>
      <c r="RN68" s="21" t="str">
        <f t="shared" si="423"/>
        <v/>
      </c>
      <c r="RO68" s="21" t="str">
        <f t="shared" si="424"/>
        <v/>
      </c>
      <c r="RP68" s="21" t="str">
        <f t="shared" si="425"/>
        <v/>
      </c>
      <c r="RQ68" s="21" t="str">
        <f t="shared" si="426"/>
        <v/>
      </c>
      <c r="RR68" s="21" t="str">
        <f t="shared" si="427"/>
        <v>ADECUADO PARA EDAD GESTACIONAL</v>
      </c>
      <c r="RS68" s="21" t="str">
        <f t="shared" si="428"/>
        <v/>
      </c>
      <c r="RT68" s="21" t="str">
        <f t="shared" si="429"/>
        <v/>
      </c>
      <c r="RU68" s="21" t="str">
        <f t="shared" si="430"/>
        <v/>
      </c>
      <c r="RV68" s="21">
        <f t="shared" si="431"/>
        <v>17.857142857142858</v>
      </c>
      <c r="RW68" s="284">
        <f>IF(OR(Tabla1[[#This Row],[FUM FORMULA CONFIABLE]]="",Tabla1[[#This Row],[FUM FORMULA CONFIABLE]]="SD"),"",IF(Tabla1[[#This Row],[FUM FORMULA CONFIABLE]]="CORREGIDA",Tabla1[[#This Row],[FUM X ECO 1]],Tabla1[[#This Row],[FUM x AMENORREA]]))</f>
        <v>44784</v>
      </c>
      <c r="RX68" s="21">
        <f>IF(AND(Tabla1[[#This Row],[FUM X ECO 1]]="",Tabla1[[#This Row],[FUM x AMENORREA]]=""),"",IF(AND(Tabla1[[#This Row],[FUM X ECO 1]]="",Tabla1[[#This Row],[FUM x AMENORREA]]&lt;&gt;""),"X",SUM(Tabla1[[#This Row],[FUM X ECO 1]]-Tabla1[[#This Row],[FUM x AMENORREA]])))</f>
        <v>0.30000000000291038</v>
      </c>
      <c r="RY68" s="21">
        <f t="shared" ref="RY68:RY130" si="433">IF(RX68="","",IF(RX68="x","x",IF(OR(RX68&gt;6,RX68&lt;-7),1,0)))</f>
        <v>0</v>
      </c>
    </row>
    <row r="69" spans="1:493" ht="45" customHeight="1" x14ac:dyDescent="0.25">
      <c r="A69" s="109" t="s">
        <v>1208</v>
      </c>
      <c r="B69" s="43" t="s">
        <v>1057</v>
      </c>
      <c r="C69" s="43" t="s">
        <v>845</v>
      </c>
      <c r="D69" s="124" t="s">
        <v>846</v>
      </c>
      <c r="E69" s="43" t="s">
        <v>1209</v>
      </c>
      <c r="F69" s="43" t="s">
        <v>1210</v>
      </c>
      <c r="G69" s="43" t="s">
        <v>1043</v>
      </c>
      <c r="H69" s="43"/>
      <c r="I69" s="109" t="s">
        <v>851</v>
      </c>
      <c r="J69" s="110">
        <v>1059844668</v>
      </c>
      <c r="K69" s="43" t="s">
        <v>852</v>
      </c>
      <c r="L69" s="175" t="s">
        <v>853</v>
      </c>
      <c r="M69" s="22">
        <v>34422</v>
      </c>
      <c r="N69" s="213">
        <f t="shared" ca="1" si="252"/>
        <v>29.61917808219178</v>
      </c>
      <c r="O69" s="22">
        <v>44910</v>
      </c>
      <c r="P69" s="214" t="str">
        <f t="shared" si="253"/>
        <v>SI</v>
      </c>
      <c r="Q69" s="26" t="s">
        <v>855</v>
      </c>
      <c r="R69" s="22">
        <v>44910</v>
      </c>
      <c r="S69" s="21" t="s">
        <v>856</v>
      </c>
      <c r="T69" s="24" t="s">
        <v>690</v>
      </c>
      <c r="U69" s="21" t="s">
        <v>857</v>
      </c>
      <c r="V69" s="21" t="s">
        <v>858</v>
      </c>
      <c r="W69" s="21" t="s">
        <v>1139</v>
      </c>
      <c r="X69" s="21" t="s">
        <v>1139</v>
      </c>
      <c r="Y69" s="21" t="s">
        <v>859</v>
      </c>
      <c r="Z69" s="21" t="s">
        <v>894</v>
      </c>
      <c r="AA69" s="21" t="s">
        <v>860</v>
      </c>
      <c r="AB69" s="27" t="s">
        <v>861</v>
      </c>
      <c r="AC69" s="26" t="s">
        <v>862</v>
      </c>
      <c r="AD69" s="38" t="s">
        <v>1049</v>
      </c>
      <c r="AE69" s="26" t="s">
        <v>854</v>
      </c>
      <c r="AF69" s="26" t="s">
        <v>854</v>
      </c>
      <c r="AG69" s="23" t="s">
        <v>864</v>
      </c>
      <c r="AH69" s="23" t="s">
        <v>864</v>
      </c>
      <c r="AI69" s="24" t="s">
        <v>863</v>
      </c>
      <c r="AJ69" s="23" t="s">
        <v>864</v>
      </c>
      <c r="AK69" s="220" t="str">
        <f>IF(AND(AD69="",AE69="",AF69="",AG69="",AH69="",AI69="",AJ69=""),"",IF(OR(Tabla1[[#This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EVALUACIÓN",IF(AND(O69="",R69=""),"",IF(AND(OR(O69&gt;0,R69&gt;0),NG69&gt;=0,NG69&lt;2),"SIN RIESGO",IF(AND(OR(O69&gt;0,R69&gt;0),NG69&gt;=2),"CON RIESGO","ASD")))))</f>
        <v>SIN RIESGO</v>
      </c>
      <c r="AL69" s="23" t="s">
        <v>864</v>
      </c>
      <c r="AM69" s="26" t="s">
        <v>864</v>
      </c>
      <c r="AN69" s="26" t="s">
        <v>864</v>
      </c>
      <c r="AO69" s="26" t="s">
        <v>864</v>
      </c>
      <c r="AP69" s="26" t="s">
        <v>864</v>
      </c>
      <c r="AQ69" s="26" t="s">
        <v>864</v>
      </c>
      <c r="AR69" s="26" t="s">
        <v>864</v>
      </c>
      <c r="AS69" s="21">
        <v>2</v>
      </c>
      <c r="AT69" s="21">
        <v>1</v>
      </c>
      <c r="AU69" s="21">
        <v>0</v>
      </c>
      <c r="AV69" s="26" t="s">
        <v>864</v>
      </c>
      <c r="AW69" s="21">
        <v>1</v>
      </c>
      <c r="AX69" s="26" t="s">
        <v>864</v>
      </c>
      <c r="AY69" s="26" t="s">
        <v>864</v>
      </c>
      <c r="AZ69" s="26" t="s">
        <v>864</v>
      </c>
      <c r="BA69" s="26" t="s">
        <v>864</v>
      </c>
      <c r="BB69" s="26" t="s">
        <v>864</v>
      </c>
      <c r="BC69" s="26" t="s">
        <v>864</v>
      </c>
      <c r="BD69" s="26" t="s">
        <v>864</v>
      </c>
      <c r="BE69" s="26" t="s">
        <v>864</v>
      </c>
      <c r="BF69" s="26" t="s">
        <v>864</v>
      </c>
      <c r="BG69" s="26" t="s">
        <v>864</v>
      </c>
      <c r="BH69" s="26" t="s">
        <v>864</v>
      </c>
      <c r="BI69" s="26" t="s">
        <v>864</v>
      </c>
      <c r="BJ69" s="26"/>
      <c r="BK69" s="26"/>
      <c r="BL69" s="26" t="s">
        <v>864</v>
      </c>
      <c r="BM69" s="26" t="s">
        <v>864</v>
      </c>
      <c r="BN69" s="22">
        <v>2</v>
      </c>
      <c r="BO69" s="22">
        <v>44860</v>
      </c>
      <c r="BP69" s="21" t="s">
        <v>854</v>
      </c>
      <c r="BQ69" s="222">
        <f t="shared" si="254"/>
        <v>1495.2666666666667</v>
      </c>
      <c r="BR69" s="223">
        <f t="shared" si="255"/>
        <v>44860.6</v>
      </c>
      <c r="BS69" s="224">
        <f t="shared" si="256"/>
        <v>7.1428571428571432</v>
      </c>
      <c r="BT69" s="216" t="str">
        <f t="shared" si="257"/>
        <v>I TRIM</v>
      </c>
      <c r="BU69" s="214" t="str">
        <f t="shared" ca="1" si="258"/>
        <v/>
      </c>
      <c r="BV69" s="25"/>
      <c r="BW69" s="22">
        <v>44960</v>
      </c>
      <c r="BX69" s="28">
        <v>14.2</v>
      </c>
      <c r="BY69" s="28"/>
      <c r="BZ69" s="22"/>
      <c r="CA69" s="21"/>
      <c r="CB69" s="26" t="s">
        <v>864</v>
      </c>
      <c r="CC69" s="26" t="s">
        <v>864</v>
      </c>
      <c r="CD69" s="26" t="s">
        <v>865</v>
      </c>
      <c r="CE69" s="26" t="s">
        <v>864</v>
      </c>
      <c r="CF69" s="22" t="s">
        <v>1517</v>
      </c>
      <c r="CG69" s="21">
        <v>1.56</v>
      </c>
      <c r="CH69" s="21">
        <v>77</v>
      </c>
      <c r="CI69" s="214">
        <f t="shared" si="259"/>
        <v>31.640368178829714</v>
      </c>
      <c r="CJ69" s="225" t="str">
        <f>IF(AND(CI69&lt;10,CH69="SD"),"SIN DATO PESO PREGESTACION O I TRIM",IF(AND(OR(R69&gt;0,O69&gt;0),CI69="X"),"INGRESAR DATO DE PESO",IF(CI69="SD","INGRESAR DATO DE TALLA Y PESO",IF(AND(OR(Tabla1[[#This Row],[MOMENTO EN QUE SE REALIZA EL PESO AL INGRESO A CPN]]="PREGESTACIÓN",NZ69="Menor"),CI69&lt;18.5),"BAJO PESO",IF(AND(OR(Tabla1[[#This Row],[MOMENTO EN QUE SE REALIZA EL PESO AL INGRESO A CPN]]="PREGESTACIÓN",NZ69="Menor"),CI69&lt;25),"NORMAL",IF(AND(OR(Tabla1[[#This Row],[MOMENTO EN QUE SE REALIZA EL PESO AL INGRESO A CPN]]="PREGESTACIÓN",NZ69="Menor"),CI69&lt;30),"SOBREPESO",IF(AND(OR(Tabla1[[#This Row],[MOMENTO EN QUE SE REALIZA EL PESO AL INGRESO A CPN]]="PREGESTACIÓN",NZ69="Menor"),CI69&gt;=30,CI69&lt;50),"OBESIDAD",IF(AND(BS69&gt;0,Tabla1[[#This Row],[MOMENTO EN QUE SE REALIZA EL PESO AL INGRESO A CPN]]="GESTACIÓN"),HLOOKUP(NZ69,$OA$2:PH69,NY69),""))))))))</f>
        <v>OBESIDAD</v>
      </c>
      <c r="CK69" s="212">
        <f t="shared" si="260"/>
        <v>45082</v>
      </c>
      <c r="CL69" s="21">
        <v>86</v>
      </c>
      <c r="CM69" s="214">
        <f t="shared" si="261"/>
        <v>35.338593030900718</v>
      </c>
      <c r="CN69" s="216">
        <f t="shared" si="262"/>
        <v>31</v>
      </c>
      <c r="CO69" s="216" t="e">
        <f>IF(PI69="","",IF(PI69&gt;0,HLOOKUP(PI69,$PJ$2:QQ69,NY69),""))</f>
        <v>#REF!</v>
      </c>
      <c r="CP69" s="21">
        <v>28</v>
      </c>
      <c r="CQ69" s="216" t="e">
        <f>IF(QR69="Menor","NO APLICA-MENOR 13 SEM",IF(AND(CC69="SI",CN69&gt;23),"NO APLICA- GEMELAR",IF(QR69="","",IF(QR69&gt;0,HLOOKUP(QR69,$QS$2:RU69,NY69),""))))</f>
        <v>#REF!</v>
      </c>
      <c r="CR69" s="21">
        <v>110</v>
      </c>
      <c r="CS69" s="21">
        <v>80</v>
      </c>
      <c r="CT69" s="217" t="str">
        <f>IF(R69="","",IF(AND(BS69&gt;1,BS69&lt;12,Tabla1[[#This Row],[T.A. SISTOLICA - ANTES DE SEMANA 12]]="",Tabla1[[#This Row],[T.A. DIASTOLICA - ANTES DE SEMANA 12]]=""),"REGISTRE DATO TA ANTES SEMANA 12",IF(AND(BS69&gt;11,BS69&lt;43,Tabla1[[#This Row],[T.A. SISTOLICA - ANTES DE SEMANA 12]]="",Tabla1[[#This Row],[T.A. DIASTOLICA - ANTES DE SEMANA 12]]=""),"NO APLICA REGISTRO TA-INGRESO TARDIO",IF(AND(OR(O69&gt;0,R69&gt;0),OR(CR69&gt;=140,CS69&gt;=90)),"DEFINIR ESTADIO HTA",IF(AND(OR(O69&gt;0,R69&gt;0),AND(CR69&gt;120,CR69&lt;=139)),"PRE HTA SEGUIMIENTO",IF(AND(OR(O69&gt;0,R69&gt;0),AND(CS69&gt;80,CS69&lt;=89)),"PRE HTA SEGUIMIENTO",IF(AND(OR(O69&gt;0,R69&gt;0),AND(CR69&gt;=80,CR69&lt;=120)),"APARENTEMENTE NORMAL",IF(AND(OR(O69&gt;0,R69&gt;0),AND(CS69&gt;=50,CS69&lt;=80)),"APARENTEMENTE NORMAL",IF(AND(OR(O69&gt;0,R69&gt;0),AND(CR69&gt;1,CR69&lt;=70),AND(CS69&gt;1,CS69&lt;=40)),"HIPOTENSIÓN","")))))))))</f>
        <v>APARENTEMENTE NORMAL</v>
      </c>
      <c r="CU69" s="21">
        <v>110</v>
      </c>
      <c r="CV69" s="21">
        <v>70</v>
      </c>
      <c r="CW69" s="217" t="str">
        <f ca="1">IF(R69="","",IF(AND(CN69&gt;19,CN69&lt;27,Tabla1[[#This Row],[T.A. SISTOLICA (Entre semana 20 y 26)]]="",Tabla1[[#This Row],[T.A. DIATOLICA (Entre semana 20 y 26)]]=""),"ACUDE A CONTROL SEM 20 A 26 REGISTRE TA AHORA",IF(AND(BS69&gt;1,BS69&lt;27,BU69&gt;19,Tabla1[[#This Row],[T.A. SISTOLICA (Entre semana 20 y 26)]]="",Tabla1[[#This Row],[T.A. DIATOLICA (Entre semana 20 y 26)]]=""),"COMPLETE REGISTRO TA CONTROL SEM 20 A26 ",IF(AND(BS69&gt;26,BS69&lt;43,Tabla1[[#This Row],[T.A. SISTOLICA (Entre semana 20 y 26)]]="",Tabla1[[#This Row],[T.A. DIATOLICA (Entre semana 20 y 26)]]=""),"NO APLICA REGISTRO TA-INGRESO TARDIO",IF(AND(OR(O69&gt;0,R69&gt;0),OR(CU69&gt;=140,CV69&gt;=90)),"ALTO RIESGO PREECLAMPSIA,DEFINIR ESTADIO HTA",IF(AND(OR(O69&gt;0,R69&gt;0),AND(CU69&gt;120,CU69&lt;=139)),"PRE HTA SEGUIMIENTO,RIESGO HIPERTENSION INDUCIDA POR EL EMBARAZO",IF(AND(OR(O69&gt;0,R69&gt;0),AND(CV69&gt;80,CV69&lt;=89)),"PRE HTA SEGUIMIENTO, RIESGO HIPERTENSION INDUCIDA POR EL EMBARAZO",IF(AND(OR(O69&lt;&gt;"",R69&lt;&gt;""),CS69&lt;&gt;"",CV69&lt;&gt;"",CS69&lt;=CV69),"VIGILAR CIFRAS PRESION ARTERIAL",IF(AND(OR(O69&gt;0,R69&gt;0),AND(CU69&gt;120,CU69&lt;=139)),"PRE HTA SEGUIMIENTO",IF(AND(OR(O69&gt;0,R69&gt;0),AND(CU69&gt;1,CU69&lt;=70),AND(CV69&gt;1,CV69&lt;=40)),"HIPOTENSIÓN",IF(AND(OR(O69&lt;&gt;"",R69&lt;&gt;""),CS69&lt;&gt;"",CV69&lt;&gt;"",CS69&gt;CV69),"APARENTEMENTE NORMAL",IF(AND(OR(O69&gt;0,R69&gt;0),AND(CU69&gt;=80,CU69&lt;=120)),"APARENTEMENTE NORMAL",IF(AND(OR(O69&gt;0,R69&gt;0),AND(CV69&gt;=50,CV69&lt;=80)),"APARENTEMENTE NORMAL","")))))))))))))</f>
        <v>APARENTEMENTE NORMAL</v>
      </c>
      <c r="CX69" s="21">
        <v>100</v>
      </c>
      <c r="CY69" s="21">
        <v>70</v>
      </c>
      <c r="CZ69" s="216" t="str">
        <f t="shared" si="263"/>
        <v>APARENTEMENTE NORMAL</v>
      </c>
      <c r="DA69" s="21">
        <v>100</v>
      </c>
      <c r="DB69" s="21">
        <v>70</v>
      </c>
      <c r="DC69" s="217" t="str">
        <f t="shared" si="264"/>
        <v>APARENTEMENTE NORMAL</v>
      </c>
      <c r="DD69" s="22">
        <v>44910</v>
      </c>
      <c r="DE69" s="22">
        <v>44910</v>
      </c>
      <c r="DF69" s="22">
        <v>44960</v>
      </c>
      <c r="DG69" s="22">
        <v>44984</v>
      </c>
      <c r="DH69" s="22">
        <v>45050</v>
      </c>
      <c r="DI69" s="22">
        <v>45082</v>
      </c>
      <c r="DJ69" s="22"/>
      <c r="DK69" s="22"/>
      <c r="DL69" s="22"/>
      <c r="DM69" s="22"/>
      <c r="DN69" s="22"/>
      <c r="DO69" s="22"/>
      <c r="DP69" s="22"/>
      <c r="DQ69" s="22"/>
      <c r="DR69" s="28">
        <v>2</v>
      </c>
      <c r="DS69" s="22"/>
      <c r="DT69" s="22"/>
      <c r="DU69" s="216" t="str">
        <f t="shared" ca="1" si="265"/>
        <v>SALE SIN PLAN DE PARTO</v>
      </c>
      <c r="DV69" s="226" t="str">
        <f t="shared" si="197"/>
        <v>SALIO PROGRAMA</v>
      </c>
      <c r="DW6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69" s="216" t="str">
        <f t="shared" ca="1" si="266"/>
        <v/>
      </c>
      <c r="DY69" s="212">
        <f>IF(R69="","",IF(R69&gt;0,MAX(Tabla1[[#This Row],[FECHA C2]:[FECHA C13]],Tabla1[[#This Row],[FECHA CONSULTA PRIMERA VEZ PROGRAMA CPN ]])))</f>
        <v>45082</v>
      </c>
      <c r="DZ69" s="216">
        <f t="shared" si="267"/>
        <v>31</v>
      </c>
      <c r="EA69" s="222">
        <f>IF(R69&gt;0,SUM(COUNTA(DF69:DQ69)+COUNTA(Tabla1[[#This Row],[FECHA CONSULTA PRIMERA VEZ PROGRAMA CPN ]])),"")</f>
        <v>5</v>
      </c>
      <c r="EB69" s="222" t="str">
        <f t="shared" si="268"/>
        <v>SI</v>
      </c>
      <c r="EC69" s="214">
        <f t="shared" si="269"/>
        <v>10</v>
      </c>
      <c r="ED69" s="227">
        <f t="shared" si="270"/>
        <v>0.5</v>
      </c>
      <c r="EE69" s="22">
        <v>44910</v>
      </c>
      <c r="EF69" s="22">
        <v>44960</v>
      </c>
      <c r="EG69" s="22">
        <v>44910</v>
      </c>
      <c r="EH69" s="22"/>
      <c r="EI69" s="22">
        <v>44910</v>
      </c>
      <c r="EJ69" s="22">
        <v>44959</v>
      </c>
      <c r="EK69" s="22">
        <v>44959</v>
      </c>
      <c r="EL69" s="21">
        <v>1</v>
      </c>
      <c r="EM69" s="21">
        <v>14.5</v>
      </c>
      <c r="EN69" s="22">
        <v>44960</v>
      </c>
      <c r="EO69" s="222">
        <f t="shared" si="271"/>
        <v>14.285714285714286</v>
      </c>
      <c r="EP69" s="214" t="str">
        <f t="shared" si="272"/>
        <v>NO DAR SULFATO FERROSO</v>
      </c>
      <c r="EQ69" s="216" t="str">
        <f t="shared" si="273"/>
        <v>II TRIM</v>
      </c>
      <c r="ER69" s="24"/>
      <c r="ES69" s="22"/>
      <c r="ET69" s="29" t="str">
        <f t="shared" ca="1" si="274"/>
        <v>SALE SIN TAMIZAJE HEMOGLOBINA SEM 28</v>
      </c>
      <c r="EU69" s="25" t="str">
        <f t="shared" si="275"/>
        <v/>
      </c>
      <c r="EV69" s="24" t="s">
        <v>866</v>
      </c>
      <c r="EW69" s="24">
        <v>44960</v>
      </c>
      <c r="EX69" s="22"/>
      <c r="EY69" s="29">
        <f t="shared" si="248"/>
        <v>14.285714285714286</v>
      </c>
      <c r="EZ69" s="25" t="str">
        <f t="shared" ca="1" si="249"/>
        <v/>
      </c>
      <c r="FA69" s="21">
        <v>75</v>
      </c>
      <c r="FB69" s="22">
        <v>44960</v>
      </c>
      <c r="FC69" s="29">
        <f t="shared" si="276"/>
        <v>14.285714285714286</v>
      </c>
      <c r="FD69" s="29"/>
      <c r="FE69" s="29"/>
      <c r="FF69" s="29"/>
      <c r="FG69" s="21" t="str">
        <f t="shared" ca="1" si="277"/>
        <v/>
      </c>
      <c r="FH69" s="31"/>
      <c r="FI69" s="29" t="str">
        <f t="shared" si="278"/>
        <v>TOMAR EXAMEN</v>
      </c>
      <c r="FJ69" s="22" t="s">
        <v>867</v>
      </c>
      <c r="FK69" s="22">
        <v>44960</v>
      </c>
      <c r="FL69" s="29" t="str">
        <f t="shared" si="279"/>
        <v>REGISTRAR EN II TRIMESTRE</v>
      </c>
      <c r="FM69" s="22" t="s">
        <v>867</v>
      </c>
      <c r="FN69" s="32">
        <v>44960</v>
      </c>
      <c r="FO69" s="29">
        <f ca="1">IF(AND(BT69="ERROR FUM O INGRESO",FN69&gt;0),"ERROR FUM O INGRESO",IF(AND(FN69="",R69="",O69=""),"",IF(AND(FN69&lt;&gt;"",FN69&lt;RW69), "INCOHERENCIA FUM Y FECHA TAMIZAJE",IF(AND(FN69="",DV69="ACTIVA INGRESO A CPN",AND(BU69&gt;0,BU69&lt;13)),"EN ESPERA-ESTÁ I TRIM", IF(AND(FN69="",AND(BS69&gt;0, BS69&lt;13),OR(O69&gt;0,R69&gt;0),AND(IP69&gt;0,IP69&lt;13)),"NO APLICA-SALIO DEL PROGRAMA I TRIM",IF(AND(FN69&lt;&gt;"",AND(SUM((FN69-RW69)/7)&gt;0,SUM((FN69-RW69)/7)&lt;13)),"REGISTRAR EN I TRIMESTRE",IF(AND(FN69&lt;&gt;"",AND(SUM((FN69-RW69)/7)&gt;=27,SUM((FN69-RW69)/7)&lt;44)),"REGISTRAR EN III TRIMESTRE",IF(AND(FN69="",OR(O69&gt;0,R69&gt;0),AND(BU69&gt;=13,BU69&lt;24),DV69="ACTIVA INGRESO A CPN"),"EN RANGO PARA TOMAR EXAMEN",IF(AND(FN69="",OR(O69&gt;0,R69&gt;0),AND(BU69&gt;=25,BU69&lt;27),DV69="ACTIVA INGRESO A CPN"),"TOMA INMEDIATA DE TAMIZAJE",IF(AND(FN69="",OR(O69&gt;0,R69&gt;0),AND(BS69&gt;=27,BS69&lt;44)),"NO APLICA-INGRESO TARDIO",IF(AND(FN69="",BS69&lt;27,OR(AND(IP69&gt;12,IP69&lt;44),BU69&gt;12)),"PIERDE TOMA DE TAMIZAJE",IF(FN69&gt;0,SUM(FN69-RW69)/7,""))))))))))))</f>
        <v>14.285714285714286</v>
      </c>
      <c r="FP69" s="22"/>
      <c r="FQ69" s="32"/>
      <c r="FR69" s="29" t="str">
        <f ca="1">IF(AND(BT69="ERROR FUM O INGRESO",FQ69&gt;0),"ERROR FUM O INGRESO",IF(AND(FQ69="",R69="",O69=""),"",IF(AND(FQ69&lt;&gt;"",FQ69&lt;RW69), "INCOHERENCIA FUM Y FECHA TAMIZAJE",IF(AND(FQ69="",DV69="ACTIVA INGRESO A CPN",AND(BU69&gt;0,BU69&lt;27)),"EN ESPERA-ESTÁ I TRIM O II TRIM", IF(AND(FQ69="",AND(BS69&gt;0, BS69&lt;27),OR(O69&gt;0,R69&gt;0),AND(IP69&gt;0,IP69&lt;27)),"NO APLICA-SALIO DEL PROGRAMA I O II TRIM",IF(AND(FQ69&lt;&gt;"",AND(SUM((FQ69-RW69)/7)&gt;0,SUM((FQ69-RW69)/7)&lt;13)),"REGISTAR EN I TRIMESTRE",IF(AND(FQ69&lt;&gt;"",AND(SUM((FQ69-RW69)/7)&gt;=13,SUM((FQ69-RW69)/7)&lt;27)),"REGISTRAR EN II TRIMESTRE",IF(AND(FQ69="",OR(O69&gt;0,R69&gt;0),AND(BU69&gt;=28,BU69&lt;35),DV69="ACTIVA INGRESO A CPN"),"EN RANGO PARA TOMAR EXAMEN",IF(AND(FQ69="",OR(O69&gt;0,R69&gt;0),BU69&gt;=35, DV69="ACTIVA INGRESO A CPN"),"TOMA INMEDIATA DE TAMIZAJE",IF(AND(FQ69="",DV69= "SALE SIN INGRESO CPN"),"NO APLICA-SIN CPN",IF(AND(FQ69="",AND(IP69&gt;26,IP69&lt;43)),"PIERDE TOMA DE TAMIZAJE",IF(FQ69&gt;0,SUM(FQ69-RW69)/7,""))))))))))))</f>
        <v>PIERDE TOMA DE TAMIZAJE</v>
      </c>
      <c r="FS69" s="22"/>
      <c r="FT69" s="32"/>
      <c r="FU69" s="29" t="str">
        <f>IF(AND(FJ69="",FM69="",FP69="",FS69=""),"",IF(OR(OR(Tabla1[[#This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69" s="28"/>
      <c r="FW69" s="22"/>
      <c r="FX69" s="29" t="str">
        <f t="shared" si="280"/>
        <v>TOMAR EXAMEN</v>
      </c>
      <c r="FY69" s="22">
        <v>44960</v>
      </c>
      <c r="FZ69" s="22">
        <v>44960</v>
      </c>
      <c r="GA69" s="29" t="str">
        <f t="shared" si="250"/>
        <v>REGISTRAR EN II TRIMESTRE</v>
      </c>
      <c r="GB69" s="22" t="s">
        <v>868</v>
      </c>
      <c r="GC69" s="22">
        <v>44960</v>
      </c>
      <c r="GD69" s="29">
        <f t="shared" ca="1" si="281"/>
        <v>14.285714285714286</v>
      </c>
      <c r="GE69" s="22"/>
      <c r="GF69" s="22"/>
      <c r="GG69" s="29" t="str">
        <f t="shared" ca="1" si="282"/>
        <v>PIERDE TOMA DE TAMIZAJE</v>
      </c>
      <c r="GH69" s="22"/>
      <c r="GI69" s="29"/>
      <c r="GJ69" s="22"/>
      <c r="GK69" s="22"/>
      <c r="GL69" s="22"/>
      <c r="GM69" s="22"/>
      <c r="GN69" s="28" t="s">
        <v>869</v>
      </c>
      <c r="GO69" s="22">
        <v>44960</v>
      </c>
      <c r="GP69" s="29">
        <f t="shared" si="283"/>
        <v>14.285714285714286</v>
      </c>
      <c r="GQ69" s="28" t="s">
        <v>869</v>
      </c>
      <c r="GR69" s="28" t="s">
        <v>880</v>
      </c>
      <c r="GS69" s="22" t="str">
        <f t="shared" si="284"/>
        <v>CONTROL Igm</v>
      </c>
      <c r="GT69" s="22">
        <v>44960</v>
      </c>
      <c r="GU69" s="29">
        <f t="shared" si="285"/>
        <v>14.285714285714286</v>
      </c>
      <c r="GV69" s="21" t="str">
        <f t="shared" si="286"/>
        <v>II TRIM</v>
      </c>
      <c r="GW69" s="28"/>
      <c r="GX69" s="30"/>
      <c r="GY69" s="21"/>
      <c r="GZ69" s="21"/>
      <c r="HA69" s="21"/>
      <c r="HB69" s="21"/>
      <c r="HC69" s="21"/>
      <c r="HD69" s="21"/>
      <c r="HE69" s="21"/>
      <c r="HF69" s="22"/>
      <c r="HG69" s="22" t="str">
        <f>IF(OR(O69&gt;0,R69&gt;0),CONCATENATE(IF(Tabla1[[#This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69" s="22" t="e">
        <f t="shared" si="287"/>
        <v>#REF!</v>
      </c>
      <c r="HI69" s="22" t="e">
        <f t="shared" ca="1" si="288"/>
        <v>#REF!</v>
      </c>
      <c r="HJ69" s="21"/>
      <c r="HK69" s="21" t="str">
        <f t="shared" si="289"/>
        <v>SIN ANTECEDENTES DE RIESGO</v>
      </c>
      <c r="HL69" s="24" t="str">
        <f t="shared" si="290"/>
        <v>APARENTEMENTE NORMAL</v>
      </c>
      <c r="HM69" s="21" t="str">
        <f t="shared" ca="1" si="291"/>
        <v/>
      </c>
      <c r="HN69" s="30" t="str">
        <f t="shared" si="207"/>
        <v>SALIO PROGRAMA</v>
      </c>
      <c r="HO69" s="21"/>
      <c r="HP69" s="21"/>
      <c r="HQ69" s="21">
        <v>44910</v>
      </c>
      <c r="HR69" s="21" t="str">
        <f>IF(R69="","",IF(Tabla1[[#This Row],[ALARMA FACTORES DE RIESGO COMPLICACIONES HIPERTENSIVAS3]]="SIN ANTECEDENTES DE RIESGO","No Aplica para suministro de ASA",IF(AND(Tabla1[[#This Row],[FECHA INICIO DE SUMINISTRO DE ASA]]&gt;0,RV69&lt;12),"Inicia ASA ANTES de Sem 12",IF(AND(RV69&gt;11,RV69&lt;17,OR(HK69="RIESGO ALTO DE COMPLICACIONES HIPERTENSIVAS VER MANEJO GUIA SUMINISTRO ASA Y CALCIO",HK69="RIESGO MODERADO (2 O MAS CRITERIOS) VER MANEJO GUIA SUMINISTRO ASA Y CALCIO")),"Inicio oportuno de ASA",IF(AND(RV69&gt;12,OR(HK69="RIESGO ALTO DE COMPLICACIONES HIPERTENSIVAS VER MANEJO GUIA SUMINISTRO ASA Y CALCIO",HK69="RIESGO MODERADO (2 O MAS CRITERIOS) VER MANEJO GUIA SUMINISTRO ASA Y CALCIO")),"Inicio no oportuno mayor a 16 semanas",IF(AND(BU69&lt;12,OR(HK69="RIESGO ALTO DE COMPLICACIONES HIPERTENSIVAS VER MANEJO GUIA SUMINISTRO ASA Y CALCIO",HK69="RIESGO MODERADO (2 O MAS CRITERIOS) VER MANEJO GUIA SUMINISTRO ASA Y CALCIO")),"Pendiente Inicio de ASA a la semana 12",IF(AND(BU69&gt;11,BU69&lt;17,OR(HK69="RIESGO ALTO DE COMPLICACIONES HIPERTENSIVAS VER MANEJO GUIA SUMINISTRO ASA Y CALCIO",HK69="RIESGO MODERADO (2 O MAS CRITERIOS) VER MANEJO GUIA SUMINISTRO ASA Y CALCIO")),"Iniciar de inmediato ASA",IF(AND(BU69&gt;16,OR(HK69="RIESGO ALTO DE COMPLICACIONES HIPERTENSIVAS VER MANEJO GUIA SUMINISTRO ASA Y CALCIO",HK69="RIESGO MODERADO (2 O MAS CRITERIOS) VER MANEJO GUIA SUMINISTRO ASA Y CALCIO")),"Pierde Oportunidad, Inicio tardío de ASA","XXXXX"))))))))</f>
        <v>No Aplica para suministro de ASA</v>
      </c>
      <c r="HS69" s="22">
        <v>44910</v>
      </c>
      <c r="HT69" s="22" t="s">
        <v>870</v>
      </c>
      <c r="HU69" s="22">
        <v>44910</v>
      </c>
      <c r="HV69" s="22" t="s">
        <v>870</v>
      </c>
      <c r="HW69" s="22">
        <v>44910</v>
      </c>
      <c r="HX69" s="22" t="s">
        <v>870</v>
      </c>
      <c r="HY69" s="22">
        <v>44910</v>
      </c>
      <c r="HZ69" s="28">
        <f t="shared" si="292"/>
        <v>7.1428571428571432</v>
      </c>
      <c r="IA69" s="26" t="s">
        <v>864</v>
      </c>
      <c r="IB69" s="26"/>
      <c r="IC69" s="111"/>
      <c r="ID69" s="22"/>
      <c r="IE69" s="22" t="str">
        <f t="shared" ca="1" si="293"/>
        <v>SALE SIN VACUNA</v>
      </c>
      <c r="IF69" s="22"/>
      <c r="IG69" s="22">
        <f t="shared" si="294"/>
        <v>45140</v>
      </c>
      <c r="IH69" s="29">
        <f t="shared" ca="1" si="295"/>
        <v>-93</v>
      </c>
      <c r="II69" s="22" t="str">
        <f t="shared" ca="1" si="296"/>
        <v>POSIBLEMENTE NACIO</v>
      </c>
      <c r="IJ69" s="22"/>
      <c r="IK69" s="21" t="s">
        <v>1652</v>
      </c>
      <c r="IL69" s="21"/>
      <c r="IM69" s="34"/>
      <c r="IN69" s="349">
        <v>45126</v>
      </c>
      <c r="IO69" s="21" t="s">
        <v>1186</v>
      </c>
      <c r="IP69" s="29">
        <f t="shared" si="297"/>
        <v>38</v>
      </c>
      <c r="IQ69" s="110" t="s">
        <v>1655</v>
      </c>
      <c r="IR69" s="21" t="s">
        <v>1649</v>
      </c>
      <c r="IS69" s="21" t="s">
        <v>1646</v>
      </c>
      <c r="IT69" s="21" t="s">
        <v>1642</v>
      </c>
      <c r="IU69" s="21"/>
      <c r="IV69" s="21"/>
      <c r="IW69" s="21"/>
      <c r="IX69" s="21"/>
      <c r="IY69" s="21"/>
      <c r="IZ69" s="21"/>
      <c r="JA69" s="21"/>
      <c r="JB69" s="30">
        <v>1</v>
      </c>
      <c r="JC69" s="21" t="s">
        <v>1643</v>
      </c>
      <c r="JD69" s="36">
        <v>3100</v>
      </c>
      <c r="JE69" s="21" t="str">
        <f t="shared" si="298"/>
        <v>PESO ADECUADO EDAD GESTACIONAL</v>
      </c>
      <c r="JF69" s="30"/>
      <c r="JG69" s="21"/>
      <c r="JH69" s="21"/>
      <c r="JI69" s="21" t="s">
        <v>854</v>
      </c>
      <c r="JJ69" s="30" t="s">
        <v>866</v>
      </c>
      <c r="JK69" s="22"/>
      <c r="JL69" s="22"/>
      <c r="JM69" s="21"/>
      <c r="JN69" s="36"/>
      <c r="JO69" s="21" t="str">
        <f t="shared" si="299"/>
        <v/>
      </c>
      <c r="JP69" s="22"/>
      <c r="JQ69" s="21"/>
      <c r="JR69" s="21"/>
      <c r="JS69" s="21"/>
      <c r="JT69" s="30"/>
      <c r="JU69" s="22"/>
      <c r="JV69" s="22"/>
      <c r="JW69" s="33"/>
      <c r="JX69" s="28" t="str">
        <f t="shared" si="300"/>
        <v>INASISTENTE</v>
      </c>
      <c r="JY69" s="33"/>
      <c r="JZ69" s="28" t="str">
        <f t="shared" si="301"/>
        <v>INASISTENTE</v>
      </c>
      <c r="KA69" s="21"/>
      <c r="KB69" s="21"/>
      <c r="KC69" s="21"/>
      <c r="KD69" s="37"/>
      <c r="KE69" s="28"/>
      <c r="KF69" s="28"/>
      <c r="KG69" s="28"/>
      <c r="KH69" s="39"/>
      <c r="KI69" s="39"/>
      <c r="KJ69" s="66"/>
      <c r="KK69" s="39"/>
      <c r="KL69" s="39"/>
      <c r="KM69" s="66"/>
      <c r="KN69" s="39"/>
      <c r="KO69" s="39"/>
      <c r="KP69" s="39"/>
      <c r="KQ69" s="39"/>
      <c r="KR69" s="39"/>
      <c r="KS69" s="39"/>
      <c r="KT69" s="39"/>
      <c r="KU69" s="38"/>
      <c r="KV69" s="38"/>
      <c r="KW69" s="38"/>
      <c r="KX69" s="38"/>
      <c r="KY69" s="38"/>
      <c r="KZ69" s="38"/>
      <c r="LA69" s="38"/>
      <c r="LB69" s="38"/>
      <c r="LC69" s="38"/>
      <c r="LD69" s="38"/>
      <c r="LE69" s="38"/>
      <c r="LF69" s="38"/>
      <c r="LG69" s="38"/>
      <c r="LH69" s="38"/>
      <c r="LI69" s="38"/>
      <c r="LJ69" s="38"/>
      <c r="LK69" s="38"/>
      <c r="LL69" s="38"/>
      <c r="LM69" s="38"/>
      <c r="LN69" s="38"/>
      <c r="LO69" s="38"/>
      <c r="LP69" s="38"/>
      <c r="LQ69" s="38"/>
      <c r="LR69" s="38"/>
      <c r="LS69" s="38"/>
      <c r="LT69" s="38"/>
      <c r="LU69" s="38"/>
      <c r="LV69" s="38"/>
      <c r="LW69" s="38"/>
      <c r="LX69" s="38"/>
      <c r="LY69" s="38"/>
      <c r="LZ69" s="38"/>
      <c r="MA69" s="38"/>
      <c r="MB69" s="38"/>
      <c r="MC69" s="38"/>
      <c r="MD69" s="38"/>
      <c r="ME69" s="38"/>
      <c r="MF69" s="38"/>
      <c r="MG69" s="38"/>
      <c r="MH69" s="43">
        <f t="shared" si="302"/>
        <v>0</v>
      </c>
      <c r="MI69" s="43" t="str">
        <f t="shared" si="303"/>
        <v/>
      </c>
      <c r="MJ69" s="43" t="str">
        <f t="shared" si="304"/>
        <v/>
      </c>
      <c r="MK69" s="43">
        <f t="shared" si="305"/>
        <v>0</v>
      </c>
      <c r="ML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69" s="43">
        <f t="shared" si="306"/>
        <v>7.1428571428571432</v>
      </c>
      <c r="MN69" s="43">
        <f t="shared" si="307"/>
        <v>12</v>
      </c>
      <c r="MO69" s="43">
        <f t="shared" si="308"/>
        <v>2022</v>
      </c>
      <c r="MP69" s="43" t="str">
        <f t="shared" si="309"/>
        <v>IV TRIMESTRE AÑO</v>
      </c>
      <c r="MQ69" s="43">
        <f t="shared" si="310"/>
        <v>28.296101620674548</v>
      </c>
      <c r="MR69" s="43">
        <f t="shared" si="311"/>
        <v>0</v>
      </c>
      <c r="MS69" s="43" t="str">
        <f t="shared" si="312"/>
        <v xml:space="preserve"> DE 25 A 29 AÑOS</v>
      </c>
      <c r="MT69" s="43">
        <f t="shared" si="313"/>
        <v>0</v>
      </c>
      <c r="MU69" s="43">
        <f t="shared" si="314"/>
        <v>0</v>
      </c>
      <c r="MV69" s="43">
        <f t="shared" si="315"/>
        <v>1</v>
      </c>
      <c r="MW69" s="43">
        <f t="shared" si="316"/>
        <v>0</v>
      </c>
      <c r="MX69" s="43" t="str">
        <f t="shared" si="317"/>
        <v/>
      </c>
      <c r="MY69" s="43" t="str">
        <f t="shared" ca="1" si="229"/>
        <v/>
      </c>
      <c r="MZ69" s="43" t="str">
        <f t="shared" si="318"/>
        <v/>
      </c>
      <c r="NA69" s="43">
        <f t="shared" si="319"/>
        <v>0</v>
      </c>
      <c r="NB69" s="43" t="str">
        <f t="shared" si="320"/>
        <v/>
      </c>
      <c r="NC69" s="43" t="str">
        <f t="shared" si="321"/>
        <v/>
      </c>
      <c r="ND69" s="43">
        <f t="shared" ca="1" si="322"/>
        <v>1</v>
      </c>
      <c r="NE69" s="43">
        <f>IF(OR(O69&gt;0,R69&gt;0),SUM(COUNTIF(Tabla1[[#This Row],[AÑOS AL INICIO5 CPN]],"&gt;=40"),COUNTIF(AS69,"0"),COUNTIF(AR69,"SI"),COUNTIF(CC69,"SI"),COUNTIF(BQ69,"&gt;119"),COUNTIF(CI69,"&gt;=35")),"")</f>
        <v>1</v>
      </c>
      <c r="NF69" s="43" t="str">
        <f t="shared" si="323"/>
        <v/>
      </c>
      <c r="NG69" s="43">
        <f t="shared" si="324"/>
        <v>0</v>
      </c>
      <c r="NH69" s="43">
        <f t="shared" si="325"/>
        <v>99.399999999999991</v>
      </c>
      <c r="NI6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CPN",P69="NO"),"Z",IF(AND(Tabla1[[#This Row],[CITA PROXIMO CONTROL]]="CITA MANUAL",Tabla1[[#This Row],[GESTANTES ACTUALES]]="ACTIVA INGRESO A CPN"),"W",IF(AND(Tabla1[[#This Row],[GESTANTES ACTUALES]]="SALIO PROGRAMA",IN69=""),"S",IF(AND(Tabla1[[#This Row],[CITA PROXIMO CONTROL]]&gt;0,IN69=""),(Tabla1[[#This Row],[CITA PROXIMO CONTROL]]-TODAY()),"SD"))))))))</f>
        <v>SD</v>
      </c>
      <c r="NJ69" s="43">
        <f>MONTH(Tabla1[[#This Row],[FECHA DE SALIDA  DEL PROGRAMA]])</f>
        <v>7</v>
      </c>
      <c r="NK69" s="43">
        <f>YEAR(Tabla1[[#This Row],[FECHA DE SALIDA  DEL PROGRAMA]])</f>
        <v>2023</v>
      </c>
      <c r="NL69" s="43">
        <f t="shared" si="326"/>
        <v>49</v>
      </c>
      <c r="NM69" s="43" t="str">
        <f t="shared" si="251"/>
        <v>NO</v>
      </c>
      <c r="NN69" s="43" t="str">
        <f ca="1">IF(AND(O69&gt;0,R69=""),"NO CPN",IF(AND(O69="",R69=""),"",IF(AND(R69&gt;0,Tabla1[[#This Row],[SEMANAS DE GESTACION ACTUALIZADAS]]&lt;=12),"NO APLICA",IF(AND(FH69&lt;&gt;"",FN69&lt;&gt;""),"SI","NO"))))</f>
        <v>NO</v>
      </c>
      <c r="NO69" s="43" t="str">
        <f ca="1">IF(AND(O69&gt;0,R69=""),"NO CPN",IF(AND(O69="",R69=""),"",IF(AND(R69&gt;0,Tabla1[[#This Row],[SEMANAS DE GESTACION ACTUALIZADAS]]&lt;=27),"NO APLICA",IF(AND(ES69&lt;&gt;"",FQ69&lt;&gt;"",GF69&lt;&gt;""),"SI","NO"))))</f>
        <v>NO</v>
      </c>
      <c r="NP69" s="204" t="str">
        <f t="shared" si="327"/>
        <v>I TRIM</v>
      </c>
      <c r="NQ69" s="21" t="str">
        <f t="shared" si="241"/>
        <v/>
      </c>
      <c r="NR69" s="21">
        <f t="shared" si="242"/>
        <v>3</v>
      </c>
      <c r="NS69" s="205">
        <f t="shared" ca="1" si="328"/>
        <v>1</v>
      </c>
      <c r="NT69" s="21">
        <f t="shared" ca="1" si="329"/>
        <v>1</v>
      </c>
      <c r="NU69" s="21" t="str">
        <f t="shared" ca="1" si="330"/>
        <v>INCOMPLETO</v>
      </c>
      <c r="NV69" s="21" t="str">
        <f t="shared" ca="1" si="331"/>
        <v>INCOMPLETO</v>
      </c>
      <c r="NW69" s="206" t="str">
        <f>IF(AND(O69="",R69=""),"",IF(OR(AND(Tabla1[[#This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69" s="207" t="str">
        <f t="shared" ca="1" si="332"/>
        <v>SIN VACUNAR</v>
      </c>
      <c r="NY69" s="43">
        <f>ROW(Tabla1[[#This Row],['# DE TAMIZAJES SIFILIS TOMADOS ]])</f>
        <v>69</v>
      </c>
      <c r="NZ69" s="43" t="str">
        <f t="shared" si="333"/>
        <v>Menor</v>
      </c>
      <c r="OA69" s="43" t="str">
        <f t="shared" si="334"/>
        <v>OBESIDAD</v>
      </c>
      <c r="OB69" s="43" t="str">
        <f t="shared" si="335"/>
        <v/>
      </c>
      <c r="OC69" s="43" t="str">
        <f t="shared" si="336"/>
        <v/>
      </c>
      <c r="OD69" s="43" t="str">
        <f t="shared" si="337"/>
        <v/>
      </c>
      <c r="OE69" s="43" t="str">
        <f t="shared" si="338"/>
        <v/>
      </c>
      <c r="OF69" s="43" t="str">
        <f t="shared" si="339"/>
        <v/>
      </c>
      <c r="OG69" s="43" t="str">
        <f t="shared" si="340"/>
        <v/>
      </c>
      <c r="OH69" s="43" t="str">
        <f t="shared" si="341"/>
        <v/>
      </c>
      <c r="OI69" s="43" t="str">
        <f t="shared" si="342"/>
        <v/>
      </c>
      <c r="OJ69" s="43" t="str">
        <f t="shared" si="343"/>
        <v/>
      </c>
      <c r="OK69" s="43" t="str">
        <f t="shared" si="344"/>
        <v/>
      </c>
      <c r="OL69" s="43" t="str">
        <f t="shared" si="345"/>
        <v/>
      </c>
      <c r="OM69" s="43" t="str">
        <f t="shared" si="346"/>
        <v/>
      </c>
      <c r="ON69" s="43" t="str">
        <f t="shared" si="347"/>
        <v/>
      </c>
      <c r="OO69" s="43" t="str">
        <f t="shared" si="348"/>
        <v/>
      </c>
      <c r="OP69" s="43" t="str">
        <f t="shared" si="349"/>
        <v/>
      </c>
      <c r="OQ69" s="43" t="str">
        <f t="shared" si="350"/>
        <v/>
      </c>
      <c r="OR69" s="43" t="str">
        <f t="shared" si="351"/>
        <v/>
      </c>
      <c r="OS69" s="43" t="str">
        <f t="shared" si="352"/>
        <v/>
      </c>
      <c r="OT69" s="43" t="str">
        <f t="shared" si="353"/>
        <v/>
      </c>
      <c r="OU69" s="43" t="str">
        <f t="shared" si="354"/>
        <v/>
      </c>
      <c r="OV69" s="110" t="str">
        <f t="shared" si="355"/>
        <v/>
      </c>
      <c r="OW69" s="43" t="str">
        <f t="shared" si="356"/>
        <v/>
      </c>
      <c r="OX69" s="43" t="str">
        <f t="shared" si="357"/>
        <v/>
      </c>
      <c r="OY69" s="43" t="str">
        <f t="shared" si="358"/>
        <v/>
      </c>
      <c r="OZ69" s="43" t="str">
        <f t="shared" si="359"/>
        <v/>
      </c>
      <c r="PA69" s="43" t="str">
        <f t="shared" si="360"/>
        <v/>
      </c>
      <c r="PB69" s="43" t="str">
        <f t="shared" si="361"/>
        <v/>
      </c>
      <c r="PC69" s="43" t="str">
        <f t="shared" si="362"/>
        <v/>
      </c>
      <c r="PD69" s="43" t="str">
        <f t="shared" si="363"/>
        <v/>
      </c>
      <c r="PE69" s="43" t="str">
        <f t="shared" si="364"/>
        <v/>
      </c>
      <c r="PF69" s="43" t="str">
        <f t="shared" si="365"/>
        <v/>
      </c>
      <c r="PG69" s="43" t="str">
        <f t="shared" si="366"/>
        <v/>
      </c>
      <c r="PH69" s="43" t="str">
        <f t="shared" si="367"/>
        <v/>
      </c>
      <c r="PI69" s="43">
        <f t="shared" si="368"/>
        <v>31</v>
      </c>
      <c r="PJ69" s="43" t="str">
        <f t="shared" si="369"/>
        <v/>
      </c>
      <c r="PK69" s="43" t="str">
        <f t="shared" si="370"/>
        <v/>
      </c>
      <c r="PL69" s="43" t="str">
        <f t="shared" si="371"/>
        <v/>
      </c>
      <c r="PM69" s="43" t="str">
        <f t="shared" si="372"/>
        <v/>
      </c>
      <c r="PN69" s="43" t="str">
        <f t="shared" si="373"/>
        <v/>
      </c>
      <c r="PO69" s="43" t="str">
        <f t="shared" si="374"/>
        <v/>
      </c>
      <c r="PP69" s="43" t="str">
        <f t="shared" si="375"/>
        <v/>
      </c>
      <c r="PQ69" s="43" t="str">
        <f t="shared" si="376"/>
        <v/>
      </c>
      <c r="PR69" s="43" t="str">
        <f t="shared" si="377"/>
        <v/>
      </c>
      <c r="PS69" s="43" t="str">
        <f t="shared" si="378"/>
        <v/>
      </c>
      <c r="PT69" s="43" t="str">
        <f t="shared" si="379"/>
        <v/>
      </c>
      <c r="PU69" s="43" t="str">
        <f t="shared" si="380"/>
        <v/>
      </c>
      <c r="PV69" s="43" t="str">
        <f t="shared" si="381"/>
        <v/>
      </c>
      <c r="PW69" s="43" t="str">
        <f t="shared" si="382"/>
        <v/>
      </c>
      <c r="PX69" s="43" t="str">
        <f t="shared" si="383"/>
        <v/>
      </c>
      <c r="PY69" s="43" t="str">
        <f t="shared" si="384"/>
        <v/>
      </c>
      <c r="PZ69" s="43" t="str">
        <f t="shared" si="385"/>
        <v/>
      </c>
      <c r="QA69" s="43" t="str">
        <f t="shared" si="386"/>
        <v/>
      </c>
      <c r="QB69" s="43" t="str">
        <f t="shared" si="387"/>
        <v/>
      </c>
      <c r="QC69" s="43" t="str">
        <f t="shared" si="388"/>
        <v/>
      </c>
      <c r="QD69" s="43" t="str">
        <f t="shared" si="389"/>
        <v/>
      </c>
      <c r="QE69" s="43" t="str">
        <f t="shared" si="390"/>
        <v/>
      </c>
      <c r="QF69" s="43" t="str">
        <f t="shared" si="391"/>
        <v>OBESIDAD</v>
      </c>
      <c r="QG69" s="43" t="str">
        <f t="shared" si="392"/>
        <v/>
      </c>
      <c r="QH69" s="43" t="str">
        <f t="shared" si="393"/>
        <v/>
      </c>
      <c r="QI69" s="43" t="str">
        <f t="shared" si="394"/>
        <v/>
      </c>
      <c r="QJ69" s="43" t="str">
        <f t="shared" si="395"/>
        <v/>
      </c>
      <c r="QK69" s="43" t="str">
        <f t="shared" si="396"/>
        <v/>
      </c>
      <c r="QL69" s="43" t="str">
        <f t="shared" si="397"/>
        <v/>
      </c>
      <c r="QM69" s="43" t="str">
        <f t="shared" si="398"/>
        <v/>
      </c>
      <c r="QN69" s="43" t="str">
        <f t="shared" si="399"/>
        <v/>
      </c>
      <c r="QO69" s="43" t="str">
        <f t="shared" si="400"/>
        <v/>
      </c>
      <c r="QP69" s="43" t="str">
        <f t="shared" si="401"/>
        <v/>
      </c>
      <c r="QQ69" s="43" t="str">
        <f t="shared" si="402"/>
        <v/>
      </c>
      <c r="QR69" s="43">
        <f t="shared" si="432"/>
        <v>31</v>
      </c>
      <c r="QS69" s="43"/>
      <c r="QT69" s="21" t="str">
        <f t="shared" si="403"/>
        <v/>
      </c>
      <c r="QU69" s="21" t="str">
        <f t="shared" si="404"/>
        <v/>
      </c>
      <c r="QV69" s="21" t="str">
        <f t="shared" si="405"/>
        <v/>
      </c>
      <c r="QW69" s="21" t="str">
        <f t="shared" si="406"/>
        <v/>
      </c>
      <c r="QX69" s="21" t="str">
        <f t="shared" si="407"/>
        <v/>
      </c>
      <c r="QY69" s="21" t="str">
        <f t="shared" si="408"/>
        <v/>
      </c>
      <c r="QZ69" s="21" t="str">
        <f t="shared" si="409"/>
        <v/>
      </c>
      <c r="RA69" s="21" t="str">
        <f t="shared" si="410"/>
        <v/>
      </c>
      <c r="RB69" s="21" t="str">
        <f t="shared" si="411"/>
        <v/>
      </c>
      <c r="RC69" s="21" t="str">
        <f t="shared" si="412"/>
        <v/>
      </c>
      <c r="RD69" s="21" t="str">
        <f t="shared" si="413"/>
        <v/>
      </c>
      <c r="RE69" s="21" t="str">
        <f t="shared" si="414"/>
        <v/>
      </c>
      <c r="RF69" s="21" t="str">
        <f t="shared" si="415"/>
        <v/>
      </c>
      <c r="RG69" s="21" t="str">
        <f t="shared" si="416"/>
        <v/>
      </c>
      <c r="RH69" s="21" t="str">
        <f t="shared" si="417"/>
        <v/>
      </c>
      <c r="RI69" s="21" t="str">
        <f t="shared" si="418"/>
        <v/>
      </c>
      <c r="RJ69" s="21" t="str">
        <f t="shared" si="419"/>
        <v/>
      </c>
      <c r="RK69" s="21" t="str">
        <f t="shared" si="420"/>
        <v/>
      </c>
      <c r="RL69" s="21" t="str">
        <f t="shared" si="421"/>
        <v>ADECUADO PARA EDAD GESTACIONAL</v>
      </c>
      <c r="RM69" s="21" t="str">
        <f t="shared" si="422"/>
        <v/>
      </c>
      <c r="RN69" s="21" t="str">
        <f t="shared" si="423"/>
        <v/>
      </c>
      <c r="RO69" s="21" t="str">
        <f t="shared" si="424"/>
        <v/>
      </c>
      <c r="RP69" s="21" t="str">
        <f t="shared" si="425"/>
        <v/>
      </c>
      <c r="RQ69" s="21" t="str">
        <f t="shared" si="426"/>
        <v/>
      </c>
      <c r="RR69" s="21" t="str">
        <f t="shared" si="427"/>
        <v/>
      </c>
      <c r="RS69" s="21" t="str">
        <f t="shared" si="428"/>
        <v/>
      </c>
      <c r="RT69" s="21" t="str">
        <f t="shared" si="429"/>
        <v/>
      </c>
      <c r="RU69" s="21" t="str">
        <f t="shared" si="430"/>
        <v/>
      </c>
      <c r="RV69" s="21">
        <f t="shared" si="431"/>
        <v>7.1428571428571432</v>
      </c>
      <c r="RW69" s="284">
        <f>IF(OR(Tabla1[[#This Row],[FUM FORMULA CONFIABLE]]="",Tabla1[[#This Row],[FUM FORMULA CONFIABLE]]="SD"),"",IF(Tabla1[[#This Row],[FUM FORMULA CONFIABLE]]="CORREGIDA",Tabla1[[#This Row],[FUM X ECO 1]],Tabla1[[#This Row],[FUM x AMENORREA]]))</f>
        <v>44860</v>
      </c>
      <c r="RX69" s="21">
        <f>IF(AND(Tabla1[[#This Row],[FUM X ECO 1]]="",Tabla1[[#This Row],[FUM x AMENORREA]]=""),"",IF(AND(Tabla1[[#This Row],[FUM X ECO 1]]="",Tabla1[[#This Row],[FUM x AMENORREA]]&lt;&gt;""),"X",SUM(Tabla1[[#This Row],[FUM X ECO 1]]-Tabla1[[#This Row],[FUM x AMENORREA]])))</f>
        <v>0.59999999999854481</v>
      </c>
      <c r="RY69" s="21">
        <f t="shared" si="433"/>
        <v>0</v>
      </c>
    </row>
    <row r="70" spans="1:493" ht="45" customHeight="1" x14ac:dyDescent="0.25">
      <c r="A70" s="109"/>
      <c r="B70" s="43" t="s">
        <v>946</v>
      </c>
      <c r="C70" s="43" t="s">
        <v>845</v>
      </c>
      <c r="D70" s="124" t="s">
        <v>846</v>
      </c>
      <c r="E70" s="43" t="s">
        <v>1211</v>
      </c>
      <c r="F70" s="43" t="s">
        <v>1170</v>
      </c>
      <c r="G70" s="43" t="s">
        <v>1212</v>
      </c>
      <c r="H70" s="43"/>
      <c r="I70" s="109" t="s">
        <v>851</v>
      </c>
      <c r="J70" s="110">
        <v>1059607085</v>
      </c>
      <c r="K70" s="43" t="s">
        <v>852</v>
      </c>
      <c r="L70" s="175" t="s">
        <v>853</v>
      </c>
      <c r="M70" s="22">
        <v>36331</v>
      </c>
      <c r="N70" s="213">
        <f t="shared" ca="1" si="252"/>
        <v>24.389041095890413</v>
      </c>
      <c r="O70" s="22">
        <v>44916</v>
      </c>
      <c r="P70" s="214" t="str">
        <f t="shared" si="253"/>
        <v>SI</v>
      </c>
      <c r="Q70" s="26" t="s">
        <v>855</v>
      </c>
      <c r="R70" s="22">
        <v>44916</v>
      </c>
      <c r="S70" s="21" t="s">
        <v>856</v>
      </c>
      <c r="T70" s="24" t="s">
        <v>690</v>
      </c>
      <c r="U70" s="21" t="s">
        <v>857</v>
      </c>
      <c r="V70" s="21" t="s">
        <v>858</v>
      </c>
      <c r="W70" s="21" t="s">
        <v>955</v>
      </c>
      <c r="X70" s="21" t="s">
        <v>955</v>
      </c>
      <c r="Y70" s="21" t="s">
        <v>859</v>
      </c>
      <c r="Z70" s="21">
        <v>3213105966</v>
      </c>
      <c r="AA70" s="21" t="s">
        <v>860</v>
      </c>
      <c r="AB70" s="27" t="s">
        <v>861</v>
      </c>
      <c r="AC70" s="26" t="s">
        <v>897</v>
      </c>
      <c r="AD70" s="38" t="s">
        <v>846</v>
      </c>
      <c r="AE70" s="26" t="s">
        <v>854</v>
      </c>
      <c r="AF70" s="26" t="s">
        <v>854</v>
      </c>
      <c r="AG70" s="23" t="s">
        <v>864</v>
      </c>
      <c r="AH70" s="23" t="s">
        <v>864</v>
      </c>
      <c r="AI70" s="24" t="s">
        <v>863</v>
      </c>
      <c r="AJ70" s="23" t="s">
        <v>864</v>
      </c>
      <c r="AK70" s="220" t="str">
        <f>IF(AND(AD70="",AE70="",AF70="",AG70="",AH70="",AI70="",AJ70=""),"",IF(OR(Tabla1[[#This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EVALUACIÓN",IF(AND(O70="",R70=""),"",IF(AND(OR(O70&gt;0,R70&gt;0),NG70&gt;=0,NG70&lt;2),"SIN RIESGO",IF(AND(OR(O70&gt;0,R70&gt;0),NG70&gt;=2),"CON RIESGO","ASD")))))</f>
        <v>SIN RIESGO</v>
      </c>
      <c r="AL70" s="23" t="s">
        <v>864</v>
      </c>
      <c r="AM70" s="26" t="s">
        <v>864</v>
      </c>
      <c r="AN70" s="26" t="s">
        <v>864</v>
      </c>
      <c r="AO70" s="26" t="s">
        <v>864</v>
      </c>
      <c r="AP70" s="26" t="s">
        <v>864</v>
      </c>
      <c r="AQ70" s="26" t="s">
        <v>864</v>
      </c>
      <c r="AR70" s="26" t="s">
        <v>864</v>
      </c>
      <c r="AS70" s="21">
        <v>2</v>
      </c>
      <c r="AT70" s="21">
        <v>1</v>
      </c>
      <c r="AU70" s="21">
        <v>0</v>
      </c>
      <c r="AV70" s="26" t="s">
        <v>864</v>
      </c>
      <c r="AW70" s="21">
        <v>0</v>
      </c>
      <c r="AX70" s="26" t="s">
        <v>864</v>
      </c>
      <c r="AY70" s="26" t="s">
        <v>864</v>
      </c>
      <c r="AZ70" s="26" t="s">
        <v>864</v>
      </c>
      <c r="BA70" s="26" t="s">
        <v>864</v>
      </c>
      <c r="BB70" s="26" t="s">
        <v>864</v>
      </c>
      <c r="BC70" s="26" t="s">
        <v>864</v>
      </c>
      <c r="BD70" s="26" t="s">
        <v>864</v>
      </c>
      <c r="BE70" s="26" t="s">
        <v>864</v>
      </c>
      <c r="BF70" s="26" t="s">
        <v>864</v>
      </c>
      <c r="BG70" s="26" t="s">
        <v>864</v>
      </c>
      <c r="BH70" s="26" t="s">
        <v>864</v>
      </c>
      <c r="BI70" s="26" t="s">
        <v>864</v>
      </c>
      <c r="BJ70" s="26"/>
      <c r="BK70" s="26"/>
      <c r="BL70" s="26" t="s">
        <v>864</v>
      </c>
      <c r="BM70" s="26" t="s">
        <v>864</v>
      </c>
      <c r="BN70" s="22">
        <v>43918</v>
      </c>
      <c r="BO70" s="22">
        <v>44792</v>
      </c>
      <c r="BP70" s="21" t="s">
        <v>854</v>
      </c>
      <c r="BQ70" s="222">
        <f t="shared" si="254"/>
        <v>29.133333333333333</v>
      </c>
      <c r="BR70" s="223">
        <f t="shared" si="255"/>
        <v>44792</v>
      </c>
      <c r="BS70" s="224">
        <f t="shared" si="256"/>
        <v>17.714285714285715</v>
      </c>
      <c r="BT70" s="216" t="str">
        <f t="shared" si="257"/>
        <v>II TRIM</v>
      </c>
      <c r="BU70" s="214" t="str">
        <f t="shared" ca="1" si="258"/>
        <v/>
      </c>
      <c r="BV70" s="25"/>
      <c r="BW70" s="22">
        <v>44918</v>
      </c>
      <c r="BX70" s="28">
        <v>18</v>
      </c>
      <c r="BY70" s="28"/>
      <c r="BZ70" s="22"/>
      <c r="CA70" s="21"/>
      <c r="CB70" s="26" t="s">
        <v>864</v>
      </c>
      <c r="CC70" s="26" t="s">
        <v>864</v>
      </c>
      <c r="CD70" s="26"/>
      <c r="CE70" s="26" t="s">
        <v>864</v>
      </c>
      <c r="CF70" s="22" t="s">
        <v>1517</v>
      </c>
      <c r="CG70" s="21">
        <v>1.53</v>
      </c>
      <c r="CH70" s="21">
        <v>70</v>
      </c>
      <c r="CI70" s="214">
        <f t="shared" si="259"/>
        <v>29.903028749626213</v>
      </c>
      <c r="CJ70" s="225" t="e">
        <f>IF(AND(CI70&lt;10,CH70="SD"),"SIN DATO PESO PREGESTACION O I TRIM",IF(AND(OR(R70&gt;0,O70&gt;0),CI70="X"),"INGRESAR DATO DE PESO",IF(CI70="SD","INGRESAR DATO DE TALLA Y PESO",IF(AND(OR(Tabla1[[#This Row],[MOMENTO EN QUE SE REALIZA EL PESO AL INGRESO A CPN]]="PREGESTACIÓN",NZ70="Menor"),CI70&lt;18.5),"BAJO PESO",IF(AND(OR(Tabla1[[#This Row],[MOMENTO EN QUE SE REALIZA EL PESO AL INGRESO A CPN]]="PREGESTACIÓN",NZ70="Menor"),CI70&lt;25),"NORMAL",IF(AND(OR(Tabla1[[#This Row],[MOMENTO EN QUE SE REALIZA EL PESO AL INGRESO A CPN]]="PREGESTACIÓN",NZ70="Menor"),CI70&lt;30),"SOBREPESO",IF(AND(OR(Tabla1[[#This Row],[MOMENTO EN QUE SE REALIZA EL PESO AL INGRESO A CPN]]="PREGESTACIÓN",NZ70="Menor"),CI70&gt;=30,CI70&lt;50),"OBESIDAD",IF(AND(BS70&gt;0,Tabla1[[#This Row],[MOMENTO EN QUE SE REALIZA EL PESO AL INGRESO A CPN]]="GESTACIÓN"),HLOOKUP(NZ70,$OA$2:PH70,NY70),""))))))))</f>
        <v>#REF!</v>
      </c>
      <c r="CK70" s="212">
        <f t="shared" si="260"/>
        <v>45065</v>
      </c>
      <c r="CL70" s="21">
        <v>76.099999999999994</v>
      </c>
      <c r="CM70" s="214">
        <f t="shared" si="261"/>
        <v>32.50886411209364</v>
      </c>
      <c r="CN70" s="216">
        <f t="shared" si="262"/>
        <v>39</v>
      </c>
      <c r="CO70" s="216" t="e">
        <f>IF(PI70="","",IF(PI70&gt;0,HLOOKUP(PI70,$PJ$2:QQ70,NY70),""))</f>
        <v>#REF!</v>
      </c>
      <c r="CP70" s="21"/>
      <c r="CQ70" s="216" t="e">
        <f>IF(QR70="Menor","NO APLICA-MENOR 13 SEM",IF(AND(CC70="SI",CN70&gt;23),"NO APLICA- GEMELAR",IF(QR70="","",IF(QR70&gt;0,HLOOKUP(QR70,$QS$2:RU70,NY70),""))))</f>
        <v>#REF!</v>
      </c>
      <c r="CR70" s="21">
        <v>110</v>
      </c>
      <c r="CS70" s="21">
        <v>80</v>
      </c>
      <c r="CT70" s="217" t="str">
        <f>IF(R70="","",IF(AND(BS70&gt;1,BS70&lt;12,Tabla1[[#This Row],[T.A. SISTOLICA - ANTES DE SEMANA 12]]="",Tabla1[[#This Row],[T.A. DIASTOLICA - ANTES DE SEMANA 12]]=""),"REGISTRE DATO TA ANTES SEMANA 12",IF(AND(BS70&gt;11,BS70&lt;43,Tabla1[[#This Row],[T.A. SISTOLICA - ANTES DE SEMANA 12]]="",Tabla1[[#This Row],[T.A. DIASTOLICA - ANTES DE SEMANA 12]]=""),"NO APLICA REGISTRO TA-INGRESO TARDIO",IF(AND(OR(O70&gt;0,R70&gt;0),OR(CR70&gt;=140,CS70&gt;=90)),"DEFINIR ESTADIO HTA",IF(AND(OR(O70&gt;0,R70&gt;0),AND(CR70&gt;120,CR70&lt;=139)),"PRE HTA SEGUIMIENTO",IF(AND(OR(O70&gt;0,R70&gt;0),AND(CS70&gt;80,CS70&lt;=89)),"PRE HTA SEGUIMIENTO",IF(AND(OR(O70&gt;0,R70&gt;0),AND(CR70&gt;=80,CR70&lt;=120)),"APARENTEMENTE NORMAL",IF(AND(OR(O70&gt;0,R70&gt;0),AND(CS70&gt;=50,CS70&lt;=80)),"APARENTEMENTE NORMAL",IF(AND(OR(O70&gt;0,R70&gt;0),AND(CR70&gt;1,CR70&lt;=70),AND(CS70&gt;1,CS70&lt;=40)),"HIPOTENSIÓN","")))))))))</f>
        <v>APARENTEMENTE NORMAL</v>
      </c>
      <c r="CU70" s="21">
        <v>100</v>
      </c>
      <c r="CV70" s="21">
        <v>70</v>
      </c>
      <c r="CW70" s="217" t="str">
        <f ca="1">IF(R70="","",IF(AND(CN70&gt;19,CN70&lt;27,Tabla1[[#This Row],[T.A. SISTOLICA (Entre semana 20 y 26)]]="",Tabla1[[#This Row],[T.A. DIATOLICA (Entre semana 20 y 26)]]=""),"ACUDE A CONTROL SEM 20 A 26 REGISTRE TA AHORA",IF(AND(BS70&gt;1,BS70&lt;27,BU70&gt;19,Tabla1[[#This Row],[T.A. SISTOLICA (Entre semana 20 y 26)]]="",Tabla1[[#This Row],[T.A. DIATOLICA (Entre semana 20 y 26)]]=""),"COMPLETE REGISTRO TA CONTROL SEM 20 A26 ",IF(AND(BS70&gt;26,BS70&lt;43,Tabla1[[#This Row],[T.A. SISTOLICA (Entre semana 20 y 26)]]="",Tabla1[[#This Row],[T.A. DIATOLICA (Entre semana 20 y 26)]]=""),"NO APLICA REGISTRO TA-INGRESO TARDIO",IF(AND(OR(O70&gt;0,R70&gt;0),OR(CU70&gt;=140,CV70&gt;=90)),"ALTO RIESGO PREECLAMPSIA,DEFINIR ESTADIO HTA",IF(AND(OR(O70&gt;0,R70&gt;0),AND(CU70&gt;120,CU70&lt;=139)),"PRE HTA SEGUIMIENTO,RIESGO HIPERTENSION INDUCIDA POR EL EMBARAZO",IF(AND(OR(O70&gt;0,R70&gt;0),AND(CV70&gt;80,CV70&lt;=89)),"PRE HTA SEGUIMIENTO, RIESGO HIPERTENSION INDUCIDA POR EL EMBARAZO",IF(AND(OR(O70&lt;&gt;"",R70&lt;&gt;""),CS70&lt;&gt;"",CV70&lt;&gt;"",CS70&lt;=CV70),"VIGILAR CIFRAS PRESION ARTERIAL",IF(AND(OR(O70&gt;0,R70&gt;0),AND(CU70&gt;120,CU70&lt;=139)),"PRE HTA SEGUIMIENTO",IF(AND(OR(O70&gt;0,R70&gt;0),AND(CU70&gt;1,CU70&lt;=70),AND(CV70&gt;1,CV70&lt;=40)),"HIPOTENSIÓN",IF(AND(OR(O70&lt;&gt;"",R70&lt;&gt;""),CS70&lt;&gt;"",CV70&lt;&gt;"",CS70&gt;CV70),"APARENTEMENTE NORMAL",IF(AND(OR(O70&gt;0,R70&gt;0),AND(CU70&gt;=80,CU70&lt;=120)),"APARENTEMENTE NORMAL",IF(AND(OR(O70&gt;0,R70&gt;0),AND(CV70&gt;=50,CV70&lt;=80)),"APARENTEMENTE NORMAL","")))))))))))))</f>
        <v>APARENTEMENTE NORMAL</v>
      </c>
      <c r="CX70" s="21"/>
      <c r="CY70" s="21"/>
      <c r="CZ70" s="216" t="str">
        <f t="shared" si="263"/>
        <v/>
      </c>
      <c r="DA70" s="21">
        <v>90</v>
      </c>
      <c r="DB70" s="21">
        <v>60</v>
      </c>
      <c r="DC70" s="217" t="str">
        <f t="shared" si="264"/>
        <v>APARENTEMENTE NORMAL</v>
      </c>
      <c r="DD70" s="22">
        <v>44916</v>
      </c>
      <c r="DE70" s="22">
        <v>44916</v>
      </c>
      <c r="DF70" s="22">
        <v>44957</v>
      </c>
      <c r="DG70" s="22">
        <v>44988</v>
      </c>
      <c r="DH70" s="22">
        <v>45033</v>
      </c>
      <c r="DI70" s="22">
        <v>45065</v>
      </c>
      <c r="DJ70" s="22"/>
      <c r="DK70" s="22"/>
      <c r="DL70" s="22"/>
      <c r="DM70" s="22"/>
      <c r="DN70" s="22"/>
      <c r="DO70" s="22"/>
      <c r="DP70" s="22"/>
      <c r="DQ70" s="22"/>
      <c r="DR70" s="28">
        <v>2</v>
      </c>
      <c r="DS70" s="22"/>
      <c r="DT70" s="22"/>
      <c r="DU70" s="216" t="str">
        <f t="shared" ca="1" si="265"/>
        <v>SALE SIN PLAN DE PARTO</v>
      </c>
      <c r="DV70" s="226" t="str">
        <f t="shared" si="197"/>
        <v>SALIO PROGRAMA</v>
      </c>
      <c r="DW7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0" s="216" t="str">
        <f t="shared" ca="1" si="266"/>
        <v/>
      </c>
      <c r="DY70" s="212">
        <f>IF(R70="","",IF(R70&gt;0,MAX(Tabla1[[#This Row],[FECHA C2]:[FECHA C13]],Tabla1[[#This Row],[FECHA CONSULTA PRIMERA VEZ PROGRAMA CPN ]])))</f>
        <v>45065</v>
      </c>
      <c r="DZ70" s="216">
        <f t="shared" si="267"/>
        <v>39</v>
      </c>
      <c r="EA70" s="222">
        <f>IF(R70&gt;0,SUM(COUNTA(DF70:DQ70)+COUNTA(Tabla1[[#This Row],[FECHA CONSULTA PRIMERA VEZ PROGRAMA CPN ]])),"")</f>
        <v>5</v>
      </c>
      <c r="EB70" s="222" t="str">
        <f t="shared" si="268"/>
        <v>SI</v>
      </c>
      <c r="EC70" s="214">
        <f t="shared" si="269"/>
        <v>7</v>
      </c>
      <c r="ED70" s="227">
        <f t="shared" si="270"/>
        <v>0.7142857142857143</v>
      </c>
      <c r="EE70" s="22">
        <v>44916</v>
      </c>
      <c r="EF70" s="22">
        <v>44916</v>
      </c>
      <c r="EG70" s="22">
        <v>44916</v>
      </c>
      <c r="EH70" s="22"/>
      <c r="EI70" s="22">
        <v>44916</v>
      </c>
      <c r="EJ70" s="22"/>
      <c r="EK70" s="22"/>
      <c r="EL70" s="21"/>
      <c r="EM70" s="21">
        <v>12.6</v>
      </c>
      <c r="EN70" s="22">
        <v>44916</v>
      </c>
      <c r="EO70" s="222">
        <f t="shared" si="271"/>
        <v>17.714285714285715</v>
      </c>
      <c r="EP70" s="214" t="str">
        <f t="shared" si="272"/>
        <v>NORMAL- SUMINISTRAR SULFATO FERROSO</v>
      </c>
      <c r="EQ70" s="216" t="str">
        <f t="shared" si="273"/>
        <v>II TRIM</v>
      </c>
      <c r="ER70" s="24"/>
      <c r="ES70" s="22"/>
      <c r="ET70" s="29" t="str">
        <f t="shared" ca="1" si="274"/>
        <v>SALE SIN TAMIZAJE HEMOGLOBINA SEM 28</v>
      </c>
      <c r="EU70" s="25" t="str">
        <f t="shared" si="275"/>
        <v/>
      </c>
      <c r="EV70" s="24" t="s">
        <v>1510</v>
      </c>
      <c r="EW70" s="24">
        <v>44916</v>
      </c>
      <c r="EX70" s="22"/>
      <c r="EY70" s="29">
        <f t="shared" si="248"/>
        <v>17.714285714285715</v>
      </c>
      <c r="EZ70" s="25" t="str">
        <f t="shared" si="249"/>
        <v>SIN RIESGO DE ISOINMUNIZACIÓN</v>
      </c>
      <c r="FA70" s="21">
        <v>67</v>
      </c>
      <c r="FB70" s="22">
        <v>44916</v>
      </c>
      <c r="FC70" s="29">
        <f t="shared" si="276"/>
        <v>17.714285714285715</v>
      </c>
      <c r="FD70" s="29">
        <v>77</v>
      </c>
      <c r="FE70" s="29">
        <v>124</v>
      </c>
      <c r="FF70" s="29">
        <v>98</v>
      </c>
      <c r="FG70" s="21" t="str">
        <f t="shared" ca="1" si="277"/>
        <v>NORMAL</v>
      </c>
      <c r="FH70" s="31">
        <v>44988</v>
      </c>
      <c r="FI70" s="29">
        <f t="shared" si="278"/>
        <v>28</v>
      </c>
      <c r="FJ70" s="22"/>
      <c r="FK70" s="22"/>
      <c r="FL70" s="29" t="str">
        <f t="shared" ca="1" si="279"/>
        <v>NO APLICA-INGRESO TARDIO</v>
      </c>
      <c r="FM70" s="22" t="s">
        <v>867</v>
      </c>
      <c r="FN70" s="32">
        <v>44916</v>
      </c>
      <c r="FO70" s="29">
        <f ca="1">IF(AND(BT70="ERROR FUM O INGRESO",FN70&gt;0),"ERROR FUM O INGRESO",IF(AND(FN70="",R70="",O70=""),"",IF(AND(FN70&lt;&gt;"",FN70&lt;RW70), "INCOHERENCIA FUM Y FECHA TAMIZAJE",IF(AND(FN70="",DV70="ACTIVA INGRESO A CPN",AND(BU70&gt;0,BU70&lt;13)),"EN ESPERA-ESTÁ I TRIM", IF(AND(FN70="",AND(BS70&gt;0, BS70&lt;13),OR(O70&gt;0,R70&gt;0),AND(IP70&gt;0,IP70&lt;13)),"NO APLICA-SALIO DEL PROGRAMA I TRIM",IF(AND(FN70&lt;&gt;"",AND(SUM((FN70-RW70)/7)&gt;0,SUM((FN70-RW70)/7)&lt;13)),"REGISTRAR EN I TRIMESTRE",IF(AND(FN70&lt;&gt;"",AND(SUM((FN70-RW70)/7)&gt;=27,SUM((FN70-RW70)/7)&lt;44)),"REGISTRAR EN III TRIMESTRE",IF(AND(FN70="",OR(O70&gt;0,R70&gt;0),AND(BU70&gt;=13,BU70&lt;24),DV70="ACTIVA INGRESO A CPN"),"EN RANGO PARA TOMAR EXAMEN",IF(AND(FN70="",OR(O70&gt;0,R70&gt;0),AND(BU70&gt;=25,BU70&lt;27),DV70="ACTIVA INGRESO A CPN"),"TOMA INMEDIATA DE TAMIZAJE",IF(AND(FN70="",OR(O70&gt;0,R70&gt;0),AND(BS70&gt;=27,BS70&lt;44)),"NO APLICA-INGRESO TARDIO",IF(AND(FN70="",BS70&lt;27,OR(AND(IP70&gt;12,IP70&lt;44),BU70&gt;12)),"PIERDE TOMA DE TAMIZAJE",IF(FN70&gt;0,SUM(FN70-RW70)/7,""))))))))))))</f>
        <v>17.714285714285715</v>
      </c>
      <c r="FP70" s="22" t="s">
        <v>867</v>
      </c>
      <c r="FQ70" s="32">
        <v>45044</v>
      </c>
      <c r="FR70" s="29">
        <f ca="1">IF(AND(BT70="ERROR FUM O INGRESO",FQ70&gt;0),"ERROR FUM O INGRESO",IF(AND(FQ70="",R70="",O70=""),"",IF(AND(FQ70&lt;&gt;"",FQ70&lt;RW70), "INCOHERENCIA FUM Y FECHA TAMIZAJE",IF(AND(FQ70="",DV70="ACTIVA INGRESO A CPN",AND(BU70&gt;0,BU70&lt;27)),"EN ESPERA-ESTÁ I TRIM O II TRIM", IF(AND(FQ70="",AND(BS70&gt;0, BS70&lt;27),OR(O70&gt;0,R70&gt;0),AND(IP70&gt;0,IP70&lt;27)),"NO APLICA-SALIO DEL PROGRAMA I O II TRIM",IF(AND(FQ70&lt;&gt;"",AND(SUM((FQ70-RW70)/7)&gt;0,SUM((FQ70-RW70)/7)&lt;13)),"REGISTAR EN I TRIMESTRE",IF(AND(FQ70&lt;&gt;"",AND(SUM((FQ70-RW70)/7)&gt;=13,SUM((FQ70-RW70)/7)&lt;27)),"REGISTRAR EN II TRIMESTRE",IF(AND(FQ70="",OR(O70&gt;0,R70&gt;0),AND(BU70&gt;=28,BU70&lt;35),DV70="ACTIVA INGRESO A CPN"),"EN RANGO PARA TOMAR EXAMEN",IF(AND(FQ70="",OR(O70&gt;0,R70&gt;0),BU70&gt;=35, DV70="ACTIVA INGRESO A CPN"),"TOMA INMEDIATA DE TAMIZAJE",IF(AND(FQ70="",DV70= "SALE SIN INGRESO CPN"),"NO APLICA-SIN CPN",IF(AND(FQ70="",AND(IP70&gt;26,IP70&lt;43)),"PIERDE TOMA DE TAMIZAJE",IF(FQ70&gt;0,SUM(FQ70-RW70)/7,""))))))))))))</f>
        <v>36</v>
      </c>
      <c r="FS70" s="22"/>
      <c r="FT70" s="32"/>
      <c r="FU70" s="29" t="str">
        <f>IF(AND(FJ70="",FM70="",FP70="",FS70=""),"",IF(OR(OR(Tabla1[[#This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0" s="28"/>
      <c r="FW70" s="22"/>
      <c r="FX70" s="29" t="str">
        <f t="shared" si="280"/>
        <v>TOMAR EXAMEN</v>
      </c>
      <c r="FY70" s="22">
        <v>44916</v>
      </c>
      <c r="FZ70" s="22">
        <v>44916</v>
      </c>
      <c r="GA70" s="29" t="str">
        <f t="shared" si="250"/>
        <v>REGISTRAR EN II TRIMESTRE</v>
      </c>
      <c r="GB70" s="22" t="s">
        <v>868</v>
      </c>
      <c r="GC70" s="22">
        <v>44916</v>
      </c>
      <c r="GD70" s="29">
        <f t="shared" ca="1" si="281"/>
        <v>17.714285714285715</v>
      </c>
      <c r="GE70" s="22"/>
      <c r="GF70" s="22"/>
      <c r="GG70" s="29" t="str">
        <f t="shared" ca="1" si="282"/>
        <v>PIERDE TOMA DE TAMIZAJE</v>
      </c>
      <c r="GH70" s="22"/>
      <c r="GI70" s="29"/>
      <c r="GJ70" s="22"/>
      <c r="GK70" s="22"/>
      <c r="GL70" s="22"/>
      <c r="GM70" s="22"/>
      <c r="GN70" s="28" t="s">
        <v>869</v>
      </c>
      <c r="GO70" s="22">
        <v>44916</v>
      </c>
      <c r="GP70" s="29">
        <f t="shared" si="283"/>
        <v>17.714285714285715</v>
      </c>
      <c r="GQ70" s="28" t="s">
        <v>869</v>
      </c>
      <c r="GR70" s="28" t="s">
        <v>869</v>
      </c>
      <c r="GS70" s="22" t="str">
        <f t="shared" si="284"/>
        <v>CONTROL Igm</v>
      </c>
      <c r="GT70" s="22">
        <v>44916</v>
      </c>
      <c r="GU70" s="29">
        <f t="shared" si="285"/>
        <v>17.714285714285715</v>
      </c>
      <c r="GV70" s="21" t="str">
        <f t="shared" si="286"/>
        <v>II TRIM</v>
      </c>
      <c r="GW70" s="28" t="s">
        <v>869</v>
      </c>
      <c r="GX70" s="30"/>
      <c r="GY70" s="21"/>
      <c r="GZ70" s="21"/>
      <c r="HA70" s="21"/>
      <c r="HB70" s="21"/>
      <c r="HC70" s="21"/>
      <c r="HD70" s="21"/>
      <c r="HE70" s="21"/>
      <c r="HF70" s="22"/>
      <c r="HG70" s="22" t="str">
        <f>IF(OR(O70&gt;0,R70&gt;0),CONCATENATE(IF(Tabla1[[#This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0" s="22" t="e">
        <f t="shared" si="287"/>
        <v>#REF!</v>
      </c>
      <c r="HI70" s="22" t="e">
        <f t="shared" ca="1" si="288"/>
        <v>#REF!</v>
      </c>
      <c r="HJ70" s="21"/>
      <c r="HK70" s="21" t="str">
        <f t="shared" si="289"/>
        <v>SIN ANTECEDENTES DE RIESGO</v>
      </c>
      <c r="HL70" s="24" t="str">
        <f t="shared" si="290"/>
        <v>APARENTEMENTE NORMAL</v>
      </c>
      <c r="HM70" s="21" t="str">
        <f t="shared" ca="1" si="291"/>
        <v/>
      </c>
      <c r="HN70" s="30" t="str">
        <f t="shared" si="207"/>
        <v>SALIO PROGRAMA</v>
      </c>
      <c r="HO70" s="21"/>
      <c r="HP70" s="21"/>
      <c r="HQ70" s="21">
        <v>44916</v>
      </c>
      <c r="HR70" s="21" t="str">
        <f>IF(R70="","",IF(Tabla1[[#This Row],[ALARMA FACTORES DE RIESGO COMPLICACIONES HIPERTENSIVAS3]]="SIN ANTECEDENTES DE RIESGO","No Aplica para suministro de ASA",IF(AND(Tabla1[[#This Row],[FECHA INICIO DE SUMINISTRO DE ASA]]&gt;0,RV70&lt;12),"Inicia ASA ANTES de Sem 12",IF(AND(RV70&gt;11,RV70&lt;17,OR(HK70="RIESGO ALTO DE COMPLICACIONES HIPERTENSIVAS VER MANEJO GUIA SUMINISTRO ASA Y CALCIO",HK70="RIESGO MODERADO (2 O MAS CRITERIOS) VER MANEJO GUIA SUMINISTRO ASA Y CALCIO")),"Inicio oportuno de ASA",IF(AND(RV70&gt;12,OR(HK70="RIESGO ALTO DE COMPLICACIONES HIPERTENSIVAS VER MANEJO GUIA SUMINISTRO ASA Y CALCIO",HK70="RIESGO MODERADO (2 O MAS CRITERIOS) VER MANEJO GUIA SUMINISTRO ASA Y CALCIO")),"Inicio no oportuno mayor a 16 semanas",IF(AND(BU70&lt;12,OR(HK70="RIESGO ALTO DE COMPLICACIONES HIPERTENSIVAS VER MANEJO GUIA SUMINISTRO ASA Y CALCIO",HK70="RIESGO MODERADO (2 O MAS CRITERIOS) VER MANEJO GUIA SUMINISTRO ASA Y CALCIO")),"Pendiente Inicio de ASA a la semana 12",IF(AND(BU70&gt;11,BU70&lt;17,OR(HK70="RIESGO ALTO DE COMPLICACIONES HIPERTENSIVAS VER MANEJO GUIA SUMINISTRO ASA Y CALCIO",HK70="RIESGO MODERADO (2 O MAS CRITERIOS) VER MANEJO GUIA SUMINISTRO ASA Y CALCIO")),"Iniciar de inmediato ASA",IF(AND(BU70&gt;16,OR(HK70="RIESGO ALTO DE COMPLICACIONES HIPERTENSIVAS VER MANEJO GUIA SUMINISTRO ASA Y CALCIO",HK70="RIESGO MODERADO (2 O MAS CRITERIOS) VER MANEJO GUIA SUMINISTRO ASA Y CALCIO")),"Pierde Oportunidad, Inicio tardío de ASA","XXXXX"))))))))</f>
        <v>No Aplica para suministro de ASA</v>
      </c>
      <c r="HS70" s="22">
        <v>44916</v>
      </c>
      <c r="HT70" s="22" t="s">
        <v>870</v>
      </c>
      <c r="HU70" s="22"/>
      <c r="HV70" s="22"/>
      <c r="HW70" s="22">
        <v>44916</v>
      </c>
      <c r="HX70" s="22" t="s">
        <v>870</v>
      </c>
      <c r="HY70" s="22">
        <v>44916</v>
      </c>
      <c r="HZ70" s="28">
        <f t="shared" si="292"/>
        <v>17.714285714285715</v>
      </c>
      <c r="IA70" s="26" t="s">
        <v>864</v>
      </c>
      <c r="IB70" s="26"/>
      <c r="IC70" s="111"/>
      <c r="ID70" s="22"/>
      <c r="IE70" s="22" t="str">
        <f t="shared" ca="1" si="293"/>
        <v>SALE SIN VACUNA</v>
      </c>
      <c r="IF70" s="22"/>
      <c r="IG70" s="22">
        <f t="shared" si="294"/>
        <v>45072</v>
      </c>
      <c r="IH70" s="29">
        <f t="shared" ca="1" si="295"/>
        <v>-161</v>
      </c>
      <c r="II70" s="22" t="str">
        <f t="shared" ca="1" si="296"/>
        <v>POSIBLEMENTE NACIO</v>
      </c>
      <c r="IJ70" s="22"/>
      <c r="IK70" s="21" t="s">
        <v>898</v>
      </c>
      <c r="IL70" s="21"/>
      <c r="IM70" s="34"/>
      <c r="IN70" s="349">
        <v>45083</v>
      </c>
      <c r="IO70" s="21" t="s">
        <v>1640</v>
      </c>
      <c r="IP70" s="29">
        <f t="shared" si="297"/>
        <v>41.571428571428569</v>
      </c>
      <c r="IQ70" s="110"/>
      <c r="IR70" s="21" t="s">
        <v>879</v>
      </c>
      <c r="IS70" s="21" t="s">
        <v>1641</v>
      </c>
      <c r="IT70" s="21" t="s">
        <v>1642</v>
      </c>
      <c r="IU70" s="21"/>
      <c r="IV70" s="21"/>
      <c r="IW70" s="21"/>
      <c r="IX70" s="21"/>
      <c r="IY70" s="21"/>
      <c r="IZ70" s="21"/>
      <c r="JA70" s="21"/>
      <c r="JB70" s="30">
        <v>1</v>
      </c>
      <c r="JC70" s="21" t="s">
        <v>1647</v>
      </c>
      <c r="JD70" s="36">
        <v>3490</v>
      </c>
      <c r="JE70" s="21" t="str">
        <f t="shared" si="298"/>
        <v>PESO ADECUADO EDAD GESTACIONAL</v>
      </c>
      <c r="JF70" s="30"/>
      <c r="JG70" s="21"/>
      <c r="JH70" s="21"/>
      <c r="JI70" s="21"/>
      <c r="JJ70" s="30"/>
      <c r="JK70" s="22"/>
      <c r="JL70" s="22"/>
      <c r="JM70" s="21"/>
      <c r="JN70" s="36"/>
      <c r="JO70" s="21" t="str">
        <f t="shared" si="299"/>
        <v/>
      </c>
      <c r="JP70" s="22"/>
      <c r="JQ70" s="21"/>
      <c r="JR70" s="21"/>
      <c r="JS70" s="21"/>
      <c r="JT70" s="30"/>
      <c r="JU70" s="22"/>
      <c r="JV70" s="22"/>
      <c r="JW70" s="33"/>
      <c r="JX70" s="28" t="str">
        <f t="shared" si="300"/>
        <v>INASISTENTE</v>
      </c>
      <c r="JY70" s="33"/>
      <c r="JZ70" s="28" t="str">
        <f t="shared" si="301"/>
        <v>INASISTENTE</v>
      </c>
      <c r="KA70" s="21"/>
      <c r="KB70" s="21"/>
      <c r="KC70" s="21"/>
      <c r="KD70" s="37"/>
      <c r="KE70" s="28"/>
      <c r="KF70" s="28"/>
      <c r="KG70" s="28"/>
      <c r="KH70" s="39"/>
      <c r="KI70" s="39"/>
      <c r="KJ70" s="66"/>
      <c r="KK70" s="39"/>
      <c r="KL70" s="39"/>
      <c r="KM70" s="66"/>
      <c r="KN70" s="39"/>
      <c r="KO70" s="39"/>
      <c r="KP70" s="39"/>
      <c r="KQ70" s="39"/>
      <c r="KR70" s="39"/>
      <c r="KS70" s="39"/>
      <c r="KT70" s="39"/>
      <c r="KU70" s="38"/>
      <c r="KV70" s="38"/>
      <c r="KW70" s="38"/>
      <c r="KX70" s="38"/>
      <c r="KY70" s="38"/>
      <c r="KZ70" s="38"/>
      <c r="LA70" s="38"/>
      <c r="LB70" s="38"/>
      <c r="LC70" s="38"/>
      <c r="LD70" s="38"/>
      <c r="LE70" s="38"/>
      <c r="LF70" s="38"/>
      <c r="LG70" s="38"/>
      <c r="LH70" s="38"/>
      <c r="LI70" s="38"/>
      <c r="LJ70" s="38"/>
      <c r="LK70" s="38"/>
      <c r="LL70" s="38"/>
      <c r="LM70" s="38"/>
      <c r="LN70" s="38"/>
      <c r="LO70" s="38"/>
      <c r="LP70" s="38"/>
      <c r="LQ70" s="38"/>
      <c r="LR70" s="38"/>
      <c r="LS70" s="38"/>
      <c r="LT70" s="38"/>
      <c r="LU70" s="38"/>
      <c r="LV70" s="38"/>
      <c r="LW70" s="38"/>
      <c r="LX70" s="38"/>
      <c r="LY70" s="38"/>
      <c r="LZ70" s="38"/>
      <c r="MA70" s="38"/>
      <c r="MB70" s="38"/>
      <c r="MC70" s="38"/>
      <c r="MD70" s="38"/>
      <c r="ME70" s="38"/>
      <c r="MF70" s="38"/>
      <c r="MG70" s="38"/>
      <c r="MH70" s="43">
        <f t="shared" si="302"/>
        <v>0</v>
      </c>
      <c r="MI70" s="43" t="str">
        <f t="shared" si="303"/>
        <v/>
      </c>
      <c r="MJ70" s="43" t="str">
        <f t="shared" si="304"/>
        <v/>
      </c>
      <c r="MK70" s="43">
        <f t="shared" si="305"/>
        <v>0</v>
      </c>
      <c r="ML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0" s="43">
        <f t="shared" si="306"/>
        <v>17.714285714285715</v>
      </c>
      <c r="MN70" s="43">
        <f t="shared" si="307"/>
        <v>12</v>
      </c>
      <c r="MO70" s="43">
        <f t="shared" si="308"/>
        <v>2022</v>
      </c>
      <c r="MP70" s="43" t="str">
        <f t="shared" si="309"/>
        <v>IV TRIMESTRE AÑO</v>
      </c>
      <c r="MQ70" s="43">
        <f t="shared" si="310"/>
        <v>23.163053000438023</v>
      </c>
      <c r="MR70" s="43">
        <f t="shared" si="311"/>
        <v>0</v>
      </c>
      <c r="MS70" s="43" t="str">
        <f t="shared" si="312"/>
        <v xml:space="preserve"> DE 20 A 24 AÑOS</v>
      </c>
      <c r="MT70" s="43">
        <f t="shared" si="313"/>
        <v>0</v>
      </c>
      <c r="MU70" s="43">
        <f t="shared" si="314"/>
        <v>0</v>
      </c>
      <c r="MV70" s="43">
        <f t="shared" si="315"/>
        <v>0</v>
      </c>
      <c r="MW70" s="43">
        <f t="shared" si="316"/>
        <v>0</v>
      </c>
      <c r="MX70" s="43" t="str">
        <f t="shared" si="317"/>
        <v/>
      </c>
      <c r="MY70" s="43" t="str">
        <f t="shared" ca="1" si="229"/>
        <v/>
      </c>
      <c r="MZ70" s="43" t="str">
        <f t="shared" si="318"/>
        <v/>
      </c>
      <c r="NA70" s="43" t="str">
        <f t="shared" si="319"/>
        <v/>
      </c>
      <c r="NB70" s="43" t="str">
        <f t="shared" si="320"/>
        <v/>
      </c>
      <c r="NC70" s="43" t="str">
        <f t="shared" si="321"/>
        <v/>
      </c>
      <c r="ND70" s="43">
        <f t="shared" ca="1" si="322"/>
        <v>0</v>
      </c>
      <c r="NE70" s="43">
        <f>IF(OR(O70&gt;0,R70&gt;0),SUM(COUNTIF(Tabla1[[#This Row],[AÑOS AL INICIO5 CPN]],"&gt;=40"),COUNTIF(AS70,"0"),COUNTIF(AR70,"SI"),COUNTIF(CC70,"SI"),COUNTIF(BQ70,"&gt;119"),COUNTIF(CI70,"&gt;=35")),"")</f>
        <v>0</v>
      </c>
      <c r="NF70" s="43" t="str">
        <f t="shared" si="323"/>
        <v/>
      </c>
      <c r="NG70" s="43">
        <f t="shared" si="324"/>
        <v>0</v>
      </c>
      <c r="NH70" s="43">
        <f t="shared" si="325"/>
        <v>126</v>
      </c>
      <c r="NI7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CPN",P70="NO"),"Z",IF(AND(Tabla1[[#This Row],[CITA PROXIMO CONTROL]]="CITA MANUAL",Tabla1[[#This Row],[GESTANTES ACTUALES]]="ACTIVA INGRESO A CPN"),"W",IF(AND(Tabla1[[#This Row],[GESTANTES ACTUALES]]="SALIO PROGRAMA",IN70=""),"S",IF(AND(Tabla1[[#This Row],[CITA PROXIMO CONTROL]]&gt;0,IN70=""),(Tabla1[[#This Row],[CITA PROXIMO CONTROL]]-TODAY()),"SD"))))))))</f>
        <v>SD</v>
      </c>
      <c r="NJ70" s="43">
        <f>MONTH(Tabla1[[#This Row],[FECHA DE SALIDA  DEL PROGRAMA]])</f>
        <v>6</v>
      </c>
      <c r="NK70" s="43">
        <f>YEAR(Tabla1[[#This Row],[FECHA DE SALIDA  DEL PROGRAMA]])</f>
        <v>2023</v>
      </c>
      <c r="NL70" s="43" t="str">
        <f t="shared" si="326"/>
        <v>X</v>
      </c>
      <c r="NM70" s="43" t="str">
        <f t="shared" si="251"/>
        <v>NO</v>
      </c>
      <c r="NN70" s="43" t="str">
        <f ca="1">IF(AND(O70&gt;0,R70=""),"NO CPN",IF(AND(O70="",R70=""),"",IF(AND(R70&gt;0,Tabla1[[#This Row],[SEMANAS DE GESTACION ACTUALIZADAS]]&lt;=12),"NO APLICA",IF(AND(FH70&lt;&gt;"",FN70&lt;&gt;""),"SI","NO"))))</f>
        <v>SI</v>
      </c>
      <c r="NO70" s="43" t="str">
        <f ca="1">IF(AND(O70&gt;0,R70=""),"NO CPN",IF(AND(O70="",R70=""),"",IF(AND(R70&gt;0,Tabla1[[#This Row],[SEMANAS DE GESTACION ACTUALIZADAS]]&lt;=27),"NO APLICA",IF(AND(ES70&lt;&gt;"",FQ70&lt;&gt;"",GF70&lt;&gt;""),"SI","NO"))))</f>
        <v>NO</v>
      </c>
      <c r="NP70" s="204" t="str">
        <f t="shared" si="327"/>
        <v>II TRIM</v>
      </c>
      <c r="NQ70" s="21" t="str">
        <f t="shared" si="241"/>
        <v/>
      </c>
      <c r="NR70" s="21">
        <f t="shared" si="242"/>
        <v>2</v>
      </c>
      <c r="NS70" s="205">
        <f t="shared" ca="1" si="328"/>
        <v>2</v>
      </c>
      <c r="NT70" s="21">
        <f t="shared" ca="1" si="329"/>
        <v>1</v>
      </c>
      <c r="NU70" s="21" t="str">
        <f t="shared" ca="1" si="330"/>
        <v>COMPLETO</v>
      </c>
      <c r="NV70" s="21" t="str">
        <f t="shared" ca="1" si="331"/>
        <v>INCOMPLETO</v>
      </c>
      <c r="NW70" s="206" t="str">
        <f>IF(AND(O70="",R70=""),"",IF(OR(AND(Tabla1[[#This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0" s="207" t="str">
        <f t="shared" ca="1" si="332"/>
        <v>SIN VACUNAR</v>
      </c>
      <c r="NY70" s="43">
        <f>ROW(Tabla1[[#This Row],['# DE TAMIZAJES SIFILIS TOMADOS ]])</f>
        <v>70</v>
      </c>
      <c r="NZ70" s="43">
        <f t="shared" si="333"/>
        <v>17</v>
      </c>
      <c r="OA70" s="43" t="str">
        <f t="shared" si="334"/>
        <v/>
      </c>
      <c r="OB70" s="43" t="str">
        <f t="shared" si="335"/>
        <v/>
      </c>
      <c r="OC70" s="43" t="str">
        <f t="shared" si="336"/>
        <v/>
      </c>
      <c r="OD70" s="43" t="str">
        <f t="shared" si="337"/>
        <v/>
      </c>
      <c r="OE70" s="43" t="str">
        <f t="shared" si="338"/>
        <v/>
      </c>
      <c r="OF70" s="43" t="str">
        <f t="shared" si="339"/>
        <v/>
      </c>
      <c r="OG70" s="43" t="str">
        <f t="shared" si="340"/>
        <v/>
      </c>
      <c r="OH70" s="43" t="str">
        <f t="shared" si="341"/>
        <v/>
      </c>
      <c r="OI70" s="43" t="str">
        <f t="shared" si="342"/>
        <v>SOBREPESO</v>
      </c>
      <c r="OJ70" s="43" t="str">
        <f t="shared" si="343"/>
        <v/>
      </c>
      <c r="OK70" s="43" t="str">
        <f t="shared" si="344"/>
        <v/>
      </c>
      <c r="OL70" s="43" t="str">
        <f t="shared" si="345"/>
        <v/>
      </c>
      <c r="OM70" s="43" t="str">
        <f t="shared" si="346"/>
        <v/>
      </c>
      <c r="ON70" s="43" t="str">
        <f t="shared" si="347"/>
        <v/>
      </c>
      <c r="OO70" s="43" t="str">
        <f t="shared" si="348"/>
        <v/>
      </c>
      <c r="OP70" s="43" t="str">
        <f t="shared" si="349"/>
        <v/>
      </c>
      <c r="OQ70" s="43" t="str">
        <f t="shared" si="350"/>
        <v/>
      </c>
      <c r="OR70" s="43" t="str">
        <f t="shared" si="351"/>
        <v/>
      </c>
      <c r="OS70" s="43" t="str">
        <f t="shared" si="352"/>
        <v/>
      </c>
      <c r="OT70" s="43" t="str">
        <f t="shared" si="353"/>
        <v/>
      </c>
      <c r="OU70" s="43" t="str">
        <f t="shared" si="354"/>
        <v/>
      </c>
      <c r="OV70" s="110" t="str">
        <f t="shared" si="355"/>
        <v/>
      </c>
      <c r="OW70" s="43" t="str">
        <f t="shared" si="356"/>
        <v/>
      </c>
      <c r="OX70" s="43" t="str">
        <f t="shared" si="357"/>
        <v/>
      </c>
      <c r="OY70" s="43" t="str">
        <f t="shared" si="358"/>
        <v/>
      </c>
      <c r="OZ70" s="43" t="str">
        <f t="shared" si="359"/>
        <v/>
      </c>
      <c r="PA70" s="43" t="str">
        <f t="shared" si="360"/>
        <v/>
      </c>
      <c r="PB70" s="43" t="str">
        <f t="shared" si="361"/>
        <v/>
      </c>
      <c r="PC70" s="43" t="str">
        <f t="shared" si="362"/>
        <v/>
      </c>
      <c r="PD70" s="43" t="str">
        <f t="shared" si="363"/>
        <v/>
      </c>
      <c r="PE70" s="43" t="str">
        <f t="shared" si="364"/>
        <v/>
      </c>
      <c r="PF70" s="43" t="str">
        <f t="shared" si="365"/>
        <v/>
      </c>
      <c r="PG70" s="43" t="str">
        <f t="shared" si="366"/>
        <v/>
      </c>
      <c r="PH70" s="43" t="str">
        <f t="shared" si="367"/>
        <v/>
      </c>
      <c r="PI70" s="43">
        <f t="shared" si="368"/>
        <v>39</v>
      </c>
      <c r="PJ70" s="43" t="str">
        <f t="shared" si="369"/>
        <v/>
      </c>
      <c r="PK70" s="43" t="str">
        <f t="shared" si="370"/>
        <v/>
      </c>
      <c r="PL70" s="43" t="str">
        <f t="shared" si="371"/>
        <v/>
      </c>
      <c r="PM70" s="43" t="str">
        <f t="shared" si="372"/>
        <v/>
      </c>
      <c r="PN70" s="43" t="str">
        <f t="shared" si="373"/>
        <v/>
      </c>
      <c r="PO70" s="43" t="str">
        <f t="shared" si="374"/>
        <v/>
      </c>
      <c r="PP70" s="43" t="str">
        <f t="shared" si="375"/>
        <v/>
      </c>
      <c r="PQ70" s="43" t="str">
        <f t="shared" si="376"/>
        <v/>
      </c>
      <c r="PR70" s="43" t="str">
        <f t="shared" si="377"/>
        <v/>
      </c>
      <c r="PS70" s="43" t="str">
        <f t="shared" si="378"/>
        <v/>
      </c>
      <c r="PT70" s="43" t="str">
        <f t="shared" si="379"/>
        <v/>
      </c>
      <c r="PU70" s="43" t="str">
        <f t="shared" si="380"/>
        <v/>
      </c>
      <c r="PV70" s="43" t="str">
        <f t="shared" si="381"/>
        <v/>
      </c>
      <c r="PW70" s="43" t="str">
        <f t="shared" si="382"/>
        <v/>
      </c>
      <c r="PX70" s="43" t="str">
        <f t="shared" si="383"/>
        <v/>
      </c>
      <c r="PY70" s="43" t="str">
        <f t="shared" si="384"/>
        <v/>
      </c>
      <c r="PZ70" s="43" t="str">
        <f t="shared" si="385"/>
        <v/>
      </c>
      <c r="QA70" s="43" t="str">
        <f t="shared" si="386"/>
        <v/>
      </c>
      <c r="QB70" s="43" t="str">
        <f t="shared" si="387"/>
        <v/>
      </c>
      <c r="QC70" s="43" t="str">
        <f t="shared" si="388"/>
        <v/>
      </c>
      <c r="QD70" s="43" t="str">
        <f t="shared" si="389"/>
        <v/>
      </c>
      <c r="QE70" s="43" t="str">
        <f t="shared" si="390"/>
        <v/>
      </c>
      <c r="QF70" s="43" t="str">
        <f t="shared" si="391"/>
        <v/>
      </c>
      <c r="QG70" s="43" t="str">
        <f t="shared" si="392"/>
        <v/>
      </c>
      <c r="QH70" s="43" t="str">
        <f t="shared" si="393"/>
        <v/>
      </c>
      <c r="QI70" s="43" t="str">
        <f t="shared" si="394"/>
        <v/>
      </c>
      <c r="QJ70" s="43" t="str">
        <f t="shared" si="395"/>
        <v/>
      </c>
      <c r="QK70" s="43" t="str">
        <f t="shared" si="396"/>
        <v/>
      </c>
      <c r="QL70" s="43" t="str">
        <f t="shared" si="397"/>
        <v/>
      </c>
      <c r="QM70" s="43" t="str">
        <f t="shared" si="398"/>
        <v/>
      </c>
      <c r="QN70" s="43" t="str">
        <f t="shared" si="399"/>
        <v>SOBREPESO</v>
      </c>
      <c r="QO70" s="43" t="str">
        <f t="shared" si="400"/>
        <v/>
      </c>
      <c r="QP70" s="43" t="str">
        <f t="shared" si="401"/>
        <v/>
      </c>
      <c r="QQ70" s="43" t="str">
        <f t="shared" si="402"/>
        <v/>
      </c>
      <c r="QR70" s="43">
        <f t="shared" si="432"/>
        <v>39</v>
      </c>
      <c r="QS70" s="43"/>
      <c r="QT70" s="21" t="str">
        <f t="shared" si="403"/>
        <v/>
      </c>
      <c r="QU70" s="21" t="str">
        <f t="shared" si="404"/>
        <v/>
      </c>
      <c r="QV70" s="21" t="str">
        <f t="shared" si="405"/>
        <v/>
      </c>
      <c r="QW70" s="21" t="str">
        <f t="shared" si="406"/>
        <v/>
      </c>
      <c r="QX70" s="21" t="str">
        <f t="shared" si="407"/>
        <v/>
      </c>
      <c r="QY70" s="21" t="str">
        <f t="shared" si="408"/>
        <v/>
      </c>
      <c r="QZ70" s="21" t="str">
        <f t="shared" si="409"/>
        <v/>
      </c>
      <c r="RA70" s="21" t="str">
        <f t="shared" si="410"/>
        <v/>
      </c>
      <c r="RB70" s="21" t="str">
        <f t="shared" si="411"/>
        <v/>
      </c>
      <c r="RC70" s="21" t="str">
        <f t="shared" si="412"/>
        <v/>
      </c>
      <c r="RD70" s="21" t="str">
        <f t="shared" si="413"/>
        <v/>
      </c>
      <c r="RE70" s="21" t="str">
        <f t="shared" si="414"/>
        <v/>
      </c>
      <c r="RF70" s="21" t="str">
        <f t="shared" si="415"/>
        <v/>
      </c>
      <c r="RG70" s="21" t="str">
        <f t="shared" si="416"/>
        <v/>
      </c>
      <c r="RH70" s="21" t="str">
        <f t="shared" si="417"/>
        <v/>
      </c>
      <c r="RI70" s="21" t="str">
        <f t="shared" si="418"/>
        <v/>
      </c>
      <c r="RJ70" s="21" t="str">
        <f t="shared" si="419"/>
        <v/>
      </c>
      <c r="RK70" s="21" t="str">
        <f t="shared" si="420"/>
        <v/>
      </c>
      <c r="RL70" s="21" t="str">
        <f t="shared" si="421"/>
        <v/>
      </c>
      <c r="RM70" s="21" t="str">
        <f t="shared" si="422"/>
        <v/>
      </c>
      <c r="RN70" s="21" t="str">
        <f t="shared" si="423"/>
        <v/>
      </c>
      <c r="RO70" s="21" t="str">
        <f t="shared" si="424"/>
        <v/>
      </c>
      <c r="RP70" s="21" t="str">
        <f t="shared" si="425"/>
        <v/>
      </c>
      <c r="RQ70" s="21" t="str">
        <f t="shared" si="426"/>
        <v/>
      </c>
      <c r="RR70" s="21" t="str">
        <f t="shared" si="427"/>
        <v/>
      </c>
      <c r="RS70" s="21" t="str">
        <f t="shared" si="428"/>
        <v/>
      </c>
      <c r="RT70" s="21" t="str">
        <f t="shared" si="429"/>
        <v/>
      </c>
      <c r="RU70" s="21" t="str">
        <f t="shared" si="430"/>
        <v/>
      </c>
      <c r="RV70" s="21">
        <f t="shared" si="431"/>
        <v>17.714285714285715</v>
      </c>
      <c r="RW70" s="284">
        <f>IF(OR(Tabla1[[#This Row],[FUM FORMULA CONFIABLE]]="",Tabla1[[#This Row],[FUM FORMULA CONFIABLE]]="SD"),"",IF(Tabla1[[#This Row],[FUM FORMULA CONFIABLE]]="CORREGIDA",Tabla1[[#This Row],[FUM X ECO 1]],Tabla1[[#This Row],[FUM x AMENORREA]]))</f>
        <v>44792</v>
      </c>
      <c r="RX70" s="21">
        <f>IF(AND(Tabla1[[#This Row],[FUM X ECO 1]]="",Tabla1[[#This Row],[FUM x AMENORREA]]=""),"",IF(AND(Tabla1[[#This Row],[FUM X ECO 1]]="",Tabla1[[#This Row],[FUM x AMENORREA]]&lt;&gt;""),"X",SUM(Tabla1[[#This Row],[FUM X ECO 1]]-Tabla1[[#This Row],[FUM x AMENORREA]])))</f>
        <v>0</v>
      </c>
      <c r="RY70" s="21">
        <f t="shared" si="433"/>
        <v>0</v>
      </c>
    </row>
    <row r="71" spans="1:493" ht="45" customHeight="1" x14ac:dyDescent="0.25">
      <c r="A71" s="109"/>
      <c r="B71" s="43" t="s">
        <v>1032</v>
      </c>
      <c r="C71" s="43" t="s">
        <v>845</v>
      </c>
      <c r="D71" s="124" t="s">
        <v>846</v>
      </c>
      <c r="E71" s="43" t="s">
        <v>992</v>
      </c>
      <c r="F71" s="43" t="s">
        <v>1213</v>
      </c>
      <c r="G71" s="43" t="s">
        <v>1214</v>
      </c>
      <c r="H71" s="43"/>
      <c r="I71" s="109" t="s">
        <v>1094</v>
      </c>
      <c r="J71" s="110">
        <v>1059596128</v>
      </c>
      <c r="K71" s="43" t="s">
        <v>852</v>
      </c>
      <c r="L71" s="175" t="s">
        <v>853</v>
      </c>
      <c r="M71" s="22">
        <v>38661</v>
      </c>
      <c r="N71" s="213">
        <f t="shared" ca="1" si="252"/>
        <v>18.005479452054793</v>
      </c>
      <c r="O71" s="22">
        <v>44911</v>
      </c>
      <c r="P71" s="214" t="str">
        <f t="shared" si="253"/>
        <v>SI</v>
      </c>
      <c r="Q71" s="26" t="s">
        <v>855</v>
      </c>
      <c r="R71" s="22">
        <v>44911</v>
      </c>
      <c r="S71" s="21" t="s">
        <v>856</v>
      </c>
      <c r="T71" s="24" t="s">
        <v>690</v>
      </c>
      <c r="U71" s="21" t="s">
        <v>857</v>
      </c>
      <c r="V71" s="21" t="s">
        <v>858</v>
      </c>
      <c r="W71" s="21" t="s">
        <v>970</v>
      </c>
      <c r="X71" s="21" t="s">
        <v>970</v>
      </c>
      <c r="Y71" s="21" t="s">
        <v>859</v>
      </c>
      <c r="Z71" s="21">
        <v>3147743501</v>
      </c>
      <c r="AA71" s="21" t="s">
        <v>860</v>
      </c>
      <c r="AB71" s="27" t="s">
        <v>861</v>
      </c>
      <c r="AC71" s="26" t="s">
        <v>897</v>
      </c>
      <c r="AD71" s="38" t="s">
        <v>846</v>
      </c>
      <c r="AE71" s="26" t="s">
        <v>854</v>
      </c>
      <c r="AF71" s="26" t="s">
        <v>854</v>
      </c>
      <c r="AG71" s="23" t="s">
        <v>864</v>
      </c>
      <c r="AH71" s="23" t="s">
        <v>864</v>
      </c>
      <c r="AI71" s="24" t="s">
        <v>863</v>
      </c>
      <c r="AJ71" s="23" t="s">
        <v>864</v>
      </c>
      <c r="AK71" s="220" t="str">
        <f>IF(AND(AD71="",AE71="",AF71="",AG71="",AH71="",AI71="",AJ71=""),"",IF(OR(Tabla1[[#This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EVALUACIÓN",IF(AND(O71="",R71=""),"",IF(AND(OR(O71&gt;0,R71&gt;0),NG71&gt;=0,NG71&lt;2),"SIN RIESGO",IF(AND(OR(O71&gt;0,R71&gt;0),NG71&gt;=2),"CON RIESGO","ASD")))))</f>
        <v>SIN RIESGO</v>
      </c>
      <c r="AL71" s="23" t="s">
        <v>864</v>
      </c>
      <c r="AM71" s="26" t="s">
        <v>864</v>
      </c>
      <c r="AN71" s="26" t="s">
        <v>864</v>
      </c>
      <c r="AO71" s="26" t="s">
        <v>864</v>
      </c>
      <c r="AP71" s="26" t="s">
        <v>864</v>
      </c>
      <c r="AQ71" s="26" t="s">
        <v>864</v>
      </c>
      <c r="AR71" s="26" t="s">
        <v>864</v>
      </c>
      <c r="AS71" s="21">
        <v>0</v>
      </c>
      <c r="AT71" s="21">
        <v>0</v>
      </c>
      <c r="AU71" s="21">
        <v>0</v>
      </c>
      <c r="AV71" s="26" t="s">
        <v>864</v>
      </c>
      <c r="AW71" s="21">
        <v>0</v>
      </c>
      <c r="AX71" s="26" t="s">
        <v>864</v>
      </c>
      <c r="AY71" s="26" t="s">
        <v>864</v>
      </c>
      <c r="AZ71" s="26" t="s">
        <v>864</v>
      </c>
      <c r="BA71" s="26" t="s">
        <v>864</v>
      </c>
      <c r="BB71" s="26" t="s">
        <v>864</v>
      </c>
      <c r="BC71" s="26" t="s">
        <v>864</v>
      </c>
      <c r="BD71" s="26" t="s">
        <v>864</v>
      </c>
      <c r="BE71" s="26" t="s">
        <v>864</v>
      </c>
      <c r="BF71" s="26" t="s">
        <v>864</v>
      </c>
      <c r="BG71" s="26" t="s">
        <v>864</v>
      </c>
      <c r="BH71" s="26" t="s">
        <v>864</v>
      </c>
      <c r="BI71" s="26" t="s">
        <v>864</v>
      </c>
      <c r="BJ71" s="26"/>
      <c r="BK71" s="26"/>
      <c r="BL71" s="26" t="s">
        <v>864</v>
      </c>
      <c r="BM71" s="26" t="s">
        <v>864</v>
      </c>
      <c r="BN71" s="22"/>
      <c r="BO71" s="22">
        <v>44876</v>
      </c>
      <c r="BP71" s="21" t="s">
        <v>854</v>
      </c>
      <c r="BQ71" s="222">
        <f t="shared" si="254"/>
        <v>0</v>
      </c>
      <c r="BR71" s="223">
        <f t="shared" si="255"/>
        <v>44876</v>
      </c>
      <c r="BS71" s="224">
        <f t="shared" si="256"/>
        <v>5</v>
      </c>
      <c r="BT71" s="216" t="str">
        <f t="shared" si="257"/>
        <v>I TRIM</v>
      </c>
      <c r="BU71" s="214" t="str">
        <f t="shared" ca="1" si="258"/>
        <v/>
      </c>
      <c r="BV71" s="25"/>
      <c r="BW71" s="22">
        <v>44918</v>
      </c>
      <c r="BX71" s="28">
        <v>6</v>
      </c>
      <c r="BY71" s="28"/>
      <c r="BZ71" s="22"/>
      <c r="CA71" s="21"/>
      <c r="CB71" s="26" t="s">
        <v>864</v>
      </c>
      <c r="CC71" s="26" t="s">
        <v>864</v>
      </c>
      <c r="CD71" s="26" t="s">
        <v>878</v>
      </c>
      <c r="CE71" s="26" t="s">
        <v>864</v>
      </c>
      <c r="CF71" s="22" t="s">
        <v>1517</v>
      </c>
      <c r="CG71" s="21">
        <v>1.55</v>
      </c>
      <c r="CH71" s="21">
        <v>58</v>
      </c>
      <c r="CI71" s="214">
        <f t="shared" si="259"/>
        <v>24.141519250780433</v>
      </c>
      <c r="CJ71" s="225" t="str">
        <f>IF(AND(CI71&lt;10,CH71="SD"),"SIN DATO PESO PREGESTACION O I TRIM",IF(AND(OR(R71&gt;0,O71&gt;0),CI71="X"),"INGRESAR DATO DE PESO",IF(CI71="SD","INGRESAR DATO DE TALLA Y PESO",IF(AND(OR(Tabla1[[#This Row],[MOMENTO EN QUE SE REALIZA EL PESO AL INGRESO A CPN]]="PREGESTACIÓN",NZ71="Menor"),CI71&lt;18.5),"BAJO PESO",IF(AND(OR(Tabla1[[#This Row],[MOMENTO EN QUE SE REALIZA EL PESO AL INGRESO A CPN]]="PREGESTACIÓN",NZ71="Menor"),CI71&lt;25),"NORMAL",IF(AND(OR(Tabla1[[#This Row],[MOMENTO EN QUE SE REALIZA EL PESO AL INGRESO A CPN]]="PREGESTACIÓN",NZ71="Menor"),CI71&lt;30),"SOBREPESO",IF(AND(OR(Tabla1[[#This Row],[MOMENTO EN QUE SE REALIZA EL PESO AL INGRESO A CPN]]="PREGESTACIÓN",NZ71="Menor"),CI71&gt;=30,CI71&lt;50),"OBESIDAD",IF(AND(BS71&gt;0,Tabla1[[#This Row],[MOMENTO EN QUE SE REALIZA EL PESO AL INGRESO A CPN]]="GESTACIÓN"),HLOOKUP(NZ71,$OA$2:PH71,NY71),""))))))))</f>
        <v>NORMAL</v>
      </c>
      <c r="CK71" s="212">
        <f t="shared" si="260"/>
        <v>44911</v>
      </c>
      <c r="CL71" s="21"/>
      <c r="CM71" s="214">
        <f t="shared" si="261"/>
        <v>0</v>
      </c>
      <c r="CN71" s="216">
        <f t="shared" si="262"/>
        <v>5</v>
      </c>
      <c r="CO71" s="216" t="e">
        <f>IF(PI71="","",IF(PI71&gt;0,HLOOKUP(PI71,$PJ$2:QQ71,NY71),""))</f>
        <v>#REF!</v>
      </c>
      <c r="CP71" s="21"/>
      <c r="CQ71" s="216" t="str">
        <f>IF(QR71="Menor","NO APLICA-MENOR 13 SEM",IF(AND(CC71="SI",CN71&gt;23),"NO APLICA- GEMELAR",IF(QR71="","",IF(QR71&gt;0,HLOOKUP(QR71,$QS$2:RU71,NY71),""))))</f>
        <v>NO APLICA-MENOR 13 SEM</v>
      </c>
      <c r="CR71" s="21">
        <v>90</v>
      </c>
      <c r="CS71" s="21">
        <v>60</v>
      </c>
      <c r="CT71" s="217" t="str">
        <f>IF(R71="","",IF(AND(BS71&gt;1,BS71&lt;12,Tabla1[[#This Row],[T.A. SISTOLICA - ANTES DE SEMANA 12]]="",Tabla1[[#This Row],[T.A. DIASTOLICA - ANTES DE SEMANA 12]]=""),"REGISTRE DATO TA ANTES SEMANA 12",IF(AND(BS71&gt;11,BS71&lt;43,Tabla1[[#This Row],[T.A. SISTOLICA - ANTES DE SEMANA 12]]="",Tabla1[[#This Row],[T.A. DIASTOLICA - ANTES DE SEMANA 12]]=""),"NO APLICA REGISTRO TA-INGRESO TARDIO",IF(AND(OR(O71&gt;0,R71&gt;0),OR(CR71&gt;=140,CS71&gt;=90)),"DEFINIR ESTADIO HTA",IF(AND(OR(O71&gt;0,R71&gt;0),AND(CR71&gt;120,CR71&lt;=139)),"PRE HTA SEGUIMIENTO",IF(AND(OR(O71&gt;0,R71&gt;0),AND(CS71&gt;80,CS71&lt;=89)),"PRE HTA SEGUIMIENTO",IF(AND(OR(O71&gt;0,R71&gt;0),AND(CR71&gt;=80,CR71&lt;=120)),"APARENTEMENTE NORMAL",IF(AND(OR(O71&gt;0,R71&gt;0),AND(CS71&gt;=50,CS71&lt;=80)),"APARENTEMENTE NORMAL",IF(AND(OR(O71&gt;0,R71&gt;0),AND(CR71&gt;1,CR71&lt;=70),AND(CS71&gt;1,CS71&lt;=40)),"HIPOTENSIÓN","")))))))))</f>
        <v>APARENTEMENTE NORMAL</v>
      </c>
      <c r="CU71" s="21"/>
      <c r="CV71" s="21"/>
      <c r="CW71" s="217" t="str">
        <f ca="1">IF(R71="","",IF(AND(CN71&gt;19,CN71&lt;27,Tabla1[[#This Row],[T.A. SISTOLICA (Entre semana 20 y 26)]]="",Tabla1[[#This Row],[T.A. DIATOLICA (Entre semana 20 y 26)]]=""),"ACUDE A CONTROL SEM 20 A 26 REGISTRE TA AHORA",IF(AND(BS71&gt;1,BS71&lt;27,BU71&gt;19,Tabla1[[#This Row],[T.A. SISTOLICA (Entre semana 20 y 26)]]="",Tabla1[[#This Row],[T.A. DIATOLICA (Entre semana 20 y 26)]]=""),"COMPLETE REGISTRO TA CONTROL SEM 20 A26 ",IF(AND(BS71&gt;26,BS71&lt;43,Tabla1[[#This Row],[T.A. SISTOLICA (Entre semana 20 y 26)]]="",Tabla1[[#This Row],[T.A. DIATOLICA (Entre semana 20 y 26)]]=""),"NO APLICA REGISTRO TA-INGRESO TARDIO",IF(AND(OR(O71&gt;0,R71&gt;0),OR(CU71&gt;=140,CV71&gt;=90)),"ALTO RIESGO PREECLAMPSIA,DEFINIR ESTADIO HTA",IF(AND(OR(O71&gt;0,R71&gt;0),AND(CU71&gt;120,CU71&lt;=139)),"PRE HTA SEGUIMIENTO,RIESGO HIPERTENSION INDUCIDA POR EL EMBARAZO",IF(AND(OR(O71&gt;0,R71&gt;0),AND(CV71&gt;80,CV71&lt;=89)),"PRE HTA SEGUIMIENTO, RIESGO HIPERTENSION INDUCIDA POR EL EMBARAZO",IF(AND(OR(O71&lt;&gt;"",R71&lt;&gt;""),CS71&lt;&gt;"",CV71&lt;&gt;"",CS71&lt;=CV71),"VIGILAR CIFRAS PRESION ARTERIAL",IF(AND(OR(O71&gt;0,R71&gt;0),AND(CU71&gt;120,CU71&lt;=139)),"PRE HTA SEGUIMIENTO",IF(AND(OR(O71&gt;0,R71&gt;0),AND(CU71&gt;1,CU71&lt;=70),AND(CV71&gt;1,CV71&lt;=40)),"HIPOTENSIÓN",IF(AND(OR(O71&lt;&gt;"",R71&lt;&gt;""),CS71&lt;&gt;"",CV71&lt;&gt;"",CS71&gt;CV71),"APARENTEMENTE NORMAL",IF(AND(OR(O71&gt;0,R71&gt;0),AND(CU71&gt;=80,CU71&lt;=120)),"APARENTEMENTE NORMAL",IF(AND(OR(O71&gt;0,R71&gt;0),AND(CV71&gt;=50,CV71&lt;=80)),"APARENTEMENTE NORMAL","")))))))))))))</f>
        <v xml:space="preserve">COMPLETE REGISTRO TA CONTROL SEM 20 A26 </v>
      </c>
      <c r="CX71" s="21"/>
      <c r="CY71" s="21"/>
      <c r="CZ71" s="216" t="str">
        <f t="shared" si="263"/>
        <v/>
      </c>
      <c r="DA71" s="21"/>
      <c r="DB71" s="21"/>
      <c r="DC71" s="217" t="str">
        <f t="shared" si="264"/>
        <v>REGISTRE DATO PRESIÓN ARTERIAL MENSUAL</v>
      </c>
      <c r="DD71" s="22">
        <v>44911</v>
      </c>
      <c r="DE71" s="22">
        <v>44911</v>
      </c>
      <c r="DF71" s="22"/>
      <c r="DG71" s="22"/>
      <c r="DH71" s="22"/>
      <c r="DI71" s="22"/>
      <c r="DJ71" s="22"/>
      <c r="DK71" s="22"/>
      <c r="DL71" s="22"/>
      <c r="DM71" s="22"/>
      <c r="DN71" s="22"/>
      <c r="DO71" s="22"/>
      <c r="DP71" s="22"/>
      <c r="DQ71" s="22"/>
      <c r="DR71" s="28">
        <v>1</v>
      </c>
      <c r="DS71" s="22"/>
      <c r="DT71" s="22"/>
      <c r="DU71" s="216" t="str">
        <f t="shared" ca="1" si="265"/>
        <v>CONCERTAR PLAN DE PARTO INMEDIATO</v>
      </c>
      <c r="DV71" s="226" t="str">
        <f t="shared" si="197"/>
        <v>ACTIVA INGRESO A CPN</v>
      </c>
      <c r="DW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1" s="216" t="e">
        <f t="shared" ca="1" si="266"/>
        <v>#REF!</v>
      </c>
      <c r="DY71" s="212">
        <f>IF(R71="","",IF(R71&gt;0,MAX(Tabla1[[#This Row],[FECHA C2]:[FECHA C13]],Tabla1[[#This Row],[FECHA CONSULTA PRIMERA VEZ PROGRAMA CPN ]])))</f>
        <v>44911</v>
      </c>
      <c r="DZ71" s="216">
        <f t="shared" si="267"/>
        <v>5</v>
      </c>
      <c r="EA71" s="222">
        <f>IF(R71&gt;0,SUM(COUNTA(DF71:DQ71)+COUNTA(Tabla1[[#This Row],[FECHA CONSULTA PRIMERA VEZ PROGRAMA CPN ]])),"")</f>
        <v>1</v>
      </c>
      <c r="EB71" s="222" t="str">
        <f t="shared" si="268"/>
        <v>NO</v>
      </c>
      <c r="EC71" s="214">
        <f t="shared" si="269"/>
        <v>10</v>
      </c>
      <c r="ED71" s="227">
        <f t="shared" si="270"/>
        <v>0.1</v>
      </c>
      <c r="EE71" s="22">
        <v>44911</v>
      </c>
      <c r="EF71" s="22">
        <v>44911</v>
      </c>
      <c r="EG71" s="22">
        <v>44911</v>
      </c>
      <c r="EH71" s="22"/>
      <c r="EI71" s="22">
        <v>44911</v>
      </c>
      <c r="EJ71" s="22"/>
      <c r="EK71" s="22"/>
      <c r="EL71" s="21"/>
      <c r="EM71" s="21">
        <v>14.7</v>
      </c>
      <c r="EN71" s="22">
        <v>44911</v>
      </c>
      <c r="EO71" s="222">
        <f t="shared" si="271"/>
        <v>5</v>
      </c>
      <c r="EP71" s="214" t="str">
        <f t="shared" si="272"/>
        <v>NO DAR SULFATO FERROSO</v>
      </c>
      <c r="EQ71" s="216" t="str">
        <f t="shared" si="273"/>
        <v>I TRIM</v>
      </c>
      <c r="ER71" s="24"/>
      <c r="ES71" s="22"/>
      <c r="ET71" s="29" t="str">
        <f t="shared" ca="1" si="274"/>
        <v>TOMA DE HEMOGLOBINA TARDÍA</v>
      </c>
      <c r="EU71" s="25" t="str">
        <f t="shared" si="275"/>
        <v/>
      </c>
      <c r="EV71" s="24" t="s">
        <v>1030</v>
      </c>
      <c r="EW71" s="24">
        <v>44911</v>
      </c>
      <c r="EX71" s="22"/>
      <c r="EY71" s="29">
        <f t="shared" si="248"/>
        <v>5</v>
      </c>
      <c r="EZ71" s="25" t="str">
        <f t="shared" ca="1" si="249"/>
        <v/>
      </c>
      <c r="FA71" s="21">
        <v>75</v>
      </c>
      <c r="FB71" s="22">
        <v>44911</v>
      </c>
      <c r="FC71" s="29">
        <f t="shared" si="276"/>
        <v>5</v>
      </c>
      <c r="FD71" s="29"/>
      <c r="FE71" s="29"/>
      <c r="FF71" s="29"/>
      <c r="FG71" s="21" t="str">
        <f t="shared" ca="1" si="277"/>
        <v/>
      </c>
      <c r="FH71" s="31"/>
      <c r="FI71" s="29" t="str">
        <f t="shared" si="278"/>
        <v>TOMAR EXAMEN</v>
      </c>
      <c r="FJ71" s="22" t="s">
        <v>867</v>
      </c>
      <c r="FK71" s="22">
        <v>44911</v>
      </c>
      <c r="FL71" s="29">
        <f t="shared" ca="1" si="279"/>
        <v>5</v>
      </c>
      <c r="FM71" s="22"/>
      <c r="FN71" s="32"/>
      <c r="FO71" s="29" t="str">
        <f ca="1">IF(AND(BT71="ERROR FUM O INGRESO",FN71&gt;0),"ERROR FUM O INGRESO",IF(AND(FN71="",R71="",O71=""),"",IF(AND(FN71&lt;&gt;"",FN71&lt;RW71), "INCOHERENCIA FUM Y FECHA TAMIZAJE",IF(AND(FN71="",DV71="ACTIVA INGRESO A CPN",AND(BU71&gt;0,BU71&lt;13)),"EN ESPERA-ESTÁ I TRIM", IF(AND(FN71="",AND(BS71&gt;0, BS71&lt;13),OR(O71&gt;0,R71&gt;0),AND(IP71&gt;0,IP71&lt;13)),"NO APLICA-SALIO DEL PROGRAMA I TRIM",IF(AND(FN71&lt;&gt;"",AND(SUM((FN71-RW71)/7)&gt;0,SUM((FN71-RW71)/7)&lt;13)),"REGISTRAR EN I TRIMESTRE",IF(AND(FN71&lt;&gt;"",AND(SUM((FN71-RW71)/7)&gt;=27,SUM((FN71-RW71)/7)&lt;44)),"REGISTRAR EN III TRIMESTRE",IF(AND(FN71="",OR(O71&gt;0,R71&gt;0),AND(BU71&gt;=13,BU71&lt;24),DV71="ACTIVA INGRESO A CPN"),"EN RANGO PARA TOMAR EXAMEN",IF(AND(FN71="",OR(O71&gt;0,R71&gt;0),AND(BU71&gt;=25,BU71&lt;27),DV71="ACTIVA INGRESO A CPN"),"TOMA INMEDIATA DE TAMIZAJE",IF(AND(FN71="",OR(O71&gt;0,R71&gt;0),AND(BS71&gt;=27,BS71&lt;44)),"NO APLICA-INGRESO TARDIO",IF(AND(FN71="",BS71&lt;27,OR(AND(IP71&gt;12,IP71&lt;44),BU71&gt;12)),"PIERDE TOMA DE TAMIZAJE",IF(FN71&gt;0,SUM(FN71-RW71)/7,""))))))))))))</f>
        <v>PIERDE TOMA DE TAMIZAJE</v>
      </c>
      <c r="FP71" s="22"/>
      <c r="FQ71" s="32"/>
      <c r="FR71" s="29" t="str">
        <f ca="1">IF(AND(BT71="ERROR FUM O INGRESO",FQ71&gt;0),"ERROR FUM O INGRESO",IF(AND(FQ71="",R71="",O71=""),"",IF(AND(FQ71&lt;&gt;"",FQ71&lt;RW71), "INCOHERENCIA FUM Y FECHA TAMIZAJE",IF(AND(FQ71="",DV71="ACTIVA INGRESO A CPN",AND(BU71&gt;0,BU71&lt;27)),"EN ESPERA-ESTÁ I TRIM O II TRIM", IF(AND(FQ71="",AND(BS71&gt;0, BS71&lt;27),OR(O71&gt;0,R71&gt;0),AND(IP71&gt;0,IP71&lt;27)),"NO APLICA-SALIO DEL PROGRAMA I O II TRIM",IF(AND(FQ71&lt;&gt;"",AND(SUM((FQ71-RW71)/7)&gt;0,SUM((FQ71-RW71)/7)&lt;13)),"REGISTAR EN I TRIMESTRE",IF(AND(FQ71&lt;&gt;"",AND(SUM((FQ71-RW71)/7)&gt;=13,SUM((FQ71-RW71)/7)&lt;27)),"REGISTRAR EN II TRIMESTRE",IF(AND(FQ71="",OR(O71&gt;0,R71&gt;0),AND(BU71&gt;=28,BU71&lt;35),DV71="ACTIVA INGRESO A CPN"),"EN RANGO PARA TOMAR EXAMEN",IF(AND(FQ71="",OR(O71&gt;0,R71&gt;0),BU71&gt;=35, DV71="ACTIVA INGRESO A CPN"),"TOMA INMEDIATA DE TAMIZAJE",IF(AND(FQ71="",DV71= "SALE SIN INGRESO CPN"),"NO APLICA-SIN CPN",IF(AND(FQ71="",AND(IP71&gt;26,IP71&lt;43)),"PIERDE TOMA DE TAMIZAJE",IF(FQ71&gt;0,SUM(FQ71-RW71)/7,""))))))))))))</f>
        <v>TOMA INMEDIATA DE TAMIZAJE</v>
      </c>
      <c r="FS71" s="22"/>
      <c r="FT71" s="32"/>
      <c r="FU71" s="29" t="str">
        <f>IF(AND(FJ71="",FM71="",FP71="",FS71=""),"",IF(OR(OR(Tabla1[[#This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1" s="28"/>
      <c r="FW71" s="22"/>
      <c r="FX71" s="29" t="str">
        <f t="shared" si="280"/>
        <v>TOMAR EXAMEN</v>
      </c>
      <c r="FY71" s="22">
        <v>44911</v>
      </c>
      <c r="FZ71" s="22">
        <v>44911</v>
      </c>
      <c r="GA71" s="29">
        <f t="shared" ca="1" si="250"/>
        <v>5</v>
      </c>
      <c r="GB71" s="22"/>
      <c r="GC71" s="22"/>
      <c r="GD71" s="29" t="str">
        <f t="shared" ca="1" si="281"/>
        <v>PIERDE TOMA DE TAMIZAJE</v>
      </c>
      <c r="GE71" s="22"/>
      <c r="GF71" s="22"/>
      <c r="GG71" s="29" t="str">
        <f t="shared" ca="1" si="282"/>
        <v>TOMA INMEDIATA DE TAMIZAJE</v>
      </c>
      <c r="GH71" s="22"/>
      <c r="GI71" s="29"/>
      <c r="GJ71" s="22"/>
      <c r="GK71" s="22"/>
      <c r="GL71" s="22"/>
      <c r="GM71" s="22"/>
      <c r="GN71" s="28" t="s">
        <v>869</v>
      </c>
      <c r="GO71" s="22">
        <v>44911</v>
      </c>
      <c r="GP71" s="29">
        <f t="shared" si="283"/>
        <v>5</v>
      </c>
      <c r="GQ71" s="28" t="s">
        <v>869</v>
      </c>
      <c r="GR71" s="28" t="s">
        <v>869</v>
      </c>
      <c r="GS71" s="22" t="str">
        <f t="shared" si="284"/>
        <v>CONTROL Igm</v>
      </c>
      <c r="GT71" s="22">
        <v>44911</v>
      </c>
      <c r="GU71" s="29">
        <f t="shared" si="285"/>
        <v>5</v>
      </c>
      <c r="GV71" s="21" t="str">
        <f t="shared" si="286"/>
        <v>I TRIM</v>
      </c>
      <c r="GW71" s="28" t="s">
        <v>869</v>
      </c>
      <c r="GX71" s="30"/>
      <c r="GY71" s="21"/>
      <c r="GZ71" s="21"/>
      <c r="HA71" s="21"/>
      <c r="HB71" s="21"/>
      <c r="HC71" s="21"/>
      <c r="HD71" s="21"/>
      <c r="HE71" s="21"/>
      <c r="HF71" s="22"/>
      <c r="HG71" s="22" t="str">
        <f>IF(OR(O71&gt;0,R71&gt;0),CONCATENATE(IF(Tabla1[[#This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1" s="22" t="e">
        <f t="shared" si="287"/>
        <v>#REF!</v>
      </c>
      <c r="HI71" s="22" t="e">
        <f t="shared" ca="1" si="288"/>
        <v>#REF!</v>
      </c>
      <c r="HJ71" s="21"/>
      <c r="HK71" s="21" t="str">
        <f t="shared" si="289"/>
        <v>SIN ANTECEDENTES DE RIESGO</v>
      </c>
      <c r="HL71" s="24" t="str">
        <f t="shared" si="290"/>
        <v>REGISTRE DATO PRESIÓN ARTERIAL MENSUAL</v>
      </c>
      <c r="HM71" s="21" t="e">
        <f t="shared" ca="1" si="291"/>
        <v>#REF!</v>
      </c>
      <c r="HN71" s="30" t="str">
        <f t="shared" si="207"/>
        <v>ACTIVA INGRESO A CPN</v>
      </c>
      <c r="HO71" s="21"/>
      <c r="HP71" s="21"/>
      <c r="HQ71" s="21"/>
      <c r="HR71" s="21" t="str">
        <f>IF(R71="","",IF(Tabla1[[#This Row],[ALARMA FACTORES DE RIESGO COMPLICACIONES HIPERTENSIVAS3]]="SIN ANTECEDENTES DE RIESGO","No Aplica para suministro de ASA",IF(AND(Tabla1[[#This Row],[FECHA INICIO DE SUMINISTRO DE ASA]]&gt;0,RV71&lt;12),"Inicia ASA ANTES de Sem 12",IF(AND(RV71&gt;11,RV71&lt;17,OR(HK71="RIESGO ALTO DE COMPLICACIONES HIPERTENSIVAS VER MANEJO GUIA SUMINISTRO ASA Y CALCIO",HK71="RIESGO MODERADO (2 O MAS CRITERIOS) VER MANEJO GUIA SUMINISTRO ASA Y CALCIO")),"Inicio oportuno de ASA",IF(AND(RV71&gt;12,OR(HK71="RIESGO ALTO DE COMPLICACIONES HIPERTENSIVAS VER MANEJO GUIA SUMINISTRO ASA Y CALCIO",HK71="RIESGO MODERADO (2 O MAS CRITERIOS) VER MANEJO GUIA SUMINISTRO ASA Y CALCIO")),"Inicio no oportuno mayor a 16 semanas",IF(AND(BU71&lt;12,OR(HK71="RIESGO ALTO DE COMPLICACIONES HIPERTENSIVAS VER MANEJO GUIA SUMINISTRO ASA Y CALCIO",HK71="RIESGO MODERADO (2 O MAS CRITERIOS) VER MANEJO GUIA SUMINISTRO ASA Y CALCIO")),"Pendiente Inicio de ASA a la semana 12",IF(AND(BU71&gt;11,BU71&lt;17,OR(HK71="RIESGO ALTO DE COMPLICACIONES HIPERTENSIVAS VER MANEJO GUIA SUMINISTRO ASA Y CALCIO",HK71="RIESGO MODERADO (2 O MAS CRITERIOS) VER MANEJO GUIA SUMINISTRO ASA Y CALCIO")),"Iniciar de inmediato ASA",IF(AND(BU71&gt;16,OR(HK71="RIESGO ALTO DE COMPLICACIONES HIPERTENSIVAS VER MANEJO GUIA SUMINISTRO ASA Y CALCIO",HK71="RIESGO MODERADO (2 O MAS CRITERIOS) VER MANEJO GUIA SUMINISTRO ASA Y CALCIO")),"Pierde Oportunidad, Inicio tardío de ASA","XXXXX"))))))))</f>
        <v>No Aplica para suministro de ASA</v>
      </c>
      <c r="HS71" s="22"/>
      <c r="HT71" s="22"/>
      <c r="HU71" s="22">
        <v>44911</v>
      </c>
      <c r="HV71" s="22" t="s">
        <v>870</v>
      </c>
      <c r="HW71" s="22">
        <v>44911</v>
      </c>
      <c r="HX71" s="22" t="s">
        <v>870</v>
      </c>
      <c r="HY71" s="22"/>
      <c r="HZ71" s="28" t="str">
        <f t="shared" si="292"/>
        <v>PENDIENTE CONSULTA</v>
      </c>
      <c r="IA71" s="26" t="s">
        <v>864</v>
      </c>
      <c r="IB71" s="26"/>
      <c r="IC71" s="111"/>
      <c r="ID71" s="22"/>
      <c r="IE71" s="22" t="str">
        <f t="shared" ca="1" si="293"/>
        <v/>
      </c>
      <c r="IF71" s="22"/>
      <c r="IG71" s="22">
        <f t="shared" si="294"/>
        <v>45156</v>
      </c>
      <c r="IH71" s="29">
        <f t="shared" ca="1" si="295"/>
        <v>-77</v>
      </c>
      <c r="II71" s="22" t="str">
        <f t="shared" ca="1" si="296"/>
        <v>POSIBLEMENTE NACIO</v>
      </c>
      <c r="IJ71" s="22"/>
      <c r="IK71" s="21"/>
      <c r="IL71" s="21"/>
      <c r="IM71" s="34"/>
      <c r="IN71" s="349"/>
      <c r="IO71" s="21"/>
      <c r="IP71" s="29" t="str">
        <f t="shared" si="297"/>
        <v/>
      </c>
      <c r="IQ71" s="110"/>
      <c r="IR71" s="21"/>
      <c r="IS71" s="21"/>
      <c r="IT71" s="21"/>
      <c r="IU71" s="21"/>
      <c r="IV71" s="21"/>
      <c r="IW71" s="21"/>
      <c r="IX71" s="21"/>
      <c r="IY71" s="21"/>
      <c r="IZ71" s="21"/>
      <c r="JA71" s="21"/>
      <c r="JB71" s="30"/>
      <c r="JC71" s="21"/>
      <c r="JD71" s="36"/>
      <c r="JE71" s="21" t="str">
        <f t="shared" si="298"/>
        <v/>
      </c>
      <c r="JF71" s="30"/>
      <c r="JG71" s="21"/>
      <c r="JH71" s="21"/>
      <c r="JI71" s="21"/>
      <c r="JJ71" s="30"/>
      <c r="JK71" s="22"/>
      <c r="JL71" s="22"/>
      <c r="JM71" s="21"/>
      <c r="JN71" s="36"/>
      <c r="JO71" s="21" t="str">
        <f t="shared" si="299"/>
        <v/>
      </c>
      <c r="JP71" s="22"/>
      <c r="JQ71" s="21"/>
      <c r="JR71" s="21"/>
      <c r="JS71" s="21"/>
      <c r="JT71" s="30"/>
      <c r="JU71" s="22"/>
      <c r="JV71" s="22"/>
      <c r="JW71" s="33"/>
      <c r="JX71" s="28" t="str">
        <f t="shared" si="300"/>
        <v/>
      </c>
      <c r="JY71" s="33"/>
      <c r="JZ71" s="28" t="str">
        <f t="shared" si="301"/>
        <v/>
      </c>
      <c r="KA71" s="21"/>
      <c r="KB71" s="21"/>
      <c r="KC71" s="21"/>
      <c r="KD71" s="37"/>
      <c r="KE71" s="28"/>
      <c r="KF71" s="28"/>
      <c r="KG71" s="28"/>
      <c r="KH71" s="39"/>
      <c r="KI71" s="39"/>
      <c r="KJ71" s="66"/>
      <c r="KK71" s="39"/>
      <c r="KL71" s="39"/>
      <c r="KM71" s="66"/>
      <c r="KN71" s="39"/>
      <c r="KO71" s="39"/>
      <c r="KP71" s="39"/>
      <c r="KQ71" s="39"/>
      <c r="KR71" s="39"/>
      <c r="KS71" s="39"/>
      <c r="KT71" s="39"/>
      <c r="KU71" s="38"/>
      <c r="KV71" s="38"/>
      <c r="KW71" s="38"/>
      <c r="KX71" s="38"/>
      <c r="KY71" s="38"/>
      <c r="KZ71" s="38"/>
      <c r="LA71" s="38"/>
      <c r="LB71" s="38"/>
      <c r="LC71" s="38"/>
      <c r="LD71" s="38"/>
      <c r="LE71" s="38"/>
      <c r="LF71" s="38"/>
      <c r="LG71" s="38"/>
      <c r="LH71" s="38"/>
      <c r="LI71" s="38"/>
      <c r="LJ71" s="38"/>
      <c r="LK71" s="38"/>
      <c r="LL71" s="38"/>
      <c r="LM71" s="38"/>
      <c r="LN71" s="38"/>
      <c r="LO71" s="38"/>
      <c r="LP71" s="38"/>
      <c r="LQ71" s="38"/>
      <c r="LR71" s="38"/>
      <c r="LS71" s="38"/>
      <c r="LT71" s="38"/>
      <c r="LU71" s="38"/>
      <c r="LV71" s="38"/>
      <c r="LW71" s="38"/>
      <c r="LX71" s="38"/>
      <c r="LY71" s="38"/>
      <c r="LZ71" s="38"/>
      <c r="MA71" s="38"/>
      <c r="MB71" s="38"/>
      <c r="MC71" s="38"/>
      <c r="MD71" s="38"/>
      <c r="ME71" s="38"/>
      <c r="MF71" s="38"/>
      <c r="MG71" s="38"/>
      <c r="MH71" s="43">
        <f t="shared" si="302"/>
        <v>0</v>
      </c>
      <c r="MI71" s="43" t="str">
        <f t="shared" si="303"/>
        <v/>
      </c>
      <c r="MJ71" s="43" t="str">
        <f t="shared" si="304"/>
        <v/>
      </c>
      <c r="MK71" s="43">
        <f t="shared" si="305"/>
        <v>0</v>
      </c>
      <c r="ML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1" s="43">
        <f t="shared" si="306"/>
        <v>5</v>
      </c>
      <c r="MN71" s="43">
        <f t="shared" si="307"/>
        <v>12</v>
      </c>
      <c r="MO71" s="43">
        <f t="shared" si="308"/>
        <v>2022</v>
      </c>
      <c r="MP71" s="43" t="str">
        <f t="shared" si="309"/>
        <v>IV TRIMESTRE AÑO</v>
      </c>
      <c r="MQ71" s="43">
        <f t="shared" si="310"/>
        <v>16.86651335961454</v>
      </c>
      <c r="MR71" s="43">
        <f t="shared" si="311"/>
        <v>0</v>
      </c>
      <c r="MS71" s="43" t="str">
        <f t="shared" si="312"/>
        <v>DE 14 A 19AÑOS</v>
      </c>
      <c r="MT71" s="43">
        <f t="shared" si="313"/>
        <v>0</v>
      </c>
      <c r="MU71" s="43">
        <f t="shared" si="314"/>
        <v>1</v>
      </c>
      <c r="MV71" s="43">
        <f t="shared" si="315"/>
        <v>0</v>
      </c>
      <c r="MW71" s="43">
        <f t="shared" si="316"/>
        <v>0</v>
      </c>
      <c r="MX71" s="43" t="str">
        <f t="shared" si="317"/>
        <v/>
      </c>
      <c r="MY71" s="43" t="str">
        <f t="shared" ca="1" si="229"/>
        <v/>
      </c>
      <c r="MZ71" s="43" t="str">
        <f t="shared" si="318"/>
        <v/>
      </c>
      <c r="NA71" s="43">
        <f t="shared" si="319"/>
        <v>0</v>
      </c>
      <c r="NB71" s="43" t="str">
        <f t="shared" si="320"/>
        <v/>
      </c>
      <c r="NC71" s="43" t="str">
        <f t="shared" si="321"/>
        <v/>
      </c>
      <c r="ND71" s="43">
        <f t="shared" ca="1" si="322"/>
        <v>1</v>
      </c>
      <c r="NE71" s="43">
        <f>IF(OR(O71&gt;0,R71&gt;0),SUM(COUNTIF(Tabla1[[#This Row],[AÑOS AL INICIO5 CPN]],"&gt;=40"),COUNTIF(AS71,"0"),COUNTIF(AR71,"SI"),COUNTIF(CC71,"SI"),COUNTIF(BQ71,"&gt;119"),COUNTIF(CI71,"&gt;=35")),"")</f>
        <v>1</v>
      </c>
      <c r="NF71" s="43" t="str">
        <f t="shared" si="323"/>
        <v/>
      </c>
      <c r="NG71" s="43">
        <f t="shared" si="324"/>
        <v>0</v>
      </c>
      <c r="NH71" s="43">
        <f t="shared" si="325"/>
        <v>42</v>
      </c>
      <c r="NI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CPN",P71="NO"),"Z",IF(AND(Tabla1[[#This Row],[CITA PROXIMO CONTROL]]="CITA MANUAL",Tabla1[[#This Row],[GESTANTES ACTUALES]]="ACTIVA INGRESO A CPN"),"W",IF(AND(Tabla1[[#This Row],[GESTANTES ACTUALES]]="SALIO PROGRAMA",IN71=""),"S",IF(AND(Tabla1[[#This Row],[CITA PROXIMO CONTROL]]&gt;0,IN71=""),(Tabla1[[#This Row],[CITA PROXIMO CONTROL]]-TODAY()),"SD"))))))))</f>
        <v>#REF!</v>
      </c>
      <c r="NJ71" s="43">
        <f>MONTH(Tabla1[[#This Row],[FECHA DE SALIDA  DEL PROGRAMA]])</f>
        <v>1</v>
      </c>
      <c r="NK71" s="43">
        <f>YEAR(Tabla1[[#This Row],[FECHA DE SALIDA  DEL PROGRAMA]])</f>
        <v>1900</v>
      </c>
      <c r="NL71" s="43" t="str">
        <f t="shared" si="326"/>
        <v>X</v>
      </c>
      <c r="NM71" s="43" t="str">
        <f t="shared" si="251"/>
        <v>NO</v>
      </c>
      <c r="NN71" s="43" t="str">
        <f ca="1">IF(AND(O71&gt;0,R71=""),"NO CPN",IF(AND(O71="",R71=""),"",IF(AND(R71&gt;0,Tabla1[[#This Row],[SEMANAS DE GESTACION ACTUALIZADAS]]&lt;=12),"NO APLICA",IF(AND(FH71&lt;&gt;"",FN71&lt;&gt;""),"SI","NO"))))</f>
        <v>NO</v>
      </c>
      <c r="NO71" s="43" t="str">
        <f ca="1">IF(AND(O71&gt;0,R71=""),"NO CPN",IF(AND(O71="",R71=""),"",IF(AND(R71&gt;0,Tabla1[[#This Row],[SEMANAS DE GESTACION ACTUALIZADAS]]&lt;=27),"NO APLICA",IF(AND(ES71&lt;&gt;"",FQ71&lt;&gt;"",GF71&lt;&gt;""),"SI","NO"))))</f>
        <v>NO</v>
      </c>
      <c r="NP71" s="204" t="str">
        <f t="shared" si="327"/>
        <v>I TRIM</v>
      </c>
      <c r="NQ71" s="21">
        <f>IF(AND(IP73&gt;0,IP73&lt;37),10,IF(OR(CD72="Transversa",CD72="Oblicua"),9,IF(CC72="SI",8,IF(AND(AT72=0,AW72=0,CC72="NO",CD72="Cefálica",IP73&gt;=37,IT73="INICIO ESPONTÁNEO"),1,IF(AND(AND(AT72=0,AW72=0,CC72="NO",CD72="Cefálica",IP73&gt;=37),OR(IT73="LE HACEN INDUCCIÓN",IT73="LE HACEN CESÁREA SIN INICIO TRABAJO DE PARTO")),2,IF(AND(AT72&gt;=1,AW72=0,CC72="NO",CD72="Cefálica",IP73&gt;=37,IT73="INICIO ESPONTÁNEO"),3,IF(AND(AND(AT72&gt;=1,AW72=0,CC72="NO",CD72="Cefálica",IP73&gt;=37),OR(IT73="LE HACEN INDUCCIÓN",IT73="LE HACEN CESÁREA SIN INICIO TRABAJO DE PARTO")),4,IF(AND(AND(AT72&gt;=1,AW72&gt;=1,CC72="NO",CD72="Cefálica",IP73&gt;=37),OR(IT73="LE HACEN INDUCCIÓN",IT73="LE HACEN CESÁREA SIN INICIO TRABAJO DE PARTO",IT73="INICIO ESPONTÁNEO")),5,IF(AND(AND(AT72=0,AW72=0,CC72="NO",CD72="Podálica",IP73&gt;=1),OR(IT73="LE HACEN INDUCCIÓN",IT73="LE HACEN CESÁREA SIN INICIO TRABAJO DE PARTO",IT73="INICIO ESPONTÁNEO")),6,IF(AND(AND(AT72&gt;=1,CC72="NO",CD72="Podálica",IP73&gt;=1),OR(IT73="LE HACEN INDUCCIÓN",IT73="LE HACEN CESÁREA SIN INICIO TRABAJO DE PARTO",IT73="INICIO ESPONTÁNEO"),OR(AW72=0,AW72&gt;=1)),7,""))))))))))</f>
        <v>10</v>
      </c>
      <c r="NR71" s="21" t="str">
        <f t="shared" ca="1" si="242"/>
        <v>REVISAR FUM O FECHA SALIDA PROGRAMA</v>
      </c>
      <c r="NS71" s="205">
        <f t="shared" ca="1" si="328"/>
        <v>1</v>
      </c>
      <c r="NT71" s="21">
        <f t="shared" ca="1" si="329"/>
        <v>1</v>
      </c>
      <c r="NU71" s="21" t="str">
        <f t="shared" ca="1" si="330"/>
        <v>POR DEFINIR</v>
      </c>
      <c r="NV71" s="21" t="str">
        <f t="shared" ca="1" si="331"/>
        <v>POR DEFINIR</v>
      </c>
      <c r="NW71" s="206" t="str">
        <f>IF(AND(O71="",R71=""),"",IF(OR(AND(Tabla1[[#This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1" s="207" t="str">
        <f t="shared" ca="1" si="332"/>
        <v>SIN VACUNAR</v>
      </c>
      <c r="NY71" s="43">
        <f>ROW(Tabla1[[#This Row],['# DE TAMIZAJES SIFILIS TOMADOS ]])</f>
        <v>71</v>
      </c>
      <c r="NZ71" s="43" t="str">
        <f t="shared" si="333"/>
        <v>Menor</v>
      </c>
      <c r="OA71" s="43" t="str">
        <f t="shared" si="334"/>
        <v>NORMAL</v>
      </c>
      <c r="OB71" s="43" t="str">
        <f t="shared" si="335"/>
        <v/>
      </c>
      <c r="OC71" s="43" t="str">
        <f t="shared" si="336"/>
        <v/>
      </c>
      <c r="OD71" s="43" t="str">
        <f t="shared" si="337"/>
        <v/>
      </c>
      <c r="OE71" s="43" t="str">
        <f t="shared" si="338"/>
        <v/>
      </c>
      <c r="OF71" s="43" t="str">
        <f t="shared" si="339"/>
        <v/>
      </c>
      <c r="OG71" s="43" t="str">
        <f t="shared" si="340"/>
        <v/>
      </c>
      <c r="OH71" s="43" t="str">
        <f t="shared" si="341"/>
        <v/>
      </c>
      <c r="OI71" s="43" t="str">
        <f t="shared" si="342"/>
        <v/>
      </c>
      <c r="OJ71" s="43" t="str">
        <f t="shared" si="343"/>
        <v/>
      </c>
      <c r="OK71" s="43" t="str">
        <f t="shared" si="344"/>
        <v/>
      </c>
      <c r="OL71" s="43" t="str">
        <f t="shared" si="345"/>
        <v/>
      </c>
      <c r="OM71" s="43" t="str">
        <f t="shared" si="346"/>
        <v/>
      </c>
      <c r="ON71" s="43" t="str">
        <f t="shared" si="347"/>
        <v/>
      </c>
      <c r="OO71" s="43" t="str">
        <f t="shared" si="348"/>
        <v/>
      </c>
      <c r="OP71" s="43" t="str">
        <f t="shared" si="349"/>
        <v/>
      </c>
      <c r="OQ71" s="43" t="str">
        <f t="shared" si="350"/>
        <v/>
      </c>
      <c r="OR71" s="43" t="str">
        <f t="shared" si="351"/>
        <v/>
      </c>
      <c r="OS71" s="43" t="str">
        <f t="shared" si="352"/>
        <v/>
      </c>
      <c r="OT71" s="43" t="str">
        <f t="shared" si="353"/>
        <v/>
      </c>
      <c r="OU71" s="43" t="str">
        <f t="shared" si="354"/>
        <v/>
      </c>
      <c r="OV71" s="110" t="str">
        <f t="shared" si="355"/>
        <v/>
      </c>
      <c r="OW71" s="43" t="str">
        <f t="shared" si="356"/>
        <v/>
      </c>
      <c r="OX71" s="43" t="str">
        <f t="shared" si="357"/>
        <v/>
      </c>
      <c r="OY71" s="43" t="str">
        <f t="shared" si="358"/>
        <v/>
      </c>
      <c r="OZ71" s="43" t="str">
        <f t="shared" si="359"/>
        <v/>
      </c>
      <c r="PA71" s="43" t="str">
        <f t="shared" si="360"/>
        <v/>
      </c>
      <c r="PB71" s="43" t="str">
        <f t="shared" si="361"/>
        <v/>
      </c>
      <c r="PC71" s="43" t="str">
        <f t="shared" si="362"/>
        <v/>
      </c>
      <c r="PD71" s="43" t="str">
        <f t="shared" si="363"/>
        <v/>
      </c>
      <c r="PE71" s="43" t="str">
        <f t="shared" si="364"/>
        <v/>
      </c>
      <c r="PF71" s="43" t="str">
        <f t="shared" si="365"/>
        <v/>
      </c>
      <c r="PG71" s="43" t="str">
        <f t="shared" si="366"/>
        <v/>
      </c>
      <c r="PH71" s="43" t="str">
        <f t="shared" si="367"/>
        <v/>
      </c>
      <c r="PI71" s="43" t="str">
        <f t="shared" si="368"/>
        <v>Menor</v>
      </c>
      <c r="PJ71" s="43" t="str">
        <f t="shared" si="369"/>
        <v/>
      </c>
      <c r="PK71" s="43" t="str">
        <f t="shared" si="370"/>
        <v/>
      </c>
      <c r="PL71" s="43" t="str">
        <f t="shared" si="371"/>
        <v/>
      </c>
      <c r="PM71" s="43" t="str">
        <f t="shared" si="372"/>
        <v/>
      </c>
      <c r="PN71" s="43" t="str">
        <f t="shared" si="373"/>
        <v/>
      </c>
      <c r="PO71" s="43" t="str">
        <f t="shared" si="374"/>
        <v/>
      </c>
      <c r="PP71" s="43" t="str">
        <f t="shared" si="375"/>
        <v/>
      </c>
      <c r="PQ71" s="43" t="str">
        <f t="shared" si="376"/>
        <v/>
      </c>
      <c r="PR71" s="43" t="str">
        <f t="shared" si="377"/>
        <v/>
      </c>
      <c r="PS71" s="43" t="str">
        <f t="shared" si="378"/>
        <v/>
      </c>
      <c r="PT71" s="43" t="str">
        <f t="shared" si="379"/>
        <v/>
      </c>
      <c r="PU71" s="43" t="str">
        <f t="shared" si="380"/>
        <v/>
      </c>
      <c r="PV71" s="43" t="str">
        <f t="shared" si="381"/>
        <v/>
      </c>
      <c r="PW71" s="43" t="str">
        <f t="shared" si="382"/>
        <v/>
      </c>
      <c r="PX71" s="43" t="str">
        <f t="shared" si="383"/>
        <v/>
      </c>
      <c r="PY71" s="43" t="str">
        <f t="shared" si="384"/>
        <v/>
      </c>
      <c r="PZ71" s="43" t="str">
        <f t="shared" si="385"/>
        <v/>
      </c>
      <c r="QA71" s="43" t="str">
        <f t="shared" si="386"/>
        <v/>
      </c>
      <c r="QB71" s="43" t="str">
        <f t="shared" si="387"/>
        <v/>
      </c>
      <c r="QC71" s="43" t="str">
        <f t="shared" si="388"/>
        <v/>
      </c>
      <c r="QD71" s="43" t="str">
        <f t="shared" si="389"/>
        <v/>
      </c>
      <c r="QE71" s="43" t="str">
        <f t="shared" si="390"/>
        <v/>
      </c>
      <c r="QF71" s="43" t="str">
        <f t="shared" si="391"/>
        <v/>
      </c>
      <c r="QG71" s="43" t="str">
        <f t="shared" si="392"/>
        <v/>
      </c>
      <c r="QH71" s="43" t="str">
        <f t="shared" si="393"/>
        <v/>
      </c>
      <c r="QI71" s="43" t="str">
        <f t="shared" si="394"/>
        <v/>
      </c>
      <c r="QJ71" s="43" t="str">
        <f t="shared" si="395"/>
        <v/>
      </c>
      <c r="QK71" s="43" t="str">
        <f t="shared" si="396"/>
        <v/>
      </c>
      <c r="QL71" s="43" t="str">
        <f t="shared" si="397"/>
        <v/>
      </c>
      <c r="QM71" s="43" t="str">
        <f t="shared" si="398"/>
        <v/>
      </c>
      <c r="QN71" s="43" t="str">
        <f t="shared" si="399"/>
        <v/>
      </c>
      <c r="QO71" s="43" t="str">
        <f t="shared" si="400"/>
        <v/>
      </c>
      <c r="QP71" s="43" t="str">
        <f t="shared" si="401"/>
        <v/>
      </c>
      <c r="QQ71" s="43" t="str">
        <f t="shared" si="402"/>
        <v/>
      </c>
      <c r="QR71" s="43" t="str">
        <f t="shared" si="432"/>
        <v>Menor</v>
      </c>
      <c r="QS71" s="43"/>
      <c r="QT71" s="21" t="str">
        <f t="shared" si="403"/>
        <v/>
      </c>
      <c r="QU71" s="21" t="str">
        <f t="shared" si="404"/>
        <v/>
      </c>
      <c r="QV71" s="21" t="str">
        <f t="shared" si="405"/>
        <v/>
      </c>
      <c r="QW71" s="21" t="str">
        <f t="shared" si="406"/>
        <v/>
      </c>
      <c r="QX71" s="21" t="str">
        <f t="shared" si="407"/>
        <v/>
      </c>
      <c r="QY71" s="21" t="str">
        <f t="shared" si="408"/>
        <v/>
      </c>
      <c r="QZ71" s="21" t="str">
        <f t="shared" si="409"/>
        <v/>
      </c>
      <c r="RA71" s="21" t="str">
        <f t="shared" si="410"/>
        <v/>
      </c>
      <c r="RB71" s="21" t="str">
        <f t="shared" si="411"/>
        <v/>
      </c>
      <c r="RC71" s="21" t="str">
        <f t="shared" si="412"/>
        <v/>
      </c>
      <c r="RD71" s="21" t="str">
        <f t="shared" si="413"/>
        <v/>
      </c>
      <c r="RE71" s="21" t="str">
        <f t="shared" si="414"/>
        <v/>
      </c>
      <c r="RF71" s="21" t="str">
        <f t="shared" si="415"/>
        <v/>
      </c>
      <c r="RG71" s="21" t="str">
        <f t="shared" si="416"/>
        <v/>
      </c>
      <c r="RH71" s="21" t="str">
        <f t="shared" si="417"/>
        <v/>
      </c>
      <c r="RI71" s="21" t="str">
        <f t="shared" si="418"/>
        <v/>
      </c>
      <c r="RJ71" s="21" t="str">
        <f t="shared" si="419"/>
        <v/>
      </c>
      <c r="RK71" s="21" t="str">
        <f t="shared" si="420"/>
        <v/>
      </c>
      <c r="RL71" s="21" t="str">
        <f t="shared" si="421"/>
        <v/>
      </c>
      <c r="RM71" s="21" t="str">
        <f t="shared" si="422"/>
        <v/>
      </c>
      <c r="RN71" s="21" t="str">
        <f t="shared" si="423"/>
        <v/>
      </c>
      <c r="RO71" s="21" t="str">
        <f t="shared" si="424"/>
        <v/>
      </c>
      <c r="RP71" s="21" t="str">
        <f t="shared" si="425"/>
        <v/>
      </c>
      <c r="RQ71" s="21" t="str">
        <f t="shared" si="426"/>
        <v/>
      </c>
      <c r="RR71" s="21" t="str">
        <f t="shared" si="427"/>
        <v/>
      </c>
      <c r="RS71" s="21" t="str">
        <f t="shared" si="428"/>
        <v/>
      </c>
      <c r="RT71" s="21" t="str">
        <f t="shared" si="429"/>
        <v/>
      </c>
      <c r="RU71" s="21" t="str">
        <f t="shared" si="430"/>
        <v/>
      </c>
      <c r="RV71" s="21">
        <f t="shared" si="431"/>
        <v>-1</v>
      </c>
      <c r="RW71" s="284">
        <f>IF(OR(Tabla1[[#This Row],[FUM FORMULA CONFIABLE]]="",Tabla1[[#This Row],[FUM FORMULA CONFIABLE]]="SD"),"",IF(Tabla1[[#This Row],[FUM FORMULA CONFIABLE]]="CORREGIDA",Tabla1[[#This Row],[FUM X ECO 1]],Tabla1[[#This Row],[FUM x AMENORREA]]))</f>
        <v>44876</v>
      </c>
      <c r="RX71" s="21">
        <f>IF(AND(Tabla1[[#This Row],[FUM X ECO 1]]="",Tabla1[[#This Row],[FUM x AMENORREA]]=""),"",IF(AND(Tabla1[[#This Row],[FUM X ECO 1]]="",Tabla1[[#This Row],[FUM x AMENORREA]]&lt;&gt;""),"X",SUM(Tabla1[[#This Row],[FUM X ECO 1]]-Tabla1[[#This Row],[FUM x AMENORREA]])))</f>
        <v>0</v>
      </c>
      <c r="RY71" s="21">
        <f t="shared" si="433"/>
        <v>0</v>
      </c>
    </row>
    <row r="72" spans="1:493" ht="45" customHeight="1" x14ac:dyDescent="0.25">
      <c r="A72" s="109"/>
      <c r="B72" s="43" t="s">
        <v>890</v>
      </c>
      <c r="C72" s="43" t="s">
        <v>845</v>
      </c>
      <c r="D72" s="124" t="s">
        <v>846</v>
      </c>
      <c r="E72" s="43" t="s">
        <v>979</v>
      </c>
      <c r="F72" s="43" t="s">
        <v>914</v>
      </c>
      <c r="G72" s="43" t="s">
        <v>1215</v>
      </c>
      <c r="H72" s="43"/>
      <c r="I72" s="109" t="s">
        <v>851</v>
      </c>
      <c r="J72" s="110">
        <v>1067461625</v>
      </c>
      <c r="K72" s="43" t="s">
        <v>852</v>
      </c>
      <c r="L72" s="175" t="s">
        <v>853</v>
      </c>
      <c r="M72" s="22">
        <v>31661</v>
      </c>
      <c r="N72" s="213">
        <f t="shared" ca="1" si="252"/>
        <v>37.183561643835617</v>
      </c>
      <c r="O72" s="22">
        <v>44918</v>
      </c>
      <c r="P72" s="214" t="str">
        <f>IF(AND(O72="",R72&gt;0),"ACUDE ESPONTANEAMENTE",IF(AND(AND(O72&gt;0,R72=""),OR(IN73&gt;0,IK72&lt;&gt;"")),"NA",IF(AND(O72&gt;0,IN73="",R72=""),"NO",IF(AND(O72&gt;0,R72&gt;0),"SI",""))))</f>
        <v>SI</v>
      </c>
      <c r="Q72" s="26" t="s">
        <v>855</v>
      </c>
      <c r="R72" s="22">
        <v>44918</v>
      </c>
      <c r="S72" s="21" t="s">
        <v>856</v>
      </c>
      <c r="T72" s="24" t="s">
        <v>690</v>
      </c>
      <c r="U72" s="21" t="s">
        <v>857</v>
      </c>
      <c r="V72" s="21" t="s">
        <v>858</v>
      </c>
      <c r="W72" s="21" t="s">
        <v>893</v>
      </c>
      <c r="X72" s="21" t="s">
        <v>893</v>
      </c>
      <c r="Y72" s="21" t="s">
        <v>859</v>
      </c>
      <c r="Z72" s="21" t="s">
        <v>1216</v>
      </c>
      <c r="AA72" s="21" t="s">
        <v>860</v>
      </c>
      <c r="AB72" s="27" t="s">
        <v>861</v>
      </c>
      <c r="AC72" s="26" t="s">
        <v>862</v>
      </c>
      <c r="AD72" s="38" t="s">
        <v>865</v>
      </c>
      <c r="AE72" s="26" t="s">
        <v>854</v>
      </c>
      <c r="AF72" s="26" t="s">
        <v>854</v>
      </c>
      <c r="AG72" s="23" t="s">
        <v>864</v>
      </c>
      <c r="AH72" s="23" t="s">
        <v>864</v>
      </c>
      <c r="AI72" s="24" t="s">
        <v>863</v>
      </c>
      <c r="AJ72" s="23" t="s">
        <v>864</v>
      </c>
      <c r="AK72" s="220" t="str">
        <f>IF(AND(AD72="",AE72="",AF72="",AG72="",AH72="",AI72="",AJ72=""),"",IF(OR(Tabla1[[#This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EVALUACIÓN",IF(AND(O72="",R72=""),"",IF(AND(OR(O72&gt;0,R72&gt;0),NG72&gt;=0,NG72&lt;2),"SIN RIESGO",IF(AND(OR(O72&gt;0,R72&gt;0),NG72&gt;=2),"CON RIESGO","ASD")))))</f>
        <v>COMPLETAR EVALUACIÓN</v>
      </c>
      <c r="AL72" s="23" t="s">
        <v>864</v>
      </c>
      <c r="AM72" s="26" t="s">
        <v>864</v>
      </c>
      <c r="AN72" s="26" t="s">
        <v>864</v>
      </c>
      <c r="AO72" s="26" t="s">
        <v>864</v>
      </c>
      <c r="AP72" s="26" t="s">
        <v>864</v>
      </c>
      <c r="AQ72" s="26" t="s">
        <v>864</v>
      </c>
      <c r="AR72" s="26" t="s">
        <v>864</v>
      </c>
      <c r="AS72" s="21">
        <v>4</v>
      </c>
      <c r="AT72" s="21">
        <v>4</v>
      </c>
      <c r="AU72" s="21">
        <v>0</v>
      </c>
      <c r="AV72" s="26" t="s">
        <v>864</v>
      </c>
      <c r="AW72" s="21">
        <v>0</v>
      </c>
      <c r="AX72" s="26" t="s">
        <v>864</v>
      </c>
      <c r="AY72" s="26" t="s">
        <v>864</v>
      </c>
      <c r="AZ72" s="26" t="s">
        <v>864</v>
      </c>
      <c r="BA72" s="26" t="s">
        <v>864</v>
      </c>
      <c r="BB72" s="26" t="s">
        <v>864</v>
      </c>
      <c r="BC72" s="26" t="s">
        <v>864</v>
      </c>
      <c r="BD72" s="26" t="s">
        <v>864</v>
      </c>
      <c r="BE72" s="26" t="s">
        <v>864</v>
      </c>
      <c r="BF72" s="26" t="s">
        <v>864</v>
      </c>
      <c r="BG72" s="26" t="s">
        <v>864</v>
      </c>
      <c r="BH72" s="26" t="s">
        <v>864</v>
      </c>
      <c r="BI72" s="26" t="s">
        <v>864</v>
      </c>
      <c r="BJ72" s="26"/>
      <c r="BK72" s="26"/>
      <c r="BL72" s="26" t="s">
        <v>864</v>
      </c>
      <c r="BM72" s="26" t="s">
        <v>864</v>
      </c>
      <c r="BN72" s="22"/>
      <c r="BO72" s="22">
        <v>44764</v>
      </c>
      <c r="BP72" s="21" t="s">
        <v>854</v>
      </c>
      <c r="BQ72" s="222">
        <f t="shared" si="254"/>
        <v>0</v>
      </c>
      <c r="BR72" s="223">
        <f t="shared" si="255"/>
        <v>44764</v>
      </c>
      <c r="BS72" s="224">
        <f t="shared" si="256"/>
        <v>22</v>
      </c>
      <c r="BT72" s="216" t="str">
        <f t="shared" si="257"/>
        <v>II TRIM</v>
      </c>
      <c r="BU72" s="214" t="str">
        <f t="shared" ca="1" si="258"/>
        <v/>
      </c>
      <c r="BV72" s="25" t="s">
        <v>988</v>
      </c>
      <c r="BW72" s="22">
        <v>44918</v>
      </c>
      <c r="BX72" s="28">
        <v>22</v>
      </c>
      <c r="BY72" s="28"/>
      <c r="BZ72" s="22"/>
      <c r="CA72" s="21"/>
      <c r="CB72" s="26" t="s">
        <v>864</v>
      </c>
      <c r="CC72" s="26" t="s">
        <v>864</v>
      </c>
      <c r="CD72" s="26" t="s">
        <v>865</v>
      </c>
      <c r="CE72" s="26" t="s">
        <v>864</v>
      </c>
      <c r="CF72" s="22" t="s">
        <v>1517</v>
      </c>
      <c r="CG72" s="21">
        <v>1.45</v>
      </c>
      <c r="CH72" s="21">
        <v>60</v>
      </c>
      <c r="CI72" s="214">
        <f t="shared" si="259"/>
        <v>28.53745541022592</v>
      </c>
      <c r="CJ72" s="225" t="e">
        <f>IF(AND(CI72&lt;10,CH72="SD"),"SIN DATO PESO PREGESTACION O I TRIM",IF(AND(OR(R72&gt;0,O72&gt;0),CI72="X"),"INGRESAR DATO DE PESO",IF(CI72="SD","INGRESAR DATO DE TALLA Y PESO",IF(AND(OR(Tabla1[[#This Row],[MOMENTO EN QUE SE REALIZA EL PESO AL INGRESO A CPN]]="PREGESTACIÓN",NZ72="Menor"),CI72&lt;18.5),"BAJO PESO",IF(AND(OR(Tabla1[[#This Row],[MOMENTO EN QUE SE REALIZA EL PESO AL INGRESO A CPN]]="PREGESTACIÓN",NZ72="Menor"),CI72&lt;25),"NORMAL",IF(AND(OR(Tabla1[[#This Row],[MOMENTO EN QUE SE REALIZA EL PESO AL INGRESO A CPN]]="PREGESTACIÓN",NZ72="Menor"),CI72&lt;30),"SOBREPESO",IF(AND(OR(Tabla1[[#This Row],[MOMENTO EN QUE SE REALIZA EL PESO AL INGRESO A CPN]]="PREGESTACIÓN",NZ72="Menor"),CI72&gt;=30,CI72&lt;50),"OBESIDAD",IF(AND(BS72&gt;0,Tabla1[[#This Row],[MOMENTO EN QUE SE REALIZA EL PESO AL INGRESO A CPN]]="GESTACIÓN"),HLOOKUP(NZ72,$OA$2:PH72,NY72),""))))))))</f>
        <v>#REF!</v>
      </c>
      <c r="CK72" s="212">
        <f t="shared" si="260"/>
        <v>45056</v>
      </c>
      <c r="CL72" s="21">
        <v>62.5</v>
      </c>
      <c r="CM72" s="214">
        <f t="shared" si="261"/>
        <v>29.726516052318669</v>
      </c>
      <c r="CN72" s="216">
        <f t="shared" si="262"/>
        <v>41</v>
      </c>
      <c r="CO72" s="216" t="e">
        <f>IF(PI72="","",IF(PI72&gt;0,HLOOKUP(PI72,$PJ$2:QQ72,NY72),""))</f>
        <v>#REF!</v>
      </c>
      <c r="CP72" s="21"/>
      <c r="CQ72" s="216" t="e">
        <f>IF(QR72="Menor","NO APLICA-MENOR 13 SEM",IF(AND(CC72="SI",CN72&gt;23),"NO APLICA- GEMELAR",IF(QR72="","",IF(QR72&gt;0,HLOOKUP(QR72,$QS$2:RU72,NY72),""))))</f>
        <v>#REF!</v>
      </c>
      <c r="CR72" s="21">
        <v>110</v>
      </c>
      <c r="CS72" s="21">
        <v>80</v>
      </c>
      <c r="CT72" s="217" t="str">
        <f>IF(R72="","",IF(AND(BS72&gt;1,BS72&lt;12,Tabla1[[#This Row],[T.A. SISTOLICA - ANTES DE SEMANA 12]]="",Tabla1[[#This Row],[T.A. DIASTOLICA - ANTES DE SEMANA 12]]=""),"REGISTRE DATO TA ANTES SEMANA 12",IF(AND(BS72&gt;11,BS72&lt;43,Tabla1[[#This Row],[T.A. SISTOLICA - ANTES DE SEMANA 12]]="",Tabla1[[#This Row],[T.A. DIASTOLICA - ANTES DE SEMANA 12]]=""),"NO APLICA REGISTRO TA-INGRESO TARDIO",IF(AND(OR(O72&gt;0,R72&gt;0),OR(CR72&gt;=140,CS72&gt;=90)),"DEFINIR ESTADIO HTA",IF(AND(OR(O72&gt;0,R72&gt;0),AND(CR72&gt;120,CR72&lt;=139)),"PRE HTA SEGUIMIENTO",IF(AND(OR(O72&gt;0,R72&gt;0),AND(CS72&gt;80,CS72&lt;=89)),"PRE HTA SEGUIMIENTO",IF(AND(OR(O72&gt;0,R72&gt;0),AND(CR72&gt;=80,CR72&lt;=120)),"APARENTEMENTE NORMAL",IF(AND(OR(O72&gt;0,R72&gt;0),AND(CS72&gt;=50,CS72&lt;=80)),"APARENTEMENTE NORMAL",IF(AND(OR(O72&gt;0,R72&gt;0),AND(CR72&gt;1,CR72&lt;=70),AND(CS72&gt;1,CS72&lt;=40)),"HIPOTENSIÓN","")))))))))</f>
        <v>APARENTEMENTE NORMAL</v>
      </c>
      <c r="CU72" s="21"/>
      <c r="CV72" s="21"/>
      <c r="CW72" s="217" t="str">
        <f ca="1">IF(R72="","",IF(AND(CN72&gt;19,CN72&lt;27,Tabla1[[#This Row],[T.A. SISTOLICA (Entre semana 20 y 26)]]="",Tabla1[[#This Row],[T.A. DIATOLICA (Entre semana 20 y 26)]]=""),"ACUDE A CONTROL SEM 20 A 26 REGISTRE TA AHORA",IF(AND(BS72&gt;1,BS72&lt;27,BU72&gt;19,Tabla1[[#This Row],[T.A. SISTOLICA (Entre semana 20 y 26)]]="",Tabla1[[#This Row],[T.A. DIATOLICA (Entre semana 20 y 26)]]=""),"COMPLETE REGISTRO TA CONTROL SEM 20 A26 ",IF(AND(BS72&gt;26,BS72&lt;43,Tabla1[[#This Row],[T.A. SISTOLICA (Entre semana 20 y 26)]]="",Tabla1[[#This Row],[T.A. DIATOLICA (Entre semana 20 y 26)]]=""),"NO APLICA REGISTRO TA-INGRESO TARDIO",IF(AND(OR(O72&gt;0,R72&gt;0),OR(CU72&gt;=140,CV72&gt;=90)),"ALTO RIESGO PREECLAMPSIA,DEFINIR ESTADIO HTA",IF(AND(OR(O72&gt;0,R72&gt;0),AND(CU72&gt;120,CU72&lt;=139)),"PRE HTA SEGUIMIENTO,RIESGO HIPERTENSION INDUCIDA POR EL EMBARAZO",IF(AND(OR(O72&gt;0,R72&gt;0),AND(CV72&gt;80,CV72&lt;=89)),"PRE HTA SEGUIMIENTO, RIESGO HIPERTENSION INDUCIDA POR EL EMBARAZO",IF(AND(OR(O72&lt;&gt;"",R72&lt;&gt;""),CS72&lt;&gt;"",CV72&lt;&gt;"",CS72&lt;=CV72),"VIGILAR CIFRAS PRESION ARTERIAL",IF(AND(OR(O72&gt;0,R72&gt;0),AND(CU72&gt;120,CU72&lt;=139)),"PRE HTA SEGUIMIENTO",IF(AND(OR(O72&gt;0,R72&gt;0),AND(CU72&gt;1,CU72&lt;=70),AND(CV72&gt;1,CV72&lt;=40)),"HIPOTENSIÓN",IF(AND(OR(O72&lt;&gt;"",R72&lt;&gt;""),CS72&lt;&gt;"",CV72&lt;&gt;"",CS72&gt;CV72),"APARENTEMENTE NORMAL",IF(AND(OR(O72&gt;0,R72&gt;0),AND(CU72&gt;=80,CU72&lt;=120)),"APARENTEMENTE NORMAL",IF(AND(OR(O72&gt;0,R72&gt;0),AND(CV72&gt;=50,CV72&lt;=80)),"APARENTEMENTE NORMAL","")))))))))))))</f>
        <v xml:space="preserve">COMPLETE REGISTRO TA CONTROL SEM 20 A26 </v>
      </c>
      <c r="CX72" s="21"/>
      <c r="CY72" s="21"/>
      <c r="CZ72" s="216" t="str">
        <f t="shared" si="263"/>
        <v/>
      </c>
      <c r="DA72" s="21">
        <v>110</v>
      </c>
      <c r="DB72" s="21">
        <v>85</v>
      </c>
      <c r="DC72" s="217" t="str">
        <f t="shared" si="264"/>
        <v>PRE HTA,RIESGO ALTO PREECLAMPSIA</v>
      </c>
      <c r="DD72" s="22">
        <v>44918</v>
      </c>
      <c r="DE72" s="22">
        <v>44918</v>
      </c>
      <c r="DF72" s="22">
        <v>45056</v>
      </c>
      <c r="DG72" s="22"/>
      <c r="DH72" s="22"/>
      <c r="DI72" s="22"/>
      <c r="DJ72" s="22"/>
      <c r="DK72" s="22"/>
      <c r="DL72" s="22"/>
      <c r="DM72" s="22"/>
      <c r="DN72" s="22"/>
      <c r="DO72" s="22"/>
      <c r="DP72" s="22"/>
      <c r="DQ72" s="22"/>
      <c r="DR72" s="28">
        <v>1</v>
      </c>
      <c r="DS72" s="22"/>
      <c r="DT72" s="22"/>
      <c r="DU72" s="216" t="str">
        <f ca="1">IF(AND(BT72="ERROR FUM O INGRESO",DS72&gt;0),"ERROR FUM O INGRESO",IF(AND(DS72="",R72="",O72=""),"",IF(OR(AND(DS72&lt;&gt;"",DS72&lt;RW72),AND(DS72&lt;&gt;"",AND(SUM((DS72-RW72)/7)&gt;0,SUM((DS72-RW72)/7)&lt;28))),"PLAN REALIZADO ANTES III TRIM", IF(AND(DS72="",OR(O72&gt;0,R72&gt;0),AND(BU72&gt;=28, BU72&lt;35,DV72="ACTIVA INGRESO A CPN")),"PLANEAR PLAN DE PARTO", IF(AND(DS72="",OR(O72&gt;0,R72&gt;0),BU72&gt;=35,DV72="ACTIVA INGRESO A CPN"),"CONCERTAR PLAN DE PARTO INMEDIATO", IF(AND(DS72="",OR(O72&gt;0,R72&gt;0),AND(BU72&gt;0, BU72&lt;28),OR(DV72="ACTIVA INGRESO A CPN", DV72=" ACTIVA SIN INGRESO CPN")),"EN ESPERA", IF(AND(DS72="",OR(O72&gt;0,R72&gt;0),AND(IP73&gt;0, IP73&lt;28)),"NO APLICA SALE PROGRAMA ANTES III TRIM", IF(AND(DS72="",OR(O72&gt;0,R72&gt;0),AND(IP73&gt;=28, IP73&lt;35)),"SALE PROGRAMA ANTES SEMANA 35", IF(AND(DS72="",OR(O72&gt;0,R72&gt;0),IP73&gt;35),"SALE SIN PLAN DE PARTO",IF(DS72&gt;0,SUM(DS72-BO72)/7,""))))))))))</f>
        <v>SALE PROGRAMA ANTES SEMANA 35</v>
      </c>
      <c r="DV72" s="226" t="str">
        <f>IF(AND(R72&lt;&gt;"",IK72="CAMBIO DE RESIDENCIA",IK72="CAMBIO DE IPS",IK72="CAMBIO DE EPS"),"SEGUIMIENTO REPORTE EPS",IF(IK72="IVE","IVE",IF(AND(R72&lt;&gt;"",OR(IK72&lt;&gt;"",IN73&lt;&gt;"")),"SALIO PROGRAMA",IF(AND(AND(R72="",O72&gt;0),OR(IK72&lt;&gt;"",IN73&lt;&gt;"")),"SALE SIN INGRESO CPN",IF(AND(R72="",O72&gt;0,IK72="",IN73=""),"ACTIVA SIN INGRESO CPN",IF(AND(R72&lt;&gt;"",OR(IK72="",IN73="")),"ACTIVA INGRESO A CPN",""))))))</f>
        <v>SALIO PROGRAMA</v>
      </c>
      <c r="DW7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2" s="216" t="str">
        <f t="shared" ca="1" si="266"/>
        <v/>
      </c>
      <c r="DY72" s="212">
        <f>IF(R72="","",IF(R72&gt;0,MAX(Tabla1[[#This Row],[FECHA C2]:[FECHA C13]],Tabla1[[#This Row],[FECHA CONSULTA PRIMERA VEZ PROGRAMA CPN ]])))</f>
        <v>45056</v>
      </c>
      <c r="DZ72" s="216">
        <f t="shared" si="267"/>
        <v>41</v>
      </c>
      <c r="EA72" s="222">
        <f>IF(R72&gt;0,SUM(COUNTA(DF72:DQ72)+COUNTA(Tabla1[[#This Row],[FECHA CONSULTA PRIMERA VEZ PROGRAMA CPN ]])),"")</f>
        <v>2</v>
      </c>
      <c r="EB72" s="222" t="str">
        <f t="shared" si="268"/>
        <v>NO</v>
      </c>
      <c r="EC72" s="214">
        <f t="shared" si="269"/>
        <v>6</v>
      </c>
      <c r="ED72" s="227">
        <f t="shared" si="270"/>
        <v>0.33333333333333331</v>
      </c>
      <c r="EE72" s="22">
        <v>44918</v>
      </c>
      <c r="EF72" s="22">
        <v>44918</v>
      </c>
      <c r="EG72" s="22">
        <v>44918</v>
      </c>
      <c r="EH72" s="22"/>
      <c r="EI72" s="22">
        <v>44918</v>
      </c>
      <c r="EJ72" s="22"/>
      <c r="EK72" s="22"/>
      <c r="EL72" s="21"/>
      <c r="EM72" s="21">
        <v>14</v>
      </c>
      <c r="EN72" s="22">
        <v>44918</v>
      </c>
      <c r="EO72" s="222">
        <f t="shared" si="271"/>
        <v>22</v>
      </c>
      <c r="EP72" s="214" t="str">
        <f t="shared" si="272"/>
        <v>NORMAL- SUMINISTRAR SULFATO FERROSO</v>
      </c>
      <c r="EQ72" s="216" t="str">
        <f t="shared" si="273"/>
        <v>II TRIM</v>
      </c>
      <c r="ER72" s="24"/>
      <c r="ES72" s="22"/>
      <c r="ET72" s="29" t="str">
        <f ca="1">IF(AND(BT72="ERROR FUM O INGRESO",ES72&gt;0),"ERROR FUM O INGRESO",IF(AND(ES72="",R72="",O72=""),"",IF(OR(AND(ES72&lt;&gt;"",ES72&lt;RW72),AND(ES72&lt;&gt;"",SUM((ES72-RW72)/7)&gt;40)),"CORREGIR FECHA RESULTADO",IF(AND(BU72&gt;1,BU72&lt;23,ER72="",ES72=""),"EN ESPERA PARA TOMA EXAMEN",IF(AND(BU72&gt;22,BU72&lt;26,ER72="",ES72=""),"PROGRAMAR TOMA HEMOGLOBINA A SEM 28",IF(AND(BU72&gt;25,BU72&lt;28,ER72="",ES72=""),"TOMA HEMOGLOBINA A SEM 28 EN 1 SEMANA",IF(AND(BU72&gt;27,BU72&lt;31,ES72="",OR(O72&gt;0,R72&gt;0)),"EN SEMANA 28 TOMA INMEDIATA DE EXAMEN",IF(AND(IP73&gt;0,IP73&lt;28,ES72="",OR(O72&gt;0,R72&gt;0)),"NO APLICA-SALE ANTES SEM 28",IF(AND(IP73&gt;28,IP73&lt;43,ES72="",OR(O72&gt;0,R72&gt;0)),"SALE SIN TAMIZAJE HEMOGLOBINA SEM 28",IF(AND(BS72&gt;0,ES72="",OR(O72&gt;0,R72&gt;0)),"TOMA DE HEMOGLOBINA TARDÍA",IF(ES72&gt;0,SUM(ES72-RW72)/7,"")))))))))))</f>
        <v>SALE SIN TAMIZAJE HEMOGLOBINA SEM 28</v>
      </c>
      <c r="EU72" s="25" t="str">
        <f t="shared" si="275"/>
        <v/>
      </c>
      <c r="EV72" s="24" t="s">
        <v>1510</v>
      </c>
      <c r="EW72" s="32">
        <v>44918</v>
      </c>
      <c r="EX72" s="22"/>
      <c r="EY72" s="29">
        <f t="shared" si="248"/>
        <v>22</v>
      </c>
      <c r="EZ72" s="25" t="str">
        <f t="shared" si="249"/>
        <v>SIN RIESGO DE ISOINMUNIZACIÓN</v>
      </c>
      <c r="FA72" s="21">
        <v>105</v>
      </c>
      <c r="FB72" s="22">
        <v>44918</v>
      </c>
      <c r="FC72" s="29">
        <f t="shared" si="276"/>
        <v>22</v>
      </c>
      <c r="FD72" s="29"/>
      <c r="FE72" s="29"/>
      <c r="FF72" s="29"/>
      <c r="FG72" s="21" t="str">
        <f t="shared" ca="1" si="277"/>
        <v/>
      </c>
      <c r="FH72" s="31"/>
      <c r="FI72" s="29" t="str">
        <f t="shared" si="278"/>
        <v>TOMAR EXAMEN</v>
      </c>
      <c r="FJ72" s="22"/>
      <c r="FK72" s="22"/>
      <c r="FL72" s="29" t="str">
        <f t="shared" ca="1" si="279"/>
        <v>NO APLICA-INGRESO TARDIO</v>
      </c>
      <c r="FM72" s="22" t="s">
        <v>867</v>
      </c>
      <c r="FN72" s="32">
        <v>44918</v>
      </c>
      <c r="FO72" s="29">
        <f ca="1">IF(AND(BT72="ERROR FUM O INGRESO",FN72&gt;0),"ERROR FUM O INGRESO",IF(AND(FN72="",R72="",O72=""),"",IF(AND(FN72&lt;&gt;"",FN72&lt;RW72), "INCOHERENCIA FUM Y FECHA TAMIZAJE",IF(AND(FN72="",DV72="ACTIVA INGRESO A CPN",AND(BU72&gt;0,BU72&lt;13)),"EN ESPERA-ESTÁ I TRIM", IF(AND(FN72="",AND(BS72&gt;0, BS72&lt;13),OR(O72&gt;0,R72&gt;0),AND(IP73&gt;0,IP73&lt;13)),"NO APLICA-SALIO DEL PROGRAMA I TRIM",IF(AND(FN72&lt;&gt;"",AND(SUM((FN72-RW72)/7)&gt;0,SUM((FN72-RW72)/7)&lt;13)),"REGISTRAR EN I TRIMESTRE",IF(AND(FN72&lt;&gt;"",AND(SUM((FN72-RW72)/7)&gt;=27,SUM((FN72-RW72)/7)&lt;44)),"REGISTRAR EN III TRIMESTRE",IF(AND(FN72="",OR(O72&gt;0,R72&gt;0),AND(BU72&gt;=13,BU72&lt;24),DV72="ACTIVA INGRESO A CPN"),"EN RANGO PARA TOMAR EXAMEN",IF(AND(FN72="",OR(O72&gt;0,R72&gt;0),AND(BU72&gt;=25,BU72&lt;27),DV72="ACTIVA INGRESO A CPN"),"TOMA INMEDIATA DE TAMIZAJE",IF(AND(FN72="",OR(O72&gt;0,R72&gt;0),AND(BS72&gt;=27,BS72&lt;44)),"NO APLICA-INGRESO TARDIO",IF(AND(FN72="",BS72&lt;27,OR(AND(IP73&gt;12,IP73&lt;44),BU72&gt;12)),"PIERDE TOMA DE TAMIZAJE",IF(FN72&gt;0,SUM(FN72-RW72)/7,""))))))))))))</f>
        <v>22</v>
      </c>
      <c r="FP72" s="22"/>
      <c r="FQ72" s="32"/>
      <c r="FR72" s="29" t="str">
        <f ca="1">IF(AND(BT72="ERROR FUM O INGRESO",FQ72&gt;0),"ERROR FUM O INGRESO",IF(AND(FQ72="",R72="",O72=""),"",IF(AND(FQ72&lt;&gt;"",FQ72&lt;RW72), "INCOHERENCIA FUM Y FECHA TAMIZAJE",IF(AND(FQ72="",DV72="ACTIVA INGRESO A CPN",AND(BU72&gt;0,BU72&lt;27)),"EN ESPERA-ESTÁ I TRIM O II TRIM", IF(AND(FQ72="",AND(BS72&gt;0, BS72&lt;27),OR(O72&gt;0,R72&gt;0),AND(IP73&gt;0,IP73&lt;27)),"NO APLICA-SALIO DEL PROGRAMA I O II TRIM",IF(AND(FQ72&lt;&gt;"",AND(SUM((FQ72-RW72)/7)&gt;0,SUM((FQ72-RW72)/7)&lt;13)),"REGISTAR EN I TRIMESTRE",IF(AND(FQ72&lt;&gt;"",AND(SUM((FQ72-RW72)/7)&gt;=13,SUM((FQ72-RW72)/7)&lt;27)),"REGISTRAR EN II TRIMESTRE",IF(AND(FQ72="",OR(O72&gt;0,R72&gt;0),AND(BU72&gt;=28,BU72&lt;35),DV72="ACTIVA INGRESO A CPN"),"EN RANGO PARA TOMAR EXAMEN",IF(AND(FQ72="",OR(O72&gt;0,R72&gt;0),BU72&gt;=35, DV72="ACTIVA INGRESO A CPN"),"TOMA INMEDIATA DE TAMIZAJE",IF(AND(FQ72="",DV72= "SALE SIN INGRESO CPN"),"NO APLICA-SIN CPN",IF(AND(FQ72="",AND(IP73&gt;26,IP73&lt;43)),"PIERDE TOMA DE TAMIZAJE",IF(FQ72&gt;0,SUM(FQ72-RW72)/7,""))))))))))))</f>
        <v>PIERDE TOMA DE TAMIZAJE</v>
      </c>
      <c r="FS72" s="22"/>
      <c r="FT72" s="32"/>
      <c r="FU72" s="29" t="str">
        <f>IF(AND(FJ72="",FM72="",FP72="",FS72=""),"",IF(OR(OR(Tabla1[[#This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2" s="28"/>
      <c r="FW72" s="22"/>
      <c r="FX72" s="29" t="str">
        <f t="shared" si="280"/>
        <v>TOMAR EXAMEN</v>
      </c>
      <c r="FY72" s="22">
        <v>44918</v>
      </c>
      <c r="FZ72" s="22">
        <v>44918</v>
      </c>
      <c r="GA72" s="29" t="str">
        <f t="shared" si="250"/>
        <v>REGISTRAR EN II TRIMESTRE</v>
      </c>
      <c r="GB72" s="22" t="s">
        <v>868</v>
      </c>
      <c r="GC72" s="22">
        <v>44918</v>
      </c>
      <c r="GD72" s="29">
        <f ca="1">IF(AND(BT72="ERROR FUM O INGRESO",GC72&gt;0),"ERROR FUM O INGRESO",IF(AND(GC72="",R72="",O72=""),"",IF(AND(GC72&lt;&gt;"",GC72&lt;RW72), "INCOHERENCIA FUM Y FECHA TAMIZAJE",IF(AND(GC72="",DV72="ACTIVA INGRESO A CPN",AND(BU72&gt;0,BU72&lt;13)),"EN ESPERA-ESTÁ I TRIM", IF(AND(GC72="",AND(BS72&gt;0, BS72&lt;12),OR(O72&gt;0,R72&gt;0),AND(IP73&gt;0,IP73&lt;13)),"NO APLICA-SALIO DEL PROGRAMA I TRIM",IF(AND(GC72&lt;&gt;"",AND(SUM((GC72-RW72)/7)&gt;0,SUM((GC72-RW72)/7)&lt;13)),"REGISTRAR EN I TRIMESTRE",IF(AND(GC72&lt;&gt;"",AND(SUM((GC72-RW72)/7)&gt;=27,SUM((GC72-RW72)/7)&lt;44)),"REGISTRAR EN III TRIMESTRE",IF(AND(GC72="",OR(O72&gt;0,R72&gt;0),AND(BU72&gt;=12,BU72&lt;25),DV72="ACTIVA INGRESO A CPN"),"EN RANGO PARA TOMAR EXAMEN",IF(AND(GC72="",OR(O72&gt;0,R72&gt;0),AND(BU72&gt;=25,BU72&lt;27),DV72="ACTIVA INGRESO A CPN"),"TOMA INMEDIATA DE TAMIZAJE",IF(AND(GC72="",OR(O72&gt;0,R72&gt;0),AND(BS72&gt;=27,BS72&lt;43)),"NO APLICA-INGRESO TARDIO",IF(AND(GC72="",BS72&lt;27),"PIERDE TOMA DE TAMIZAJE",IF(GC72&gt;0,SUM(GC72-RW72)/7,""))))))))))))</f>
        <v>22</v>
      </c>
      <c r="GE72" s="22"/>
      <c r="GF72" s="22"/>
      <c r="GG72" s="29" t="str">
        <f ca="1">IF(AND(BT72="ERROR FUM O INGRESO",GF72&gt;0),"ERROR FUM O INGRESO",IF(AND(GF72="",R72="",O72=""),"",IF(AND(GF72&lt;&gt;"",GF72&lt;RW72), "INCOHERENCIA FUM Y FECHA TAMIZAJE",IF(AND(GF72="",DV72="ACTIVA INGRESO A CPN",AND(BU72&gt;0,BU72&lt;27)),"EN ESPERA-ESTÁ I TRIM O II TRIM", IF(AND(GF72="",AND(BS72&gt;0, BS72&lt;28),OR(O72&gt;0,R72&gt;0),AND(IP73&gt;0,IP73&lt;28)),"NO APLICA-SALIO DEL PROGRAMA I O II TRIM",IF(AND(GF72&lt;&gt;"",AND(SUM((GF72-RW72)/7)&gt;0,SUM((GF72-RW72)/7)&lt;13)),"REGISTAR EN I TRIMESTRE",IF(AND(GF72&lt;&gt;"",AND(SUM((GF72-RW72)/7)&gt;=13,SUM((GF72-RW72)/7)&lt;27)),"REGISTRAR EN II TRIMESTRE",IF(AND(GF72="",OR(O72&gt;0,R72&gt;0),AND(BU72&gt;=28,BU72&lt;35),DV72="ACTIVA INGRESO A CPN"),"EN RANGO PARA TOMAR EXAMEN",IF(AND(GF72="",OR(O72&gt;0,R72&gt;0),BU72&gt;=35, DV72="ACTIVA INGRESO A CPN"),"TOMA INMEDIATA DE TAMIZAJE",IF(AND(GF72="",DV72= "SALE SIN INGRESO CPN"),"NO APLICA-SIN CPN",IF(AND(GF72="",BS72&lt;44),"PIERDE TOMA DE TAMIZAJE",IF(GF72&gt;0,SUM(GF72-RW72)/7,""))))))))))))</f>
        <v>PIERDE TOMA DE TAMIZAJE</v>
      </c>
      <c r="GH72" s="22"/>
      <c r="GI72" s="29"/>
      <c r="GJ72" s="22"/>
      <c r="GK72" s="22"/>
      <c r="GL72" s="22"/>
      <c r="GM72" s="22"/>
      <c r="GN72" s="28" t="s">
        <v>869</v>
      </c>
      <c r="GO72" s="22">
        <v>44918</v>
      </c>
      <c r="GP72" s="29">
        <f t="shared" si="283"/>
        <v>22</v>
      </c>
      <c r="GQ72" s="28" t="s">
        <v>869</v>
      </c>
      <c r="GR72" s="28" t="s">
        <v>869</v>
      </c>
      <c r="GS72" s="22" t="str">
        <f t="shared" si="284"/>
        <v>CONTROL Igm</v>
      </c>
      <c r="GT72" s="22">
        <v>44918</v>
      </c>
      <c r="GU72" s="29">
        <f t="shared" si="285"/>
        <v>22</v>
      </c>
      <c r="GV72" s="21" t="str">
        <f t="shared" si="286"/>
        <v>II TRIM</v>
      </c>
      <c r="GW72" s="28" t="s">
        <v>869</v>
      </c>
      <c r="GX72" s="30"/>
      <c r="GY72" s="21"/>
      <c r="GZ72" s="21"/>
      <c r="HA72" s="21"/>
      <c r="HB72" s="21"/>
      <c r="HC72" s="21"/>
      <c r="HD72" s="21"/>
      <c r="HE72" s="21"/>
      <c r="HF72" s="22"/>
      <c r="HG72" s="22" t="str">
        <f>IF(OR(O72&gt;0,R72&gt;0),CONCATENATE(IF(Tabla1[[#This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2" s="22" t="e">
        <f t="shared" si="287"/>
        <v>#REF!</v>
      </c>
      <c r="HI72" s="22" t="e">
        <f t="shared" ca="1" si="288"/>
        <v>#REF!</v>
      </c>
      <c r="HJ72" s="21"/>
      <c r="HK72" s="21" t="str">
        <f t="shared" si="289"/>
        <v>SIN ANTECEDENTES DE RIESGO</v>
      </c>
      <c r="HL72" s="24" t="str">
        <f t="shared" si="290"/>
        <v>PRE HTA,RIESGO ALTO PREECLAMPSIA</v>
      </c>
      <c r="HM72" s="21" t="str">
        <f t="shared" ca="1" si="291"/>
        <v/>
      </c>
      <c r="HN72" s="30" t="str">
        <f>IF(AND(R72&lt;&gt;"",IK72="CAMBIO DE RESIDENCIA"),"SEGUIMIENTO REPORTE EPS",IF(AND(R72&lt;&gt;"",OR(IK72&lt;&gt;"",IN73&lt;&gt;"")),"SALIO PROGRAMA",IF(AND(AND(R72="",O72&gt;0),OR(IK72&lt;&gt;"",IN73&lt;&gt;"")),"SALE SIN INGRESO CPN",IF(AND(R72="",O72&gt;0,IK72="",IN73=""),"ACTIVA SIN INGRESO CPN",IF(AND(R72&lt;&gt;"",OR(IK72="",IN73="")),"ACTIVA INGRESO A CPN","")))))</f>
        <v>SALIO PROGRAMA</v>
      </c>
      <c r="HO72" s="21"/>
      <c r="HP72" s="21"/>
      <c r="HQ72" s="21">
        <v>44918</v>
      </c>
      <c r="HR72" s="21" t="str">
        <f>IF(R72="","",IF(Tabla1[[#This Row],[ALARMA FACTORES DE RIESGO COMPLICACIONES HIPERTENSIVAS3]]="SIN ANTECEDENTES DE RIESGO","No Aplica para suministro de ASA",IF(AND(Tabla1[[#This Row],[FECHA INICIO DE SUMINISTRO DE ASA]]&gt;0,RV72&lt;12),"Inicia ASA ANTES de Sem 12",IF(AND(RV72&gt;11,RV72&lt;17,OR(HK72="RIESGO ALTO DE COMPLICACIONES HIPERTENSIVAS VER MANEJO GUIA SUMINISTRO ASA Y CALCIO",HK72="RIESGO MODERADO (2 O MAS CRITERIOS) VER MANEJO GUIA SUMINISTRO ASA Y CALCIO")),"Inicio oportuno de ASA",IF(AND(RV72&gt;12,OR(HK72="RIESGO ALTO DE COMPLICACIONES HIPERTENSIVAS VER MANEJO GUIA SUMINISTRO ASA Y CALCIO",HK72="RIESGO MODERADO (2 O MAS CRITERIOS) VER MANEJO GUIA SUMINISTRO ASA Y CALCIO")),"Inicio no oportuno mayor a 16 semanas",IF(AND(BU72&lt;12,OR(HK72="RIESGO ALTO DE COMPLICACIONES HIPERTENSIVAS VER MANEJO GUIA SUMINISTRO ASA Y CALCIO",HK72="RIESGO MODERADO (2 O MAS CRITERIOS) VER MANEJO GUIA SUMINISTRO ASA Y CALCIO")),"Pendiente Inicio de ASA a la semana 12",IF(AND(BU72&gt;11,BU72&lt;17,OR(HK72="RIESGO ALTO DE COMPLICACIONES HIPERTENSIVAS VER MANEJO GUIA SUMINISTRO ASA Y CALCIO",HK72="RIESGO MODERADO (2 O MAS CRITERIOS) VER MANEJO GUIA SUMINISTRO ASA Y CALCIO")),"Iniciar de inmediato ASA",IF(AND(BU72&gt;16,OR(HK72="RIESGO ALTO DE COMPLICACIONES HIPERTENSIVAS VER MANEJO GUIA SUMINISTRO ASA Y CALCIO",HK72="RIESGO MODERADO (2 O MAS CRITERIOS) VER MANEJO GUIA SUMINISTRO ASA Y CALCIO")),"Pierde Oportunidad, Inicio tardío de ASA","XXXXX"))))))))</f>
        <v>No Aplica para suministro de ASA</v>
      </c>
      <c r="HS72" s="22">
        <v>44918</v>
      </c>
      <c r="HT72" s="22" t="s">
        <v>1532</v>
      </c>
      <c r="HU72" s="22"/>
      <c r="HV72" s="22"/>
      <c r="HW72" s="22">
        <v>44918</v>
      </c>
      <c r="HX72" s="22" t="s">
        <v>870</v>
      </c>
      <c r="HY72" s="22"/>
      <c r="HZ72" s="28" t="str">
        <f t="shared" si="292"/>
        <v>PENDIENTE CONSULTA</v>
      </c>
      <c r="IA72" s="26" t="s">
        <v>864</v>
      </c>
      <c r="IB72" s="26"/>
      <c r="IC72" s="111"/>
      <c r="ID72" s="22"/>
      <c r="IE72" s="22" t="str">
        <f t="shared" ca="1" si="293"/>
        <v>SALE SIN VACUNA</v>
      </c>
      <c r="IF72" s="22"/>
      <c r="IG72" s="22">
        <f t="shared" si="294"/>
        <v>45044</v>
      </c>
      <c r="IH72" s="29">
        <f t="shared" ca="1" si="295"/>
        <v>-189</v>
      </c>
      <c r="II72" s="22" t="str">
        <f t="shared" ca="1" si="296"/>
        <v>POSIBLEMENTE NACIO</v>
      </c>
      <c r="IJ72" s="22"/>
      <c r="IK72" s="21" t="s">
        <v>898</v>
      </c>
      <c r="IL72" s="21"/>
      <c r="IM72" s="34"/>
      <c r="IN72" s="352">
        <v>45060</v>
      </c>
      <c r="IO72" s="21" t="s">
        <v>1640</v>
      </c>
      <c r="IP72" s="29">
        <f t="shared" si="297"/>
        <v>42.285714285714285</v>
      </c>
      <c r="IQ72" s="110"/>
      <c r="IR72" s="21" t="s">
        <v>879</v>
      </c>
      <c r="IS72" s="21" t="s">
        <v>1641</v>
      </c>
      <c r="IT72" s="21" t="s">
        <v>1642</v>
      </c>
      <c r="IU72" s="21"/>
      <c r="IV72" s="21"/>
      <c r="IW72" s="21"/>
      <c r="IX72" s="21"/>
      <c r="IY72" s="21"/>
      <c r="IZ72" s="21"/>
      <c r="JA72" s="21"/>
      <c r="JB72" s="30">
        <v>1</v>
      </c>
      <c r="JC72" s="21" t="s">
        <v>1643</v>
      </c>
      <c r="JD72" s="36">
        <v>3800</v>
      </c>
      <c r="JE72" s="21" t="str">
        <f t="shared" ref="JE72:JE77" si="434">IF(AND(JD72&gt;700,JD72&lt;2500,IP73&gt;36),"BAJO PESO AL NACER",IF(AND(JD72&gt;500,JD72&lt;2500,IP73&lt;37),"PREMATURO",IF(AND(JD72&gt;2499,JD72&lt;5000,IP73&lt;37),"ERROR VERIFICAR DATO EDAD GESTACIONAL VS PESO",IF(AND(JD72&gt;2499,JD72&lt;4000,IP73&gt;36),"PESO ADECUADO EDAD GESTACIONAL",IF(AND(JD72&gt;3999,JD72&lt;6000,IP73&gt;36),"PESO GRANDE EDAD GESTACIONAL","")))))</f>
        <v>ERROR VERIFICAR DATO EDAD GESTACIONAL VS PESO</v>
      </c>
      <c r="JF72" s="30"/>
      <c r="JG72" s="21"/>
      <c r="JH72" s="21"/>
      <c r="JI72" s="21"/>
      <c r="JJ72" s="30"/>
      <c r="JK72" s="22"/>
      <c r="JL72" s="22"/>
      <c r="JM72" s="21"/>
      <c r="JN72" s="36"/>
      <c r="JO72" s="21" t="str">
        <f>IF(AND(JN72&gt;700,JN72&lt;2500,IP73&gt;36,IP73&lt;43),"BAJO PESO AL NACER",IF(AND(JN72&gt;700,JN72&lt;2500,IP73&lt;37),"PREMATURO",IF(AND(JN72&gt;2499,JN72&lt;5000,IP73&lt;37),"ERROR VERIFICAR DATO EDAD GESTACIONAL VS PESO",IF(AND(JN72&gt;2499,JN72&lt;4000,IP73&gt;36,IP73&lt;43),"PESO ADECUADO EDAD GESTACIONAL",IF(AND(JN72&gt;3999,JN72&lt;6000,IP73&gt;36,IP73&lt;43),"PESO GRANDE EDAD GESTACIONAL","")))))</f>
        <v/>
      </c>
      <c r="JP72" s="22"/>
      <c r="JQ72" s="21"/>
      <c r="JR72" s="21"/>
      <c r="JS72" s="21"/>
      <c r="JT72" s="30"/>
      <c r="JU72" s="22"/>
      <c r="JV72" s="22"/>
      <c r="JW72" s="33"/>
      <c r="JX72" s="28" t="str">
        <f>IF(AND(JW72&lt;&gt;"",JW72&lt;IN73),"INCONSISTENCIA FECHA CONTROL",IF(AND(OR(IK72="Parto",IK72="Cesarea"),JW72&gt;0,IN73&gt;0),SUM(JW72-IN73),IF(AND(OR(IK72="Parto",IK72="Cesarea"),JW72="",IN73&gt;0),"INASISTENTE","")))</f>
        <v>INASISTENTE</v>
      </c>
      <c r="JY72" s="33"/>
      <c r="JZ72" s="28" t="str">
        <f>IF(AND(JY72&lt;&gt;"",JY72&lt;IN73),"INCONSISTENCIA FECHA CONTROL",IF(AND(OR(IK72="Parto",IK72="Cesarea",IK72="Aborto Espontaneo",IK72="Aborto Inducido",IK72="IVE"),JY72&gt;0,IN73&gt;0),SUM(JY72-IN73),IF(AND(JY72&lt;&gt;"",JY72&lt;IN73),"INCONSISTENCIA FECHA CONTROL",IF(AND(OR(IK72="Parto",IK72="Cesarea",IK72="Aborto Espontaneo",IK72="Aborto Inducido",IK72="IVE"),JY72="",IN73&gt;0),"INASISTENTE",""))))</f>
        <v>INASISTENTE</v>
      </c>
      <c r="KA72" s="21"/>
      <c r="KB72" s="21"/>
      <c r="KC72" s="21"/>
      <c r="KD72" s="37"/>
      <c r="KE72" s="28"/>
      <c r="KF72" s="28"/>
      <c r="KG72" s="28"/>
      <c r="KH72" s="39"/>
      <c r="KI72" s="39"/>
      <c r="KJ72" s="66"/>
      <c r="KK72" s="39"/>
      <c r="KL72" s="39"/>
      <c r="KM72" s="66"/>
      <c r="KN72" s="39"/>
      <c r="KO72" s="39"/>
      <c r="KP72" s="39"/>
      <c r="KQ72" s="39"/>
      <c r="KR72" s="39"/>
      <c r="KS72" s="39"/>
      <c r="KT72" s="39"/>
      <c r="KU72" s="38"/>
      <c r="KV72" s="38"/>
      <c r="KW72" s="38"/>
      <c r="KX72" s="38"/>
      <c r="KY72" s="38"/>
      <c r="KZ72" s="38"/>
      <c r="LA72" s="38"/>
      <c r="LB72" s="38"/>
      <c r="LC72" s="38"/>
      <c r="LD72" s="38"/>
      <c r="LE72" s="38"/>
      <c r="LF72" s="38"/>
      <c r="LG72" s="38"/>
      <c r="LH72" s="38"/>
      <c r="LI72" s="38"/>
      <c r="LJ72" s="38"/>
      <c r="LK72" s="38"/>
      <c r="LL72" s="38"/>
      <c r="LM72" s="38"/>
      <c r="LN72" s="38"/>
      <c r="LO72" s="38"/>
      <c r="LP72" s="38"/>
      <c r="LQ72" s="38"/>
      <c r="LR72" s="38"/>
      <c r="LS72" s="38"/>
      <c r="LT72" s="38"/>
      <c r="LU72" s="38"/>
      <c r="LV72" s="38"/>
      <c r="LW72" s="38"/>
      <c r="LX72" s="38"/>
      <c r="LY72" s="38"/>
      <c r="LZ72" s="38"/>
      <c r="MA72" s="38"/>
      <c r="MB72" s="38"/>
      <c r="MC72" s="38"/>
      <c r="MD72" s="38"/>
      <c r="ME72" s="38"/>
      <c r="MF72" s="38"/>
      <c r="MG72" s="38"/>
      <c r="MH72" s="43">
        <f t="shared" si="302"/>
        <v>0</v>
      </c>
      <c r="MI72" s="43" t="str">
        <f t="shared" si="303"/>
        <v/>
      </c>
      <c r="MJ72" s="43" t="str">
        <f t="shared" si="304"/>
        <v/>
      </c>
      <c r="MK72" s="43">
        <f t="shared" si="305"/>
        <v>0</v>
      </c>
      <c r="ML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2" s="43">
        <f t="shared" si="306"/>
        <v>22</v>
      </c>
      <c r="MN72" s="43">
        <f t="shared" si="307"/>
        <v>12</v>
      </c>
      <c r="MO72" s="43">
        <f t="shared" si="308"/>
        <v>2022</v>
      </c>
      <c r="MP72" s="43" t="str">
        <f t="shared" si="309"/>
        <v>IV TRIMESTRE AÑO</v>
      </c>
      <c r="MQ72" s="43">
        <f t="shared" si="310"/>
        <v>35.772558037669732</v>
      </c>
      <c r="MR72" s="43">
        <f t="shared" si="311"/>
        <v>2</v>
      </c>
      <c r="MS72" s="43" t="str">
        <f t="shared" si="312"/>
        <v xml:space="preserve"> DE 35 A 39 AÑOS</v>
      </c>
      <c r="MT72" s="43">
        <f t="shared" si="313"/>
        <v>0</v>
      </c>
      <c r="MU72" s="43">
        <f t="shared" si="314"/>
        <v>0</v>
      </c>
      <c r="MV72" s="43">
        <f t="shared" si="315"/>
        <v>0</v>
      </c>
      <c r="MW72" s="43">
        <f t="shared" si="316"/>
        <v>0</v>
      </c>
      <c r="MX72" s="43" t="str">
        <f t="shared" si="317"/>
        <v/>
      </c>
      <c r="MY72" s="43" t="str">
        <f ca="1">IF(AND(AND(BU72&gt;40.9,BU72&lt;43),IN73=""),1,"")</f>
        <v/>
      </c>
      <c r="MZ72" s="43" t="str">
        <f t="shared" si="318"/>
        <v/>
      </c>
      <c r="NA72" s="43">
        <f t="shared" si="319"/>
        <v>0</v>
      </c>
      <c r="NB72" s="43" t="str">
        <f t="shared" si="320"/>
        <v/>
      </c>
      <c r="NC72" s="43" t="str">
        <f t="shared" si="321"/>
        <v/>
      </c>
      <c r="ND72" s="43">
        <f t="shared" ca="1" si="322"/>
        <v>2</v>
      </c>
      <c r="NE72" s="43">
        <f>IF(OR(O72&gt;0,R72&gt;0),SUM(COUNTIF(Tabla1[[#This Row],[AÑOS AL INICIO5 CPN]],"&gt;=40"),COUNTIF(AS72,"0"),COUNTIF(AR72,"SI"),COUNTIF(CC72,"SI"),COUNTIF(BQ72,"&gt;119"),COUNTIF(CI72,"&gt;=35")),"")</f>
        <v>0</v>
      </c>
      <c r="NF72" s="43" t="str">
        <f t="shared" si="323"/>
        <v/>
      </c>
      <c r="NG72" s="43">
        <f t="shared" si="324"/>
        <v>0</v>
      </c>
      <c r="NH72" s="43">
        <f t="shared" si="325"/>
        <v>154</v>
      </c>
      <c r="NI7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CPN",P72="NO"),"Z",IF(AND(Tabla1[[#This Row],[CITA PROXIMO CONTROL]]="CITA MANUAL",Tabla1[[#This Row],[GESTANTES ACTUALES]]="ACTIVA INGRESO A CPN"),"W",IF(AND(Tabla1[[#This Row],[GESTANTES ACTUALES]]="SALIO PROGRAMA",IN73=""),"S",IF(AND(Tabla1[[#This Row],[CITA PROXIMO CONTROL]]&gt;0,IN73=""),(Tabla1[[#This Row],[CITA PROXIMO CONTROL]]-TODAY()),"SD"))))))))</f>
        <v>SD</v>
      </c>
      <c r="NJ72" s="43">
        <f>MONTH(Tabla1[[#This Row],[FECHA DE SALIDA  DEL PROGRAMA]])</f>
        <v>5</v>
      </c>
      <c r="NK72" s="43">
        <f>YEAR(Tabla1[[#This Row],[FECHA DE SALIDA  DEL PROGRAMA]])</f>
        <v>2023</v>
      </c>
      <c r="NL72" s="43" t="str">
        <f t="shared" si="326"/>
        <v>X</v>
      </c>
      <c r="NM72" s="43" t="str">
        <f t="shared" si="251"/>
        <v>NO</v>
      </c>
      <c r="NN72" s="43" t="str">
        <f ca="1">IF(AND(O72&gt;0,R72=""),"NO CPN",IF(AND(O72="",R72=""),"",IF(AND(R72&gt;0,Tabla1[[#This Row],[SEMANAS DE GESTACION ACTUALIZADAS]]&lt;=12),"NO APLICA",IF(AND(FH72&lt;&gt;"",FN72&lt;&gt;""),"SI","NO"))))</f>
        <v>NO</v>
      </c>
      <c r="NO72" s="43" t="str">
        <f ca="1">IF(AND(O72&gt;0,R72=""),"NO CPN",IF(AND(O72="",R72=""),"",IF(AND(R72&gt;0,Tabla1[[#This Row],[SEMANAS DE GESTACION ACTUALIZADAS]]&lt;=27),"NO APLICA",IF(AND(ES72&lt;&gt;"",FQ72&lt;&gt;"",GF72&lt;&gt;""),"SI","NO"))))</f>
        <v>NO</v>
      </c>
      <c r="NP72" s="204" t="str">
        <f t="shared" si="327"/>
        <v>II TRIM</v>
      </c>
      <c r="NQ72" s="21">
        <f>IF(AND(IP74&gt;0,IP74&lt;37),10,IF(OR(CD73="Transversa",CD73="Oblicua"),9,IF(CC73="SI",8,IF(AND(AT73=0,AW73=0,CC73="NO",CD73="Cefálica",IP74&gt;=37,IT74="INICIO ESPONTÁNEO"),1,IF(AND(AND(AT73=0,AW73=0,CC73="NO",CD73="Cefálica",IP74&gt;=37),OR(IT74="LE HACEN INDUCCIÓN",IT74="LE HACEN CESÁREA SIN INICIO TRABAJO DE PARTO")),2,IF(AND(AT73&gt;=1,AW73=0,CC73="NO",CD73="Cefálica",IP74&gt;=37,IT74="INICIO ESPONTÁNEO"),3,IF(AND(AND(AT73&gt;=1,AW73=0,CC73="NO",CD73="Cefálica",IP74&gt;=37),OR(IT74="LE HACEN INDUCCIÓN",IT74="LE HACEN CESÁREA SIN INICIO TRABAJO DE PARTO")),4,IF(AND(AND(AT73&gt;=1,AW73&gt;=1,CC73="NO",CD73="Cefálica",IP74&gt;=37),OR(IT74="LE HACEN INDUCCIÓN",IT74="LE HACEN CESÁREA SIN INICIO TRABAJO DE PARTO",IT74="INICIO ESPONTÁNEO")),5,IF(AND(AND(AT73=0,AW73=0,CC73="NO",CD73="Podálica",IP74&gt;=1),OR(IT74="LE HACEN INDUCCIÓN",IT74="LE HACEN CESÁREA SIN INICIO TRABAJO DE PARTO",IT74="INICIO ESPONTÁNEO")),6,IF(AND(AND(AT73&gt;=1,CC73="NO",CD73="Podálica",IP74&gt;=1),OR(IT74="LE HACEN INDUCCIÓN",IT74="LE HACEN CESÁREA SIN INICIO TRABAJO DE PARTO",IT74="INICIO ESPONTÁNEO"),OR(AW73=0,AW73&gt;=1)),7,""))))))))))</f>
        <v>10</v>
      </c>
      <c r="NR72" s="21">
        <f>IF(AND(O72="",R72=""),"",IF(AND(BS72&gt;0,BS72&lt;12,IP73&gt;28,IP73&lt;44),3, IF(OR(AND(BS72&gt;=12,BS72&lt;28,IP73&gt;=28,IP73&lt;44),AND(BS72&gt;0,BS72&lt;12,IP73&gt;=12,IP73&lt;29)),2,IF(OR(AND(BS72&gt;=28,BS72&lt;44),AND(BS72&gt;0,BS72&lt;12,IP73&gt;0,IP73&lt;12),AND(BS72&gt;=12,BS72&lt;28,IP73&gt;=12,IP73&lt;28)),1,IF(AND(BS72&gt;0,BS72&lt;12,BU72&gt;=28,BU72&lt;44,DV72="ACTIVA INGRESO A CPN"),3,IF(OR(AND(BS72&gt;0,BS72&lt;12,BU72&gt;=12,BU72&lt;28,DV72="ACTIVA INGRESO A CPN"),AND(BS72&gt;=12,BS72&lt;28,BU72&gt;=28,BU72&lt;44,DV72="ACTIVA INGRESO A CPN")),2,IF(OR(AND(BS72&gt;0,BS72&lt;12,BU72&gt;0,BU72&lt;12,DV72="ACTIVA INGRESO A CPN"),AND(BS72&gt;=12,BS72&lt;28,BU72&gt;=12,BU72&lt;28,DV72="ACTIVA INGRESO A CPN")),1,"REVISAR FUM O FECHA SALIDA PROGRAMA")))))))</f>
        <v>2</v>
      </c>
      <c r="NS72" s="205">
        <f t="shared" ca="1" si="328"/>
        <v>1</v>
      </c>
      <c r="NT72" s="21">
        <f t="shared" ca="1" si="329"/>
        <v>1</v>
      </c>
      <c r="NU72" s="21" t="str">
        <f t="shared" ca="1" si="330"/>
        <v>INCOMPLETO</v>
      </c>
      <c r="NV72" s="21" t="str">
        <f t="shared" ca="1" si="331"/>
        <v>INCOMPLETO</v>
      </c>
      <c r="NW72" s="206" t="str">
        <f>IF(AND(O72="",R72=""),"",IF(OR(AND(Tabla1[[#This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2" s="207" t="str">
        <f t="shared" ca="1" si="332"/>
        <v>SIN VACUNAR</v>
      </c>
      <c r="NY72" s="43">
        <f>ROW(Tabla1[[#This Row],['# DE TAMIZAJES SIFILIS TOMADOS ]])</f>
        <v>72</v>
      </c>
      <c r="NZ72" s="43">
        <f t="shared" si="333"/>
        <v>22</v>
      </c>
      <c r="OA72" s="43" t="str">
        <f t="shared" si="334"/>
        <v/>
      </c>
      <c r="OB72" s="43" t="str">
        <f t="shared" si="335"/>
        <v/>
      </c>
      <c r="OC72" s="43" t="str">
        <f t="shared" si="336"/>
        <v/>
      </c>
      <c r="OD72" s="43" t="str">
        <f t="shared" si="337"/>
        <v/>
      </c>
      <c r="OE72" s="43" t="str">
        <f t="shared" si="338"/>
        <v/>
      </c>
      <c r="OF72" s="43" t="str">
        <f t="shared" si="339"/>
        <v/>
      </c>
      <c r="OG72" s="43" t="str">
        <f t="shared" si="340"/>
        <v/>
      </c>
      <c r="OH72" s="43" t="str">
        <f t="shared" si="341"/>
        <v/>
      </c>
      <c r="OI72" s="43" t="str">
        <f t="shared" si="342"/>
        <v/>
      </c>
      <c r="OJ72" s="43" t="str">
        <f t="shared" si="343"/>
        <v/>
      </c>
      <c r="OK72" s="43" t="str">
        <f t="shared" si="344"/>
        <v/>
      </c>
      <c r="OL72" s="43" t="str">
        <f t="shared" si="345"/>
        <v/>
      </c>
      <c r="OM72" s="43" t="str">
        <f t="shared" si="346"/>
        <v/>
      </c>
      <c r="ON72" s="43" t="str">
        <f t="shared" si="347"/>
        <v>SOBREPESO</v>
      </c>
      <c r="OO72" s="43" t="str">
        <f t="shared" si="348"/>
        <v/>
      </c>
      <c r="OP72" s="43" t="str">
        <f t="shared" si="349"/>
        <v/>
      </c>
      <c r="OQ72" s="43" t="str">
        <f t="shared" si="350"/>
        <v/>
      </c>
      <c r="OR72" s="43" t="str">
        <f t="shared" si="351"/>
        <v/>
      </c>
      <c r="OS72" s="43" t="str">
        <f t="shared" si="352"/>
        <v/>
      </c>
      <c r="OT72" s="43" t="str">
        <f t="shared" si="353"/>
        <v/>
      </c>
      <c r="OU72" s="43" t="str">
        <f t="shared" si="354"/>
        <v/>
      </c>
      <c r="OV72" s="110" t="str">
        <f t="shared" si="355"/>
        <v/>
      </c>
      <c r="OW72" s="43" t="str">
        <f t="shared" si="356"/>
        <v/>
      </c>
      <c r="OX72" s="43" t="str">
        <f t="shared" si="357"/>
        <v/>
      </c>
      <c r="OY72" s="43" t="str">
        <f t="shared" si="358"/>
        <v/>
      </c>
      <c r="OZ72" s="43" t="str">
        <f t="shared" si="359"/>
        <v/>
      </c>
      <c r="PA72" s="43" t="str">
        <f t="shared" si="360"/>
        <v/>
      </c>
      <c r="PB72" s="43" t="str">
        <f t="shared" si="361"/>
        <v/>
      </c>
      <c r="PC72" s="43" t="str">
        <f t="shared" si="362"/>
        <v/>
      </c>
      <c r="PD72" s="43" t="str">
        <f t="shared" si="363"/>
        <v/>
      </c>
      <c r="PE72" s="43" t="str">
        <f t="shared" si="364"/>
        <v/>
      </c>
      <c r="PF72" s="43" t="str">
        <f t="shared" si="365"/>
        <v/>
      </c>
      <c r="PG72" s="43" t="str">
        <f t="shared" si="366"/>
        <v/>
      </c>
      <c r="PH72" s="43" t="str">
        <f t="shared" si="367"/>
        <v/>
      </c>
      <c r="PI72" s="43">
        <f t="shared" si="368"/>
        <v>41</v>
      </c>
      <c r="PJ72" s="43" t="str">
        <f t="shared" si="369"/>
        <v/>
      </c>
      <c r="PK72" s="43" t="str">
        <f t="shared" si="370"/>
        <v/>
      </c>
      <c r="PL72" s="43" t="str">
        <f t="shared" si="371"/>
        <v/>
      </c>
      <c r="PM72" s="43" t="str">
        <f t="shared" si="372"/>
        <v/>
      </c>
      <c r="PN72" s="43" t="str">
        <f t="shared" si="373"/>
        <v/>
      </c>
      <c r="PO72" s="43" t="str">
        <f t="shared" si="374"/>
        <v/>
      </c>
      <c r="PP72" s="43" t="str">
        <f t="shared" si="375"/>
        <v/>
      </c>
      <c r="PQ72" s="43" t="str">
        <f t="shared" si="376"/>
        <v/>
      </c>
      <c r="PR72" s="43" t="str">
        <f t="shared" si="377"/>
        <v/>
      </c>
      <c r="PS72" s="43" t="str">
        <f t="shared" si="378"/>
        <v/>
      </c>
      <c r="PT72" s="43" t="str">
        <f t="shared" si="379"/>
        <v/>
      </c>
      <c r="PU72" s="43" t="str">
        <f t="shared" si="380"/>
        <v/>
      </c>
      <c r="PV72" s="43" t="str">
        <f t="shared" si="381"/>
        <v/>
      </c>
      <c r="PW72" s="43" t="str">
        <f t="shared" si="382"/>
        <v/>
      </c>
      <c r="PX72" s="43" t="str">
        <f t="shared" si="383"/>
        <v/>
      </c>
      <c r="PY72" s="43" t="str">
        <f t="shared" si="384"/>
        <v/>
      </c>
      <c r="PZ72" s="43" t="str">
        <f t="shared" si="385"/>
        <v/>
      </c>
      <c r="QA72" s="43" t="str">
        <f t="shared" si="386"/>
        <v/>
      </c>
      <c r="QB72" s="43" t="str">
        <f t="shared" si="387"/>
        <v/>
      </c>
      <c r="QC72" s="43" t="str">
        <f t="shared" si="388"/>
        <v/>
      </c>
      <c r="QD72" s="43" t="str">
        <f t="shared" si="389"/>
        <v/>
      </c>
      <c r="QE72" s="43" t="str">
        <f t="shared" si="390"/>
        <v/>
      </c>
      <c r="QF72" s="43" t="str">
        <f t="shared" si="391"/>
        <v/>
      </c>
      <c r="QG72" s="43" t="str">
        <f t="shared" si="392"/>
        <v/>
      </c>
      <c r="QH72" s="43" t="str">
        <f t="shared" si="393"/>
        <v/>
      </c>
      <c r="QI72" s="43" t="str">
        <f t="shared" si="394"/>
        <v/>
      </c>
      <c r="QJ72" s="43" t="str">
        <f t="shared" si="395"/>
        <v/>
      </c>
      <c r="QK72" s="43" t="str">
        <f t="shared" si="396"/>
        <v/>
      </c>
      <c r="QL72" s="43" t="str">
        <f t="shared" si="397"/>
        <v/>
      </c>
      <c r="QM72" s="43" t="str">
        <f t="shared" si="398"/>
        <v/>
      </c>
      <c r="QN72" s="43" t="str">
        <f t="shared" si="399"/>
        <v/>
      </c>
      <c r="QO72" s="43" t="str">
        <f t="shared" si="400"/>
        <v/>
      </c>
      <c r="QP72" s="43" t="str">
        <f t="shared" si="401"/>
        <v>SOBREPESO</v>
      </c>
      <c r="QQ72" s="43" t="str">
        <f t="shared" si="402"/>
        <v/>
      </c>
      <c r="QR72" s="43" t="str">
        <f t="shared" si="432"/>
        <v>Mayor</v>
      </c>
      <c r="QS72" s="43"/>
      <c r="QT72" s="21" t="str">
        <f t="shared" si="403"/>
        <v/>
      </c>
      <c r="QU72" s="21" t="str">
        <f t="shared" si="404"/>
        <v/>
      </c>
      <c r="QV72" s="21" t="str">
        <f t="shared" si="405"/>
        <v/>
      </c>
      <c r="QW72" s="21" t="str">
        <f t="shared" si="406"/>
        <v/>
      </c>
      <c r="QX72" s="21" t="str">
        <f t="shared" si="407"/>
        <v/>
      </c>
      <c r="QY72" s="21" t="str">
        <f t="shared" si="408"/>
        <v/>
      </c>
      <c r="QZ72" s="21" t="str">
        <f t="shared" si="409"/>
        <v/>
      </c>
      <c r="RA72" s="21" t="str">
        <f t="shared" si="410"/>
        <v/>
      </c>
      <c r="RB72" s="21" t="str">
        <f t="shared" si="411"/>
        <v/>
      </c>
      <c r="RC72" s="21" t="str">
        <f t="shared" si="412"/>
        <v/>
      </c>
      <c r="RD72" s="21" t="str">
        <f t="shared" si="413"/>
        <v/>
      </c>
      <c r="RE72" s="21" t="str">
        <f t="shared" si="414"/>
        <v/>
      </c>
      <c r="RF72" s="21" t="str">
        <f t="shared" si="415"/>
        <v/>
      </c>
      <c r="RG72" s="21" t="str">
        <f t="shared" si="416"/>
        <v/>
      </c>
      <c r="RH72" s="21" t="str">
        <f t="shared" si="417"/>
        <v/>
      </c>
      <c r="RI72" s="21" t="str">
        <f t="shared" si="418"/>
        <v/>
      </c>
      <c r="RJ72" s="21" t="str">
        <f t="shared" si="419"/>
        <v/>
      </c>
      <c r="RK72" s="21" t="str">
        <f t="shared" si="420"/>
        <v/>
      </c>
      <c r="RL72" s="21" t="str">
        <f t="shared" si="421"/>
        <v/>
      </c>
      <c r="RM72" s="21" t="str">
        <f t="shared" si="422"/>
        <v/>
      </c>
      <c r="RN72" s="21" t="str">
        <f t="shared" si="423"/>
        <v/>
      </c>
      <c r="RO72" s="21" t="str">
        <f t="shared" si="424"/>
        <v/>
      </c>
      <c r="RP72" s="21" t="str">
        <f t="shared" si="425"/>
        <v/>
      </c>
      <c r="RQ72" s="21" t="str">
        <f t="shared" si="426"/>
        <v/>
      </c>
      <c r="RR72" s="21" t="str">
        <f t="shared" si="427"/>
        <v/>
      </c>
      <c r="RS72" s="21" t="str">
        <f t="shared" si="428"/>
        <v/>
      </c>
      <c r="RT72" s="21" t="str">
        <f t="shared" si="429"/>
        <v/>
      </c>
      <c r="RU72" s="21" t="str">
        <f t="shared" si="430"/>
        <v/>
      </c>
      <c r="RV72" s="21">
        <f t="shared" si="431"/>
        <v>22</v>
      </c>
      <c r="RW72" s="284">
        <f>IF(OR(Tabla1[[#This Row],[FUM FORMULA CONFIABLE]]="",Tabla1[[#This Row],[FUM FORMULA CONFIABLE]]="SD"),"",IF(Tabla1[[#This Row],[FUM FORMULA CONFIABLE]]="CORREGIDA",Tabla1[[#This Row],[FUM X ECO 1]],Tabla1[[#This Row],[FUM x AMENORREA]]))</f>
        <v>44764</v>
      </c>
      <c r="RX72" s="21">
        <f>IF(AND(Tabla1[[#This Row],[FUM X ECO 1]]="",Tabla1[[#This Row],[FUM x AMENORREA]]=""),"",IF(AND(Tabla1[[#This Row],[FUM X ECO 1]]="",Tabla1[[#This Row],[FUM x AMENORREA]]&lt;&gt;""),"X",SUM(Tabla1[[#This Row],[FUM X ECO 1]]-Tabla1[[#This Row],[FUM x AMENORREA]])))</f>
        <v>0</v>
      </c>
      <c r="RY72" s="21">
        <f t="shared" si="433"/>
        <v>0</v>
      </c>
    </row>
    <row r="73" spans="1:493" ht="45" customHeight="1" x14ac:dyDescent="0.25">
      <c r="A73" s="109"/>
      <c r="B73" s="43" t="s">
        <v>983</v>
      </c>
      <c r="C73" s="43" t="s">
        <v>845</v>
      </c>
      <c r="D73" s="124" t="s">
        <v>846</v>
      </c>
      <c r="E73" s="43" t="s">
        <v>1127</v>
      </c>
      <c r="F73" s="43" t="s">
        <v>1127</v>
      </c>
      <c r="G73" s="43" t="s">
        <v>1217</v>
      </c>
      <c r="H73" s="43" t="s">
        <v>1218</v>
      </c>
      <c r="I73" s="109" t="s">
        <v>1094</v>
      </c>
      <c r="J73" s="110">
        <v>1059598378</v>
      </c>
      <c r="K73" s="43" t="s">
        <v>852</v>
      </c>
      <c r="L73" s="175" t="s">
        <v>853</v>
      </c>
      <c r="M73" s="22">
        <v>39404</v>
      </c>
      <c r="N73" s="213">
        <f t="shared" ca="1" si="252"/>
        <v>15.96986301369863</v>
      </c>
      <c r="O73" s="22">
        <v>44910</v>
      </c>
      <c r="P73" s="214" t="str">
        <f>IF(AND(O73="",R73&gt;0),"ACUDE ESPONTANEAMENTE",IF(AND(AND(O73&gt;0,R73=""),OR(IN74&gt;0,IK73&lt;&gt;"")),"NA",IF(AND(O73&gt;0,IN74="",R73=""),"NO",IF(AND(O73&gt;0,R73&gt;0),"SI",""))))</f>
        <v>SI</v>
      </c>
      <c r="Q73" s="26" t="s">
        <v>855</v>
      </c>
      <c r="R73" s="22">
        <v>44910</v>
      </c>
      <c r="S73" s="21" t="s">
        <v>856</v>
      </c>
      <c r="T73" s="24" t="s">
        <v>690</v>
      </c>
      <c r="U73" s="21" t="s">
        <v>857</v>
      </c>
      <c r="V73" s="21" t="s">
        <v>858</v>
      </c>
      <c r="W73" s="21" t="s">
        <v>987</v>
      </c>
      <c r="X73" s="21" t="s">
        <v>987</v>
      </c>
      <c r="Y73" s="21" t="s">
        <v>859</v>
      </c>
      <c r="Z73" s="21" t="s">
        <v>894</v>
      </c>
      <c r="AA73" s="21" t="s">
        <v>860</v>
      </c>
      <c r="AB73" s="27" t="s">
        <v>861</v>
      </c>
      <c r="AC73" s="26" t="s">
        <v>862</v>
      </c>
      <c r="AD73" s="38" t="s">
        <v>846</v>
      </c>
      <c r="AE73" s="26" t="s">
        <v>854</v>
      </c>
      <c r="AF73" s="26" t="s">
        <v>854</v>
      </c>
      <c r="AG73" s="23" t="s">
        <v>864</v>
      </c>
      <c r="AH73" s="23" t="s">
        <v>864</v>
      </c>
      <c r="AI73" s="24" t="s">
        <v>863</v>
      </c>
      <c r="AJ73" s="23" t="s">
        <v>864</v>
      </c>
      <c r="AK73" s="220" t="str">
        <f>IF(AND(AD73="",AE73="",AF73="",AG73="",AH73="",AI73="",AJ73=""),"",IF(OR(Tabla1[[#This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EVALUACIÓN",IF(AND(O73="",R73=""),"",IF(AND(OR(O73&gt;0,R73&gt;0),NG73&gt;=0,NG73&lt;2),"SIN RIESGO",IF(AND(OR(O73&gt;0,R73&gt;0),NG73&gt;=2),"CON RIESGO","ASD")))))</f>
        <v>SIN RIESGO</v>
      </c>
      <c r="AL73" s="23" t="s">
        <v>864</v>
      </c>
      <c r="AM73" s="26" t="s">
        <v>864</v>
      </c>
      <c r="AN73" s="26" t="s">
        <v>864</v>
      </c>
      <c r="AO73" s="26" t="s">
        <v>864</v>
      </c>
      <c r="AP73" s="26" t="s">
        <v>864</v>
      </c>
      <c r="AQ73" s="26" t="s">
        <v>864</v>
      </c>
      <c r="AR73" s="26" t="s">
        <v>864</v>
      </c>
      <c r="AS73" s="21">
        <v>0</v>
      </c>
      <c r="AT73" s="21">
        <v>0</v>
      </c>
      <c r="AU73" s="21">
        <v>0</v>
      </c>
      <c r="AV73" s="26" t="s">
        <v>864</v>
      </c>
      <c r="AW73" s="21">
        <v>0</v>
      </c>
      <c r="AX73" s="26" t="s">
        <v>864</v>
      </c>
      <c r="AY73" s="26" t="s">
        <v>864</v>
      </c>
      <c r="AZ73" s="26" t="s">
        <v>864</v>
      </c>
      <c r="BA73" s="26" t="s">
        <v>864</v>
      </c>
      <c r="BB73" s="26" t="s">
        <v>864</v>
      </c>
      <c r="BC73" s="26" t="s">
        <v>864</v>
      </c>
      <c r="BD73" s="26" t="s">
        <v>864</v>
      </c>
      <c r="BE73" s="26" t="s">
        <v>864</v>
      </c>
      <c r="BF73" s="26" t="s">
        <v>864</v>
      </c>
      <c r="BG73" s="26" t="s">
        <v>864</v>
      </c>
      <c r="BH73" s="26" t="s">
        <v>864</v>
      </c>
      <c r="BI73" s="26" t="s">
        <v>864</v>
      </c>
      <c r="BJ73" s="26"/>
      <c r="BK73" s="26"/>
      <c r="BL73" s="26" t="s">
        <v>864</v>
      </c>
      <c r="BM73" s="26" t="s">
        <v>864</v>
      </c>
      <c r="BN73" s="22"/>
      <c r="BO73" s="22">
        <v>44823</v>
      </c>
      <c r="BP73" s="21" t="s">
        <v>864</v>
      </c>
      <c r="BQ73" s="222">
        <f t="shared" si="254"/>
        <v>0</v>
      </c>
      <c r="BR73" s="223" t="str">
        <f t="shared" si="255"/>
        <v/>
      </c>
      <c r="BS73" s="224">
        <f t="shared" si="256"/>
        <v>12.428571428571429</v>
      </c>
      <c r="BT73" s="216" t="str">
        <f t="shared" si="257"/>
        <v>DEFINIR CON ECO</v>
      </c>
      <c r="BU73" s="214" t="str">
        <f t="shared" ca="1" si="258"/>
        <v/>
      </c>
      <c r="BV73" s="25"/>
      <c r="BW73" s="22"/>
      <c r="BX73" s="28"/>
      <c r="BY73" s="28"/>
      <c r="BZ73" s="22"/>
      <c r="CA73" s="21"/>
      <c r="CB73" s="26"/>
      <c r="CC73" s="26"/>
      <c r="CD73" s="26"/>
      <c r="CE73" s="26"/>
      <c r="CF73" s="22" t="s">
        <v>1517</v>
      </c>
      <c r="CG73" s="21">
        <v>1.48</v>
      </c>
      <c r="CH73" s="21">
        <v>52.3</v>
      </c>
      <c r="CI73" s="214">
        <f t="shared" si="259"/>
        <v>23.876917457998537</v>
      </c>
      <c r="CJ73" s="225" t="e">
        <f>IF(AND(CI73&lt;10,CH73="SD"),"SIN DATO PESO PREGESTACION O I TRIM",IF(AND(OR(R73&gt;0,O73&gt;0),CI73="X"),"INGRESAR DATO DE PESO",IF(CI73="SD","INGRESAR DATO DE TALLA Y PESO",IF(AND(OR(Tabla1[[#This Row],[MOMENTO EN QUE SE REALIZA EL PESO AL INGRESO A CPN]]="PREGESTACIÓN",NZ73="Menor"),CI73&lt;18.5),"BAJO PESO",IF(AND(OR(Tabla1[[#This Row],[MOMENTO EN QUE SE REALIZA EL PESO AL INGRESO A CPN]]="PREGESTACIÓN",NZ73="Menor"),CI73&lt;25),"NORMAL",IF(AND(OR(Tabla1[[#This Row],[MOMENTO EN QUE SE REALIZA EL PESO AL INGRESO A CPN]]="PREGESTACIÓN",NZ73="Menor"),CI73&lt;30),"SOBREPESO",IF(AND(OR(Tabla1[[#This Row],[MOMENTO EN QUE SE REALIZA EL PESO AL INGRESO A CPN]]="PREGESTACIÓN",NZ73="Menor"),CI73&gt;=30,CI73&lt;50),"OBESIDAD",IF(AND(BS73&gt;0,Tabla1[[#This Row],[MOMENTO EN QUE SE REALIZA EL PESO AL INGRESO A CPN]]="GESTACIÓN"),HLOOKUP(NZ73,$OA$2:PH73,NY73),""))))))))</f>
        <v>#REF!</v>
      </c>
      <c r="CK73" s="212">
        <f t="shared" si="260"/>
        <v>44985</v>
      </c>
      <c r="CL73" s="21"/>
      <c r="CM73" s="214">
        <f t="shared" si="261"/>
        <v>0</v>
      </c>
      <c r="CN73" s="216">
        <f t="shared" si="262"/>
        <v>23</v>
      </c>
      <c r="CO73" s="216" t="e">
        <f>IF(PI73="","",IF(PI73&gt;0,HLOOKUP(PI73,$PJ$2:QQ73,NY73),""))</f>
        <v>#REF!</v>
      </c>
      <c r="CP73" s="21"/>
      <c r="CQ73" s="216" t="e">
        <f>IF(QR73="Menor","NO APLICA-MENOR 13 SEM",IF(AND(CC73="SI",CN73&gt;23),"NO APLICA- GEMELAR",IF(QR73="","",IF(QR73&gt;0,HLOOKUP(QR73,$QS$2:RU73,NY73),""))))</f>
        <v>#REF!</v>
      </c>
      <c r="CR73" s="21">
        <v>100</v>
      </c>
      <c r="CS73" s="21">
        <v>60</v>
      </c>
      <c r="CT73" s="217" t="str">
        <f>IF(R73="","",IF(AND(BS73&gt;1,BS73&lt;12,Tabla1[[#This Row],[T.A. SISTOLICA - ANTES DE SEMANA 12]]="",Tabla1[[#This Row],[T.A. DIASTOLICA - ANTES DE SEMANA 12]]=""),"REGISTRE DATO TA ANTES SEMANA 12",IF(AND(BS73&gt;11,BS73&lt;43,Tabla1[[#This Row],[T.A. SISTOLICA - ANTES DE SEMANA 12]]="",Tabla1[[#This Row],[T.A. DIASTOLICA - ANTES DE SEMANA 12]]=""),"NO APLICA REGISTRO TA-INGRESO TARDIO",IF(AND(OR(O73&gt;0,R73&gt;0),OR(CR73&gt;=140,CS73&gt;=90)),"DEFINIR ESTADIO HTA",IF(AND(OR(O73&gt;0,R73&gt;0),AND(CR73&gt;120,CR73&lt;=139)),"PRE HTA SEGUIMIENTO",IF(AND(OR(O73&gt;0,R73&gt;0),AND(CS73&gt;80,CS73&lt;=89)),"PRE HTA SEGUIMIENTO",IF(AND(OR(O73&gt;0,R73&gt;0),AND(CR73&gt;=80,CR73&lt;=120)),"APARENTEMENTE NORMAL",IF(AND(OR(O73&gt;0,R73&gt;0),AND(CS73&gt;=50,CS73&lt;=80)),"APARENTEMENTE NORMAL",IF(AND(OR(O73&gt;0,R73&gt;0),AND(CR73&gt;1,CR73&lt;=70),AND(CS73&gt;1,CS73&lt;=40)),"HIPOTENSIÓN","")))))))))</f>
        <v>APARENTEMENTE NORMAL</v>
      </c>
      <c r="CU73" s="21">
        <v>100</v>
      </c>
      <c r="CV73" s="21">
        <v>60</v>
      </c>
      <c r="CW73" s="217" t="str">
        <f ca="1">IF(R73="","",IF(AND(CN73&gt;19,CN73&lt;27,Tabla1[[#This Row],[T.A. SISTOLICA (Entre semana 20 y 26)]]="",Tabla1[[#This Row],[T.A. DIATOLICA (Entre semana 20 y 26)]]=""),"ACUDE A CONTROL SEM 20 A 26 REGISTRE TA AHORA",IF(AND(BS73&gt;1,BS73&lt;27,BU73&gt;19,Tabla1[[#This Row],[T.A. SISTOLICA (Entre semana 20 y 26)]]="",Tabla1[[#This Row],[T.A. DIATOLICA (Entre semana 20 y 26)]]=""),"COMPLETE REGISTRO TA CONTROL SEM 20 A26 ",IF(AND(BS73&gt;26,BS73&lt;43,Tabla1[[#This Row],[T.A. SISTOLICA (Entre semana 20 y 26)]]="",Tabla1[[#This Row],[T.A. DIATOLICA (Entre semana 20 y 26)]]=""),"NO APLICA REGISTRO TA-INGRESO TARDIO",IF(AND(OR(O73&gt;0,R73&gt;0),OR(CU73&gt;=140,CV73&gt;=90)),"ALTO RIESGO PREECLAMPSIA,DEFINIR ESTADIO HTA",IF(AND(OR(O73&gt;0,R73&gt;0),AND(CU73&gt;120,CU73&lt;=139)),"PRE HTA SEGUIMIENTO,RIESGO HIPERTENSION INDUCIDA POR EL EMBARAZO",IF(AND(OR(O73&gt;0,R73&gt;0),AND(CV73&gt;80,CV73&lt;=89)),"PRE HTA SEGUIMIENTO, RIESGO HIPERTENSION INDUCIDA POR EL EMBARAZO",IF(AND(OR(O73&lt;&gt;"",R73&lt;&gt;""),CS73&lt;&gt;"",CV73&lt;&gt;"",CS73&lt;=CV73),"VIGILAR CIFRAS PRESION ARTERIAL",IF(AND(OR(O73&gt;0,R73&gt;0),AND(CU73&gt;120,CU73&lt;=139)),"PRE HTA SEGUIMIENTO",IF(AND(OR(O73&gt;0,R73&gt;0),AND(CU73&gt;1,CU73&lt;=70),AND(CV73&gt;1,CV73&lt;=40)),"HIPOTENSIÓN",IF(AND(OR(O73&lt;&gt;"",R73&lt;&gt;""),CS73&lt;&gt;"",CV73&lt;&gt;"",CS73&gt;CV73),"APARENTEMENTE NORMAL",IF(AND(OR(O73&gt;0,R73&gt;0),AND(CU73&gt;=80,CU73&lt;=120)),"APARENTEMENTE NORMAL",IF(AND(OR(O73&gt;0,R73&gt;0),AND(CV73&gt;=50,CV73&lt;=80)),"APARENTEMENTE NORMAL","")))))))))))))</f>
        <v>VIGILAR CIFRAS PRESION ARTERIAL</v>
      </c>
      <c r="CX73" s="21">
        <v>100</v>
      </c>
      <c r="CY73" s="21">
        <v>60</v>
      </c>
      <c r="CZ73" s="216" t="str">
        <f t="shared" si="263"/>
        <v>APARENTEMENTE NORMAL</v>
      </c>
      <c r="DA73" s="21"/>
      <c r="DB73" s="21"/>
      <c r="DC73" s="217" t="str">
        <f t="shared" si="264"/>
        <v>REGISTRE DATO PRESIÓN ARTERIAL MENSUAL</v>
      </c>
      <c r="DD73" s="22">
        <v>44910</v>
      </c>
      <c r="DE73" s="22">
        <v>44910</v>
      </c>
      <c r="DF73" s="22">
        <v>44985</v>
      </c>
      <c r="DG73" s="22"/>
      <c r="DH73" s="22"/>
      <c r="DI73" s="22"/>
      <c r="DJ73" s="22"/>
      <c r="DK73" s="22"/>
      <c r="DL73" s="22"/>
      <c r="DM73" s="22"/>
      <c r="DN73" s="22"/>
      <c r="DO73" s="22"/>
      <c r="DP73" s="22"/>
      <c r="DQ73" s="22"/>
      <c r="DR73" s="28">
        <v>1</v>
      </c>
      <c r="DS73" s="22"/>
      <c r="DT73" s="22"/>
      <c r="DU73" s="216" t="str">
        <f ca="1">IF(AND(BT73="ERROR FUM O INGRESO",DS73&gt;0),"ERROR FUM O INGRESO",IF(AND(DS73="",R73="",O73=""),"",IF(OR(AND(DS73&lt;&gt;"",DS73&lt;RW73),AND(DS73&lt;&gt;"",AND(SUM((DS73-RW73)/7)&gt;0,SUM((DS73-RW73)/7)&lt;28))),"PLAN REALIZADO ANTES III TRIM", IF(AND(DS73="",OR(O73&gt;0,R73&gt;0),AND(BU73&gt;=28, BU73&lt;35,DV73="ACTIVA INGRESO A CPN")),"PLANEAR PLAN DE PARTO", IF(AND(DS73="",OR(O73&gt;0,R73&gt;0),BU73&gt;=35,DV73="ACTIVA INGRESO A CPN"),"CONCERTAR PLAN DE PARTO INMEDIATO", IF(AND(DS73="",OR(O73&gt;0,R73&gt;0),AND(BU73&gt;0, BU73&lt;28),OR(DV73="ACTIVA INGRESO A CPN", DV73=" ACTIVA SIN INGRESO CPN")),"EN ESPERA", IF(AND(DS73="",OR(O73&gt;0,R73&gt;0),AND(IP74&gt;0, IP74&lt;28)),"NO APLICA SALE PROGRAMA ANTES III TRIM", IF(AND(DS73="",OR(O73&gt;0,R73&gt;0),AND(IP74&gt;=28, IP74&lt;35)),"SALE PROGRAMA ANTES SEMANA 35", IF(AND(DS73="",OR(O73&gt;0,R73&gt;0),IP74&gt;35),"SALE SIN PLAN DE PARTO",IF(DS73&gt;0,SUM(DS73-BO73)/7,""))))))))))</f>
        <v>SALE PROGRAMA ANTES SEMANA 35</v>
      </c>
      <c r="DV73" s="226" t="str">
        <f>IF(AND(R73&lt;&gt;"",IK73="CAMBIO DE RESIDENCIA",IK73="CAMBIO DE IPS",IK73="CAMBIO DE EPS"),"SEGUIMIENTO REPORTE EPS",IF(IK73="IVE","IVE",IF(AND(R73&lt;&gt;"",OR(IK73&lt;&gt;"",IN74&lt;&gt;"")),"SALIO PROGRAMA",IF(AND(AND(R73="",O73&gt;0),OR(IK73&lt;&gt;"",IN74&lt;&gt;"")),"SALE SIN INGRESO CPN",IF(AND(R73="",O73&gt;0,IK73="",IN74=""),"ACTIVA SIN INGRESO CPN",IF(AND(R73&lt;&gt;"",OR(IK73="",IN74="")),"ACTIVA INGRESO A CPN",""))))))</f>
        <v>SALIO PROGRAMA</v>
      </c>
      <c r="DW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3" s="216" t="str">
        <f t="shared" ca="1" si="266"/>
        <v/>
      </c>
      <c r="DY73" s="212">
        <f>IF(R73="","",IF(R73&gt;0,MAX(Tabla1[[#This Row],[FECHA C2]:[FECHA C13]],Tabla1[[#This Row],[FECHA CONSULTA PRIMERA VEZ PROGRAMA CPN ]])))</f>
        <v>44985</v>
      </c>
      <c r="DZ73" s="216">
        <f t="shared" si="267"/>
        <v>23</v>
      </c>
      <c r="EA73" s="222">
        <f>IF(R73&gt;0,SUM(COUNTA(DF73:DQ73)+COUNTA(Tabla1[[#This Row],[FECHA CONSULTA PRIMERA VEZ PROGRAMA CPN ]])),"")</f>
        <v>2</v>
      </c>
      <c r="EB73" s="222" t="str">
        <f t="shared" si="268"/>
        <v>NO</v>
      </c>
      <c r="EC73" s="214">
        <f t="shared" si="269"/>
        <v>8</v>
      </c>
      <c r="ED73" s="227">
        <f t="shared" si="270"/>
        <v>0.25</v>
      </c>
      <c r="EE73" s="22">
        <v>44910</v>
      </c>
      <c r="EF73" s="22"/>
      <c r="EG73" s="22">
        <v>44910</v>
      </c>
      <c r="EH73" s="22"/>
      <c r="EI73" s="22">
        <v>44910</v>
      </c>
      <c r="EJ73" s="22"/>
      <c r="EK73" s="22"/>
      <c r="EL73" s="21"/>
      <c r="EM73" s="21">
        <v>12.3</v>
      </c>
      <c r="EN73" s="22">
        <v>44907</v>
      </c>
      <c r="EO73" s="222">
        <f t="shared" si="271"/>
        <v>12</v>
      </c>
      <c r="EP73" s="214" t="str">
        <f t="shared" si="272"/>
        <v>NORMAL- SUMINISTRAR SULFATO FERROSO</v>
      </c>
      <c r="EQ73" s="216" t="str">
        <f t="shared" si="273"/>
        <v>I TRIM</v>
      </c>
      <c r="ER73" s="24"/>
      <c r="ES73" s="22"/>
      <c r="ET73" s="29" t="str">
        <f ca="1">IF(AND(BT73="ERROR FUM O INGRESO",ES73&gt;0),"ERROR FUM O INGRESO",IF(AND(ES73="",R73="",O73=""),"",IF(OR(AND(ES73&lt;&gt;"",ES73&lt;RW73),AND(ES73&lt;&gt;"",SUM((ES73-RW73)/7)&gt;40)),"CORREGIR FECHA RESULTADO",IF(AND(BU73&gt;1,BU73&lt;23,ER73="",ES73=""),"EN ESPERA PARA TOMA EXAMEN",IF(AND(BU73&gt;22,BU73&lt;26,ER73="",ES73=""),"PROGRAMAR TOMA HEMOGLOBINA A SEM 28",IF(AND(BU73&gt;25,BU73&lt;28,ER73="",ES73=""),"TOMA HEMOGLOBINA A SEM 28 EN 1 SEMANA",IF(AND(BU73&gt;27,BU73&lt;31,ES73="",OR(O73&gt;0,R73&gt;0)),"EN SEMANA 28 TOMA INMEDIATA DE EXAMEN",IF(AND(IP74&gt;0,IP74&lt;28,ES73="",OR(O73&gt;0,R73&gt;0)),"NO APLICA-SALE ANTES SEM 28",IF(AND(IP74&gt;28,IP74&lt;43,ES73="",OR(O73&gt;0,R73&gt;0)),"SALE SIN TAMIZAJE HEMOGLOBINA SEM 28",IF(AND(BS73&gt;0,ES73="",OR(O73&gt;0,R73&gt;0)),"TOMA DE HEMOGLOBINA TARDÍA",IF(ES73&gt;0,SUM(ES73-RW73)/7,"")))))))))))</f>
        <v>SALE SIN TAMIZAJE HEMOGLOBINA SEM 28</v>
      </c>
      <c r="EU73" s="25" t="str">
        <f t="shared" si="275"/>
        <v/>
      </c>
      <c r="EV73" s="24" t="s">
        <v>866</v>
      </c>
      <c r="EW73" s="24">
        <v>44907</v>
      </c>
      <c r="EX73" s="22"/>
      <c r="EY73" s="29">
        <f t="shared" si="248"/>
        <v>12</v>
      </c>
      <c r="EZ73" s="25" t="str">
        <f t="shared" ca="1" si="249"/>
        <v/>
      </c>
      <c r="FA73" s="21">
        <v>70</v>
      </c>
      <c r="FB73" s="22">
        <v>44907</v>
      </c>
      <c r="FC73" s="29">
        <f t="shared" si="276"/>
        <v>12</v>
      </c>
      <c r="FD73" s="29"/>
      <c r="FE73" s="29"/>
      <c r="FF73" s="29"/>
      <c r="FG73" s="21" t="str">
        <f t="shared" ca="1" si="277"/>
        <v/>
      </c>
      <c r="FH73" s="31"/>
      <c r="FI73" s="29" t="str">
        <f t="shared" si="278"/>
        <v>TOMAR EXAMEN</v>
      </c>
      <c r="FJ73" s="22"/>
      <c r="FK73" s="22"/>
      <c r="FL73" s="29" t="str">
        <f t="shared" ca="1" si="279"/>
        <v>PIERDE TOMA DE TAMIZAJE</v>
      </c>
      <c r="FM73" s="22"/>
      <c r="FN73" s="32"/>
      <c r="FO73" s="29" t="str">
        <f ca="1">IF(AND(BT73="ERROR FUM O INGRESO",FN73&gt;0),"ERROR FUM O INGRESO",IF(AND(FN73="",R73="",O73=""),"",IF(AND(FN73&lt;&gt;"",FN73&lt;RW73), "INCOHERENCIA FUM Y FECHA TAMIZAJE",IF(AND(FN73="",DV73="ACTIVA INGRESO A CPN",AND(BU73&gt;0,BU73&lt;13)),"EN ESPERA-ESTÁ I TRIM", IF(AND(FN73="",AND(BS73&gt;0, BS73&lt;13),OR(O73&gt;0,R73&gt;0),AND(IP74&gt;0,IP74&lt;13)),"NO APLICA-SALIO DEL PROGRAMA I TRIM",IF(AND(FN73&lt;&gt;"",AND(SUM((FN73-RW73)/7)&gt;0,SUM((FN73-RW73)/7)&lt;13)),"REGISTRAR EN I TRIMESTRE",IF(AND(FN73&lt;&gt;"",AND(SUM((FN73-RW73)/7)&gt;=27,SUM((FN73-RW73)/7)&lt;44)),"REGISTRAR EN III TRIMESTRE",IF(AND(FN73="",OR(O73&gt;0,R73&gt;0),AND(BU73&gt;=13,BU73&lt;24),DV73="ACTIVA INGRESO A CPN"),"EN RANGO PARA TOMAR EXAMEN",IF(AND(FN73="",OR(O73&gt;0,R73&gt;0),AND(BU73&gt;=25,BU73&lt;27),DV73="ACTIVA INGRESO A CPN"),"TOMA INMEDIATA DE TAMIZAJE",IF(AND(FN73="",OR(O73&gt;0,R73&gt;0),AND(BS73&gt;=27,BS73&lt;44)),"NO APLICA-INGRESO TARDIO",IF(AND(FN73="",BS73&lt;27,OR(AND(IP74&gt;12,IP74&lt;44),BU73&gt;12)),"PIERDE TOMA DE TAMIZAJE",IF(FN73&gt;0,SUM(FN73-RW73)/7,""))))))))))))</f>
        <v>PIERDE TOMA DE TAMIZAJE</v>
      </c>
      <c r="FP73" s="22"/>
      <c r="FQ73" s="32"/>
      <c r="FR73" s="29" t="str">
        <f ca="1">IF(AND(BT73="ERROR FUM O INGRESO",FQ73&gt;0),"ERROR FUM O INGRESO",IF(AND(FQ73="",R73="",O73=""),"",IF(AND(FQ73&lt;&gt;"",FQ73&lt;RW73), "INCOHERENCIA FUM Y FECHA TAMIZAJE",IF(AND(FQ73="",DV73="ACTIVA INGRESO A CPN",AND(BU73&gt;0,BU73&lt;27)),"EN ESPERA-ESTÁ I TRIM O II TRIM", IF(AND(FQ73="",AND(BS73&gt;0, BS73&lt;27),OR(O73&gt;0,R73&gt;0),AND(IP74&gt;0,IP74&lt;27)),"NO APLICA-SALIO DEL PROGRAMA I O II TRIM",IF(AND(FQ73&lt;&gt;"",AND(SUM((FQ73-RW73)/7)&gt;0,SUM((FQ73-RW73)/7)&lt;13)),"REGISTAR EN I TRIMESTRE",IF(AND(FQ73&lt;&gt;"",AND(SUM((FQ73-RW73)/7)&gt;=13,SUM((FQ73-RW73)/7)&lt;27)),"REGISTRAR EN II TRIMESTRE",IF(AND(FQ73="",OR(O73&gt;0,R73&gt;0),AND(BU73&gt;=28,BU73&lt;35),DV73="ACTIVA INGRESO A CPN"),"EN RANGO PARA TOMAR EXAMEN",IF(AND(FQ73="",OR(O73&gt;0,R73&gt;0),BU73&gt;=35, DV73="ACTIVA INGRESO A CPN"),"TOMA INMEDIATA DE TAMIZAJE",IF(AND(FQ73="",DV73= "SALE SIN INGRESO CPN"),"NO APLICA-SIN CPN",IF(AND(FQ73="",AND(IP74&gt;26,IP74&lt;43)),"PIERDE TOMA DE TAMIZAJE",IF(FQ73&gt;0,SUM(FQ73-RW73)/7,""))))))))))))</f>
        <v>PIERDE TOMA DE TAMIZAJE</v>
      </c>
      <c r="FS73" s="22"/>
      <c r="FT73" s="32"/>
      <c r="FU73" s="29" t="str">
        <f>IF(AND(FJ73="",FM73="",FP73="",FS73=""),"",IF(OR(OR(Tabla1[[#This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3" s="28"/>
      <c r="FW73" s="22"/>
      <c r="FX73" s="29" t="str">
        <f t="shared" si="280"/>
        <v>TOMAR EXAMEN</v>
      </c>
      <c r="FY73" s="22"/>
      <c r="FZ73" s="22"/>
      <c r="GA73" s="29" t="str">
        <f t="shared" ca="1" si="250"/>
        <v/>
      </c>
      <c r="GB73" s="22"/>
      <c r="GC73" s="22"/>
      <c r="GD73" s="29" t="str">
        <f ca="1">IF(AND(BT73="ERROR FUM O INGRESO",GC73&gt;0),"ERROR FUM O INGRESO",IF(AND(GC73="",R73="",O73=""),"",IF(AND(GC73&lt;&gt;"",GC73&lt;RW73), "INCOHERENCIA FUM Y FECHA TAMIZAJE",IF(AND(GC73="",DV73="ACTIVA INGRESO A CPN",AND(BU73&gt;0,BU73&lt;13)),"EN ESPERA-ESTÁ I TRIM", IF(AND(GC73="",AND(BS73&gt;0, BS73&lt;12),OR(O73&gt;0,R73&gt;0),AND(IP74&gt;0,IP74&lt;13)),"NO APLICA-SALIO DEL PROGRAMA I TRIM",IF(AND(GC73&lt;&gt;"",AND(SUM((GC73-RW73)/7)&gt;0,SUM((GC73-RW73)/7)&lt;13)),"REGISTRAR EN I TRIMESTRE",IF(AND(GC73&lt;&gt;"",AND(SUM((GC73-RW73)/7)&gt;=27,SUM((GC73-RW73)/7)&lt;44)),"REGISTRAR EN III TRIMESTRE",IF(AND(GC73="",OR(O73&gt;0,R73&gt;0),AND(BU73&gt;=12,BU73&lt;25),DV73="ACTIVA INGRESO A CPN"),"EN RANGO PARA TOMAR EXAMEN",IF(AND(GC73="",OR(O73&gt;0,R73&gt;0),AND(BU73&gt;=25,BU73&lt;27),DV73="ACTIVA INGRESO A CPN"),"TOMA INMEDIATA DE TAMIZAJE",IF(AND(GC73="",OR(O73&gt;0,R73&gt;0),AND(BS73&gt;=27,BS73&lt;43)),"NO APLICA-INGRESO TARDIO",IF(AND(GC73="",BS73&lt;27),"PIERDE TOMA DE TAMIZAJE",IF(GC73&gt;0,SUM(GC73-RW73)/7,""))))))))))))</f>
        <v>PIERDE TOMA DE TAMIZAJE</v>
      </c>
      <c r="GE73" s="22"/>
      <c r="GF73" s="22"/>
      <c r="GG73" s="29" t="str">
        <f ca="1">IF(AND(BT73="ERROR FUM O INGRESO",GF73&gt;0),"ERROR FUM O INGRESO",IF(AND(GF73="",R73="",O73=""),"",IF(AND(GF73&lt;&gt;"",GF73&lt;RW73), "INCOHERENCIA FUM Y FECHA TAMIZAJE",IF(AND(GF73="",DV73="ACTIVA INGRESO A CPN",AND(BU73&gt;0,BU73&lt;27)),"EN ESPERA-ESTÁ I TRIM O II TRIM", IF(AND(GF73="",AND(BS73&gt;0, BS73&lt;28),OR(O73&gt;0,R73&gt;0),AND(IP74&gt;0,IP74&lt;28)),"NO APLICA-SALIO DEL PROGRAMA I O II TRIM",IF(AND(GF73&lt;&gt;"",AND(SUM((GF73-RW73)/7)&gt;0,SUM((GF73-RW73)/7)&lt;13)),"REGISTAR EN I TRIMESTRE",IF(AND(GF73&lt;&gt;"",AND(SUM((GF73-RW73)/7)&gt;=13,SUM((GF73-RW73)/7)&lt;27)),"REGISTRAR EN II TRIMESTRE",IF(AND(GF73="",OR(O73&gt;0,R73&gt;0),AND(BU73&gt;=28,BU73&lt;35),DV73="ACTIVA INGRESO A CPN"),"EN RANGO PARA TOMAR EXAMEN",IF(AND(GF73="",OR(O73&gt;0,R73&gt;0),BU73&gt;=35, DV73="ACTIVA INGRESO A CPN"),"TOMA INMEDIATA DE TAMIZAJE",IF(AND(GF73="",DV73= "SALE SIN INGRESO CPN"),"NO APLICA-SIN CPN",IF(AND(GF73="",BS73&lt;44),"PIERDE TOMA DE TAMIZAJE",IF(GF73&gt;0,SUM(GF73-RW73)/7,""))))))))))))</f>
        <v>PIERDE TOMA DE TAMIZAJE</v>
      </c>
      <c r="GH73" s="22"/>
      <c r="GI73" s="29"/>
      <c r="GJ73" s="22"/>
      <c r="GK73" s="22"/>
      <c r="GL73" s="22"/>
      <c r="GM73" s="22"/>
      <c r="GN73" s="28"/>
      <c r="GO73" s="22"/>
      <c r="GP73" s="29" t="str">
        <f t="shared" si="283"/>
        <v>TOMAR EXAMEN</v>
      </c>
      <c r="GQ73" s="28"/>
      <c r="GR73" s="28"/>
      <c r="GS73" s="22" t="str">
        <f t="shared" si="284"/>
        <v/>
      </c>
      <c r="GT73" s="22"/>
      <c r="GU73" s="29" t="str">
        <f t="shared" si="285"/>
        <v>TOMAR EXAMEN</v>
      </c>
      <c r="GV73" s="21" t="str">
        <f t="shared" si="286"/>
        <v>POR DEFINIR</v>
      </c>
      <c r="GW73" s="28"/>
      <c r="GX73" s="30"/>
      <c r="GY73" s="21"/>
      <c r="GZ73" s="21"/>
      <c r="HA73" s="21"/>
      <c r="HB73" s="21"/>
      <c r="HC73" s="21"/>
      <c r="HD73" s="21"/>
      <c r="HE73" s="21"/>
      <c r="HF73" s="22"/>
      <c r="HG73" s="22" t="str">
        <f>IF(OR(O73&gt;0,R73&gt;0),CONCATENATE(IF(Tabla1[[#This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3" s="22" t="e">
        <f t="shared" si="287"/>
        <v>#REF!</v>
      </c>
      <c r="HI73" s="22" t="e">
        <f t="shared" ca="1" si="288"/>
        <v>#REF!</v>
      </c>
      <c r="HJ73" s="21"/>
      <c r="HK73" s="21" t="str">
        <f t="shared" si="289"/>
        <v>SIN ANTECEDENTES DE RIESGO</v>
      </c>
      <c r="HL73" s="24" t="str">
        <f t="shared" si="290"/>
        <v>REGISTRE DATO PRESIÓN ARTERIAL MENSUAL</v>
      </c>
      <c r="HM73" s="21" t="str">
        <f t="shared" ca="1" si="291"/>
        <v/>
      </c>
      <c r="HN73" s="30" t="str">
        <f>IF(AND(R73&lt;&gt;"",IK73="CAMBIO DE RESIDENCIA"),"SEGUIMIENTO REPORTE EPS",IF(AND(R73&lt;&gt;"",OR(IK73&lt;&gt;"",IN74&lt;&gt;"")),"SALIO PROGRAMA",IF(AND(AND(R73="",O73&gt;0),OR(IK73&lt;&gt;"",IN74&lt;&gt;"")),"SALE SIN INGRESO CPN",IF(AND(R73="",O73&gt;0,IK73="",IN74=""),"ACTIVA SIN INGRESO CPN",IF(AND(R73&lt;&gt;"",OR(IK73="",IN74="")),"ACTIVA INGRESO A CPN","")))))</f>
        <v>SALIO PROGRAMA</v>
      </c>
      <c r="HO73" s="21"/>
      <c r="HP73" s="21"/>
      <c r="HQ73" s="21">
        <v>44910</v>
      </c>
      <c r="HR73" s="21" t="str">
        <f>IF(R73="","",IF(Tabla1[[#This Row],[ALARMA FACTORES DE RIESGO COMPLICACIONES HIPERTENSIVAS3]]="SIN ANTECEDENTES DE RIESGO","No Aplica para suministro de ASA",IF(AND(Tabla1[[#This Row],[FECHA INICIO DE SUMINISTRO DE ASA]]&gt;0,RV73&lt;12),"Inicia ASA ANTES de Sem 12",IF(AND(RV73&gt;11,RV73&lt;17,OR(HK73="RIESGO ALTO DE COMPLICACIONES HIPERTENSIVAS VER MANEJO GUIA SUMINISTRO ASA Y CALCIO",HK73="RIESGO MODERADO (2 O MAS CRITERIOS) VER MANEJO GUIA SUMINISTRO ASA Y CALCIO")),"Inicio oportuno de ASA",IF(AND(RV73&gt;12,OR(HK73="RIESGO ALTO DE COMPLICACIONES HIPERTENSIVAS VER MANEJO GUIA SUMINISTRO ASA Y CALCIO",HK73="RIESGO MODERADO (2 O MAS CRITERIOS) VER MANEJO GUIA SUMINISTRO ASA Y CALCIO")),"Inicio no oportuno mayor a 16 semanas",IF(AND(BU73&lt;12,OR(HK73="RIESGO ALTO DE COMPLICACIONES HIPERTENSIVAS VER MANEJO GUIA SUMINISTRO ASA Y CALCIO",HK73="RIESGO MODERADO (2 O MAS CRITERIOS) VER MANEJO GUIA SUMINISTRO ASA Y CALCIO")),"Pendiente Inicio de ASA a la semana 12",IF(AND(BU73&gt;11,BU73&lt;17,OR(HK73="RIESGO ALTO DE COMPLICACIONES HIPERTENSIVAS VER MANEJO GUIA SUMINISTRO ASA Y CALCIO",HK73="RIESGO MODERADO (2 O MAS CRITERIOS) VER MANEJO GUIA SUMINISTRO ASA Y CALCIO")),"Iniciar de inmediato ASA",IF(AND(BU73&gt;16,OR(HK73="RIESGO ALTO DE COMPLICACIONES HIPERTENSIVAS VER MANEJO GUIA SUMINISTRO ASA Y CALCIO",HK73="RIESGO MODERADO (2 O MAS CRITERIOS) VER MANEJO GUIA SUMINISTRO ASA Y CALCIO")),"Pierde Oportunidad, Inicio tardío de ASA","XXXXX"))))))))</f>
        <v>No Aplica para suministro de ASA</v>
      </c>
      <c r="HS73" s="22">
        <v>44910</v>
      </c>
      <c r="HT73" s="22" t="s">
        <v>870</v>
      </c>
      <c r="HU73" s="22">
        <v>44910</v>
      </c>
      <c r="HV73" s="22" t="s">
        <v>870</v>
      </c>
      <c r="HW73" s="22">
        <v>44985</v>
      </c>
      <c r="HX73" s="22" t="s">
        <v>870</v>
      </c>
      <c r="HY73" s="22">
        <v>44910</v>
      </c>
      <c r="HZ73" s="28">
        <f t="shared" si="292"/>
        <v>12.428571428571429</v>
      </c>
      <c r="IA73" s="26" t="s">
        <v>864</v>
      </c>
      <c r="IB73" s="26"/>
      <c r="IC73" s="111"/>
      <c r="ID73" s="22"/>
      <c r="IE73" s="22" t="str">
        <f t="shared" ca="1" si="293"/>
        <v>SALE SIN VACUNA</v>
      </c>
      <c r="IF73" s="22"/>
      <c r="IG73" s="22">
        <f t="shared" si="294"/>
        <v>45103</v>
      </c>
      <c r="IH73" s="29">
        <f t="shared" ca="1" si="295"/>
        <v>-130</v>
      </c>
      <c r="II73" s="22" t="str">
        <f t="shared" ca="1" si="296"/>
        <v>POSIBLEMENTE NACIO</v>
      </c>
      <c r="IJ73" s="22"/>
      <c r="IK73" s="21" t="s">
        <v>898</v>
      </c>
      <c r="IL73" s="21"/>
      <c r="IM73" s="34"/>
      <c r="IN73" s="349">
        <v>45034</v>
      </c>
      <c r="IO73" s="21" t="s">
        <v>1640</v>
      </c>
      <c r="IP73" s="29">
        <f t="shared" si="297"/>
        <v>30.142857142857142</v>
      </c>
      <c r="IQ73" s="110"/>
      <c r="IR73" s="21" t="s">
        <v>879</v>
      </c>
      <c r="IS73" s="21" t="s">
        <v>1641</v>
      </c>
      <c r="IT73" s="21" t="s">
        <v>1642</v>
      </c>
      <c r="IU73" s="21"/>
      <c r="IV73" s="21"/>
      <c r="IW73" s="21"/>
      <c r="IX73" s="21"/>
      <c r="IY73" s="21"/>
      <c r="IZ73" s="21"/>
      <c r="JA73" s="21"/>
      <c r="JB73" s="30">
        <v>1</v>
      </c>
      <c r="JC73" s="21" t="s">
        <v>1643</v>
      </c>
      <c r="JD73" s="36">
        <v>2600</v>
      </c>
      <c r="JE73" s="21" t="str">
        <f t="shared" si="434"/>
        <v>ERROR VERIFICAR DATO EDAD GESTACIONAL VS PESO</v>
      </c>
      <c r="JF73" s="30"/>
      <c r="JG73" s="21"/>
      <c r="JH73" s="21"/>
      <c r="JI73" s="21"/>
      <c r="JJ73" s="30"/>
      <c r="JK73" s="22"/>
      <c r="JL73" s="22"/>
      <c r="JM73" s="21"/>
      <c r="JN73" s="36"/>
      <c r="JO73" s="21" t="str">
        <f>IF(AND(JN73&gt;700,JN73&lt;2500,IP74&gt;36,IP74&lt;43),"BAJO PESO AL NACER",IF(AND(JN73&gt;700,JN73&lt;2500,IP74&lt;37),"PREMATURO",IF(AND(JN73&gt;2499,JN73&lt;5000,IP74&lt;37),"ERROR VERIFICAR DATO EDAD GESTACIONAL VS PESO",IF(AND(JN73&gt;2499,JN73&lt;4000,IP74&gt;36,IP74&lt;43),"PESO ADECUADO EDAD GESTACIONAL",IF(AND(JN73&gt;3999,JN73&lt;6000,IP74&gt;36,IP74&lt;43),"PESO GRANDE EDAD GESTACIONAL","")))))</f>
        <v/>
      </c>
      <c r="JP73" s="22"/>
      <c r="JQ73" s="21"/>
      <c r="JR73" s="21"/>
      <c r="JS73" s="21"/>
      <c r="JT73" s="30"/>
      <c r="JU73" s="22"/>
      <c r="JV73" s="22"/>
      <c r="JW73" s="33"/>
      <c r="JX73" s="28" t="str">
        <f>IF(AND(JW73&lt;&gt;"",JW73&lt;IN74),"INCONSISTENCIA FECHA CONTROL",IF(AND(OR(IK73="Parto",IK73="Cesarea"),JW73&gt;0,IN74&gt;0),SUM(JW73-IN74),IF(AND(OR(IK73="Parto",IK73="Cesarea"),JW73="",IN74&gt;0),"INASISTENTE","")))</f>
        <v>INASISTENTE</v>
      </c>
      <c r="JY73" s="33"/>
      <c r="JZ73" s="28" t="str">
        <f>IF(AND(JY73&lt;&gt;"",JY73&lt;IN74),"INCONSISTENCIA FECHA CONTROL",IF(AND(OR(IK73="Parto",IK73="Cesarea",IK73="Aborto Espontaneo",IK73="Aborto Inducido",IK73="IVE"),JY73&gt;0,IN74&gt;0),SUM(JY73-IN74),IF(AND(JY73&lt;&gt;"",JY73&lt;IN74),"INCONSISTENCIA FECHA CONTROL",IF(AND(OR(IK73="Parto",IK73="Cesarea",IK73="Aborto Espontaneo",IK73="Aborto Inducido",IK73="IVE"),JY73="",IN74&gt;0),"INASISTENTE",""))))</f>
        <v>INASISTENTE</v>
      </c>
      <c r="KA73" s="21"/>
      <c r="KB73" s="21"/>
      <c r="KC73" s="21"/>
      <c r="KD73" s="37"/>
      <c r="KE73" s="28"/>
      <c r="KF73" s="28"/>
      <c r="KG73" s="28"/>
      <c r="KH73" s="39"/>
      <c r="KI73" s="39"/>
      <c r="KJ73" s="66"/>
      <c r="KK73" s="39"/>
      <c r="KL73" s="39"/>
      <c r="KM73" s="66"/>
      <c r="KN73" s="39"/>
      <c r="KO73" s="39"/>
      <c r="KP73" s="39"/>
      <c r="KQ73" s="39"/>
      <c r="KR73" s="39"/>
      <c r="KS73" s="39"/>
      <c r="KT73" s="39"/>
      <c r="KU73" s="38"/>
      <c r="KV73" s="38"/>
      <c r="KW73" s="38"/>
      <c r="KX73" s="38"/>
      <c r="KY73" s="38"/>
      <c r="KZ73" s="38"/>
      <c r="LA73" s="38"/>
      <c r="LB73" s="38"/>
      <c r="LC73" s="38"/>
      <c r="LD73" s="38"/>
      <c r="LE73" s="38"/>
      <c r="LF73" s="38"/>
      <c r="LG73" s="38"/>
      <c r="LH73" s="38"/>
      <c r="LI73" s="38"/>
      <c r="LJ73" s="38"/>
      <c r="LK73" s="38"/>
      <c r="LL73" s="38"/>
      <c r="LM73" s="38"/>
      <c r="LN73" s="38"/>
      <c r="LO73" s="38"/>
      <c r="LP73" s="38"/>
      <c r="LQ73" s="38"/>
      <c r="LR73" s="38"/>
      <c r="LS73" s="38"/>
      <c r="LT73" s="38"/>
      <c r="LU73" s="38"/>
      <c r="LV73" s="38"/>
      <c r="LW73" s="38"/>
      <c r="LX73" s="38"/>
      <c r="LY73" s="38"/>
      <c r="LZ73" s="38"/>
      <c r="MA73" s="38"/>
      <c r="MB73" s="38"/>
      <c r="MC73" s="38"/>
      <c r="MD73" s="38"/>
      <c r="ME73" s="38"/>
      <c r="MF73" s="38"/>
      <c r="MG73" s="38"/>
      <c r="MH73" s="43">
        <f t="shared" si="302"/>
        <v>0</v>
      </c>
      <c r="MI73" s="43" t="str">
        <f t="shared" si="303"/>
        <v/>
      </c>
      <c r="MJ73" s="43" t="str">
        <f t="shared" si="304"/>
        <v/>
      </c>
      <c r="MK73" s="43">
        <f t="shared" si="305"/>
        <v>0</v>
      </c>
      <c r="ML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3" s="43">
        <f t="shared" si="306"/>
        <v>12.428571428571429</v>
      </c>
      <c r="MN73" s="43">
        <f t="shared" si="307"/>
        <v>12</v>
      </c>
      <c r="MO73" s="43">
        <f t="shared" si="308"/>
        <v>2022</v>
      </c>
      <c r="MP73" s="43" t="str">
        <f t="shared" si="309"/>
        <v>IV TRIMESTRE AÑO</v>
      </c>
      <c r="MQ73" s="43">
        <f t="shared" si="310"/>
        <v>14.857095926412613</v>
      </c>
      <c r="MR73" s="43">
        <f t="shared" si="311"/>
        <v>1</v>
      </c>
      <c r="MS73" s="43" t="str">
        <f t="shared" si="312"/>
        <v>DE 14 A 19AÑOS</v>
      </c>
      <c r="MT73" s="43">
        <f t="shared" si="313"/>
        <v>0</v>
      </c>
      <c r="MU73" s="43">
        <f t="shared" si="314"/>
        <v>1</v>
      </c>
      <c r="MV73" s="43">
        <f t="shared" si="315"/>
        <v>0</v>
      </c>
      <c r="MW73" s="43">
        <f t="shared" si="316"/>
        <v>0</v>
      </c>
      <c r="MX73" s="43" t="str">
        <f t="shared" si="317"/>
        <v/>
      </c>
      <c r="MY73" s="43" t="str">
        <f ca="1">IF(AND(AND(BU73&gt;40.9,BU73&lt;43),IN74=""),1,"")</f>
        <v/>
      </c>
      <c r="MZ73" s="43" t="str">
        <f t="shared" si="318"/>
        <v/>
      </c>
      <c r="NA73" s="43" t="str">
        <f t="shared" si="319"/>
        <v/>
      </c>
      <c r="NB73" s="43" t="str">
        <f t="shared" si="320"/>
        <v/>
      </c>
      <c r="NC73" s="43" t="str">
        <f t="shared" si="321"/>
        <v/>
      </c>
      <c r="ND73" s="43">
        <f t="shared" ca="1" si="322"/>
        <v>2</v>
      </c>
      <c r="NE73" s="43">
        <f>IF(OR(O73&gt;0,R73&gt;0),SUM(COUNTIF(Tabla1[[#This Row],[AÑOS AL INICIO5 CPN]],"&gt;=40"),COUNTIF(AS73,"0"),COUNTIF(AR73,"SI"),COUNTIF(CC73,"SI"),COUNTIF(BQ73,"&gt;119"),COUNTIF(CI73,"&gt;=35")),"")</f>
        <v>1</v>
      </c>
      <c r="NF73" s="43" t="str">
        <f t="shared" si="323"/>
        <v/>
      </c>
      <c r="NG73" s="43">
        <f t="shared" si="324"/>
        <v>0</v>
      </c>
      <c r="NH73" s="43" t="str">
        <f t="shared" si="325"/>
        <v/>
      </c>
      <c r="NI7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CPN",P73="NO"),"Z",IF(AND(Tabla1[[#This Row],[CITA PROXIMO CONTROL]]="CITA MANUAL",Tabla1[[#This Row],[GESTANTES ACTUALES]]="ACTIVA INGRESO A CPN"),"W",IF(AND(Tabla1[[#This Row],[GESTANTES ACTUALES]]="SALIO PROGRAMA",IN74=""),"S",IF(AND(Tabla1[[#This Row],[CITA PROXIMO CONTROL]]&gt;0,IN74=""),(Tabla1[[#This Row],[CITA PROXIMO CONTROL]]-TODAY()),"SD"))))))))</f>
        <v>SD</v>
      </c>
      <c r="NJ73" s="43">
        <f>MONTH(Tabla1[[#This Row],[FECHA DE SALIDA  DEL PROGRAMA]])</f>
        <v>4</v>
      </c>
      <c r="NK73" s="43">
        <f>YEAR(Tabla1[[#This Row],[FECHA DE SALIDA  DEL PROGRAMA]])</f>
        <v>2023</v>
      </c>
      <c r="NL73" s="43" t="str">
        <f t="shared" si="326"/>
        <v>X</v>
      </c>
      <c r="NM73" s="43" t="str">
        <f t="shared" si="251"/>
        <v>NO</v>
      </c>
      <c r="NN73" s="43" t="str">
        <f ca="1">IF(AND(O73&gt;0,R73=""),"NO CPN",IF(AND(O73="",R73=""),"",IF(AND(R73&gt;0,Tabla1[[#This Row],[SEMANAS DE GESTACION ACTUALIZADAS]]&lt;=12),"NO APLICA",IF(AND(FH73&lt;&gt;"",FN73&lt;&gt;""),"SI","NO"))))</f>
        <v>NO</v>
      </c>
      <c r="NO73" s="43" t="str">
        <f ca="1">IF(AND(O73&gt;0,R73=""),"NO CPN",IF(AND(O73="",R73=""),"",IF(AND(R73&gt;0,Tabla1[[#This Row],[SEMANAS DE GESTACION ACTUALIZADAS]]&lt;=27),"NO APLICA",IF(AND(ES73&lt;&gt;"",FQ73&lt;&gt;"",GF73&lt;&gt;""),"SI","NO"))))</f>
        <v>NO</v>
      </c>
      <c r="NP73" s="204" t="str">
        <f t="shared" si="327"/>
        <v>DEFINIR CON ECO</v>
      </c>
      <c r="NQ73" s="21">
        <f>IF(AND(IP75&gt;0,IP75&lt;37),10,IF(OR(CD74="Transversa",CD74="Oblicua"),9,IF(CC74="SI",8,IF(AND(AT74=0,AW74=0,CC74="NO",CD74="Cefálica",IP75&gt;=37,IT75="INICIO ESPONTÁNEO"),1,IF(AND(AND(AT74=0,AW74=0,CC74="NO",CD74="Cefálica",IP75&gt;=37),OR(IT75="LE HACEN INDUCCIÓN",IT75="LE HACEN CESÁREA SIN INICIO TRABAJO DE PARTO")),2,IF(AND(AT74&gt;=1,AW74=0,CC74="NO",CD74="Cefálica",IP75&gt;=37,IT75="INICIO ESPONTÁNEO"),3,IF(AND(AND(AT74&gt;=1,AW74=0,CC74="NO",CD74="Cefálica",IP75&gt;=37),OR(IT75="LE HACEN INDUCCIÓN",IT75="LE HACEN CESÁREA SIN INICIO TRABAJO DE PARTO")),4,IF(AND(AND(AT74&gt;=1,AW74&gt;=1,CC74="NO",CD74="Cefálica",IP75&gt;=37),OR(IT75="LE HACEN INDUCCIÓN",IT75="LE HACEN CESÁREA SIN INICIO TRABAJO DE PARTO",IT75="INICIO ESPONTÁNEO")),5,IF(AND(AND(AT74=0,AW74=0,CC74="NO",CD74="Podálica",IP75&gt;=1),OR(IT75="LE HACEN INDUCCIÓN",IT75="LE HACEN CESÁREA SIN INICIO TRABAJO DE PARTO",IT75="INICIO ESPONTÁNEO")),6,IF(AND(AND(AT74&gt;=1,CC74="NO",CD74="Podálica",IP75&gt;=1),OR(IT75="LE HACEN INDUCCIÓN",IT75="LE HACEN CESÁREA SIN INICIO TRABAJO DE PARTO",IT75="INICIO ESPONTÁNEO"),OR(AW74=0,AW74&gt;=1)),7,""))))))))))</f>
        <v>10</v>
      </c>
      <c r="NR73" s="21">
        <f>IF(AND(O73="",R73=""),"",IF(AND(BS73&gt;0,BS73&lt;12,IP74&gt;28,IP74&lt;44),3, IF(OR(AND(BS73&gt;=12,BS73&lt;28,IP74&gt;=28,IP74&lt;44),AND(BS73&gt;0,BS73&lt;12,IP74&gt;=12,IP74&lt;29)),2,IF(OR(AND(BS73&gt;=28,BS73&lt;44),AND(BS73&gt;0,BS73&lt;12,IP74&gt;0,IP74&lt;12),AND(BS73&gt;=12,BS73&lt;28,IP74&gt;=12,IP74&lt;28)),1,IF(AND(BS73&gt;0,BS73&lt;12,BU73&gt;=28,BU73&lt;44,DV73="ACTIVA INGRESO A CPN"),3,IF(OR(AND(BS73&gt;0,BS73&lt;12,BU73&gt;=12,BU73&lt;28,DV73="ACTIVA INGRESO A CPN"),AND(BS73&gt;=12,BS73&lt;28,BU73&gt;=28,BU73&lt;44,DV73="ACTIVA INGRESO A CPN")),2,IF(OR(AND(BS73&gt;0,BS73&lt;12,BU73&gt;0,BU73&lt;12,DV73="ACTIVA INGRESO A CPN"),AND(BS73&gt;=12,BS73&lt;28,BU73&gt;=12,BU73&lt;28,DV73="ACTIVA INGRESO A CPN")),1,"REVISAR FUM O FECHA SALIDA PROGRAMA")))))))</f>
        <v>2</v>
      </c>
      <c r="NS73" s="205">
        <f t="shared" ca="1" si="328"/>
        <v>0</v>
      </c>
      <c r="NT73" s="21">
        <f t="shared" ca="1" si="329"/>
        <v>0</v>
      </c>
      <c r="NU73" s="21" t="str">
        <f t="shared" ca="1" si="330"/>
        <v>INCOMPLETO</v>
      </c>
      <c r="NV73" s="21" t="str">
        <f t="shared" ca="1" si="331"/>
        <v>INCOMPLETO</v>
      </c>
      <c r="NW73" s="206" t="str">
        <f>IF(AND(O73="",R73=""),"",IF(OR(AND(Tabla1[[#This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3" s="207" t="str">
        <f t="shared" ca="1" si="332"/>
        <v>SIN VACUNAR</v>
      </c>
      <c r="NY73" s="43">
        <f>ROW(Tabla1[[#This Row],['# DE TAMIZAJES SIFILIS TOMADOS ]])</f>
        <v>73</v>
      </c>
      <c r="NZ73" s="43">
        <f t="shared" si="333"/>
        <v>12</v>
      </c>
      <c r="OA73" s="43" t="str">
        <f t="shared" si="334"/>
        <v/>
      </c>
      <c r="OB73" s="43" t="str">
        <f t="shared" si="335"/>
        <v/>
      </c>
      <c r="OC73" s="43" t="str">
        <f t="shared" si="336"/>
        <v/>
      </c>
      <c r="OD73" s="43" t="str">
        <f t="shared" si="337"/>
        <v>NORMAL</v>
      </c>
      <c r="OE73" s="43" t="str">
        <f t="shared" si="338"/>
        <v/>
      </c>
      <c r="OF73" s="43" t="str">
        <f t="shared" si="339"/>
        <v/>
      </c>
      <c r="OG73" s="43" t="str">
        <f t="shared" si="340"/>
        <v/>
      </c>
      <c r="OH73" s="43" t="str">
        <f t="shared" si="341"/>
        <v/>
      </c>
      <c r="OI73" s="43" t="str">
        <f t="shared" si="342"/>
        <v/>
      </c>
      <c r="OJ73" s="43" t="str">
        <f t="shared" si="343"/>
        <v/>
      </c>
      <c r="OK73" s="43" t="str">
        <f t="shared" si="344"/>
        <v/>
      </c>
      <c r="OL73" s="43" t="str">
        <f t="shared" si="345"/>
        <v/>
      </c>
      <c r="OM73" s="43" t="str">
        <f t="shared" si="346"/>
        <v/>
      </c>
      <c r="ON73" s="43" t="str">
        <f t="shared" si="347"/>
        <v/>
      </c>
      <c r="OO73" s="43" t="str">
        <f t="shared" si="348"/>
        <v/>
      </c>
      <c r="OP73" s="43" t="str">
        <f t="shared" si="349"/>
        <v/>
      </c>
      <c r="OQ73" s="43" t="str">
        <f t="shared" si="350"/>
        <v/>
      </c>
      <c r="OR73" s="43" t="str">
        <f t="shared" si="351"/>
        <v/>
      </c>
      <c r="OS73" s="43" t="str">
        <f t="shared" si="352"/>
        <v/>
      </c>
      <c r="OT73" s="43" t="str">
        <f t="shared" si="353"/>
        <v/>
      </c>
      <c r="OU73" s="43" t="str">
        <f t="shared" si="354"/>
        <v/>
      </c>
      <c r="OV73" s="110" t="str">
        <f t="shared" si="355"/>
        <v/>
      </c>
      <c r="OW73" s="43" t="str">
        <f t="shared" si="356"/>
        <v/>
      </c>
      <c r="OX73" s="43" t="str">
        <f t="shared" si="357"/>
        <v/>
      </c>
      <c r="OY73" s="43" t="str">
        <f t="shared" si="358"/>
        <v/>
      </c>
      <c r="OZ73" s="43" t="str">
        <f t="shared" si="359"/>
        <v/>
      </c>
      <c r="PA73" s="43" t="str">
        <f t="shared" si="360"/>
        <v/>
      </c>
      <c r="PB73" s="43" t="str">
        <f t="shared" si="361"/>
        <v/>
      </c>
      <c r="PC73" s="43" t="str">
        <f t="shared" si="362"/>
        <v/>
      </c>
      <c r="PD73" s="43" t="str">
        <f t="shared" si="363"/>
        <v/>
      </c>
      <c r="PE73" s="43" t="str">
        <f t="shared" si="364"/>
        <v/>
      </c>
      <c r="PF73" s="43" t="str">
        <f t="shared" si="365"/>
        <v/>
      </c>
      <c r="PG73" s="43" t="str">
        <f t="shared" si="366"/>
        <v/>
      </c>
      <c r="PH73" s="43" t="str">
        <f t="shared" si="367"/>
        <v/>
      </c>
      <c r="PI73" s="43">
        <f t="shared" si="368"/>
        <v>23</v>
      </c>
      <c r="PJ73" s="43" t="str">
        <f t="shared" si="369"/>
        <v/>
      </c>
      <c r="PK73" s="43" t="str">
        <f t="shared" si="370"/>
        <v/>
      </c>
      <c r="PL73" s="43" t="str">
        <f t="shared" si="371"/>
        <v/>
      </c>
      <c r="PM73" s="43" t="str">
        <f t="shared" si="372"/>
        <v/>
      </c>
      <c r="PN73" s="43" t="str">
        <f t="shared" si="373"/>
        <v/>
      </c>
      <c r="PO73" s="43" t="str">
        <f t="shared" si="374"/>
        <v/>
      </c>
      <c r="PP73" s="43" t="str">
        <f t="shared" si="375"/>
        <v/>
      </c>
      <c r="PQ73" s="43" t="str">
        <f t="shared" si="376"/>
        <v/>
      </c>
      <c r="PR73" s="43" t="str">
        <f t="shared" si="377"/>
        <v/>
      </c>
      <c r="PS73" s="43" t="str">
        <f t="shared" si="378"/>
        <v/>
      </c>
      <c r="PT73" s="43" t="str">
        <f t="shared" si="379"/>
        <v/>
      </c>
      <c r="PU73" s="43" t="str">
        <f t="shared" si="380"/>
        <v/>
      </c>
      <c r="PV73" s="43" t="str">
        <f t="shared" si="381"/>
        <v/>
      </c>
      <c r="PW73" s="43" t="str">
        <f t="shared" si="382"/>
        <v/>
      </c>
      <c r="PX73" s="43" t="str">
        <f t="shared" si="383"/>
        <v/>
      </c>
      <c r="PY73" s="43" t="str">
        <f t="shared" si="384"/>
        <v/>
      </c>
      <c r="PZ73" s="43" t="str">
        <f t="shared" si="385"/>
        <v/>
      </c>
      <c r="QA73" s="43" t="str">
        <f t="shared" si="386"/>
        <v/>
      </c>
      <c r="QB73" s="43" t="str">
        <f t="shared" si="387"/>
        <v/>
      </c>
      <c r="QC73" s="43" t="str">
        <f t="shared" si="388"/>
        <v/>
      </c>
      <c r="QD73" s="43" t="str">
        <f t="shared" si="389"/>
        <v/>
      </c>
      <c r="QE73" s="43" t="str">
        <f t="shared" si="390"/>
        <v/>
      </c>
      <c r="QF73" s="43" t="str">
        <f t="shared" si="391"/>
        <v/>
      </c>
      <c r="QG73" s="43" t="str">
        <f t="shared" si="392"/>
        <v/>
      </c>
      <c r="QH73" s="43" t="str">
        <f t="shared" si="393"/>
        <v/>
      </c>
      <c r="QI73" s="43" t="str">
        <f t="shared" si="394"/>
        <v/>
      </c>
      <c r="QJ73" s="43" t="str">
        <f t="shared" si="395"/>
        <v/>
      </c>
      <c r="QK73" s="43" t="str">
        <f t="shared" si="396"/>
        <v/>
      </c>
      <c r="QL73" s="43" t="str">
        <f t="shared" si="397"/>
        <v/>
      </c>
      <c r="QM73" s="43" t="str">
        <f t="shared" si="398"/>
        <v/>
      </c>
      <c r="QN73" s="43" t="str">
        <f t="shared" si="399"/>
        <v/>
      </c>
      <c r="QO73" s="43" t="str">
        <f t="shared" si="400"/>
        <v/>
      </c>
      <c r="QP73" s="43" t="str">
        <f t="shared" si="401"/>
        <v/>
      </c>
      <c r="QQ73" s="43" t="str">
        <f t="shared" si="402"/>
        <v/>
      </c>
      <c r="QR73" s="43">
        <f t="shared" si="432"/>
        <v>23</v>
      </c>
      <c r="QS73" s="43"/>
      <c r="QT73" s="21" t="str">
        <f t="shared" si="403"/>
        <v/>
      </c>
      <c r="QU73" s="21" t="str">
        <f t="shared" si="404"/>
        <v/>
      </c>
      <c r="QV73" s="21" t="str">
        <f t="shared" si="405"/>
        <v/>
      </c>
      <c r="QW73" s="21" t="str">
        <f t="shared" si="406"/>
        <v/>
      </c>
      <c r="QX73" s="21" t="str">
        <f t="shared" si="407"/>
        <v/>
      </c>
      <c r="QY73" s="21" t="str">
        <f t="shared" si="408"/>
        <v/>
      </c>
      <c r="QZ73" s="21" t="str">
        <f t="shared" si="409"/>
        <v/>
      </c>
      <c r="RA73" s="21" t="str">
        <f t="shared" si="410"/>
        <v/>
      </c>
      <c r="RB73" s="21" t="str">
        <f t="shared" si="411"/>
        <v/>
      </c>
      <c r="RC73" s="21" t="str">
        <f t="shared" si="412"/>
        <v/>
      </c>
      <c r="RD73" s="21" t="str">
        <f t="shared" si="413"/>
        <v/>
      </c>
      <c r="RE73" s="21" t="str">
        <f t="shared" si="414"/>
        <v/>
      </c>
      <c r="RF73" s="21" t="str">
        <f t="shared" si="415"/>
        <v/>
      </c>
      <c r="RG73" s="21" t="str">
        <f t="shared" si="416"/>
        <v/>
      </c>
      <c r="RH73" s="21" t="str">
        <f t="shared" si="417"/>
        <v/>
      </c>
      <c r="RI73" s="21" t="str">
        <f t="shared" si="418"/>
        <v/>
      </c>
      <c r="RJ73" s="21" t="str">
        <f t="shared" si="419"/>
        <v/>
      </c>
      <c r="RK73" s="21" t="str">
        <f t="shared" si="420"/>
        <v/>
      </c>
      <c r="RL73" s="21" t="str">
        <f t="shared" si="421"/>
        <v/>
      </c>
      <c r="RM73" s="21" t="str">
        <f t="shared" si="422"/>
        <v/>
      </c>
      <c r="RN73" s="21" t="str">
        <f t="shared" si="423"/>
        <v/>
      </c>
      <c r="RO73" s="21" t="str">
        <f t="shared" si="424"/>
        <v/>
      </c>
      <c r="RP73" s="21" t="str">
        <f t="shared" si="425"/>
        <v/>
      </c>
      <c r="RQ73" s="21" t="str">
        <f t="shared" si="426"/>
        <v/>
      </c>
      <c r="RR73" s="21" t="str">
        <f t="shared" si="427"/>
        <v/>
      </c>
      <c r="RS73" s="21" t="str">
        <f t="shared" si="428"/>
        <v/>
      </c>
      <c r="RT73" s="21" t="str">
        <f t="shared" si="429"/>
        <v/>
      </c>
      <c r="RU73" s="21" t="str">
        <f t="shared" si="430"/>
        <v/>
      </c>
      <c r="RV73" s="21">
        <f t="shared" si="431"/>
        <v>12.428571428571429</v>
      </c>
      <c r="RW73" s="284">
        <f>IF(OR(Tabla1[[#This Row],[FUM FORMULA CONFIABLE]]="",Tabla1[[#This Row],[FUM FORMULA CONFIABLE]]="SD"),"",IF(Tabla1[[#This Row],[FUM FORMULA CONFIABLE]]="CORREGIDA",Tabla1[[#This Row],[FUM X ECO 1]],Tabla1[[#This Row],[FUM x AMENORREA]]))</f>
        <v>44823</v>
      </c>
      <c r="RX73" s="21" t="str">
        <f>IF(AND(Tabla1[[#This Row],[FUM X ECO 1]]="",Tabla1[[#This Row],[FUM x AMENORREA]]=""),"",IF(AND(Tabla1[[#This Row],[FUM X ECO 1]]="",Tabla1[[#This Row],[FUM x AMENORREA]]&lt;&gt;""),"X",SUM(Tabla1[[#This Row],[FUM X ECO 1]]-Tabla1[[#This Row],[FUM x AMENORREA]])))</f>
        <v>X</v>
      </c>
      <c r="RY73" s="21" t="str">
        <f t="shared" si="433"/>
        <v>x</v>
      </c>
    </row>
    <row r="74" spans="1:493" ht="45" customHeight="1" x14ac:dyDescent="0.25">
      <c r="A74" s="109"/>
      <c r="B74" s="43"/>
      <c r="C74" s="43" t="s">
        <v>845</v>
      </c>
      <c r="D74" s="124" t="s">
        <v>846</v>
      </c>
      <c r="E74" s="43" t="s">
        <v>1219</v>
      </c>
      <c r="F74" s="43" t="s">
        <v>1091</v>
      </c>
      <c r="G74" s="43" t="s">
        <v>1192</v>
      </c>
      <c r="H74" s="43" t="s">
        <v>1220</v>
      </c>
      <c r="I74" s="109" t="s">
        <v>1094</v>
      </c>
      <c r="J74" s="110">
        <v>1059598103</v>
      </c>
      <c r="K74" s="43" t="s">
        <v>852</v>
      </c>
      <c r="L74" s="175" t="s">
        <v>853</v>
      </c>
      <c r="M74" s="22">
        <v>39130</v>
      </c>
      <c r="N74" s="213">
        <f t="shared" ca="1" si="252"/>
        <v>16.720547945205478</v>
      </c>
      <c r="O74" s="22">
        <v>44910</v>
      </c>
      <c r="P74" s="214" t="str">
        <f>IF(AND(O74="",R74&gt;0),"ACUDE ESPONTANEAMENTE",IF(AND(AND(O74&gt;0,R74=""),OR(IN75&gt;0,IK74&lt;&gt;"")),"NA",IF(AND(O74&gt;0,IN75="",R74=""),"NO",IF(AND(O74&gt;0,R74&gt;0),"SI",""))))</f>
        <v>SI</v>
      </c>
      <c r="Q74" s="26" t="s">
        <v>855</v>
      </c>
      <c r="R74" s="22">
        <v>44910</v>
      </c>
      <c r="S74" s="21" t="s">
        <v>856</v>
      </c>
      <c r="T74" s="24" t="s">
        <v>690</v>
      </c>
      <c r="U74" s="21" t="s">
        <v>857</v>
      </c>
      <c r="V74" s="21" t="s">
        <v>858</v>
      </c>
      <c r="W74" s="21" t="s">
        <v>1221</v>
      </c>
      <c r="X74" s="21" t="s">
        <v>1221</v>
      </c>
      <c r="Y74" s="21" t="s">
        <v>859</v>
      </c>
      <c r="Z74" s="21">
        <v>3127884593</v>
      </c>
      <c r="AA74" s="21" t="s">
        <v>860</v>
      </c>
      <c r="AB74" s="27" t="s">
        <v>861</v>
      </c>
      <c r="AC74" s="26" t="s">
        <v>862</v>
      </c>
      <c r="AD74" s="38" t="s">
        <v>846</v>
      </c>
      <c r="AE74" s="26" t="s">
        <v>854</v>
      </c>
      <c r="AF74" s="26" t="s">
        <v>854</v>
      </c>
      <c r="AG74" s="23" t="s">
        <v>864</v>
      </c>
      <c r="AH74" s="23" t="s">
        <v>864</v>
      </c>
      <c r="AI74" s="24" t="s">
        <v>863</v>
      </c>
      <c r="AJ74" s="23" t="s">
        <v>864</v>
      </c>
      <c r="AK74" s="220" t="str">
        <f>IF(AND(AD74="",AE74="",AF74="",AG74="",AH74="",AI74="",AJ74=""),"",IF(OR(Tabla1[[#This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EVALUACIÓN",IF(AND(O74="",R74=""),"",IF(AND(OR(O74&gt;0,R74&gt;0),NG74&gt;=0,NG74&lt;2),"SIN RIESGO",IF(AND(OR(O74&gt;0,R74&gt;0),NG74&gt;=2),"CON RIESGO","ASD")))))</f>
        <v>SIN RIESGO</v>
      </c>
      <c r="AL74" s="23" t="s">
        <v>864</v>
      </c>
      <c r="AM74" s="26" t="s">
        <v>864</v>
      </c>
      <c r="AN74" s="26" t="s">
        <v>864</v>
      </c>
      <c r="AO74" s="26" t="s">
        <v>864</v>
      </c>
      <c r="AP74" s="26" t="s">
        <v>864</v>
      </c>
      <c r="AQ74" s="26" t="s">
        <v>864</v>
      </c>
      <c r="AR74" s="26" t="s">
        <v>864</v>
      </c>
      <c r="AS74" s="21">
        <v>0</v>
      </c>
      <c r="AT74" s="21">
        <v>0</v>
      </c>
      <c r="AU74" s="21">
        <v>0</v>
      </c>
      <c r="AV74" s="26" t="s">
        <v>864</v>
      </c>
      <c r="AW74" s="21">
        <v>1</v>
      </c>
      <c r="AX74" s="26" t="s">
        <v>864</v>
      </c>
      <c r="AY74" s="26" t="s">
        <v>864</v>
      </c>
      <c r="AZ74" s="26" t="s">
        <v>864</v>
      </c>
      <c r="BA74" s="26" t="s">
        <v>864</v>
      </c>
      <c r="BB74" s="26" t="s">
        <v>864</v>
      </c>
      <c r="BC74" s="26" t="s">
        <v>864</v>
      </c>
      <c r="BD74" s="26" t="s">
        <v>864</v>
      </c>
      <c r="BE74" s="26" t="s">
        <v>864</v>
      </c>
      <c r="BF74" s="26" t="s">
        <v>864</v>
      </c>
      <c r="BG74" s="26" t="s">
        <v>864</v>
      </c>
      <c r="BH74" s="26" t="s">
        <v>864</v>
      </c>
      <c r="BI74" s="26" t="s">
        <v>864</v>
      </c>
      <c r="BJ74" s="26"/>
      <c r="BK74" s="26"/>
      <c r="BL74" s="26" t="s">
        <v>864</v>
      </c>
      <c r="BM74" s="26" t="s">
        <v>864</v>
      </c>
      <c r="BN74" s="22"/>
      <c r="BO74" s="22">
        <v>44789</v>
      </c>
      <c r="BP74" s="21" t="s">
        <v>854</v>
      </c>
      <c r="BQ74" s="222">
        <f t="shared" si="254"/>
        <v>0</v>
      </c>
      <c r="BR74" s="223">
        <f t="shared" si="255"/>
        <v>44789.9</v>
      </c>
      <c r="BS74" s="224">
        <f t="shared" si="256"/>
        <v>17.285714285714285</v>
      </c>
      <c r="BT74" s="216" t="str">
        <f t="shared" si="257"/>
        <v>II TRIM</v>
      </c>
      <c r="BU74" s="214" t="str">
        <f t="shared" ca="1" si="258"/>
        <v/>
      </c>
      <c r="BV74" s="25"/>
      <c r="BW74" s="22">
        <v>44960</v>
      </c>
      <c r="BX74" s="28">
        <v>24.3</v>
      </c>
      <c r="BY74" s="28"/>
      <c r="BZ74" s="22"/>
      <c r="CA74" s="21"/>
      <c r="CB74" s="26" t="s">
        <v>864</v>
      </c>
      <c r="CC74" s="26" t="s">
        <v>864</v>
      </c>
      <c r="CD74" s="26" t="s">
        <v>972</v>
      </c>
      <c r="CE74" s="26" t="s">
        <v>864</v>
      </c>
      <c r="CF74" s="22" t="s">
        <v>1517</v>
      </c>
      <c r="CG74" s="21">
        <v>1.45</v>
      </c>
      <c r="CH74" s="21">
        <v>45</v>
      </c>
      <c r="CI74" s="214">
        <f t="shared" si="259"/>
        <v>21.403091557669441</v>
      </c>
      <c r="CJ74" s="225" t="e">
        <f>IF(AND(CI74&lt;10,CH74="SD"),"SIN DATO PESO PREGESTACION O I TRIM",IF(AND(OR(R74&gt;0,O74&gt;0),CI74="X"),"INGRESAR DATO DE PESO",IF(CI74="SD","INGRESAR DATO DE TALLA Y PESO",IF(AND(OR(Tabla1[[#This Row],[MOMENTO EN QUE SE REALIZA EL PESO AL INGRESO A CPN]]="PREGESTACIÓN",NZ74="Menor"),CI74&lt;18.5),"BAJO PESO",IF(AND(OR(Tabla1[[#This Row],[MOMENTO EN QUE SE REALIZA EL PESO AL INGRESO A CPN]]="PREGESTACIÓN",NZ74="Menor"),CI74&lt;25),"NORMAL",IF(AND(OR(Tabla1[[#This Row],[MOMENTO EN QUE SE REALIZA EL PESO AL INGRESO A CPN]]="PREGESTACIÓN",NZ74="Menor"),CI74&lt;30),"SOBREPESO",IF(AND(OR(Tabla1[[#This Row],[MOMENTO EN QUE SE REALIZA EL PESO AL INGRESO A CPN]]="PREGESTACIÓN",NZ74="Menor"),CI74&gt;=30,CI74&lt;50),"OBESIDAD",IF(AND(BS74&gt;0,Tabla1[[#This Row],[MOMENTO EN QUE SE REALIZA EL PESO AL INGRESO A CPN]]="GESTACIÓN"),HLOOKUP(NZ74,$OA$2:PH74,NY74),""))))))))</f>
        <v>#REF!</v>
      </c>
      <c r="CK74" s="212">
        <f t="shared" si="260"/>
        <v>45026</v>
      </c>
      <c r="CL74" s="21"/>
      <c r="CM74" s="214">
        <f t="shared" si="261"/>
        <v>0</v>
      </c>
      <c r="CN74" s="216">
        <f t="shared" si="262"/>
        <v>33</v>
      </c>
      <c r="CO74" s="216" t="e">
        <f>IF(PI74="","",IF(PI74&gt;0,HLOOKUP(PI74,$PJ$2:QQ74,NY74),""))</f>
        <v>#REF!</v>
      </c>
      <c r="CP74" s="21"/>
      <c r="CQ74" s="216" t="e">
        <f>IF(QR74="Menor","NO APLICA-MENOR 13 SEM",IF(AND(CC74="SI",CN74&gt;23),"NO APLICA- GEMELAR",IF(QR74="","",IF(QR74&gt;0,HLOOKUP(QR74,$QS$2:RU74,NY74),""))))</f>
        <v>#REF!</v>
      </c>
      <c r="CR74" s="21">
        <v>100</v>
      </c>
      <c r="CS74" s="21">
        <v>60</v>
      </c>
      <c r="CT74" s="217" t="str">
        <f>IF(R74="","",IF(AND(BS74&gt;1,BS74&lt;12,Tabla1[[#This Row],[T.A. SISTOLICA - ANTES DE SEMANA 12]]="",Tabla1[[#This Row],[T.A. DIASTOLICA - ANTES DE SEMANA 12]]=""),"REGISTRE DATO TA ANTES SEMANA 12",IF(AND(BS74&gt;11,BS74&lt;43,Tabla1[[#This Row],[T.A. SISTOLICA - ANTES DE SEMANA 12]]="",Tabla1[[#This Row],[T.A. DIASTOLICA - ANTES DE SEMANA 12]]=""),"NO APLICA REGISTRO TA-INGRESO TARDIO",IF(AND(OR(O74&gt;0,R74&gt;0),OR(CR74&gt;=140,CS74&gt;=90)),"DEFINIR ESTADIO HTA",IF(AND(OR(O74&gt;0,R74&gt;0),AND(CR74&gt;120,CR74&lt;=139)),"PRE HTA SEGUIMIENTO",IF(AND(OR(O74&gt;0,R74&gt;0),AND(CS74&gt;80,CS74&lt;=89)),"PRE HTA SEGUIMIENTO",IF(AND(OR(O74&gt;0,R74&gt;0),AND(CR74&gt;=80,CR74&lt;=120)),"APARENTEMENTE NORMAL",IF(AND(OR(O74&gt;0,R74&gt;0),AND(CS74&gt;=50,CS74&lt;=80)),"APARENTEMENTE NORMAL",IF(AND(OR(O74&gt;0,R74&gt;0),AND(CR74&gt;1,CR74&lt;=70),AND(CS74&gt;1,CS74&lt;=40)),"HIPOTENSIÓN","")))))))))</f>
        <v>APARENTEMENTE NORMAL</v>
      </c>
      <c r="CU74" s="21">
        <v>90</v>
      </c>
      <c r="CV74" s="21">
        <v>70</v>
      </c>
      <c r="CW74" s="217" t="str">
        <f ca="1">IF(R74="","",IF(AND(CN74&gt;19,CN74&lt;27,Tabla1[[#This Row],[T.A. SISTOLICA (Entre semana 20 y 26)]]="",Tabla1[[#This Row],[T.A. DIATOLICA (Entre semana 20 y 26)]]=""),"ACUDE A CONTROL SEM 20 A 26 REGISTRE TA AHORA",IF(AND(BS74&gt;1,BS74&lt;27,BU74&gt;19,Tabla1[[#This Row],[T.A. SISTOLICA (Entre semana 20 y 26)]]="",Tabla1[[#This Row],[T.A. DIATOLICA (Entre semana 20 y 26)]]=""),"COMPLETE REGISTRO TA CONTROL SEM 20 A26 ",IF(AND(BS74&gt;26,BS74&lt;43,Tabla1[[#This Row],[T.A. SISTOLICA (Entre semana 20 y 26)]]="",Tabla1[[#This Row],[T.A. DIATOLICA (Entre semana 20 y 26)]]=""),"NO APLICA REGISTRO TA-INGRESO TARDIO",IF(AND(OR(O74&gt;0,R74&gt;0),OR(CU74&gt;=140,CV74&gt;=90)),"ALTO RIESGO PREECLAMPSIA,DEFINIR ESTADIO HTA",IF(AND(OR(O74&gt;0,R74&gt;0),AND(CU74&gt;120,CU74&lt;=139)),"PRE HTA SEGUIMIENTO,RIESGO HIPERTENSION INDUCIDA POR EL EMBARAZO",IF(AND(OR(O74&gt;0,R74&gt;0),AND(CV74&gt;80,CV74&lt;=89)),"PRE HTA SEGUIMIENTO, RIESGO HIPERTENSION INDUCIDA POR EL EMBARAZO",IF(AND(OR(O74&lt;&gt;"",R74&lt;&gt;""),CS74&lt;&gt;"",CV74&lt;&gt;"",CS74&lt;=CV74),"VIGILAR CIFRAS PRESION ARTERIAL",IF(AND(OR(O74&gt;0,R74&gt;0),AND(CU74&gt;120,CU74&lt;=139)),"PRE HTA SEGUIMIENTO",IF(AND(OR(O74&gt;0,R74&gt;0),AND(CU74&gt;1,CU74&lt;=70),AND(CV74&gt;1,CV74&lt;=40)),"HIPOTENSIÓN",IF(AND(OR(O74&lt;&gt;"",R74&lt;&gt;""),CS74&lt;&gt;"",CV74&lt;&gt;"",CS74&gt;CV74),"APARENTEMENTE NORMAL",IF(AND(OR(O74&gt;0,R74&gt;0),AND(CU74&gt;=80,CU74&lt;=120)),"APARENTEMENTE NORMAL",IF(AND(OR(O74&gt;0,R74&gt;0),AND(CV74&gt;=50,CV74&lt;=80)),"APARENTEMENTE NORMAL","")))))))))))))</f>
        <v>VIGILAR CIFRAS PRESION ARTERIAL</v>
      </c>
      <c r="CX74" s="21">
        <v>90</v>
      </c>
      <c r="CY74" s="21">
        <v>60</v>
      </c>
      <c r="CZ74" s="216" t="str">
        <f t="shared" si="263"/>
        <v>APARENTEMENTE NORMAL</v>
      </c>
      <c r="DA74" s="21"/>
      <c r="DB74" s="21"/>
      <c r="DC74" s="217" t="str">
        <f t="shared" si="264"/>
        <v>REGISTRE DATO PRESIÓN ARTERIAL MENSUAL</v>
      </c>
      <c r="DD74" s="22">
        <v>44910</v>
      </c>
      <c r="DE74" s="22">
        <v>44910</v>
      </c>
      <c r="DF74" s="22">
        <v>44958</v>
      </c>
      <c r="DG74" s="22"/>
      <c r="DH74" s="22">
        <v>45026</v>
      </c>
      <c r="DI74" s="22"/>
      <c r="DJ74" s="22"/>
      <c r="DK74" s="22"/>
      <c r="DL74" s="22"/>
      <c r="DM74" s="22"/>
      <c r="DN74" s="22"/>
      <c r="DO74" s="22"/>
      <c r="DP74" s="22"/>
      <c r="DQ74" s="22"/>
      <c r="DR74" s="28">
        <v>1</v>
      </c>
      <c r="DS74" s="22"/>
      <c r="DT74" s="22"/>
      <c r="DU74" s="216" t="str">
        <f ca="1">IF(AND(BT74="ERROR FUM O INGRESO",DS74&gt;0),"ERROR FUM O INGRESO",IF(AND(DS74="",R74="",O74=""),"",IF(OR(AND(DS74&lt;&gt;"",DS74&lt;RW74),AND(DS74&lt;&gt;"",AND(SUM((DS74-RW74)/7)&gt;0,SUM((DS74-RW74)/7)&lt;28))),"PLAN REALIZADO ANTES III TRIM", IF(AND(DS74="",OR(O74&gt;0,R74&gt;0),AND(BU74&gt;=28, BU74&lt;35,DV74="ACTIVA INGRESO A CPN")),"PLANEAR PLAN DE PARTO", IF(AND(DS74="",OR(O74&gt;0,R74&gt;0),BU74&gt;=35,DV74="ACTIVA INGRESO A CPN"),"CONCERTAR PLAN DE PARTO INMEDIATO", IF(AND(DS74="",OR(O74&gt;0,R74&gt;0),AND(BU74&gt;0, BU74&lt;28),OR(DV74="ACTIVA INGRESO A CPN", DV74=" ACTIVA SIN INGRESO CPN")),"EN ESPERA", IF(AND(DS74="",OR(O74&gt;0,R74&gt;0),AND(IP75&gt;0, IP75&lt;28)),"NO APLICA SALE PROGRAMA ANTES III TRIM", IF(AND(DS74="",OR(O74&gt;0,R74&gt;0),AND(IP75&gt;=28, IP75&lt;35)),"SALE PROGRAMA ANTES SEMANA 35", IF(AND(DS74="",OR(O74&gt;0,R74&gt;0),IP75&gt;35),"SALE SIN PLAN DE PARTO",IF(DS74&gt;0,SUM(DS74-BO74)/7,""))))))))))</f>
        <v>SALE SIN PLAN DE PARTO</v>
      </c>
      <c r="DV74" s="226" t="str">
        <f>IF(AND(R74&lt;&gt;"",IK74="CAMBIO DE RESIDENCIA",IK74="CAMBIO DE IPS",IK74="CAMBIO DE EPS"),"SEGUIMIENTO REPORTE EPS",IF(IK74="IVE","IVE",IF(AND(R74&lt;&gt;"",OR(IK74&lt;&gt;"",IN75&lt;&gt;"")),"SALIO PROGRAMA",IF(AND(AND(R74="",O74&gt;0),OR(IK74&lt;&gt;"",IN75&lt;&gt;"")),"SALE SIN INGRESO CPN",IF(AND(R74="",O74&gt;0,IK74="",IN75=""),"ACTIVA SIN INGRESO CPN",IF(AND(R74&lt;&gt;"",OR(IK74="",IN75="")),"ACTIVA INGRESO A CPN",""))))))</f>
        <v>SALIO PROGRAMA</v>
      </c>
      <c r="DW7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4" s="216" t="str">
        <f t="shared" ca="1" si="266"/>
        <v/>
      </c>
      <c r="DY74" s="212">
        <f>IF(R74="","",IF(R74&gt;0,MAX(Tabla1[[#This Row],[FECHA C2]:[FECHA C13]],Tabla1[[#This Row],[FECHA CONSULTA PRIMERA VEZ PROGRAMA CPN ]])))</f>
        <v>45026</v>
      </c>
      <c r="DZ74" s="216">
        <f t="shared" si="267"/>
        <v>33</v>
      </c>
      <c r="EA74" s="222">
        <f>IF(R74&gt;0,SUM(COUNTA(DF74:DQ74)+COUNTA(Tabla1[[#This Row],[FECHA CONSULTA PRIMERA VEZ PROGRAMA CPN ]])),"")</f>
        <v>3</v>
      </c>
      <c r="EB74" s="222" t="str">
        <f t="shared" si="268"/>
        <v>NO</v>
      </c>
      <c r="EC74" s="214">
        <f t="shared" si="269"/>
        <v>7</v>
      </c>
      <c r="ED74" s="227">
        <f t="shared" si="270"/>
        <v>0.42857142857142855</v>
      </c>
      <c r="EE74" s="22">
        <v>44910</v>
      </c>
      <c r="EF74" s="22">
        <v>44960</v>
      </c>
      <c r="EG74" s="22">
        <v>44910</v>
      </c>
      <c r="EH74" s="22"/>
      <c r="EI74" s="22">
        <v>44910</v>
      </c>
      <c r="EJ74" s="22"/>
      <c r="EK74" s="22"/>
      <c r="EL74" s="21"/>
      <c r="EM74" s="21">
        <v>13.6</v>
      </c>
      <c r="EN74" s="22">
        <v>44960</v>
      </c>
      <c r="EO74" s="222">
        <f t="shared" si="271"/>
        <v>24.428571428571427</v>
      </c>
      <c r="EP74" s="214" t="str">
        <f t="shared" si="272"/>
        <v>NORMAL- SUMINISTRAR SULFATO FERROSO</v>
      </c>
      <c r="EQ74" s="216" t="str">
        <f t="shared" si="273"/>
        <v>II TRIM</v>
      </c>
      <c r="ER74" s="24"/>
      <c r="ES74" s="22"/>
      <c r="ET74" s="29" t="str">
        <f ca="1">IF(AND(BT74="ERROR FUM O INGRESO",ES74&gt;0),"ERROR FUM O INGRESO",IF(AND(ES74="",R74="",O74=""),"",IF(OR(AND(ES74&lt;&gt;"",ES74&lt;RW74),AND(ES74&lt;&gt;"",SUM((ES74-RW74)/7)&gt;40)),"CORREGIR FECHA RESULTADO",IF(AND(BU74&gt;1,BU74&lt;23,ER74="",ES74=""),"EN ESPERA PARA TOMA EXAMEN",IF(AND(BU74&gt;22,BU74&lt;26,ER74="",ES74=""),"PROGRAMAR TOMA HEMOGLOBINA A SEM 28",IF(AND(BU74&gt;25,BU74&lt;28,ER74="",ES74=""),"TOMA HEMOGLOBINA A SEM 28 EN 1 SEMANA",IF(AND(BU74&gt;27,BU74&lt;31,ES74="",OR(O74&gt;0,R74&gt;0)),"EN SEMANA 28 TOMA INMEDIATA DE EXAMEN",IF(AND(IP75&gt;0,IP75&lt;28,ES74="",OR(O74&gt;0,R74&gt;0)),"NO APLICA-SALE ANTES SEM 28",IF(AND(IP75&gt;28,IP75&lt;43,ES74="",OR(O74&gt;0,R74&gt;0)),"SALE SIN TAMIZAJE HEMOGLOBINA SEM 28",IF(AND(BS74&gt;0,ES74="",OR(O74&gt;0,R74&gt;0)),"TOMA DE HEMOGLOBINA TARDÍA",IF(ES74&gt;0,SUM(ES74-RW74)/7,"")))))))))))</f>
        <v>SALE SIN TAMIZAJE HEMOGLOBINA SEM 28</v>
      </c>
      <c r="EU74" s="25" t="str">
        <f t="shared" si="275"/>
        <v/>
      </c>
      <c r="EV74" s="24" t="s">
        <v>866</v>
      </c>
      <c r="EW74" s="24">
        <v>44960</v>
      </c>
      <c r="EX74" s="22"/>
      <c r="EY74" s="29">
        <f t="shared" si="248"/>
        <v>24.428571428571427</v>
      </c>
      <c r="EZ74" s="25" t="str">
        <f t="shared" ca="1" si="249"/>
        <v/>
      </c>
      <c r="FA74" s="21"/>
      <c r="FB74" s="22"/>
      <c r="FC74" s="29" t="str">
        <f t="shared" si="276"/>
        <v>TOMAR EXAMEN</v>
      </c>
      <c r="FD74" s="29">
        <v>60</v>
      </c>
      <c r="FE74" s="29">
        <v>140</v>
      </c>
      <c r="FF74" s="29">
        <v>70</v>
      </c>
      <c r="FG74" s="21" t="str">
        <f t="shared" ca="1" si="277"/>
        <v>NORMAL</v>
      </c>
      <c r="FH74" s="31">
        <v>44960</v>
      </c>
      <c r="FI74" s="29">
        <f t="shared" si="278"/>
        <v>24.428571428571427</v>
      </c>
      <c r="FJ74" s="22"/>
      <c r="FK74" s="22"/>
      <c r="FL74" s="29" t="str">
        <f t="shared" ca="1" si="279"/>
        <v>NO APLICA-INGRESO TARDIO</v>
      </c>
      <c r="FM74" s="22" t="s">
        <v>867</v>
      </c>
      <c r="FN74" s="32">
        <v>44960</v>
      </c>
      <c r="FO74" s="29">
        <f ca="1">IF(AND(BT74="ERROR FUM O INGRESO",FN74&gt;0),"ERROR FUM O INGRESO",IF(AND(FN74="",R74="",O74=""),"",IF(AND(FN74&lt;&gt;"",FN74&lt;RW74), "INCOHERENCIA FUM Y FECHA TAMIZAJE",IF(AND(FN74="",DV74="ACTIVA INGRESO A CPN",AND(BU74&gt;0,BU74&lt;13)),"EN ESPERA-ESTÁ I TRIM", IF(AND(FN74="",AND(BS74&gt;0, BS74&lt;13),OR(O74&gt;0,R74&gt;0),AND(IP75&gt;0,IP75&lt;13)),"NO APLICA-SALIO DEL PROGRAMA I TRIM",IF(AND(FN74&lt;&gt;"",AND(SUM((FN74-RW74)/7)&gt;0,SUM((FN74-RW74)/7)&lt;13)),"REGISTRAR EN I TRIMESTRE",IF(AND(FN74&lt;&gt;"",AND(SUM((FN74-RW74)/7)&gt;=27,SUM((FN74-RW74)/7)&lt;44)),"REGISTRAR EN III TRIMESTRE",IF(AND(FN74="",OR(O74&gt;0,R74&gt;0),AND(BU74&gt;=13,BU74&lt;24),DV74="ACTIVA INGRESO A CPN"),"EN RANGO PARA TOMAR EXAMEN",IF(AND(FN74="",OR(O74&gt;0,R74&gt;0),AND(BU74&gt;=25,BU74&lt;27),DV74="ACTIVA INGRESO A CPN"),"TOMA INMEDIATA DE TAMIZAJE",IF(AND(FN74="",OR(O74&gt;0,R74&gt;0),AND(BS74&gt;=27,BS74&lt;44)),"NO APLICA-INGRESO TARDIO",IF(AND(FN74="",BS74&lt;27,OR(AND(IP75&gt;12,IP75&lt;44),BU74&gt;12)),"PIERDE TOMA DE TAMIZAJE",IF(FN74&gt;0,SUM(FN74-RW74)/7,""))))))))))))</f>
        <v>24.428571428571427</v>
      </c>
      <c r="FP74" s="22"/>
      <c r="FQ74" s="32"/>
      <c r="FR74" s="29" t="str">
        <f ca="1">IF(AND(BT74="ERROR FUM O INGRESO",FQ74&gt;0),"ERROR FUM O INGRESO",IF(AND(FQ74="",R74="",O74=""),"",IF(AND(FQ74&lt;&gt;"",FQ74&lt;RW74), "INCOHERENCIA FUM Y FECHA TAMIZAJE",IF(AND(FQ74="",DV74="ACTIVA INGRESO A CPN",AND(BU74&gt;0,BU74&lt;27)),"EN ESPERA-ESTÁ I TRIM O II TRIM", IF(AND(FQ74="",AND(BS74&gt;0, BS74&lt;27),OR(O74&gt;0,R74&gt;0),AND(IP75&gt;0,IP75&lt;27)),"NO APLICA-SALIO DEL PROGRAMA I O II TRIM",IF(AND(FQ74&lt;&gt;"",AND(SUM((FQ74-RW74)/7)&gt;0,SUM((FQ74-RW74)/7)&lt;13)),"REGISTAR EN I TRIMESTRE",IF(AND(FQ74&lt;&gt;"",AND(SUM((FQ74-RW74)/7)&gt;=13,SUM((FQ74-RW74)/7)&lt;27)),"REGISTRAR EN II TRIMESTRE",IF(AND(FQ74="",OR(O74&gt;0,R74&gt;0),AND(BU74&gt;=28,BU74&lt;35),DV74="ACTIVA INGRESO A CPN"),"EN RANGO PARA TOMAR EXAMEN",IF(AND(FQ74="",OR(O74&gt;0,R74&gt;0),BU74&gt;=35, DV74="ACTIVA INGRESO A CPN"),"TOMA INMEDIATA DE TAMIZAJE",IF(AND(FQ74="",DV74= "SALE SIN INGRESO CPN"),"NO APLICA-SIN CPN",IF(AND(FQ74="",AND(IP75&gt;26,IP75&lt;43)),"PIERDE TOMA DE TAMIZAJE",IF(FQ74&gt;0,SUM(FQ74-RW74)/7,""))))))))))))</f>
        <v>PIERDE TOMA DE TAMIZAJE</v>
      </c>
      <c r="FS74" s="22"/>
      <c r="FT74" s="32"/>
      <c r="FU74" s="29" t="str">
        <f>IF(AND(FJ74="",FM74="",FP74="",FS74=""),"",IF(OR(OR(Tabla1[[#This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4" s="28"/>
      <c r="FW74" s="22"/>
      <c r="FX74" s="29" t="str">
        <f t="shared" si="280"/>
        <v>TOMAR EXAMEN</v>
      </c>
      <c r="FY74" s="22">
        <v>44960</v>
      </c>
      <c r="FZ74" s="22">
        <v>44960</v>
      </c>
      <c r="GA74" s="29" t="str">
        <f t="shared" si="250"/>
        <v>REGISTRAR EN II TRIMESTRE</v>
      </c>
      <c r="GB74" s="22" t="s">
        <v>868</v>
      </c>
      <c r="GC74" s="22">
        <v>44960</v>
      </c>
      <c r="GD74" s="29">
        <f ca="1">IF(AND(BT74="ERROR FUM O INGRESO",GC74&gt;0),"ERROR FUM O INGRESO",IF(AND(GC74="",R74="",O74=""),"",IF(AND(GC74&lt;&gt;"",GC74&lt;RW74), "INCOHERENCIA FUM Y FECHA TAMIZAJE",IF(AND(GC74="",DV74="ACTIVA INGRESO A CPN",AND(BU74&gt;0,BU74&lt;13)),"EN ESPERA-ESTÁ I TRIM", IF(AND(GC74="",AND(BS74&gt;0, BS74&lt;12),OR(O74&gt;0,R74&gt;0),AND(IP75&gt;0,IP75&lt;13)),"NO APLICA-SALIO DEL PROGRAMA I TRIM",IF(AND(GC74&lt;&gt;"",AND(SUM((GC74-RW74)/7)&gt;0,SUM((GC74-RW74)/7)&lt;13)),"REGISTRAR EN I TRIMESTRE",IF(AND(GC74&lt;&gt;"",AND(SUM((GC74-RW74)/7)&gt;=27,SUM((GC74-RW74)/7)&lt;44)),"REGISTRAR EN III TRIMESTRE",IF(AND(GC74="",OR(O74&gt;0,R74&gt;0),AND(BU74&gt;=12,BU74&lt;25),DV74="ACTIVA INGRESO A CPN"),"EN RANGO PARA TOMAR EXAMEN",IF(AND(GC74="",OR(O74&gt;0,R74&gt;0),AND(BU74&gt;=25,BU74&lt;27),DV74="ACTIVA INGRESO A CPN"),"TOMA INMEDIATA DE TAMIZAJE",IF(AND(GC74="",OR(O74&gt;0,R74&gt;0),AND(BS74&gt;=27,BS74&lt;43)),"NO APLICA-INGRESO TARDIO",IF(AND(GC74="",BS74&lt;27),"PIERDE TOMA DE TAMIZAJE",IF(GC74&gt;0,SUM(GC74-RW74)/7,""))))))))))))</f>
        <v>24.428571428571427</v>
      </c>
      <c r="GE74" s="22"/>
      <c r="GF74" s="22"/>
      <c r="GG74" s="29" t="str">
        <f ca="1">IF(AND(BT74="ERROR FUM O INGRESO",GF74&gt;0),"ERROR FUM O INGRESO",IF(AND(GF74="",R74="",O74=""),"",IF(AND(GF74&lt;&gt;"",GF74&lt;RW74), "INCOHERENCIA FUM Y FECHA TAMIZAJE",IF(AND(GF74="",DV74="ACTIVA INGRESO A CPN",AND(BU74&gt;0,BU74&lt;27)),"EN ESPERA-ESTÁ I TRIM O II TRIM", IF(AND(GF74="",AND(BS74&gt;0, BS74&lt;28),OR(O74&gt;0,R74&gt;0),AND(IP75&gt;0,IP75&lt;28)),"NO APLICA-SALIO DEL PROGRAMA I O II TRIM",IF(AND(GF74&lt;&gt;"",AND(SUM((GF74-RW74)/7)&gt;0,SUM((GF74-RW74)/7)&lt;13)),"REGISTAR EN I TRIMESTRE",IF(AND(GF74&lt;&gt;"",AND(SUM((GF74-RW74)/7)&gt;=13,SUM((GF74-RW74)/7)&lt;27)),"REGISTRAR EN II TRIMESTRE",IF(AND(GF74="",OR(O74&gt;0,R74&gt;0),AND(BU74&gt;=28,BU74&lt;35),DV74="ACTIVA INGRESO A CPN"),"EN RANGO PARA TOMAR EXAMEN",IF(AND(GF74="",OR(O74&gt;0,R74&gt;0),BU74&gt;=35, DV74="ACTIVA INGRESO A CPN"),"TOMA INMEDIATA DE TAMIZAJE",IF(AND(GF74="",DV74= "SALE SIN INGRESO CPN"),"NO APLICA-SIN CPN",IF(AND(GF74="",BS74&lt;44),"PIERDE TOMA DE TAMIZAJE",IF(GF74&gt;0,SUM(GF74-RW74)/7,""))))))))))))</f>
        <v>PIERDE TOMA DE TAMIZAJE</v>
      </c>
      <c r="GH74" s="22"/>
      <c r="GI74" s="29"/>
      <c r="GJ74" s="22"/>
      <c r="GK74" s="22"/>
      <c r="GL74" s="22"/>
      <c r="GM74" s="22"/>
      <c r="GN74" s="28" t="s">
        <v>869</v>
      </c>
      <c r="GO74" s="22">
        <v>44960</v>
      </c>
      <c r="GP74" s="29">
        <f t="shared" si="283"/>
        <v>24.428571428571427</v>
      </c>
      <c r="GQ74" s="28" t="s">
        <v>869</v>
      </c>
      <c r="GR74" s="28" t="s">
        <v>869</v>
      </c>
      <c r="GS74" s="22" t="str">
        <f t="shared" si="284"/>
        <v>CONTROL Igm</v>
      </c>
      <c r="GT74" s="22">
        <v>44960</v>
      </c>
      <c r="GU74" s="29">
        <f t="shared" si="285"/>
        <v>24.428571428571427</v>
      </c>
      <c r="GV74" s="21" t="str">
        <f t="shared" si="286"/>
        <v>II TRIM</v>
      </c>
      <c r="GW74" s="28" t="s">
        <v>869</v>
      </c>
      <c r="GX74" s="30"/>
      <c r="GY74" s="21"/>
      <c r="GZ74" s="21"/>
      <c r="HA74" s="21"/>
      <c r="HB74" s="21"/>
      <c r="HC74" s="21"/>
      <c r="HD74" s="21"/>
      <c r="HE74" s="21"/>
      <c r="HF74" s="22"/>
      <c r="HG74" s="22" t="str">
        <f>IF(OR(O74&gt;0,R74&gt;0),CONCATENATE(IF(Tabla1[[#This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4" s="22" t="e">
        <f t="shared" si="287"/>
        <v>#REF!</v>
      </c>
      <c r="HI74" s="22" t="e">
        <f t="shared" ca="1" si="288"/>
        <v>#REF!</v>
      </c>
      <c r="HJ74" s="21"/>
      <c r="HK74" s="21" t="str">
        <f t="shared" si="289"/>
        <v>SIN ANTECEDENTES DE RIESGO</v>
      </c>
      <c r="HL74" s="24" t="str">
        <f t="shared" si="290"/>
        <v>REGISTRE DATO PRESIÓN ARTERIAL MENSUAL</v>
      </c>
      <c r="HM74" s="21" t="str">
        <f t="shared" ca="1" si="291"/>
        <v/>
      </c>
      <c r="HN74" s="30" t="str">
        <f>IF(AND(R74&lt;&gt;"",IK74="CAMBIO DE RESIDENCIA"),"SEGUIMIENTO REPORTE EPS",IF(AND(R74&lt;&gt;"",OR(IK74&lt;&gt;"",IN75&lt;&gt;"")),"SALIO PROGRAMA",IF(AND(AND(R74="",O74&gt;0),OR(IK74&lt;&gt;"",IN75&lt;&gt;"")),"SALE SIN INGRESO CPN",IF(AND(R74="",O74&gt;0,IK74="",IN75=""),"ACTIVA SIN INGRESO CPN",IF(AND(R74&lt;&gt;"",OR(IK74="",IN75="")),"ACTIVA INGRESO A CPN","")))))</f>
        <v>SALIO PROGRAMA</v>
      </c>
      <c r="HO74" s="21"/>
      <c r="HP74" s="21"/>
      <c r="HQ74" s="21">
        <v>44910</v>
      </c>
      <c r="HR74" s="21" t="str">
        <f>IF(R74="","",IF(Tabla1[[#This Row],[ALARMA FACTORES DE RIESGO COMPLICACIONES HIPERTENSIVAS3]]="SIN ANTECEDENTES DE RIESGO","No Aplica para suministro de ASA",IF(AND(Tabla1[[#This Row],[FECHA INICIO DE SUMINISTRO DE ASA]]&gt;0,RV74&lt;12),"Inicia ASA ANTES de Sem 12",IF(AND(RV74&gt;11,RV74&lt;17,OR(HK74="RIESGO ALTO DE COMPLICACIONES HIPERTENSIVAS VER MANEJO GUIA SUMINISTRO ASA Y CALCIO",HK74="RIESGO MODERADO (2 O MAS CRITERIOS) VER MANEJO GUIA SUMINISTRO ASA Y CALCIO")),"Inicio oportuno de ASA",IF(AND(RV74&gt;12,OR(HK74="RIESGO ALTO DE COMPLICACIONES HIPERTENSIVAS VER MANEJO GUIA SUMINISTRO ASA Y CALCIO",HK74="RIESGO MODERADO (2 O MAS CRITERIOS) VER MANEJO GUIA SUMINISTRO ASA Y CALCIO")),"Inicio no oportuno mayor a 16 semanas",IF(AND(BU74&lt;12,OR(HK74="RIESGO ALTO DE COMPLICACIONES HIPERTENSIVAS VER MANEJO GUIA SUMINISTRO ASA Y CALCIO",HK74="RIESGO MODERADO (2 O MAS CRITERIOS) VER MANEJO GUIA SUMINISTRO ASA Y CALCIO")),"Pendiente Inicio de ASA a la semana 12",IF(AND(BU74&gt;11,BU74&lt;17,OR(HK74="RIESGO ALTO DE COMPLICACIONES HIPERTENSIVAS VER MANEJO GUIA SUMINISTRO ASA Y CALCIO",HK74="RIESGO MODERADO (2 O MAS CRITERIOS) VER MANEJO GUIA SUMINISTRO ASA Y CALCIO")),"Iniciar de inmediato ASA",IF(AND(BU74&gt;16,OR(HK74="RIESGO ALTO DE COMPLICACIONES HIPERTENSIVAS VER MANEJO GUIA SUMINISTRO ASA Y CALCIO",HK74="RIESGO MODERADO (2 O MAS CRITERIOS) VER MANEJO GUIA SUMINISTRO ASA Y CALCIO")),"Pierde Oportunidad, Inicio tardío de ASA","XXXXX"))))))))</f>
        <v>No Aplica para suministro de ASA</v>
      </c>
      <c r="HS74" s="22">
        <v>44910</v>
      </c>
      <c r="HT74" s="22" t="s">
        <v>935</v>
      </c>
      <c r="HU74" s="22">
        <v>44910</v>
      </c>
      <c r="HV74" s="22" t="s">
        <v>870</v>
      </c>
      <c r="HW74" s="22">
        <v>44910</v>
      </c>
      <c r="HX74" s="22" t="s">
        <v>870</v>
      </c>
      <c r="HY74" s="22">
        <v>44910</v>
      </c>
      <c r="HZ74" s="28">
        <f t="shared" si="292"/>
        <v>17.285714285714285</v>
      </c>
      <c r="IA74" s="26" t="s">
        <v>864</v>
      </c>
      <c r="IB74" s="26"/>
      <c r="IC74" s="111">
        <v>44960</v>
      </c>
      <c r="ID74" s="22">
        <v>44960</v>
      </c>
      <c r="IE74" s="22" t="str">
        <f t="shared" ca="1" si="293"/>
        <v>VACUNA APLICADA ENTRE SEMANA 20 Y SEMANA 26</v>
      </c>
      <c r="IF74" s="22"/>
      <c r="IG74" s="22">
        <f t="shared" si="294"/>
        <v>45069</v>
      </c>
      <c r="IH74" s="29">
        <f t="shared" ca="1" si="295"/>
        <v>-164</v>
      </c>
      <c r="II74" s="22" t="str">
        <f t="shared" ca="1" si="296"/>
        <v>POSIBLEMENTE NACIO</v>
      </c>
      <c r="IJ74" s="22"/>
      <c r="IK74" s="21" t="s">
        <v>898</v>
      </c>
      <c r="IL74" s="21"/>
      <c r="IM74" s="34"/>
      <c r="IN74" s="349">
        <v>45054</v>
      </c>
      <c r="IO74" s="21" t="s">
        <v>1640</v>
      </c>
      <c r="IP74" s="29">
        <f>IF(AND(IN74&gt;0,IK73&lt;&gt;""),SUM(IN74-RW73)/7,"")</f>
        <v>33</v>
      </c>
      <c r="IQ74" s="110"/>
      <c r="IR74" s="21" t="s">
        <v>879</v>
      </c>
      <c r="IS74" s="21" t="s">
        <v>1641</v>
      </c>
      <c r="IT74" s="21" t="s">
        <v>1642</v>
      </c>
      <c r="IU74" s="21"/>
      <c r="IV74" s="21"/>
      <c r="IW74" s="21"/>
      <c r="IX74" s="21"/>
      <c r="IY74" s="21"/>
      <c r="IZ74" s="21"/>
      <c r="JA74" s="21"/>
      <c r="JB74" s="30">
        <v>1</v>
      </c>
      <c r="JC74" s="21" t="s">
        <v>1643</v>
      </c>
      <c r="JD74" s="36">
        <v>2635</v>
      </c>
      <c r="JE74" s="21" t="str">
        <f t="shared" si="434"/>
        <v>ERROR VERIFICAR DATO EDAD GESTACIONAL VS PESO</v>
      </c>
      <c r="JF74" s="30"/>
      <c r="JG74" s="21"/>
      <c r="JH74" s="21"/>
      <c r="JI74" s="21"/>
      <c r="JJ74" s="30"/>
      <c r="JK74" s="22"/>
      <c r="JL74" s="22"/>
      <c r="JM74" s="21"/>
      <c r="JN74" s="36"/>
      <c r="JO74" s="21" t="str">
        <f>IF(AND(JN74&gt;700,JN74&lt;2500,IP75&gt;36,IP75&lt;43),"BAJO PESO AL NACER",IF(AND(JN74&gt;700,JN74&lt;2500,IP75&lt;37),"PREMATURO",IF(AND(JN74&gt;2499,JN74&lt;5000,IP75&lt;37),"ERROR VERIFICAR DATO EDAD GESTACIONAL VS PESO",IF(AND(JN74&gt;2499,JN74&lt;4000,IP75&gt;36,IP75&lt;43),"PESO ADECUADO EDAD GESTACIONAL",IF(AND(JN74&gt;3999,JN74&lt;6000,IP75&gt;36,IP75&lt;43),"PESO GRANDE EDAD GESTACIONAL","")))))</f>
        <v/>
      </c>
      <c r="JP74" s="22"/>
      <c r="JQ74" s="21"/>
      <c r="JR74" s="21"/>
      <c r="JS74" s="21"/>
      <c r="JT74" s="30"/>
      <c r="JU74" s="22"/>
      <c r="JV74" s="22"/>
      <c r="JW74" s="33"/>
      <c r="JX74" s="28" t="str">
        <f>IF(AND(JW74&lt;&gt;"",JW74&lt;IN75),"INCONSISTENCIA FECHA CONTROL",IF(AND(OR(IK74="Parto",IK74="Cesarea"),JW74&gt;0,IN75&gt;0),SUM(JW74-IN75),IF(AND(OR(IK74="Parto",IK74="Cesarea"),JW74="",IN75&gt;0),"INASISTENTE","")))</f>
        <v>INASISTENTE</v>
      </c>
      <c r="JY74" s="33"/>
      <c r="JZ74" s="28" t="str">
        <f>IF(AND(JY74&lt;&gt;"",JY74&lt;IN75),"INCONSISTENCIA FECHA CONTROL",IF(AND(OR(IK74="Parto",IK74="Cesarea",IK74="Aborto Espontaneo",IK74="Aborto Inducido",IK74="IVE"),JY74&gt;0,IN75&gt;0),SUM(JY74-IN75),IF(AND(JY74&lt;&gt;"",JY74&lt;IN75),"INCONSISTENCIA FECHA CONTROL",IF(AND(OR(IK74="Parto",IK74="Cesarea",IK74="Aborto Espontaneo",IK74="Aborto Inducido",IK74="IVE"),JY74="",IN75&gt;0),"INASISTENTE",""))))</f>
        <v>INASISTENTE</v>
      </c>
      <c r="KA74" s="21"/>
      <c r="KB74" s="21"/>
      <c r="KC74" s="21"/>
      <c r="KD74" s="37"/>
      <c r="KE74" s="28"/>
      <c r="KF74" s="28"/>
      <c r="KG74" s="28"/>
      <c r="KH74" s="39"/>
      <c r="KI74" s="39"/>
      <c r="KJ74" s="66"/>
      <c r="KK74" s="39"/>
      <c r="KL74" s="39"/>
      <c r="KM74" s="66"/>
      <c r="KN74" s="39"/>
      <c r="KO74" s="39"/>
      <c r="KP74" s="39"/>
      <c r="KQ74" s="39"/>
      <c r="KR74" s="39"/>
      <c r="KS74" s="39"/>
      <c r="KT74" s="39"/>
      <c r="KU74" s="38"/>
      <c r="KV74" s="38"/>
      <c r="KW74" s="38"/>
      <c r="KX74" s="38"/>
      <c r="KY74" s="38"/>
      <c r="KZ74" s="38"/>
      <c r="LA74" s="38"/>
      <c r="LB74" s="38"/>
      <c r="LC74" s="38"/>
      <c r="LD74" s="38"/>
      <c r="LE74" s="38"/>
      <c r="LF74" s="38"/>
      <c r="LG74" s="38"/>
      <c r="LH74" s="38"/>
      <c r="LI74" s="38"/>
      <c r="LJ74" s="38"/>
      <c r="LK74" s="38"/>
      <c r="LL74" s="38"/>
      <c r="LM74" s="38"/>
      <c r="LN74" s="38"/>
      <c r="LO74" s="38"/>
      <c r="LP74" s="38"/>
      <c r="LQ74" s="38"/>
      <c r="LR74" s="38"/>
      <c r="LS74" s="38"/>
      <c r="LT74" s="38"/>
      <c r="LU74" s="38"/>
      <c r="LV74" s="38"/>
      <c r="LW74" s="38"/>
      <c r="LX74" s="38"/>
      <c r="LY74" s="38"/>
      <c r="LZ74" s="38"/>
      <c r="MA74" s="38"/>
      <c r="MB74" s="38"/>
      <c r="MC74" s="38"/>
      <c r="MD74" s="38"/>
      <c r="ME74" s="38"/>
      <c r="MF74" s="38"/>
      <c r="MG74" s="38"/>
      <c r="MH74" s="43">
        <f t="shared" si="302"/>
        <v>0</v>
      </c>
      <c r="MI74" s="43" t="str">
        <f t="shared" si="303"/>
        <v/>
      </c>
      <c r="MJ74" s="43" t="str">
        <f t="shared" si="304"/>
        <v/>
      </c>
      <c r="MK74" s="43">
        <f t="shared" si="305"/>
        <v>0</v>
      </c>
      <c r="ML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4" s="43">
        <f t="shared" si="306"/>
        <v>17.285714285714285</v>
      </c>
      <c r="MN74" s="43">
        <f t="shared" si="307"/>
        <v>12</v>
      </c>
      <c r="MO74" s="43">
        <f t="shared" si="308"/>
        <v>2022</v>
      </c>
      <c r="MP74" s="43" t="str">
        <f t="shared" si="309"/>
        <v>IV TRIMESTRE AÑO</v>
      </c>
      <c r="MQ74" s="43">
        <f t="shared" si="310"/>
        <v>15.598992553657467</v>
      </c>
      <c r="MR74" s="43">
        <f t="shared" si="311"/>
        <v>1</v>
      </c>
      <c r="MS74" s="43" t="str">
        <f t="shared" si="312"/>
        <v>DE 14 A 19AÑOS</v>
      </c>
      <c r="MT74" s="43">
        <f t="shared" si="313"/>
        <v>0</v>
      </c>
      <c r="MU74" s="43">
        <f t="shared" si="314"/>
        <v>1</v>
      </c>
      <c r="MV74" s="43">
        <f t="shared" si="315"/>
        <v>1</v>
      </c>
      <c r="MW74" s="43">
        <f t="shared" si="316"/>
        <v>0</v>
      </c>
      <c r="MX74" s="43" t="str">
        <f t="shared" si="317"/>
        <v/>
      </c>
      <c r="MY74" s="43" t="str">
        <f ca="1">IF(AND(AND(BU74&gt;40.9,BU74&lt;43),IN75=""),1,"")</f>
        <v/>
      </c>
      <c r="MZ74" s="43" t="str">
        <f t="shared" si="318"/>
        <v/>
      </c>
      <c r="NA74" s="43" t="str">
        <f t="shared" si="319"/>
        <v/>
      </c>
      <c r="NB74" s="43" t="str">
        <f t="shared" si="320"/>
        <v/>
      </c>
      <c r="NC74" s="43" t="str">
        <f t="shared" si="321"/>
        <v/>
      </c>
      <c r="ND74" s="43">
        <f t="shared" ca="1" si="322"/>
        <v>3</v>
      </c>
      <c r="NE74" s="43">
        <f>IF(OR(O74&gt;0,R74&gt;0),SUM(COUNTIF(Tabla1[[#This Row],[AÑOS AL INICIO5 CPN]],"&gt;=40"),COUNTIF(AS74,"0"),COUNTIF(AR74,"SI"),COUNTIF(CC74,"SI"),COUNTIF(BQ74,"&gt;119"),COUNTIF(CI74,"&gt;=35")),"")</f>
        <v>1</v>
      </c>
      <c r="NF74" s="43">
        <f t="shared" si="323"/>
        <v>24.428571428571427</v>
      </c>
      <c r="NG74" s="43">
        <f t="shared" si="324"/>
        <v>0</v>
      </c>
      <c r="NH74" s="43">
        <f t="shared" si="325"/>
        <v>170.1</v>
      </c>
      <c r="NI7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CPN",P74="NO"),"Z",IF(AND(Tabla1[[#This Row],[CITA PROXIMO CONTROL]]="CITA MANUAL",Tabla1[[#This Row],[GESTANTES ACTUALES]]="ACTIVA INGRESO A CPN"),"W",IF(AND(Tabla1[[#This Row],[GESTANTES ACTUALES]]="SALIO PROGRAMA",IN75=""),"S",IF(AND(Tabla1[[#This Row],[CITA PROXIMO CONTROL]]&gt;0,IN75=""),(Tabla1[[#This Row],[CITA PROXIMO CONTROL]]-TODAY()),"SD"))))))))</f>
        <v>SD</v>
      </c>
      <c r="NJ74" s="43">
        <f>MONTH(Tabla1[[#This Row],[FECHA DE SALIDA  DEL PROGRAMA]])</f>
        <v>5</v>
      </c>
      <c r="NK74" s="43">
        <f>YEAR(Tabla1[[#This Row],[FECHA DE SALIDA  DEL PROGRAMA]])</f>
        <v>2023</v>
      </c>
      <c r="NL74" s="43" t="str">
        <f t="shared" si="326"/>
        <v>X</v>
      </c>
      <c r="NM74" s="43" t="str">
        <f t="shared" si="251"/>
        <v>NO</v>
      </c>
      <c r="NN74" s="43" t="str">
        <f ca="1">IF(AND(O74&gt;0,R74=""),"NO CPN",IF(AND(O74="",R74=""),"",IF(AND(R74&gt;0,Tabla1[[#This Row],[SEMANAS DE GESTACION ACTUALIZADAS]]&lt;=12),"NO APLICA",IF(AND(FH74&lt;&gt;"",FN74&lt;&gt;""),"SI","NO"))))</f>
        <v>SI</v>
      </c>
      <c r="NO74" s="43" t="str">
        <f ca="1">IF(AND(O74&gt;0,R74=""),"NO CPN",IF(AND(O74="",R74=""),"",IF(AND(R74&gt;0,Tabla1[[#This Row],[SEMANAS DE GESTACION ACTUALIZADAS]]&lt;=27),"NO APLICA",IF(AND(ES74&lt;&gt;"",FQ74&lt;&gt;"",GF74&lt;&gt;""),"SI","NO"))))</f>
        <v>NO</v>
      </c>
      <c r="NP74" s="204" t="str">
        <f t="shared" si="327"/>
        <v>II TRIM</v>
      </c>
      <c r="NQ74" s="21">
        <f>IF(AND(IP76&gt;0,IP76&lt;37),10,IF(OR(CD75="Transversa",CD75="Oblicua"),9,IF(CC75="SI",8,IF(AND(AT75=0,AW75=0,CC75="NO",CD75="Cefálica",IP76&gt;=37,IT76="INICIO ESPONTÁNEO"),1,IF(AND(AND(AT75=0,AW75=0,CC75="NO",CD75="Cefálica",IP76&gt;=37),OR(IT76="LE HACEN INDUCCIÓN",IT76="LE HACEN CESÁREA SIN INICIO TRABAJO DE PARTO")),2,IF(AND(AT75&gt;=1,AW75=0,CC75="NO",CD75="Cefálica",IP76&gt;=37,IT76="INICIO ESPONTÁNEO"),3,IF(AND(AND(AT75&gt;=1,AW75=0,CC75="NO",CD75="Cefálica",IP76&gt;=37),OR(IT76="LE HACEN INDUCCIÓN",IT76="LE HACEN CESÁREA SIN INICIO TRABAJO DE PARTO")),4,IF(AND(AND(AT75&gt;=1,AW75&gt;=1,CC75="NO",CD75="Cefálica",IP76&gt;=37),OR(IT76="LE HACEN INDUCCIÓN",IT76="LE HACEN CESÁREA SIN INICIO TRABAJO DE PARTO",IT76="INICIO ESPONTÁNEO")),5,IF(AND(AND(AT75=0,AW75=0,CC75="NO",CD75="Podálica",IP76&gt;=1),OR(IT76="LE HACEN INDUCCIÓN",IT76="LE HACEN CESÁREA SIN INICIO TRABAJO DE PARTO",IT76="INICIO ESPONTÁNEO")),6,IF(AND(AND(AT75&gt;=1,CC75="NO",CD75="Podálica",IP76&gt;=1),OR(IT76="LE HACEN INDUCCIÓN",IT76="LE HACEN CESÁREA SIN INICIO TRABAJO DE PARTO",IT76="INICIO ESPONTÁNEO"),OR(AW75=0,AW75&gt;=1)),7,""))))))))))</f>
        <v>1</v>
      </c>
      <c r="NR74" s="21">
        <f>IF(AND(O74="",R74=""),"",IF(AND(BS74&gt;0,BS74&lt;12,IP75&gt;28,IP75&lt;44),3, IF(OR(AND(BS74&gt;=12,BS74&lt;28,IP75&gt;=28,IP75&lt;44),AND(BS74&gt;0,BS74&lt;12,IP75&gt;=12,IP75&lt;29)),2,IF(OR(AND(BS74&gt;=28,BS74&lt;44),AND(BS74&gt;0,BS74&lt;12,IP75&gt;0,IP75&lt;12),AND(BS74&gt;=12,BS74&lt;28,IP75&gt;=12,IP75&lt;28)),1,IF(AND(BS74&gt;0,BS74&lt;12,BU74&gt;=28,BU74&lt;44,DV74="ACTIVA INGRESO A CPN"),3,IF(OR(AND(BS74&gt;0,BS74&lt;12,BU74&gt;=12,BU74&lt;28,DV74="ACTIVA INGRESO A CPN"),AND(BS74&gt;=12,BS74&lt;28,BU74&gt;=28,BU74&lt;44,DV74="ACTIVA INGRESO A CPN")),2,IF(OR(AND(BS74&gt;0,BS74&lt;12,BU74&gt;0,BU74&lt;12,DV74="ACTIVA INGRESO A CPN"),AND(BS74&gt;=12,BS74&lt;28,BU74&gt;=12,BU74&lt;28,DV74="ACTIVA INGRESO A CPN")),1,"REVISAR FUM O FECHA SALIDA PROGRAMA")))))))</f>
        <v>2</v>
      </c>
      <c r="NS74" s="205">
        <f t="shared" ca="1" si="328"/>
        <v>1</v>
      </c>
      <c r="NT74" s="21">
        <f t="shared" ca="1" si="329"/>
        <v>1</v>
      </c>
      <c r="NU74" s="21" t="str">
        <f t="shared" ca="1" si="330"/>
        <v>INCOMPLETO</v>
      </c>
      <c r="NV74" s="21" t="str">
        <f t="shared" ca="1" si="331"/>
        <v>INCOMPLETO</v>
      </c>
      <c r="NW74" s="206" t="str">
        <f>IF(AND(O74="",R74=""),"",IF(OR(AND(Tabla1[[#This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4" s="207" t="str">
        <f t="shared" ca="1" si="332"/>
        <v>VACUNADA</v>
      </c>
      <c r="NY74" s="43">
        <f>ROW(Tabla1[[#This Row],['# DE TAMIZAJES SIFILIS TOMADOS ]])</f>
        <v>74</v>
      </c>
      <c r="NZ74" s="43">
        <f t="shared" si="333"/>
        <v>17</v>
      </c>
      <c r="OA74" s="43" t="str">
        <f t="shared" si="334"/>
        <v/>
      </c>
      <c r="OB74" s="43" t="str">
        <f t="shared" si="335"/>
        <v/>
      </c>
      <c r="OC74" s="43" t="str">
        <f t="shared" si="336"/>
        <v/>
      </c>
      <c r="OD74" s="43" t="str">
        <f t="shared" si="337"/>
        <v/>
      </c>
      <c r="OE74" s="43" t="str">
        <f t="shared" si="338"/>
        <v/>
      </c>
      <c r="OF74" s="43" t="str">
        <f t="shared" si="339"/>
        <v/>
      </c>
      <c r="OG74" s="43" t="str">
        <f t="shared" si="340"/>
        <v/>
      </c>
      <c r="OH74" s="43" t="str">
        <f t="shared" si="341"/>
        <v/>
      </c>
      <c r="OI74" s="43" t="str">
        <f t="shared" si="342"/>
        <v>NORMAL</v>
      </c>
      <c r="OJ74" s="43" t="str">
        <f t="shared" si="343"/>
        <v/>
      </c>
      <c r="OK74" s="43" t="str">
        <f t="shared" si="344"/>
        <v/>
      </c>
      <c r="OL74" s="43" t="str">
        <f t="shared" si="345"/>
        <v/>
      </c>
      <c r="OM74" s="43" t="str">
        <f t="shared" si="346"/>
        <v/>
      </c>
      <c r="ON74" s="43" t="str">
        <f t="shared" si="347"/>
        <v/>
      </c>
      <c r="OO74" s="43" t="str">
        <f t="shared" si="348"/>
        <v/>
      </c>
      <c r="OP74" s="43" t="str">
        <f t="shared" si="349"/>
        <v/>
      </c>
      <c r="OQ74" s="43" t="str">
        <f t="shared" si="350"/>
        <v/>
      </c>
      <c r="OR74" s="43" t="str">
        <f t="shared" si="351"/>
        <v/>
      </c>
      <c r="OS74" s="43" t="str">
        <f t="shared" si="352"/>
        <v/>
      </c>
      <c r="OT74" s="43" t="str">
        <f t="shared" si="353"/>
        <v/>
      </c>
      <c r="OU74" s="43" t="str">
        <f t="shared" si="354"/>
        <v/>
      </c>
      <c r="OV74" s="110" t="str">
        <f t="shared" si="355"/>
        <v/>
      </c>
      <c r="OW74" s="43" t="str">
        <f t="shared" si="356"/>
        <v/>
      </c>
      <c r="OX74" s="43" t="str">
        <f t="shared" si="357"/>
        <v/>
      </c>
      <c r="OY74" s="43" t="str">
        <f t="shared" si="358"/>
        <v/>
      </c>
      <c r="OZ74" s="43" t="str">
        <f t="shared" si="359"/>
        <v/>
      </c>
      <c r="PA74" s="43" t="str">
        <f t="shared" si="360"/>
        <v/>
      </c>
      <c r="PB74" s="43" t="str">
        <f t="shared" si="361"/>
        <v/>
      </c>
      <c r="PC74" s="43" t="str">
        <f t="shared" si="362"/>
        <v/>
      </c>
      <c r="PD74" s="43" t="str">
        <f t="shared" si="363"/>
        <v/>
      </c>
      <c r="PE74" s="43" t="str">
        <f t="shared" si="364"/>
        <v/>
      </c>
      <c r="PF74" s="43" t="str">
        <f t="shared" si="365"/>
        <v/>
      </c>
      <c r="PG74" s="43" t="str">
        <f t="shared" si="366"/>
        <v/>
      </c>
      <c r="PH74" s="43" t="str">
        <f t="shared" si="367"/>
        <v/>
      </c>
      <c r="PI74" s="43">
        <f t="shared" si="368"/>
        <v>33</v>
      </c>
      <c r="PJ74" s="43" t="str">
        <f t="shared" si="369"/>
        <v/>
      </c>
      <c r="PK74" s="43" t="str">
        <f t="shared" si="370"/>
        <v/>
      </c>
      <c r="PL74" s="43" t="str">
        <f t="shared" si="371"/>
        <v/>
      </c>
      <c r="PM74" s="43" t="str">
        <f t="shared" si="372"/>
        <v/>
      </c>
      <c r="PN74" s="43" t="str">
        <f t="shared" si="373"/>
        <v/>
      </c>
      <c r="PO74" s="43" t="str">
        <f t="shared" si="374"/>
        <v/>
      </c>
      <c r="PP74" s="43" t="str">
        <f t="shared" si="375"/>
        <v/>
      </c>
      <c r="PQ74" s="43" t="str">
        <f t="shared" si="376"/>
        <v/>
      </c>
      <c r="PR74" s="43" t="str">
        <f t="shared" si="377"/>
        <v/>
      </c>
      <c r="PS74" s="43" t="str">
        <f t="shared" si="378"/>
        <v/>
      </c>
      <c r="PT74" s="43" t="str">
        <f t="shared" si="379"/>
        <v/>
      </c>
      <c r="PU74" s="43" t="str">
        <f t="shared" si="380"/>
        <v/>
      </c>
      <c r="PV74" s="43" t="str">
        <f t="shared" si="381"/>
        <v/>
      </c>
      <c r="PW74" s="43" t="str">
        <f t="shared" si="382"/>
        <v/>
      </c>
      <c r="PX74" s="43" t="str">
        <f t="shared" si="383"/>
        <v/>
      </c>
      <c r="PY74" s="43" t="str">
        <f t="shared" si="384"/>
        <v/>
      </c>
      <c r="PZ74" s="43" t="str">
        <f t="shared" si="385"/>
        <v/>
      </c>
      <c r="QA74" s="43" t="str">
        <f t="shared" si="386"/>
        <v/>
      </c>
      <c r="QB74" s="43" t="str">
        <f t="shared" si="387"/>
        <v/>
      </c>
      <c r="QC74" s="43" t="str">
        <f t="shared" si="388"/>
        <v/>
      </c>
      <c r="QD74" s="43" t="str">
        <f t="shared" si="389"/>
        <v/>
      </c>
      <c r="QE74" s="43" t="str">
        <f t="shared" si="390"/>
        <v/>
      </c>
      <c r="QF74" s="43" t="str">
        <f t="shared" si="391"/>
        <v/>
      </c>
      <c r="QG74" s="43" t="str">
        <f t="shared" si="392"/>
        <v/>
      </c>
      <c r="QH74" s="43" t="str">
        <f t="shared" si="393"/>
        <v/>
      </c>
      <c r="QI74" s="43" t="str">
        <f t="shared" si="394"/>
        <v/>
      </c>
      <c r="QJ74" s="43" t="str">
        <f t="shared" si="395"/>
        <v/>
      </c>
      <c r="QK74" s="43" t="str">
        <f t="shared" si="396"/>
        <v/>
      </c>
      <c r="QL74" s="43" t="str">
        <f t="shared" si="397"/>
        <v/>
      </c>
      <c r="QM74" s="43" t="str">
        <f t="shared" si="398"/>
        <v/>
      </c>
      <c r="QN74" s="43" t="str">
        <f t="shared" si="399"/>
        <v/>
      </c>
      <c r="QO74" s="43" t="str">
        <f t="shared" si="400"/>
        <v/>
      </c>
      <c r="QP74" s="43" t="str">
        <f t="shared" si="401"/>
        <v/>
      </c>
      <c r="QQ74" s="43" t="str">
        <f t="shared" si="402"/>
        <v/>
      </c>
      <c r="QR74" s="43">
        <f t="shared" si="432"/>
        <v>33</v>
      </c>
      <c r="QS74" s="43"/>
      <c r="QT74" s="21" t="str">
        <f t="shared" si="403"/>
        <v/>
      </c>
      <c r="QU74" s="21" t="str">
        <f t="shared" si="404"/>
        <v/>
      </c>
      <c r="QV74" s="21" t="str">
        <f t="shared" si="405"/>
        <v/>
      </c>
      <c r="QW74" s="21" t="str">
        <f t="shared" si="406"/>
        <v/>
      </c>
      <c r="QX74" s="21" t="str">
        <f t="shared" si="407"/>
        <v/>
      </c>
      <c r="QY74" s="21" t="str">
        <f t="shared" si="408"/>
        <v/>
      </c>
      <c r="QZ74" s="21" t="str">
        <f t="shared" si="409"/>
        <v/>
      </c>
      <c r="RA74" s="21" t="str">
        <f t="shared" si="410"/>
        <v/>
      </c>
      <c r="RB74" s="21" t="str">
        <f t="shared" si="411"/>
        <v/>
      </c>
      <c r="RC74" s="21" t="str">
        <f t="shared" si="412"/>
        <v/>
      </c>
      <c r="RD74" s="21" t="str">
        <f t="shared" si="413"/>
        <v/>
      </c>
      <c r="RE74" s="21" t="str">
        <f t="shared" si="414"/>
        <v/>
      </c>
      <c r="RF74" s="21" t="str">
        <f t="shared" si="415"/>
        <v/>
      </c>
      <c r="RG74" s="21" t="str">
        <f t="shared" si="416"/>
        <v/>
      </c>
      <c r="RH74" s="21" t="str">
        <f t="shared" si="417"/>
        <v/>
      </c>
      <c r="RI74" s="21" t="str">
        <f t="shared" si="418"/>
        <v/>
      </c>
      <c r="RJ74" s="21" t="str">
        <f t="shared" si="419"/>
        <v/>
      </c>
      <c r="RK74" s="21" t="str">
        <f t="shared" si="420"/>
        <v/>
      </c>
      <c r="RL74" s="21" t="str">
        <f t="shared" si="421"/>
        <v/>
      </c>
      <c r="RM74" s="21" t="str">
        <f t="shared" si="422"/>
        <v/>
      </c>
      <c r="RN74" s="21" t="str">
        <f t="shared" si="423"/>
        <v/>
      </c>
      <c r="RO74" s="21" t="str">
        <f t="shared" si="424"/>
        <v/>
      </c>
      <c r="RP74" s="21" t="str">
        <f t="shared" si="425"/>
        <v/>
      </c>
      <c r="RQ74" s="21" t="str">
        <f t="shared" si="426"/>
        <v/>
      </c>
      <c r="RR74" s="21" t="str">
        <f t="shared" si="427"/>
        <v/>
      </c>
      <c r="RS74" s="21" t="str">
        <f t="shared" si="428"/>
        <v/>
      </c>
      <c r="RT74" s="21" t="str">
        <f t="shared" si="429"/>
        <v/>
      </c>
      <c r="RU74" s="21" t="str">
        <f t="shared" si="430"/>
        <v/>
      </c>
      <c r="RV74" s="21">
        <f t="shared" si="431"/>
        <v>17.285714285714285</v>
      </c>
      <c r="RW74" s="284">
        <f>IF(OR(Tabla1[[#This Row],[FUM FORMULA CONFIABLE]]="",Tabla1[[#This Row],[FUM FORMULA CONFIABLE]]="SD"),"",IF(Tabla1[[#This Row],[FUM FORMULA CONFIABLE]]="CORREGIDA",Tabla1[[#This Row],[FUM X ECO 1]],Tabla1[[#This Row],[FUM x AMENORREA]]))</f>
        <v>44789</v>
      </c>
      <c r="RX74" s="21">
        <f>IF(AND(Tabla1[[#This Row],[FUM X ECO 1]]="",Tabla1[[#This Row],[FUM x AMENORREA]]=""),"",IF(AND(Tabla1[[#This Row],[FUM X ECO 1]]="",Tabla1[[#This Row],[FUM x AMENORREA]]&lt;&gt;""),"X",SUM(Tabla1[[#This Row],[FUM X ECO 1]]-Tabla1[[#This Row],[FUM x AMENORREA]])))</f>
        <v>0.90000000000145519</v>
      </c>
      <c r="RY74" s="21">
        <f t="shared" si="433"/>
        <v>0</v>
      </c>
    </row>
    <row r="75" spans="1:493" ht="45" customHeight="1" x14ac:dyDescent="0.25">
      <c r="A75" s="109" t="s">
        <v>1222</v>
      </c>
      <c r="B75" s="43"/>
      <c r="C75" s="43" t="s">
        <v>845</v>
      </c>
      <c r="D75" s="124" t="s">
        <v>846</v>
      </c>
      <c r="E75" s="43" t="s">
        <v>1223</v>
      </c>
      <c r="F75" s="43" t="s">
        <v>1224</v>
      </c>
      <c r="G75" s="43" t="s">
        <v>1225</v>
      </c>
      <c r="H75" s="43" t="s">
        <v>1226</v>
      </c>
      <c r="I75" s="109" t="s">
        <v>851</v>
      </c>
      <c r="J75" s="110">
        <v>1061537002</v>
      </c>
      <c r="K75" s="43" t="s">
        <v>852</v>
      </c>
      <c r="L75" s="175" t="s">
        <v>853</v>
      </c>
      <c r="M75" s="22">
        <v>33653</v>
      </c>
      <c r="N75" s="213">
        <f t="shared" ca="1" si="252"/>
        <v>31.726027397260275</v>
      </c>
      <c r="O75" s="22">
        <v>44917</v>
      </c>
      <c r="P75" s="214" t="str">
        <f>IF(AND(O75="",R75&gt;0),"ACUDE ESPONTANEAMENTE",IF(AND(AND(O75&gt;0,R75=""),OR(IN76&gt;0,IK75&lt;&gt;"")),"NA",IF(AND(O75&gt;0,IN76="",R75=""),"NO",IF(AND(O75&gt;0,R75&gt;0),"SI",""))))</f>
        <v>SI</v>
      </c>
      <c r="Q75" s="26" t="s">
        <v>855</v>
      </c>
      <c r="R75" s="22">
        <v>44917</v>
      </c>
      <c r="S75" s="21" t="s">
        <v>856</v>
      </c>
      <c r="T75" s="24" t="s">
        <v>690</v>
      </c>
      <c r="U75" s="21" t="s">
        <v>857</v>
      </c>
      <c r="V75" s="21" t="s">
        <v>858</v>
      </c>
      <c r="W75" s="21" t="s">
        <v>1227</v>
      </c>
      <c r="X75" s="21" t="s">
        <v>1227</v>
      </c>
      <c r="Y75" s="21" t="s">
        <v>859</v>
      </c>
      <c r="Z75" s="21" t="s">
        <v>894</v>
      </c>
      <c r="AA75" s="21" t="s">
        <v>860</v>
      </c>
      <c r="AB75" s="27" t="s">
        <v>861</v>
      </c>
      <c r="AC75" s="26" t="s">
        <v>897</v>
      </c>
      <c r="AD75" s="38" t="s">
        <v>846</v>
      </c>
      <c r="AE75" s="26" t="s">
        <v>854</v>
      </c>
      <c r="AF75" s="26" t="s">
        <v>854</v>
      </c>
      <c r="AG75" s="23" t="s">
        <v>864</v>
      </c>
      <c r="AH75" s="23" t="s">
        <v>864</v>
      </c>
      <c r="AI75" s="24" t="s">
        <v>863</v>
      </c>
      <c r="AJ75" s="23" t="s">
        <v>864</v>
      </c>
      <c r="AK75" s="220" t="str">
        <f>IF(AND(AD75="",AE75="",AF75="",AG75="",AH75="",AI75="",AJ75=""),"",IF(OR(Tabla1[[#This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EVALUACIÓN",IF(AND(O75="",R75=""),"",IF(AND(OR(O75&gt;0,R75&gt;0),NG75&gt;=0,NG75&lt;2),"SIN RIESGO",IF(AND(OR(O75&gt;0,R75&gt;0),NG75&gt;=2),"CON RIESGO","ASD")))))</f>
        <v>SIN RIESGO</v>
      </c>
      <c r="AL75" s="23" t="s">
        <v>864</v>
      </c>
      <c r="AM75" s="26" t="s">
        <v>864</v>
      </c>
      <c r="AN75" s="26" t="s">
        <v>864</v>
      </c>
      <c r="AO75" s="26" t="s">
        <v>864</v>
      </c>
      <c r="AP75" s="26" t="s">
        <v>864</v>
      </c>
      <c r="AQ75" s="26" t="s">
        <v>864</v>
      </c>
      <c r="AR75" s="26" t="s">
        <v>864</v>
      </c>
      <c r="AS75" s="21">
        <v>0</v>
      </c>
      <c r="AT75" s="21">
        <v>0</v>
      </c>
      <c r="AU75" s="21">
        <v>0</v>
      </c>
      <c r="AV75" s="26" t="s">
        <v>864</v>
      </c>
      <c r="AW75" s="21">
        <v>0</v>
      </c>
      <c r="AX75" s="26" t="s">
        <v>864</v>
      </c>
      <c r="AY75" s="26" t="s">
        <v>864</v>
      </c>
      <c r="AZ75" s="26" t="s">
        <v>864</v>
      </c>
      <c r="BA75" s="26" t="s">
        <v>864</v>
      </c>
      <c r="BB75" s="26" t="s">
        <v>864</v>
      </c>
      <c r="BC75" s="26" t="s">
        <v>864</v>
      </c>
      <c r="BD75" s="26" t="s">
        <v>864</v>
      </c>
      <c r="BE75" s="26" t="s">
        <v>864</v>
      </c>
      <c r="BF75" s="26" t="s">
        <v>864</v>
      </c>
      <c r="BG75" s="26" t="s">
        <v>864</v>
      </c>
      <c r="BH75" s="26" t="s">
        <v>864</v>
      </c>
      <c r="BI75" s="26" t="s">
        <v>864</v>
      </c>
      <c r="BJ75" s="26"/>
      <c r="BK75" s="26"/>
      <c r="BL75" s="26" t="s">
        <v>864</v>
      </c>
      <c r="BM75" s="26" t="s">
        <v>864</v>
      </c>
      <c r="BN75" s="22"/>
      <c r="BO75" s="22">
        <v>44821</v>
      </c>
      <c r="BP75" s="21" t="s">
        <v>854</v>
      </c>
      <c r="BQ75" s="222">
        <f t="shared" si="254"/>
        <v>0</v>
      </c>
      <c r="BR75" s="223">
        <f t="shared" si="255"/>
        <v>44794.8</v>
      </c>
      <c r="BS75" s="224">
        <f t="shared" si="256"/>
        <v>13.714285714285714</v>
      </c>
      <c r="BT75" s="216" t="str">
        <f t="shared" si="257"/>
        <v>II TRIM</v>
      </c>
      <c r="BU75" s="214" t="str">
        <f t="shared" ca="1" si="258"/>
        <v/>
      </c>
      <c r="BV75" s="25"/>
      <c r="BW75" s="22">
        <v>44946</v>
      </c>
      <c r="BX75" s="28">
        <v>21.6</v>
      </c>
      <c r="BY75" s="28"/>
      <c r="BZ75" s="22">
        <v>44995</v>
      </c>
      <c r="CA75" s="21">
        <v>28.6</v>
      </c>
      <c r="CB75" s="26" t="s">
        <v>864</v>
      </c>
      <c r="CC75" s="26" t="s">
        <v>864</v>
      </c>
      <c r="CD75" s="26" t="s">
        <v>878</v>
      </c>
      <c r="CE75" s="26" t="s">
        <v>864</v>
      </c>
      <c r="CF75" s="22" t="s">
        <v>1517</v>
      </c>
      <c r="CG75" s="21">
        <v>1.55</v>
      </c>
      <c r="CH75" s="21">
        <v>69.900000000000006</v>
      </c>
      <c r="CI75" s="214">
        <f t="shared" si="259"/>
        <v>29.094693028095733</v>
      </c>
      <c r="CJ75" s="225" t="e">
        <f>IF(AND(CI75&lt;10,CH75="SD"),"SIN DATO PESO PREGESTACION O I TRIM",IF(AND(OR(R75&gt;0,O75&gt;0),CI75="X"),"INGRESAR DATO DE PESO",IF(CI75="SD","INGRESAR DATO DE TALLA Y PESO",IF(AND(OR(Tabla1[[#This Row],[MOMENTO EN QUE SE REALIZA EL PESO AL INGRESO A CPN]]="PREGESTACIÓN",NZ75="Menor"),CI75&lt;18.5),"BAJO PESO",IF(AND(OR(Tabla1[[#This Row],[MOMENTO EN QUE SE REALIZA EL PESO AL INGRESO A CPN]]="PREGESTACIÓN",NZ75="Menor"),CI75&lt;25),"NORMAL",IF(AND(OR(Tabla1[[#This Row],[MOMENTO EN QUE SE REALIZA EL PESO AL INGRESO A CPN]]="PREGESTACIÓN",NZ75="Menor"),CI75&lt;30),"SOBREPESO",IF(AND(OR(Tabla1[[#This Row],[MOMENTO EN QUE SE REALIZA EL PESO AL INGRESO A CPN]]="PREGESTACIÓN",NZ75="Menor"),CI75&gt;=30,CI75&lt;50),"OBESIDAD",IF(AND(BS75&gt;0,Tabla1[[#This Row],[MOMENTO EN QUE SE REALIZA EL PESO AL INGRESO A CPN]]="GESTACIÓN"),HLOOKUP(NZ75,$OA$2:PH75,NY75),""))))))))</f>
        <v>#REF!</v>
      </c>
      <c r="CK75" s="212">
        <f t="shared" si="260"/>
        <v>45064</v>
      </c>
      <c r="CL75" s="21">
        <v>75.7</v>
      </c>
      <c r="CM75" s="214">
        <f t="shared" si="261"/>
        <v>31.508844953173774</v>
      </c>
      <c r="CN75" s="216">
        <f t="shared" si="262"/>
        <v>34</v>
      </c>
      <c r="CO75" s="216" t="e">
        <f>IF(PI75="","",IF(PI75&gt;0,HLOOKUP(PI75,$PJ$2:QQ75,NY75),""))</f>
        <v>#REF!</v>
      </c>
      <c r="CP75" s="21"/>
      <c r="CQ75" s="216" t="e">
        <f>IF(QR75="Menor","NO APLICA-MENOR 13 SEM",IF(AND(CC75="SI",CN75&gt;23),"NO APLICA- GEMELAR",IF(QR75="","",IF(QR75&gt;0,HLOOKUP(QR75,$QS$2:RU75,NY75),""))))</f>
        <v>#REF!</v>
      </c>
      <c r="CR75" s="21">
        <v>100</v>
      </c>
      <c r="CS75" s="21">
        <v>60</v>
      </c>
      <c r="CT75" s="217" t="str">
        <f>IF(R75="","",IF(AND(BS75&gt;1,BS75&lt;12,Tabla1[[#This Row],[T.A. SISTOLICA - ANTES DE SEMANA 12]]="",Tabla1[[#This Row],[T.A. DIASTOLICA - ANTES DE SEMANA 12]]=""),"REGISTRE DATO TA ANTES SEMANA 12",IF(AND(BS75&gt;11,BS75&lt;43,Tabla1[[#This Row],[T.A. SISTOLICA - ANTES DE SEMANA 12]]="",Tabla1[[#This Row],[T.A. DIASTOLICA - ANTES DE SEMANA 12]]=""),"NO APLICA REGISTRO TA-INGRESO TARDIO",IF(AND(OR(O75&gt;0,R75&gt;0),OR(CR75&gt;=140,CS75&gt;=90)),"DEFINIR ESTADIO HTA",IF(AND(OR(O75&gt;0,R75&gt;0),AND(CR75&gt;120,CR75&lt;=139)),"PRE HTA SEGUIMIENTO",IF(AND(OR(O75&gt;0,R75&gt;0),AND(CS75&gt;80,CS75&lt;=89)),"PRE HTA SEGUIMIENTO",IF(AND(OR(O75&gt;0,R75&gt;0),AND(CR75&gt;=80,CR75&lt;=120)),"APARENTEMENTE NORMAL",IF(AND(OR(O75&gt;0,R75&gt;0),AND(CS75&gt;=50,CS75&lt;=80)),"APARENTEMENTE NORMAL",IF(AND(OR(O75&gt;0,R75&gt;0),AND(CR75&gt;1,CR75&lt;=70),AND(CS75&gt;1,CS75&lt;=40)),"HIPOTENSIÓN","")))))))))</f>
        <v>APARENTEMENTE NORMAL</v>
      </c>
      <c r="CU75" s="21">
        <v>100</v>
      </c>
      <c r="CV75" s="21">
        <v>70</v>
      </c>
      <c r="CW75" s="217" t="str">
        <f ca="1">IF(R75="","",IF(AND(CN75&gt;19,CN75&lt;27,Tabla1[[#This Row],[T.A. SISTOLICA (Entre semana 20 y 26)]]="",Tabla1[[#This Row],[T.A. DIATOLICA (Entre semana 20 y 26)]]=""),"ACUDE A CONTROL SEM 20 A 26 REGISTRE TA AHORA",IF(AND(BS75&gt;1,BS75&lt;27,BU75&gt;19,Tabla1[[#This Row],[T.A. SISTOLICA (Entre semana 20 y 26)]]="",Tabla1[[#This Row],[T.A. DIATOLICA (Entre semana 20 y 26)]]=""),"COMPLETE REGISTRO TA CONTROL SEM 20 A26 ",IF(AND(BS75&gt;26,BS75&lt;43,Tabla1[[#This Row],[T.A. SISTOLICA (Entre semana 20 y 26)]]="",Tabla1[[#This Row],[T.A. DIATOLICA (Entre semana 20 y 26)]]=""),"NO APLICA REGISTRO TA-INGRESO TARDIO",IF(AND(OR(O75&gt;0,R75&gt;0),OR(CU75&gt;=140,CV75&gt;=90)),"ALTO RIESGO PREECLAMPSIA,DEFINIR ESTADIO HTA",IF(AND(OR(O75&gt;0,R75&gt;0),AND(CU75&gt;120,CU75&lt;=139)),"PRE HTA SEGUIMIENTO,RIESGO HIPERTENSION INDUCIDA POR EL EMBARAZO",IF(AND(OR(O75&gt;0,R75&gt;0),AND(CV75&gt;80,CV75&lt;=89)),"PRE HTA SEGUIMIENTO, RIESGO HIPERTENSION INDUCIDA POR EL EMBARAZO",IF(AND(OR(O75&lt;&gt;"",R75&lt;&gt;""),CS75&lt;&gt;"",CV75&lt;&gt;"",CS75&lt;=CV75),"VIGILAR CIFRAS PRESION ARTERIAL",IF(AND(OR(O75&gt;0,R75&gt;0),AND(CU75&gt;120,CU75&lt;=139)),"PRE HTA SEGUIMIENTO",IF(AND(OR(O75&gt;0,R75&gt;0),AND(CU75&gt;1,CU75&lt;=70),AND(CV75&gt;1,CV75&lt;=40)),"HIPOTENSIÓN",IF(AND(OR(O75&lt;&gt;"",R75&lt;&gt;""),CS75&lt;&gt;"",CV75&lt;&gt;"",CS75&gt;CV75),"APARENTEMENTE NORMAL",IF(AND(OR(O75&gt;0,R75&gt;0),AND(CU75&gt;=80,CU75&lt;=120)),"APARENTEMENTE NORMAL",IF(AND(OR(O75&gt;0,R75&gt;0),AND(CV75&gt;=50,CV75&lt;=80)),"APARENTEMENTE NORMAL","")))))))))))))</f>
        <v>VIGILAR CIFRAS PRESION ARTERIAL</v>
      </c>
      <c r="CX75" s="21">
        <v>90</v>
      </c>
      <c r="CY75" s="21">
        <v>60</v>
      </c>
      <c r="CZ75" s="216" t="str">
        <f t="shared" si="263"/>
        <v>APARENTEMENTE NORMAL</v>
      </c>
      <c r="DA75" s="21">
        <v>100</v>
      </c>
      <c r="DB75" s="21">
        <v>60</v>
      </c>
      <c r="DC75" s="217" t="str">
        <f t="shared" si="264"/>
        <v>APARENTEMENTE NORMAL</v>
      </c>
      <c r="DD75" s="22">
        <v>44917</v>
      </c>
      <c r="DE75" s="22">
        <v>44917</v>
      </c>
      <c r="DF75" s="22">
        <v>44950</v>
      </c>
      <c r="DG75" s="22">
        <v>44981</v>
      </c>
      <c r="DH75" s="22">
        <v>45009</v>
      </c>
      <c r="DI75" s="22">
        <v>45042</v>
      </c>
      <c r="DJ75" s="22">
        <v>45064</v>
      </c>
      <c r="DK75" s="22"/>
      <c r="DL75" s="22"/>
      <c r="DM75" s="22"/>
      <c r="DN75" s="22"/>
      <c r="DO75" s="22"/>
      <c r="DP75" s="22"/>
      <c r="DQ75" s="22"/>
      <c r="DR75" s="28">
        <v>1</v>
      </c>
      <c r="DS75" s="22"/>
      <c r="DT75" s="22"/>
      <c r="DU75" s="216" t="str">
        <f ca="1">IF(AND(BT75="ERROR FUM O INGRESO",DS75&gt;0),"ERROR FUM O INGRESO",IF(AND(DS75="",R75="",O75=""),"",IF(OR(AND(DS75&lt;&gt;"",DS75&lt;RW75),AND(DS75&lt;&gt;"",AND(SUM((DS75-RW75)/7)&gt;0,SUM((DS75-RW75)/7)&lt;28))),"PLAN REALIZADO ANTES III TRIM", IF(AND(DS75="",OR(O75&gt;0,R75&gt;0),AND(BU75&gt;=28, BU75&lt;35,DV75="ACTIVA INGRESO A CPN")),"PLANEAR PLAN DE PARTO", IF(AND(DS75="",OR(O75&gt;0,R75&gt;0),BU75&gt;=35,DV75="ACTIVA INGRESO A CPN"),"CONCERTAR PLAN DE PARTO INMEDIATO", IF(AND(DS75="",OR(O75&gt;0,R75&gt;0),AND(BU75&gt;0, BU75&lt;28),OR(DV75="ACTIVA INGRESO A CPN", DV75=" ACTIVA SIN INGRESO CPN")),"EN ESPERA", IF(AND(DS75="",OR(O75&gt;0,R75&gt;0),AND(IP76&gt;0, IP76&lt;28)),"NO APLICA SALE PROGRAMA ANTES III TRIM", IF(AND(DS75="",OR(O75&gt;0,R75&gt;0),AND(IP76&gt;=28, IP76&lt;35)),"SALE PROGRAMA ANTES SEMANA 35", IF(AND(DS75="",OR(O75&gt;0,R75&gt;0),IP76&gt;35),"SALE SIN PLAN DE PARTO",IF(DS75&gt;0,SUM(DS75-BO75)/7,""))))))))))</f>
        <v>SALE SIN PLAN DE PARTO</v>
      </c>
      <c r="DV75" s="226" t="str">
        <f>IF(AND(R75&lt;&gt;"",IK75="CAMBIO DE RESIDENCIA",IK75="CAMBIO DE IPS",IK75="CAMBIO DE EPS"),"SEGUIMIENTO REPORTE EPS",IF(IK75="IVE","IVE",IF(AND(R75&lt;&gt;"",OR(IK75&lt;&gt;"",IN76&lt;&gt;"")),"SALIO PROGRAMA",IF(AND(AND(R75="",O75&gt;0),OR(IK75&lt;&gt;"",IN76&lt;&gt;"")),"SALE SIN INGRESO CPN",IF(AND(R75="",O75&gt;0,IK75="",IN76=""),"ACTIVA SIN INGRESO CPN",IF(AND(R75&lt;&gt;"",OR(IK75="",IN76="")),"ACTIVA INGRESO A CPN",""))))))</f>
        <v>SALIO PROGRAMA</v>
      </c>
      <c r="DW7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5" s="216" t="str">
        <f t="shared" ca="1" si="266"/>
        <v/>
      </c>
      <c r="DY75" s="212">
        <f>IF(R75="","",IF(R75&gt;0,MAX(Tabla1[[#This Row],[FECHA C2]:[FECHA C13]],Tabla1[[#This Row],[FECHA CONSULTA PRIMERA VEZ PROGRAMA CPN ]])))</f>
        <v>45064</v>
      </c>
      <c r="DZ75" s="216">
        <f t="shared" si="267"/>
        <v>34</v>
      </c>
      <c r="EA75" s="222">
        <f>IF(R75&gt;0,SUM(COUNTA(DF75:DQ75)+COUNTA(Tabla1[[#This Row],[FECHA CONSULTA PRIMERA VEZ PROGRAMA CPN ]])),"")</f>
        <v>6</v>
      </c>
      <c r="EB75" s="222" t="str">
        <f t="shared" si="268"/>
        <v>SI</v>
      </c>
      <c r="EC75" s="214">
        <f t="shared" si="269"/>
        <v>8</v>
      </c>
      <c r="ED75" s="227">
        <f t="shared" si="270"/>
        <v>0.75</v>
      </c>
      <c r="EE75" s="22">
        <v>44917</v>
      </c>
      <c r="EF75" s="22">
        <v>44918</v>
      </c>
      <c r="EG75" s="22">
        <v>44917</v>
      </c>
      <c r="EH75" s="22">
        <v>44946</v>
      </c>
      <c r="EI75" s="22">
        <v>44917</v>
      </c>
      <c r="EJ75" s="22">
        <v>44917</v>
      </c>
      <c r="EK75" s="22">
        <v>45029</v>
      </c>
      <c r="EL75" s="21">
        <v>2</v>
      </c>
      <c r="EM75" s="21">
        <v>13.5</v>
      </c>
      <c r="EN75" s="22">
        <v>44918</v>
      </c>
      <c r="EO75" s="222">
        <f t="shared" si="271"/>
        <v>13.857142857142858</v>
      </c>
      <c r="EP75" s="214" t="str">
        <f t="shared" si="272"/>
        <v>NORMAL- SUMINISTRAR SULFATO FERROSO</v>
      </c>
      <c r="EQ75" s="216" t="str">
        <f t="shared" si="273"/>
        <v>II TRIM</v>
      </c>
      <c r="ER75" s="24"/>
      <c r="ES75" s="22"/>
      <c r="ET75" s="29" t="str">
        <f ca="1">IF(AND(BT75="ERROR FUM O INGRESO",ES75&gt;0),"ERROR FUM O INGRESO",IF(AND(ES75="",R75="",O75=""),"",IF(OR(AND(ES75&lt;&gt;"",ES75&lt;RW75),AND(ES75&lt;&gt;"",SUM((ES75-RW75)/7)&gt;40)),"CORREGIR FECHA RESULTADO",IF(AND(BU75&gt;1,BU75&lt;23,ER75="",ES75=""),"EN ESPERA PARA TOMA EXAMEN",IF(AND(BU75&gt;22,BU75&lt;26,ER75="",ES75=""),"PROGRAMAR TOMA HEMOGLOBINA A SEM 28",IF(AND(BU75&gt;25,BU75&lt;28,ER75="",ES75=""),"TOMA HEMOGLOBINA A SEM 28 EN 1 SEMANA",IF(AND(BU75&gt;27,BU75&lt;31,ES75="",OR(O75&gt;0,R75&gt;0)),"EN SEMANA 28 TOMA INMEDIATA DE EXAMEN",IF(AND(IP76&gt;0,IP76&lt;28,ES75="",OR(O75&gt;0,R75&gt;0)),"NO APLICA-SALE ANTES SEM 28",IF(AND(IP76&gt;28,IP76&lt;43,ES75="",OR(O75&gt;0,R75&gt;0)),"SALE SIN TAMIZAJE HEMOGLOBINA SEM 28",IF(AND(BS75&gt;0,ES75="",OR(O75&gt;0,R75&gt;0)),"TOMA DE HEMOGLOBINA TARDÍA",IF(ES75&gt;0,SUM(ES75-RW75)/7,"")))))))))))</f>
        <v>TOMA DE HEMOGLOBINA TARDÍA</v>
      </c>
      <c r="EU75" s="25" t="str">
        <f t="shared" si="275"/>
        <v/>
      </c>
      <c r="EV75" s="24" t="s">
        <v>866</v>
      </c>
      <c r="EW75" s="24">
        <v>44918</v>
      </c>
      <c r="EX75" s="22"/>
      <c r="EY75" s="29">
        <f t="shared" si="248"/>
        <v>13.857142857142858</v>
      </c>
      <c r="EZ75" s="25" t="str">
        <f t="shared" ca="1" si="249"/>
        <v/>
      </c>
      <c r="FA75" s="21">
        <v>72</v>
      </c>
      <c r="FB75" s="22">
        <v>44918</v>
      </c>
      <c r="FC75" s="29">
        <f t="shared" si="276"/>
        <v>13.857142857142858</v>
      </c>
      <c r="FD75" s="29">
        <v>66</v>
      </c>
      <c r="FE75" s="29">
        <v>98</v>
      </c>
      <c r="FF75" s="29">
        <v>61</v>
      </c>
      <c r="FG75" s="21" t="str">
        <f t="shared" ca="1" si="277"/>
        <v>NORMAL</v>
      </c>
      <c r="FH75" s="31">
        <v>45009</v>
      </c>
      <c r="FI75" s="29">
        <f t="shared" si="278"/>
        <v>26.857142857142858</v>
      </c>
      <c r="FJ75" s="22"/>
      <c r="FK75" s="22"/>
      <c r="FL75" s="29" t="str">
        <f t="shared" ca="1" si="279"/>
        <v>NO APLICA-INGRESO TARDIO</v>
      </c>
      <c r="FM75" s="22" t="s">
        <v>867</v>
      </c>
      <c r="FN75" s="32">
        <v>44918</v>
      </c>
      <c r="FO75" s="29">
        <f ca="1">IF(AND(BT75="ERROR FUM O INGRESO",FN75&gt;0),"ERROR FUM O INGRESO",IF(AND(FN75="",R75="",O75=""),"",IF(AND(FN75&lt;&gt;"",FN75&lt;RW75), "INCOHERENCIA FUM Y FECHA TAMIZAJE",IF(AND(FN75="",DV75="ACTIVA INGRESO A CPN",AND(BU75&gt;0,BU75&lt;13)),"EN ESPERA-ESTÁ I TRIM", IF(AND(FN75="",AND(BS75&gt;0, BS75&lt;13),OR(O75&gt;0,R75&gt;0),AND(IP76&gt;0,IP76&lt;13)),"NO APLICA-SALIO DEL PROGRAMA I TRIM",IF(AND(FN75&lt;&gt;"",AND(SUM((FN75-RW75)/7)&gt;0,SUM((FN75-RW75)/7)&lt;13)),"REGISTRAR EN I TRIMESTRE",IF(AND(FN75&lt;&gt;"",AND(SUM((FN75-RW75)/7)&gt;=27,SUM((FN75-RW75)/7)&lt;44)),"REGISTRAR EN III TRIMESTRE",IF(AND(FN75="",OR(O75&gt;0,R75&gt;0),AND(BU75&gt;=13,BU75&lt;24),DV75="ACTIVA INGRESO A CPN"),"EN RANGO PARA TOMAR EXAMEN",IF(AND(FN75="",OR(O75&gt;0,R75&gt;0),AND(BU75&gt;=25,BU75&lt;27),DV75="ACTIVA INGRESO A CPN"),"TOMA INMEDIATA DE TAMIZAJE",IF(AND(FN75="",OR(O75&gt;0,R75&gt;0),AND(BS75&gt;=27,BS75&lt;44)),"NO APLICA-INGRESO TARDIO",IF(AND(FN75="",BS75&lt;27,OR(AND(IP76&gt;12,IP76&lt;44),BU75&gt;12)),"PIERDE TOMA DE TAMIZAJE",IF(FN75&gt;0,SUM(FN75-RW75)/7,""))))))))))))</f>
        <v>13.857142857142858</v>
      </c>
      <c r="FP75" s="22" t="s">
        <v>867</v>
      </c>
      <c r="FQ75" s="32">
        <v>45064</v>
      </c>
      <c r="FR75" s="29">
        <f ca="1">IF(AND(BT75="ERROR FUM O INGRESO",FQ75&gt;0),"ERROR FUM O INGRESO",IF(AND(FQ75="",R75="",O75=""),"",IF(AND(FQ75&lt;&gt;"",FQ75&lt;RW75), "INCOHERENCIA FUM Y FECHA TAMIZAJE",IF(AND(FQ75="",DV75="ACTIVA INGRESO A CPN",AND(BU75&gt;0,BU75&lt;27)),"EN ESPERA-ESTÁ I TRIM O II TRIM", IF(AND(FQ75="",AND(BS75&gt;0, BS75&lt;27),OR(O75&gt;0,R75&gt;0),AND(IP76&gt;0,IP76&lt;27)),"NO APLICA-SALIO DEL PROGRAMA I O II TRIM",IF(AND(FQ75&lt;&gt;"",AND(SUM((FQ75-RW75)/7)&gt;0,SUM((FQ75-RW75)/7)&lt;13)),"REGISTAR EN I TRIMESTRE",IF(AND(FQ75&lt;&gt;"",AND(SUM((FQ75-RW75)/7)&gt;=13,SUM((FQ75-RW75)/7)&lt;27)),"REGISTRAR EN II TRIMESTRE",IF(AND(FQ75="",OR(O75&gt;0,R75&gt;0),AND(BU75&gt;=28,BU75&lt;35),DV75="ACTIVA INGRESO A CPN"),"EN RANGO PARA TOMAR EXAMEN",IF(AND(FQ75="",OR(O75&gt;0,R75&gt;0),BU75&gt;=35, DV75="ACTIVA INGRESO A CPN"),"TOMA INMEDIATA DE TAMIZAJE",IF(AND(FQ75="",DV75= "SALE SIN INGRESO CPN"),"NO APLICA-SIN CPN",IF(AND(FQ75="",AND(IP76&gt;26,IP76&lt;43)),"PIERDE TOMA DE TAMIZAJE",IF(FQ75&gt;0,SUM(FQ75-RW75)/7,""))))))))))))</f>
        <v>34.714285714285715</v>
      </c>
      <c r="FS75" s="22"/>
      <c r="FT75" s="32"/>
      <c r="FU75" s="29" t="str">
        <f>IF(AND(FJ75="",FM75="",FP75="",FS75=""),"",IF(OR(OR(Tabla1[[#This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5" s="28"/>
      <c r="FW75" s="22"/>
      <c r="FX75" s="29" t="str">
        <f t="shared" si="280"/>
        <v>TOMAR EXAMEN</v>
      </c>
      <c r="FY75" s="22">
        <v>44918</v>
      </c>
      <c r="FZ75" s="22">
        <v>44918</v>
      </c>
      <c r="GA75" s="29" t="str">
        <f t="shared" si="250"/>
        <v>REGISTRAR EN II TRIMESTRE</v>
      </c>
      <c r="GB75" s="22" t="s">
        <v>868</v>
      </c>
      <c r="GC75" s="22">
        <v>44918</v>
      </c>
      <c r="GD75" s="29">
        <f ca="1">IF(AND(BT75="ERROR FUM O INGRESO",GC75&gt;0),"ERROR FUM O INGRESO",IF(AND(GC75="",R75="",O75=""),"",IF(AND(GC75&lt;&gt;"",GC75&lt;RW75), "INCOHERENCIA FUM Y FECHA TAMIZAJE",IF(AND(GC75="",DV75="ACTIVA INGRESO A CPN",AND(BU75&gt;0,BU75&lt;13)),"EN ESPERA-ESTÁ I TRIM", IF(AND(GC75="",AND(BS75&gt;0, BS75&lt;12),OR(O75&gt;0,R75&gt;0),AND(IP76&gt;0,IP76&lt;13)),"NO APLICA-SALIO DEL PROGRAMA I TRIM",IF(AND(GC75&lt;&gt;"",AND(SUM((GC75-RW75)/7)&gt;0,SUM((GC75-RW75)/7)&lt;13)),"REGISTRAR EN I TRIMESTRE",IF(AND(GC75&lt;&gt;"",AND(SUM((GC75-RW75)/7)&gt;=27,SUM((GC75-RW75)/7)&lt;44)),"REGISTRAR EN III TRIMESTRE",IF(AND(GC75="",OR(O75&gt;0,R75&gt;0),AND(BU75&gt;=12,BU75&lt;25),DV75="ACTIVA INGRESO A CPN"),"EN RANGO PARA TOMAR EXAMEN",IF(AND(GC75="",OR(O75&gt;0,R75&gt;0),AND(BU75&gt;=25,BU75&lt;27),DV75="ACTIVA INGRESO A CPN"),"TOMA INMEDIATA DE TAMIZAJE",IF(AND(GC75="",OR(O75&gt;0,R75&gt;0),AND(BS75&gt;=27,BS75&lt;43)),"NO APLICA-INGRESO TARDIO",IF(AND(GC75="",BS75&lt;27),"PIERDE TOMA DE TAMIZAJE",IF(GC75&gt;0,SUM(GC75-RW75)/7,""))))))))))))</f>
        <v>13.857142857142858</v>
      </c>
      <c r="GE75" s="22"/>
      <c r="GF75" s="22"/>
      <c r="GG75" s="29" t="str">
        <f ca="1">IF(AND(BT75="ERROR FUM O INGRESO",GF75&gt;0),"ERROR FUM O INGRESO",IF(AND(GF75="",R75="",O75=""),"",IF(AND(GF75&lt;&gt;"",GF75&lt;RW75), "INCOHERENCIA FUM Y FECHA TAMIZAJE",IF(AND(GF75="",DV75="ACTIVA INGRESO A CPN",AND(BU75&gt;0,BU75&lt;27)),"EN ESPERA-ESTÁ I TRIM O II TRIM", IF(AND(GF75="",AND(BS75&gt;0, BS75&lt;28),OR(O75&gt;0,R75&gt;0),AND(IP76&gt;0,IP76&lt;28)),"NO APLICA-SALIO DEL PROGRAMA I O II TRIM",IF(AND(GF75&lt;&gt;"",AND(SUM((GF75-RW75)/7)&gt;0,SUM((GF75-RW75)/7)&lt;13)),"REGISTAR EN I TRIMESTRE",IF(AND(GF75&lt;&gt;"",AND(SUM((GF75-RW75)/7)&gt;=13,SUM((GF75-RW75)/7)&lt;27)),"REGISTRAR EN II TRIMESTRE",IF(AND(GF75="",OR(O75&gt;0,R75&gt;0),AND(BU75&gt;=28,BU75&lt;35),DV75="ACTIVA INGRESO A CPN"),"EN RANGO PARA TOMAR EXAMEN",IF(AND(GF75="",OR(O75&gt;0,R75&gt;0),BU75&gt;=35, DV75="ACTIVA INGRESO A CPN"),"TOMA INMEDIATA DE TAMIZAJE",IF(AND(GF75="",DV75= "SALE SIN INGRESO CPN"),"NO APLICA-SIN CPN",IF(AND(GF75="",BS75&lt;44),"PIERDE TOMA DE TAMIZAJE",IF(GF75&gt;0,SUM(GF75-RW75)/7,""))))))))))))</f>
        <v>PIERDE TOMA DE TAMIZAJE</v>
      </c>
      <c r="GH75" s="22"/>
      <c r="GI75" s="29"/>
      <c r="GJ75" s="22"/>
      <c r="GK75" s="22"/>
      <c r="GL75" s="22"/>
      <c r="GM75" s="22"/>
      <c r="GN75" s="28" t="s">
        <v>869</v>
      </c>
      <c r="GO75" s="22">
        <v>44918</v>
      </c>
      <c r="GP75" s="29">
        <f t="shared" si="283"/>
        <v>13.857142857142858</v>
      </c>
      <c r="GQ75" s="28" t="s">
        <v>869</v>
      </c>
      <c r="GR75" s="28" t="s">
        <v>869</v>
      </c>
      <c r="GS75" s="22" t="str">
        <f t="shared" si="284"/>
        <v>CONTROL Igm</v>
      </c>
      <c r="GT75" s="22">
        <v>44918</v>
      </c>
      <c r="GU75" s="29">
        <f t="shared" si="285"/>
        <v>13.857142857142858</v>
      </c>
      <c r="GV75" s="21" t="str">
        <f t="shared" si="286"/>
        <v>II TRIM</v>
      </c>
      <c r="GW75" s="28" t="s">
        <v>869</v>
      </c>
      <c r="GX75" s="30"/>
      <c r="GY75" s="21"/>
      <c r="GZ75" s="21"/>
      <c r="HA75" s="21"/>
      <c r="HB75" s="21"/>
      <c r="HC75" s="21"/>
      <c r="HD75" s="21"/>
      <c r="HE75" s="21"/>
      <c r="HF75" s="22"/>
      <c r="HG75" s="22" t="str">
        <f>IF(OR(O75&gt;0,R75&gt;0),CONCATENATE(IF(Tabla1[[#This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5" s="22" t="e">
        <f t="shared" si="287"/>
        <v>#REF!</v>
      </c>
      <c r="HI75" s="22" t="e">
        <f t="shared" ca="1" si="288"/>
        <v>#REF!</v>
      </c>
      <c r="HJ75" s="21"/>
      <c r="HK75" s="21" t="str">
        <f t="shared" si="289"/>
        <v>SIN ANTECEDENTES DE RIESGO</v>
      </c>
      <c r="HL75" s="24" t="str">
        <f t="shared" si="290"/>
        <v>APARENTEMENTE NORMAL</v>
      </c>
      <c r="HM75" s="21" t="str">
        <f t="shared" ca="1" si="291"/>
        <v/>
      </c>
      <c r="HN75" s="30" t="str">
        <f>IF(AND(R75&lt;&gt;"",IK75="CAMBIO DE RESIDENCIA"),"SEGUIMIENTO REPORTE EPS",IF(AND(R75&lt;&gt;"",OR(IK75&lt;&gt;"",IN76&lt;&gt;"")),"SALIO PROGRAMA",IF(AND(AND(R75="",O75&gt;0),OR(IK75&lt;&gt;"",IN76&lt;&gt;"")),"SALE SIN INGRESO CPN",IF(AND(R75="",O75&gt;0,IK75="",IN76=""),"ACTIVA SIN INGRESO CPN",IF(AND(R75&lt;&gt;"",OR(IK75="",IN76="")),"ACTIVA INGRESO A CPN","")))))</f>
        <v>SALIO PROGRAMA</v>
      </c>
      <c r="HO75" s="21"/>
      <c r="HP75" s="21"/>
      <c r="HQ75" s="21">
        <v>44917</v>
      </c>
      <c r="HR75" s="21" t="str">
        <f>IF(R75="","",IF(Tabla1[[#This Row],[ALARMA FACTORES DE RIESGO COMPLICACIONES HIPERTENSIVAS3]]="SIN ANTECEDENTES DE RIESGO","No Aplica para suministro de ASA",IF(AND(Tabla1[[#This Row],[FECHA INICIO DE SUMINISTRO DE ASA]]&gt;0,RV75&lt;12),"Inicia ASA ANTES de Sem 12",IF(AND(RV75&gt;11,RV75&lt;17,OR(HK75="RIESGO ALTO DE COMPLICACIONES HIPERTENSIVAS VER MANEJO GUIA SUMINISTRO ASA Y CALCIO",HK75="RIESGO MODERADO (2 O MAS CRITERIOS) VER MANEJO GUIA SUMINISTRO ASA Y CALCIO")),"Inicio oportuno de ASA",IF(AND(RV75&gt;12,OR(HK75="RIESGO ALTO DE COMPLICACIONES HIPERTENSIVAS VER MANEJO GUIA SUMINISTRO ASA Y CALCIO",HK75="RIESGO MODERADO (2 O MAS CRITERIOS) VER MANEJO GUIA SUMINISTRO ASA Y CALCIO")),"Inicio no oportuno mayor a 16 semanas",IF(AND(BU75&lt;12,OR(HK75="RIESGO ALTO DE COMPLICACIONES HIPERTENSIVAS VER MANEJO GUIA SUMINISTRO ASA Y CALCIO",HK75="RIESGO MODERADO (2 O MAS CRITERIOS) VER MANEJO GUIA SUMINISTRO ASA Y CALCIO")),"Pendiente Inicio de ASA a la semana 12",IF(AND(BU75&gt;11,BU75&lt;17,OR(HK75="RIESGO ALTO DE COMPLICACIONES HIPERTENSIVAS VER MANEJO GUIA SUMINISTRO ASA Y CALCIO",HK75="RIESGO MODERADO (2 O MAS CRITERIOS) VER MANEJO GUIA SUMINISTRO ASA Y CALCIO")),"Iniciar de inmediato ASA",IF(AND(BU75&gt;16,OR(HK75="RIESGO ALTO DE COMPLICACIONES HIPERTENSIVAS VER MANEJO GUIA SUMINISTRO ASA Y CALCIO",HK75="RIESGO MODERADO (2 O MAS CRITERIOS) VER MANEJO GUIA SUMINISTRO ASA Y CALCIO")),"Pierde Oportunidad, Inicio tardío de ASA","XXXXX"))))))))</f>
        <v>No Aplica para suministro de ASA</v>
      </c>
      <c r="HS75" s="22">
        <v>44917</v>
      </c>
      <c r="HT75" s="22" t="s">
        <v>870</v>
      </c>
      <c r="HU75" s="22">
        <v>44917</v>
      </c>
      <c r="HV75" s="22" t="s">
        <v>870</v>
      </c>
      <c r="HW75" s="22">
        <v>44917</v>
      </c>
      <c r="HX75" s="22" t="s">
        <v>870</v>
      </c>
      <c r="HY75" s="22">
        <v>44917</v>
      </c>
      <c r="HZ75" s="28">
        <f t="shared" si="292"/>
        <v>13.714285714285714</v>
      </c>
      <c r="IA75" s="26" t="s">
        <v>864</v>
      </c>
      <c r="IB75" s="26"/>
      <c r="IC75" s="111"/>
      <c r="ID75" s="22"/>
      <c r="IE75" s="22" t="str">
        <f t="shared" ca="1" si="293"/>
        <v>SALE SIN VACUNA</v>
      </c>
      <c r="IF75" s="22"/>
      <c r="IG75" s="22">
        <f t="shared" si="294"/>
        <v>45101</v>
      </c>
      <c r="IH75" s="29">
        <f t="shared" ca="1" si="295"/>
        <v>-132</v>
      </c>
      <c r="II75" s="22" t="str">
        <f t="shared" ca="1" si="296"/>
        <v>POSIBLEMENTE NACIO</v>
      </c>
      <c r="IJ75" s="22"/>
      <c r="IK75" s="21" t="s">
        <v>898</v>
      </c>
      <c r="IL75" s="21"/>
      <c r="IM75" s="34"/>
      <c r="IN75" s="352">
        <v>45067</v>
      </c>
      <c r="IO75" s="339" t="s">
        <v>1186</v>
      </c>
      <c r="IP75" s="29">
        <f t="shared" ref="IP75:IP106" si="435">IF(AND(IN75&gt;0,IK75&lt;&gt;""),SUM(IN75-RW75)/7,"")</f>
        <v>35.142857142857146</v>
      </c>
      <c r="IQ75" s="290" t="s">
        <v>1654</v>
      </c>
      <c r="IR75" s="290" t="s">
        <v>1651</v>
      </c>
      <c r="IS75" s="290" t="s">
        <v>1646</v>
      </c>
      <c r="IT75" s="290" t="s">
        <v>1642</v>
      </c>
      <c r="IU75" s="21"/>
      <c r="IV75" s="21"/>
      <c r="IW75" s="21"/>
      <c r="IX75" s="21"/>
      <c r="IY75" s="21"/>
      <c r="IZ75" s="21"/>
      <c r="JA75" s="21"/>
      <c r="JB75" s="30">
        <v>1</v>
      </c>
      <c r="JC75" s="21" t="s">
        <v>1647</v>
      </c>
      <c r="JD75" s="36">
        <v>2620</v>
      </c>
      <c r="JE75" s="21" t="str">
        <f t="shared" si="434"/>
        <v>PESO ADECUADO EDAD GESTACIONAL</v>
      </c>
      <c r="JF75" s="30"/>
      <c r="JG75" s="21"/>
      <c r="JH75" s="21"/>
      <c r="JI75" s="21" t="s">
        <v>854</v>
      </c>
      <c r="JJ75" s="30" t="s">
        <v>866</v>
      </c>
      <c r="JK75" s="22"/>
      <c r="JL75" s="22"/>
      <c r="JM75" s="21"/>
      <c r="JN75" s="36"/>
      <c r="JO75" s="21" t="str">
        <f>IF(AND(JN75&gt;700,JN75&lt;2500,IP76&gt;36,IP76&lt;43),"BAJO PESO AL NACER",IF(AND(JN75&gt;700,JN75&lt;2500,IP76&lt;37),"PREMATURO",IF(AND(JN75&gt;2499,JN75&lt;5000,IP76&lt;37),"ERROR VERIFICAR DATO EDAD GESTACIONAL VS PESO",IF(AND(JN75&gt;2499,JN75&lt;4000,IP76&gt;36,IP76&lt;43),"PESO ADECUADO EDAD GESTACIONAL",IF(AND(JN75&gt;3999,JN75&lt;6000,IP76&gt;36,IP76&lt;43),"PESO GRANDE EDAD GESTACIONAL","")))))</f>
        <v/>
      </c>
      <c r="JP75" s="22"/>
      <c r="JQ75" s="21"/>
      <c r="JR75" s="21"/>
      <c r="JS75" s="21"/>
      <c r="JT75" s="30"/>
      <c r="JU75" s="22"/>
      <c r="JV75" s="22"/>
      <c r="JW75" s="33"/>
      <c r="JX75" s="28" t="str">
        <f>IF(AND(JW75&lt;&gt;"",JW75&lt;IN76),"INCONSISTENCIA FECHA CONTROL",IF(AND(OR(IK75="Parto",IK75="Cesarea"),JW75&gt;0,IN76&gt;0),SUM(JW75-IN76),IF(AND(OR(IK75="Parto",IK75="Cesarea"),JW75="",IN76&gt;0),"INASISTENTE","")))</f>
        <v>INASISTENTE</v>
      </c>
      <c r="JY75" s="33"/>
      <c r="JZ75" s="28" t="str">
        <f>IF(AND(JY75&lt;&gt;"",JY75&lt;IN76),"INCONSISTENCIA FECHA CONTROL",IF(AND(OR(IK75="Parto",IK75="Cesarea",IK75="Aborto Espontaneo",IK75="Aborto Inducido",IK75="IVE"),JY75&gt;0,IN76&gt;0),SUM(JY75-IN76),IF(AND(JY75&lt;&gt;"",JY75&lt;IN76),"INCONSISTENCIA FECHA CONTROL",IF(AND(OR(IK75="Parto",IK75="Cesarea",IK75="Aborto Espontaneo",IK75="Aborto Inducido",IK75="IVE"),JY75="",IN76&gt;0),"INASISTENTE",""))))</f>
        <v>INASISTENTE</v>
      </c>
      <c r="KA75" s="21"/>
      <c r="KB75" s="21"/>
      <c r="KC75" s="21"/>
      <c r="KD75" s="37"/>
      <c r="KE75" s="28"/>
      <c r="KF75" s="28"/>
      <c r="KG75" s="28"/>
      <c r="KH75" s="39"/>
      <c r="KI75" s="39"/>
      <c r="KJ75" s="66"/>
      <c r="KK75" s="39"/>
      <c r="KL75" s="39"/>
      <c r="KM75" s="66"/>
      <c r="KN75" s="39"/>
      <c r="KO75" s="39"/>
      <c r="KP75" s="39"/>
      <c r="KQ75" s="39"/>
      <c r="KR75" s="39"/>
      <c r="KS75" s="39"/>
      <c r="KT75" s="39"/>
      <c r="KU75" s="38"/>
      <c r="KV75" s="38"/>
      <c r="KW75" s="38"/>
      <c r="KX75" s="38"/>
      <c r="KY75" s="38"/>
      <c r="KZ75" s="38"/>
      <c r="LA75" s="38"/>
      <c r="LB75" s="38"/>
      <c r="LC75" s="38"/>
      <c r="LD75" s="38"/>
      <c r="LE75" s="38"/>
      <c r="LF75" s="38"/>
      <c r="LG75" s="38"/>
      <c r="LH75" s="38"/>
      <c r="LI75" s="38"/>
      <c r="LJ75" s="38"/>
      <c r="LK75" s="38"/>
      <c r="LL75" s="38"/>
      <c r="LM75" s="38"/>
      <c r="LN75" s="38"/>
      <c r="LO75" s="38"/>
      <c r="LP75" s="38"/>
      <c r="LQ75" s="38"/>
      <c r="LR75" s="38"/>
      <c r="LS75" s="38"/>
      <c r="LT75" s="38"/>
      <c r="LU75" s="38"/>
      <c r="LV75" s="38"/>
      <c r="LW75" s="38"/>
      <c r="LX75" s="38"/>
      <c r="LY75" s="38"/>
      <c r="LZ75" s="38"/>
      <c r="MA75" s="38"/>
      <c r="MB75" s="38"/>
      <c r="MC75" s="38"/>
      <c r="MD75" s="38"/>
      <c r="ME75" s="38"/>
      <c r="MF75" s="38"/>
      <c r="MG75" s="38"/>
      <c r="MH75" s="43">
        <f t="shared" si="302"/>
        <v>0</v>
      </c>
      <c r="MI75" s="43" t="str">
        <f t="shared" si="303"/>
        <v/>
      </c>
      <c r="MJ75" s="43" t="str">
        <f t="shared" si="304"/>
        <v/>
      </c>
      <c r="MK75" s="43">
        <f t="shared" si="305"/>
        <v>0</v>
      </c>
      <c r="ML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5" s="43">
        <f t="shared" si="306"/>
        <v>13.714285714285714</v>
      </c>
      <c r="MN75" s="43">
        <f t="shared" si="307"/>
        <v>12</v>
      </c>
      <c r="MO75" s="43">
        <f t="shared" si="308"/>
        <v>2022</v>
      </c>
      <c r="MP75" s="43" t="str">
        <f t="shared" si="309"/>
        <v>IV TRIMESTRE AÑO</v>
      </c>
      <c r="MQ75" s="43">
        <f t="shared" si="310"/>
        <v>30.39586070959264</v>
      </c>
      <c r="MR75" s="43">
        <f t="shared" si="311"/>
        <v>0</v>
      </c>
      <c r="MS75" s="43" t="str">
        <f t="shared" si="312"/>
        <v xml:space="preserve"> DE 30 A 34 AÑOS</v>
      </c>
      <c r="MT75" s="43">
        <f t="shared" si="313"/>
        <v>0</v>
      </c>
      <c r="MU75" s="43">
        <f t="shared" si="314"/>
        <v>1</v>
      </c>
      <c r="MV75" s="43">
        <f t="shared" si="315"/>
        <v>0</v>
      </c>
      <c r="MW75" s="43">
        <f t="shared" si="316"/>
        <v>0</v>
      </c>
      <c r="MX75" s="43" t="str">
        <f t="shared" si="317"/>
        <v/>
      </c>
      <c r="MY75" s="43" t="str">
        <f ca="1">IF(AND(AND(BU75&gt;40.9,BU75&lt;43),IN76=""),1,"")</f>
        <v/>
      </c>
      <c r="MZ75" s="43" t="str">
        <f t="shared" si="318"/>
        <v/>
      </c>
      <c r="NA75" s="43">
        <f t="shared" si="319"/>
        <v>0</v>
      </c>
      <c r="NB75" s="43" t="str">
        <f t="shared" si="320"/>
        <v/>
      </c>
      <c r="NC75" s="43" t="str">
        <f t="shared" si="321"/>
        <v/>
      </c>
      <c r="ND75" s="43">
        <f t="shared" ca="1" si="322"/>
        <v>1</v>
      </c>
      <c r="NE75" s="43">
        <f>IF(OR(O75&gt;0,R75&gt;0),SUM(COUNTIF(Tabla1[[#This Row],[AÑOS AL INICIO5 CPN]],"&gt;=40"),COUNTIF(AS75,"0"),COUNTIF(AR75,"SI"),COUNTIF(CC75,"SI"),COUNTIF(BQ75,"&gt;119"),COUNTIF(CI75,"&gt;=35")),"")</f>
        <v>1</v>
      </c>
      <c r="NF75" s="43" t="str">
        <f t="shared" si="323"/>
        <v/>
      </c>
      <c r="NG75" s="43">
        <f t="shared" si="324"/>
        <v>0</v>
      </c>
      <c r="NH75" s="43">
        <f t="shared" si="325"/>
        <v>151.20000000000002</v>
      </c>
      <c r="NI7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CPN",P75="NO"),"Z",IF(AND(Tabla1[[#This Row],[CITA PROXIMO CONTROL]]="CITA MANUAL",Tabla1[[#This Row],[GESTANTES ACTUALES]]="ACTIVA INGRESO A CPN"),"W",IF(AND(Tabla1[[#This Row],[GESTANTES ACTUALES]]="SALIO PROGRAMA",IN76=""),"S",IF(AND(Tabla1[[#This Row],[CITA PROXIMO CONTROL]]&gt;0,IN76=""),(Tabla1[[#This Row],[CITA PROXIMO CONTROL]]-TODAY()),"SD"))))))))</f>
        <v>SD</v>
      </c>
      <c r="NJ75" s="43">
        <f>MONTH(Tabla1[[#This Row],[FECHA DE SALIDA  DEL PROGRAMA]])</f>
        <v>5</v>
      </c>
      <c r="NK75" s="43">
        <f>YEAR(Tabla1[[#This Row],[FECHA DE SALIDA  DEL PROGRAMA]])</f>
        <v>2023</v>
      </c>
      <c r="NL75" s="43">
        <f t="shared" si="326"/>
        <v>0</v>
      </c>
      <c r="NM75" s="43" t="str">
        <f t="shared" si="251"/>
        <v>NO</v>
      </c>
      <c r="NN75" s="43" t="str">
        <f ca="1">IF(AND(O75&gt;0,R75=""),"NO CPN",IF(AND(O75="",R75=""),"",IF(AND(R75&gt;0,Tabla1[[#This Row],[SEMANAS DE GESTACION ACTUALIZADAS]]&lt;=12),"NO APLICA",IF(AND(FH75&lt;&gt;"",FN75&lt;&gt;""),"SI","NO"))))</f>
        <v>SI</v>
      </c>
      <c r="NO75" s="43" t="str">
        <f ca="1">IF(AND(O75&gt;0,R75=""),"NO CPN",IF(AND(O75="",R75=""),"",IF(AND(R75&gt;0,Tabla1[[#This Row],[SEMANAS DE GESTACION ACTUALIZADAS]]&lt;=27),"NO APLICA",IF(AND(ES75&lt;&gt;"",FQ75&lt;&gt;"",GF75&lt;&gt;""),"SI","NO"))))</f>
        <v>NO</v>
      </c>
      <c r="NP75" s="204" t="str">
        <f t="shared" si="327"/>
        <v>II TRIM</v>
      </c>
      <c r="NQ75" s="21">
        <f>IF(AND(IP77&gt;0,IP77&lt;37),10,IF(OR(CD76="Transversa",CD76="Oblicua"),9,IF(CC76="SI",8,IF(AND(AT76=0,AW76=0,CC76="NO",CD76="Cefálica",IP77&gt;=37,IT77="INICIO ESPONTÁNEO"),1,IF(AND(AND(AT76=0,AW76=0,CC76="NO",CD76="Cefálica",IP77&gt;=37),OR(IT77="LE HACEN INDUCCIÓN",IT77="LE HACEN CESÁREA SIN INICIO TRABAJO DE PARTO")),2,IF(AND(AT76&gt;=1,AW76=0,CC76="NO",CD76="Cefálica",IP77&gt;=37,IT77="INICIO ESPONTÁNEO"),3,IF(AND(AND(AT76&gt;=1,AW76=0,CC76="NO",CD76="Cefálica",IP77&gt;=37),OR(IT77="LE HACEN INDUCCIÓN",IT77="LE HACEN CESÁREA SIN INICIO TRABAJO DE PARTO")),4,IF(AND(AND(AT76&gt;=1,AW76&gt;=1,CC76="NO",CD76="Cefálica",IP77&gt;=37),OR(IT77="LE HACEN INDUCCIÓN",IT77="LE HACEN CESÁREA SIN INICIO TRABAJO DE PARTO",IT77="INICIO ESPONTÁNEO")),5,IF(AND(AND(AT76=0,AW76=0,CC76="NO",CD76="Podálica",IP77&gt;=1),OR(IT77="LE HACEN INDUCCIÓN",IT77="LE HACEN CESÁREA SIN INICIO TRABAJO DE PARTO",IT77="INICIO ESPONTÁNEO")),6,IF(AND(AND(AT76&gt;=1,CC76="NO",CD76="Podálica",IP77&gt;=1),OR(IT77="LE HACEN INDUCCIÓN",IT77="LE HACEN CESÁREA SIN INICIO TRABAJO DE PARTO",IT77="INICIO ESPONTÁNEO"),OR(AW76=0,AW76&gt;=1)),7,""))))))))))</f>
        <v>7</v>
      </c>
      <c r="NR75" s="21">
        <f>IF(AND(O75="",R75=""),"",IF(AND(BS75&gt;0,BS75&lt;12,IP76&gt;28,IP76&lt;44),3, IF(OR(AND(BS75&gt;=12,BS75&lt;28,IP76&gt;=28,IP76&lt;44),AND(BS75&gt;0,BS75&lt;12,IP76&gt;=12,IP76&lt;29)),2,IF(OR(AND(BS75&gt;=28,BS75&lt;44),AND(BS75&gt;0,BS75&lt;12,IP76&gt;0,IP76&lt;12),AND(BS75&gt;=12,BS75&lt;28,IP76&gt;=12,IP76&lt;28)),1,IF(AND(BS75&gt;0,BS75&lt;12,BU75&gt;=28,BU75&lt;44,DV75="ACTIVA INGRESO A CPN"),3,IF(OR(AND(BS75&gt;0,BS75&lt;12,BU75&gt;=12,BU75&lt;28,DV75="ACTIVA INGRESO A CPN"),AND(BS75&gt;=12,BS75&lt;28,BU75&gt;=28,BU75&lt;44,DV75="ACTIVA INGRESO A CPN")),2,IF(OR(AND(BS75&gt;0,BS75&lt;12,BU75&gt;0,BU75&lt;12,DV75="ACTIVA INGRESO A CPN"),AND(BS75&gt;=12,BS75&lt;28,BU75&gt;=12,BU75&lt;28,DV75="ACTIVA INGRESO A CPN")),1,"REVISAR FUM O FECHA SALIDA PROGRAMA")))))))</f>
        <v>2</v>
      </c>
      <c r="NS75" s="205">
        <f t="shared" ca="1" si="328"/>
        <v>2</v>
      </c>
      <c r="NT75" s="21">
        <f t="shared" ca="1" si="329"/>
        <v>1</v>
      </c>
      <c r="NU75" s="21" t="str">
        <f t="shared" ca="1" si="330"/>
        <v>COMPLETO</v>
      </c>
      <c r="NV75" s="21" t="str">
        <f t="shared" ca="1" si="331"/>
        <v>INCOMPLETO</v>
      </c>
      <c r="NW75" s="206" t="str">
        <f>IF(AND(O75="",R75=""),"",IF(OR(AND(Tabla1[[#This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5" s="207" t="str">
        <f t="shared" ca="1" si="332"/>
        <v>SIN VACUNAR</v>
      </c>
      <c r="NY75" s="43">
        <f>ROW(Tabla1[[#This Row],['# DE TAMIZAJES SIFILIS TOMADOS ]])</f>
        <v>75</v>
      </c>
      <c r="NZ75" s="43">
        <f t="shared" si="333"/>
        <v>13</v>
      </c>
      <c r="OA75" s="43" t="str">
        <f t="shared" si="334"/>
        <v/>
      </c>
      <c r="OB75" s="43" t="str">
        <f t="shared" si="335"/>
        <v/>
      </c>
      <c r="OC75" s="43" t="str">
        <f t="shared" si="336"/>
        <v/>
      </c>
      <c r="OD75" s="43" t="str">
        <f t="shared" si="337"/>
        <v/>
      </c>
      <c r="OE75" s="43" t="str">
        <f t="shared" si="338"/>
        <v>SOBREPESO</v>
      </c>
      <c r="OF75" s="43" t="str">
        <f t="shared" si="339"/>
        <v/>
      </c>
      <c r="OG75" s="43" t="str">
        <f t="shared" si="340"/>
        <v/>
      </c>
      <c r="OH75" s="43" t="str">
        <f t="shared" si="341"/>
        <v/>
      </c>
      <c r="OI75" s="43" t="str">
        <f t="shared" si="342"/>
        <v/>
      </c>
      <c r="OJ75" s="43" t="str">
        <f t="shared" si="343"/>
        <v/>
      </c>
      <c r="OK75" s="43" t="str">
        <f t="shared" si="344"/>
        <v/>
      </c>
      <c r="OL75" s="43" t="str">
        <f t="shared" si="345"/>
        <v/>
      </c>
      <c r="OM75" s="43" t="str">
        <f t="shared" si="346"/>
        <v/>
      </c>
      <c r="ON75" s="43" t="str">
        <f t="shared" si="347"/>
        <v/>
      </c>
      <c r="OO75" s="43" t="str">
        <f t="shared" si="348"/>
        <v/>
      </c>
      <c r="OP75" s="43" t="str">
        <f t="shared" si="349"/>
        <v/>
      </c>
      <c r="OQ75" s="43" t="str">
        <f t="shared" si="350"/>
        <v/>
      </c>
      <c r="OR75" s="43" t="str">
        <f t="shared" si="351"/>
        <v/>
      </c>
      <c r="OS75" s="43" t="str">
        <f t="shared" si="352"/>
        <v/>
      </c>
      <c r="OT75" s="43" t="str">
        <f t="shared" si="353"/>
        <v/>
      </c>
      <c r="OU75" s="43" t="str">
        <f t="shared" si="354"/>
        <v/>
      </c>
      <c r="OV75" s="110" t="str">
        <f t="shared" si="355"/>
        <v/>
      </c>
      <c r="OW75" s="43" t="str">
        <f t="shared" si="356"/>
        <v/>
      </c>
      <c r="OX75" s="43" t="str">
        <f t="shared" si="357"/>
        <v/>
      </c>
      <c r="OY75" s="43" t="str">
        <f t="shared" si="358"/>
        <v/>
      </c>
      <c r="OZ75" s="43" t="str">
        <f t="shared" si="359"/>
        <v/>
      </c>
      <c r="PA75" s="43" t="str">
        <f t="shared" si="360"/>
        <v/>
      </c>
      <c r="PB75" s="43" t="str">
        <f t="shared" si="361"/>
        <v/>
      </c>
      <c r="PC75" s="43" t="str">
        <f t="shared" si="362"/>
        <v/>
      </c>
      <c r="PD75" s="43" t="str">
        <f t="shared" si="363"/>
        <v/>
      </c>
      <c r="PE75" s="43" t="str">
        <f t="shared" si="364"/>
        <v/>
      </c>
      <c r="PF75" s="43" t="str">
        <f t="shared" si="365"/>
        <v/>
      </c>
      <c r="PG75" s="43" t="str">
        <f t="shared" si="366"/>
        <v/>
      </c>
      <c r="PH75" s="43" t="str">
        <f t="shared" si="367"/>
        <v/>
      </c>
      <c r="PI75" s="43">
        <f t="shared" si="368"/>
        <v>34</v>
      </c>
      <c r="PJ75" s="43" t="str">
        <f t="shared" si="369"/>
        <v/>
      </c>
      <c r="PK75" s="43" t="str">
        <f t="shared" si="370"/>
        <v/>
      </c>
      <c r="PL75" s="43" t="str">
        <f t="shared" si="371"/>
        <v/>
      </c>
      <c r="PM75" s="43" t="str">
        <f t="shared" si="372"/>
        <v/>
      </c>
      <c r="PN75" s="43" t="str">
        <f t="shared" si="373"/>
        <v/>
      </c>
      <c r="PO75" s="43" t="str">
        <f t="shared" si="374"/>
        <v/>
      </c>
      <c r="PP75" s="43" t="str">
        <f t="shared" si="375"/>
        <v/>
      </c>
      <c r="PQ75" s="43" t="str">
        <f t="shared" si="376"/>
        <v/>
      </c>
      <c r="PR75" s="43" t="str">
        <f t="shared" si="377"/>
        <v/>
      </c>
      <c r="PS75" s="43" t="str">
        <f t="shared" si="378"/>
        <v/>
      </c>
      <c r="PT75" s="43" t="str">
        <f t="shared" si="379"/>
        <v/>
      </c>
      <c r="PU75" s="43" t="str">
        <f t="shared" si="380"/>
        <v/>
      </c>
      <c r="PV75" s="43" t="str">
        <f t="shared" si="381"/>
        <v/>
      </c>
      <c r="PW75" s="43" t="str">
        <f t="shared" si="382"/>
        <v/>
      </c>
      <c r="PX75" s="43" t="str">
        <f t="shared" si="383"/>
        <v/>
      </c>
      <c r="PY75" s="43" t="str">
        <f t="shared" si="384"/>
        <v/>
      </c>
      <c r="PZ75" s="43" t="str">
        <f t="shared" si="385"/>
        <v/>
      </c>
      <c r="QA75" s="43" t="str">
        <f t="shared" si="386"/>
        <v/>
      </c>
      <c r="QB75" s="43" t="str">
        <f t="shared" si="387"/>
        <v/>
      </c>
      <c r="QC75" s="43" t="str">
        <f t="shared" si="388"/>
        <v/>
      </c>
      <c r="QD75" s="43" t="str">
        <f t="shared" si="389"/>
        <v/>
      </c>
      <c r="QE75" s="43" t="str">
        <f t="shared" si="390"/>
        <v/>
      </c>
      <c r="QF75" s="43" t="str">
        <f t="shared" si="391"/>
        <v/>
      </c>
      <c r="QG75" s="43" t="str">
        <f t="shared" si="392"/>
        <v/>
      </c>
      <c r="QH75" s="43" t="str">
        <f t="shared" si="393"/>
        <v/>
      </c>
      <c r="QI75" s="43" t="str">
        <f t="shared" si="394"/>
        <v>SOBREPESO</v>
      </c>
      <c r="QJ75" s="43" t="str">
        <f t="shared" si="395"/>
        <v/>
      </c>
      <c r="QK75" s="43" t="str">
        <f t="shared" si="396"/>
        <v/>
      </c>
      <c r="QL75" s="43" t="str">
        <f t="shared" si="397"/>
        <v/>
      </c>
      <c r="QM75" s="43" t="str">
        <f t="shared" si="398"/>
        <v/>
      </c>
      <c r="QN75" s="43" t="str">
        <f t="shared" si="399"/>
        <v/>
      </c>
      <c r="QO75" s="43" t="str">
        <f t="shared" si="400"/>
        <v/>
      </c>
      <c r="QP75" s="43" t="str">
        <f t="shared" si="401"/>
        <v/>
      </c>
      <c r="QQ75" s="43" t="str">
        <f t="shared" si="402"/>
        <v/>
      </c>
      <c r="QR75" s="43">
        <f t="shared" si="432"/>
        <v>34</v>
      </c>
      <c r="QS75" s="43"/>
      <c r="QT75" s="21" t="str">
        <f t="shared" si="403"/>
        <v/>
      </c>
      <c r="QU75" s="21" t="str">
        <f t="shared" si="404"/>
        <v/>
      </c>
      <c r="QV75" s="21" t="str">
        <f t="shared" si="405"/>
        <v/>
      </c>
      <c r="QW75" s="21" t="str">
        <f t="shared" si="406"/>
        <v/>
      </c>
      <c r="QX75" s="21" t="str">
        <f t="shared" si="407"/>
        <v/>
      </c>
      <c r="QY75" s="21" t="str">
        <f t="shared" si="408"/>
        <v/>
      </c>
      <c r="QZ75" s="21" t="str">
        <f t="shared" si="409"/>
        <v/>
      </c>
      <c r="RA75" s="21" t="str">
        <f t="shared" si="410"/>
        <v/>
      </c>
      <c r="RB75" s="21" t="str">
        <f t="shared" si="411"/>
        <v/>
      </c>
      <c r="RC75" s="21" t="str">
        <f t="shared" si="412"/>
        <v/>
      </c>
      <c r="RD75" s="21" t="str">
        <f t="shared" si="413"/>
        <v/>
      </c>
      <c r="RE75" s="21" t="str">
        <f t="shared" si="414"/>
        <v/>
      </c>
      <c r="RF75" s="21" t="str">
        <f t="shared" si="415"/>
        <v/>
      </c>
      <c r="RG75" s="21" t="str">
        <f t="shared" si="416"/>
        <v/>
      </c>
      <c r="RH75" s="21" t="str">
        <f t="shared" si="417"/>
        <v/>
      </c>
      <c r="RI75" s="21" t="str">
        <f t="shared" si="418"/>
        <v/>
      </c>
      <c r="RJ75" s="21" t="str">
        <f t="shared" si="419"/>
        <v/>
      </c>
      <c r="RK75" s="21" t="str">
        <f t="shared" si="420"/>
        <v/>
      </c>
      <c r="RL75" s="21" t="str">
        <f t="shared" si="421"/>
        <v/>
      </c>
      <c r="RM75" s="21" t="str">
        <f t="shared" si="422"/>
        <v/>
      </c>
      <c r="RN75" s="21" t="str">
        <f t="shared" si="423"/>
        <v/>
      </c>
      <c r="RO75" s="21" t="str">
        <f t="shared" si="424"/>
        <v/>
      </c>
      <c r="RP75" s="21" t="str">
        <f t="shared" si="425"/>
        <v/>
      </c>
      <c r="RQ75" s="21" t="str">
        <f t="shared" si="426"/>
        <v/>
      </c>
      <c r="RR75" s="21" t="str">
        <f t="shared" si="427"/>
        <v/>
      </c>
      <c r="RS75" s="21" t="str">
        <f t="shared" si="428"/>
        <v/>
      </c>
      <c r="RT75" s="21" t="str">
        <f t="shared" si="429"/>
        <v/>
      </c>
      <c r="RU75" s="21" t="str">
        <f t="shared" si="430"/>
        <v/>
      </c>
      <c r="RV75" s="21">
        <f t="shared" si="431"/>
        <v>13.714285714285714</v>
      </c>
      <c r="RW75" s="284">
        <f>IF(OR(Tabla1[[#This Row],[FUM FORMULA CONFIABLE]]="",Tabla1[[#This Row],[FUM FORMULA CONFIABLE]]="SD"),"",IF(Tabla1[[#This Row],[FUM FORMULA CONFIABLE]]="CORREGIDA",Tabla1[[#This Row],[FUM X ECO 1]],Tabla1[[#This Row],[FUM x AMENORREA]]))</f>
        <v>44821</v>
      </c>
      <c r="RX75" s="21">
        <f>IF(AND(Tabla1[[#This Row],[FUM X ECO 1]]="",Tabla1[[#This Row],[FUM x AMENORREA]]=""),"",IF(AND(Tabla1[[#This Row],[FUM X ECO 1]]="",Tabla1[[#This Row],[FUM x AMENORREA]]&lt;&gt;""),"X",SUM(Tabla1[[#This Row],[FUM X ECO 1]]-Tabla1[[#This Row],[FUM x AMENORREA]])))</f>
        <v>-26.19999999999709</v>
      </c>
      <c r="RY75" s="21">
        <f t="shared" si="433"/>
        <v>1</v>
      </c>
    </row>
    <row r="76" spans="1:493" ht="45" customHeight="1" x14ac:dyDescent="0.25">
      <c r="A76" s="109"/>
      <c r="B76" s="43" t="s">
        <v>1159</v>
      </c>
      <c r="C76" s="43" t="s">
        <v>845</v>
      </c>
      <c r="D76" s="124" t="s">
        <v>846</v>
      </c>
      <c r="E76" s="43" t="s">
        <v>1219</v>
      </c>
      <c r="F76" s="43" t="s">
        <v>1228</v>
      </c>
      <c r="G76" s="43" t="s">
        <v>1229</v>
      </c>
      <c r="H76" s="43" t="s">
        <v>1230</v>
      </c>
      <c r="I76" s="109" t="s">
        <v>851</v>
      </c>
      <c r="J76" s="110">
        <v>1062780402</v>
      </c>
      <c r="K76" s="43" t="s">
        <v>852</v>
      </c>
      <c r="L76" s="175" t="s">
        <v>853</v>
      </c>
      <c r="M76" s="22">
        <v>35597</v>
      </c>
      <c r="N76" s="213">
        <f t="shared" ca="1" si="252"/>
        <v>26.4</v>
      </c>
      <c r="O76" s="22">
        <v>44922</v>
      </c>
      <c r="P76" s="214" t="str">
        <f>IF(AND(O76="",R76&gt;0),"ACUDE ESPONTANEAMENTE",IF(AND(AND(O76&gt;0,R76=""),OR(IN77&gt;0,IK76&lt;&gt;"")),"NA",IF(AND(O76&gt;0,IN77="",R76=""),"NO",IF(AND(O76&gt;0,R76&gt;0),"SI",""))))</f>
        <v>SI</v>
      </c>
      <c r="Q76" s="26" t="s">
        <v>855</v>
      </c>
      <c r="R76" s="22">
        <v>44922</v>
      </c>
      <c r="S76" s="21" t="s">
        <v>856</v>
      </c>
      <c r="T76" s="24" t="s">
        <v>690</v>
      </c>
      <c r="U76" s="21" t="s">
        <v>857</v>
      </c>
      <c r="V76" s="21" t="s">
        <v>858</v>
      </c>
      <c r="W76" s="21" t="s">
        <v>1231</v>
      </c>
      <c r="X76" s="21" t="s">
        <v>1231</v>
      </c>
      <c r="Y76" s="21" t="s">
        <v>859</v>
      </c>
      <c r="Z76" s="21">
        <v>3235954842</v>
      </c>
      <c r="AA76" s="21" t="s">
        <v>860</v>
      </c>
      <c r="AB76" s="27" t="s">
        <v>861</v>
      </c>
      <c r="AC76" s="26" t="s">
        <v>897</v>
      </c>
      <c r="AD76" s="38" t="s">
        <v>846</v>
      </c>
      <c r="AE76" s="26" t="s">
        <v>854</v>
      </c>
      <c r="AF76" s="26" t="s">
        <v>854</v>
      </c>
      <c r="AG76" s="23" t="s">
        <v>864</v>
      </c>
      <c r="AH76" s="23" t="s">
        <v>864</v>
      </c>
      <c r="AI76" s="24" t="s">
        <v>863</v>
      </c>
      <c r="AJ76" s="23" t="s">
        <v>864</v>
      </c>
      <c r="AK76" s="220" t="str">
        <f>IF(AND(AD76="",AE76="",AF76="",AG76="",AH76="",AI76="",AJ76=""),"",IF(OR(Tabla1[[#This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EVALUACIÓN",IF(AND(O76="",R76=""),"",IF(AND(OR(O76&gt;0,R76&gt;0),NG76&gt;=0,NG76&lt;2),"SIN RIESGO",IF(AND(OR(O76&gt;0,R76&gt;0),NG76&gt;=2),"CON RIESGO","ASD")))))</f>
        <v>SIN RIESGO</v>
      </c>
      <c r="AL76" s="23" t="s">
        <v>864</v>
      </c>
      <c r="AM76" s="26" t="s">
        <v>864</v>
      </c>
      <c r="AN76" s="26" t="s">
        <v>864</v>
      </c>
      <c r="AO76" s="26" t="s">
        <v>864</v>
      </c>
      <c r="AP76" s="26" t="s">
        <v>864</v>
      </c>
      <c r="AQ76" s="26" t="s">
        <v>864</v>
      </c>
      <c r="AR76" s="26" t="s">
        <v>864</v>
      </c>
      <c r="AS76" s="21">
        <v>2</v>
      </c>
      <c r="AT76" s="21">
        <v>2</v>
      </c>
      <c r="AU76" s="21">
        <v>0</v>
      </c>
      <c r="AV76" s="26" t="s">
        <v>864</v>
      </c>
      <c r="AW76" s="21">
        <v>0</v>
      </c>
      <c r="AX76" s="26" t="s">
        <v>864</v>
      </c>
      <c r="AY76" s="26" t="s">
        <v>864</v>
      </c>
      <c r="AZ76" s="26" t="s">
        <v>864</v>
      </c>
      <c r="BA76" s="26" t="s">
        <v>864</v>
      </c>
      <c r="BB76" s="26" t="s">
        <v>864</v>
      </c>
      <c r="BC76" s="26" t="s">
        <v>864</v>
      </c>
      <c r="BD76" s="26" t="s">
        <v>864</v>
      </c>
      <c r="BE76" s="26" t="s">
        <v>864</v>
      </c>
      <c r="BF76" s="26" t="s">
        <v>864</v>
      </c>
      <c r="BG76" s="26" t="s">
        <v>864</v>
      </c>
      <c r="BH76" s="26" t="s">
        <v>864</v>
      </c>
      <c r="BI76" s="26" t="s">
        <v>864</v>
      </c>
      <c r="BJ76" s="26"/>
      <c r="BK76" s="26"/>
      <c r="BL76" s="26" t="s">
        <v>864</v>
      </c>
      <c r="BM76" s="26" t="s">
        <v>864</v>
      </c>
      <c r="BN76" s="22"/>
      <c r="BO76" s="22">
        <v>44732</v>
      </c>
      <c r="BP76" s="21" t="s">
        <v>864</v>
      </c>
      <c r="BQ76" s="222">
        <f t="shared" si="254"/>
        <v>0</v>
      </c>
      <c r="BR76" s="223">
        <f t="shared" si="255"/>
        <v>44762.6</v>
      </c>
      <c r="BS76" s="224">
        <f t="shared" si="256"/>
        <v>27.142857142857142</v>
      </c>
      <c r="BT76" s="216" t="str">
        <f t="shared" si="257"/>
        <v>DEFINIR CON ECO</v>
      </c>
      <c r="BU76" s="214" t="str">
        <f t="shared" ca="1" si="258"/>
        <v/>
      </c>
      <c r="BV76" s="25"/>
      <c r="BW76" s="22">
        <v>44995</v>
      </c>
      <c r="BX76" s="28">
        <v>33.200000000000003</v>
      </c>
      <c r="BY76" s="28"/>
      <c r="BZ76" s="22"/>
      <c r="CA76" s="21"/>
      <c r="CB76" s="26" t="s">
        <v>864</v>
      </c>
      <c r="CC76" s="26" t="s">
        <v>864</v>
      </c>
      <c r="CD76" s="26" t="s">
        <v>1087</v>
      </c>
      <c r="CE76" s="26" t="s">
        <v>864</v>
      </c>
      <c r="CF76" s="22" t="s">
        <v>1517</v>
      </c>
      <c r="CG76" s="21">
        <v>1.57</v>
      </c>
      <c r="CH76" s="21">
        <v>62</v>
      </c>
      <c r="CI76" s="214">
        <f t="shared" si="259"/>
        <v>25.153150229218223</v>
      </c>
      <c r="CJ76" s="225" t="e">
        <f>IF(AND(CI76&lt;10,CH76="SD"),"SIN DATO PESO PREGESTACION O I TRIM",IF(AND(OR(R76&gt;0,O76&gt;0),CI76="X"),"INGRESAR DATO DE PESO",IF(CI76="SD","INGRESAR DATO DE TALLA Y PESO",IF(AND(OR(Tabla1[[#This Row],[MOMENTO EN QUE SE REALIZA EL PESO AL INGRESO A CPN]]="PREGESTACIÓN",NZ76="Menor"),CI76&lt;18.5),"BAJO PESO",IF(AND(OR(Tabla1[[#This Row],[MOMENTO EN QUE SE REALIZA EL PESO AL INGRESO A CPN]]="PREGESTACIÓN",NZ76="Menor"),CI76&lt;25),"NORMAL",IF(AND(OR(Tabla1[[#This Row],[MOMENTO EN QUE SE REALIZA EL PESO AL INGRESO A CPN]]="PREGESTACIÓN",NZ76="Menor"),CI76&lt;30),"SOBREPESO",IF(AND(OR(Tabla1[[#This Row],[MOMENTO EN QUE SE REALIZA EL PESO AL INGRESO A CPN]]="PREGESTACIÓN",NZ76="Menor"),CI76&gt;=30,CI76&lt;50),"OBESIDAD",IF(AND(BS76&gt;0,Tabla1[[#This Row],[MOMENTO EN QUE SE REALIZA EL PESO AL INGRESO A CPN]]="GESTACIÓN"),HLOOKUP(NZ76,$OA$2:PH76,NY76),""))))))))</f>
        <v>#REF!</v>
      </c>
      <c r="CK76" s="212">
        <f t="shared" si="260"/>
        <v>44995</v>
      </c>
      <c r="CL76" s="21"/>
      <c r="CM76" s="214">
        <f t="shared" si="261"/>
        <v>0</v>
      </c>
      <c r="CN76" s="216">
        <f t="shared" si="262"/>
        <v>37</v>
      </c>
      <c r="CO76" s="216" t="e">
        <f>IF(PI76="","",IF(PI76&gt;0,HLOOKUP(PI76,$PJ$2:QQ76,NY76),""))</f>
        <v>#REF!</v>
      </c>
      <c r="CP76" s="21"/>
      <c r="CQ76" s="216" t="e">
        <f>IF(QR76="Menor","NO APLICA-MENOR 13 SEM",IF(AND(CC76="SI",CN76&gt;23),"NO APLICA- GEMELAR",IF(QR76="","",IF(QR76&gt;0,HLOOKUP(QR76,$QS$2:RU76,NY76),""))))</f>
        <v>#REF!</v>
      </c>
      <c r="CR76" s="21">
        <v>100</v>
      </c>
      <c r="CS76" s="21">
        <v>60</v>
      </c>
      <c r="CT76" s="217" t="str">
        <f>IF(R76="","",IF(AND(BS76&gt;1,BS76&lt;12,Tabla1[[#This Row],[T.A. SISTOLICA - ANTES DE SEMANA 12]]="",Tabla1[[#This Row],[T.A. DIASTOLICA - ANTES DE SEMANA 12]]=""),"REGISTRE DATO TA ANTES SEMANA 12",IF(AND(BS76&gt;11,BS76&lt;43,Tabla1[[#This Row],[T.A. SISTOLICA - ANTES DE SEMANA 12]]="",Tabla1[[#This Row],[T.A. DIASTOLICA - ANTES DE SEMANA 12]]=""),"NO APLICA REGISTRO TA-INGRESO TARDIO",IF(AND(OR(O76&gt;0,R76&gt;0),OR(CR76&gt;=140,CS76&gt;=90)),"DEFINIR ESTADIO HTA",IF(AND(OR(O76&gt;0,R76&gt;0),AND(CR76&gt;120,CR76&lt;=139)),"PRE HTA SEGUIMIENTO",IF(AND(OR(O76&gt;0,R76&gt;0),AND(CS76&gt;80,CS76&lt;=89)),"PRE HTA SEGUIMIENTO",IF(AND(OR(O76&gt;0,R76&gt;0),AND(CR76&gt;=80,CR76&lt;=120)),"APARENTEMENTE NORMAL",IF(AND(OR(O76&gt;0,R76&gt;0),AND(CS76&gt;=50,CS76&lt;=80)),"APARENTEMENTE NORMAL",IF(AND(OR(O76&gt;0,R76&gt;0),AND(CR76&gt;1,CR76&lt;=70),AND(CS76&gt;1,CS76&lt;=40)),"HIPOTENSIÓN","")))))))))</f>
        <v>APARENTEMENTE NORMAL</v>
      </c>
      <c r="CU76" s="21"/>
      <c r="CV76" s="21"/>
      <c r="CW76" s="217" t="str">
        <f ca="1">IF(R76="","",IF(AND(CN76&gt;19,CN76&lt;27,Tabla1[[#This Row],[T.A. SISTOLICA (Entre semana 20 y 26)]]="",Tabla1[[#This Row],[T.A. DIATOLICA (Entre semana 20 y 26)]]=""),"ACUDE A CONTROL SEM 20 A 26 REGISTRE TA AHORA",IF(AND(BS76&gt;1,BS76&lt;27,BU76&gt;19,Tabla1[[#This Row],[T.A. SISTOLICA (Entre semana 20 y 26)]]="",Tabla1[[#This Row],[T.A. DIATOLICA (Entre semana 20 y 26)]]=""),"COMPLETE REGISTRO TA CONTROL SEM 20 A26 ",IF(AND(BS76&gt;26,BS76&lt;43,Tabla1[[#This Row],[T.A. SISTOLICA (Entre semana 20 y 26)]]="",Tabla1[[#This Row],[T.A. DIATOLICA (Entre semana 20 y 26)]]=""),"NO APLICA REGISTRO TA-INGRESO TARDIO",IF(AND(OR(O76&gt;0,R76&gt;0),OR(CU76&gt;=140,CV76&gt;=90)),"ALTO RIESGO PREECLAMPSIA,DEFINIR ESTADIO HTA",IF(AND(OR(O76&gt;0,R76&gt;0),AND(CU76&gt;120,CU76&lt;=139)),"PRE HTA SEGUIMIENTO,RIESGO HIPERTENSION INDUCIDA POR EL EMBARAZO",IF(AND(OR(O76&gt;0,R76&gt;0),AND(CV76&gt;80,CV76&lt;=89)),"PRE HTA SEGUIMIENTO, RIESGO HIPERTENSION INDUCIDA POR EL EMBARAZO",IF(AND(OR(O76&lt;&gt;"",R76&lt;&gt;""),CS76&lt;&gt;"",CV76&lt;&gt;"",CS76&lt;=CV76),"VIGILAR CIFRAS PRESION ARTERIAL",IF(AND(OR(O76&gt;0,R76&gt;0),AND(CU76&gt;120,CU76&lt;=139)),"PRE HTA SEGUIMIENTO",IF(AND(OR(O76&gt;0,R76&gt;0),AND(CU76&gt;1,CU76&lt;=70),AND(CV76&gt;1,CV76&lt;=40)),"HIPOTENSIÓN",IF(AND(OR(O76&lt;&gt;"",R76&lt;&gt;""),CS76&lt;&gt;"",CV76&lt;&gt;"",CS76&gt;CV76),"APARENTEMENTE NORMAL",IF(AND(OR(O76&gt;0,R76&gt;0),AND(CU76&gt;=80,CU76&lt;=120)),"APARENTEMENTE NORMAL",IF(AND(OR(O76&gt;0,R76&gt;0),AND(CV76&gt;=50,CV76&lt;=80)),"APARENTEMENTE NORMAL","")))))))))))))</f>
        <v>NO APLICA REGISTRO TA-INGRESO TARDIO</v>
      </c>
      <c r="CX76" s="21">
        <v>100</v>
      </c>
      <c r="CY76" s="21">
        <v>60</v>
      </c>
      <c r="CZ76" s="216" t="str">
        <f t="shared" si="263"/>
        <v>APARENTEMENTE NORMAL</v>
      </c>
      <c r="DA76" s="21"/>
      <c r="DB76" s="21"/>
      <c r="DC76" s="217" t="str">
        <f t="shared" si="264"/>
        <v>REGISTRE DATO PRESIÓN ARTERIAL MENSUAL</v>
      </c>
      <c r="DD76" s="22">
        <v>44922</v>
      </c>
      <c r="DE76" s="22">
        <v>44922</v>
      </c>
      <c r="DF76" s="22">
        <v>44964</v>
      </c>
      <c r="DG76" s="22">
        <v>44995</v>
      </c>
      <c r="DH76" s="22"/>
      <c r="DI76" s="22"/>
      <c r="DJ76" s="22"/>
      <c r="DK76" s="22"/>
      <c r="DL76" s="22"/>
      <c r="DM76" s="22"/>
      <c r="DN76" s="22"/>
      <c r="DO76" s="22"/>
      <c r="DP76" s="22"/>
      <c r="DQ76" s="22"/>
      <c r="DR76" s="28">
        <v>1</v>
      </c>
      <c r="DS76" s="22"/>
      <c r="DT76" s="22"/>
      <c r="DU76" s="216" t="str">
        <f ca="1">IF(AND(BT76="ERROR FUM O INGRESO",DS76&gt;0),"ERROR FUM O INGRESO",IF(AND(DS76="",R76="",O76=""),"",IF(OR(AND(DS76&lt;&gt;"",DS76&lt;RW76),AND(DS76&lt;&gt;"",AND(SUM((DS76-RW76)/7)&gt;0,SUM((DS76-RW76)/7)&lt;28))),"PLAN REALIZADO ANTES III TRIM", IF(AND(DS76="",OR(O76&gt;0,R76&gt;0),AND(BU76&gt;=28, BU76&lt;35,DV76="ACTIVA INGRESO A CPN")),"PLANEAR PLAN DE PARTO", IF(AND(DS76="",OR(O76&gt;0,R76&gt;0),BU76&gt;=35,DV76="ACTIVA INGRESO A CPN"),"CONCERTAR PLAN DE PARTO INMEDIATO", IF(AND(DS76="",OR(O76&gt;0,R76&gt;0),AND(BU76&gt;0, BU76&lt;28),OR(DV76="ACTIVA INGRESO A CPN", DV76=" ACTIVA SIN INGRESO CPN")),"EN ESPERA", IF(AND(DS76="",OR(O76&gt;0,R76&gt;0),AND(IP77&gt;0, IP77&lt;28)),"NO APLICA SALE PROGRAMA ANTES III TRIM", IF(AND(DS76="",OR(O76&gt;0,R76&gt;0),AND(IP77&gt;=28, IP77&lt;35)),"SALE PROGRAMA ANTES SEMANA 35", IF(AND(DS76="",OR(O76&gt;0,R76&gt;0),IP77&gt;35),"SALE SIN PLAN DE PARTO",IF(DS76&gt;0,SUM(DS76-BO76)/7,""))))))))))</f>
        <v>SALE SIN PLAN DE PARTO</v>
      </c>
      <c r="DV76" s="226" t="str">
        <f>IF(AND(R76&lt;&gt;"",IK76="CAMBIO DE RESIDENCIA",IK76="CAMBIO DE IPS",IK76="CAMBIO DE EPS"),"SEGUIMIENTO REPORTE EPS",IF(IK76="IVE","IVE",IF(AND(R76&lt;&gt;"",OR(IK76&lt;&gt;"",IN77&lt;&gt;"")),"SALIO PROGRAMA",IF(AND(AND(R76="",O76&gt;0),OR(IK76&lt;&gt;"",IN77&lt;&gt;"")),"SALE SIN INGRESO CPN",IF(AND(R76="",O76&gt;0,IK76="",IN77=""),"ACTIVA SIN INGRESO CPN",IF(AND(R76&lt;&gt;"",OR(IK76="",IN77="")),"ACTIVA INGRESO A CPN",""))))))</f>
        <v>SALIO PROGRAMA</v>
      </c>
      <c r="DW7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6" s="216" t="str">
        <f t="shared" ca="1" si="266"/>
        <v/>
      </c>
      <c r="DY76" s="212">
        <f>IF(R76="","",IF(R76&gt;0,MAX(Tabla1[[#This Row],[FECHA C2]:[FECHA C13]],Tabla1[[#This Row],[FECHA CONSULTA PRIMERA VEZ PROGRAMA CPN ]])))</f>
        <v>44995</v>
      </c>
      <c r="DZ76" s="216">
        <f t="shared" si="267"/>
        <v>37</v>
      </c>
      <c r="EA76" s="222">
        <f>IF(R76&gt;0,SUM(COUNTA(DF76:DQ76)+COUNTA(Tabla1[[#This Row],[FECHA CONSULTA PRIMERA VEZ PROGRAMA CPN ]])),"")</f>
        <v>3</v>
      </c>
      <c r="EB76" s="222" t="str">
        <f t="shared" si="268"/>
        <v>NO</v>
      </c>
      <c r="EC76" s="214">
        <f t="shared" si="269"/>
        <v>5</v>
      </c>
      <c r="ED76" s="227">
        <f t="shared" si="270"/>
        <v>0.6</v>
      </c>
      <c r="EE76" s="22">
        <v>44922</v>
      </c>
      <c r="EF76" s="22"/>
      <c r="EG76" s="22">
        <v>44922</v>
      </c>
      <c r="EH76" s="22"/>
      <c r="EI76" s="22">
        <v>44922</v>
      </c>
      <c r="EJ76" s="22"/>
      <c r="EK76" s="22"/>
      <c r="EL76" s="21"/>
      <c r="EM76" s="21"/>
      <c r="EN76" s="22"/>
      <c r="EO76" s="222" t="str">
        <f t="shared" si="271"/>
        <v>TOMAR EXAMEN</v>
      </c>
      <c r="EP76" s="214" t="str">
        <f t="shared" si="272"/>
        <v/>
      </c>
      <c r="EQ76" s="216" t="str">
        <f t="shared" si="273"/>
        <v>POR DEFINIR</v>
      </c>
      <c r="ER76" s="24"/>
      <c r="ES76" s="22"/>
      <c r="ET76" s="29" t="str">
        <f ca="1">IF(AND(BT76="ERROR FUM O INGRESO",ES76&gt;0),"ERROR FUM O INGRESO",IF(AND(ES76="",R76="",O76=""),"",IF(OR(AND(ES76&lt;&gt;"",ES76&lt;RW76),AND(ES76&lt;&gt;"",SUM((ES76-RW76)/7)&gt;40)),"CORREGIR FECHA RESULTADO",IF(AND(BU76&gt;1,BU76&lt;23,ER76="",ES76=""),"EN ESPERA PARA TOMA EXAMEN",IF(AND(BU76&gt;22,BU76&lt;26,ER76="",ES76=""),"PROGRAMAR TOMA HEMOGLOBINA A SEM 28",IF(AND(BU76&gt;25,BU76&lt;28,ER76="",ES76=""),"TOMA HEMOGLOBINA A SEM 28 EN 1 SEMANA",IF(AND(BU76&gt;27,BU76&lt;31,ES76="",OR(O76&gt;0,R76&gt;0)),"EN SEMANA 28 TOMA INMEDIATA DE EXAMEN",IF(AND(IP77&gt;0,IP77&lt;28,ES76="",OR(O76&gt;0,R76&gt;0)),"NO APLICA-SALE ANTES SEM 28",IF(AND(IP77&gt;28,IP77&lt;43,ES76="",OR(O76&gt;0,R76&gt;0)),"SALE SIN TAMIZAJE HEMOGLOBINA SEM 28",IF(AND(BS76&gt;0,ES76="",OR(O76&gt;0,R76&gt;0)),"TOMA DE HEMOGLOBINA TARDÍA",IF(ES76&gt;0,SUM(ES76-RW76)/7,"")))))))))))</f>
        <v>SALE SIN TAMIZAJE HEMOGLOBINA SEM 28</v>
      </c>
      <c r="EU76" s="25" t="str">
        <f t="shared" si="275"/>
        <v/>
      </c>
      <c r="EV76" s="24"/>
      <c r="EW76" s="24"/>
      <c r="EX76" s="22"/>
      <c r="EY76" s="29" t="str">
        <f t="shared" si="248"/>
        <v>TOMAR EXAMEN</v>
      </c>
      <c r="EZ76" s="25" t="str">
        <f t="shared" ca="1" si="249"/>
        <v/>
      </c>
      <c r="FA76" s="21">
        <v>70</v>
      </c>
      <c r="FB76" s="22">
        <v>44922</v>
      </c>
      <c r="FC76" s="29" t="str">
        <f t="shared" si="276"/>
        <v>NO APLICA &gt; 23 SEM -TOMAR PTOG</v>
      </c>
      <c r="FD76" s="29"/>
      <c r="FE76" s="29"/>
      <c r="FF76" s="29"/>
      <c r="FG76" s="21" t="str">
        <f t="shared" ca="1" si="277"/>
        <v/>
      </c>
      <c r="FH76" s="31"/>
      <c r="FI76" s="29" t="str">
        <f t="shared" si="278"/>
        <v>TOMAR EXAMEN</v>
      </c>
      <c r="FJ76" s="22" t="s">
        <v>867</v>
      </c>
      <c r="FK76" s="22"/>
      <c r="FL76" s="29" t="str">
        <f t="shared" ca="1" si="279"/>
        <v>NO APLICA-INGRESO TARDIO</v>
      </c>
      <c r="FM76" s="22"/>
      <c r="FN76" s="32"/>
      <c r="FO76" s="29" t="str">
        <f ca="1">IF(AND(BT76="ERROR FUM O INGRESO",FN76&gt;0),"ERROR FUM O INGRESO",IF(AND(FN76="",R76="",O76=""),"",IF(AND(FN76&lt;&gt;"",FN76&lt;RW76), "INCOHERENCIA FUM Y FECHA TAMIZAJE",IF(AND(FN76="",DV76="ACTIVA INGRESO A CPN",AND(BU76&gt;0,BU76&lt;13)),"EN ESPERA-ESTÁ I TRIM", IF(AND(FN76="",AND(BS76&gt;0, BS76&lt;13),OR(O76&gt;0,R76&gt;0),AND(IP77&gt;0,IP77&lt;13)),"NO APLICA-SALIO DEL PROGRAMA I TRIM",IF(AND(FN76&lt;&gt;"",AND(SUM((FN76-RW76)/7)&gt;0,SUM((FN76-RW76)/7)&lt;13)),"REGISTRAR EN I TRIMESTRE",IF(AND(FN76&lt;&gt;"",AND(SUM((FN76-RW76)/7)&gt;=27,SUM((FN76-RW76)/7)&lt;44)),"REGISTRAR EN III TRIMESTRE",IF(AND(FN76="",OR(O76&gt;0,R76&gt;0),AND(BU76&gt;=13,BU76&lt;24),DV76="ACTIVA INGRESO A CPN"),"EN RANGO PARA TOMAR EXAMEN",IF(AND(FN76="",OR(O76&gt;0,R76&gt;0),AND(BU76&gt;=25,BU76&lt;27),DV76="ACTIVA INGRESO A CPN"),"TOMA INMEDIATA DE TAMIZAJE",IF(AND(FN76="",OR(O76&gt;0,R76&gt;0),AND(BS76&gt;=27,BS76&lt;44)),"NO APLICA-INGRESO TARDIO",IF(AND(FN76="",BS76&lt;27,OR(AND(IP77&gt;12,IP77&lt;44),BU76&gt;12)),"PIERDE TOMA DE TAMIZAJE",IF(FN76&gt;0,SUM(FN76-RW76)/7,""))))))))))))</f>
        <v>NO APLICA-INGRESO TARDIO</v>
      </c>
      <c r="FP76" s="22" t="s">
        <v>867</v>
      </c>
      <c r="FQ76" s="32">
        <v>44922</v>
      </c>
      <c r="FR76" s="29">
        <f ca="1">IF(AND(BT76="ERROR FUM O INGRESO",FQ76&gt;0),"ERROR FUM O INGRESO",IF(AND(FQ76="",R76="",O76=""),"",IF(AND(FQ76&lt;&gt;"",FQ76&lt;RW76), "INCOHERENCIA FUM Y FECHA TAMIZAJE",IF(AND(FQ76="",DV76="ACTIVA INGRESO A CPN",AND(BU76&gt;0,BU76&lt;27)),"EN ESPERA-ESTÁ I TRIM O II TRIM", IF(AND(FQ76="",AND(BS76&gt;0, BS76&lt;27),OR(O76&gt;0,R76&gt;0),AND(IP77&gt;0,IP77&lt;27)),"NO APLICA-SALIO DEL PROGRAMA I O II TRIM",IF(AND(FQ76&lt;&gt;"",AND(SUM((FQ76-RW76)/7)&gt;0,SUM((FQ76-RW76)/7)&lt;13)),"REGISTAR EN I TRIMESTRE",IF(AND(FQ76&lt;&gt;"",AND(SUM((FQ76-RW76)/7)&gt;=13,SUM((FQ76-RW76)/7)&lt;27)),"REGISTRAR EN II TRIMESTRE",IF(AND(FQ76="",OR(O76&gt;0,R76&gt;0),AND(BU76&gt;=28,BU76&lt;35),DV76="ACTIVA INGRESO A CPN"),"EN RANGO PARA TOMAR EXAMEN",IF(AND(FQ76="",OR(O76&gt;0,R76&gt;0),BU76&gt;=35, DV76="ACTIVA INGRESO A CPN"),"TOMA INMEDIATA DE TAMIZAJE",IF(AND(FQ76="",DV76= "SALE SIN INGRESO CPN"),"NO APLICA-SIN CPN",IF(AND(FQ76="",AND(IP77&gt;26,IP77&lt;43)),"PIERDE TOMA DE TAMIZAJE",IF(FQ76&gt;0,SUM(FQ76-RW76)/7,""))))))))))))</f>
        <v>27.142857142857142</v>
      </c>
      <c r="FS76" s="22"/>
      <c r="FT76" s="32"/>
      <c r="FU76" s="29" t="str">
        <f>IF(AND(FJ76="",FM76="",FP76="",FS76=""),"",IF(OR(OR(Tabla1[[#This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6" s="28"/>
      <c r="FW76" s="22"/>
      <c r="FX76" s="29" t="str">
        <f t="shared" si="280"/>
        <v>TOMAR EXAMEN</v>
      </c>
      <c r="FY76" s="22"/>
      <c r="FZ76" s="22"/>
      <c r="GA76" s="29" t="str">
        <f t="shared" ca="1" si="250"/>
        <v>NO APLICA-INGRESO TARDIO</v>
      </c>
      <c r="GB76" s="22"/>
      <c r="GC76" s="22"/>
      <c r="GD76" s="29" t="str">
        <f ca="1">IF(AND(BT76="ERROR FUM O INGRESO",GC76&gt;0),"ERROR FUM O INGRESO",IF(AND(GC76="",R76="",O76=""),"",IF(AND(GC76&lt;&gt;"",GC76&lt;RW76), "INCOHERENCIA FUM Y FECHA TAMIZAJE",IF(AND(GC76="",DV76="ACTIVA INGRESO A CPN",AND(BU76&gt;0,BU76&lt;13)),"EN ESPERA-ESTÁ I TRIM", IF(AND(GC76="",AND(BS76&gt;0, BS76&lt;12),OR(O76&gt;0,R76&gt;0),AND(IP77&gt;0,IP77&lt;13)),"NO APLICA-SALIO DEL PROGRAMA I TRIM",IF(AND(GC76&lt;&gt;"",AND(SUM((GC76-RW76)/7)&gt;0,SUM((GC76-RW76)/7)&lt;13)),"REGISTRAR EN I TRIMESTRE",IF(AND(GC76&lt;&gt;"",AND(SUM((GC76-RW76)/7)&gt;=27,SUM((GC76-RW76)/7)&lt;44)),"REGISTRAR EN III TRIMESTRE",IF(AND(GC76="",OR(O76&gt;0,R76&gt;0),AND(BU76&gt;=12,BU76&lt;25),DV76="ACTIVA INGRESO A CPN"),"EN RANGO PARA TOMAR EXAMEN",IF(AND(GC76="",OR(O76&gt;0,R76&gt;0),AND(BU76&gt;=25,BU76&lt;27),DV76="ACTIVA INGRESO A CPN"),"TOMA INMEDIATA DE TAMIZAJE",IF(AND(GC76="",OR(O76&gt;0,R76&gt;0),AND(BS76&gt;=27,BS76&lt;43)),"NO APLICA-INGRESO TARDIO",IF(AND(GC76="",BS76&lt;27),"PIERDE TOMA DE TAMIZAJE",IF(GC76&gt;0,SUM(GC76-RW76)/7,""))))))))))))</f>
        <v>NO APLICA-INGRESO TARDIO</v>
      </c>
      <c r="GE76" s="22" t="s">
        <v>868</v>
      </c>
      <c r="GF76" s="22">
        <v>45287</v>
      </c>
      <c r="GG76" s="29">
        <f ca="1">IF(AND(BT76="ERROR FUM O INGRESO",GF76&gt;0),"ERROR FUM O INGRESO",IF(AND(GF76="",R76="",O76=""),"",IF(AND(GF76&lt;&gt;"",GF76&lt;RW76), "INCOHERENCIA FUM Y FECHA TAMIZAJE",IF(AND(GF76="",DV76="ACTIVA INGRESO A CPN",AND(BU76&gt;0,BU76&lt;27)),"EN ESPERA-ESTÁ I TRIM O II TRIM", IF(AND(GF76="",AND(BS76&gt;0, BS76&lt;28),OR(O76&gt;0,R76&gt;0),AND(IP77&gt;0,IP77&lt;28)),"NO APLICA-SALIO DEL PROGRAMA I O II TRIM",IF(AND(GF76&lt;&gt;"",AND(SUM((GF76-RW76)/7)&gt;0,SUM((GF76-RW76)/7)&lt;13)),"REGISTAR EN I TRIMESTRE",IF(AND(GF76&lt;&gt;"",AND(SUM((GF76-RW76)/7)&gt;=13,SUM((GF76-RW76)/7)&lt;27)),"REGISTRAR EN II TRIMESTRE",IF(AND(GF76="",OR(O76&gt;0,R76&gt;0),AND(BU76&gt;=28,BU76&lt;35),DV76="ACTIVA INGRESO A CPN"),"EN RANGO PARA TOMAR EXAMEN",IF(AND(GF76="",OR(O76&gt;0,R76&gt;0),BU76&gt;=35, DV76="ACTIVA INGRESO A CPN"),"TOMA INMEDIATA DE TAMIZAJE",IF(AND(GF76="",DV76= "SALE SIN INGRESO CPN"),"NO APLICA-SIN CPN",IF(AND(GF76="",BS76&lt;44),"PIERDE TOMA DE TAMIZAJE",IF(GF76&gt;0,SUM(GF76-RW76)/7,""))))))))))))</f>
        <v>79.285714285714292</v>
      </c>
      <c r="GH76" s="22"/>
      <c r="GI76" s="29"/>
      <c r="GJ76" s="22"/>
      <c r="GK76" s="22"/>
      <c r="GL76" s="22"/>
      <c r="GM76" s="22"/>
      <c r="GN76" s="28" t="s">
        <v>869</v>
      </c>
      <c r="GO76" s="22">
        <v>45287</v>
      </c>
      <c r="GP76" s="29" t="str">
        <f t="shared" si="283"/>
        <v>CORREGIR FECHA RESULTADO</v>
      </c>
      <c r="GQ76" s="28" t="s">
        <v>869</v>
      </c>
      <c r="GR76" s="28">
        <v>45287</v>
      </c>
      <c r="GS76" s="22" t="str">
        <f t="shared" si="284"/>
        <v>CONTROL Igm</v>
      </c>
      <c r="GT76" s="22"/>
      <c r="GU76" s="29" t="str">
        <f t="shared" si="285"/>
        <v>TOMAR EXAMEN</v>
      </c>
      <c r="GV76" s="21" t="str">
        <f t="shared" si="286"/>
        <v>POR DEFINIR</v>
      </c>
      <c r="GW76" s="28">
        <v>45287</v>
      </c>
      <c r="GX76" s="30"/>
      <c r="GY76" s="21"/>
      <c r="GZ76" s="21"/>
      <c r="HA76" s="21"/>
      <c r="HB76" s="21"/>
      <c r="HC76" s="21"/>
      <c r="HD76" s="21"/>
      <c r="HE76" s="21"/>
      <c r="HF76" s="22"/>
      <c r="HG76" s="22" t="str">
        <f>IF(OR(O76&gt;0,R76&gt;0),CONCATENATE(IF(Tabla1[[#This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6" s="22" t="e">
        <f t="shared" si="287"/>
        <v>#REF!</v>
      </c>
      <c r="HI76" s="22" t="e">
        <f t="shared" ca="1" si="288"/>
        <v>#REF!</v>
      </c>
      <c r="HJ76" s="21"/>
      <c r="HK76" s="21" t="str">
        <f t="shared" si="289"/>
        <v>SIN ANTECEDENTES DE RIESGO</v>
      </c>
      <c r="HL76" s="24" t="str">
        <f t="shared" si="290"/>
        <v>REGISTRE DATO PRESIÓN ARTERIAL MENSUAL</v>
      </c>
      <c r="HM76" s="21" t="str">
        <f t="shared" ca="1" si="291"/>
        <v/>
      </c>
      <c r="HN76" s="30" t="str">
        <f>IF(AND(R76&lt;&gt;"",IK76="CAMBIO DE RESIDENCIA"),"SEGUIMIENTO REPORTE EPS",IF(AND(R76&lt;&gt;"",OR(IK76&lt;&gt;"",IN77&lt;&gt;"")),"SALIO PROGRAMA",IF(AND(AND(R76="",O76&gt;0),OR(IK76&lt;&gt;"",IN77&lt;&gt;"")),"SALE SIN INGRESO CPN",IF(AND(R76="",O76&gt;0,IK76="",IN77=""),"ACTIVA SIN INGRESO CPN",IF(AND(R76&lt;&gt;"",OR(IK76="",IN77="")),"ACTIVA INGRESO A CPN","")))))</f>
        <v>SALIO PROGRAMA</v>
      </c>
      <c r="HO76" s="21"/>
      <c r="HP76" s="21"/>
      <c r="HQ76" s="21">
        <v>44922</v>
      </c>
      <c r="HR76" s="21" t="str">
        <f>IF(R76="","",IF(Tabla1[[#This Row],[ALARMA FACTORES DE RIESGO COMPLICACIONES HIPERTENSIVAS3]]="SIN ANTECEDENTES DE RIESGO","No Aplica para suministro de ASA",IF(AND(Tabla1[[#This Row],[FECHA INICIO DE SUMINISTRO DE ASA]]&gt;0,RV76&lt;12),"Inicia ASA ANTES de Sem 12",IF(AND(RV76&gt;11,RV76&lt;17,OR(HK76="RIESGO ALTO DE COMPLICACIONES HIPERTENSIVAS VER MANEJO GUIA SUMINISTRO ASA Y CALCIO",HK76="RIESGO MODERADO (2 O MAS CRITERIOS) VER MANEJO GUIA SUMINISTRO ASA Y CALCIO")),"Inicio oportuno de ASA",IF(AND(RV76&gt;12,OR(HK76="RIESGO ALTO DE COMPLICACIONES HIPERTENSIVAS VER MANEJO GUIA SUMINISTRO ASA Y CALCIO",HK76="RIESGO MODERADO (2 O MAS CRITERIOS) VER MANEJO GUIA SUMINISTRO ASA Y CALCIO")),"Inicio no oportuno mayor a 16 semanas",IF(AND(BU76&lt;12,OR(HK76="RIESGO ALTO DE COMPLICACIONES HIPERTENSIVAS VER MANEJO GUIA SUMINISTRO ASA Y CALCIO",HK76="RIESGO MODERADO (2 O MAS CRITERIOS) VER MANEJO GUIA SUMINISTRO ASA Y CALCIO")),"Pendiente Inicio de ASA a la semana 12",IF(AND(BU76&gt;11,BU76&lt;17,OR(HK76="RIESGO ALTO DE COMPLICACIONES HIPERTENSIVAS VER MANEJO GUIA SUMINISTRO ASA Y CALCIO",HK76="RIESGO MODERADO (2 O MAS CRITERIOS) VER MANEJO GUIA SUMINISTRO ASA Y CALCIO")),"Iniciar de inmediato ASA",IF(AND(BU76&gt;16,OR(HK76="RIESGO ALTO DE COMPLICACIONES HIPERTENSIVAS VER MANEJO GUIA SUMINISTRO ASA Y CALCIO",HK76="RIESGO MODERADO (2 O MAS CRITERIOS) VER MANEJO GUIA SUMINISTRO ASA Y CALCIO")),"Pierde Oportunidad, Inicio tardío de ASA","XXXXX"))))))))</f>
        <v>No Aplica para suministro de ASA</v>
      </c>
      <c r="HS76" s="22">
        <v>44922</v>
      </c>
      <c r="HT76" s="22" t="s">
        <v>870</v>
      </c>
      <c r="HU76" s="22"/>
      <c r="HV76" s="22"/>
      <c r="HW76" s="22">
        <v>44922</v>
      </c>
      <c r="HX76" s="22" t="s">
        <v>870</v>
      </c>
      <c r="HY76" s="22">
        <v>44922</v>
      </c>
      <c r="HZ76" s="28">
        <f t="shared" si="292"/>
        <v>27.142857142857142</v>
      </c>
      <c r="IA76" s="26" t="s">
        <v>864</v>
      </c>
      <c r="IB76" s="26"/>
      <c r="IC76" s="111"/>
      <c r="ID76" s="22"/>
      <c r="IE76" s="22" t="str">
        <f t="shared" ca="1" si="293"/>
        <v>SALE SIN VACUNA</v>
      </c>
      <c r="IF76" s="22"/>
      <c r="IG76" s="22">
        <f t="shared" si="294"/>
        <v>45012</v>
      </c>
      <c r="IH76" s="29">
        <f t="shared" ca="1" si="295"/>
        <v>-221</v>
      </c>
      <c r="II76" s="22" t="str">
        <f t="shared" ca="1" si="296"/>
        <v>POSIBLEMENTE NACIO</v>
      </c>
      <c r="IJ76" s="22"/>
      <c r="IK76" s="21" t="s">
        <v>898</v>
      </c>
      <c r="IL76" s="21"/>
      <c r="IM76" s="34"/>
      <c r="IN76" s="352">
        <v>45033</v>
      </c>
      <c r="IO76" s="339" t="s">
        <v>1186</v>
      </c>
      <c r="IP76" s="29">
        <f t="shared" si="435"/>
        <v>43</v>
      </c>
      <c r="IQ76" s="290" t="s">
        <v>1656</v>
      </c>
      <c r="IR76" s="290" t="s">
        <v>1645</v>
      </c>
      <c r="IS76" s="290" t="s">
        <v>1646</v>
      </c>
      <c r="IT76" s="290" t="s">
        <v>1642</v>
      </c>
      <c r="IU76" s="21"/>
      <c r="IV76" s="21"/>
      <c r="IW76" s="21"/>
      <c r="IX76" s="21"/>
      <c r="IY76" s="21"/>
      <c r="IZ76" s="21"/>
      <c r="JA76" s="21"/>
      <c r="JB76" s="30">
        <v>1</v>
      </c>
      <c r="JC76" s="21" t="s">
        <v>1647</v>
      </c>
      <c r="JD76" s="36">
        <v>3330</v>
      </c>
      <c r="JE76" s="21" t="str">
        <f t="shared" si="434"/>
        <v>PESO ADECUADO EDAD GESTACIONAL</v>
      </c>
      <c r="JF76" s="30"/>
      <c r="JG76" s="21"/>
      <c r="JH76" s="21"/>
      <c r="JI76" s="21" t="s">
        <v>854</v>
      </c>
      <c r="JJ76" s="30" t="s">
        <v>866</v>
      </c>
      <c r="JK76" s="22"/>
      <c r="JL76" s="22"/>
      <c r="JM76" s="21"/>
      <c r="JN76" s="36"/>
      <c r="JO76" s="21" t="str">
        <f>IF(AND(JN76&gt;700,JN76&lt;2500,IP77&gt;36,IP77&lt;43),"BAJO PESO AL NACER",IF(AND(JN76&gt;700,JN76&lt;2500,IP77&lt;37),"PREMATURO",IF(AND(JN76&gt;2499,JN76&lt;5000,IP77&lt;37),"ERROR VERIFICAR DATO EDAD GESTACIONAL VS PESO",IF(AND(JN76&gt;2499,JN76&lt;4000,IP77&gt;36,IP77&lt;43),"PESO ADECUADO EDAD GESTACIONAL",IF(AND(JN76&gt;3999,JN76&lt;6000,IP77&gt;36,IP77&lt;43),"PESO GRANDE EDAD GESTACIONAL","")))))</f>
        <v/>
      </c>
      <c r="JP76" s="22"/>
      <c r="JQ76" s="21"/>
      <c r="JR76" s="21"/>
      <c r="JS76" s="21"/>
      <c r="JT76" s="30"/>
      <c r="JU76" s="22"/>
      <c r="JV76" s="22"/>
      <c r="JW76" s="33"/>
      <c r="JX76" s="28" t="str">
        <f>IF(AND(JW76&lt;&gt;"",JW76&lt;IN77),"INCONSISTENCIA FECHA CONTROL",IF(AND(OR(IK76="Parto",IK76="Cesarea"),JW76&gt;0,IN77&gt;0),SUM(JW76-IN77),IF(AND(OR(IK76="Parto",IK76="Cesarea"),JW76="",IN77&gt;0),"INASISTENTE","")))</f>
        <v>INASISTENTE</v>
      </c>
      <c r="JY76" s="33"/>
      <c r="JZ76" s="28" t="str">
        <f>IF(AND(JY76&lt;&gt;"",JY76&lt;IN77),"INCONSISTENCIA FECHA CONTROL",IF(AND(OR(IK76="Parto",IK76="Cesarea",IK76="Aborto Espontaneo",IK76="Aborto Inducido",IK76="IVE"),JY76&gt;0,IN77&gt;0),SUM(JY76-IN77),IF(AND(JY76&lt;&gt;"",JY76&lt;IN77),"INCONSISTENCIA FECHA CONTROL",IF(AND(OR(IK76="Parto",IK76="Cesarea",IK76="Aborto Espontaneo",IK76="Aborto Inducido",IK76="IVE"),JY76="",IN77&gt;0),"INASISTENTE",""))))</f>
        <v>INASISTENTE</v>
      </c>
      <c r="KA76" s="21"/>
      <c r="KB76" s="21"/>
      <c r="KC76" s="21"/>
      <c r="KD76" s="37"/>
      <c r="KE76" s="28"/>
      <c r="KF76" s="28"/>
      <c r="KG76" s="28"/>
      <c r="KH76" s="39"/>
      <c r="KI76" s="39"/>
      <c r="KJ76" s="66"/>
      <c r="KK76" s="39"/>
      <c r="KL76" s="39"/>
      <c r="KM76" s="66"/>
      <c r="KN76" s="39"/>
      <c r="KO76" s="39"/>
      <c r="KP76" s="39"/>
      <c r="KQ76" s="39"/>
      <c r="KR76" s="39"/>
      <c r="KS76" s="39"/>
      <c r="KT76" s="39"/>
      <c r="KU76" s="38"/>
      <c r="KV76" s="38"/>
      <c r="KW76" s="38"/>
      <c r="KX76" s="38"/>
      <c r="KY76" s="38"/>
      <c r="KZ76" s="38"/>
      <c r="LA76" s="38"/>
      <c r="LB76" s="38"/>
      <c r="LC76" s="38"/>
      <c r="LD76" s="38"/>
      <c r="LE76" s="38"/>
      <c r="LF76" s="38"/>
      <c r="LG76" s="38"/>
      <c r="LH76" s="38"/>
      <c r="LI76" s="38"/>
      <c r="LJ76" s="38"/>
      <c r="LK76" s="38"/>
      <c r="LL76" s="38"/>
      <c r="LM76" s="38"/>
      <c r="LN76" s="38"/>
      <c r="LO76" s="38"/>
      <c r="LP76" s="38"/>
      <c r="LQ76" s="38"/>
      <c r="LR76" s="38"/>
      <c r="LS76" s="38"/>
      <c r="LT76" s="38"/>
      <c r="LU76" s="38"/>
      <c r="LV76" s="38"/>
      <c r="LW76" s="38"/>
      <c r="LX76" s="38"/>
      <c r="LY76" s="38"/>
      <c r="LZ76" s="38"/>
      <c r="MA76" s="38"/>
      <c r="MB76" s="38"/>
      <c r="MC76" s="38"/>
      <c r="MD76" s="38"/>
      <c r="ME76" s="38"/>
      <c r="MF76" s="38"/>
      <c r="MG76" s="38"/>
      <c r="MH76" s="43">
        <f t="shared" si="302"/>
        <v>0</v>
      </c>
      <c r="MI76" s="43" t="str">
        <f t="shared" si="303"/>
        <v/>
      </c>
      <c r="MJ76" s="43" t="str">
        <f t="shared" si="304"/>
        <v/>
      </c>
      <c r="MK76" s="43">
        <f t="shared" si="305"/>
        <v>0</v>
      </c>
      <c r="ML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6" s="43">
        <f t="shared" si="306"/>
        <v>27.142857142857142</v>
      </c>
      <c r="MN76" s="43">
        <f t="shared" si="307"/>
        <v>12</v>
      </c>
      <c r="MO76" s="43">
        <f t="shared" si="308"/>
        <v>2022</v>
      </c>
      <c r="MP76" s="43" t="str">
        <f t="shared" si="309"/>
        <v>IV TRIMESTRE AÑO</v>
      </c>
      <c r="MQ76" s="43">
        <f t="shared" si="310"/>
        <v>25.161519929916775</v>
      </c>
      <c r="MR76" s="43">
        <f t="shared" si="311"/>
        <v>0</v>
      </c>
      <c r="MS76" s="43" t="str">
        <f t="shared" si="312"/>
        <v xml:space="preserve"> DE 25 A 29 AÑOS</v>
      </c>
      <c r="MT76" s="43">
        <f t="shared" si="313"/>
        <v>0</v>
      </c>
      <c r="MU76" s="43">
        <f t="shared" si="314"/>
        <v>0</v>
      </c>
      <c r="MV76" s="43">
        <f t="shared" si="315"/>
        <v>0</v>
      </c>
      <c r="MW76" s="43">
        <f t="shared" si="316"/>
        <v>0</v>
      </c>
      <c r="MX76" s="43" t="str">
        <f t="shared" si="317"/>
        <v/>
      </c>
      <c r="MY76" s="43" t="str">
        <f ca="1">IF(AND(AND(BU76&gt;40.9,BU76&lt;43),IN77=""),1,"")</f>
        <v/>
      </c>
      <c r="MZ76" s="43" t="str">
        <f t="shared" si="318"/>
        <v/>
      </c>
      <c r="NA76" s="43">
        <f t="shared" si="319"/>
        <v>3</v>
      </c>
      <c r="NB76" s="43" t="str">
        <f t="shared" si="320"/>
        <v/>
      </c>
      <c r="NC76" s="43" t="str">
        <f t="shared" si="321"/>
        <v/>
      </c>
      <c r="ND76" s="43">
        <f t="shared" ca="1" si="322"/>
        <v>3</v>
      </c>
      <c r="NE76" s="43">
        <f>IF(OR(O76&gt;0,R76&gt;0),SUM(COUNTIF(Tabla1[[#This Row],[AÑOS AL INICIO5 CPN]],"&gt;=40"),COUNTIF(AS76,"0"),COUNTIF(AR76,"SI"),COUNTIF(CC76,"SI"),COUNTIF(BQ76,"&gt;119"),COUNTIF(CI76,"&gt;=35")),"")</f>
        <v>0</v>
      </c>
      <c r="NF76" s="43" t="str">
        <f t="shared" si="323"/>
        <v/>
      </c>
      <c r="NG76" s="43">
        <f t="shared" si="324"/>
        <v>0</v>
      </c>
      <c r="NH76" s="43">
        <f t="shared" si="325"/>
        <v>232.40000000000003</v>
      </c>
      <c r="NI7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CPN",P76="NO"),"Z",IF(AND(Tabla1[[#This Row],[CITA PROXIMO CONTROL]]="CITA MANUAL",Tabla1[[#This Row],[GESTANTES ACTUALES]]="ACTIVA INGRESO A CPN"),"W",IF(AND(Tabla1[[#This Row],[GESTANTES ACTUALES]]="SALIO PROGRAMA",IN77=""),"S",IF(AND(Tabla1[[#This Row],[CITA PROXIMO CONTROL]]&gt;0,IN77=""),(Tabla1[[#This Row],[CITA PROXIMO CONTROL]]-TODAY()),"SD"))))))))</f>
        <v>SD</v>
      </c>
      <c r="NJ76" s="43">
        <f>MONTH(Tabla1[[#This Row],[FECHA DE SALIDA  DEL PROGRAMA]])</f>
        <v>4</v>
      </c>
      <c r="NK76" s="43">
        <f>YEAR(Tabla1[[#This Row],[FECHA DE SALIDA  DEL PROGRAMA]])</f>
        <v>2023</v>
      </c>
      <c r="NL76" s="43" t="str">
        <f t="shared" si="326"/>
        <v>X</v>
      </c>
      <c r="NM76" s="43" t="str">
        <f t="shared" si="251"/>
        <v>NO</v>
      </c>
      <c r="NN76" s="43" t="str">
        <f ca="1">IF(AND(O76&gt;0,R76=""),"NO CPN",IF(AND(O76="",R76=""),"",IF(AND(R76&gt;0,Tabla1[[#This Row],[SEMANAS DE GESTACION ACTUALIZADAS]]&lt;=12),"NO APLICA",IF(AND(FH76&lt;&gt;"",FN76&lt;&gt;""),"SI","NO"))))</f>
        <v>NO</v>
      </c>
      <c r="NO76" s="43" t="str">
        <f ca="1">IF(AND(O76&gt;0,R76=""),"NO CPN",IF(AND(O76="",R76=""),"",IF(AND(R76&gt;0,Tabla1[[#This Row],[SEMANAS DE GESTACION ACTUALIZADAS]]&lt;=27),"NO APLICA",IF(AND(ES76&lt;&gt;"",FQ76&lt;&gt;"",GF76&lt;&gt;""),"SI","NO"))))</f>
        <v>NO</v>
      </c>
      <c r="NP76" s="204" t="str">
        <f t="shared" si="327"/>
        <v>DEFINIR CON ECO</v>
      </c>
      <c r="NQ76" s="21" t="e">
        <f>IF(AND(#REF!&gt;0,#REF!&lt;37),10,IF(OR(CD77="Transversa",CD77="Oblicua"),9,IF(CC77="SI",8,IF(AND(AT77=0,AW77=0,CC77="NO",CD77="Cefálica",#REF!&gt;=37,#REF!="INICIO ESPONTÁNEO"),1,IF(AND(AND(AT77=0,AW77=0,CC77="NO",CD77="Cefálica",#REF!&gt;=37),OR(#REF!="LE HACEN INDUCCIÓN",#REF!="LE HACEN CESÁREA SIN INICIO TRABAJO DE PARTO")),2,IF(AND(AT77&gt;=1,AW77=0,CC77="NO",CD77="Cefálica",#REF!&gt;=37,#REF!="INICIO ESPONTÁNEO"),3,IF(AND(AND(AT77&gt;=1,AW77=0,CC77="NO",CD77="Cefálica",#REF!&gt;=37),OR(#REF!="LE HACEN INDUCCIÓN",#REF!="LE HACEN CESÁREA SIN INICIO TRABAJO DE PARTO")),4,IF(AND(AND(AT77&gt;=1,AW77&gt;=1,CC77="NO",CD77="Cefálica",#REF!&gt;=37),OR(#REF!="LE HACEN INDUCCIÓN",#REF!="LE HACEN CESÁREA SIN INICIO TRABAJO DE PARTO",#REF!="INICIO ESPONTÁNEO")),5,IF(AND(AND(AT77=0,AW77=0,CC77="NO",CD77="Podálica",#REF!&gt;=1),OR(#REF!="LE HACEN INDUCCIÓN",#REF!="LE HACEN CESÁREA SIN INICIO TRABAJO DE PARTO",#REF!="INICIO ESPONTÁNEO")),6,IF(AND(AND(AT77&gt;=1,CC77="NO",CD77="Podálica",#REF!&gt;=1),OR(#REF!="LE HACEN INDUCCIÓN",#REF!="LE HACEN CESÁREA SIN INICIO TRABAJO DE PARTO",#REF!="INICIO ESPONTÁNEO"),OR(AW77=0,AW77&gt;=1)),7,""))))))))))</f>
        <v>#REF!</v>
      </c>
      <c r="NR76" s="21">
        <f>IF(AND(O76="",R76=""),"",IF(AND(BS76&gt;0,BS76&lt;12,IP77&gt;28,IP77&lt;44),3, IF(OR(AND(BS76&gt;=12,BS76&lt;28,IP77&gt;=28,IP77&lt;44),AND(BS76&gt;0,BS76&lt;12,IP77&gt;=12,IP77&lt;29)),2,IF(OR(AND(BS76&gt;=28,BS76&lt;44),AND(BS76&gt;0,BS76&lt;12,IP77&gt;0,IP77&lt;12),AND(BS76&gt;=12,BS76&lt;28,IP77&gt;=12,IP77&lt;28)),1,IF(AND(BS76&gt;0,BS76&lt;12,BU76&gt;=28,BU76&lt;44,DV76="ACTIVA INGRESO A CPN"),3,IF(OR(AND(BS76&gt;0,BS76&lt;12,BU76&gt;=12,BU76&lt;28,DV76="ACTIVA INGRESO A CPN"),AND(BS76&gt;=12,BS76&lt;28,BU76&gt;=28,BU76&lt;44,DV76="ACTIVA INGRESO A CPN")),2,IF(OR(AND(BS76&gt;0,BS76&lt;12,BU76&gt;0,BU76&lt;12,DV76="ACTIVA INGRESO A CPN"),AND(BS76&gt;=12,BS76&lt;28,BU76&gt;=12,BU76&lt;28,DV76="ACTIVA INGRESO A CPN")),1,"REVISAR FUM O FECHA SALIDA PROGRAMA")))))))</f>
        <v>2</v>
      </c>
      <c r="NS76" s="205">
        <f t="shared" ca="1" si="328"/>
        <v>1</v>
      </c>
      <c r="NT76" s="21">
        <f t="shared" ca="1" si="329"/>
        <v>1</v>
      </c>
      <c r="NU76" s="21" t="str">
        <f t="shared" ca="1" si="330"/>
        <v>INCOMPLETO</v>
      </c>
      <c r="NV76" s="21" t="str">
        <f t="shared" ca="1" si="331"/>
        <v>INCOMPLETO</v>
      </c>
      <c r="NW76" s="206" t="str">
        <f>IF(AND(O76="",R76=""),"",IF(OR(AND(Tabla1[[#This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6" s="207" t="str">
        <f t="shared" ca="1" si="332"/>
        <v>SIN VACUNAR</v>
      </c>
      <c r="NY76" s="43">
        <f>ROW(Tabla1[[#This Row],['# DE TAMIZAJES SIFILIS TOMADOS ]])</f>
        <v>76</v>
      </c>
      <c r="NZ76" s="43">
        <f t="shared" si="333"/>
        <v>27</v>
      </c>
      <c r="OA76" s="43" t="str">
        <f t="shared" si="334"/>
        <v/>
      </c>
      <c r="OB76" s="43" t="str">
        <f t="shared" si="335"/>
        <v/>
      </c>
      <c r="OC76" s="43" t="str">
        <f t="shared" si="336"/>
        <v/>
      </c>
      <c r="OD76" s="43" t="str">
        <f t="shared" si="337"/>
        <v/>
      </c>
      <c r="OE76" s="43" t="str">
        <f t="shared" si="338"/>
        <v/>
      </c>
      <c r="OF76" s="43" t="str">
        <f t="shared" si="339"/>
        <v/>
      </c>
      <c r="OG76" s="43" t="str">
        <f t="shared" si="340"/>
        <v/>
      </c>
      <c r="OH76" s="43" t="str">
        <f t="shared" si="341"/>
        <v/>
      </c>
      <c r="OI76" s="43" t="str">
        <f t="shared" si="342"/>
        <v/>
      </c>
      <c r="OJ76" s="43" t="str">
        <f t="shared" si="343"/>
        <v/>
      </c>
      <c r="OK76" s="43" t="str">
        <f t="shared" si="344"/>
        <v/>
      </c>
      <c r="OL76" s="43" t="str">
        <f t="shared" si="345"/>
        <v/>
      </c>
      <c r="OM76" s="43" t="str">
        <f t="shared" si="346"/>
        <v/>
      </c>
      <c r="ON76" s="43" t="str">
        <f t="shared" si="347"/>
        <v/>
      </c>
      <c r="OO76" s="43" t="str">
        <f t="shared" si="348"/>
        <v/>
      </c>
      <c r="OP76" s="43" t="str">
        <f t="shared" si="349"/>
        <v/>
      </c>
      <c r="OQ76" s="43" t="str">
        <f t="shared" si="350"/>
        <v/>
      </c>
      <c r="OR76" s="43" t="str">
        <f t="shared" si="351"/>
        <v/>
      </c>
      <c r="OS76" s="43" t="str">
        <f t="shared" si="352"/>
        <v>NORMAL</v>
      </c>
      <c r="OT76" s="43" t="str">
        <f t="shared" si="353"/>
        <v/>
      </c>
      <c r="OU76" s="43" t="str">
        <f t="shared" si="354"/>
        <v/>
      </c>
      <c r="OV76" s="110" t="str">
        <f t="shared" si="355"/>
        <v/>
      </c>
      <c r="OW76" s="43" t="str">
        <f t="shared" si="356"/>
        <v/>
      </c>
      <c r="OX76" s="43" t="str">
        <f t="shared" si="357"/>
        <v/>
      </c>
      <c r="OY76" s="43" t="str">
        <f t="shared" si="358"/>
        <v/>
      </c>
      <c r="OZ76" s="43" t="str">
        <f t="shared" si="359"/>
        <v/>
      </c>
      <c r="PA76" s="43" t="str">
        <f t="shared" si="360"/>
        <v/>
      </c>
      <c r="PB76" s="43" t="str">
        <f t="shared" si="361"/>
        <v/>
      </c>
      <c r="PC76" s="43" t="str">
        <f t="shared" si="362"/>
        <v/>
      </c>
      <c r="PD76" s="43" t="str">
        <f t="shared" si="363"/>
        <v/>
      </c>
      <c r="PE76" s="43" t="str">
        <f t="shared" si="364"/>
        <v/>
      </c>
      <c r="PF76" s="43" t="str">
        <f t="shared" si="365"/>
        <v/>
      </c>
      <c r="PG76" s="43" t="str">
        <f t="shared" si="366"/>
        <v/>
      </c>
      <c r="PH76" s="43" t="str">
        <f t="shared" si="367"/>
        <v/>
      </c>
      <c r="PI76" s="43">
        <f t="shared" si="368"/>
        <v>37</v>
      </c>
      <c r="PJ76" s="43" t="str">
        <f t="shared" si="369"/>
        <v/>
      </c>
      <c r="PK76" s="43" t="str">
        <f t="shared" si="370"/>
        <v/>
      </c>
      <c r="PL76" s="43" t="str">
        <f t="shared" si="371"/>
        <v/>
      </c>
      <c r="PM76" s="43" t="str">
        <f t="shared" si="372"/>
        <v/>
      </c>
      <c r="PN76" s="43" t="str">
        <f t="shared" si="373"/>
        <v/>
      </c>
      <c r="PO76" s="43" t="str">
        <f t="shared" si="374"/>
        <v/>
      </c>
      <c r="PP76" s="43" t="str">
        <f t="shared" si="375"/>
        <v/>
      </c>
      <c r="PQ76" s="43" t="str">
        <f t="shared" si="376"/>
        <v/>
      </c>
      <c r="PR76" s="43" t="str">
        <f t="shared" si="377"/>
        <v/>
      </c>
      <c r="PS76" s="43" t="str">
        <f t="shared" si="378"/>
        <v/>
      </c>
      <c r="PT76" s="43" t="str">
        <f t="shared" si="379"/>
        <v/>
      </c>
      <c r="PU76" s="43" t="str">
        <f t="shared" si="380"/>
        <v/>
      </c>
      <c r="PV76" s="43" t="str">
        <f t="shared" si="381"/>
        <v/>
      </c>
      <c r="PW76" s="43" t="str">
        <f t="shared" si="382"/>
        <v/>
      </c>
      <c r="PX76" s="43" t="str">
        <f t="shared" si="383"/>
        <v/>
      </c>
      <c r="PY76" s="43" t="str">
        <f t="shared" si="384"/>
        <v/>
      </c>
      <c r="PZ76" s="43" t="str">
        <f t="shared" si="385"/>
        <v/>
      </c>
      <c r="QA76" s="43" t="str">
        <f t="shared" si="386"/>
        <v/>
      </c>
      <c r="QB76" s="43" t="str">
        <f t="shared" si="387"/>
        <v/>
      </c>
      <c r="QC76" s="43" t="str">
        <f t="shared" si="388"/>
        <v/>
      </c>
      <c r="QD76" s="43" t="str">
        <f t="shared" si="389"/>
        <v/>
      </c>
      <c r="QE76" s="43" t="str">
        <f t="shared" si="390"/>
        <v/>
      </c>
      <c r="QF76" s="43" t="str">
        <f t="shared" si="391"/>
        <v/>
      </c>
      <c r="QG76" s="43" t="str">
        <f t="shared" si="392"/>
        <v/>
      </c>
      <c r="QH76" s="43" t="str">
        <f t="shared" si="393"/>
        <v/>
      </c>
      <c r="QI76" s="43" t="str">
        <f t="shared" si="394"/>
        <v/>
      </c>
      <c r="QJ76" s="43" t="str">
        <f t="shared" si="395"/>
        <v/>
      </c>
      <c r="QK76" s="43" t="str">
        <f t="shared" si="396"/>
        <v/>
      </c>
      <c r="QL76" s="43" t="str">
        <f t="shared" si="397"/>
        <v/>
      </c>
      <c r="QM76" s="43" t="str">
        <f t="shared" si="398"/>
        <v/>
      </c>
      <c r="QN76" s="43" t="str">
        <f t="shared" si="399"/>
        <v/>
      </c>
      <c r="QO76" s="43" t="str">
        <f t="shared" si="400"/>
        <v/>
      </c>
      <c r="QP76" s="43" t="str">
        <f t="shared" si="401"/>
        <v/>
      </c>
      <c r="QQ76" s="43" t="str">
        <f t="shared" si="402"/>
        <v/>
      </c>
      <c r="QR76" s="43">
        <f t="shared" si="432"/>
        <v>37</v>
      </c>
      <c r="QS76" s="43"/>
      <c r="QT76" s="21" t="str">
        <f t="shared" si="403"/>
        <v/>
      </c>
      <c r="QU76" s="21" t="str">
        <f t="shared" si="404"/>
        <v/>
      </c>
      <c r="QV76" s="21" t="str">
        <f t="shared" si="405"/>
        <v/>
      </c>
      <c r="QW76" s="21" t="str">
        <f t="shared" si="406"/>
        <v/>
      </c>
      <c r="QX76" s="21" t="str">
        <f t="shared" si="407"/>
        <v/>
      </c>
      <c r="QY76" s="21" t="str">
        <f t="shared" si="408"/>
        <v/>
      </c>
      <c r="QZ76" s="21" t="str">
        <f t="shared" si="409"/>
        <v/>
      </c>
      <c r="RA76" s="21" t="str">
        <f t="shared" si="410"/>
        <v/>
      </c>
      <c r="RB76" s="21" t="str">
        <f t="shared" si="411"/>
        <v/>
      </c>
      <c r="RC76" s="21" t="str">
        <f t="shared" si="412"/>
        <v/>
      </c>
      <c r="RD76" s="21" t="str">
        <f t="shared" si="413"/>
        <v/>
      </c>
      <c r="RE76" s="21" t="str">
        <f t="shared" si="414"/>
        <v/>
      </c>
      <c r="RF76" s="21" t="str">
        <f t="shared" si="415"/>
        <v/>
      </c>
      <c r="RG76" s="21" t="str">
        <f t="shared" si="416"/>
        <v/>
      </c>
      <c r="RH76" s="21" t="str">
        <f t="shared" si="417"/>
        <v/>
      </c>
      <c r="RI76" s="21" t="str">
        <f t="shared" si="418"/>
        <v/>
      </c>
      <c r="RJ76" s="21" t="str">
        <f t="shared" si="419"/>
        <v/>
      </c>
      <c r="RK76" s="21" t="str">
        <f t="shared" si="420"/>
        <v/>
      </c>
      <c r="RL76" s="21" t="str">
        <f t="shared" si="421"/>
        <v/>
      </c>
      <c r="RM76" s="21" t="str">
        <f t="shared" si="422"/>
        <v/>
      </c>
      <c r="RN76" s="21" t="str">
        <f t="shared" si="423"/>
        <v/>
      </c>
      <c r="RO76" s="21" t="str">
        <f t="shared" si="424"/>
        <v/>
      </c>
      <c r="RP76" s="21" t="str">
        <f t="shared" si="425"/>
        <v/>
      </c>
      <c r="RQ76" s="21" t="str">
        <f t="shared" si="426"/>
        <v/>
      </c>
      <c r="RR76" s="21" t="str">
        <f t="shared" si="427"/>
        <v/>
      </c>
      <c r="RS76" s="21" t="str">
        <f t="shared" si="428"/>
        <v/>
      </c>
      <c r="RT76" s="21" t="str">
        <f t="shared" si="429"/>
        <v/>
      </c>
      <c r="RU76" s="21" t="str">
        <f t="shared" si="430"/>
        <v/>
      </c>
      <c r="RV76" s="21">
        <f t="shared" si="431"/>
        <v>27.142857142857142</v>
      </c>
      <c r="RW76" s="284">
        <f>IF(OR(Tabla1[[#This Row],[FUM FORMULA CONFIABLE]]="",Tabla1[[#This Row],[FUM FORMULA CONFIABLE]]="SD"),"",IF(Tabla1[[#This Row],[FUM FORMULA CONFIABLE]]="CORREGIDA",Tabla1[[#This Row],[FUM X ECO 1]],Tabla1[[#This Row],[FUM x AMENORREA]]))</f>
        <v>44732</v>
      </c>
      <c r="RX76" s="21">
        <f>IF(AND(Tabla1[[#This Row],[FUM X ECO 1]]="",Tabla1[[#This Row],[FUM x AMENORREA]]=""),"",IF(AND(Tabla1[[#This Row],[FUM X ECO 1]]="",Tabla1[[#This Row],[FUM x AMENORREA]]&lt;&gt;""),"X",SUM(Tabla1[[#This Row],[FUM X ECO 1]]-Tabla1[[#This Row],[FUM x AMENORREA]])))</f>
        <v>30.599999999998545</v>
      </c>
      <c r="RY76" s="21">
        <f t="shared" si="433"/>
        <v>1</v>
      </c>
    </row>
    <row r="77" spans="1:493" ht="45" customHeight="1" x14ac:dyDescent="0.25">
      <c r="A77" s="109"/>
      <c r="B77" s="43"/>
      <c r="C77" s="43" t="s">
        <v>845</v>
      </c>
      <c r="D77" s="124" t="s">
        <v>846</v>
      </c>
      <c r="E77" s="43" t="s">
        <v>1144</v>
      </c>
      <c r="F77" s="43" t="s">
        <v>953</v>
      </c>
      <c r="G77" s="43" t="s">
        <v>1232</v>
      </c>
      <c r="H77" s="43"/>
      <c r="I77" s="109" t="s">
        <v>851</v>
      </c>
      <c r="J77" s="110">
        <v>1059594268</v>
      </c>
      <c r="K77" s="43" t="s">
        <v>852</v>
      </c>
      <c r="L77" s="175" t="s">
        <v>853</v>
      </c>
      <c r="M77" s="22">
        <v>36323</v>
      </c>
      <c r="N77" s="213">
        <f t="shared" ca="1" si="252"/>
        <v>24.410958904109588</v>
      </c>
      <c r="O77" s="22">
        <v>44930</v>
      </c>
      <c r="P77" s="214" t="e">
        <f>IF(AND(O77="",R77&gt;0),"ACUDE ESPONTANEAMENTE",IF(AND(AND(O77&gt;0,R77=""),OR(#REF!&gt;0,IK77&lt;&gt;"")),"NA",IF(AND(O77&gt;0,#REF!="",R77=""),"NO",IF(AND(O77&gt;0,R77&gt;0),"SI",""))))</f>
        <v>#REF!</v>
      </c>
      <c r="Q77" s="26" t="s">
        <v>855</v>
      </c>
      <c r="R77" s="22">
        <v>44930</v>
      </c>
      <c r="S77" s="21" t="s">
        <v>856</v>
      </c>
      <c r="T77" s="24" t="s">
        <v>690</v>
      </c>
      <c r="U77" s="21" t="s">
        <v>857</v>
      </c>
      <c r="V77" s="21" t="s">
        <v>858</v>
      </c>
      <c r="W77" s="21" t="s">
        <v>1233</v>
      </c>
      <c r="X77" s="21" t="s">
        <v>859</v>
      </c>
      <c r="Y77" s="21" t="s">
        <v>859</v>
      </c>
      <c r="Z77" s="21">
        <v>3137076197</v>
      </c>
      <c r="AA77" s="21" t="s">
        <v>860</v>
      </c>
      <c r="AB77" s="27" t="s">
        <v>861</v>
      </c>
      <c r="AC77" s="26" t="s">
        <v>862</v>
      </c>
      <c r="AD77" s="38" t="s">
        <v>846</v>
      </c>
      <c r="AE77" s="26" t="s">
        <v>854</v>
      </c>
      <c r="AF77" s="26" t="s">
        <v>854</v>
      </c>
      <c r="AG77" s="23" t="s">
        <v>864</v>
      </c>
      <c r="AH77" s="23" t="s">
        <v>864</v>
      </c>
      <c r="AI77" s="24" t="s">
        <v>863</v>
      </c>
      <c r="AJ77" s="23" t="s">
        <v>864</v>
      </c>
      <c r="AK77" s="220" t="str">
        <f>IF(AND(AD77="",AE77="",AF77="",AG77="",AH77="",AI77="",AJ77=""),"",IF(OR(Tabla1[[#This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EVALUACIÓN",IF(AND(O77="",R77=""),"",IF(AND(OR(O77&gt;0,R77&gt;0),NG77&gt;=0,NG77&lt;2),"SIN RIESGO",IF(AND(OR(O77&gt;0,R77&gt;0),NG77&gt;=2),"CON RIESGO","ASD")))))</f>
        <v>SIN RIESGO</v>
      </c>
      <c r="AL77" s="23" t="s">
        <v>864</v>
      </c>
      <c r="AM77" s="26" t="s">
        <v>864</v>
      </c>
      <c r="AN77" s="26" t="s">
        <v>864</v>
      </c>
      <c r="AO77" s="26" t="s">
        <v>864</v>
      </c>
      <c r="AP77" s="26" t="s">
        <v>864</v>
      </c>
      <c r="AQ77" s="26" t="s">
        <v>864</v>
      </c>
      <c r="AR77" s="26" t="s">
        <v>864</v>
      </c>
      <c r="AS77" s="21">
        <v>2</v>
      </c>
      <c r="AT77" s="21">
        <v>2</v>
      </c>
      <c r="AU77" s="21">
        <v>0</v>
      </c>
      <c r="AV77" s="26" t="s">
        <v>864</v>
      </c>
      <c r="AW77" s="21">
        <v>0</v>
      </c>
      <c r="AX77" s="26" t="s">
        <v>864</v>
      </c>
      <c r="AY77" s="26" t="s">
        <v>864</v>
      </c>
      <c r="AZ77" s="26" t="s">
        <v>864</v>
      </c>
      <c r="BA77" s="26" t="s">
        <v>864</v>
      </c>
      <c r="BB77" s="26" t="s">
        <v>864</v>
      </c>
      <c r="BC77" s="26" t="s">
        <v>864</v>
      </c>
      <c r="BD77" s="26" t="s">
        <v>864</v>
      </c>
      <c r="BE77" s="26" t="s">
        <v>864</v>
      </c>
      <c r="BF77" s="26" t="s">
        <v>864</v>
      </c>
      <c r="BG77" s="26" t="s">
        <v>864</v>
      </c>
      <c r="BH77" s="26" t="s">
        <v>864</v>
      </c>
      <c r="BI77" s="26" t="s">
        <v>864</v>
      </c>
      <c r="BJ77" s="26"/>
      <c r="BK77" s="26"/>
      <c r="BL77" s="26" t="s">
        <v>864</v>
      </c>
      <c r="BM77" s="26" t="s">
        <v>864</v>
      </c>
      <c r="BN77" s="22">
        <v>44117</v>
      </c>
      <c r="BO77" s="22">
        <v>44738</v>
      </c>
      <c r="BP77" s="21" t="s">
        <v>854</v>
      </c>
      <c r="BQ77" s="222">
        <f t="shared" si="254"/>
        <v>20.7</v>
      </c>
      <c r="BR77" s="223">
        <f t="shared" si="255"/>
        <v>44739.3</v>
      </c>
      <c r="BS77" s="224">
        <f t="shared" si="256"/>
        <v>27.428571428571427</v>
      </c>
      <c r="BT77" s="216" t="str">
        <f t="shared" si="257"/>
        <v>III TRIM</v>
      </c>
      <c r="BU77" s="214" t="str">
        <f t="shared" ca="1" si="258"/>
        <v/>
      </c>
      <c r="BV77" s="25"/>
      <c r="BW77" s="22">
        <v>44957</v>
      </c>
      <c r="BX77" s="28">
        <v>31.1</v>
      </c>
      <c r="BY77" s="28"/>
      <c r="BZ77" s="22">
        <v>34.5</v>
      </c>
      <c r="CA77" s="21"/>
      <c r="CB77" s="26"/>
      <c r="CC77" s="26"/>
      <c r="CD77" s="26" t="s">
        <v>878</v>
      </c>
      <c r="CE77" s="26"/>
      <c r="CF77" s="22" t="s">
        <v>1517</v>
      </c>
      <c r="CG77" s="21">
        <v>1.48</v>
      </c>
      <c r="CH77" s="21"/>
      <c r="CI77" s="214" t="str">
        <f t="shared" si="259"/>
        <v>X</v>
      </c>
      <c r="CJ77" s="225" t="str">
        <f>IF(AND(CI77&lt;10,CH77="SD"),"SIN DATO PESO PREGESTACION O I TRIM",IF(AND(OR(R77&gt;0,O77&gt;0),CI77="X"),"INGRESAR DATO DE PESO",IF(CI77="SD","INGRESAR DATO DE TALLA Y PESO",IF(AND(OR(Tabla1[[#This Row],[MOMENTO EN QUE SE REALIZA EL PESO AL INGRESO A CPN]]="PREGESTACIÓN",NZ77="Menor"),CI77&lt;18.5),"BAJO PESO",IF(AND(OR(Tabla1[[#This Row],[MOMENTO EN QUE SE REALIZA EL PESO AL INGRESO A CPN]]="PREGESTACIÓN",NZ77="Menor"),CI77&lt;25),"NORMAL",IF(AND(OR(Tabla1[[#This Row],[MOMENTO EN QUE SE REALIZA EL PESO AL INGRESO A CPN]]="PREGESTACIÓN",NZ77="Menor"),CI77&lt;30),"SOBREPESO",IF(AND(OR(Tabla1[[#This Row],[MOMENTO EN QUE SE REALIZA EL PESO AL INGRESO A CPN]]="PREGESTACIÓN",NZ77="Menor"),CI77&gt;=30,CI77&lt;50),"OBESIDAD",IF(AND(BS77&gt;0,Tabla1[[#This Row],[MOMENTO EN QUE SE REALIZA EL PESO AL INGRESO A CPN]]="GESTACIÓN"),HLOOKUP(NZ77,$OA$2:PH77,NY77),""))))))))</f>
        <v>INGRESAR DATO DE PESO</v>
      </c>
      <c r="CK77" s="212">
        <f t="shared" si="260"/>
        <v>45016</v>
      </c>
      <c r="CL77" s="21"/>
      <c r="CM77" s="214">
        <f t="shared" si="261"/>
        <v>0</v>
      </c>
      <c r="CN77" s="216">
        <f t="shared" si="262"/>
        <v>39</v>
      </c>
      <c r="CO77" s="216" t="e">
        <f>IF(PI77="","",IF(PI77&gt;0,HLOOKUP(PI77,$PJ$2:QQ77,NY77),""))</f>
        <v>#REF!</v>
      </c>
      <c r="CP77" s="21"/>
      <c r="CQ77" s="216" t="e">
        <f>IF(QR77="Menor","NO APLICA-MENOR 13 SEM",IF(AND(CC77="SI",CN77&gt;23),"NO APLICA- GEMELAR",IF(QR77="","",IF(QR77&gt;0,HLOOKUP(QR77,$QS$2:RU77,NY77),""))))</f>
        <v>#REF!</v>
      </c>
      <c r="CR77" s="21"/>
      <c r="CS77" s="21"/>
      <c r="CT77" s="217" t="str">
        <f>IF(R77="","",IF(AND(BS77&gt;1,BS77&lt;12,Tabla1[[#This Row],[T.A. SISTOLICA - ANTES DE SEMANA 12]]="",Tabla1[[#This Row],[T.A. DIASTOLICA - ANTES DE SEMANA 12]]=""),"REGISTRE DATO TA ANTES SEMANA 12",IF(AND(BS77&gt;11,BS77&lt;43,Tabla1[[#This Row],[T.A. SISTOLICA - ANTES DE SEMANA 12]]="",Tabla1[[#This Row],[T.A. DIASTOLICA - ANTES DE SEMANA 12]]=""),"NO APLICA REGISTRO TA-INGRESO TARDIO",IF(AND(OR(O77&gt;0,R77&gt;0),OR(CR77&gt;=140,CS77&gt;=90)),"DEFINIR ESTADIO HTA",IF(AND(OR(O77&gt;0,R77&gt;0),AND(CR77&gt;120,CR77&lt;=139)),"PRE HTA SEGUIMIENTO",IF(AND(OR(O77&gt;0,R77&gt;0),AND(CS77&gt;80,CS77&lt;=89)),"PRE HTA SEGUIMIENTO",IF(AND(OR(O77&gt;0,R77&gt;0),AND(CR77&gt;=80,CR77&lt;=120)),"APARENTEMENTE NORMAL",IF(AND(OR(O77&gt;0,R77&gt;0),AND(CS77&gt;=50,CS77&lt;=80)),"APARENTEMENTE NORMAL",IF(AND(OR(O77&gt;0,R77&gt;0),AND(CR77&gt;1,CR77&lt;=70),AND(CS77&gt;1,CS77&lt;=40)),"HIPOTENSIÓN","")))))))))</f>
        <v>NO APLICA REGISTRO TA-INGRESO TARDIO</v>
      </c>
      <c r="CU77" s="21">
        <v>90</v>
      </c>
      <c r="CV77" s="21">
        <v>60</v>
      </c>
      <c r="CW77" s="217" t="str">
        <f ca="1">IF(R77="","",IF(AND(CN77&gt;19,CN77&lt;27,Tabla1[[#This Row],[T.A. SISTOLICA (Entre semana 20 y 26)]]="",Tabla1[[#This Row],[T.A. DIATOLICA (Entre semana 20 y 26)]]=""),"ACUDE A CONTROL SEM 20 A 26 REGISTRE TA AHORA",IF(AND(BS77&gt;1,BS77&lt;27,BU77&gt;19,Tabla1[[#This Row],[T.A. SISTOLICA (Entre semana 20 y 26)]]="",Tabla1[[#This Row],[T.A. DIATOLICA (Entre semana 20 y 26)]]=""),"COMPLETE REGISTRO TA CONTROL SEM 20 A26 ",IF(AND(BS77&gt;26,BS77&lt;43,Tabla1[[#This Row],[T.A. SISTOLICA (Entre semana 20 y 26)]]="",Tabla1[[#This Row],[T.A. DIATOLICA (Entre semana 20 y 26)]]=""),"NO APLICA REGISTRO TA-INGRESO TARDIO",IF(AND(OR(O77&gt;0,R77&gt;0),OR(CU77&gt;=140,CV77&gt;=90)),"ALTO RIESGO PREECLAMPSIA,DEFINIR ESTADIO HTA",IF(AND(OR(O77&gt;0,R77&gt;0),AND(CU77&gt;120,CU77&lt;=139)),"PRE HTA SEGUIMIENTO,RIESGO HIPERTENSION INDUCIDA POR EL EMBARAZO",IF(AND(OR(O77&gt;0,R77&gt;0),AND(CV77&gt;80,CV77&lt;=89)),"PRE HTA SEGUIMIENTO, RIESGO HIPERTENSION INDUCIDA POR EL EMBARAZO",IF(AND(OR(O77&lt;&gt;"",R77&lt;&gt;""),CS77&lt;&gt;"",CV77&lt;&gt;"",CS77&lt;=CV77),"VIGILAR CIFRAS PRESION ARTERIAL",IF(AND(OR(O77&gt;0,R77&gt;0),AND(CU77&gt;120,CU77&lt;=139)),"PRE HTA SEGUIMIENTO",IF(AND(OR(O77&gt;0,R77&gt;0),AND(CU77&gt;1,CU77&lt;=70),AND(CV77&gt;1,CV77&lt;=40)),"HIPOTENSIÓN",IF(AND(OR(O77&lt;&gt;"",R77&lt;&gt;""),CS77&lt;&gt;"",CV77&lt;&gt;"",CS77&gt;CV77),"APARENTEMENTE NORMAL",IF(AND(OR(O77&gt;0,R77&gt;0),AND(CU77&gt;=80,CU77&lt;=120)),"APARENTEMENTE NORMAL",IF(AND(OR(O77&gt;0,R77&gt;0),AND(CV77&gt;=50,CV77&lt;=80)),"APARENTEMENTE NORMAL","")))))))))))))</f>
        <v>APARENTEMENTE NORMAL</v>
      </c>
      <c r="CX77" s="21"/>
      <c r="CY77" s="21"/>
      <c r="CZ77" s="216" t="str">
        <f t="shared" si="263"/>
        <v/>
      </c>
      <c r="DA77" s="21"/>
      <c r="DB77" s="21"/>
      <c r="DC77" s="217" t="str">
        <f t="shared" si="264"/>
        <v>REGISTRE DATO PRESIÓN ARTERIAL MENSUAL</v>
      </c>
      <c r="DD77" s="22">
        <v>44930</v>
      </c>
      <c r="DE77" s="22">
        <v>44930</v>
      </c>
      <c r="DF77" s="22">
        <v>44958</v>
      </c>
      <c r="DG77" s="22">
        <v>45016</v>
      </c>
      <c r="DH77" s="22"/>
      <c r="DI77" s="22"/>
      <c r="DJ77" s="22"/>
      <c r="DK77" s="22"/>
      <c r="DL77" s="22"/>
      <c r="DM77" s="22"/>
      <c r="DN77" s="22"/>
      <c r="DO77" s="22"/>
      <c r="DP77" s="22"/>
      <c r="DQ77" s="22"/>
      <c r="DR77" s="28">
        <v>1</v>
      </c>
      <c r="DS77" s="22"/>
      <c r="DT77" s="22"/>
      <c r="DU77" s="216" t="e">
        <f ca="1">IF(AND(BT77="ERROR FUM O INGRESO",DS77&gt;0),"ERROR FUM O INGRESO",IF(AND(DS77="",R77="",O77=""),"",IF(OR(AND(DS77&lt;&gt;"",DS77&lt;RW77),AND(DS77&lt;&gt;"",AND(SUM((DS77-RW77)/7)&gt;0,SUM((DS77-RW77)/7)&lt;28))),"PLAN REALIZADO ANTES III TRIM", IF(AND(DS77="",OR(O77&gt;0,R77&gt;0),AND(BU77&gt;=28, BU77&lt;35,DV77="ACTIVA INGRESO A CPN")),"PLANEAR PLAN DE PARTO", IF(AND(DS77="",OR(O77&gt;0,R77&gt;0),BU77&gt;=35,DV77="ACTIVA INGRESO A CPN"),"CONCERTAR PLAN DE PARTO INMEDIATO", IF(AND(DS77="",OR(O77&gt;0,R77&gt;0),AND(BU77&gt;0, BU77&lt;28),OR(DV77="ACTIVA INGRESO A CPN", DV77=" ACTIVA SIN INGRESO CPN")),"EN ESPERA", IF(AND(DS77="",OR(O77&gt;0,R77&gt;0),AND(#REF!&gt;0,#REF!&lt; 28)),"NO APLICA SALE PROGRAMA ANTES III TRIM", IF(AND(DS77="",OR(O77&gt;0,R77&gt;0),AND(#REF!&gt;=28,#REF!&lt; 35)),"SALE PROGRAMA ANTES SEMANA 35", IF(AND(DS77="",OR(O77&gt;0,R77&gt;0),#REF!&gt;35),"SALE SIN PLAN DE PARTO",IF(DS77&gt;0,SUM(DS77-BO77)/7,""))))))))))</f>
        <v>#REF!</v>
      </c>
      <c r="DV77" s="226" t="e">
        <f>IF(AND(R77&lt;&gt;"",IK77="CAMBIO DE RESIDENCIA",IK77="CAMBIO DE IPS",IK77="CAMBIO DE EPS"),"SEGUIMIENTO REPORTE EPS",IF(IK77="IVE","IVE",IF(AND(R77&lt;&gt;"",OR(IK77&lt;&gt;"",#REF!&lt;&gt;"")),"SALIO PROGRAMA",IF(AND(AND(R77="",O77&gt;0),OR(IK77&lt;&gt;"",#REF!&lt;&gt;"")),"SALE SIN INGRESO CPN",IF(AND(R77="",O77&gt;0,IK77="",#REF!=""),"ACTIVA SIN INGRESO CPN",IF(AND(R77&lt;&gt;"",OR(IK77="",#REF!="")),"ACTIVA INGRESO A CPN",""))))))</f>
        <v>#REF!</v>
      </c>
      <c r="DW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7" s="216" t="e">
        <f t="shared" ca="1" si="266"/>
        <v>#REF!</v>
      </c>
      <c r="DY77" s="212">
        <f>IF(R77="","",IF(R77&gt;0,MAX(Tabla1[[#This Row],[FECHA C2]:[FECHA C13]],Tabla1[[#This Row],[FECHA CONSULTA PRIMERA VEZ PROGRAMA CPN ]])))</f>
        <v>45016</v>
      </c>
      <c r="DZ77" s="216">
        <f t="shared" si="267"/>
        <v>39</v>
      </c>
      <c r="EA77" s="222">
        <f>IF(R77&gt;0,SUM(COUNTA(DF77:DQ77)+COUNTA(Tabla1[[#This Row],[FECHA CONSULTA PRIMERA VEZ PROGRAMA CPN ]])),"")</f>
        <v>3</v>
      </c>
      <c r="EB77" s="222" t="str">
        <f t="shared" si="268"/>
        <v>NO</v>
      </c>
      <c r="EC77" s="214">
        <f t="shared" si="269"/>
        <v>5</v>
      </c>
      <c r="ED77" s="227">
        <f t="shared" si="270"/>
        <v>0.6</v>
      </c>
      <c r="EE77" s="22">
        <v>44930</v>
      </c>
      <c r="EF77" s="22">
        <v>44930</v>
      </c>
      <c r="EG77" s="22">
        <v>44930</v>
      </c>
      <c r="EH77" s="22"/>
      <c r="EI77" s="22">
        <v>44930</v>
      </c>
      <c r="EJ77" s="22">
        <v>44927</v>
      </c>
      <c r="EK77" s="22">
        <v>44927</v>
      </c>
      <c r="EL77" s="21">
        <v>1</v>
      </c>
      <c r="EM77" s="21">
        <v>10.7</v>
      </c>
      <c r="EN77" s="22">
        <v>44931</v>
      </c>
      <c r="EO77" s="222">
        <f t="shared" si="271"/>
        <v>27.571428571428573</v>
      </c>
      <c r="EP77" s="214" t="str">
        <f t="shared" si="272"/>
        <v>MANEJO MD POR ANEMIA FERROPENICA</v>
      </c>
      <c r="EQ77" s="216" t="str">
        <f t="shared" si="273"/>
        <v>II TRIM</v>
      </c>
      <c r="ER77" s="24"/>
      <c r="ES77" s="22"/>
      <c r="ET77" s="29" t="e">
        <f ca="1">IF(AND(BT77="ERROR FUM O INGRESO",ES77&gt;0),"ERROR FUM O INGRESO",IF(AND(ES77="",R77="",O77=""),"",IF(OR(AND(ES77&lt;&gt;"",ES77&lt;RW77),AND(ES77&lt;&gt;"",SUM((ES77-RW77)/7)&gt;40)),"CORREGIR FECHA RESULTADO",IF(AND(BU77&gt;1,BU77&lt;23,ER77="",ES77=""),"EN ESPERA PARA TOMA EXAMEN",IF(AND(BU77&gt;22,BU77&lt;26,ER77="",ES77=""),"PROGRAMAR TOMA HEMOGLOBINA A SEM 28",IF(AND(BU77&gt;25,BU77&lt;28,ER77="",ES77=""),"TOMA HEMOGLOBINA A SEM 28 EN 1 SEMANA",IF(AND(BU77&gt;27,BU77&lt;31,ES77="",OR(O77&gt;0,R77&gt;0)),"EN SEMANA 28 TOMA INMEDIATA DE EXAMEN",IF(AND(#REF!&gt;0,#REF!&lt;28,ES77="",OR(O77&gt;0,R77&gt;0)),"NO APLICA-SALE ANTES SEM 28",IF(AND(#REF!&gt;28,#REF!&lt;43,ES77="",OR(O77&gt;0,R77&gt;0)),"SALE SIN TAMIZAJE HEMOGLOBINA SEM 28",IF(AND(BS77&gt;0,ES77="",OR(O77&gt;0,R77&gt;0)),"TOMA DE HEMOGLOBINA TARDÍA",IF(ES77&gt;0,SUM(ES77-RW77)/7,"")))))))))))</f>
        <v>#REF!</v>
      </c>
      <c r="EU77" s="25" t="str">
        <f t="shared" si="275"/>
        <v/>
      </c>
      <c r="EV77" s="24" t="s">
        <v>866</v>
      </c>
      <c r="EW77" s="24">
        <v>44931</v>
      </c>
      <c r="EX77" s="22"/>
      <c r="EY77" s="29">
        <f t="shared" si="248"/>
        <v>27.571428571428573</v>
      </c>
      <c r="EZ77" s="25" t="str">
        <f t="shared" ca="1" si="249"/>
        <v/>
      </c>
      <c r="FA77" s="21">
        <v>63</v>
      </c>
      <c r="FB77" s="22">
        <v>44931</v>
      </c>
      <c r="FC77" s="29" t="str">
        <f t="shared" si="276"/>
        <v>NO APLICA &gt; 23 SEM -TOMAR PTOG</v>
      </c>
      <c r="FD77" s="29">
        <v>70</v>
      </c>
      <c r="FE77" s="29">
        <v>115</v>
      </c>
      <c r="FF77" s="29">
        <v>106</v>
      </c>
      <c r="FG77" s="21" t="str">
        <f t="shared" ca="1" si="277"/>
        <v>NORMAL</v>
      </c>
      <c r="FH77" s="31">
        <v>44958</v>
      </c>
      <c r="FI77" s="29">
        <f t="shared" si="278"/>
        <v>31.428571428571427</v>
      </c>
      <c r="FJ77" s="22"/>
      <c r="FK77" s="22"/>
      <c r="FL77" s="29" t="str">
        <f t="shared" ca="1" si="279"/>
        <v>NO APLICA-INGRESO TARDIO</v>
      </c>
      <c r="FM77" s="22"/>
      <c r="FN77" s="32"/>
      <c r="FO77" s="29" t="e">
        <f ca="1">IF(AND(BT77="ERROR FUM O INGRESO",FN77&gt;0),"ERROR FUM O INGRESO",IF(AND(FN77="",R77="",O77=""),"",IF(AND(FN77&lt;&gt;"",FN77&lt;RW77), "INCOHERENCIA FUM Y FECHA TAMIZAJE",IF(AND(FN77="",DV77="ACTIVA INGRESO A CPN",AND(BU77&gt;0,BU77&lt;13)),"EN ESPERA-ESTÁ I TRIM", IF(AND(FN77="",AND(BS77&gt;0, BS77&lt;13),OR(O77&gt;0,R77&gt;0),AND(#REF!&gt;0,#REF!&lt;13)),"NO APLICA-SALIO DEL PROGRAMA I TRIM",IF(AND(FN77&lt;&gt;"",AND(SUM((FN77-RW77)/7)&gt;0,SUM((FN77-RW77)/7)&lt;13)),"REGISTRAR EN I TRIMESTRE",IF(AND(FN77&lt;&gt;"",AND(SUM((FN77-RW77)/7)&gt;=27,SUM((FN77-RW77)/7)&lt;44)),"REGISTRAR EN III TRIMESTRE",IF(AND(FN77="",OR(O77&gt;0,R77&gt;0),AND(BU77&gt;=13,BU77&lt;24),DV77="ACTIVA INGRESO A CPN"),"EN RANGO PARA TOMAR EXAMEN",IF(AND(FN77="",OR(O77&gt;0,R77&gt;0),AND(BU77&gt;=25,BU77&lt;27),DV77="ACTIVA INGRESO A CPN"),"TOMA INMEDIATA DE TAMIZAJE",IF(AND(FN77="",OR(O77&gt;0,R77&gt;0),AND(BS77&gt;=27,BS77&lt;44)),"NO APLICA-INGRESO TARDIO",IF(AND(FN77="",BS77&lt;27,OR(AND(#REF!&gt;12,#REF!&lt;44),BU77&gt;12)),"PIERDE TOMA DE TAMIZAJE",IF(FN77&gt;0,SUM(FN77-RW77)/7,""))))))))))))</f>
        <v>#REF!</v>
      </c>
      <c r="FP77" s="22" t="s">
        <v>867</v>
      </c>
      <c r="FQ77" s="32">
        <v>44931</v>
      </c>
      <c r="FR77" s="29" t="e">
        <f ca="1">IF(AND(BT77="ERROR FUM O INGRESO",FQ77&gt;0),"ERROR FUM O INGRESO",IF(AND(FQ77="",R77="",O77=""),"",IF(AND(FQ77&lt;&gt;"",FQ77&lt;RW77), "INCOHERENCIA FUM Y FECHA TAMIZAJE",IF(AND(FQ77="",DV77="ACTIVA INGRESO A CPN",AND(BU77&gt;0,BU77&lt;27)),"EN ESPERA-ESTÁ I TRIM O II TRIM", IF(AND(FQ77="",AND(BS77&gt;0, BS77&lt;27),OR(O77&gt;0,R77&gt;0),AND(#REF!&gt;0,#REF!&lt;27)),"NO APLICA-SALIO DEL PROGRAMA I O II TRIM",IF(AND(FQ77&lt;&gt;"",AND(SUM((FQ77-RW77)/7)&gt;0,SUM((FQ77-RW77)/7)&lt;13)),"REGISTAR EN I TRIMESTRE",IF(AND(FQ77&lt;&gt;"",AND(SUM((FQ77-RW77)/7)&gt;=13,SUM((FQ77-RW77)/7)&lt;27)),"REGISTRAR EN II TRIMESTRE",IF(AND(FQ77="",OR(O77&gt;0,R77&gt;0),AND(BU77&gt;=28,BU77&lt;35),DV77="ACTIVA INGRESO A CPN"),"EN RANGO PARA TOMAR EXAMEN",IF(AND(FQ77="",OR(O77&gt;0,R77&gt;0),BU77&gt;=35, DV77="ACTIVA INGRESO A CPN"),"TOMA INMEDIATA DE TAMIZAJE",IF(AND(FQ77="",DV77= "SALE SIN INGRESO CPN"),"NO APLICA-SIN CPN",IF(AND(FQ77="",AND(#REF!&gt;26,#REF!&lt;43)),"PIERDE TOMA DE TAMIZAJE",IF(FQ77&gt;0,SUM(FQ77-RW77)/7,""))))))))))))</f>
        <v>#REF!</v>
      </c>
      <c r="FS77" s="22"/>
      <c r="FT77" s="32"/>
      <c r="FU77" s="29" t="str">
        <f>IF(AND(FJ77="",FM77="",FP77="",FS77=""),"",IF(OR(OR(Tabla1[[#This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7" s="28"/>
      <c r="FW77" s="22"/>
      <c r="FX77" s="29" t="str">
        <f t="shared" si="280"/>
        <v>TOMAR EXAMEN</v>
      </c>
      <c r="FY77" s="22"/>
      <c r="FZ77" s="22"/>
      <c r="GA77" s="29" t="str">
        <f t="shared" ca="1" si="250"/>
        <v>NO APLICA-INGRESO TARDIO</v>
      </c>
      <c r="GB77" s="22"/>
      <c r="GC77" s="22"/>
      <c r="GD77" s="29" t="e">
        <f ca="1">IF(AND(BT77="ERROR FUM O INGRESO",GC77&gt;0),"ERROR FUM O INGRESO",IF(AND(GC77="",R77="",O77=""),"",IF(AND(GC77&lt;&gt;"",GC77&lt;RW77), "INCOHERENCIA FUM Y FECHA TAMIZAJE",IF(AND(GC77="",DV77="ACTIVA INGRESO A CPN",AND(BU77&gt;0,BU77&lt;13)),"EN ESPERA-ESTÁ I TRIM", IF(AND(GC77="",AND(BS77&gt;0, BS77&lt;12),OR(O77&gt;0,R77&gt;0),AND(#REF!&gt;0,#REF!&lt;13)),"NO APLICA-SALIO DEL PROGRAMA I TRIM",IF(AND(GC77&lt;&gt;"",AND(SUM((GC77-RW77)/7)&gt;0,SUM((GC77-RW77)/7)&lt;13)),"REGISTRAR EN I TRIMESTRE",IF(AND(GC77&lt;&gt;"",AND(SUM((GC77-RW77)/7)&gt;=27,SUM((GC77-RW77)/7)&lt;44)),"REGISTRAR EN III TRIMESTRE",IF(AND(GC77="",OR(O77&gt;0,R77&gt;0),AND(BU77&gt;=12,BU77&lt;25),DV77="ACTIVA INGRESO A CPN"),"EN RANGO PARA TOMAR EXAMEN",IF(AND(GC77="",OR(O77&gt;0,R77&gt;0),AND(BU77&gt;=25,BU77&lt;27),DV77="ACTIVA INGRESO A CPN"),"TOMA INMEDIATA DE TAMIZAJE",IF(AND(GC77="",OR(O77&gt;0,R77&gt;0),AND(BS77&gt;=27,BS77&lt;43)),"NO APLICA-INGRESO TARDIO",IF(AND(GC77="",BS77&lt;27),"PIERDE TOMA DE TAMIZAJE",IF(GC77&gt;0,SUM(GC77-RW77)/7,""))))))))))))</f>
        <v>#REF!</v>
      </c>
      <c r="GE77" s="22" t="s">
        <v>868</v>
      </c>
      <c r="GF77" s="22">
        <v>44958</v>
      </c>
      <c r="GG77" s="29" t="e">
        <f ca="1">IF(AND(BT77="ERROR FUM O INGRESO",GF77&gt;0),"ERROR FUM O INGRESO",IF(AND(GF77="",R77="",O77=""),"",IF(AND(GF77&lt;&gt;"",GF77&lt;RW77), "INCOHERENCIA FUM Y FECHA TAMIZAJE",IF(AND(GF77="",DV77="ACTIVA INGRESO A CPN",AND(BU77&gt;0,BU77&lt;27)),"EN ESPERA-ESTÁ I TRIM O II TRIM", IF(AND(GF77="",AND(BS77&gt;0, BS77&lt;28),OR(O77&gt;0,R77&gt;0),AND(#REF!&gt;0,#REF!&lt;28)),"NO APLICA-SALIO DEL PROGRAMA I O II TRIM",IF(AND(GF77&lt;&gt;"",AND(SUM((GF77-RW77)/7)&gt;0,SUM((GF77-RW77)/7)&lt;13)),"REGISTAR EN I TRIMESTRE",IF(AND(GF77&lt;&gt;"",AND(SUM((GF77-RW77)/7)&gt;=13,SUM((GF77-RW77)/7)&lt;27)),"REGISTRAR EN II TRIMESTRE",IF(AND(GF77="",OR(O77&gt;0,R77&gt;0),AND(BU77&gt;=28,BU77&lt;35),DV77="ACTIVA INGRESO A CPN"),"EN RANGO PARA TOMAR EXAMEN",IF(AND(GF77="",OR(O77&gt;0,R77&gt;0),BU77&gt;=35, DV77="ACTIVA INGRESO A CPN"),"TOMA INMEDIATA DE TAMIZAJE",IF(AND(GF77="",DV77= "SALE SIN INGRESO CPN"),"NO APLICA-SIN CPN",IF(AND(GF77="",BS77&lt;44),"PIERDE TOMA DE TAMIZAJE",IF(GF77&gt;0,SUM(GF77-RW77)/7,""))))))))))))</f>
        <v>#REF!</v>
      </c>
      <c r="GH77" s="22"/>
      <c r="GI77" s="29"/>
      <c r="GJ77" s="22"/>
      <c r="GK77" s="22"/>
      <c r="GL77" s="22"/>
      <c r="GM77" s="22"/>
      <c r="GN77" s="28"/>
      <c r="GO77" s="22"/>
      <c r="GP77" s="29" t="str">
        <f t="shared" si="283"/>
        <v>TOMAR EXAMEN</v>
      </c>
      <c r="GQ77" s="28" t="s">
        <v>869</v>
      </c>
      <c r="GR77" s="28" t="s">
        <v>869</v>
      </c>
      <c r="GS77" s="22" t="str">
        <f t="shared" si="284"/>
        <v>CONTROL Igm</v>
      </c>
      <c r="GT77" s="22">
        <v>44931</v>
      </c>
      <c r="GU77" s="29">
        <f t="shared" si="285"/>
        <v>27.571428571428573</v>
      </c>
      <c r="GV77" s="21" t="str">
        <f t="shared" si="286"/>
        <v>II TRIM</v>
      </c>
      <c r="GW77" s="28" t="s">
        <v>869</v>
      </c>
      <c r="GX77" s="30"/>
      <c r="GY77" s="21"/>
      <c r="GZ77" s="21"/>
      <c r="HA77" s="21"/>
      <c r="HB77" s="21"/>
      <c r="HC77" s="21"/>
      <c r="HD77" s="21"/>
      <c r="HE77" s="21"/>
      <c r="HF77" s="22"/>
      <c r="HG77" s="22" t="str">
        <f>IF(OR(O77&gt;0,R77&gt;0),CONCATENATE(IF(Tabla1[[#This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7" s="22" t="e">
        <f t="shared" si="287"/>
        <v>#REF!</v>
      </c>
      <c r="HI77" s="22" t="e">
        <f t="shared" ca="1" si="288"/>
        <v>#REF!</v>
      </c>
      <c r="HJ77" s="21"/>
      <c r="HK77" s="21" t="str">
        <f t="shared" si="289"/>
        <v>SIN ANTECEDENTES DE RIESGO</v>
      </c>
      <c r="HL77" s="24" t="str">
        <f t="shared" si="290"/>
        <v>REGISTRE DATO PRESIÓN ARTERIAL MENSUAL</v>
      </c>
      <c r="HM77" s="21" t="e">
        <f t="shared" ca="1" si="291"/>
        <v>#REF!</v>
      </c>
      <c r="HN77" s="30" t="e">
        <f>IF(AND(R77&lt;&gt;"",IK77="CAMBIO DE RESIDENCIA"),"SEGUIMIENTO REPORTE EPS",IF(AND(R77&lt;&gt;"",OR(IK77&lt;&gt;"",#REF!&lt;&gt;"")),"SALIO PROGRAMA",IF(AND(AND(R77="",O77&gt;0),OR(IK77&lt;&gt;"",#REF!&lt;&gt;"")),"SALE SIN INGRESO CPN",IF(AND(R77="",O77&gt;0,IK77="",#REF!=""),"ACTIVA SIN INGRESO CPN",IF(AND(R77&lt;&gt;"",OR(IK77="",#REF!="")),"ACTIVA INGRESO A CPN","")))))</f>
        <v>#REF!</v>
      </c>
      <c r="HO77" s="21"/>
      <c r="HP77" s="21"/>
      <c r="HQ77" s="21">
        <v>45016</v>
      </c>
      <c r="HR77" s="21" t="str">
        <f>IF(R77="","",IF(Tabla1[[#This Row],[ALARMA FACTORES DE RIESGO COMPLICACIONES HIPERTENSIVAS3]]="SIN ANTECEDENTES DE RIESGO","No Aplica para suministro de ASA",IF(AND(Tabla1[[#This Row],[FECHA INICIO DE SUMINISTRO DE ASA]]&gt;0,RV77&lt;12),"Inicia ASA ANTES de Sem 12",IF(AND(RV77&gt;11,RV77&lt;17,OR(HK77="RIESGO ALTO DE COMPLICACIONES HIPERTENSIVAS VER MANEJO GUIA SUMINISTRO ASA Y CALCIO",HK77="RIESGO MODERADO (2 O MAS CRITERIOS) VER MANEJO GUIA SUMINISTRO ASA Y CALCIO")),"Inicio oportuno de ASA",IF(AND(RV77&gt;12,OR(HK77="RIESGO ALTO DE COMPLICACIONES HIPERTENSIVAS VER MANEJO GUIA SUMINISTRO ASA Y CALCIO",HK77="RIESGO MODERADO (2 O MAS CRITERIOS) VER MANEJO GUIA SUMINISTRO ASA Y CALCIO")),"Inicio no oportuno mayor a 16 semanas",IF(AND(BU77&lt;12,OR(HK77="RIESGO ALTO DE COMPLICACIONES HIPERTENSIVAS VER MANEJO GUIA SUMINISTRO ASA Y CALCIO",HK77="RIESGO MODERADO (2 O MAS CRITERIOS) VER MANEJO GUIA SUMINISTRO ASA Y CALCIO")),"Pendiente Inicio de ASA a la semana 12",IF(AND(BU77&gt;11,BU77&lt;17,OR(HK77="RIESGO ALTO DE COMPLICACIONES HIPERTENSIVAS VER MANEJO GUIA SUMINISTRO ASA Y CALCIO",HK77="RIESGO MODERADO (2 O MAS CRITERIOS) VER MANEJO GUIA SUMINISTRO ASA Y CALCIO")),"Iniciar de inmediato ASA",IF(AND(BU77&gt;16,OR(HK77="RIESGO ALTO DE COMPLICACIONES HIPERTENSIVAS VER MANEJO GUIA SUMINISTRO ASA Y CALCIO",HK77="RIESGO MODERADO (2 O MAS CRITERIOS) VER MANEJO GUIA SUMINISTRO ASA Y CALCIO")),"Pierde Oportunidad, Inicio tardío de ASA","XXXXX"))))))))</f>
        <v>No Aplica para suministro de ASA</v>
      </c>
      <c r="HS77" s="22">
        <v>45016</v>
      </c>
      <c r="HT77" s="22" t="s">
        <v>870</v>
      </c>
      <c r="HU77" s="22"/>
      <c r="HV77" s="22"/>
      <c r="HW77" s="22">
        <v>45016</v>
      </c>
      <c r="HX77" s="22" t="s">
        <v>870</v>
      </c>
      <c r="HY77" s="22">
        <v>44922</v>
      </c>
      <c r="HZ77" s="28">
        <f t="shared" si="292"/>
        <v>26.285714285714285</v>
      </c>
      <c r="IA77" s="26" t="s">
        <v>864</v>
      </c>
      <c r="IB77" s="26"/>
      <c r="IC77" s="111"/>
      <c r="ID77" s="22"/>
      <c r="IE77" s="22" t="str">
        <f t="shared" ca="1" si="293"/>
        <v>SALE SIN VACUNA</v>
      </c>
      <c r="IF77" s="22"/>
      <c r="IG77" s="22">
        <f t="shared" si="294"/>
        <v>45018</v>
      </c>
      <c r="IH77" s="29">
        <f t="shared" ca="1" si="295"/>
        <v>-215</v>
      </c>
      <c r="II77" s="22" t="str">
        <f t="shared" ca="1" si="296"/>
        <v>POSIBLEMENTE NACIO</v>
      </c>
      <c r="IJ77" s="22"/>
      <c r="IK77" s="21" t="s">
        <v>898</v>
      </c>
      <c r="IL77" s="21"/>
      <c r="IM77" s="34"/>
      <c r="IN77" s="349">
        <v>45037</v>
      </c>
      <c r="IO77" s="21" t="s">
        <v>1186</v>
      </c>
      <c r="IP77" s="29">
        <f t="shared" si="435"/>
        <v>42.714285714285715</v>
      </c>
      <c r="IQ77" s="110" t="s">
        <v>1644</v>
      </c>
      <c r="IR77" s="21" t="s">
        <v>1645</v>
      </c>
      <c r="IS77" s="21" t="s">
        <v>1646</v>
      </c>
      <c r="IT77" s="21" t="s">
        <v>1642</v>
      </c>
      <c r="IU77" s="21"/>
      <c r="IV77" s="21"/>
      <c r="IW77" s="21"/>
      <c r="IX77" s="21"/>
      <c r="IY77" s="21"/>
      <c r="IZ77" s="21"/>
      <c r="JA77" s="21"/>
      <c r="JB77" s="30">
        <v>1</v>
      </c>
      <c r="JC77" s="21" t="s">
        <v>1647</v>
      </c>
      <c r="JD77" s="36">
        <v>3390</v>
      </c>
      <c r="JE77" s="21" t="str">
        <f t="shared" si="434"/>
        <v>PESO ADECUADO EDAD GESTACIONAL</v>
      </c>
      <c r="JF77" s="30"/>
      <c r="JG77" s="21"/>
      <c r="JH77" s="21"/>
      <c r="JI77" s="21" t="s">
        <v>854</v>
      </c>
      <c r="JJ77" s="30" t="s">
        <v>866</v>
      </c>
      <c r="JK77" s="22"/>
      <c r="JL77" s="22"/>
      <c r="JM77" s="21"/>
      <c r="JN77" s="36"/>
      <c r="JO77" s="21" t="e">
        <f>IF(AND(JN77&gt;700,JN77&lt;2500,#REF!&gt;36,#REF!&lt;43),"BAJO PESO AL NACER",IF(AND(JN77&gt;700,JN77&lt;2500,#REF!&lt;37),"PREMATURO",IF(AND(JN77&gt;2499,JN77&lt;5000,#REF!&lt;37),"ERROR VERIFICAR DATO EDAD GESTACIONAL VS PESO",IF(AND(JN77&gt;2499,JN77&lt;4000,#REF!&gt;36,#REF!&lt;43),"PESO ADECUADO EDAD GESTACIONAL",IF(AND(JN77&gt;3999,JN77&lt;6000,#REF!&gt;36,#REF!&lt;43),"PESO GRANDE EDAD GESTACIONAL","")))))</f>
        <v>#REF!</v>
      </c>
      <c r="JP77" s="22"/>
      <c r="JQ77" s="21"/>
      <c r="JR77" s="21"/>
      <c r="JS77" s="21"/>
      <c r="JT77" s="30"/>
      <c r="JU77" s="22"/>
      <c r="JV77" s="22"/>
      <c r="JW77" s="33"/>
      <c r="JX77" s="28" t="e">
        <f>IF(AND(JW77&lt;&gt;"",JW77&lt;#REF!),"INCONSISTENCIA FECHA CONTROL",IF(AND(OR(IK77="Parto",IK77="Cesarea"),JW77&gt;0,#REF!&gt;0),SUM(JW77-#REF!),IF(AND(OR(IK77="Parto",IK77="Cesarea"),JW77="",#REF!&gt;0),"INASISTENTE","")))</f>
        <v>#REF!</v>
      </c>
      <c r="JY77" s="33"/>
      <c r="JZ77" s="28" t="e">
        <f>IF(AND(JY77&lt;&gt;"",JY77&lt;#REF!),"INCONSISTENCIA FECHA CONTROL",IF(AND(OR(IK77="Parto",IK77="Cesarea",IK77="Aborto Espontaneo",IK77="Aborto Inducido",IK77="IVE"),JY77&gt;0,#REF!&gt;0),SUM(JY77-#REF!),IF(AND(JY77&lt;&gt;"",JY77&lt;#REF!),"INCONSISTENCIA FECHA CONTROL",IF(AND(OR(IK77="Parto",IK77="Cesarea",IK77="Aborto Espontaneo",IK77="Aborto Inducido",IK77="IVE"),JY77="",#REF!&gt;0),"INASISTENTE",""))))</f>
        <v>#REF!</v>
      </c>
      <c r="KA77" s="21"/>
      <c r="KB77" s="21"/>
      <c r="KC77" s="21"/>
      <c r="KD77" s="37"/>
      <c r="KE77" s="28"/>
      <c r="KF77" s="28"/>
      <c r="KG77" s="28"/>
      <c r="KH77" s="39"/>
      <c r="KI77" s="39"/>
      <c r="KJ77" s="66"/>
      <c r="KK77" s="39"/>
      <c r="KL77" s="39"/>
      <c r="KM77" s="66"/>
      <c r="KN77" s="39"/>
      <c r="KO77" s="39"/>
      <c r="KP77" s="39"/>
      <c r="KQ77" s="39"/>
      <c r="KR77" s="39"/>
      <c r="KS77" s="39"/>
      <c r="KT77" s="39"/>
      <c r="KU77" s="38"/>
      <c r="KV77" s="38"/>
      <c r="KW77" s="38"/>
      <c r="KX77" s="38"/>
      <c r="KY77" s="38"/>
      <c r="KZ77" s="38"/>
      <c r="LA77" s="38"/>
      <c r="LB77" s="38"/>
      <c r="LC77" s="38"/>
      <c r="LD77" s="38"/>
      <c r="LE77" s="38"/>
      <c r="LF77" s="38"/>
      <c r="LG77" s="38"/>
      <c r="LH77" s="38"/>
      <c r="LI77" s="38"/>
      <c r="LJ77" s="38"/>
      <c r="LK77" s="38"/>
      <c r="LL77" s="38"/>
      <c r="LM77" s="38"/>
      <c r="LN77" s="38"/>
      <c r="LO77" s="38"/>
      <c r="LP77" s="38"/>
      <c r="LQ77" s="38"/>
      <c r="LR77" s="38"/>
      <c r="LS77" s="38"/>
      <c r="LT77" s="38"/>
      <c r="LU77" s="38"/>
      <c r="LV77" s="38"/>
      <c r="LW77" s="38"/>
      <c r="LX77" s="38"/>
      <c r="LY77" s="38"/>
      <c r="LZ77" s="38"/>
      <c r="MA77" s="38"/>
      <c r="MB77" s="38"/>
      <c r="MC77" s="38"/>
      <c r="MD77" s="38"/>
      <c r="ME77" s="38"/>
      <c r="MF77" s="38"/>
      <c r="MG77" s="38"/>
      <c r="MH77" s="43">
        <f t="shared" si="302"/>
        <v>0</v>
      </c>
      <c r="MI77" s="43" t="str">
        <f t="shared" si="303"/>
        <v/>
      </c>
      <c r="MJ77" s="43" t="str">
        <f t="shared" si="304"/>
        <v/>
      </c>
      <c r="MK77" s="43">
        <f t="shared" si="305"/>
        <v>0</v>
      </c>
      <c r="ML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7" s="43">
        <f t="shared" si="306"/>
        <v>27.428571428571427</v>
      </c>
      <c r="MN77" s="43">
        <f t="shared" si="307"/>
        <v>1</v>
      </c>
      <c r="MO77" s="43">
        <f t="shared" si="308"/>
        <v>2023</v>
      </c>
      <c r="MP77" s="43" t="str">
        <f t="shared" si="309"/>
        <v>I TRIMESTRE AÑO</v>
      </c>
      <c r="MQ77" s="43">
        <f t="shared" si="310"/>
        <v>23.220543144984671</v>
      </c>
      <c r="MR77" s="43">
        <f t="shared" si="311"/>
        <v>0</v>
      </c>
      <c r="MS77" s="43" t="str">
        <f t="shared" si="312"/>
        <v xml:space="preserve"> DE 20 A 24 AÑOS</v>
      </c>
      <c r="MT77" s="43">
        <f t="shared" si="313"/>
        <v>0</v>
      </c>
      <c r="MU77" s="43">
        <f t="shared" si="314"/>
        <v>0</v>
      </c>
      <c r="MV77" s="43">
        <f t="shared" si="315"/>
        <v>0</v>
      </c>
      <c r="MW77" s="43">
        <f t="shared" si="316"/>
        <v>0</v>
      </c>
      <c r="MX77" s="43">
        <f t="shared" si="317"/>
        <v>1</v>
      </c>
      <c r="MY77" s="43" t="e">
        <f ca="1">IF(AND(AND(BU77&gt;40.9,BU77&lt;43),#REF!=""),1,"")</f>
        <v>#REF!</v>
      </c>
      <c r="MZ77" s="43" t="str">
        <f t="shared" si="318"/>
        <v/>
      </c>
      <c r="NA77" s="43">
        <f t="shared" si="319"/>
        <v>0</v>
      </c>
      <c r="NB77" s="43" t="str">
        <f t="shared" si="320"/>
        <v/>
      </c>
      <c r="NC77" s="43" t="str">
        <f t="shared" si="321"/>
        <v/>
      </c>
      <c r="ND77" s="43" t="e">
        <f t="shared" ca="1" si="322"/>
        <v>#REF!</v>
      </c>
      <c r="NE77" s="43">
        <f>IF(OR(O77&gt;0,R77&gt;0),SUM(COUNTIF(Tabla1[[#This Row],[AÑOS AL INICIO5 CPN]],"&gt;=40"),COUNTIF(AS77,"0"),COUNTIF(AR77,"SI"),COUNTIF(CC77,"SI"),COUNTIF(BQ77,"&gt;119"),COUNTIF(CI77,"&gt;=35")),"")</f>
        <v>0</v>
      </c>
      <c r="NF77" s="43" t="str">
        <f t="shared" si="323"/>
        <v/>
      </c>
      <c r="NG77" s="43">
        <f t="shared" si="324"/>
        <v>0</v>
      </c>
      <c r="NH77" s="43">
        <f t="shared" si="325"/>
        <v>217.70000000000002</v>
      </c>
      <c r="NI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CPN",P77="NO"),"Z",IF(AND(Tabla1[[#This Row],[CITA PROXIMO CONTROL]]="CITA MANUAL",Tabla1[[#This Row],[GESTANTES ACTUALES]]="ACTIVA INGRESO A CPN"),"W",IF(AND(Tabla1[[#This Row],[GESTANTES ACTUALES]]="SALIO PROGRAMA",#REF!=""),"S",IF(AND(Tabla1[[#This Row],[CITA PROXIMO CONTROL]]&gt;0,#REF!=""),(Tabla1[[#This Row],[CITA PROXIMO CONTROL]]-TODAY()),"SD"))))))))</f>
        <v>#REF!</v>
      </c>
      <c r="NJ77" s="43">
        <f>MONTH(Tabla1[[#This Row],[FECHA DE SALIDA  DEL PROGRAMA]])</f>
        <v>4</v>
      </c>
      <c r="NK77" s="43">
        <f>YEAR(Tabla1[[#This Row],[FECHA DE SALIDA  DEL PROGRAMA]])</f>
        <v>2023</v>
      </c>
      <c r="NL77" s="43">
        <f t="shared" si="326"/>
        <v>-3</v>
      </c>
      <c r="NM77" s="43" t="str">
        <f t="shared" si="251"/>
        <v>NO</v>
      </c>
      <c r="NN77" s="43" t="str">
        <f ca="1">IF(AND(O77&gt;0,R77=""),"NO CPN",IF(AND(O77="",R77=""),"",IF(AND(R77&gt;0,Tabla1[[#This Row],[SEMANAS DE GESTACION ACTUALIZADAS]]&lt;=12),"NO APLICA",IF(AND(FH77&lt;&gt;"",FN77&lt;&gt;""),"SI","NO"))))</f>
        <v>NO</v>
      </c>
      <c r="NO77" s="43" t="str">
        <f ca="1">IF(AND(O77&gt;0,R77=""),"NO CPN",IF(AND(O77="",R77=""),"",IF(AND(R77&gt;0,Tabla1[[#This Row],[SEMANAS DE GESTACION ACTUALIZADAS]]&lt;=27),"NO APLICA",IF(AND(ES77&lt;&gt;"",FQ77&lt;&gt;"",GF77&lt;&gt;""),"SI","NO"))))</f>
        <v>NO</v>
      </c>
      <c r="NP77" s="204" t="str">
        <f t="shared" si="327"/>
        <v>III TRIM</v>
      </c>
      <c r="NQ77" s="21" t="str">
        <f t="shared" ref="NQ77:NQ124" si="436">IF(AND(IP78&gt;0,IP78&lt;37),10,IF(OR(CD78="Transversa",CD78="Oblicua"),9,IF(CC78="SI",8,IF(AND(AT78=0,AW78=0,CC78="NO",CD78="Cefálica",IP78&gt;=37,IT78="INICIO ESPONTÁNEO"),1,IF(AND(AND(AT78=0,AW78=0,CC78="NO",CD78="Cefálica",IP78&gt;=37),OR(IT78="LE HACEN INDUCCIÓN",IT78="LE HACEN CESÁREA SIN INICIO TRABAJO DE PARTO")),2,IF(AND(AT78&gt;=1,AW78=0,CC78="NO",CD78="Cefálica",IP78&gt;=37,IT78="INICIO ESPONTÁNEO"),3,IF(AND(AND(AT78&gt;=1,AW78=0,CC78="NO",CD78="Cefálica",IP78&gt;=37),OR(IT78="LE HACEN INDUCCIÓN",IT78="LE HACEN CESÁREA SIN INICIO TRABAJO DE PARTO")),4,IF(AND(AND(AT78&gt;=1,AW78&gt;=1,CC78="NO",CD78="Cefálica",IP78&gt;=37),OR(IT78="LE HACEN INDUCCIÓN",IT78="LE HACEN CESÁREA SIN INICIO TRABAJO DE PARTO",IT78="INICIO ESPONTÁNEO")),5,IF(AND(AND(AT78=0,AW78=0,CC78="NO",CD78="Podálica",IP78&gt;=1),OR(IT78="LE HACEN INDUCCIÓN",IT78="LE HACEN CESÁREA SIN INICIO TRABAJO DE PARTO",IT78="INICIO ESPONTÁNEO")),6,IF(AND(AND(AT78&gt;=1,CC78="NO",CD78="Podálica",IP78&gt;=1),OR(IT78="LE HACEN INDUCCIÓN",IT78="LE HACEN CESÁREA SIN INICIO TRABAJO DE PARTO",IT78="INICIO ESPONTÁNEO"),OR(AW78=0,AW78&gt;=1)),7,""))))))))))</f>
        <v/>
      </c>
      <c r="NR77" s="21" t="e">
        <f>IF(AND(O77="",R77=""),"",IF(AND(BS77&gt;0,BS77&lt;12,#REF!&gt;28,#REF!&lt;44),3, IF(OR(AND(BS77&gt;=12,BS77&lt;28,#REF!&gt;=28,#REF!&lt;44),AND(BS77&gt;0,BS77&lt;12,#REF!&gt;=12,#REF!&lt;29)),2,IF(OR(AND(BS77&gt;=28,BS77&lt;44),AND(BS77&gt;0,BS77&lt;12,#REF!&gt;0,#REF!&lt;12),AND(BS77&gt;=12,BS77&lt;28,#REF!&gt;=12,#REF!&lt;28)),1,IF(AND(BS77&gt;0,BS77&lt;12,BU77&gt;=28,BU77&lt;44,DV77="ACTIVA INGRESO A CPN"),3,IF(OR(AND(BS77&gt;0,BS77&lt;12,BU77&gt;=12,BU77&lt;28,DV77="ACTIVA INGRESO A CPN"),AND(BS77&gt;=12,BS77&lt;28,BU77&gt;=28,BU77&lt;44,DV77="ACTIVA INGRESO A CPN")),2,IF(OR(AND(BS77&gt;0,BS77&lt;12,BU77&gt;0,BU77&lt;12,DV77="ACTIVA INGRESO A CPN"),AND(BS77&gt;=12,BS77&lt;28,BU77&gt;=12,BU77&lt;28,DV77="ACTIVA INGRESO A CPN")),1,"REVISAR FUM O FECHA SALIDA PROGRAMA")))))))</f>
        <v>#REF!</v>
      </c>
      <c r="NS77" s="205">
        <f t="shared" ca="1" si="328"/>
        <v>0</v>
      </c>
      <c r="NT77" s="21">
        <f t="shared" ca="1" si="329"/>
        <v>0</v>
      </c>
      <c r="NU77" s="21" t="e">
        <f t="shared" si="330"/>
        <v>#REF!</v>
      </c>
      <c r="NV77" s="21" t="e">
        <f t="shared" si="331"/>
        <v>#REF!</v>
      </c>
      <c r="NW77" s="206" t="str">
        <f>IF(AND(O77="",R77=""),"",IF(OR(AND(Tabla1[[#This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7" s="207" t="str">
        <f t="shared" ca="1" si="332"/>
        <v>SIN VACUNAR</v>
      </c>
      <c r="NY77" s="43">
        <f>ROW(Tabla1[[#This Row],['# DE TAMIZAJES SIFILIS TOMADOS ]])</f>
        <v>77</v>
      </c>
      <c r="NZ77" s="43">
        <f t="shared" si="333"/>
        <v>27</v>
      </c>
      <c r="OA77" s="43" t="str">
        <f t="shared" si="334"/>
        <v/>
      </c>
      <c r="OB77" s="43" t="str">
        <f t="shared" si="335"/>
        <v/>
      </c>
      <c r="OC77" s="43" t="str">
        <f t="shared" si="336"/>
        <v/>
      </c>
      <c r="OD77" s="43" t="str">
        <f t="shared" si="337"/>
        <v/>
      </c>
      <c r="OE77" s="43" t="str">
        <f t="shared" si="338"/>
        <v/>
      </c>
      <c r="OF77" s="43" t="str">
        <f t="shared" si="339"/>
        <v/>
      </c>
      <c r="OG77" s="43" t="str">
        <f t="shared" si="340"/>
        <v/>
      </c>
      <c r="OH77" s="43" t="str">
        <f t="shared" si="341"/>
        <v/>
      </c>
      <c r="OI77" s="43" t="str">
        <f t="shared" si="342"/>
        <v/>
      </c>
      <c r="OJ77" s="43" t="str">
        <f t="shared" si="343"/>
        <v/>
      </c>
      <c r="OK77" s="43" t="str">
        <f t="shared" si="344"/>
        <v/>
      </c>
      <c r="OL77" s="43" t="str">
        <f t="shared" si="345"/>
        <v/>
      </c>
      <c r="OM77" s="43" t="str">
        <f t="shared" si="346"/>
        <v/>
      </c>
      <c r="ON77" s="43" t="str">
        <f t="shared" si="347"/>
        <v/>
      </c>
      <c r="OO77" s="43" t="str">
        <f t="shared" si="348"/>
        <v/>
      </c>
      <c r="OP77" s="43" t="str">
        <f t="shared" si="349"/>
        <v/>
      </c>
      <c r="OQ77" s="43" t="str">
        <f t="shared" si="350"/>
        <v/>
      </c>
      <c r="OR77" s="43" t="str">
        <f t="shared" si="351"/>
        <v/>
      </c>
      <c r="OS77" s="43" t="str">
        <f t="shared" si="352"/>
        <v/>
      </c>
      <c r="OT77" s="43" t="str">
        <f t="shared" si="353"/>
        <v/>
      </c>
      <c r="OU77" s="43" t="str">
        <f t="shared" si="354"/>
        <v/>
      </c>
      <c r="OV77" s="110" t="str">
        <f t="shared" si="355"/>
        <v/>
      </c>
      <c r="OW77" s="43" t="str">
        <f t="shared" si="356"/>
        <v/>
      </c>
      <c r="OX77" s="43" t="str">
        <f t="shared" si="357"/>
        <v/>
      </c>
      <c r="OY77" s="43" t="str">
        <f t="shared" si="358"/>
        <v/>
      </c>
      <c r="OZ77" s="43" t="str">
        <f t="shared" si="359"/>
        <v/>
      </c>
      <c r="PA77" s="43" t="str">
        <f t="shared" si="360"/>
        <v/>
      </c>
      <c r="PB77" s="43" t="str">
        <f t="shared" si="361"/>
        <v/>
      </c>
      <c r="PC77" s="43" t="str">
        <f t="shared" si="362"/>
        <v/>
      </c>
      <c r="PD77" s="43" t="str">
        <f t="shared" si="363"/>
        <v/>
      </c>
      <c r="PE77" s="43" t="str">
        <f t="shared" si="364"/>
        <v/>
      </c>
      <c r="PF77" s="43" t="str">
        <f t="shared" si="365"/>
        <v/>
      </c>
      <c r="PG77" s="43" t="str">
        <f t="shared" si="366"/>
        <v/>
      </c>
      <c r="PH77" s="43" t="str">
        <f t="shared" si="367"/>
        <v/>
      </c>
      <c r="PI77" s="43">
        <f t="shared" si="368"/>
        <v>39</v>
      </c>
      <c r="PJ77" s="43" t="str">
        <f t="shared" si="369"/>
        <v/>
      </c>
      <c r="PK77" s="43" t="str">
        <f t="shared" si="370"/>
        <v/>
      </c>
      <c r="PL77" s="43" t="str">
        <f t="shared" si="371"/>
        <v/>
      </c>
      <c r="PM77" s="43" t="str">
        <f t="shared" si="372"/>
        <v/>
      </c>
      <c r="PN77" s="43" t="str">
        <f t="shared" si="373"/>
        <v/>
      </c>
      <c r="PO77" s="43" t="str">
        <f t="shared" si="374"/>
        <v/>
      </c>
      <c r="PP77" s="43" t="str">
        <f t="shared" si="375"/>
        <v/>
      </c>
      <c r="PQ77" s="43" t="str">
        <f t="shared" si="376"/>
        <v/>
      </c>
      <c r="PR77" s="43" t="str">
        <f t="shared" si="377"/>
        <v/>
      </c>
      <c r="PS77" s="43" t="str">
        <f t="shared" si="378"/>
        <v/>
      </c>
      <c r="PT77" s="43" t="str">
        <f t="shared" si="379"/>
        <v/>
      </c>
      <c r="PU77" s="43" t="str">
        <f t="shared" si="380"/>
        <v/>
      </c>
      <c r="PV77" s="43" t="str">
        <f t="shared" si="381"/>
        <v/>
      </c>
      <c r="PW77" s="43" t="str">
        <f t="shared" si="382"/>
        <v/>
      </c>
      <c r="PX77" s="43" t="str">
        <f t="shared" si="383"/>
        <v/>
      </c>
      <c r="PY77" s="43" t="str">
        <f t="shared" si="384"/>
        <v/>
      </c>
      <c r="PZ77" s="43" t="str">
        <f t="shared" si="385"/>
        <v/>
      </c>
      <c r="QA77" s="43" t="str">
        <f t="shared" si="386"/>
        <v/>
      </c>
      <c r="QB77" s="43" t="str">
        <f t="shared" si="387"/>
        <v/>
      </c>
      <c r="QC77" s="43" t="str">
        <f t="shared" si="388"/>
        <v/>
      </c>
      <c r="QD77" s="43" t="str">
        <f t="shared" si="389"/>
        <v/>
      </c>
      <c r="QE77" s="43" t="str">
        <f t="shared" si="390"/>
        <v/>
      </c>
      <c r="QF77" s="43" t="str">
        <f t="shared" si="391"/>
        <v/>
      </c>
      <c r="QG77" s="43" t="str">
        <f t="shared" si="392"/>
        <v/>
      </c>
      <c r="QH77" s="43" t="str">
        <f t="shared" si="393"/>
        <v/>
      </c>
      <c r="QI77" s="43" t="str">
        <f t="shared" si="394"/>
        <v/>
      </c>
      <c r="QJ77" s="43" t="str">
        <f t="shared" si="395"/>
        <v/>
      </c>
      <c r="QK77" s="43" t="str">
        <f t="shared" si="396"/>
        <v/>
      </c>
      <c r="QL77" s="43" t="str">
        <f t="shared" si="397"/>
        <v/>
      </c>
      <c r="QM77" s="43" t="str">
        <f t="shared" si="398"/>
        <v/>
      </c>
      <c r="QN77" s="43" t="str">
        <f t="shared" si="399"/>
        <v/>
      </c>
      <c r="QO77" s="43" t="str">
        <f t="shared" si="400"/>
        <v/>
      </c>
      <c r="QP77" s="43" t="str">
        <f t="shared" si="401"/>
        <v/>
      </c>
      <c r="QQ77" s="43" t="str">
        <f t="shared" si="402"/>
        <v/>
      </c>
      <c r="QR77" s="43">
        <f t="shared" si="432"/>
        <v>39</v>
      </c>
      <c r="QS77" s="43"/>
      <c r="QT77" s="21" t="str">
        <f t="shared" si="403"/>
        <v/>
      </c>
      <c r="QU77" s="21" t="str">
        <f t="shared" si="404"/>
        <v/>
      </c>
      <c r="QV77" s="21" t="str">
        <f t="shared" si="405"/>
        <v/>
      </c>
      <c r="QW77" s="21" t="str">
        <f t="shared" si="406"/>
        <v/>
      </c>
      <c r="QX77" s="21" t="str">
        <f t="shared" si="407"/>
        <v/>
      </c>
      <c r="QY77" s="21" t="str">
        <f t="shared" si="408"/>
        <v/>
      </c>
      <c r="QZ77" s="21" t="str">
        <f t="shared" si="409"/>
        <v/>
      </c>
      <c r="RA77" s="21" t="str">
        <f t="shared" si="410"/>
        <v/>
      </c>
      <c r="RB77" s="21" t="str">
        <f t="shared" si="411"/>
        <v/>
      </c>
      <c r="RC77" s="21" t="str">
        <f t="shared" si="412"/>
        <v/>
      </c>
      <c r="RD77" s="21" t="str">
        <f t="shared" si="413"/>
        <v/>
      </c>
      <c r="RE77" s="21" t="str">
        <f t="shared" si="414"/>
        <v/>
      </c>
      <c r="RF77" s="21" t="str">
        <f t="shared" si="415"/>
        <v/>
      </c>
      <c r="RG77" s="21" t="str">
        <f t="shared" si="416"/>
        <v/>
      </c>
      <c r="RH77" s="21" t="str">
        <f t="shared" si="417"/>
        <v/>
      </c>
      <c r="RI77" s="21" t="str">
        <f t="shared" si="418"/>
        <v/>
      </c>
      <c r="RJ77" s="21" t="str">
        <f t="shared" si="419"/>
        <v/>
      </c>
      <c r="RK77" s="21" t="str">
        <f t="shared" si="420"/>
        <v/>
      </c>
      <c r="RL77" s="21" t="str">
        <f t="shared" si="421"/>
        <v/>
      </c>
      <c r="RM77" s="21" t="str">
        <f t="shared" si="422"/>
        <v/>
      </c>
      <c r="RN77" s="21" t="str">
        <f t="shared" si="423"/>
        <v/>
      </c>
      <c r="RO77" s="21" t="str">
        <f t="shared" si="424"/>
        <v/>
      </c>
      <c r="RP77" s="21" t="str">
        <f t="shared" si="425"/>
        <v/>
      </c>
      <c r="RQ77" s="21" t="str">
        <f t="shared" si="426"/>
        <v/>
      </c>
      <c r="RR77" s="21" t="str">
        <f t="shared" si="427"/>
        <v/>
      </c>
      <c r="RS77" s="21" t="str">
        <f t="shared" si="428"/>
        <v/>
      </c>
      <c r="RT77" s="21" t="str">
        <f t="shared" si="429"/>
        <v/>
      </c>
      <c r="RU77" s="21" t="str">
        <f t="shared" si="430"/>
        <v/>
      </c>
      <c r="RV77" s="21">
        <f t="shared" si="431"/>
        <v>39.714285714285715</v>
      </c>
      <c r="RW77" s="284">
        <f>IF(OR(Tabla1[[#This Row],[FUM FORMULA CONFIABLE]]="",Tabla1[[#This Row],[FUM FORMULA CONFIABLE]]="SD"),"",IF(Tabla1[[#This Row],[FUM FORMULA CONFIABLE]]="CORREGIDA",Tabla1[[#This Row],[FUM X ECO 1]],Tabla1[[#This Row],[FUM x AMENORREA]]))</f>
        <v>44738</v>
      </c>
      <c r="RX77" s="21">
        <f>IF(AND(Tabla1[[#This Row],[FUM X ECO 1]]="",Tabla1[[#This Row],[FUM x AMENORREA]]=""),"",IF(AND(Tabla1[[#This Row],[FUM X ECO 1]]="",Tabla1[[#This Row],[FUM x AMENORREA]]&lt;&gt;""),"X",SUM(Tabla1[[#This Row],[FUM X ECO 1]]-Tabla1[[#This Row],[FUM x AMENORREA]])))</f>
        <v>1.3000000000029104</v>
      </c>
      <c r="RY77" s="21">
        <f t="shared" si="433"/>
        <v>0</v>
      </c>
    </row>
    <row r="78" spans="1:493" ht="45" customHeight="1" x14ac:dyDescent="0.25">
      <c r="A78" s="109" t="s">
        <v>1234</v>
      </c>
      <c r="B78" s="43"/>
      <c r="C78" s="43" t="s">
        <v>845</v>
      </c>
      <c r="D78" s="124" t="s">
        <v>846</v>
      </c>
      <c r="E78" s="43" t="s">
        <v>909</v>
      </c>
      <c r="F78" s="43" t="s">
        <v>1235</v>
      </c>
      <c r="G78" s="43" t="s">
        <v>981</v>
      </c>
      <c r="H78" s="43" t="s">
        <v>1129</v>
      </c>
      <c r="I78" s="109" t="s">
        <v>851</v>
      </c>
      <c r="J78" s="110">
        <v>1002847053</v>
      </c>
      <c r="K78" s="43" t="s">
        <v>852</v>
      </c>
      <c r="L78" s="175" t="s">
        <v>853</v>
      </c>
      <c r="M78" s="22">
        <v>36852</v>
      </c>
      <c r="N78" s="213">
        <f t="shared" ca="1" si="252"/>
        <v>22.961643835616439</v>
      </c>
      <c r="O78" s="22">
        <v>44931</v>
      </c>
      <c r="P78" s="214" t="str">
        <f t="shared" ref="P78:P141" si="437">IF(AND(O78="",R78&gt;0),"ACUDE ESPONTANEAMENTE",IF(AND(AND(O78&gt;0,R78=""),OR(IN78&gt;0,IK78&lt;&gt;"")),"NA",IF(AND(O78&gt;0,IN78="",R78=""),"NO",IF(AND(O78&gt;0,R78&gt;0),"SI",""))))</f>
        <v>SI</v>
      </c>
      <c r="Q78" s="26" t="s">
        <v>855</v>
      </c>
      <c r="R78" s="22">
        <v>44931</v>
      </c>
      <c r="S78" s="21" t="s">
        <v>856</v>
      </c>
      <c r="T78" s="24" t="s">
        <v>690</v>
      </c>
      <c r="U78" s="21" t="s">
        <v>857</v>
      </c>
      <c r="V78" s="21" t="s">
        <v>858</v>
      </c>
      <c r="W78" s="21" t="s">
        <v>1236</v>
      </c>
      <c r="X78" s="21"/>
      <c r="Y78" s="21" t="s">
        <v>859</v>
      </c>
      <c r="Z78" s="21">
        <v>3127855734</v>
      </c>
      <c r="AA78" s="21" t="s">
        <v>860</v>
      </c>
      <c r="AB78" s="27" t="s">
        <v>861</v>
      </c>
      <c r="AC78" s="26" t="s">
        <v>888</v>
      </c>
      <c r="AD78" s="38" t="s">
        <v>846</v>
      </c>
      <c r="AE78" s="26" t="s">
        <v>854</v>
      </c>
      <c r="AF78" s="26" t="s">
        <v>854</v>
      </c>
      <c r="AG78" s="23" t="s">
        <v>864</v>
      </c>
      <c r="AH78" s="23" t="s">
        <v>864</v>
      </c>
      <c r="AI78" s="24" t="s">
        <v>863</v>
      </c>
      <c r="AJ78" s="23" t="s">
        <v>864</v>
      </c>
      <c r="AK78" s="220" t="str">
        <f>IF(AND(AD78="",AE78="",AF78="",AG78="",AH78="",AI78="",AJ78=""),"",IF(OR(Tabla1[[#This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EVALUACIÓN",IF(AND(O78="",R78=""),"",IF(AND(OR(O78&gt;0,R78&gt;0),NG78&gt;=0,NG78&lt;2),"SIN RIESGO",IF(AND(OR(O78&gt;0,R78&gt;0),NG78&gt;=2),"CON RIESGO","ASD")))))</f>
        <v>SIN RIESGO</v>
      </c>
      <c r="AL78" s="23" t="s">
        <v>864</v>
      </c>
      <c r="AM78" s="26" t="s">
        <v>864</v>
      </c>
      <c r="AN78" s="26" t="s">
        <v>864</v>
      </c>
      <c r="AO78" s="26" t="s">
        <v>864</v>
      </c>
      <c r="AP78" s="26" t="s">
        <v>864</v>
      </c>
      <c r="AQ78" s="26" t="s">
        <v>864</v>
      </c>
      <c r="AR78" s="26" t="s">
        <v>864</v>
      </c>
      <c r="AS78" s="21">
        <v>0</v>
      </c>
      <c r="AT78" s="21">
        <v>0</v>
      </c>
      <c r="AU78" s="21">
        <v>0</v>
      </c>
      <c r="AV78" s="26" t="s">
        <v>864</v>
      </c>
      <c r="AW78" s="21">
        <v>0</v>
      </c>
      <c r="AX78" s="26" t="s">
        <v>864</v>
      </c>
      <c r="AY78" s="26" t="s">
        <v>864</v>
      </c>
      <c r="AZ78" s="26" t="s">
        <v>864</v>
      </c>
      <c r="BA78" s="26" t="s">
        <v>854</v>
      </c>
      <c r="BB78" s="26" t="s">
        <v>864</v>
      </c>
      <c r="BC78" s="26" t="s">
        <v>864</v>
      </c>
      <c r="BD78" s="26" t="s">
        <v>864</v>
      </c>
      <c r="BE78" s="26" t="s">
        <v>864</v>
      </c>
      <c r="BF78" s="26" t="s">
        <v>864</v>
      </c>
      <c r="BG78" s="26" t="s">
        <v>864</v>
      </c>
      <c r="BH78" s="26" t="s">
        <v>864</v>
      </c>
      <c r="BI78" s="26" t="s">
        <v>864</v>
      </c>
      <c r="BJ78" s="26"/>
      <c r="BK78" s="26"/>
      <c r="BL78" s="26" t="s">
        <v>864</v>
      </c>
      <c r="BM78" s="26" t="s">
        <v>864</v>
      </c>
      <c r="BN78" s="22"/>
      <c r="BO78" s="22">
        <v>44875</v>
      </c>
      <c r="BP78" s="21" t="s">
        <v>854</v>
      </c>
      <c r="BQ78" s="222">
        <f t="shared" si="254"/>
        <v>0</v>
      </c>
      <c r="BR78" s="223">
        <f t="shared" si="255"/>
        <v>44876</v>
      </c>
      <c r="BS78" s="224">
        <f t="shared" si="256"/>
        <v>8</v>
      </c>
      <c r="BT78" s="216" t="str">
        <f t="shared" si="257"/>
        <v>I TRIM</v>
      </c>
      <c r="BU78" s="214" t="str">
        <f t="shared" ca="1" si="258"/>
        <v/>
      </c>
      <c r="BV78" s="25"/>
      <c r="BW78" s="22">
        <v>44960</v>
      </c>
      <c r="BX78" s="28">
        <v>12</v>
      </c>
      <c r="BY78" s="28"/>
      <c r="BZ78" s="22"/>
      <c r="CA78" s="21"/>
      <c r="CB78" s="26" t="s">
        <v>864</v>
      </c>
      <c r="CC78" s="26" t="s">
        <v>864</v>
      </c>
      <c r="CD78" s="26"/>
      <c r="CE78" s="26" t="s">
        <v>864</v>
      </c>
      <c r="CF78" s="22" t="s">
        <v>1517</v>
      </c>
      <c r="CG78" s="21">
        <v>1.64</v>
      </c>
      <c r="CH78" s="21">
        <v>77.400000000000006</v>
      </c>
      <c r="CI78" s="214">
        <f t="shared" si="259"/>
        <v>28.777513384889954</v>
      </c>
      <c r="CJ78" s="225" t="str">
        <f>IF(AND(CI78&lt;10,CH78="SD"),"SIN DATO PESO PREGESTACION O I TRIM",IF(AND(OR(R78&gt;0,O78&gt;0),CI78="X"),"INGRESAR DATO DE PESO",IF(CI78="SD","INGRESAR DATO DE TALLA Y PESO",IF(AND(OR(Tabla1[[#This Row],[MOMENTO EN QUE SE REALIZA EL PESO AL INGRESO A CPN]]="PREGESTACIÓN",NZ78="Menor"),CI78&lt;18.5),"BAJO PESO",IF(AND(OR(Tabla1[[#This Row],[MOMENTO EN QUE SE REALIZA EL PESO AL INGRESO A CPN]]="PREGESTACIÓN",NZ78="Menor"),CI78&lt;25),"NORMAL",IF(AND(OR(Tabla1[[#This Row],[MOMENTO EN QUE SE REALIZA EL PESO AL INGRESO A CPN]]="PREGESTACIÓN",NZ78="Menor"),CI78&lt;30),"SOBREPESO",IF(AND(OR(Tabla1[[#This Row],[MOMENTO EN QUE SE REALIZA EL PESO AL INGRESO A CPN]]="PREGESTACIÓN",NZ78="Menor"),CI78&gt;=30,CI78&lt;50),"OBESIDAD",IF(AND(BS78&gt;0,Tabla1[[#This Row],[MOMENTO EN QUE SE REALIZA EL PESO AL INGRESO A CPN]]="GESTACIÓN"),HLOOKUP(NZ78,$OA$2:PH78,NY78),""))))))))</f>
        <v>SOBREPESO</v>
      </c>
      <c r="CK78" s="212">
        <f t="shared" si="260"/>
        <v>45072</v>
      </c>
      <c r="CL78" s="21">
        <v>84.6</v>
      </c>
      <c r="CM78" s="214">
        <f t="shared" si="261"/>
        <v>31.454491374182037</v>
      </c>
      <c r="CN78" s="216">
        <f t="shared" si="262"/>
        <v>28</v>
      </c>
      <c r="CO78" s="216" t="e">
        <f>IF(PI78="","",IF(PI78&gt;0,HLOOKUP(PI78,$PJ$2:QQ78,NY78),""))</f>
        <v>#REF!</v>
      </c>
      <c r="CP78" s="21">
        <v>26</v>
      </c>
      <c r="CQ78" s="216" t="e">
        <f>IF(QR78="Menor","NO APLICA-MENOR 13 SEM",IF(AND(CC78="SI",CN78&gt;23),"NO APLICA- GEMELAR",IF(QR78="","",IF(QR78&gt;0,HLOOKUP(QR78,$QS$2:RU78,NY78),""))))</f>
        <v>#REF!</v>
      </c>
      <c r="CR78" s="21">
        <v>90</v>
      </c>
      <c r="CS78" s="21">
        <v>60</v>
      </c>
      <c r="CT78" s="217" t="str">
        <f>IF(R78="","",IF(AND(BS78&gt;1,BS78&lt;12,Tabla1[[#This Row],[T.A. SISTOLICA - ANTES DE SEMANA 12]]="",Tabla1[[#This Row],[T.A. DIASTOLICA - ANTES DE SEMANA 12]]=""),"REGISTRE DATO TA ANTES SEMANA 12",IF(AND(BS78&gt;11,BS78&lt;43,Tabla1[[#This Row],[T.A. SISTOLICA - ANTES DE SEMANA 12]]="",Tabla1[[#This Row],[T.A. DIASTOLICA - ANTES DE SEMANA 12]]=""),"NO APLICA REGISTRO TA-INGRESO TARDIO",IF(AND(OR(O78&gt;0,R78&gt;0),OR(CR78&gt;=140,CS78&gt;=90)),"DEFINIR ESTADIO HTA",IF(AND(OR(O78&gt;0,R78&gt;0),AND(CR78&gt;120,CR78&lt;=139)),"PRE HTA SEGUIMIENTO",IF(AND(OR(O78&gt;0,R78&gt;0),AND(CS78&gt;80,CS78&lt;=89)),"PRE HTA SEGUIMIENTO",IF(AND(OR(O78&gt;0,R78&gt;0),AND(CR78&gt;=80,CR78&lt;=120)),"APARENTEMENTE NORMAL",IF(AND(OR(O78&gt;0,R78&gt;0),AND(CS78&gt;=50,CS78&lt;=80)),"APARENTEMENTE NORMAL",IF(AND(OR(O78&gt;0,R78&gt;0),AND(CR78&gt;1,CR78&lt;=70),AND(CS78&gt;1,CS78&lt;=40)),"HIPOTENSIÓN","")))))))))</f>
        <v>APARENTEMENTE NORMAL</v>
      </c>
      <c r="CU78" s="21">
        <v>90</v>
      </c>
      <c r="CV78" s="21">
        <v>60</v>
      </c>
      <c r="CW78" s="217" t="str">
        <f ca="1">IF(R78="","",IF(AND(CN78&gt;19,CN78&lt;27,Tabla1[[#This Row],[T.A. SISTOLICA (Entre semana 20 y 26)]]="",Tabla1[[#This Row],[T.A. DIATOLICA (Entre semana 20 y 26)]]=""),"ACUDE A CONTROL SEM 20 A 26 REGISTRE TA AHORA",IF(AND(BS78&gt;1,BS78&lt;27,BU78&gt;19,Tabla1[[#This Row],[T.A. SISTOLICA (Entre semana 20 y 26)]]="",Tabla1[[#This Row],[T.A. DIATOLICA (Entre semana 20 y 26)]]=""),"COMPLETE REGISTRO TA CONTROL SEM 20 A26 ",IF(AND(BS78&gt;26,BS78&lt;43,Tabla1[[#This Row],[T.A. SISTOLICA (Entre semana 20 y 26)]]="",Tabla1[[#This Row],[T.A. DIATOLICA (Entre semana 20 y 26)]]=""),"NO APLICA REGISTRO TA-INGRESO TARDIO",IF(AND(OR(O78&gt;0,R78&gt;0),OR(CU78&gt;=140,CV78&gt;=90)),"ALTO RIESGO PREECLAMPSIA,DEFINIR ESTADIO HTA",IF(AND(OR(O78&gt;0,R78&gt;0),AND(CU78&gt;120,CU78&lt;=139)),"PRE HTA SEGUIMIENTO,RIESGO HIPERTENSION INDUCIDA POR EL EMBARAZO",IF(AND(OR(O78&gt;0,R78&gt;0),AND(CV78&gt;80,CV78&lt;=89)),"PRE HTA SEGUIMIENTO, RIESGO HIPERTENSION INDUCIDA POR EL EMBARAZO",IF(AND(OR(O78&lt;&gt;"",R78&lt;&gt;""),CS78&lt;&gt;"",CV78&lt;&gt;"",CS78&lt;=CV78),"VIGILAR CIFRAS PRESION ARTERIAL",IF(AND(OR(O78&gt;0,R78&gt;0),AND(CU78&gt;120,CU78&lt;=139)),"PRE HTA SEGUIMIENTO",IF(AND(OR(O78&gt;0,R78&gt;0),AND(CU78&gt;1,CU78&lt;=70),AND(CV78&gt;1,CV78&lt;=40)),"HIPOTENSIÓN",IF(AND(OR(O78&lt;&gt;"",R78&lt;&gt;""),CS78&lt;&gt;"",CV78&lt;&gt;"",CS78&gt;CV78),"APARENTEMENTE NORMAL",IF(AND(OR(O78&gt;0,R78&gt;0),AND(CU78&gt;=80,CU78&lt;=120)),"APARENTEMENTE NORMAL",IF(AND(OR(O78&gt;0,R78&gt;0),AND(CV78&gt;=50,CV78&lt;=80)),"APARENTEMENTE NORMAL","")))))))))))))</f>
        <v>VIGILAR CIFRAS PRESION ARTERIAL</v>
      </c>
      <c r="CX78" s="21"/>
      <c r="CY78" s="21"/>
      <c r="CZ78" s="216" t="str">
        <f t="shared" si="263"/>
        <v/>
      </c>
      <c r="DA78" s="21">
        <v>110</v>
      </c>
      <c r="DB78" s="21">
        <v>60</v>
      </c>
      <c r="DC78" s="217" t="str">
        <f t="shared" si="264"/>
        <v>APARENTEMENTE NORMAL</v>
      </c>
      <c r="DD78" s="22">
        <v>44931</v>
      </c>
      <c r="DE78" s="22">
        <v>44931</v>
      </c>
      <c r="DF78" s="22">
        <v>44961</v>
      </c>
      <c r="DG78" s="22">
        <v>44999</v>
      </c>
      <c r="DH78" s="22">
        <v>45038</v>
      </c>
      <c r="DI78" s="22">
        <v>45072</v>
      </c>
      <c r="DJ78" s="22"/>
      <c r="DK78" s="22"/>
      <c r="DL78" s="22"/>
      <c r="DM78" s="22"/>
      <c r="DN78" s="22"/>
      <c r="DO78" s="22"/>
      <c r="DP78" s="22"/>
      <c r="DQ78" s="22"/>
      <c r="DR78" s="28">
        <v>2</v>
      </c>
      <c r="DS78" s="22"/>
      <c r="DT78" s="22"/>
      <c r="DU78" s="216" t="str">
        <f t="shared" ref="DU78:DU141" ca="1" si="438">IF(AND(BT78="ERROR FUM O INGRESO",DS78&gt;0),"ERROR FUM O INGRESO",IF(AND(DS78="",R78="",O78=""),"",IF(OR(AND(DS78&lt;&gt;"",DS78&lt;RW78),AND(DS78&lt;&gt;"",AND(SUM((DS78-RW78)/7)&gt;0,SUM((DS78-RW78)/7)&lt;28))),"PLAN REALIZADO ANTES III TRIM", IF(AND(DS78="",OR(O78&gt;0,R78&gt;0),AND(BU78&gt;=28, BU78&lt;35,DV78="ACTIVA INGRESO A CPN")),"PLANEAR PLAN DE PARTO", IF(AND(DS78="",OR(O78&gt;0,R78&gt;0),BU78&gt;=35,DV78="ACTIVA INGRESO A CPN"),"CONCERTAR PLAN DE PARTO INMEDIATO", IF(AND(DS78="",OR(O78&gt;0,R78&gt;0),AND(BU78&gt;0, BU78&lt;28),OR(DV78="ACTIVA INGRESO A CPN", DV78=" ACTIVA SIN INGRESO CPN")),"EN ESPERA", IF(AND(DS78="",OR(O78&gt;0,R78&gt;0),AND(IP78&gt;0, IP78&lt;28)),"NO APLICA SALE PROGRAMA ANTES III TRIM", IF(AND(DS78="",OR(O78&gt;0,R78&gt;0),AND(IP78&gt;=28, IP78&lt;35)),"SALE PROGRAMA ANTES SEMANA 35", IF(AND(DS78="",OR(O78&gt;0,R78&gt;0),IP78&gt;35),"SALE SIN PLAN DE PARTO",IF(DS78&gt;0,SUM(DS78-BO78)/7,""))))))))))</f>
        <v>CONCERTAR PLAN DE PARTO INMEDIATO</v>
      </c>
      <c r="DV78" s="226" t="str">
        <f t="shared" ref="DV78:DV141" si="439">IF(AND(R78&lt;&gt;"",IK78="CAMBIO DE RESIDENCIA",IK78="CAMBIO DE IPS",IK78="CAMBIO DE EPS"),"SEGUIMIENTO REPORTE EPS",IF(IK78="IVE","IVE",IF(AND(R78&lt;&gt;"",OR(IK78&lt;&gt;"",IN78&lt;&gt;"")),"SALIO PROGRAMA",IF(AND(AND(R78="",O78&gt;0),OR(IK78&lt;&gt;"",IN78&lt;&gt;"")),"SALE SIN INGRESO CPN",IF(AND(R78="",O78&gt;0,IK78="",IN78=""),"ACTIVA SIN INGRESO CPN",IF(AND(R78&lt;&gt;"",OR(IK78="",IN78="")),"ACTIVA INGRESO A CPN",""))))))</f>
        <v>ACTIVA INGRESO A CPN</v>
      </c>
      <c r="DW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78" s="216" t="e">
        <f t="shared" ca="1" si="266"/>
        <v>#REF!</v>
      </c>
      <c r="DY78" s="212">
        <f>IF(R78="","",IF(R78&gt;0,MAX(Tabla1[[#This Row],[FECHA C2]:[FECHA C13]],Tabla1[[#This Row],[FECHA CONSULTA PRIMERA VEZ PROGRAMA CPN ]])))</f>
        <v>45072</v>
      </c>
      <c r="DZ78" s="216">
        <f t="shared" si="267"/>
        <v>28</v>
      </c>
      <c r="EA78" s="222">
        <f>IF(R78&gt;0,SUM(COUNTA(DF78:DQ78)+COUNTA(Tabla1[[#This Row],[FECHA CONSULTA PRIMERA VEZ PROGRAMA CPN ]])),"")</f>
        <v>5</v>
      </c>
      <c r="EB78" s="222" t="str">
        <f t="shared" si="268"/>
        <v>SI</v>
      </c>
      <c r="EC78" s="214">
        <f t="shared" si="269"/>
        <v>10</v>
      </c>
      <c r="ED78" s="227">
        <f t="shared" si="270"/>
        <v>0.5</v>
      </c>
      <c r="EE78" s="22">
        <v>44931</v>
      </c>
      <c r="EF78" s="22">
        <v>44931</v>
      </c>
      <c r="EG78" s="22">
        <v>44931</v>
      </c>
      <c r="EH78" s="22">
        <v>44956</v>
      </c>
      <c r="EI78" s="22">
        <v>44931</v>
      </c>
      <c r="EJ78" s="22">
        <v>44956</v>
      </c>
      <c r="EK78" s="22">
        <v>45043</v>
      </c>
      <c r="EL78" s="21">
        <v>1</v>
      </c>
      <c r="EM78" s="21">
        <v>14</v>
      </c>
      <c r="EN78" s="22">
        <v>44957</v>
      </c>
      <c r="EO78" s="222">
        <f t="shared" si="271"/>
        <v>11.714285714285714</v>
      </c>
      <c r="EP78" s="214" t="str">
        <f t="shared" si="272"/>
        <v>NORMAL- SUMINISTRAR SULFATO FERROSO</v>
      </c>
      <c r="EQ78" s="216" t="str">
        <f t="shared" si="273"/>
        <v>I TRIM</v>
      </c>
      <c r="ER78" s="24"/>
      <c r="ES78" s="22"/>
      <c r="ET78" s="29" t="str">
        <f t="shared" ref="ET78:ET141" ca="1" si="440">IF(AND(BT78="ERROR FUM O INGRESO",ES78&gt;0),"ERROR FUM O INGRESO",IF(AND(ES78="",R78="",O78=""),"",IF(OR(AND(ES78&lt;&gt;"",ES78&lt;RW78),AND(ES78&lt;&gt;"",SUM((ES78-RW78)/7)&gt;40)),"CORREGIR FECHA RESULTADO",IF(AND(BU78&gt;1,BU78&lt;23,ER78="",ES78=""),"EN ESPERA PARA TOMA EXAMEN",IF(AND(BU78&gt;22,BU78&lt;26,ER78="",ES78=""),"PROGRAMAR TOMA HEMOGLOBINA A SEM 28",IF(AND(BU78&gt;25,BU78&lt;28,ER78="",ES78=""),"TOMA HEMOGLOBINA A SEM 28 EN 1 SEMANA",IF(AND(BU78&gt;27,BU78&lt;31,ES78="",OR(O78&gt;0,R78&gt;0)),"EN SEMANA 28 TOMA INMEDIATA DE EXAMEN",IF(AND(IP78&gt;0,IP78&lt;28,ES78="",OR(O78&gt;0,R78&gt;0)),"NO APLICA-SALE ANTES SEM 28",IF(AND(IP78&gt;28,IP78&lt;43,ES78="",OR(O78&gt;0,R78&gt;0)),"SALE SIN TAMIZAJE HEMOGLOBINA SEM 28",IF(AND(BS78&gt;0,ES78="",OR(O78&gt;0,R78&gt;0)),"TOMA DE HEMOGLOBINA TARDÍA",IF(ES78&gt;0,SUM(ES78-RW78)/7,"")))))))))))</f>
        <v>TOMA DE HEMOGLOBINA TARDÍA</v>
      </c>
      <c r="EU78" s="25" t="str">
        <f t="shared" si="275"/>
        <v/>
      </c>
      <c r="EV78" s="24" t="s">
        <v>1510</v>
      </c>
      <c r="EW78" s="24">
        <v>44957</v>
      </c>
      <c r="EX78" s="22"/>
      <c r="EY78" s="29">
        <f t="shared" si="248"/>
        <v>11.714285714285714</v>
      </c>
      <c r="EZ78" s="25" t="str">
        <f t="shared" si="249"/>
        <v>SIN RIESGO DE ISOINMUNIZACIÓN</v>
      </c>
      <c r="FA78" s="21">
        <v>85</v>
      </c>
      <c r="FB78" s="22">
        <v>44957</v>
      </c>
      <c r="FC78" s="29">
        <f t="shared" si="276"/>
        <v>11.714285714285714</v>
      </c>
      <c r="FD78" s="29">
        <v>76</v>
      </c>
      <c r="FE78" s="29">
        <v>113</v>
      </c>
      <c r="FF78" s="29">
        <v>123</v>
      </c>
      <c r="FG78" s="21" t="str">
        <f t="shared" ca="1" si="277"/>
        <v>NORMAL</v>
      </c>
      <c r="FH78" s="31">
        <v>45064</v>
      </c>
      <c r="FI78" s="29">
        <f t="shared" si="278"/>
        <v>27</v>
      </c>
      <c r="FJ78" s="22" t="s">
        <v>867</v>
      </c>
      <c r="FK78" s="22">
        <v>44957</v>
      </c>
      <c r="FL78" s="29">
        <f t="shared" ca="1" si="279"/>
        <v>11.714285714285714</v>
      </c>
      <c r="FM78" s="22"/>
      <c r="FN78" s="32"/>
      <c r="FO78" s="29" t="str">
        <f t="shared" ref="FO78:FO141" ca="1" si="441">IF(AND(BT78="ERROR FUM O INGRESO",FN78&gt;0),"ERROR FUM O INGRESO",IF(AND(FN78="",R78="",O78=""),"",IF(AND(FN78&lt;&gt;"",FN78&lt;RW78), "INCOHERENCIA FUM Y FECHA TAMIZAJE",IF(AND(FN78="",DV78="ACTIVA INGRESO A CPN",AND(BU78&gt;0,BU78&lt;13)),"EN ESPERA-ESTÁ I TRIM", IF(AND(FN78="",AND(BS78&gt;0, BS78&lt;13),OR(O78&gt;0,R78&gt;0),AND(IP78&gt;0,IP78&lt;13)),"NO APLICA-SALIO DEL PROGRAMA I TRIM",IF(AND(FN78&lt;&gt;"",AND(SUM((FN78-RW78)/7)&gt;0,SUM((FN78-RW78)/7)&lt;13)),"REGISTRAR EN I TRIMESTRE",IF(AND(FN78&lt;&gt;"",AND(SUM((FN78-RW78)/7)&gt;=27,SUM((FN78-RW78)/7)&lt;44)),"REGISTRAR EN III TRIMESTRE",IF(AND(FN78="",OR(O78&gt;0,R78&gt;0),AND(BU78&gt;=13,BU78&lt;24),DV78="ACTIVA INGRESO A CPN"),"EN RANGO PARA TOMAR EXAMEN",IF(AND(FN78="",OR(O78&gt;0,R78&gt;0),AND(BU78&gt;=25,BU78&lt;27),DV78="ACTIVA INGRESO A CPN"),"TOMA INMEDIATA DE TAMIZAJE",IF(AND(FN78="",OR(O78&gt;0,R78&gt;0),AND(BS78&gt;=27,BS78&lt;44)),"NO APLICA-INGRESO TARDIO",IF(AND(FN78="",BS78&lt;27,OR(AND(IP78&gt;12,IP78&lt;44),BU78&gt;12)),"PIERDE TOMA DE TAMIZAJE",IF(FN78&gt;0,SUM(FN78-RW78)/7,""))))))))))))</f>
        <v>PIERDE TOMA DE TAMIZAJE</v>
      </c>
      <c r="FP78" s="22" t="s">
        <v>867</v>
      </c>
      <c r="FQ78" s="32">
        <v>45064</v>
      </c>
      <c r="FR78" s="29">
        <f t="shared" ref="FR78:FR141" ca="1" si="442">IF(AND(BT78="ERROR FUM O INGRESO",FQ78&gt;0),"ERROR FUM O INGRESO",IF(AND(FQ78="",R78="",O78=""),"",IF(AND(FQ78&lt;&gt;"",FQ78&lt;RW78), "INCOHERENCIA FUM Y FECHA TAMIZAJE",IF(AND(FQ78="",DV78="ACTIVA INGRESO A CPN",AND(BU78&gt;0,BU78&lt;27)),"EN ESPERA-ESTÁ I TRIM O II TRIM", IF(AND(FQ78="",AND(BS78&gt;0, BS78&lt;27),OR(O78&gt;0,R78&gt;0),AND(IP78&gt;0,IP78&lt;27)),"NO APLICA-SALIO DEL PROGRAMA I O II TRIM",IF(AND(FQ78&lt;&gt;"",AND(SUM((FQ78-RW78)/7)&gt;0,SUM((FQ78-RW78)/7)&lt;13)),"REGISTAR EN I TRIMESTRE",IF(AND(FQ78&lt;&gt;"",AND(SUM((FQ78-RW78)/7)&gt;=13,SUM((FQ78-RW78)/7)&lt;27)),"REGISTRAR EN II TRIMESTRE",IF(AND(FQ78="",OR(O78&gt;0,R78&gt;0),AND(BU78&gt;=28,BU78&lt;35),DV78="ACTIVA INGRESO A CPN"),"EN RANGO PARA TOMAR EXAMEN",IF(AND(FQ78="",OR(O78&gt;0,R78&gt;0),BU78&gt;=35, DV78="ACTIVA INGRESO A CPN"),"TOMA INMEDIATA DE TAMIZAJE",IF(AND(FQ78="",DV78= "SALE SIN INGRESO CPN"),"NO APLICA-SIN CPN",IF(AND(FQ78="",AND(IP78&gt;26,IP78&lt;43)),"PIERDE TOMA DE TAMIZAJE",IF(FQ78&gt;0,SUM(FQ78-RW78)/7,""))))))))))))</f>
        <v>27</v>
      </c>
      <c r="FS78" s="22"/>
      <c r="FT78" s="32"/>
      <c r="FU78" s="29" t="str">
        <f>IF(AND(FJ78="",FM78="",FP78="",FS78=""),"",IF(OR(OR(Tabla1[[#This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8" s="28"/>
      <c r="FW78" s="22"/>
      <c r="FX78" s="29" t="str">
        <f t="shared" si="280"/>
        <v>TOMAR EXAMEN</v>
      </c>
      <c r="FY78" s="22">
        <v>44957</v>
      </c>
      <c r="FZ78" s="22">
        <v>44957</v>
      </c>
      <c r="GA78" s="29">
        <f t="shared" ca="1" si="250"/>
        <v>11.714285714285714</v>
      </c>
      <c r="GB78" s="22"/>
      <c r="GC78" s="22"/>
      <c r="GD78" s="29" t="str">
        <f t="shared" ref="GD78:GD109" ca="1" si="443">IF(AND(BT78="ERROR FUM O INGRESO",GC78&gt;0),"ERROR FUM O INGRESO",IF(AND(GC78="",R78="",O78=""),"",IF(AND(GC78&lt;&gt;"",GC78&lt;RW78), "INCOHERENCIA FUM Y FECHA TAMIZAJE",IF(AND(GC78="",DV78="ACTIVA INGRESO A CPN",AND(BU78&gt;0,BU78&lt;13)),"EN ESPERA-ESTÁ I TRIM", IF(AND(GC78="",AND(BS78&gt;0, BS78&lt;12),OR(O78&gt;0,R78&gt;0),AND(IP78&gt;0,IP78&lt;13)),"NO APLICA-SALIO DEL PROGRAMA I TRIM",IF(AND(GC78&lt;&gt;"",AND(SUM((GC78-RW78)/7)&gt;0,SUM((GC78-RW78)/7)&lt;13)),"REGISTRAR EN I TRIMESTRE",IF(AND(GC78&lt;&gt;"",AND(SUM((GC78-RW78)/7)&gt;=27,SUM((GC78-RW78)/7)&lt;44)),"REGISTRAR EN III TRIMESTRE",IF(AND(GC78="",OR(O78&gt;0,R78&gt;0),AND(BU78&gt;=12,BU78&lt;25),DV78="ACTIVA INGRESO A CPN"),"EN RANGO PARA TOMAR EXAMEN",IF(AND(GC78="",OR(O78&gt;0,R78&gt;0),AND(BU78&gt;=25,BU78&lt;27),DV78="ACTIVA INGRESO A CPN"),"TOMA INMEDIATA DE TAMIZAJE",IF(AND(GC78="",OR(O78&gt;0,R78&gt;0),AND(BS78&gt;=27,BS78&lt;43)),"NO APLICA-INGRESO TARDIO",IF(AND(GC78="",BS78&lt;27),"PIERDE TOMA DE TAMIZAJE",IF(GC78&gt;0,SUM(GC78-RW78)/7,""))))))))))))</f>
        <v>PIERDE TOMA DE TAMIZAJE</v>
      </c>
      <c r="GE78" s="22" t="s">
        <v>1533</v>
      </c>
      <c r="GF78" s="22">
        <v>45064</v>
      </c>
      <c r="GG78" s="29">
        <f t="shared" ref="GG78:GG141" ca="1" si="444">IF(AND(BT78="ERROR FUM O INGRESO",GF78&gt;0),"ERROR FUM O INGRESO",IF(AND(GF78="",R78="",O78=""),"",IF(AND(GF78&lt;&gt;"",GF78&lt;RW78), "INCOHERENCIA FUM Y FECHA TAMIZAJE",IF(AND(GF78="",DV78="ACTIVA INGRESO A CPN",AND(BU78&gt;0,BU78&lt;27)),"EN ESPERA-ESTÁ I TRIM O II TRIM", IF(AND(GF78="",AND(BS78&gt;0, BS78&lt;28),OR(O78&gt;0,R78&gt;0),AND(IP78&gt;0,IP78&lt;28)),"NO APLICA-SALIO DEL PROGRAMA I O II TRIM",IF(AND(GF78&lt;&gt;"",AND(SUM((GF78-RW78)/7)&gt;0,SUM((GF78-RW78)/7)&lt;13)),"REGISTAR EN I TRIMESTRE",IF(AND(GF78&lt;&gt;"",AND(SUM((GF78-RW78)/7)&gt;=13,SUM((GF78-RW78)/7)&lt;27)),"REGISTRAR EN II TRIMESTRE",IF(AND(GF78="",OR(O78&gt;0,R78&gt;0),AND(BU78&gt;=28,BU78&lt;35),DV78="ACTIVA INGRESO A CPN"),"EN RANGO PARA TOMAR EXAMEN",IF(AND(GF78="",OR(O78&gt;0,R78&gt;0),BU78&gt;=35, DV78="ACTIVA INGRESO A CPN"),"TOMA INMEDIATA DE TAMIZAJE",IF(AND(GF78="",DV78= "SALE SIN INGRESO CPN"),"NO APLICA-SIN CPN",IF(AND(GF78="",BS78&lt;44),"PIERDE TOMA DE TAMIZAJE",IF(GF78&gt;0,SUM(GF78-RW78)/7,""))))))))))))</f>
        <v>27</v>
      </c>
      <c r="GH78" s="22"/>
      <c r="GI78" s="29"/>
      <c r="GJ78" s="22"/>
      <c r="GK78" s="22"/>
      <c r="GL78" s="22"/>
      <c r="GM78" s="22"/>
      <c r="GN78" s="28" t="s">
        <v>869</v>
      </c>
      <c r="GO78" s="22">
        <v>44957</v>
      </c>
      <c r="GP78" s="29">
        <f t="shared" si="283"/>
        <v>11.714285714285714</v>
      </c>
      <c r="GQ78" s="28" t="s">
        <v>869</v>
      </c>
      <c r="GR78" s="28" t="s">
        <v>869</v>
      </c>
      <c r="GS78" s="22" t="str">
        <f t="shared" si="284"/>
        <v>CONTROL Igm</v>
      </c>
      <c r="GT78" s="22">
        <v>44957</v>
      </c>
      <c r="GU78" s="29">
        <f t="shared" si="285"/>
        <v>11.714285714285714</v>
      </c>
      <c r="GV78" s="21" t="str">
        <f t="shared" si="286"/>
        <v>I TRIM</v>
      </c>
      <c r="GW78" s="28" t="s">
        <v>869</v>
      </c>
      <c r="GX78" s="30"/>
      <c r="GY78" s="21"/>
      <c r="GZ78" s="21"/>
      <c r="HA78" s="21"/>
      <c r="HB78" s="21"/>
      <c r="HC78" s="21"/>
      <c r="HD78" s="21"/>
      <c r="HE78" s="21"/>
      <c r="HF78" s="22"/>
      <c r="HG78" s="22" t="str">
        <f>IF(OR(O78&gt;0,R78&gt;0),CONCATENATE(IF(Tabla1[[#This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8" s="22" t="e">
        <f t="shared" si="287"/>
        <v>#REF!</v>
      </c>
      <c r="HI78" s="22" t="e">
        <f t="shared" ca="1" si="288"/>
        <v>#REF!</v>
      </c>
      <c r="HJ78" s="21"/>
      <c r="HK78" s="21" t="str">
        <f t="shared" si="289"/>
        <v>SIN ANTECEDENTES DE RIESGO</v>
      </c>
      <c r="HL78" s="24" t="str">
        <f t="shared" si="290"/>
        <v>APARENTEMENTE NORMAL</v>
      </c>
      <c r="HM78" s="21" t="e">
        <f t="shared" ca="1" si="291"/>
        <v>#REF!</v>
      </c>
      <c r="HN78" s="30" t="str">
        <f t="shared" ref="HN78:HN141" si="445">IF(AND(R78&lt;&gt;"",IK78="CAMBIO DE RESIDENCIA"),"SEGUIMIENTO REPORTE EPS",IF(AND(R78&lt;&gt;"",OR(IK78&lt;&gt;"",IN78&lt;&gt;"")),"SALIO PROGRAMA",IF(AND(AND(R78="",O78&gt;0),OR(IK78&lt;&gt;"",IN78&lt;&gt;"")),"SALE SIN INGRESO CPN",IF(AND(R78="",O78&gt;0,IK78="",IN78=""),"ACTIVA SIN INGRESO CPN",IF(AND(R78&lt;&gt;"",OR(IK78="",IN78="")),"ACTIVA INGRESO A CPN","")))))</f>
        <v>ACTIVA INGRESO A CPN</v>
      </c>
      <c r="HO78" s="21"/>
      <c r="HP78" s="21"/>
      <c r="HQ78" s="21">
        <v>44931</v>
      </c>
      <c r="HR78" s="21" t="str">
        <f>IF(R78="","",IF(Tabla1[[#This Row],[ALARMA FACTORES DE RIESGO COMPLICACIONES HIPERTENSIVAS3]]="SIN ANTECEDENTES DE RIESGO","No Aplica para suministro de ASA",IF(AND(Tabla1[[#This Row],[FECHA INICIO DE SUMINISTRO DE ASA]]&gt;0,RV78&lt;12),"Inicia ASA ANTES de Sem 12",IF(AND(RV78&gt;11,RV78&lt;17,OR(HK78="RIESGO ALTO DE COMPLICACIONES HIPERTENSIVAS VER MANEJO GUIA SUMINISTRO ASA Y CALCIO",HK78="RIESGO MODERADO (2 O MAS CRITERIOS) VER MANEJO GUIA SUMINISTRO ASA Y CALCIO")),"Inicio oportuno de ASA",IF(AND(RV78&gt;12,OR(HK78="RIESGO ALTO DE COMPLICACIONES HIPERTENSIVAS VER MANEJO GUIA SUMINISTRO ASA Y CALCIO",HK78="RIESGO MODERADO (2 O MAS CRITERIOS) VER MANEJO GUIA SUMINISTRO ASA Y CALCIO")),"Inicio no oportuno mayor a 16 semanas",IF(AND(BU78&lt;12,OR(HK78="RIESGO ALTO DE COMPLICACIONES HIPERTENSIVAS VER MANEJO GUIA SUMINISTRO ASA Y CALCIO",HK78="RIESGO MODERADO (2 O MAS CRITERIOS) VER MANEJO GUIA SUMINISTRO ASA Y CALCIO")),"Pendiente Inicio de ASA a la semana 12",IF(AND(BU78&gt;11,BU78&lt;17,OR(HK78="RIESGO ALTO DE COMPLICACIONES HIPERTENSIVAS VER MANEJO GUIA SUMINISTRO ASA Y CALCIO",HK78="RIESGO MODERADO (2 O MAS CRITERIOS) VER MANEJO GUIA SUMINISTRO ASA Y CALCIO")),"Iniciar de inmediato ASA",IF(AND(BU78&gt;16,OR(HK78="RIESGO ALTO DE COMPLICACIONES HIPERTENSIVAS VER MANEJO GUIA SUMINISTRO ASA Y CALCIO",HK78="RIESGO MODERADO (2 O MAS CRITERIOS) VER MANEJO GUIA SUMINISTRO ASA Y CALCIO")),"Pierde Oportunidad, Inicio tardío de ASA","XXXXX"))))))))</f>
        <v>No Aplica para suministro de ASA</v>
      </c>
      <c r="HS78" s="22">
        <v>44931</v>
      </c>
      <c r="HT78" s="22" t="s">
        <v>935</v>
      </c>
      <c r="HU78" s="22"/>
      <c r="HV78" s="22" t="s">
        <v>870</v>
      </c>
      <c r="HW78" s="22">
        <v>44931</v>
      </c>
      <c r="HX78" s="22" t="s">
        <v>870</v>
      </c>
      <c r="HY78" s="22">
        <v>44931</v>
      </c>
      <c r="HZ78" s="28">
        <f t="shared" si="292"/>
        <v>8</v>
      </c>
      <c r="IA78" s="26"/>
      <c r="IB78" s="26"/>
      <c r="IC78" s="111"/>
      <c r="ID78" s="22"/>
      <c r="IE78" s="22" t="str">
        <f t="shared" ca="1" si="293"/>
        <v/>
      </c>
      <c r="IF78" s="22"/>
      <c r="IG78" s="22">
        <f t="shared" si="294"/>
        <v>45155</v>
      </c>
      <c r="IH78" s="29">
        <f t="shared" ca="1" si="295"/>
        <v>-78</v>
      </c>
      <c r="II78" s="22" t="str">
        <f t="shared" ca="1" si="296"/>
        <v>POSIBLEMENTE NACIO</v>
      </c>
      <c r="IJ78" s="22"/>
      <c r="IK78" s="21"/>
      <c r="IL78" s="21"/>
      <c r="IM78" s="34"/>
      <c r="IN78" s="349"/>
      <c r="IO78" s="21"/>
      <c r="IP78" s="29" t="str">
        <f t="shared" si="435"/>
        <v/>
      </c>
      <c r="IQ78" s="110"/>
      <c r="IR78" s="21"/>
      <c r="IS78" s="21"/>
      <c r="IT78" s="21"/>
      <c r="IU78" s="21"/>
      <c r="IV78" s="21"/>
      <c r="IW78" s="21"/>
      <c r="IX78" s="21"/>
      <c r="IY78" s="21"/>
      <c r="IZ78" s="21"/>
      <c r="JA78" s="21"/>
      <c r="JB78" s="30"/>
      <c r="JC78" s="21"/>
      <c r="JD78" s="36"/>
      <c r="JE78" s="21" t="str">
        <f t="shared" ref="JE78:JE109" si="446">IF(AND(JD78&gt;700,JD78&lt;2500,IP78&gt;36),"BAJO PESO AL NACER",IF(AND(JD78&gt;500,JD78&lt;2500,IP78&lt;37),"PREMATURO",IF(AND(JD78&gt;2499,JD78&lt;5000,IP78&lt;37),"ERROR VERIFICAR DATO EDAD GESTACIONAL VS PESO",IF(AND(JD78&gt;2499,JD78&lt;4000,IP78&gt;36),"PESO ADECUADO EDAD GESTACIONAL",IF(AND(JD78&gt;3999,JD78&lt;6000,IP78&gt;36),"PESO GRANDE EDAD GESTACIONAL","")))))</f>
        <v/>
      </c>
      <c r="JF78" s="30"/>
      <c r="JG78" s="21"/>
      <c r="JH78" s="21"/>
      <c r="JI78" s="21"/>
      <c r="JJ78" s="30"/>
      <c r="JK78" s="22"/>
      <c r="JL78" s="22"/>
      <c r="JM78" s="21"/>
      <c r="JN78" s="36"/>
      <c r="JO78" s="21" t="str">
        <f t="shared" ref="JO78:JO109" si="447">IF(AND(JN78&gt;700,JN78&lt;2500,IP78&gt;36,IP78&lt;43),"BAJO PESO AL NACER",IF(AND(JN78&gt;700,JN78&lt;2500,IP78&lt;37),"PREMATURO",IF(AND(JN78&gt;2499,JN78&lt;5000,IP78&lt;37),"ERROR VERIFICAR DATO EDAD GESTACIONAL VS PESO",IF(AND(JN78&gt;2499,JN78&lt;4000,IP78&gt;36,IP78&lt;43),"PESO ADECUADO EDAD GESTACIONAL",IF(AND(JN78&gt;3999,JN78&lt;6000,IP78&gt;36,IP78&lt;43),"PESO GRANDE EDAD GESTACIONAL","")))))</f>
        <v/>
      </c>
      <c r="JP78" s="22"/>
      <c r="JQ78" s="21"/>
      <c r="JR78" s="21"/>
      <c r="JS78" s="21"/>
      <c r="JT78" s="30"/>
      <c r="JU78" s="22"/>
      <c r="JV78" s="22"/>
      <c r="JW78" s="33"/>
      <c r="JX78" s="28" t="str">
        <f t="shared" ref="JX78:JX109" si="448">IF(AND(JW78&lt;&gt;"",JW78&lt;IN78),"INCONSISTENCIA FECHA CONTROL",IF(AND(OR(IK78="Parto",IK78="Cesarea"),JW78&gt;0,IN78&gt;0),SUM(JW78-IN78),IF(AND(OR(IK78="Parto",IK78="Cesarea"),JW78="",IN78&gt;0),"INASISTENTE","")))</f>
        <v/>
      </c>
      <c r="JY78" s="33"/>
      <c r="JZ78" s="28" t="str">
        <f t="shared" ref="JZ78:JZ109" si="449">IF(AND(JY78&lt;&gt;"",JY78&lt;IN78),"INCONSISTENCIA FECHA CONTROL",IF(AND(OR(IK78="Parto",IK78="Cesarea",IK78="Aborto Espontaneo",IK78="Aborto Inducido",IK78="IVE"),JY78&gt;0,IN78&gt;0),SUM(JY78-IN78),IF(AND(JY78&lt;&gt;"",JY78&lt;IN78),"INCONSISTENCIA FECHA CONTROL",IF(AND(OR(IK78="Parto",IK78="Cesarea",IK78="Aborto Espontaneo",IK78="Aborto Inducido",IK78="IVE"),JY78="",IN78&gt;0),"INASISTENTE",""))))</f>
        <v/>
      </c>
      <c r="KA78" s="21"/>
      <c r="KB78" s="21"/>
      <c r="KC78" s="21"/>
      <c r="KD78" s="37"/>
      <c r="KE78" s="28"/>
      <c r="KF78" s="28"/>
      <c r="KG78" s="28"/>
      <c r="KH78" s="39"/>
      <c r="KI78" s="39"/>
      <c r="KJ78" s="66"/>
      <c r="KK78" s="39"/>
      <c r="KL78" s="39"/>
      <c r="KM78" s="66"/>
      <c r="KN78" s="39"/>
      <c r="KO78" s="39"/>
      <c r="KP78" s="39"/>
      <c r="KQ78" s="39"/>
      <c r="KR78" s="39"/>
      <c r="KS78" s="39"/>
      <c r="KT78" s="39"/>
      <c r="KU78" s="38"/>
      <c r="KV78" s="38"/>
      <c r="KW78" s="38"/>
      <c r="KX78" s="38"/>
      <c r="KY78" s="38"/>
      <c r="KZ78" s="38"/>
      <c r="LA78" s="38"/>
      <c r="LB78" s="38"/>
      <c r="LC78" s="38"/>
      <c r="LD78" s="38"/>
      <c r="LE78" s="38"/>
      <c r="LF78" s="38"/>
      <c r="LG78" s="38"/>
      <c r="LH78" s="38"/>
      <c r="LI78" s="38"/>
      <c r="LJ78" s="38"/>
      <c r="LK78" s="38"/>
      <c r="LL78" s="38"/>
      <c r="LM78" s="38"/>
      <c r="LN78" s="38"/>
      <c r="LO78" s="38"/>
      <c r="LP78" s="38"/>
      <c r="LQ78" s="38"/>
      <c r="LR78" s="38"/>
      <c r="LS78" s="38"/>
      <c r="LT78" s="38"/>
      <c r="LU78" s="38"/>
      <c r="LV78" s="38"/>
      <c r="LW78" s="38"/>
      <c r="LX78" s="38"/>
      <c r="LY78" s="38"/>
      <c r="LZ78" s="38"/>
      <c r="MA78" s="38"/>
      <c r="MB78" s="38"/>
      <c r="MC78" s="38"/>
      <c r="MD78" s="38"/>
      <c r="ME78" s="38"/>
      <c r="MF78" s="38"/>
      <c r="MG78" s="38"/>
      <c r="MH78" s="43">
        <f t="shared" si="302"/>
        <v>0</v>
      </c>
      <c r="MI78" s="43" t="str">
        <f t="shared" si="303"/>
        <v/>
      </c>
      <c r="MJ78" s="43" t="str">
        <f t="shared" si="304"/>
        <v/>
      </c>
      <c r="MK78" s="43">
        <f t="shared" si="305"/>
        <v>0</v>
      </c>
      <c r="ML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8" s="43">
        <f t="shared" si="306"/>
        <v>8</v>
      </c>
      <c r="MN78" s="43">
        <f t="shared" si="307"/>
        <v>1</v>
      </c>
      <c r="MO78" s="43">
        <f t="shared" si="308"/>
        <v>2023</v>
      </c>
      <c r="MP78" s="43" t="str">
        <f t="shared" si="309"/>
        <v>I TRIMESTRE AÑO</v>
      </c>
      <c r="MQ78" s="43">
        <f t="shared" si="310"/>
        <v>21.799715286903197</v>
      </c>
      <c r="MR78" s="43">
        <f t="shared" si="311"/>
        <v>0</v>
      </c>
      <c r="MS78" s="43" t="str">
        <f t="shared" si="312"/>
        <v xml:space="preserve"> DE 20 A 24 AÑOS</v>
      </c>
      <c r="MT78" s="43">
        <f t="shared" si="313"/>
        <v>1</v>
      </c>
      <c r="MU78" s="43">
        <f t="shared" si="314"/>
        <v>1</v>
      </c>
      <c r="MV78" s="43">
        <f t="shared" si="315"/>
        <v>0</v>
      </c>
      <c r="MW78" s="43">
        <f t="shared" si="316"/>
        <v>0</v>
      </c>
      <c r="MX78" s="43" t="str">
        <f t="shared" si="317"/>
        <v/>
      </c>
      <c r="MY78" s="43" t="str">
        <f t="shared" ref="MY78:MY109" ca="1" si="450">IF(AND(AND(BU78&gt;40.9,BU78&lt;43),IN78=""),1,"")</f>
        <v/>
      </c>
      <c r="MZ78" s="43" t="str">
        <f t="shared" si="318"/>
        <v/>
      </c>
      <c r="NA78" s="43" t="str">
        <f t="shared" si="319"/>
        <v/>
      </c>
      <c r="NB78" s="43" t="str">
        <f t="shared" si="320"/>
        <v/>
      </c>
      <c r="NC78" s="43" t="str">
        <f t="shared" si="321"/>
        <v/>
      </c>
      <c r="ND78" s="43">
        <f t="shared" ca="1" si="322"/>
        <v>2</v>
      </c>
      <c r="NE78" s="43">
        <f>IF(OR(O78&gt;0,R78&gt;0),SUM(COUNTIF(Tabla1[[#This Row],[AÑOS AL INICIO5 CPN]],"&gt;=40"),COUNTIF(AS78,"0"),COUNTIF(AR78,"SI"),COUNTIF(CC78,"SI"),COUNTIF(BQ78,"&gt;119"),COUNTIF(CI78,"&gt;=35")),"")</f>
        <v>1</v>
      </c>
      <c r="NF78" s="43" t="str">
        <f t="shared" si="323"/>
        <v/>
      </c>
      <c r="NG78" s="43">
        <f t="shared" si="324"/>
        <v>0</v>
      </c>
      <c r="NH78" s="43">
        <f t="shared" si="325"/>
        <v>84</v>
      </c>
      <c r="NI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CPN",P78="NO"),"Z",IF(AND(Tabla1[[#This Row],[CITA PROXIMO CONTROL]]="CITA MANUAL",Tabla1[[#This Row],[GESTANTES ACTUALES]]="ACTIVA INGRESO A CPN"),"W",IF(AND(Tabla1[[#This Row],[GESTANTES ACTUALES]]="SALIO PROGRAMA",IN78=""),"S",IF(AND(Tabla1[[#This Row],[CITA PROXIMO CONTROL]]&gt;0,IN78=""),(Tabla1[[#This Row],[CITA PROXIMO CONTROL]]-TODAY()),"SD"))))))))</f>
        <v>#REF!</v>
      </c>
      <c r="NJ78" s="43">
        <f>MONTH(Tabla1[[#This Row],[FECHA DE SALIDA  DEL PROGRAMA]])</f>
        <v>1</v>
      </c>
      <c r="NK78" s="43">
        <f>YEAR(Tabla1[[#This Row],[FECHA DE SALIDA  DEL PROGRAMA]])</f>
        <v>1900</v>
      </c>
      <c r="NL78" s="43">
        <f t="shared" si="326"/>
        <v>25</v>
      </c>
      <c r="NM78" s="43" t="str">
        <f t="shared" si="251"/>
        <v>NO</v>
      </c>
      <c r="NN78" s="43" t="str">
        <f ca="1">IF(AND(O78&gt;0,R78=""),"NO CPN",IF(AND(O78="",R78=""),"",IF(AND(R78&gt;0,Tabla1[[#This Row],[SEMANAS DE GESTACION ACTUALIZADAS]]&lt;=12),"NO APLICA",IF(AND(FH78&lt;&gt;"",FN78&lt;&gt;""),"SI","NO"))))</f>
        <v>NO</v>
      </c>
      <c r="NO78" s="43" t="str">
        <f ca="1">IF(AND(O78&gt;0,R78=""),"NO CPN",IF(AND(O78="",R78=""),"",IF(AND(R78&gt;0,Tabla1[[#This Row],[SEMANAS DE GESTACION ACTUALIZADAS]]&lt;=27),"NO APLICA",IF(AND(ES78&lt;&gt;"",FQ78&lt;&gt;"",GF78&lt;&gt;""),"SI","NO"))))</f>
        <v>NO</v>
      </c>
      <c r="NP78" s="204" t="str">
        <f t="shared" si="327"/>
        <v>I TRIM</v>
      </c>
      <c r="NQ78" s="21">
        <f t="shared" si="436"/>
        <v>10</v>
      </c>
      <c r="NR78" s="21" t="str">
        <f t="shared" ref="NR78:NR109" ca="1" si="451">IF(AND(O78="",R78=""),"",IF(AND(BS78&gt;0,BS78&lt;12,IP78&gt;28,IP78&lt;44),3, IF(OR(AND(BS78&gt;=12,BS78&lt;28,IP78&gt;=28,IP78&lt;44),AND(BS78&gt;0,BS78&lt;12,IP78&gt;=12,IP78&lt;29)),2,IF(OR(AND(BS78&gt;=28,BS78&lt;44),AND(BS78&gt;0,BS78&lt;12,IP78&gt;0,IP78&lt;12),AND(BS78&gt;=12,BS78&lt;28,IP78&gt;=12,IP78&lt;28)),1,IF(AND(BS78&gt;0,BS78&lt;12,BU78&gt;=28,BU78&lt;44,DV78="ACTIVA INGRESO A CPN"),3,IF(OR(AND(BS78&gt;0,BS78&lt;12,BU78&gt;=12,BU78&lt;28,DV78="ACTIVA INGRESO A CPN"),AND(BS78&gt;=12,BS78&lt;28,BU78&gt;=28,BU78&lt;44,DV78="ACTIVA INGRESO A CPN")),2,IF(OR(AND(BS78&gt;0,BS78&lt;12,BU78&gt;0,BU78&lt;12,DV78="ACTIVA INGRESO A CPN"),AND(BS78&gt;=12,BS78&lt;28,BU78&gt;=12,BU78&lt;28,DV78="ACTIVA INGRESO A CPN")),1,"REVISAR FUM O FECHA SALIDA PROGRAMA")))))))</f>
        <v>REVISAR FUM O FECHA SALIDA PROGRAMA</v>
      </c>
      <c r="NS78" s="205">
        <f t="shared" ca="1" si="328"/>
        <v>2</v>
      </c>
      <c r="NT78" s="21">
        <f t="shared" ca="1" si="329"/>
        <v>2</v>
      </c>
      <c r="NU78" s="21" t="str">
        <f t="shared" ca="1" si="330"/>
        <v>POR DEFINIR</v>
      </c>
      <c r="NV78" s="21" t="str">
        <f t="shared" ca="1" si="331"/>
        <v>POR DEFINIR</v>
      </c>
      <c r="NW78" s="206" t="str">
        <f>IF(AND(O78="",R78=""),"",IF(OR(AND(Tabla1[[#This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78" s="207" t="str">
        <f t="shared" ca="1" si="332"/>
        <v>SIN VACUNAR</v>
      </c>
      <c r="NY78" s="43">
        <f>ROW(Tabla1[[#This Row],['# DE TAMIZAJES SIFILIS TOMADOS ]])</f>
        <v>78</v>
      </c>
      <c r="NZ78" s="43" t="str">
        <f t="shared" si="333"/>
        <v>Menor</v>
      </c>
      <c r="OA78" s="43" t="str">
        <f t="shared" si="334"/>
        <v>SOBREPESO</v>
      </c>
      <c r="OB78" s="43" t="str">
        <f t="shared" si="335"/>
        <v/>
      </c>
      <c r="OC78" s="43" t="str">
        <f t="shared" si="336"/>
        <v/>
      </c>
      <c r="OD78" s="43" t="str">
        <f t="shared" si="337"/>
        <v/>
      </c>
      <c r="OE78" s="43" t="str">
        <f t="shared" si="338"/>
        <v/>
      </c>
      <c r="OF78" s="43" t="str">
        <f t="shared" si="339"/>
        <v/>
      </c>
      <c r="OG78" s="43" t="str">
        <f t="shared" si="340"/>
        <v/>
      </c>
      <c r="OH78" s="43" t="str">
        <f t="shared" si="341"/>
        <v/>
      </c>
      <c r="OI78" s="43" t="str">
        <f t="shared" si="342"/>
        <v/>
      </c>
      <c r="OJ78" s="43" t="str">
        <f t="shared" si="343"/>
        <v/>
      </c>
      <c r="OK78" s="43" t="str">
        <f t="shared" si="344"/>
        <v/>
      </c>
      <c r="OL78" s="43" t="str">
        <f t="shared" si="345"/>
        <v/>
      </c>
      <c r="OM78" s="43" t="str">
        <f t="shared" si="346"/>
        <v/>
      </c>
      <c r="ON78" s="43" t="str">
        <f t="shared" si="347"/>
        <v/>
      </c>
      <c r="OO78" s="43" t="str">
        <f t="shared" si="348"/>
        <v/>
      </c>
      <c r="OP78" s="43" t="str">
        <f t="shared" si="349"/>
        <v/>
      </c>
      <c r="OQ78" s="43" t="str">
        <f t="shared" si="350"/>
        <v/>
      </c>
      <c r="OR78" s="43" t="str">
        <f t="shared" si="351"/>
        <v/>
      </c>
      <c r="OS78" s="43" t="str">
        <f t="shared" si="352"/>
        <v/>
      </c>
      <c r="OT78" s="43" t="str">
        <f t="shared" si="353"/>
        <v/>
      </c>
      <c r="OU78" s="43" t="str">
        <f t="shared" si="354"/>
        <v/>
      </c>
      <c r="OV78" s="110" t="str">
        <f t="shared" si="355"/>
        <v/>
      </c>
      <c r="OW78" s="43" t="str">
        <f t="shared" si="356"/>
        <v/>
      </c>
      <c r="OX78" s="43" t="str">
        <f t="shared" si="357"/>
        <v/>
      </c>
      <c r="OY78" s="43" t="str">
        <f t="shared" si="358"/>
        <v/>
      </c>
      <c r="OZ78" s="43" t="str">
        <f t="shared" si="359"/>
        <v/>
      </c>
      <c r="PA78" s="43" t="str">
        <f t="shared" si="360"/>
        <v/>
      </c>
      <c r="PB78" s="43" t="str">
        <f t="shared" si="361"/>
        <v/>
      </c>
      <c r="PC78" s="43" t="str">
        <f t="shared" si="362"/>
        <v/>
      </c>
      <c r="PD78" s="43" t="str">
        <f t="shared" si="363"/>
        <v/>
      </c>
      <c r="PE78" s="43" t="str">
        <f t="shared" si="364"/>
        <v/>
      </c>
      <c r="PF78" s="43" t="str">
        <f t="shared" si="365"/>
        <v/>
      </c>
      <c r="PG78" s="43" t="str">
        <f t="shared" si="366"/>
        <v/>
      </c>
      <c r="PH78" s="43" t="str">
        <f t="shared" si="367"/>
        <v/>
      </c>
      <c r="PI78" s="43">
        <f t="shared" si="368"/>
        <v>28</v>
      </c>
      <c r="PJ78" s="43" t="str">
        <f t="shared" si="369"/>
        <v/>
      </c>
      <c r="PK78" s="43" t="str">
        <f t="shared" si="370"/>
        <v/>
      </c>
      <c r="PL78" s="43" t="str">
        <f t="shared" si="371"/>
        <v/>
      </c>
      <c r="PM78" s="43" t="str">
        <f t="shared" si="372"/>
        <v/>
      </c>
      <c r="PN78" s="43" t="str">
        <f t="shared" si="373"/>
        <v/>
      </c>
      <c r="PO78" s="43" t="str">
        <f t="shared" si="374"/>
        <v/>
      </c>
      <c r="PP78" s="43" t="str">
        <f t="shared" si="375"/>
        <v/>
      </c>
      <c r="PQ78" s="43" t="str">
        <f t="shared" si="376"/>
        <v/>
      </c>
      <c r="PR78" s="43" t="str">
        <f t="shared" si="377"/>
        <v/>
      </c>
      <c r="PS78" s="43" t="str">
        <f t="shared" si="378"/>
        <v/>
      </c>
      <c r="PT78" s="43" t="str">
        <f t="shared" si="379"/>
        <v/>
      </c>
      <c r="PU78" s="43" t="str">
        <f t="shared" si="380"/>
        <v/>
      </c>
      <c r="PV78" s="43" t="str">
        <f t="shared" si="381"/>
        <v/>
      </c>
      <c r="PW78" s="43" t="str">
        <f t="shared" si="382"/>
        <v/>
      </c>
      <c r="PX78" s="43" t="str">
        <f t="shared" si="383"/>
        <v/>
      </c>
      <c r="PY78" s="43" t="str">
        <f t="shared" si="384"/>
        <v/>
      </c>
      <c r="PZ78" s="43" t="str">
        <f t="shared" si="385"/>
        <v/>
      </c>
      <c r="QA78" s="43" t="str">
        <f t="shared" si="386"/>
        <v/>
      </c>
      <c r="QB78" s="43" t="str">
        <f t="shared" si="387"/>
        <v/>
      </c>
      <c r="QC78" s="43" t="str">
        <f t="shared" si="388"/>
        <v>SOBREPESO</v>
      </c>
      <c r="QD78" s="43" t="str">
        <f t="shared" si="389"/>
        <v/>
      </c>
      <c r="QE78" s="43" t="str">
        <f t="shared" si="390"/>
        <v/>
      </c>
      <c r="QF78" s="43" t="str">
        <f t="shared" si="391"/>
        <v/>
      </c>
      <c r="QG78" s="43" t="str">
        <f t="shared" si="392"/>
        <v/>
      </c>
      <c r="QH78" s="43" t="str">
        <f t="shared" si="393"/>
        <v/>
      </c>
      <c r="QI78" s="43" t="str">
        <f t="shared" si="394"/>
        <v/>
      </c>
      <c r="QJ78" s="43" t="str">
        <f t="shared" si="395"/>
        <v/>
      </c>
      <c r="QK78" s="43" t="str">
        <f t="shared" si="396"/>
        <v/>
      </c>
      <c r="QL78" s="43" t="str">
        <f t="shared" si="397"/>
        <v/>
      </c>
      <c r="QM78" s="43" t="str">
        <f t="shared" si="398"/>
        <v/>
      </c>
      <c r="QN78" s="43" t="str">
        <f t="shared" si="399"/>
        <v/>
      </c>
      <c r="QO78" s="43" t="str">
        <f t="shared" si="400"/>
        <v/>
      </c>
      <c r="QP78" s="43" t="str">
        <f t="shared" si="401"/>
        <v/>
      </c>
      <c r="QQ78" s="43" t="str">
        <f t="shared" si="402"/>
        <v/>
      </c>
      <c r="QR78" s="43">
        <f t="shared" si="432"/>
        <v>28</v>
      </c>
      <c r="QS78" s="43"/>
      <c r="QT78" s="21" t="str">
        <f t="shared" si="403"/>
        <v/>
      </c>
      <c r="QU78" s="21" t="str">
        <f t="shared" si="404"/>
        <v/>
      </c>
      <c r="QV78" s="21" t="str">
        <f t="shared" si="405"/>
        <v/>
      </c>
      <c r="QW78" s="21" t="str">
        <f t="shared" si="406"/>
        <v/>
      </c>
      <c r="QX78" s="21" t="str">
        <f t="shared" si="407"/>
        <v/>
      </c>
      <c r="QY78" s="21" t="str">
        <f t="shared" si="408"/>
        <v/>
      </c>
      <c r="QZ78" s="21" t="str">
        <f t="shared" si="409"/>
        <v/>
      </c>
      <c r="RA78" s="21" t="str">
        <f t="shared" si="410"/>
        <v/>
      </c>
      <c r="RB78" s="21" t="str">
        <f t="shared" si="411"/>
        <v/>
      </c>
      <c r="RC78" s="21" t="str">
        <f t="shared" si="412"/>
        <v/>
      </c>
      <c r="RD78" s="21" t="str">
        <f t="shared" si="413"/>
        <v/>
      </c>
      <c r="RE78" s="21" t="str">
        <f t="shared" si="414"/>
        <v/>
      </c>
      <c r="RF78" s="21" t="str">
        <f t="shared" si="415"/>
        <v/>
      </c>
      <c r="RG78" s="21" t="str">
        <f t="shared" si="416"/>
        <v/>
      </c>
      <c r="RH78" s="21" t="str">
        <f t="shared" si="417"/>
        <v/>
      </c>
      <c r="RI78" s="21" t="str">
        <f t="shared" si="418"/>
        <v>ADECUADO PARA EDAD GESTACIONAL</v>
      </c>
      <c r="RJ78" s="21" t="str">
        <f t="shared" si="419"/>
        <v/>
      </c>
      <c r="RK78" s="21" t="str">
        <f t="shared" si="420"/>
        <v/>
      </c>
      <c r="RL78" s="21" t="str">
        <f t="shared" si="421"/>
        <v/>
      </c>
      <c r="RM78" s="21" t="str">
        <f t="shared" si="422"/>
        <v/>
      </c>
      <c r="RN78" s="21" t="str">
        <f t="shared" si="423"/>
        <v/>
      </c>
      <c r="RO78" s="21" t="str">
        <f t="shared" si="424"/>
        <v/>
      </c>
      <c r="RP78" s="21" t="str">
        <f t="shared" si="425"/>
        <v/>
      </c>
      <c r="RQ78" s="21" t="str">
        <f t="shared" si="426"/>
        <v/>
      </c>
      <c r="RR78" s="21" t="str">
        <f t="shared" si="427"/>
        <v/>
      </c>
      <c r="RS78" s="21" t="str">
        <f t="shared" si="428"/>
        <v/>
      </c>
      <c r="RT78" s="21" t="str">
        <f t="shared" si="429"/>
        <v/>
      </c>
      <c r="RU78" s="21" t="str">
        <f t="shared" si="430"/>
        <v/>
      </c>
      <c r="RV78" s="21">
        <f t="shared" si="431"/>
        <v>8</v>
      </c>
      <c r="RW78" s="284">
        <f>IF(OR(Tabla1[[#This Row],[FUM FORMULA CONFIABLE]]="",Tabla1[[#This Row],[FUM FORMULA CONFIABLE]]="SD"),"",IF(Tabla1[[#This Row],[FUM FORMULA CONFIABLE]]="CORREGIDA",Tabla1[[#This Row],[FUM X ECO 1]],Tabla1[[#This Row],[FUM x AMENORREA]]))</f>
        <v>44875</v>
      </c>
      <c r="RX78" s="21">
        <f>IF(AND(Tabla1[[#This Row],[FUM X ECO 1]]="",Tabla1[[#This Row],[FUM x AMENORREA]]=""),"",IF(AND(Tabla1[[#This Row],[FUM X ECO 1]]="",Tabla1[[#This Row],[FUM x AMENORREA]]&lt;&gt;""),"X",SUM(Tabla1[[#This Row],[FUM X ECO 1]]-Tabla1[[#This Row],[FUM x AMENORREA]])))</f>
        <v>1</v>
      </c>
      <c r="RY78" s="21">
        <f t="shared" si="433"/>
        <v>0</v>
      </c>
    </row>
    <row r="79" spans="1:493" ht="45" customHeight="1" x14ac:dyDescent="0.25">
      <c r="A79" s="109"/>
      <c r="B79" s="43"/>
      <c r="C79" s="43" t="s">
        <v>845</v>
      </c>
      <c r="D79" s="124" t="s">
        <v>846</v>
      </c>
      <c r="E79" s="43" t="s">
        <v>1237</v>
      </c>
      <c r="F79" s="43" t="s">
        <v>1238</v>
      </c>
      <c r="G79" s="43" t="s">
        <v>1239</v>
      </c>
      <c r="H79" s="43" t="s">
        <v>1240</v>
      </c>
      <c r="I79" s="109" t="s">
        <v>851</v>
      </c>
      <c r="J79" s="110">
        <v>1002846466</v>
      </c>
      <c r="K79" s="43" t="s">
        <v>852</v>
      </c>
      <c r="L79" s="175" t="s">
        <v>853</v>
      </c>
      <c r="M79" s="22">
        <v>35195</v>
      </c>
      <c r="N79" s="213">
        <f t="shared" ca="1" si="252"/>
        <v>27.5013698630137</v>
      </c>
      <c r="O79" s="22">
        <v>44939</v>
      </c>
      <c r="P79" s="214" t="str">
        <f t="shared" si="437"/>
        <v>SI</v>
      </c>
      <c r="Q79" s="26" t="s">
        <v>855</v>
      </c>
      <c r="R79" s="22">
        <v>44939</v>
      </c>
      <c r="S79" s="21" t="s">
        <v>856</v>
      </c>
      <c r="T79" s="24" t="s">
        <v>690</v>
      </c>
      <c r="U79" s="21" t="s">
        <v>857</v>
      </c>
      <c r="V79" s="21" t="s">
        <v>858</v>
      </c>
      <c r="W79" s="21" t="s">
        <v>1241</v>
      </c>
      <c r="X79" s="21" t="s">
        <v>1241</v>
      </c>
      <c r="Y79" s="21" t="s">
        <v>859</v>
      </c>
      <c r="Z79" s="21">
        <v>3188323562</v>
      </c>
      <c r="AA79" s="21" t="s">
        <v>860</v>
      </c>
      <c r="AB79" s="27" t="s">
        <v>861</v>
      </c>
      <c r="AC79" s="26" t="s">
        <v>862</v>
      </c>
      <c r="AD79" s="38" t="s">
        <v>846</v>
      </c>
      <c r="AE79" s="26" t="s">
        <v>854</v>
      </c>
      <c r="AF79" s="26" t="s">
        <v>854</v>
      </c>
      <c r="AG79" s="23" t="s">
        <v>864</v>
      </c>
      <c r="AH79" s="23" t="s">
        <v>864</v>
      </c>
      <c r="AI79" s="24" t="s">
        <v>863</v>
      </c>
      <c r="AJ79" s="23" t="s">
        <v>864</v>
      </c>
      <c r="AK79" s="220" t="str">
        <f>IF(AND(AD79="",AE79="",AF79="",AG79="",AH79="",AI79="",AJ79=""),"",IF(OR(Tabla1[[#This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EVALUACIÓN",IF(AND(O79="",R79=""),"",IF(AND(OR(O79&gt;0,R79&gt;0),NG79&gt;=0,NG79&lt;2),"SIN RIESGO",IF(AND(OR(O79&gt;0,R79&gt;0),NG79&gt;=2),"CON RIESGO","ASD")))))</f>
        <v>SIN RIESGO</v>
      </c>
      <c r="AL79" s="23" t="s">
        <v>864</v>
      </c>
      <c r="AM79" s="26" t="s">
        <v>864</v>
      </c>
      <c r="AN79" s="26" t="s">
        <v>864</v>
      </c>
      <c r="AO79" s="26" t="s">
        <v>864</v>
      </c>
      <c r="AP79" s="26" t="s">
        <v>864</v>
      </c>
      <c r="AQ79" s="26" t="s">
        <v>864</v>
      </c>
      <c r="AR79" s="26" t="s">
        <v>864</v>
      </c>
      <c r="AS79" s="21">
        <v>2</v>
      </c>
      <c r="AT79" s="21">
        <v>2</v>
      </c>
      <c r="AU79" s="21">
        <v>0</v>
      </c>
      <c r="AV79" s="26" t="s">
        <v>864</v>
      </c>
      <c r="AW79" s="21">
        <v>0</v>
      </c>
      <c r="AX79" s="26" t="s">
        <v>864</v>
      </c>
      <c r="AY79" s="26" t="s">
        <v>864</v>
      </c>
      <c r="AZ79" s="26" t="s">
        <v>864</v>
      </c>
      <c r="BA79" s="26" t="s">
        <v>864</v>
      </c>
      <c r="BB79" s="26" t="s">
        <v>864</v>
      </c>
      <c r="BC79" s="26" t="s">
        <v>864</v>
      </c>
      <c r="BD79" s="26" t="s">
        <v>864</v>
      </c>
      <c r="BE79" s="26" t="s">
        <v>864</v>
      </c>
      <c r="BF79" s="26" t="s">
        <v>864</v>
      </c>
      <c r="BG79" s="26" t="s">
        <v>864</v>
      </c>
      <c r="BH79" s="26" t="s">
        <v>864</v>
      </c>
      <c r="BI79" s="26" t="s">
        <v>864</v>
      </c>
      <c r="BJ79" s="26"/>
      <c r="BK79" s="26"/>
      <c r="BL79" s="26" t="s">
        <v>864</v>
      </c>
      <c r="BM79" s="26" t="s">
        <v>864</v>
      </c>
      <c r="BN79" s="22"/>
      <c r="BO79" s="22">
        <v>44842</v>
      </c>
      <c r="BP79" s="21" t="s">
        <v>854</v>
      </c>
      <c r="BQ79" s="222">
        <f t="shared" si="254"/>
        <v>0</v>
      </c>
      <c r="BR79" s="223">
        <f t="shared" si="255"/>
        <v>44838.2</v>
      </c>
      <c r="BS79" s="224">
        <f t="shared" si="256"/>
        <v>13.857142857142858</v>
      </c>
      <c r="BT79" s="216" t="str">
        <f t="shared" si="257"/>
        <v>II TRIM</v>
      </c>
      <c r="BU79" s="214" t="str">
        <f t="shared" ca="1" si="258"/>
        <v/>
      </c>
      <c r="BV79" s="25"/>
      <c r="BW79" s="22">
        <v>44995</v>
      </c>
      <c r="BX79" s="28">
        <v>22.4</v>
      </c>
      <c r="BY79" s="28" t="s">
        <v>989</v>
      </c>
      <c r="BZ79" s="22">
        <v>45021</v>
      </c>
      <c r="CA79" s="21">
        <v>25.4</v>
      </c>
      <c r="CB79" s="26" t="s">
        <v>864</v>
      </c>
      <c r="CC79" s="26" t="s">
        <v>864</v>
      </c>
      <c r="CD79" s="26"/>
      <c r="CE79" s="26" t="s">
        <v>864</v>
      </c>
      <c r="CF79" s="22" t="s">
        <v>1517</v>
      </c>
      <c r="CG79" s="21">
        <v>1.46</v>
      </c>
      <c r="CH79" s="21">
        <v>49.6</v>
      </c>
      <c r="CI79" s="214">
        <f t="shared" si="259"/>
        <v>23.268905986113722</v>
      </c>
      <c r="CJ79" s="225" t="e">
        <f>IF(AND(CI79&lt;10,CH79="SD"),"SIN DATO PESO PREGESTACION O I TRIM",IF(AND(OR(R79&gt;0,O79&gt;0),CI79="X"),"INGRESAR DATO DE PESO",IF(CI79="SD","INGRESAR DATO DE TALLA Y PESO",IF(AND(OR(Tabla1[[#This Row],[MOMENTO EN QUE SE REALIZA EL PESO AL INGRESO A CPN]]="PREGESTACIÓN",NZ79="Menor"),CI79&lt;18.5),"BAJO PESO",IF(AND(OR(Tabla1[[#This Row],[MOMENTO EN QUE SE REALIZA EL PESO AL INGRESO A CPN]]="PREGESTACIÓN",NZ79="Menor"),CI79&lt;25),"NORMAL",IF(AND(OR(Tabla1[[#This Row],[MOMENTO EN QUE SE REALIZA EL PESO AL INGRESO A CPN]]="PREGESTACIÓN",NZ79="Menor"),CI79&lt;30),"SOBREPESO",IF(AND(OR(Tabla1[[#This Row],[MOMENTO EN QUE SE REALIZA EL PESO AL INGRESO A CPN]]="PREGESTACIÓN",NZ79="Menor"),CI79&gt;=30,CI79&lt;50),"OBESIDAD",IF(AND(BS79&gt;0,Tabla1[[#This Row],[MOMENTO EN QUE SE REALIZA EL PESO AL INGRESO A CPN]]="GESTACIÓN"),HLOOKUP(NZ79,$OA$2:PH79,NY79),""))))))))</f>
        <v>#REF!</v>
      </c>
      <c r="CK79" s="212">
        <f t="shared" si="260"/>
        <v>45070</v>
      </c>
      <c r="CL79" s="21">
        <v>54.9</v>
      </c>
      <c r="CM79" s="214">
        <f t="shared" si="261"/>
        <v>25.755301182210548</v>
      </c>
      <c r="CN79" s="216">
        <f t="shared" si="262"/>
        <v>32</v>
      </c>
      <c r="CO79" s="216" t="e">
        <f>IF(PI79="","",IF(PI79&gt;0,HLOOKUP(PI79,$PJ$2:QQ79,NY79),""))</f>
        <v>#REF!</v>
      </c>
      <c r="CP79" s="21">
        <v>30</v>
      </c>
      <c r="CQ79" s="216" t="e">
        <f>IF(QR79="Menor","NO APLICA-MENOR 13 SEM",IF(AND(CC79="SI",CN79&gt;23),"NO APLICA- GEMELAR",IF(QR79="","",IF(QR79&gt;0,HLOOKUP(QR79,$QS$2:RU79,NY79),""))))</f>
        <v>#REF!</v>
      </c>
      <c r="CR79" s="21">
        <v>100</v>
      </c>
      <c r="CS79" s="21">
        <v>70</v>
      </c>
      <c r="CT79" s="217" t="str">
        <f>IF(R79="","",IF(AND(BS79&gt;1,BS79&lt;12,Tabla1[[#This Row],[T.A. SISTOLICA - ANTES DE SEMANA 12]]="",Tabla1[[#This Row],[T.A. DIASTOLICA - ANTES DE SEMANA 12]]=""),"REGISTRE DATO TA ANTES SEMANA 12",IF(AND(BS79&gt;11,BS79&lt;43,Tabla1[[#This Row],[T.A. SISTOLICA - ANTES DE SEMANA 12]]="",Tabla1[[#This Row],[T.A. DIASTOLICA - ANTES DE SEMANA 12]]=""),"NO APLICA REGISTRO TA-INGRESO TARDIO",IF(AND(OR(O79&gt;0,R79&gt;0),OR(CR79&gt;=140,CS79&gt;=90)),"DEFINIR ESTADIO HTA",IF(AND(OR(O79&gt;0,R79&gt;0),AND(CR79&gt;120,CR79&lt;=139)),"PRE HTA SEGUIMIENTO",IF(AND(OR(O79&gt;0,R79&gt;0),AND(CS79&gt;80,CS79&lt;=89)),"PRE HTA SEGUIMIENTO",IF(AND(OR(O79&gt;0,R79&gt;0),AND(CR79&gt;=80,CR79&lt;=120)),"APARENTEMENTE NORMAL",IF(AND(OR(O79&gt;0,R79&gt;0),AND(CS79&gt;=50,CS79&lt;=80)),"APARENTEMENTE NORMAL",IF(AND(OR(O79&gt;0,R79&gt;0),AND(CR79&gt;1,CR79&lt;=70),AND(CS79&gt;1,CS79&lt;=40)),"HIPOTENSIÓN","")))))))))</f>
        <v>APARENTEMENTE NORMAL</v>
      </c>
      <c r="CU79" s="21"/>
      <c r="CV79" s="21"/>
      <c r="CW79" s="217" t="str">
        <f ca="1">IF(R79="","",IF(AND(CN79&gt;19,CN79&lt;27,Tabla1[[#This Row],[T.A. SISTOLICA (Entre semana 20 y 26)]]="",Tabla1[[#This Row],[T.A. DIATOLICA (Entre semana 20 y 26)]]=""),"ACUDE A CONTROL SEM 20 A 26 REGISTRE TA AHORA",IF(AND(BS79&gt;1,BS79&lt;27,BU79&gt;19,Tabla1[[#This Row],[T.A. SISTOLICA (Entre semana 20 y 26)]]="",Tabla1[[#This Row],[T.A. DIATOLICA (Entre semana 20 y 26)]]=""),"COMPLETE REGISTRO TA CONTROL SEM 20 A26 ",IF(AND(BS79&gt;26,BS79&lt;43,Tabla1[[#This Row],[T.A. SISTOLICA (Entre semana 20 y 26)]]="",Tabla1[[#This Row],[T.A. DIATOLICA (Entre semana 20 y 26)]]=""),"NO APLICA REGISTRO TA-INGRESO TARDIO",IF(AND(OR(O79&gt;0,R79&gt;0),OR(CU79&gt;=140,CV79&gt;=90)),"ALTO RIESGO PREECLAMPSIA,DEFINIR ESTADIO HTA",IF(AND(OR(O79&gt;0,R79&gt;0),AND(CU79&gt;120,CU79&lt;=139)),"PRE HTA SEGUIMIENTO,RIESGO HIPERTENSION INDUCIDA POR EL EMBARAZO",IF(AND(OR(O79&gt;0,R79&gt;0),AND(CV79&gt;80,CV79&lt;=89)),"PRE HTA SEGUIMIENTO, RIESGO HIPERTENSION INDUCIDA POR EL EMBARAZO",IF(AND(OR(O79&lt;&gt;"",R79&lt;&gt;""),CS79&lt;&gt;"",CV79&lt;&gt;"",CS79&lt;=CV79),"VIGILAR CIFRAS PRESION ARTERIAL",IF(AND(OR(O79&gt;0,R79&gt;0),AND(CU79&gt;120,CU79&lt;=139)),"PRE HTA SEGUIMIENTO",IF(AND(OR(O79&gt;0,R79&gt;0),AND(CU79&gt;1,CU79&lt;=70),AND(CV79&gt;1,CV79&lt;=40)),"HIPOTENSIÓN",IF(AND(OR(O79&lt;&gt;"",R79&lt;&gt;""),CS79&lt;&gt;"",CV79&lt;&gt;"",CS79&gt;CV79),"APARENTEMENTE NORMAL",IF(AND(OR(O79&gt;0,R79&gt;0),AND(CU79&gt;=80,CU79&lt;=120)),"APARENTEMENTE NORMAL",IF(AND(OR(O79&gt;0,R79&gt;0),AND(CV79&gt;=50,CV79&lt;=80)),"APARENTEMENTE NORMAL","")))))))))))))</f>
        <v xml:space="preserve">COMPLETE REGISTRO TA CONTROL SEM 20 A26 </v>
      </c>
      <c r="CX79" s="21">
        <v>90</v>
      </c>
      <c r="CY79" s="21">
        <v>60</v>
      </c>
      <c r="CZ79" s="216" t="str">
        <f t="shared" si="263"/>
        <v>APARENTEMENTE NORMAL</v>
      </c>
      <c r="DA79" s="21">
        <v>90</v>
      </c>
      <c r="DB79" s="21">
        <v>60</v>
      </c>
      <c r="DC79" s="217" t="str">
        <f t="shared" si="264"/>
        <v>APARENTEMENTE NORMAL</v>
      </c>
      <c r="DD79" s="22">
        <v>44939</v>
      </c>
      <c r="DE79" s="22">
        <v>44939</v>
      </c>
      <c r="DF79" s="22">
        <v>44973</v>
      </c>
      <c r="DG79" s="22">
        <v>45001</v>
      </c>
      <c r="DH79" s="22">
        <v>45037</v>
      </c>
      <c r="DI79" s="22">
        <v>45070</v>
      </c>
      <c r="DJ79" s="22"/>
      <c r="DK79" s="22"/>
      <c r="DL79" s="22"/>
      <c r="DM79" s="22"/>
      <c r="DN79" s="22"/>
      <c r="DO79" s="22"/>
      <c r="DP79" s="22"/>
      <c r="DQ79" s="22"/>
      <c r="DR79" s="28">
        <v>1</v>
      </c>
      <c r="DS79" s="22"/>
      <c r="DT79" s="22"/>
      <c r="DU79" s="216" t="str">
        <f t="shared" ca="1" si="438"/>
        <v>SALE PROGRAMA ANTES SEMANA 35</v>
      </c>
      <c r="DV79" s="226" t="str">
        <f t="shared" si="439"/>
        <v>SALIO PROGRAMA</v>
      </c>
      <c r="DW7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79" s="216" t="str">
        <f t="shared" ca="1" si="266"/>
        <v/>
      </c>
      <c r="DY79" s="212">
        <f>IF(R79="","",IF(R79&gt;0,MAX(Tabla1[[#This Row],[FECHA C2]:[FECHA C13]],Tabla1[[#This Row],[FECHA CONSULTA PRIMERA VEZ PROGRAMA CPN ]])))</f>
        <v>45070</v>
      </c>
      <c r="DZ79" s="216">
        <f t="shared" si="267"/>
        <v>32</v>
      </c>
      <c r="EA79" s="222">
        <f>IF(R79&gt;0,SUM(COUNTA(DF79:DQ79)+COUNTA(Tabla1[[#This Row],[FECHA CONSULTA PRIMERA VEZ PROGRAMA CPN ]])),"")</f>
        <v>5</v>
      </c>
      <c r="EB79" s="222" t="str">
        <f t="shared" si="268"/>
        <v>SI</v>
      </c>
      <c r="EC79" s="214">
        <f t="shared" si="269"/>
        <v>8</v>
      </c>
      <c r="ED79" s="227">
        <f t="shared" si="270"/>
        <v>0.625</v>
      </c>
      <c r="EE79" s="22">
        <v>44939</v>
      </c>
      <c r="EF79" s="22">
        <v>44939</v>
      </c>
      <c r="EG79" s="22">
        <v>44939</v>
      </c>
      <c r="EH79" s="22"/>
      <c r="EI79" s="22">
        <v>44939</v>
      </c>
      <c r="EJ79" s="22">
        <v>45016</v>
      </c>
      <c r="EK79" s="22"/>
      <c r="EL79" s="21"/>
      <c r="EM79" s="21">
        <v>13</v>
      </c>
      <c r="EN79" s="22">
        <v>44995</v>
      </c>
      <c r="EO79" s="222">
        <f t="shared" si="271"/>
        <v>21.857142857142858</v>
      </c>
      <c r="EP79" s="214" t="str">
        <f t="shared" si="272"/>
        <v>NORMAL- SUMINISTRAR SULFATO FERROSO</v>
      </c>
      <c r="EQ79" s="216" t="str">
        <f t="shared" si="273"/>
        <v>II TRIM</v>
      </c>
      <c r="ER79" s="24"/>
      <c r="ES79" s="22"/>
      <c r="ET79" s="29" t="str">
        <f t="shared" ca="1" si="440"/>
        <v>SALE SIN TAMIZAJE HEMOGLOBINA SEM 28</v>
      </c>
      <c r="EU79" s="25" t="str">
        <f t="shared" si="275"/>
        <v/>
      </c>
      <c r="EV79" s="24" t="s">
        <v>1510</v>
      </c>
      <c r="EW79" s="24">
        <v>44995</v>
      </c>
      <c r="EX79" s="22"/>
      <c r="EY79" s="29">
        <f t="shared" si="248"/>
        <v>21.857142857142858</v>
      </c>
      <c r="EZ79" s="25" t="str">
        <f t="shared" si="249"/>
        <v>SIN RIESGO DE ISOINMUNIZACIÓN</v>
      </c>
      <c r="FA79" s="21">
        <v>69</v>
      </c>
      <c r="FB79" s="22">
        <v>44995</v>
      </c>
      <c r="FC79" s="29">
        <f t="shared" si="276"/>
        <v>21.857142857142858</v>
      </c>
      <c r="FD79" s="29"/>
      <c r="FE79" s="29"/>
      <c r="FF79" s="29"/>
      <c r="FG79" s="21" t="str">
        <f t="shared" ca="1" si="277"/>
        <v/>
      </c>
      <c r="FH79" s="31"/>
      <c r="FI79" s="29" t="str">
        <f t="shared" si="278"/>
        <v>TOMAR EXAMEN</v>
      </c>
      <c r="FJ79" s="22"/>
      <c r="FK79" s="22"/>
      <c r="FL79" s="29" t="str">
        <f t="shared" ca="1" si="279"/>
        <v>NO APLICA-INGRESO TARDIO</v>
      </c>
      <c r="FM79" s="22" t="s">
        <v>867</v>
      </c>
      <c r="FN79" s="32">
        <v>44973</v>
      </c>
      <c r="FO79" s="29">
        <f t="shared" ca="1" si="441"/>
        <v>18.714285714285715</v>
      </c>
      <c r="FP79" s="22" t="s">
        <v>867</v>
      </c>
      <c r="FQ79" s="32">
        <v>45072</v>
      </c>
      <c r="FR79" s="29">
        <f t="shared" ca="1" si="442"/>
        <v>32.857142857142854</v>
      </c>
      <c r="FS79" s="22"/>
      <c r="FT79" s="32"/>
      <c r="FU79" s="29" t="str">
        <f>IF(AND(FJ79="",FM79="",FP79="",FS79=""),"",IF(OR(OR(Tabla1[[#This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79" s="28"/>
      <c r="FW79" s="22"/>
      <c r="FX79" s="29" t="str">
        <f t="shared" si="280"/>
        <v>TOMAR EXAMEN</v>
      </c>
      <c r="FY79" s="22">
        <v>44939</v>
      </c>
      <c r="FZ79" s="22">
        <v>44939</v>
      </c>
      <c r="GA79" s="29" t="str">
        <f t="shared" si="250"/>
        <v>REGISTRAR EN II TRIMESTRE</v>
      </c>
      <c r="GB79" s="22" t="s">
        <v>868</v>
      </c>
      <c r="GC79" s="22">
        <v>44995</v>
      </c>
      <c r="GD79" s="29">
        <f t="shared" ca="1" si="443"/>
        <v>21.857142857142858</v>
      </c>
      <c r="GE79" s="22" t="s">
        <v>868</v>
      </c>
      <c r="GF79" s="22">
        <v>45072</v>
      </c>
      <c r="GG79" s="29">
        <f t="shared" ca="1" si="444"/>
        <v>32.857142857142854</v>
      </c>
      <c r="GH79" s="22"/>
      <c r="GI79" s="29"/>
      <c r="GJ79" s="22"/>
      <c r="GK79" s="22"/>
      <c r="GL79" s="22"/>
      <c r="GM79" s="22"/>
      <c r="GN79" s="28" t="s">
        <v>869</v>
      </c>
      <c r="GO79" s="22">
        <v>44995</v>
      </c>
      <c r="GP79" s="29">
        <f t="shared" si="283"/>
        <v>21.857142857142858</v>
      </c>
      <c r="GQ79" s="28" t="s">
        <v>869</v>
      </c>
      <c r="GR79" s="28" t="s">
        <v>869</v>
      </c>
      <c r="GS79" s="22" t="str">
        <f t="shared" si="284"/>
        <v>CONTROL Igm</v>
      </c>
      <c r="GT79" s="22">
        <v>44995</v>
      </c>
      <c r="GU79" s="29">
        <f t="shared" si="285"/>
        <v>21.857142857142858</v>
      </c>
      <c r="GV79" s="21" t="str">
        <f t="shared" si="286"/>
        <v>II TRIM</v>
      </c>
      <c r="GW79" s="28" t="s">
        <v>869</v>
      </c>
      <c r="GX79" s="30"/>
      <c r="GY79" s="21"/>
      <c r="GZ79" s="21"/>
      <c r="HA79" s="21"/>
      <c r="HB79" s="21"/>
      <c r="HC79" s="21"/>
      <c r="HD79" s="21"/>
      <c r="HE79" s="21"/>
      <c r="HF79" s="22"/>
      <c r="HG79" s="22" t="str">
        <f>IF(OR(O79&gt;0,R79&gt;0),CONCATENATE(IF(Tabla1[[#This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79" s="22" t="e">
        <f t="shared" si="287"/>
        <v>#REF!</v>
      </c>
      <c r="HI79" s="22" t="e">
        <f t="shared" ca="1" si="288"/>
        <v>#REF!</v>
      </c>
      <c r="HJ79" s="21"/>
      <c r="HK79" s="21" t="str">
        <f t="shared" si="289"/>
        <v>SIN ANTECEDENTES DE RIESGO</v>
      </c>
      <c r="HL79" s="24" t="str">
        <f t="shared" si="290"/>
        <v>APARENTEMENTE NORMAL</v>
      </c>
      <c r="HM79" s="21" t="str">
        <f t="shared" ca="1" si="291"/>
        <v/>
      </c>
      <c r="HN79" s="30" t="str">
        <f t="shared" si="445"/>
        <v>SALIO PROGRAMA</v>
      </c>
      <c r="HO79" s="21"/>
      <c r="HP79" s="21"/>
      <c r="HQ79" s="21">
        <v>44939</v>
      </c>
      <c r="HR79" s="21" t="str">
        <f>IF(R79="","",IF(Tabla1[[#This Row],[ALARMA FACTORES DE RIESGO COMPLICACIONES HIPERTENSIVAS3]]="SIN ANTECEDENTES DE RIESGO","No Aplica para suministro de ASA",IF(AND(Tabla1[[#This Row],[FECHA INICIO DE SUMINISTRO DE ASA]]&gt;0,RV79&lt;12),"Inicia ASA ANTES de Sem 12",IF(AND(RV79&gt;11,RV79&lt;17,OR(HK79="RIESGO ALTO DE COMPLICACIONES HIPERTENSIVAS VER MANEJO GUIA SUMINISTRO ASA Y CALCIO",HK79="RIESGO MODERADO (2 O MAS CRITERIOS) VER MANEJO GUIA SUMINISTRO ASA Y CALCIO")),"Inicio oportuno de ASA",IF(AND(RV79&gt;12,OR(HK79="RIESGO ALTO DE COMPLICACIONES HIPERTENSIVAS VER MANEJO GUIA SUMINISTRO ASA Y CALCIO",HK79="RIESGO MODERADO (2 O MAS CRITERIOS) VER MANEJO GUIA SUMINISTRO ASA Y CALCIO")),"Inicio no oportuno mayor a 16 semanas",IF(AND(BU79&lt;12,OR(HK79="RIESGO ALTO DE COMPLICACIONES HIPERTENSIVAS VER MANEJO GUIA SUMINISTRO ASA Y CALCIO",HK79="RIESGO MODERADO (2 O MAS CRITERIOS) VER MANEJO GUIA SUMINISTRO ASA Y CALCIO")),"Pendiente Inicio de ASA a la semana 12",IF(AND(BU79&gt;11,BU79&lt;17,OR(HK79="RIESGO ALTO DE COMPLICACIONES HIPERTENSIVAS VER MANEJO GUIA SUMINISTRO ASA Y CALCIO",HK79="RIESGO MODERADO (2 O MAS CRITERIOS) VER MANEJO GUIA SUMINISTRO ASA Y CALCIO")),"Iniciar de inmediato ASA",IF(AND(BU79&gt;16,OR(HK79="RIESGO ALTO DE COMPLICACIONES HIPERTENSIVAS VER MANEJO GUIA SUMINISTRO ASA Y CALCIO",HK79="RIESGO MODERADO (2 O MAS CRITERIOS) VER MANEJO GUIA SUMINISTRO ASA Y CALCIO")),"Pierde Oportunidad, Inicio tardío de ASA","XXXXX"))))))))</f>
        <v>No Aplica para suministro de ASA</v>
      </c>
      <c r="HS79" s="22">
        <v>44939</v>
      </c>
      <c r="HT79" s="22" t="s">
        <v>870</v>
      </c>
      <c r="HU79" s="22">
        <v>44939</v>
      </c>
      <c r="HV79" s="22" t="s">
        <v>870</v>
      </c>
      <c r="HW79" s="22">
        <v>44939</v>
      </c>
      <c r="HX79" s="22" t="s">
        <v>870</v>
      </c>
      <c r="HY79" s="22">
        <v>44939</v>
      </c>
      <c r="HZ79" s="28">
        <f t="shared" si="292"/>
        <v>13.857142857142858</v>
      </c>
      <c r="IA79" s="26" t="s">
        <v>864</v>
      </c>
      <c r="IB79" s="26"/>
      <c r="IC79" s="111"/>
      <c r="ID79" s="22">
        <v>44995</v>
      </c>
      <c r="IE79" s="22" t="str">
        <f t="shared" ca="1" si="293"/>
        <v>VACUNA APLICADA ENTRE SEMANA 20 Y SEMANA 26</v>
      </c>
      <c r="IF79" s="22"/>
      <c r="IG79" s="22">
        <f t="shared" si="294"/>
        <v>45122</v>
      </c>
      <c r="IH79" s="29">
        <f t="shared" ca="1" si="295"/>
        <v>-111</v>
      </c>
      <c r="II79" s="22" t="str">
        <f t="shared" ca="1" si="296"/>
        <v>POSIBLEMENTE NACIO</v>
      </c>
      <c r="IJ79" s="22"/>
      <c r="IK79" s="21" t="s">
        <v>1652</v>
      </c>
      <c r="IL79" s="21"/>
      <c r="IM79" s="34"/>
      <c r="IN79" s="349">
        <v>45074</v>
      </c>
      <c r="IO79" s="21" t="s">
        <v>1186</v>
      </c>
      <c r="IP79" s="29">
        <f t="shared" si="435"/>
        <v>33.142857142857146</v>
      </c>
      <c r="IQ79" s="35" t="s">
        <v>1650</v>
      </c>
      <c r="IR79" s="21" t="s">
        <v>1651</v>
      </c>
      <c r="IS79" s="21" t="s">
        <v>1646</v>
      </c>
      <c r="IT79" s="21" t="s">
        <v>1642</v>
      </c>
      <c r="IU79" s="21"/>
      <c r="IV79" s="21"/>
      <c r="IW79" s="21"/>
      <c r="IX79" s="21"/>
      <c r="IY79" s="21"/>
      <c r="IZ79" s="21"/>
      <c r="JA79" s="21"/>
      <c r="JB79" s="30">
        <v>1</v>
      </c>
      <c r="JC79" s="21" t="s">
        <v>1647</v>
      </c>
      <c r="JD79" s="36">
        <v>2000</v>
      </c>
      <c r="JE79" s="21" t="str">
        <f t="shared" si="446"/>
        <v>PREMATURO</v>
      </c>
      <c r="JF79" s="30"/>
      <c r="JG79" s="21"/>
      <c r="JH79" s="21"/>
      <c r="JI79" s="21" t="s">
        <v>854</v>
      </c>
      <c r="JJ79" s="30" t="s">
        <v>866</v>
      </c>
      <c r="JK79" s="22"/>
      <c r="JL79" s="22"/>
      <c r="JM79" s="21"/>
      <c r="JN79" s="36"/>
      <c r="JO79" s="21" t="str">
        <f t="shared" si="447"/>
        <v/>
      </c>
      <c r="JP79" s="22"/>
      <c r="JQ79" s="21"/>
      <c r="JR79" s="21"/>
      <c r="JS79" s="21"/>
      <c r="JT79" s="30"/>
      <c r="JU79" s="22"/>
      <c r="JV79" s="22"/>
      <c r="JW79" s="33"/>
      <c r="JX79" s="28" t="str">
        <f t="shared" si="448"/>
        <v>INASISTENTE</v>
      </c>
      <c r="JY79" s="33"/>
      <c r="JZ79" s="28" t="str">
        <f t="shared" si="449"/>
        <v>INASISTENTE</v>
      </c>
      <c r="KA79" s="21"/>
      <c r="KB79" s="21"/>
      <c r="KC79" s="21"/>
      <c r="KD79" s="37"/>
      <c r="KE79" s="28"/>
      <c r="KF79" s="28"/>
      <c r="KG79" s="28"/>
      <c r="KH79" s="39"/>
      <c r="KI79" s="39"/>
      <c r="KJ79" s="66"/>
      <c r="KK79" s="39"/>
      <c r="KL79" s="39"/>
      <c r="KM79" s="66"/>
      <c r="KN79" s="39"/>
      <c r="KO79" s="39"/>
      <c r="KP79" s="39"/>
      <c r="KQ79" s="39"/>
      <c r="KR79" s="39"/>
      <c r="KS79" s="39"/>
      <c r="KT79" s="39"/>
      <c r="KU79" s="38"/>
      <c r="KV79" s="38"/>
      <c r="KW79" s="38"/>
      <c r="KX79" s="38"/>
      <c r="KY79" s="38"/>
      <c r="KZ79" s="38"/>
      <c r="LA79" s="38"/>
      <c r="LB79" s="38"/>
      <c r="LC79" s="38"/>
      <c r="LD79" s="38"/>
      <c r="LE79" s="38"/>
      <c r="LF79" s="38"/>
      <c r="LG79" s="38"/>
      <c r="LH79" s="38"/>
      <c r="LI79" s="38"/>
      <c r="LJ79" s="38"/>
      <c r="LK79" s="38"/>
      <c r="LL79" s="38"/>
      <c r="LM79" s="38"/>
      <c r="LN79" s="38"/>
      <c r="LO79" s="38"/>
      <c r="LP79" s="38"/>
      <c r="LQ79" s="38"/>
      <c r="LR79" s="38"/>
      <c r="LS79" s="38"/>
      <c r="LT79" s="38"/>
      <c r="LU79" s="38"/>
      <c r="LV79" s="38"/>
      <c r="LW79" s="38"/>
      <c r="LX79" s="38"/>
      <c r="LY79" s="38"/>
      <c r="LZ79" s="38"/>
      <c r="MA79" s="38"/>
      <c r="MB79" s="38"/>
      <c r="MC79" s="38"/>
      <c r="MD79" s="38"/>
      <c r="ME79" s="38"/>
      <c r="MF79" s="38"/>
      <c r="MG79" s="38"/>
      <c r="MH79" s="43">
        <f t="shared" si="302"/>
        <v>0</v>
      </c>
      <c r="MI79" s="43" t="str">
        <f t="shared" si="303"/>
        <v/>
      </c>
      <c r="MJ79" s="43" t="str">
        <f t="shared" si="304"/>
        <v/>
      </c>
      <c r="MK79" s="43">
        <f t="shared" si="305"/>
        <v>0</v>
      </c>
      <c r="ML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79" s="43">
        <f t="shared" si="306"/>
        <v>13.857142857142858</v>
      </c>
      <c r="MN79" s="43">
        <f t="shared" si="307"/>
        <v>1</v>
      </c>
      <c r="MO79" s="43">
        <f t="shared" si="308"/>
        <v>2023</v>
      </c>
      <c r="MP79" s="43" t="str">
        <f t="shared" si="309"/>
        <v>I TRIMESTRE AÑO</v>
      </c>
      <c r="MQ79" s="43">
        <f t="shared" si="310"/>
        <v>26.289421813403418</v>
      </c>
      <c r="MR79" s="43">
        <f t="shared" si="311"/>
        <v>0</v>
      </c>
      <c r="MS79" s="43" t="str">
        <f t="shared" si="312"/>
        <v xml:space="preserve"> DE 25 A 29 AÑOS</v>
      </c>
      <c r="MT79" s="43">
        <f t="shared" si="313"/>
        <v>0</v>
      </c>
      <c r="MU79" s="43">
        <f t="shared" si="314"/>
        <v>0</v>
      </c>
      <c r="MV79" s="43">
        <f t="shared" si="315"/>
        <v>0</v>
      </c>
      <c r="MW79" s="43">
        <f t="shared" si="316"/>
        <v>0</v>
      </c>
      <c r="MX79" s="43" t="str">
        <f t="shared" si="317"/>
        <v/>
      </c>
      <c r="MY79" s="43" t="str">
        <f t="shared" ca="1" si="450"/>
        <v/>
      </c>
      <c r="MZ79" s="43" t="str">
        <f t="shared" si="318"/>
        <v/>
      </c>
      <c r="NA79" s="43" t="str">
        <f t="shared" si="319"/>
        <v/>
      </c>
      <c r="NB79" s="43" t="str">
        <f t="shared" si="320"/>
        <v/>
      </c>
      <c r="NC79" s="43" t="str">
        <f t="shared" si="321"/>
        <v/>
      </c>
      <c r="ND79" s="43">
        <f t="shared" ca="1" si="322"/>
        <v>0</v>
      </c>
      <c r="NE79" s="43">
        <f>IF(OR(O79&gt;0,R79&gt;0),SUM(COUNTIF(Tabla1[[#This Row],[AÑOS AL INICIO5 CPN]],"&gt;=40"),COUNTIF(AS79,"0"),COUNTIF(AR79,"SI"),COUNTIF(CC79,"SI"),COUNTIF(BQ79,"&gt;119"),COUNTIF(CI79,"&gt;=35")),"")</f>
        <v>0</v>
      </c>
      <c r="NF79" s="43">
        <f t="shared" si="323"/>
        <v>21.857142857142858</v>
      </c>
      <c r="NG79" s="43">
        <f t="shared" si="324"/>
        <v>0</v>
      </c>
      <c r="NH79" s="43">
        <f t="shared" si="325"/>
        <v>156.79999999999998</v>
      </c>
      <c r="NI7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CPN",P79="NO"),"Z",IF(AND(Tabla1[[#This Row],[CITA PROXIMO CONTROL]]="CITA MANUAL",Tabla1[[#This Row],[GESTANTES ACTUALES]]="ACTIVA INGRESO A CPN"),"W",IF(AND(Tabla1[[#This Row],[GESTANTES ACTUALES]]="SALIO PROGRAMA",IN79=""),"S",IF(AND(Tabla1[[#This Row],[CITA PROXIMO CONTROL]]&gt;0,IN79=""),(Tabla1[[#This Row],[CITA PROXIMO CONTROL]]-TODAY()),"SD"))))))))</f>
        <v>SD</v>
      </c>
      <c r="NJ79" s="43">
        <f>MONTH(Tabla1[[#This Row],[FECHA DE SALIDA  DEL PROGRAMA]])</f>
        <v>5</v>
      </c>
      <c r="NK79" s="43">
        <f>YEAR(Tabla1[[#This Row],[FECHA DE SALIDA  DEL PROGRAMA]])</f>
        <v>2023</v>
      </c>
      <c r="NL79" s="43">
        <f t="shared" si="326"/>
        <v>77</v>
      </c>
      <c r="NM79" s="43" t="str">
        <f t="shared" si="251"/>
        <v>NO</v>
      </c>
      <c r="NN79" s="43" t="str">
        <f ca="1">IF(AND(O79&gt;0,R79=""),"NO CPN",IF(AND(O79="",R79=""),"",IF(AND(R79&gt;0,Tabla1[[#This Row],[SEMANAS DE GESTACION ACTUALIZADAS]]&lt;=12),"NO APLICA",IF(AND(FH79&lt;&gt;"",FN79&lt;&gt;""),"SI","NO"))))</f>
        <v>NO</v>
      </c>
      <c r="NO79" s="43" t="str">
        <f ca="1">IF(AND(O79&gt;0,R79=""),"NO CPN",IF(AND(O79="",R79=""),"",IF(AND(R79&gt;0,Tabla1[[#This Row],[SEMANAS DE GESTACION ACTUALIZADAS]]&lt;=27),"NO APLICA",IF(AND(ES79&lt;&gt;"",FQ79&lt;&gt;"",GF79&lt;&gt;""),"SI","NO"))))</f>
        <v>NO</v>
      </c>
      <c r="NP79" s="204" t="str">
        <f t="shared" si="327"/>
        <v>II TRIM</v>
      </c>
      <c r="NQ79" s="21" t="str">
        <f t="shared" si="436"/>
        <v/>
      </c>
      <c r="NR79" s="21">
        <f t="shared" si="451"/>
        <v>2</v>
      </c>
      <c r="NS79" s="205">
        <f t="shared" ca="1" si="328"/>
        <v>2</v>
      </c>
      <c r="NT79" s="21">
        <f t="shared" ca="1" si="329"/>
        <v>2</v>
      </c>
      <c r="NU79" s="21" t="str">
        <f t="shared" ca="1" si="330"/>
        <v>COMPLETO</v>
      </c>
      <c r="NV79" s="21" t="str">
        <f t="shared" ca="1" si="331"/>
        <v>COMPLETO</v>
      </c>
      <c r="NW79" s="206" t="str">
        <f>IF(AND(O79="",R79=""),"",IF(OR(AND(Tabla1[[#This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79" s="207" t="str">
        <f t="shared" ca="1" si="332"/>
        <v>VACUNADA</v>
      </c>
      <c r="NY79" s="43">
        <f>ROW(Tabla1[[#This Row],['# DE TAMIZAJES SIFILIS TOMADOS ]])</f>
        <v>79</v>
      </c>
      <c r="NZ79" s="43">
        <f t="shared" si="333"/>
        <v>13</v>
      </c>
      <c r="OA79" s="43" t="str">
        <f t="shared" si="334"/>
        <v/>
      </c>
      <c r="OB79" s="43" t="str">
        <f t="shared" si="335"/>
        <v/>
      </c>
      <c r="OC79" s="43" t="str">
        <f t="shared" si="336"/>
        <v/>
      </c>
      <c r="OD79" s="43" t="str">
        <f t="shared" si="337"/>
        <v/>
      </c>
      <c r="OE79" s="43" t="str">
        <f t="shared" si="338"/>
        <v>NORMAL</v>
      </c>
      <c r="OF79" s="43" t="str">
        <f t="shared" si="339"/>
        <v/>
      </c>
      <c r="OG79" s="43" t="str">
        <f t="shared" si="340"/>
        <v/>
      </c>
      <c r="OH79" s="43" t="str">
        <f t="shared" si="341"/>
        <v/>
      </c>
      <c r="OI79" s="43" t="str">
        <f t="shared" si="342"/>
        <v/>
      </c>
      <c r="OJ79" s="43" t="str">
        <f t="shared" si="343"/>
        <v/>
      </c>
      <c r="OK79" s="43" t="str">
        <f t="shared" si="344"/>
        <v/>
      </c>
      <c r="OL79" s="43" t="str">
        <f t="shared" si="345"/>
        <v/>
      </c>
      <c r="OM79" s="43" t="str">
        <f t="shared" si="346"/>
        <v/>
      </c>
      <c r="ON79" s="43" t="str">
        <f t="shared" si="347"/>
        <v/>
      </c>
      <c r="OO79" s="43" t="str">
        <f t="shared" si="348"/>
        <v/>
      </c>
      <c r="OP79" s="43" t="str">
        <f t="shared" si="349"/>
        <v/>
      </c>
      <c r="OQ79" s="43" t="str">
        <f t="shared" si="350"/>
        <v/>
      </c>
      <c r="OR79" s="43" t="str">
        <f t="shared" si="351"/>
        <v/>
      </c>
      <c r="OS79" s="43" t="str">
        <f t="shared" si="352"/>
        <v/>
      </c>
      <c r="OT79" s="43" t="str">
        <f t="shared" si="353"/>
        <v/>
      </c>
      <c r="OU79" s="43" t="str">
        <f t="shared" si="354"/>
        <v/>
      </c>
      <c r="OV79" s="110" t="str">
        <f t="shared" si="355"/>
        <v/>
      </c>
      <c r="OW79" s="43" t="str">
        <f t="shared" si="356"/>
        <v/>
      </c>
      <c r="OX79" s="43" t="str">
        <f t="shared" si="357"/>
        <v/>
      </c>
      <c r="OY79" s="43" t="str">
        <f t="shared" si="358"/>
        <v/>
      </c>
      <c r="OZ79" s="43" t="str">
        <f t="shared" si="359"/>
        <v/>
      </c>
      <c r="PA79" s="43" t="str">
        <f t="shared" si="360"/>
        <v/>
      </c>
      <c r="PB79" s="43" t="str">
        <f t="shared" si="361"/>
        <v/>
      </c>
      <c r="PC79" s="43" t="str">
        <f t="shared" si="362"/>
        <v/>
      </c>
      <c r="PD79" s="43" t="str">
        <f t="shared" si="363"/>
        <v/>
      </c>
      <c r="PE79" s="43" t="str">
        <f t="shared" si="364"/>
        <v/>
      </c>
      <c r="PF79" s="43" t="str">
        <f t="shared" si="365"/>
        <v/>
      </c>
      <c r="PG79" s="43" t="str">
        <f t="shared" si="366"/>
        <v/>
      </c>
      <c r="PH79" s="43" t="str">
        <f t="shared" si="367"/>
        <v/>
      </c>
      <c r="PI79" s="43">
        <f t="shared" si="368"/>
        <v>32</v>
      </c>
      <c r="PJ79" s="43" t="str">
        <f t="shared" si="369"/>
        <v/>
      </c>
      <c r="PK79" s="43" t="str">
        <f t="shared" si="370"/>
        <v/>
      </c>
      <c r="PL79" s="43" t="str">
        <f t="shared" si="371"/>
        <v/>
      </c>
      <c r="PM79" s="43" t="str">
        <f t="shared" si="372"/>
        <v/>
      </c>
      <c r="PN79" s="43" t="str">
        <f t="shared" si="373"/>
        <v/>
      </c>
      <c r="PO79" s="43" t="str">
        <f t="shared" si="374"/>
        <v/>
      </c>
      <c r="PP79" s="43" t="str">
        <f t="shared" si="375"/>
        <v/>
      </c>
      <c r="PQ79" s="43" t="str">
        <f t="shared" si="376"/>
        <v/>
      </c>
      <c r="PR79" s="43" t="str">
        <f t="shared" si="377"/>
        <v/>
      </c>
      <c r="PS79" s="43" t="str">
        <f t="shared" si="378"/>
        <v/>
      </c>
      <c r="PT79" s="43" t="str">
        <f t="shared" si="379"/>
        <v/>
      </c>
      <c r="PU79" s="43" t="str">
        <f t="shared" si="380"/>
        <v/>
      </c>
      <c r="PV79" s="43" t="str">
        <f t="shared" si="381"/>
        <v/>
      </c>
      <c r="PW79" s="43" t="str">
        <f t="shared" si="382"/>
        <v/>
      </c>
      <c r="PX79" s="43" t="str">
        <f t="shared" si="383"/>
        <v/>
      </c>
      <c r="PY79" s="43" t="str">
        <f t="shared" si="384"/>
        <v/>
      </c>
      <c r="PZ79" s="43" t="str">
        <f t="shared" si="385"/>
        <v/>
      </c>
      <c r="QA79" s="43" t="str">
        <f t="shared" si="386"/>
        <v/>
      </c>
      <c r="QB79" s="43" t="str">
        <f t="shared" si="387"/>
        <v/>
      </c>
      <c r="QC79" s="43" t="str">
        <f t="shared" si="388"/>
        <v/>
      </c>
      <c r="QD79" s="43" t="str">
        <f t="shared" si="389"/>
        <v/>
      </c>
      <c r="QE79" s="43" t="str">
        <f t="shared" si="390"/>
        <v/>
      </c>
      <c r="QF79" s="43" t="str">
        <f t="shared" si="391"/>
        <v/>
      </c>
      <c r="QG79" s="43" t="str">
        <f t="shared" si="392"/>
        <v>NORMAL</v>
      </c>
      <c r="QH79" s="43" t="str">
        <f t="shared" si="393"/>
        <v/>
      </c>
      <c r="QI79" s="43" t="str">
        <f t="shared" si="394"/>
        <v/>
      </c>
      <c r="QJ79" s="43" t="str">
        <f t="shared" si="395"/>
        <v/>
      </c>
      <c r="QK79" s="43" t="str">
        <f t="shared" si="396"/>
        <v/>
      </c>
      <c r="QL79" s="43" t="str">
        <f t="shared" si="397"/>
        <v/>
      </c>
      <c r="QM79" s="43" t="str">
        <f t="shared" si="398"/>
        <v/>
      </c>
      <c r="QN79" s="43" t="str">
        <f t="shared" si="399"/>
        <v/>
      </c>
      <c r="QO79" s="43" t="str">
        <f t="shared" si="400"/>
        <v/>
      </c>
      <c r="QP79" s="43" t="str">
        <f t="shared" si="401"/>
        <v/>
      </c>
      <c r="QQ79" s="43" t="str">
        <f t="shared" si="402"/>
        <v/>
      </c>
      <c r="QR79" s="43">
        <f t="shared" si="432"/>
        <v>32</v>
      </c>
      <c r="QS79" s="43"/>
      <c r="QT79" s="21" t="str">
        <f t="shared" si="403"/>
        <v/>
      </c>
      <c r="QU79" s="21" t="str">
        <f t="shared" si="404"/>
        <v/>
      </c>
      <c r="QV79" s="21" t="str">
        <f t="shared" si="405"/>
        <v/>
      </c>
      <c r="QW79" s="21" t="str">
        <f t="shared" si="406"/>
        <v/>
      </c>
      <c r="QX79" s="21" t="str">
        <f t="shared" si="407"/>
        <v/>
      </c>
      <c r="QY79" s="21" t="str">
        <f t="shared" si="408"/>
        <v/>
      </c>
      <c r="QZ79" s="21" t="str">
        <f t="shared" si="409"/>
        <v/>
      </c>
      <c r="RA79" s="21" t="str">
        <f t="shared" si="410"/>
        <v/>
      </c>
      <c r="RB79" s="21" t="str">
        <f t="shared" si="411"/>
        <v/>
      </c>
      <c r="RC79" s="21" t="str">
        <f t="shared" si="412"/>
        <v/>
      </c>
      <c r="RD79" s="21" t="str">
        <f t="shared" si="413"/>
        <v/>
      </c>
      <c r="RE79" s="21" t="str">
        <f t="shared" si="414"/>
        <v/>
      </c>
      <c r="RF79" s="21" t="str">
        <f t="shared" si="415"/>
        <v/>
      </c>
      <c r="RG79" s="21" t="str">
        <f t="shared" si="416"/>
        <v/>
      </c>
      <c r="RH79" s="21" t="str">
        <f t="shared" si="417"/>
        <v/>
      </c>
      <c r="RI79" s="21" t="str">
        <f t="shared" si="418"/>
        <v/>
      </c>
      <c r="RJ79" s="21" t="str">
        <f t="shared" si="419"/>
        <v/>
      </c>
      <c r="RK79" s="21" t="str">
        <f t="shared" si="420"/>
        <v/>
      </c>
      <c r="RL79" s="21" t="str">
        <f t="shared" si="421"/>
        <v/>
      </c>
      <c r="RM79" s="21" t="str">
        <f t="shared" si="422"/>
        <v>ADECUADO PARA EDAD GESTACIONAL</v>
      </c>
      <c r="RN79" s="21" t="str">
        <f t="shared" si="423"/>
        <v/>
      </c>
      <c r="RO79" s="21" t="str">
        <f t="shared" si="424"/>
        <v/>
      </c>
      <c r="RP79" s="21" t="str">
        <f t="shared" si="425"/>
        <v/>
      </c>
      <c r="RQ79" s="21" t="str">
        <f t="shared" si="426"/>
        <v/>
      </c>
      <c r="RR79" s="21" t="str">
        <f t="shared" si="427"/>
        <v/>
      </c>
      <c r="RS79" s="21" t="str">
        <f t="shared" si="428"/>
        <v/>
      </c>
      <c r="RT79" s="21" t="str">
        <f t="shared" si="429"/>
        <v/>
      </c>
      <c r="RU79" s="21" t="str">
        <f t="shared" si="430"/>
        <v/>
      </c>
      <c r="RV79" s="21">
        <f t="shared" si="431"/>
        <v>13.857142857142858</v>
      </c>
      <c r="RW79" s="284">
        <f>IF(OR(Tabla1[[#This Row],[FUM FORMULA CONFIABLE]]="",Tabla1[[#This Row],[FUM FORMULA CONFIABLE]]="SD"),"",IF(Tabla1[[#This Row],[FUM FORMULA CONFIABLE]]="CORREGIDA",Tabla1[[#This Row],[FUM X ECO 1]],Tabla1[[#This Row],[FUM x AMENORREA]]))</f>
        <v>44842</v>
      </c>
      <c r="RX79" s="21">
        <f>IF(AND(Tabla1[[#This Row],[FUM X ECO 1]]="",Tabla1[[#This Row],[FUM x AMENORREA]]=""),"",IF(AND(Tabla1[[#This Row],[FUM X ECO 1]]="",Tabla1[[#This Row],[FUM x AMENORREA]]&lt;&gt;""),"X",SUM(Tabla1[[#This Row],[FUM X ECO 1]]-Tabla1[[#This Row],[FUM x AMENORREA]])))</f>
        <v>-3.8000000000029104</v>
      </c>
      <c r="RY79" s="21">
        <f t="shared" si="433"/>
        <v>0</v>
      </c>
    </row>
    <row r="80" spans="1:493" ht="45" customHeight="1" x14ac:dyDescent="0.25">
      <c r="A80" s="109"/>
      <c r="B80" s="43"/>
      <c r="C80" s="43" t="s">
        <v>845</v>
      </c>
      <c r="D80" s="124" t="s">
        <v>846</v>
      </c>
      <c r="E80" s="43" t="s">
        <v>1242</v>
      </c>
      <c r="F80" s="43" t="s">
        <v>1135</v>
      </c>
      <c r="G80" s="43" t="s">
        <v>985</v>
      </c>
      <c r="H80" s="43" t="s">
        <v>1243</v>
      </c>
      <c r="I80" s="109" t="s">
        <v>851</v>
      </c>
      <c r="J80" s="110">
        <v>1002848594</v>
      </c>
      <c r="K80" s="43" t="s">
        <v>852</v>
      </c>
      <c r="L80" s="175" t="s">
        <v>853</v>
      </c>
      <c r="M80" s="22">
        <v>31849</v>
      </c>
      <c r="N80" s="213">
        <f t="shared" ca="1" si="252"/>
        <v>36.668493150684931</v>
      </c>
      <c r="O80" s="22">
        <v>44940</v>
      </c>
      <c r="P80" s="214" t="str">
        <f t="shared" si="437"/>
        <v>SI</v>
      </c>
      <c r="Q80" s="26" t="s">
        <v>855</v>
      </c>
      <c r="R80" s="22">
        <v>44940</v>
      </c>
      <c r="S80" s="21" t="s">
        <v>856</v>
      </c>
      <c r="T80" s="24" t="s">
        <v>690</v>
      </c>
      <c r="U80" s="21" t="s">
        <v>857</v>
      </c>
      <c r="V80" s="21" t="s">
        <v>858</v>
      </c>
      <c r="W80" s="21" t="s">
        <v>1241</v>
      </c>
      <c r="X80" s="21" t="s">
        <v>1241</v>
      </c>
      <c r="Y80" s="21" t="s">
        <v>859</v>
      </c>
      <c r="Z80" s="21">
        <v>3156060139</v>
      </c>
      <c r="AA80" s="21" t="s">
        <v>860</v>
      </c>
      <c r="AB80" s="27" t="s">
        <v>861</v>
      </c>
      <c r="AC80" s="26" t="s">
        <v>862</v>
      </c>
      <c r="AD80" s="38" t="s">
        <v>846</v>
      </c>
      <c r="AE80" s="26" t="s">
        <v>854</v>
      </c>
      <c r="AF80" s="26" t="s">
        <v>854</v>
      </c>
      <c r="AG80" s="23" t="s">
        <v>864</v>
      </c>
      <c r="AH80" s="23" t="s">
        <v>864</v>
      </c>
      <c r="AI80" s="24" t="s">
        <v>863</v>
      </c>
      <c r="AJ80" s="23" t="s">
        <v>864</v>
      </c>
      <c r="AK80" s="220" t="str">
        <f>IF(AND(AD80="",AE80="",AF80="",AG80="",AH80="",AI80="",AJ80=""),"",IF(OR(Tabla1[[#This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EVALUACIÓN",IF(AND(O80="",R80=""),"",IF(AND(OR(O80&gt;0,R80&gt;0),NG80&gt;=0,NG80&lt;2),"SIN RIESGO",IF(AND(OR(O80&gt;0,R80&gt;0),NG80&gt;=2),"CON RIESGO","ASD")))))</f>
        <v>SIN RIESGO</v>
      </c>
      <c r="AL80" s="23" t="s">
        <v>864</v>
      </c>
      <c r="AM80" s="26" t="s">
        <v>864</v>
      </c>
      <c r="AN80" s="26" t="s">
        <v>864</v>
      </c>
      <c r="AO80" s="26" t="s">
        <v>864</v>
      </c>
      <c r="AP80" s="26" t="s">
        <v>864</v>
      </c>
      <c r="AQ80" s="26" t="s">
        <v>864</v>
      </c>
      <c r="AR80" s="26" t="s">
        <v>864</v>
      </c>
      <c r="AS80" s="21">
        <v>5</v>
      </c>
      <c r="AT80" s="21">
        <v>4</v>
      </c>
      <c r="AU80" s="21">
        <v>1</v>
      </c>
      <c r="AV80" s="26" t="s">
        <v>864</v>
      </c>
      <c r="AW80" s="21">
        <v>0</v>
      </c>
      <c r="AX80" s="26" t="s">
        <v>864</v>
      </c>
      <c r="AY80" s="26" t="s">
        <v>864</v>
      </c>
      <c r="AZ80" s="26" t="s">
        <v>864</v>
      </c>
      <c r="BA80" s="26" t="s">
        <v>864</v>
      </c>
      <c r="BB80" s="26" t="s">
        <v>864</v>
      </c>
      <c r="BC80" s="26" t="s">
        <v>864</v>
      </c>
      <c r="BD80" s="26" t="s">
        <v>864</v>
      </c>
      <c r="BE80" s="26" t="s">
        <v>864</v>
      </c>
      <c r="BF80" s="26" t="s">
        <v>864</v>
      </c>
      <c r="BG80" s="26" t="s">
        <v>864</v>
      </c>
      <c r="BH80" s="26" t="s">
        <v>864</v>
      </c>
      <c r="BI80" s="26" t="s">
        <v>864</v>
      </c>
      <c r="BJ80" s="26"/>
      <c r="BK80" s="26"/>
      <c r="BL80" s="26" t="s">
        <v>864</v>
      </c>
      <c r="BM80" s="26" t="s">
        <v>864</v>
      </c>
      <c r="BN80" s="22"/>
      <c r="BO80" s="22">
        <v>44796</v>
      </c>
      <c r="BP80" s="21" t="s">
        <v>854</v>
      </c>
      <c r="BQ80" s="222">
        <f t="shared" si="254"/>
        <v>0</v>
      </c>
      <c r="BR80" s="223">
        <f t="shared" si="255"/>
        <v>44803.9</v>
      </c>
      <c r="BS80" s="224">
        <f t="shared" si="256"/>
        <v>20.571428571428573</v>
      </c>
      <c r="BT80" s="216" t="str">
        <f t="shared" si="257"/>
        <v>II TRIM</v>
      </c>
      <c r="BU80" s="214" t="str">
        <f t="shared" ca="1" si="258"/>
        <v/>
      </c>
      <c r="BV80" s="25" t="s">
        <v>988</v>
      </c>
      <c r="BW80" s="22">
        <v>45051</v>
      </c>
      <c r="BX80" s="28">
        <v>35.299999999999997</v>
      </c>
      <c r="BY80" s="28"/>
      <c r="BZ80" s="22"/>
      <c r="CA80" s="21"/>
      <c r="CB80" s="26" t="s">
        <v>864</v>
      </c>
      <c r="CC80" s="26" t="s">
        <v>864</v>
      </c>
      <c r="CD80" s="26"/>
      <c r="CE80" s="26" t="s">
        <v>864</v>
      </c>
      <c r="CF80" s="22" t="s">
        <v>1517</v>
      </c>
      <c r="CG80" s="21">
        <v>1.41</v>
      </c>
      <c r="CH80" s="21">
        <v>61</v>
      </c>
      <c r="CI80" s="214">
        <f t="shared" si="259"/>
        <v>30.68256123937428</v>
      </c>
      <c r="CJ80" s="225" t="e">
        <f>IF(AND(CI80&lt;10,CH80="SD"),"SIN DATO PESO PREGESTACION O I TRIM",IF(AND(OR(R80&gt;0,O80&gt;0),CI80="X"),"INGRESAR DATO DE PESO",IF(CI80="SD","INGRESAR DATO DE TALLA Y PESO",IF(AND(OR(Tabla1[[#This Row],[MOMENTO EN QUE SE REALIZA EL PESO AL INGRESO A CPN]]="PREGESTACIÓN",NZ80="Menor"),CI80&lt;18.5),"BAJO PESO",IF(AND(OR(Tabla1[[#This Row],[MOMENTO EN QUE SE REALIZA EL PESO AL INGRESO A CPN]]="PREGESTACIÓN",NZ80="Menor"),CI80&lt;25),"NORMAL",IF(AND(OR(Tabla1[[#This Row],[MOMENTO EN QUE SE REALIZA EL PESO AL INGRESO A CPN]]="PREGESTACIÓN",NZ80="Menor"),CI80&lt;30),"SOBREPESO",IF(AND(OR(Tabla1[[#This Row],[MOMENTO EN QUE SE REALIZA EL PESO AL INGRESO A CPN]]="PREGESTACIÓN",NZ80="Menor"),CI80&gt;=30,CI80&lt;50),"OBESIDAD",IF(AND(BS80&gt;0,Tabla1[[#This Row],[MOMENTO EN QUE SE REALIZA EL PESO AL INGRESO A CPN]]="GESTACIÓN"),HLOOKUP(NZ80,$OA$2:PH80,NY80),""))))))))</f>
        <v>#REF!</v>
      </c>
      <c r="CK80" s="212">
        <f t="shared" si="260"/>
        <v>45051</v>
      </c>
      <c r="CL80" s="21">
        <v>64.900000000000006</v>
      </c>
      <c r="CM80" s="214">
        <f t="shared" si="261"/>
        <v>32.644233187465424</v>
      </c>
      <c r="CN80" s="216">
        <f t="shared" si="262"/>
        <v>36</v>
      </c>
      <c r="CO80" s="216" t="e">
        <f>IF(PI80="","",IF(PI80&gt;0,HLOOKUP(PI80,$PJ$2:QQ80,NY80),""))</f>
        <v>#REF!</v>
      </c>
      <c r="CP80" s="21">
        <v>32</v>
      </c>
      <c r="CQ80" s="216" t="e">
        <f>IF(QR80="Menor","NO APLICA-MENOR 13 SEM",IF(AND(CC80="SI",CN80&gt;23),"NO APLICA- GEMELAR",IF(QR80="","",IF(QR80&gt;0,HLOOKUP(QR80,$QS$2:RU80,NY80),""))))</f>
        <v>#REF!</v>
      </c>
      <c r="CR80" s="21"/>
      <c r="CS80" s="21"/>
      <c r="CT80" s="217" t="str">
        <f>IF(R80="","",IF(AND(BS80&gt;1,BS80&lt;12,Tabla1[[#This Row],[T.A. SISTOLICA - ANTES DE SEMANA 12]]="",Tabla1[[#This Row],[T.A. DIASTOLICA - ANTES DE SEMANA 12]]=""),"REGISTRE DATO TA ANTES SEMANA 12",IF(AND(BS80&gt;11,BS80&lt;43,Tabla1[[#This Row],[T.A. SISTOLICA - ANTES DE SEMANA 12]]="",Tabla1[[#This Row],[T.A. DIASTOLICA - ANTES DE SEMANA 12]]=""),"NO APLICA REGISTRO TA-INGRESO TARDIO",IF(AND(OR(O80&gt;0,R80&gt;0),OR(CR80&gt;=140,CS80&gt;=90)),"DEFINIR ESTADIO HTA",IF(AND(OR(O80&gt;0,R80&gt;0),AND(CR80&gt;120,CR80&lt;=139)),"PRE HTA SEGUIMIENTO",IF(AND(OR(O80&gt;0,R80&gt;0),AND(CS80&gt;80,CS80&lt;=89)),"PRE HTA SEGUIMIENTO",IF(AND(OR(O80&gt;0,R80&gt;0),AND(CR80&gt;=80,CR80&lt;=120)),"APARENTEMENTE NORMAL",IF(AND(OR(O80&gt;0,R80&gt;0),AND(CS80&gt;=50,CS80&lt;=80)),"APARENTEMENTE NORMAL",IF(AND(OR(O80&gt;0,R80&gt;0),AND(CR80&gt;1,CR80&lt;=70),AND(CS80&gt;1,CS80&lt;=40)),"HIPOTENSIÓN","")))))))))</f>
        <v>NO APLICA REGISTRO TA-INGRESO TARDIO</v>
      </c>
      <c r="CU80" s="21">
        <v>100</v>
      </c>
      <c r="CV80" s="21">
        <v>70</v>
      </c>
      <c r="CW80" s="217" t="str">
        <f ca="1">IF(R80="","",IF(AND(CN80&gt;19,CN80&lt;27,Tabla1[[#This Row],[T.A. SISTOLICA (Entre semana 20 y 26)]]="",Tabla1[[#This Row],[T.A. DIATOLICA (Entre semana 20 y 26)]]=""),"ACUDE A CONTROL SEM 20 A 26 REGISTRE TA AHORA",IF(AND(BS80&gt;1,BS80&lt;27,BU80&gt;19,Tabla1[[#This Row],[T.A. SISTOLICA (Entre semana 20 y 26)]]="",Tabla1[[#This Row],[T.A. DIATOLICA (Entre semana 20 y 26)]]=""),"COMPLETE REGISTRO TA CONTROL SEM 20 A26 ",IF(AND(BS80&gt;26,BS80&lt;43,Tabla1[[#This Row],[T.A. SISTOLICA (Entre semana 20 y 26)]]="",Tabla1[[#This Row],[T.A. DIATOLICA (Entre semana 20 y 26)]]=""),"NO APLICA REGISTRO TA-INGRESO TARDIO",IF(AND(OR(O80&gt;0,R80&gt;0),OR(CU80&gt;=140,CV80&gt;=90)),"ALTO RIESGO PREECLAMPSIA,DEFINIR ESTADIO HTA",IF(AND(OR(O80&gt;0,R80&gt;0),AND(CU80&gt;120,CU80&lt;=139)),"PRE HTA SEGUIMIENTO,RIESGO HIPERTENSION INDUCIDA POR EL EMBARAZO",IF(AND(OR(O80&gt;0,R80&gt;0),AND(CV80&gt;80,CV80&lt;=89)),"PRE HTA SEGUIMIENTO, RIESGO HIPERTENSION INDUCIDA POR EL EMBARAZO",IF(AND(OR(O80&lt;&gt;"",R80&lt;&gt;""),CS80&lt;&gt;"",CV80&lt;&gt;"",CS80&lt;=CV80),"VIGILAR CIFRAS PRESION ARTERIAL",IF(AND(OR(O80&gt;0,R80&gt;0),AND(CU80&gt;120,CU80&lt;=139)),"PRE HTA SEGUIMIENTO",IF(AND(OR(O80&gt;0,R80&gt;0),AND(CU80&gt;1,CU80&lt;=70),AND(CV80&gt;1,CV80&lt;=40)),"HIPOTENSIÓN",IF(AND(OR(O80&lt;&gt;"",R80&lt;&gt;""),CS80&lt;&gt;"",CV80&lt;&gt;"",CS80&gt;CV80),"APARENTEMENTE NORMAL",IF(AND(OR(O80&gt;0,R80&gt;0),AND(CU80&gt;=80,CU80&lt;=120)),"APARENTEMENTE NORMAL",IF(AND(OR(O80&gt;0,R80&gt;0),AND(CV80&gt;=50,CV80&lt;=80)),"APARENTEMENTE NORMAL","")))))))))))))</f>
        <v>APARENTEMENTE NORMAL</v>
      </c>
      <c r="CX80" s="21"/>
      <c r="CY80" s="21"/>
      <c r="CZ80" s="216" t="str">
        <f t="shared" si="263"/>
        <v/>
      </c>
      <c r="DA80" s="21">
        <v>100</v>
      </c>
      <c r="DB80" s="21">
        <v>60</v>
      </c>
      <c r="DC80" s="217" t="str">
        <f t="shared" si="264"/>
        <v>VIGILAR CIFRAS PRESION ARTERIAL</v>
      </c>
      <c r="DD80" s="22">
        <v>44940</v>
      </c>
      <c r="DE80" s="22">
        <v>44940</v>
      </c>
      <c r="DF80" s="22">
        <v>44999</v>
      </c>
      <c r="DG80" s="22">
        <v>45044</v>
      </c>
      <c r="DH80" s="22">
        <v>45051</v>
      </c>
      <c r="DI80" s="22"/>
      <c r="DJ80" s="22"/>
      <c r="DK80" s="22"/>
      <c r="DL80" s="22"/>
      <c r="DM80" s="22"/>
      <c r="DN80" s="22"/>
      <c r="DO80" s="22"/>
      <c r="DP80" s="22"/>
      <c r="DQ80" s="22"/>
      <c r="DR80" s="28">
        <v>1</v>
      </c>
      <c r="DS80" s="22"/>
      <c r="DT80" s="22"/>
      <c r="DU80" s="216" t="str">
        <f t="shared" ca="1" si="438"/>
        <v>SALE SIN PLAN DE PARTO</v>
      </c>
      <c r="DV80" s="226" t="str">
        <f t="shared" si="439"/>
        <v>SALIO PROGRAMA</v>
      </c>
      <c r="DW8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0" s="216" t="str">
        <f t="shared" ca="1" si="266"/>
        <v/>
      </c>
      <c r="DY80" s="212">
        <f>IF(R80="","",IF(R80&gt;0,MAX(Tabla1[[#This Row],[FECHA C2]:[FECHA C13]],Tabla1[[#This Row],[FECHA CONSULTA PRIMERA VEZ PROGRAMA CPN ]])))</f>
        <v>45051</v>
      </c>
      <c r="DZ80" s="216">
        <f t="shared" si="267"/>
        <v>36</v>
      </c>
      <c r="EA80" s="222">
        <f>IF(R80&gt;0,SUM(COUNTA(DF80:DQ80)+COUNTA(Tabla1[[#This Row],[FECHA CONSULTA PRIMERA VEZ PROGRAMA CPN ]])),"")</f>
        <v>4</v>
      </c>
      <c r="EB80" s="222" t="str">
        <f t="shared" si="268"/>
        <v>SI</v>
      </c>
      <c r="EC80" s="214">
        <f t="shared" si="269"/>
        <v>6</v>
      </c>
      <c r="ED80" s="227">
        <f t="shared" si="270"/>
        <v>0.66666666666666663</v>
      </c>
      <c r="EE80" s="22">
        <v>44940</v>
      </c>
      <c r="EF80" s="22">
        <v>44939</v>
      </c>
      <c r="EG80" s="22">
        <v>44940</v>
      </c>
      <c r="EH80" s="22"/>
      <c r="EI80" s="22">
        <v>44940</v>
      </c>
      <c r="EJ80" s="22"/>
      <c r="EK80" s="22"/>
      <c r="EL80" s="21"/>
      <c r="EM80" s="21">
        <v>13.9</v>
      </c>
      <c r="EN80" s="22">
        <v>44876</v>
      </c>
      <c r="EO80" s="222">
        <f t="shared" si="271"/>
        <v>11.428571428571429</v>
      </c>
      <c r="EP80" s="214" t="str">
        <f t="shared" si="272"/>
        <v>NORMAL- SUMINISTRAR SULFATO FERROSO</v>
      </c>
      <c r="EQ80" s="216" t="str">
        <f t="shared" si="273"/>
        <v>I TRIM</v>
      </c>
      <c r="ER80" s="24"/>
      <c r="ES80" s="22"/>
      <c r="ET80" s="29" t="str">
        <f t="shared" ca="1" si="440"/>
        <v>SALE SIN TAMIZAJE HEMOGLOBINA SEM 28</v>
      </c>
      <c r="EU80" s="25" t="str">
        <f t="shared" si="275"/>
        <v/>
      </c>
      <c r="EV80" s="24" t="s">
        <v>926</v>
      </c>
      <c r="EW80" s="24">
        <v>45002</v>
      </c>
      <c r="EX80" s="22"/>
      <c r="EY80" s="29">
        <f t="shared" si="248"/>
        <v>29.428571428571427</v>
      </c>
      <c r="EZ80" s="25" t="str">
        <f t="shared" ca="1" si="249"/>
        <v/>
      </c>
      <c r="FA80" s="21">
        <v>64</v>
      </c>
      <c r="FB80" s="22">
        <v>44876</v>
      </c>
      <c r="FC80" s="29">
        <f t="shared" si="276"/>
        <v>11.428571428571429</v>
      </c>
      <c r="FD80" s="29"/>
      <c r="FE80" s="29"/>
      <c r="FF80" s="29"/>
      <c r="FG80" s="21" t="str">
        <f t="shared" ca="1" si="277"/>
        <v/>
      </c>
      <c r="FH80" s="31"/>
      <c r="FI80" s="29" t="str">
        <f t="shared" si="278"/>
        <v>TOMAR EXAMEN</v>
      </c>
      <c r="FJ80" s="22"/>
      <c r="FK80" s="22"/>
      <c r="FL80" s="29" t="str">
        <f t="shared" ca="1" si="279"/>
        <v>NO APLICA-INGRESO TARDIO</v>
      </c>
      <c r="FM80" s="22"/>
      <c r="FN80" s="32"/>
      <c r="FO80" s="29" t="str">
        <f t="shared" ca="1" si="441"/>
        <v>PIERDE TOMA DE TAMIZAJE</v>
      </c>
      <c r="FP80" s="22" t="s">
        <v>867</v>
      </c>
      <c r="FQ80" s="32">
        <v>45002</v>
      </c>
      <c r="FR80" s="29">
        <f t="shared" ca="1" si="442"/>
        <v>29.428571428571427</v>
      </c>
      <c r="FS80" s="22"/>
      <c r="FT80" s="32"/>
      <c r="FU80" s="29" t="str">
        <f>IF(AND(FJ80="",FM80="",FP80="",FS80=""),"",IF(OR(OR(Tabla1[[#This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0" s="28"/>
      <c r="FW80" s="22"/>
      <c r="FX80" s="29" t="str">
        <f t="shared" si="280"/>
        <v>TOMAR EXAMEN</v>
      </c>
      <c r="FY80" s="22">
        <v>45002</v>
      </c>
      <c r="FZ80" s="22">
        <v>45002</v>
      </c>
      <c r="GA80" s="29" t="str">
        <f t="shared" si="250"/>
        <v>REGISTRAR EN III TRIMESTRE</v>
      </c>
      <c r="GB80" s="22"/>
      <c r="GC80" s="22"/>
      <c r="GD80" s="29" t="str">
        <f t="shared" ca="1" si="443"/>
        <v>PIERDE TOMA DE TAMIZAJE</v>
      </c>
      <c r="GE80" s="22" t="s">
        <v>868</v>
      </c>
      <c r="GF80" s="22">
        <v>45002</v>
      </c>
      <c r="GG80" s="29">
        <f t="shared" ca="1" si="444"/>
        <v>29.428571428571427</v>
      </c>
      <c r="GH80" s="22"/>
      <c r="GI80" s="29"/>
      <c r="GJ80" s="22"/>
      <c r="GK80" s="22"/>
      <c r="GL80" s="22"/>
      <c r="GM80" s="22"/>
      <c r="GN80" s="28" t="s">
        <v>869</v>
      </c>
      <c r="GO80" s="22">
        <v>45002</v>
      </c>
      <c r="GP80" s="29">
        <f t="shared" si="283"/>
        <v>29.428571428571427</v>
      </c>
      <c r="GQ80" s="28"/>
      <c r="GR80" s="28"/>
      <c r="GS80" s="22" t="str">
        <f t="shared" si="284"/>
        <v/>
      </c>
      <c r="GT80" s="22"/>
      <c r="GU80" s="29" t="str">
        <f t="shared" si="285"/>
        <v>TOMAR EXAMEN</v>
      </c>
      <c r="GV80" s="21" t="str">
        <f t="shared" si="286"/>
        <v>POR DEFINIR</v>
      </c>
      <c r="GW80" s="28"/>
      <c r="GX80" s="30"/>
      <c r="GY80" s="21"/>
      <c r="GZ80" s="21"/>
      <c r="HA80" s="21"/>
      <c r="HB80" s="21"/>
      <c r="HC80" s="21"/>
      <c r="HD80" s="21"/>
      <c r="HE80" s="21"/>
      <c r="HF80" s="22"/>
      <c r="HG80" s="22" t="str">
        <f>IF(OR(O80&gt;0,R80&gt;0),CONCATENATE(IF(Tabla1[[#This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0" s="22" t="e">
        <f t="shared" si="287"/>
        <v>#REF!</v>
      </c>
      <c r="HI80" s="22" t="e">
        <f t="shared" ca="1" si="288"/>
        <v>#REF!</v>
      </c>
      <c r="HJ80" s="21"/>
      <c r="HK80" s="21" t="str">
        <f t="shared" si="289"/>
        <v>SIN ANTECEDENTES DE RIESGO</v>
      </c>
      <c r="HL80" s="24" t="str">
        <f t="shared" si="290"/>
        <v>VIGILAR CIFRAS PRESION ARTERIAL</v>
      </c>
      <c r="HM80" s="21" t="str">
        <f t="shared" ca="1" si="291"/>
        <v/>
      </c>
      <c r="HN80" s="30" t="str">
        <f t="shared" si="445"/>
        <v>SALIO PROGRAMA</v>
      </c>
      <c r="HO80" s="21"/>
      <c r="HP80" s="21"/>
      <c r="HQ80" s="21">
        <v>45045</v>
      </c>
      <c r="HR80" s="21" t="str">
        <f>IF(R80="","",IF(Tabla1[[#This Row],[ALARMA FACTORES DE RIESGO COMPLICACIONES HIPERTENSIVAS3]]="SIN ANTECEDENTES DE RIESGO","No Aplica para suministro de ASA",IF(AND(Tabla1[[#This Row],[FECHA INICIO DE SUMINISTRO DE ASA]]&gt;0,RV80&lt;12),"Inicia ASA ANTES de Sem 12",IF(AND(RV80&gt;11,RV80&lt;17,OR(HK80="RIESGO ALTO DE COMPLICACIONES HIPERTENSIVAS VER MANEJO GUIA SUMINISTRO ASA Y CALCIO",HK80="RIESGO MODERADO (2 O MAS CRITERIOS) VER MANEJO GUIA SUMINISTRO ASA Y CALCIO")),"Inicio oportuno de ASA",IF(AND(RV80&gt;12,OR(HK80="RIESGO ALTO DE COMPLICACIONES HIPERTENSIVAS VER MANEJO GUIA SUMINISTRO ASA Y CALCIO",HK80="RIESGO MODERADO (2 O MAS CRITERIOS) VER MANEJO GUIA SUMINISTRO ASA Y CALCIO")),"Inicio no oportuno mayor a 16 semanas",IF(AND(BU80&lt;12,OR(HK80="RIESGO ALTO DE COMPLICACIONES HIPERTENSIVAS VER MANEJO GUIA SUMINISTRO ASA Y CALCIO",HK80="RIESGO MODERADO (2 O MAS CRITERIOS) VER MANEJO GUIA SUMINISTRO ASA Y CALCIO")),"Pendiente Inicio de ASA a la semana 12",IF(AND(BU80&gt;11,BU80&lt;17,OR(HK80="RIESGO ALTO DE COMPLICACIONES HIPERTENSIVAS VER MANEJO GUIA SUMINISTRO ASA Y CALCIO",HK80="RIESGO MODERADO (2 O MAS CRITERIOS) VER MANEJO GUIA SUMINISTRO ASA Y CALCIO")),"Iniciar de inmediato ASA",IF(AND(BU80&gt;16,OR(HK80="RIESGO ALTO DE COMPLICACIONES HIPERTENSIVAS VER MANEJO GUIA SUMINISTRO ASA Y CALCIO",HK80="RIESGO MODERADO (2 O MAS CRITERIOS) VER MANEJO GUIA SUMINISTRO ASA Y CALCIO")),"Pierde Oportunidad, Inicio tardío de ASA","XXXXX"))))))))</f>
        <v>No Aplica para suministro de ASA</v>
      </c>
      <c r="HS80" s="22">
        <v>45045</v>
      </c>
      <c r="HT80" s="22" t="s">
        <v>870</v>
      </c>
      <c r="HU80" s="22"/>
      <c r="HV80" s="22"/>
      <c r="HW80" s="22">
        <v>45045</v>
      </c>
      <c r="HX80" s="22" t="s">
        <v>870</v>
      </c>
      <c r="HY80" s="22">
        <v>44939</v>
      </c>
      <c r="HZ80" s="28">
        <f t="shared" si="292"/>
        <v>20.428571428571427</v>
      </c>
      <c r="IA80" s="26"/>
      <c r="IB80" s="26"/>
      <c r="IC80" s="111"/>
      <c r="ID80" s="22">
        <v>45041</v>
      </c>
      <c r="IE80" s="22" t="str">
        <f t="shared" ca="1" si="293"/>
        <v>VACUNA APLICADA ENTRE SEMANA 27 Y EL PARTO</v>
      </c>
      <c r="IF80" s="22"/>
      <c r="IG80" s="22">
        <f t="shared" si="294"/>
        <v>45076</v>
      </c>
      <c r="IH80" s="29">
        <f t="shared" ca="1" si="295"/>
        <v>-157</v>
      </c>
      <c r="II80" s="22" t="str">
        <f t="shared" ca="1" si="296"/>
        <v>POSIBLEMENTE NACIO</v>
      </c>
      <c r="IJ80" s="22"/>
      <c r="IK80" s="21" t="s">
        <v>898</v>
      </c>
      <c r="IL80" s="21"/>
      <c r="IM80" s="34"/>
      <c r="IN80" s="349">
        <v>45074</v>
      </c>
      <c r="IO80" s="21" t="s">
        <v>1640</v>
      </c>
      <c r="IP80" s="29">
        <f t="shared" si="435"/>
        <v>39.714285714285715</v>
      </c>
      <c r="IQ80" s="110"/>
      <c r="IR80" s="21" t="s">
        <v>879</v>
      </c>
      <c r="IS80" s="21" t="s">
        <v>1641</v>
      </c>
      <c r="IT80" s="21" t="s">
        <v>1642</v>
      </c>
      <c r="IU80" s="21"/>
      <c r="IV80" s="21"/>
      <c r="IW80" s="21"/>
      <c r="IX80" s="21"/>
      <c r="IY80" s="21"/>
      <c r="IZ80" s="21"/>
      <c r="JA80" s="21"/>
      <c r="JB80" s="30">
        <v>1</v>
      </c>
      <c r="JC80" s="21" t="s">
        <v>1647</v>
      </c>
      <c r="JD80" s="36">
        <v>3500</v>
      </c>
      <c r="JE80" s="21" t="str">
        <f t="shared" si="446"/>
        <v>PESO ADECUADO EDAD GESTACIONAL</v>
      </c>
      <c r="JF80" s="30"/>
      <c r="JG80" s="21"/>
      <c r="JH80" s="21"/>
      <c r="JI80" s="21"/>
      <c r="JJ80" s="30"/>
      <c r="JK80" s="22"/>
      <c r="JL80" s="22"/>
      <c r="JM80" s="21"/>
      <c r="JN80" s="36"/>
      <c r="JO80" s="21" t="str">
        <f t="shared" si="447"/>
        <v/>
      </c>
      <c r="JP80" s="22"/>
      <c r="JQ80" s="21"/>
      <c r="JR80" s="21"/>
      <c r="JS80" s="21"/>
      <c r="JT80" s="30"/>
      <c r="JU80" s="22"/>
      <c r="JV80" s="22"/>
      <c r="JW80" s="33"/>
      <c r="JX80" s="28" t="str">
        <f t="shared" si="448"/>
        <v>INASISTENTE</v>
      </c>
      <c r="JY80" s="33"/>
      <c r="JZ80" s="28" t="str">
        <f t="shared" si="449"/>
        <v>INASISTENTE</v>
      </c>
      <c r="KA80" s="21"/>
      <c r="KB80" s="21"/>
      <c r="KC80" s="21"/>
      <c r="KD80" s="37"/>
      <c r="KE80" s="28"/>
      <c r="KF80" s="28"/>
      <c r="KG80" s="28"/>
      <c r="KH80" s="39"/>
      <c r="KI80" s="39"/>
      <c r="KJ80" s="66"/>
      <c r="KK80" s="39"/>
      <c r="KL80" s="39"/>
      <c r="KM80" s="66"/>
      <c r="KN80" s="39"/>
      <c r="KO80" s="39"/>
      <c r="KP80" s="39"/>
      <c r="KQ80" s="39"/>
      <c r="KR80" s="39"/>
      <c r="KS80" s="39"/>
      <c r="KT80" s="39"/>
      <c r="KU80" s="38"/>
      <c r="KV80" s="38"/>
      <c r="KW80" s="38"/>
      <c r="KX80" s="38"/>
      <c r="KY80" s="38"/>
      <c r="KZ80" s="38"/>
      <c r="LA80" s="38"/>
      <c r="LB80" s="38"/>
      <c r="LC80" s="38"/>
      <c r="LD80" s="38"/>
      <c r="LE80" s="38"/>
      <c r="LF80" s="38"/>
      <c r="LG80" s="38"/>
      <c r="LH80" s="38"/>
      <c r="LI80" s="38"/>
      <c r="LJ80" s="38"/>
      <c r="LK80" s="38"/>
      <c r="LL80" s="38"/>
      <c r="LM80" s="38"/>
      <c r="LN80" s="38"/>
      <c r="LO80" s="38"/>
      <c r="LP80" s="38"/>
      <c r="LQ80" s="38"/>
      <c r="LR80" s="38"/>
      <c r="LS80" s="38"/>
      <c r="LT80" s="38"/>
      <c r="LU80" s="38"/>
      <c r="LV80" s="38"/>
      <c r="LW80" s="38"/>
      <c r="LX80" s="38"/>
      <c r="LY80" s="38"/>
      <c r="LZ80" s="38"/>
      <c r="MA80" s="38"/>
      <c r="MB80" s="38"/>
      <c r="MC80" s="38"/>
      <c r="MD80" s="38"/>
      <c r="ME80" s="38"/>
      <c r="MF80" s="38"/>
      <c r="MG80" s="38"/>
      <c r="MH80" s="43">
        <f t="shared" si="302"/>
        <v>0</v>
      </c>
      <c r="MI80" s="43" t="str">
        <f t="shared" si="303"/>
        <v/>
      </c>
      <c r="MJ80" s="43" t="str">
        <f t="shared" si="304"/>
        <v/>
      </c>
      <c r="MK80" s="43">
        <f t="shared" si="305"/>
        <v>0</v>
      </c>
      <c r="ML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0" s="43">
        <f t="shared" si="306"/>
        <v>20.571428571428573</v>
      </c>
      <c r="MN80" s="43">
        <f t="shared" si="307"/>
        <v>1</v>
      </c>
      <c r="MO80" s="43">
        <f t="shared" si="308"/>
        <v>2023</v>
      </c>
      <c r="MP80" s="43" t="str">
        <f t="shared" si="309"/>
        <v>I TRIMESTRE AÑO</v>
      </c>
      <c r="MQ80" s="43">
        <f t="shared" si="310"/>
        <v>35.318112133158124</v>
      </c>
      <c r="MR80" s="43">
        <f t="shared" si="311"/>
        <v>2</v>
      </c>
      <c r="MS80" s="43" t="str">
        <f t="shared" si="312"/>
        <v xml:space="preserve"> DE 35 A 39 AÑOS</v>
      </c>
      <c r="MT80" s="43">
        <f t="shared" si="313"/>
        <v>0</v>
      </c>
      <c r="MU80" s="43">
        <f t="shared" si="314"/>
        <v>0</v>
      </c>
      <c r="MV80" s="43">
        <f t="shared" si="315"/>
        <v>0</v>
      </c>
      <c r="MW80" s="43">
        <f t="shared" si="316"/>
        <v>0</v>
      </c>
      <c r="MX80" s="43" t="str">
        <f t="shared" si="317"/>
        <v/>
      </c>
      <c r="MY80" s="43" t="str">
        <f t="shared" ca="1" si="450"/>
        <v/>
      </c>
      <c r="MZ80" s="43" t="str">
        <f t="shared" si="318"/>
        <v/>
      </c>
      <c r="NA80" s="43" t="str">
        <f t="shared" si="319"/>
        <v/>
      </c>
      <c r="NB80" s="43" t="str">
        <f t="shared" si="320"/>
        <v/>
      </c>
      <c r="NC80" s="43" t="str">
        <f t="shared" si="321"/>
        <v/>
      </c>
      <c r="ND80" s="43">
        <f t="shared" ca="1" si="322"/>
        <v>2</v>
      </c>
      <c r="NE80" s="43">
        <f>IF(OR(O80&gt;0,R80&gt;0),SUM(COUNTIF(Tabla1[[#This Row],[AÑOS AL INICIO5 CPN]],"&gt;=40"),COUNTIF(AS80,"0"),COUNTIF(AR80,"SI"),COUNTIF(CC80,"SI"),COUNTIF(BQ80,"&gt;119"),COUNTIF(CI80,"&gt;=35")),"")</f>
        <v>0</v>
      </c>
      <c r="NF80" s="43">
        <f t="shared" si="323"/>
        <v>35</v>
      </c>
      <c r="NG80" s="43">
        <f t="shared" si="324"/>
        <v>0</v>
      </c>
      <c r="NH80" s="43">
        <f t="shared" si="325"/>
        <v>247.09999999999997</v>
      </c>
      <c r="NI8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CPN",P80="NO"),"Z",IF(AND(Tabla1[[#This Row],[CITA PROXIMO CONTROL]]="CITA MANUAL",Tabla1[[#This Row],[GESTANTES ACTUALES]]="ACTIVA INGRESO A CPN"),"W",IF(AND(Tabla1[[#This Row],[GESTANTES ACTUALES]]="SALIO PROGRAMA",IN80=""),"S",IF(AND(Tabla1[[#This Row],[CITA PROXIMO CONTROL]]&gt;0,IN80=""),(Tabla1[[#This Row],[CITA PROXIMO CONTROL]]-TODAY()),"SD"))))))))</f>
        <v>SD</v>
      </c>
      <c r="NJ80" s="43">
        <f>MONTH(Tabla1[[#This Row],[FECHA DE SALIDA  DEL PROGRAMA]])</f>
        <v>5</v>
      </c>
      <c r="NK80" s="43">
        <f>YEAR(Tabla1[[#This Row],[FECHA DE SALIDA  DEL PROGRAMA]])</f>
        <v>2023</v>
      </c>
      <c r="NL80" s="43" t="str">
        <f t="shared" si="326"/>
        <v>X</v>
      </c>
      <c r="NM80" s="43" t="str">
        <f t="shared" si="251"/>
        <v>NO</v>
      </c>
      <c r="NN80" s="43" t="str">
        <f ca="1">IF(AND(O80&gt;0,R80=""),"NO CPN",IF(AND(O80="",R80=""),"",IF(AND(R80&gt;0,Tabla1[[#This Row],[SEMANAS DE GESTACION ACTUALIZADAS]]&lt;=12),"NO APLICA",IF(AND(FH80&lt;&gt;"",FN80&lt;&gt;""),"SI","NO"))))</f>
        <v>NO</v>
      </c>
      <c r="NO80" s="43" t="str">
        <f ca="1">IF(AND(O80&gt;0,R80=""),"NO CPN",IF(AND(O80="",R80=""),"",IF(AND(R80&gt;0,Tabla1[[#This Row],[SEMANAS DE GESTACION ACTUALIZADAS]]&lt;=27),"NO APLICA",IF(AND(ES80&lt;&gt;"",FQ80&lt;&gt;"",GF80&lt;&gt;""),"SI","NO"))))</f>
        <v>NO</v>
      </c>
      <c r="NP80" s="204" t="str">
        <f t="shared" si="327"/>
        <v>II TRIM</v>
      </c>
      <c r="NQ80" s="21">
        <f t="shared" si="436"/>
        <v>1</v>
      </c>
      <c r="NR80" s="21">
        <f t="shared" si="451"/>
        <v>2</v>
      </c>
      <c r="NS80" s="205">
        <f t="shared" ca="1" si="328"/>
        <v>1</v>
      </c>
      <c r="NT80" s="21">
        <f t="shared" ca="1" si="329"/>
        <v>1</v>
      </c>
      <c r="NU80" s="21" t="str">
        <f t="shared" ca="1" si="330"/>
        <v>INCOMPLETO</v>
      </c>
      <c r="NV80" s="21" t="str">
        <f t="shared" ca="1" si="331"/>
        <v>INCOMPLETO</v>
      </c>
      <c r="NW80" s="206" t="str">
        <f>IF(AND(O80="",R80=""),"",IF(OR(AND(Tabla1[[#This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0" s="207" t="str">
        <f t="shared" ca="1" si="332"/>
        <v>VACUNADA</v>
      </c>
      <c r="NY80" s="43">
        <f>ROW(Tabla1[[#This Row],['# DE TAMIZAJES SIFILIS TOMADOS ]])</f>
        <v>80</v>
      </c>
      <c r="NZ80" s="43">
        <f t="shared" si="333"/>
        <v>20</v>
      </c>
      <c r="OA80" s="43" t="str">
        <f t="shared" si="334"/>
        <v/>
      </c>
      <c r="OB80" s="43" t="str">
        <f t="shared" si="335"/>
        <v/>
      </c>
      <c r="OC80" s="43" t="str">
        <f t="shared" si="336"/>
        <v/>
      </c>
      <c r="OD80" s="43" t="str">
        <f t="shared" si="337"/>
        <v/>
      </c>
      <c r="OE80" s="43" t="str">
        <f t="shared" si="338"/>
        <v/>
      </c>
      <c r="OF80" s="43" t="str">
        <f t="shared" si="339"/>
        <v/>
      </c>
      <c r="OG80" s="43" t="str">
        <f t="shared" si="340"/>
        <v/>
      </c>
      <c r="OH80" s="43" t="str">
        <f t="shared" si="341"/>
        <v/>
      </c>
      <c r="OI80" s="43" t="str">
        <f t="shared" si="342"/>
        <v/>
      </c>
      <c r="OJ80" s="43" t="str">
        <f t="shared" si="343"/>
        <v/>
      </c>
      <c r="OK80" s="43" t="str">
        <f t="shared" si="344"/>
        <v/>
      </c>
      <c r="OL80" s="43" t="str">
        <f t="shared" si="345"/>
        <v>SOBREPESO</v>
      </c>
      <c r="OM80" s="43" t="str">
        <f t="shared" si="346"/>
        <v/>
      </c>
      <c r="ON80" s="43" t="str">
        <f t="shared" si="347"/>
        <v/>
      </c>
      <c r="OO80" s="43" t="str">
        <f t="shared" si="348"/>
        <v/>
      </c>
      <c r="OP80" s="43" t="str">
        <f t="shared" si="349"/>
        <v/>
      </c>
      <c r="OQ80" s="43" t="str">
        <f t="shared" si="350"/>
        <v/>
      </c>
      <c r="OR80" s="43" t="str">
        <f t="shared" si="351"/>
        <v/>
      </c>
      <c r="OS80" s="43" t="str">
        <f t="shared" si="352"/>
        <v/>
      </c>
      <c r="OT80" s="43" t="str">
        <f t="shared" si="353"/>
        <v/>
      </c>
      <c r="OU80" s="43" t="str">
        <f t="shared" si="354"/>
        <v/>
      </c>
      <c r="OV80" s="110" t="str">
        <f t="shared" si="355"/>
        <v/>
      </c>
      <c r="OW80" s="43" t="str">
        <f t="shared" si="356"/>
        <v/>
      </c>
      <c r="OX80" s="43" t="str">
        <f t="shared" si="357"/>
        <v/>
      </c>
      <c r="OY80" s="43" t="str">
        <f t="shared" si="358"/>
        <v/>
      </c>
      <c r="OZ80" s="43" t="str">
        <f t="shared" si="359"/>
        <v/>
      </c>
      <c r="PA80" s="43" t="str">
        <f t="shared" si="360"/>
        <v/>
      </c>
      <c r="PB80" s="43" t="str">
        <f t="shared" si="361"/>
        <v/>
      </c>
      <c r="PC80" s="43" t="str">
        <f t="shared" si="362"/>
        <v/>
      </c>
      <c r="PD80" s="43" t="str">
        <f t="shared" si="363"/>
        <v/>
      </c>
      <c r="PE80" s="43" t="str">
        <f t="shared" si="364"/>
        <v/>
      </c>
      <c r="PF80" s="43" t="str">
        <f t="shared" si="365"/>
        <v/>
      </c>
      <c r="PG80" s="43" t="str">
        <f t="shared" si="366"/>
        <v/>
      </c>
      <c r="PH80" s="43" t="str">
        <f t="shared" si="367"/>
        <v/>
      </c>
      <c r="PI80" s="43">
        <f t="shared" si="368"/>
        <v>36</v>
      </c>
      <c r="PJ80" s="43" t="str">
        <f t="shared" si="369"/>
        <v/>
      </c>
      <c r="PK80" s="43" t="str">
        <f t="shared" si="370"/>
        <v/>
      </c>
      <c r="PL80" s="43" t="str">
        <f t="shared" si="371"/>
        <v/>
      </c>
      <c r="PM80" s="43" t="str">
        <f t="shared" si="372"/>
        <v/>
      </c>
      <c r="PN80" s="43" t="str">
        <f t="shared" si="373"/>
        <v/>
      </c>
      <c r="PO80" s="43" t="str">
        <f t="shared" si="374"/>
        <v/>
      </c>
      <c r="PP80" s="43" t="str">
        <f t="shared" si="375"/>
        <v/>
      </c>
      <c r="PQ80" s="43" t="str">
        <f t="shared" si="376"/>
        <v/>
      </c>
      <c r="PR80" s="43" t="str">
        <f t="shared" si="377"/>
        <v/>
      </c>
      <c r="PS80" s="43" t="str">
        <f t="shared" si="378"/>
        <v/>
      </c>
      <c r="PT80" s="43" t="str">
        <f t="shared" si="379"/>
        <v/>
      </c>
      <c r="PU80" s="43" t="str">
        <f t="shared" si="380"/>
        <v/>
      </c>
      <c r="PV80" s="43" t="str">
        <f t="shared" si="381"/>
        <v/>
      </c>
      <c r="PW80" s="43" t="str">
        <f t="shared" si="382"/>
        <v/>
      </c>
      <c r="PX80" s="43" t="str">
        <f t="shared" si="383"/>
        <v/>
      </c>
      <c r="PY80" s="43" t="str">
        <f t="shared" si="384"/>
        <v/>
      </c>
      <c r="PZ80" s="43" t="str">
        <f t="shared" si="385"/>
        <v/>
      </c>
      <c r="QA80" s="43" t="str">
        <f t="shared" si="386"/>
        <v/>
      </c>
      <c r="QB80" s="43" t="str">
        <f t="shared" si="387"/>
        <v/>
      </c>
      <c r="QC80" s="43" t="str">
        <f t="shared" si="388"/>
        <v/>
      </c>
      <c r="QD80" s="43" t="str">
        <f t="shared" si="389"/>
        <v/>
      </c>
      <c r="QE80" s="43" t="str">
        <f t="shared" si="390"/>
        <v/>
      </c>
      <c r="QF80" s="43" t="str">
        <f t="shared" si="391"/>
        <v/>
      </c>
      <c r="QG80" s="43" t="str">
        <f t="shared" si="392"/>
        <v/>
      </c>
      <c r="QH80" s="43" t="str">
        <f t="shared" si="393"/>
        <v/>
      </c>
      <c r="QI80" s="43" t="str">
        <f t="shared" si="394"/>
        <v/>
      </c>
      <c r="QJ80" s="43" t="str">
        <f t="shared" si="395"/>
        <v/>
      </c>
      <c r="QK80" s="43" t="str">
        <f t="shared" si="396"/>
        <v>SOBREPESO</v>
      </c>
      <c r="QL80" s="43" t="str">
        <f t="shared" si="397"/>
        <v/>
      </c>
      <c r="QM80" s="43" t="str">
        <f t="shared" si="398"/>
        <v/>
      </c>
      <c r="QN80" s="43" t="str">
        <f t="shared" si="399"/>
        <v/>
      </c>
      <c r="QO80" s="43" t="str">
        <f t="shared" si="400"/>
        <v/>
      </c>
      <c r="QP80" s="43" t="str">
        <f t="shared" si="401"/>
        <v/>
      </c>
      <c r="QQ80" s="43" t="str">
        <f t="shared" si="402"/>
        <v/>
      </c>
      <c r="QR80" s="43">
        <f t="shared" si="432"/>
        <v>36</v>
      </c>
      <c r="QS80" s="43"/>
      <c r="QT80" s="21" t="str">
        <f t="shared" si="403"/>
        <v/>
      </c>
      <c r="QU80" s="21" t="str">
        <f t="shared" si="404"/>
        <v/>
      </c>
      <c r="QV80" s="21" t="str">
        <f t="shared" si="405"/>
        <v/>
      </c>
      <c r="QW80" s="21" t="str">
        <f t="shared" si="406"/>
        <v/>
      </c>
      <c r="QX80" s="21" t="str">
        <f t="shared" si="407"/>
        <v/>
      </c>
      <c r="QY80" s="21" t="str">
        <f t="shared" si="408"/>
        <v/>
      </c>
      <c r="QZ80" s="21" t="str">
        <f t="shared" si="409"/>
        <v/>
      </c>
      <c r="RA80" s="21" t="str">
        <f t="shared" si="410"/>
        <v/>
      </c>
      <c r="RB80" s="21" t="str">
        <f t="shared" si="411"/>
        <v/>
      </c>
      <c r="RC80" s="21" t="str">
        <f t="shared" si="412"/>
        <v/>
      </c>
      <c r="RD80" s="21" t="str">
        <f t="shared" si="413"/>
        <v/>
      </c>
      <c r="RE80" s="21" t="str">
        <f t="shared" si="414"/>
        <v/>
      </c>
      <c r="RF80" s="21" t="str">
        <f t="shared" si="415"/>
        <v/>
      </c>
      <c r="RG80" s="21" t="str">
        <f t="shared" si="416"/>
        <v/>
      </c>
      <c r="RH80" s="21" t="str">
        <f t="shared" si="417"/>
        <v/>
      </c>
      <c r="RI80" s="21" t="str">
        <f t="shared" si="418"/>
        <v/>
      </c>
      <c r="RJ80" s="21" t="str">
        <f t="shared" si="419"/>
        <v/>
      </c>
      <c r="RK80" s="21" t="str">
        <f t="shared" si="420"/>
        <v/>
      </c>
      <c r="RL80" s="21" t="str">
        <f t="shared" si="421"/>
        <v/>
      </c>
      <c r="RM80" s="21" t="str">
        <f t="shared" si="422"/>
        <v/>
      </c>
      <c r="RN80" s="21" t="str">
        <f t="shared" si="423"/>
        <v/>
      </c>
      <c r="RO80" s="21" t="str">
        <f t="shared" si="424"/>
        <v/>
      </c>
      <c r="RP80" s="21" t="str">
        <f t="shared" si="425"/>
        <v/>
      </c>
      <c r="RQ80" s="21" t="str">
        <f t="shared" si="426"/>
        <v>ADECUADO PARA EDAD GESTACIONAL</v>
      </c>
      <c r="RR80" s="21" t="str">
        <f t="shared" si="427"/>
        <v/>
      </c>
      <c r="RS80" s="21" t="str">
        <f t="shared" si="428"/>
        <v/>
      </c>
      <c r="RT80" s="21" t="str">
        <f t="shared" si="429"/>
        <v/>
      </c>
      <c r="RU80" s="21" t="str">
        <f t="shared" si="430"/>
        <v/>
      </c>
      <c r="RV80" s="21">
        <f t="shared" si="431"/>
        <v>35.571428571428569</v>
      </c>
      <c r="RW80" s="284">
        <f>IF(OR(Tabla1[[#This Row],[FUM FORMULA CONFIABLE]]="",Tabla1[[#This Row],[FUM FORMULA CONFIABLE]]="SD"),"",IF(Tabla1[[#This Row],[FUM FORMULA CONFIABLE]]="CORREGIDA",Tabla1[[#This Row],[FUM X ECO 1]],Tabla1[[#This Row],[FUM x AMENORREA]]))</f>
        <v>44796</v>
      </c>
      <c r="RX80" s="21">
        <f>IF(AND(Tabla1[[#This Row],[FUM X ECO 1]]="",Tabla1[[#This Row],[FUM x AMENORREA]]=""),"",IF(AND(Tabla1[[#This Row],[FUM X ECO 1]]="",Tabla1[[#This Row],[FUM x AMENORREA]]&lt;&gt;""),"X",SUM(Tabla1[[#This Row],[FUM X ECO 1]]-Tabla1[[#This Row],[FUM x AMENORREA]])))</f>
        <v>7.9000000000014552</v>
      </c>
      <c r="RY80" s="21">
        <f t="shared" si="433"/>
        <v>1</v>
      </c>
    </row>
    <row r="81" spans="1:493" ht="45" customHeight="1" x14ac:dyDescent="0.25">
      <c r="A81" s="109"/>
      <c r="B81" s="43"/>
      <c r="C81" s="43" t="s">
        <v>845</v>
      </c>
      <c r="D81" s="124" t="s">
        <v>846</v>
      </c>
      <c r="E81" s="43" t="s">
        <v>1202</v>
      </c>
      <c r="F81" s="43" t="s">
        <v>1244</v>
      </c>
      <c r="G81" s="43" t="s">
        <v>1245</v>
      </c>
      <c r="H81" s="43" t="s">
        <v>848</v>
      </c>
      <c r="I81" s="109" t="s">
        <v>851</v>
      </c>
      <c r="J81" s="110">
        <v>1059596197</v>
      </c>
      <c r="K81" s="43" t="s">
        <v>852</v>
      </c>
      <c r="L81" s="175" t="s">
        <v>853</v>
      </c>
      <c r="M81" s="22">
        <v>38748</v>
      </c>
      <c r="N81" s="213">
        <f t="shared" ca="1" si="252"/>
        <v>17.767123287671232</v>
      </c>
      <c r="O81" s="22">
        <v>44943</v>
      </c>
      <c r="P81" s="214" t="str">
        <f t="shared" si="437"/>
        <v>SI</v>
      </c>
      <c r="Q81" s="26" t="s">
        <v>855</v>
      </c>
      <c r="R81" s="22">
        <v>44943</v>
      </c>
      <c r="S81" s="21" t="s">
        <v>856</v>
      </c>
      <c r="T81" s="24" t="s">
        <v>690</v>
      </c>
      <c r="U81" s="21" t="s">
        <v>857</v>
      </c>
      <c r="V81" s="21" t="s">
        <v>858</v>
      </c>
      <c r="W81" s="21" t="s">
        <v>1062</v>
      </c>
      <c r="X81" s="21" t="s">
        <v>1062</v>
      </c>
      <c r="Y81" s="21" t="s">
        <v>859</v>
      </c>
      <c r="Z81" s="21" t="s">
        <v>894</v>
      </c>
      <c r="AA81" s="21" t="s">
        <v>860</v>
      </c>
      <c r="AB81" s="27" t="s">
        <v>861</v>
      </c>
      <c r="AC81" s="26" t="s">
        <v>846</v>
      </c>
      <c r="AD81" s="38" t="s">
        <v>846</v>
      </c>
      <c r="AE81" s="26" t="s">
        <v>854</v>
      </c>
      <c r="AF81" s="26" t="s">
        <v>854</v>
      </c>
      <c r="AG81" s="23" t="s">
        <v>864</v>
      </c>
      <c r="AH81" s="23" t="s">
        <v>864</v>
      </c>
      <c r="AI81" s="24" t="s">
        <v>863</v>
      </c>
      <c r="AJ81" s="23" t="s">
        <v>864</v>
      </c>
      <c r="AK81" s="220" t="str">
        <f>IF(AND(AD81="",AE81="",AF81="",AG81="",AH81="",AI81="",AJ81=""),"",IF(OR(Tabla1[[#This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EVALUACIÓN",IF(AND(O81="",R81=""),"",IF(AND(OR(O81&gt;0,R81&gt;0),NG81&gt;=0,NG81&lt;2),"SIN RIESGO",IF(AND(OR(O81&gt;0,R81&gt;0),NG81&gt;=2),"CON RIESGO","ASD")))))</f>
        <v>SIN RIESGO</v>
      </c>
      <c r="AL81" s="23" t="s">
        <v>864</v>
      </c>
      <c r="AM81" s="26" t="s">
        <v>864</v>
      </c>
      <c r="AN81" s="26" t="s">
        <v>864</v>
      </c>
      <c r="AO81" s="26" t="s">
        <v>864</v>
      </c>
      <c r="AP81" s="26" t="s">
        <v>864</v>
      </c>
      <c r="AQ81" s="26" t="s">
        <v>864</v>
      </c>
      <c r="AR81" s="26" t="s">
        <v>864</v>
      </c>
      <c r="AS81" s="21">
        <v>0</v>
      </c>
      <c r="AT81" s="21">
        <v>0</v>
      </c>
      <c r="AU81" s="21">
        <v>0</v>
      </c>
      <c r="AV81" s="26" t="s">
        <v>864</v>
      </c>
      <c r="AW81" s="21">
        <v>0</v>
      </c>
      <c r="AX81" s="26" t="s">
        <v>864</v>
      </c>
      <c r="AY81" s="26" t="s">
        <v>864</v>
      </c>
      <c r="AZ81" s="26" t="s">
        <v>864</v>
      </c>
      <c r="BA81" s="26" t="s">
        <v>864</v>
      </c>
      <c r="BB81" s="26" t="s">
        <v>864</v>
      </c>
      <c r="BC81" s="26" t="s">
        <v>864</v>
      </c>
      <c r="BD81" s="26" t="s">
        <v>864</v>
      </c>
      <c r="BE81" s="26" t="s">
        <v>864</v>
      </c>
      <c r="BF81" s="26" t="s">
        <v>864</v>
      </c>
      <c r="BG81" s="26" t="s">
        <v>864</v>
      </c>
      <c r="BH81" s="26" t="s">
        <v>864</v>
      </c>
      <c r="BI81" s="26" t="s">
        <v>864</v>
      </c>
      <c r="BJ81" s="26"/>
      <c r="BK81" s="26"/>
      <c r="BL81" s="26" t="s">
        <v>864</v>
      </c>
      <c r="BM81" s="26" t="s">
        <v>864</v>
      </c>
      <c r="BN81" s="22"/>
      <c r="BO81" s="22">
        <v>44811</v>
      </c>
      <c r="BP81" s="21" t="s">
        <v>864</v>
      </c>
      <c r="BQ81" s="222">
        <f t="shared" si="254"/>
        <v>0</v>
      </c>
      <c r="BR81" s="223">
        <f t="shared" si="255"/>
        <v>44817.9</v>
      </c>
      <c r="BS81" s="224">
        <f t="shared" si="256"/>
        <v>18.857142857142858</v>
      </c>
      <c r="BT81" s="216" t="str">
        <f t="shared" si="257"/>
        <v>DEFINIR CON ECO</v>
      </c>
      <c r="BU81" s="214" t="str">
        <f t="shared" ca="1" si="258"/>
        <v/>
      </c>
      <c r="BV81" s="25"/>
      <c r="BW81" s="22">
        <v>44960</v>
      </c>
      <c r="BX81" s="28">
        <v>20.3</v>
      </c>
      <c r="BY81" s="28"/>
      <c r="BZ81" s="22"/>
      <c r="CA81" s="21"/>
      <c r="CB81" s="26"/>
      <c r="CC81" s="26" t="s">
        <v>864</v>
      </c>
      <c r="CD81" s="26" t="s">
        <v>878</v>
      </c>
      <c r="CE81" s="26" t="s">
        <v>864</v>
      </c>
      <c r="CF81" s="22" t="s">
        <v>1517</v>
      </c>
      <c r="CG81" s="21">
        <v>1.46</v>
      </c>
      <c r="CH81" s="21">
        <v>51</v>
      </c>
      <c r="CI81" s="214">
        <f t="shared" si="259"/>
        <v>23.925689622818542</v>
      </c>
      <c r="CJ81" s="225" t="e">
        <f>IF(AND(CI81&lt;10,CH81="SD"),"SIN DATO PESO PREGESTACION O I TRIM",IF(AND(OR(R81&gt;0,O81&gt;0),CI81="X"),"INGRESAR DATO DE PESO",IF(CI81="SD","INGRESAR DATO DE TALLA Y PESO",IF(AND(OR(Tabla1[[#This Row],[MOMENTO EN QUE SE REALIZA EL PESO AL INGRESO A CPN]]="PREGESTACIÓN",NZ81="Menor"),CI81&lt;18.5),"BAJO PESO",IF(AND(OR(Tabla1[[#This Row],[MOMENTO EN QUE SE REALIZA EL PESO AL INGRESO A CPN]]="PREGESTACIÓN",NZ81="Menor"),CI81&lt;25),"NORMAL",IF(AND(OR(Tabla1[[#This Row],[MOMENTO EN QUE SE REALIZA EL PESO AL INGRESO A CPN]]="PREGESTACIÓN",NZ81="Menor"),CI81&lt;30),"SOBREPESO",IF(AND(OR(Tabla1[[#This Row],[MOMENTO EN QUE SE REALIZA EL PESO AL INGRESO A CPN]]="PREGESTACIÓN",NZ81="Menor"),CI81&gt;=30,CI81&lt;50),"OBESIDAD",IF(AND(BS81&gt;0,Tabla1[[#This Row],[MOMENTO EN QUE SE REALIZA EL PESO AL INGRESO A CPN]]="GESTACIÓN"),HLOOKUP(NZ81,$OA$2:PH81,NY81),""))))))))</f>
        <v>#REF!</v>
      </c>
      <c r="CK81" s="212">
        <f t="shared" si="260"/>
        <v>45065</v>
      </c>
      <c r="CL81" s="21">
        <v>54.5</v>
      </c>
      <c r="CM81" s="214">
        <f t="shared" si="261"/>
        <v>25.567648714580599</v>
      </c>
      <c r="CN81" s="216">
        <f t="shared" si="262"/>
        <v>36</v>
      </c>
      <c r="CO81" s="216" t="e">
        <f>IF(PI81="","",IF(PI81&gt;0,HLOOKUP(PI81,$PJ$2:QQ81,NY81),""))</f>
        <v>#REF!</v>
      </c>
      <c r="CP81" s="21">
        <v>32</v>
      </c>
      <c r="CQ81" s="216" t="e">
        <f>IF(QR81="Menor","NO APLICA-MENOR 13 SEM",IF(AND(CC81="SI",CN81&gt;23),"NO APLICA- GEMELAR",IF(QR81="","",IF(QR81&gt;0,HLOOKUP(QR81,$QS$2:RU81,NY81),""))))</f>
        <v>#REF!</v>
      </c>
      <c r="CR81" s="21">
        <v>90</v>
      </c>
      <c r="CS81" s="21">
        <v>60</v>
      </c>
      <c r="CT81" s="217" t="str">
        <f>IF(R81="","",IF(AND(BS81&gt;1,BS81&lt;12,Tabla1[[#This Row],[T.A. SISTOLICA - ANTES DE SEMANA 12]]="",Tabla1[[#This Row],[T.A. DIASTOLICA - ANTES DE SEMANA 12]]=""),"REGISTRE DATO TA ANTES SEMANA 12",IF(AND(BS81&gt;11,BS81&lt;43,Tabla1[[#This Row],[T.A. SISTOLICA - ANTES DE SEMANA 12]]="",Tabla1[[#This Row],[T.A. DIASTOLICA - ANTES DE SEMANA 12]]=""),"NO APLICA REGISTRO TA-INGRESO TARDIO",IF(AND(OR(O81&gt;0,R81&gt;0),OR(CR81&gt;=140,CS81&gt;=90)),"DEFINIR ESTADIO HTA",IF(AND(OR(O81&gt;0,R81&gt;0),AND(CR81&gt;120,CR81&lt;=139)),"PRE HTA SEGUIMIENTO",IF(AND(OR(O81&gt;0,R81&gt;0),AND(CS81&gt;80,CS81&lt;=89)),"PRE HTA SEGUIMIENTO",IF(AND(OR(O81&gt;0,R81&gt;0),AND(CR81&gt;=80,CR81&lt;=120)),"APARENTEMENTE NORMAL",IF(AND(OR(O81&gt;0,R81&gt;0),AND(CS81&gt;=50,CS81&lt;=80)),"APARENTEMENTE NORMAL",IF(AND(OR(O81&gt;0,R81&gt;0),AND(CR81&gt;1,CR81&lt;=70),AND(CS81&gt;1,CS81&lt;=40)),"HIPOTENSIÓN","")))))))))</f>
        <v>APARENTEMENTE NORMAL</v>
      </c>
      <c r="CU81" s="21">
        <v>90</v>
      </c>
      <c r="CV81" s="21">
        <v>60</v>
      </c>
      <c r="CW81" s="217" t="str">
        <f ca="1">IF(R81="","",IF(AND(CN81&gt;19,CN81&lt;27,Tabla1[[#This Row],[T.A. SISTOLICA (Entre semana 20 y 26)]]="",Tabla1[[#This Row],[T.A. DIATOLICA (Entre semana 20 y 26)]]=""),"ACUDE A CONTROL SEM 20 A 26 REGISTRE TA AHORA",IF(AND(BS81&gt;1,BS81&lt;27,BU81&gt;19,Tabla1[[#This Row],[T.A. SISTOLICA (Entre semana 20 y 26)]]="",Tabla1[[#This Row],[T.A. DIATOLICA (Entre semana 20 y 26)]]=""),"COMPLETE REGISTRO TA CONTROL SEM 20 A26 ",IF(AND(BS81&gt;26,BS81&lt;43,Tabla1[[#This Row],[T.A. SISTOLICA (Entre semana 20 y 26)]]="",Tabla1[[#This Row],[T.A. DIATOLICA (Entre semana 20 y 26)]]=""),"NO APLICA REGISTRO TA-INGRESO TARDIO",IF(AND(OR(O81&gt;0,R81&gt;0),OR(CU81&gt;=140,CV81&gt;=90)),"ALTO RIESGO PREECLAMPSIA,DEFINIR ESTADIO HTA",IF(AND(OR(O81&gt;0,R81&gt;0),AND(CU81&gt;120,CU81&lt;=139)),"PRE HTA SEGUIMIENTO,RIESGO HIPERTENSION INDUCIDA POR EL EMBARAZO",IF(AND(OR(O81&gt;0,R81&gt;0),AND(CV81&gt;80,CV81&lt;=89)),"PRE HTA SEGUIMIENTO, RIESGO HIPERTENSION INDUCIDA POR EL EMBARAZO",IF(AND(OR(O81&lt;&gt;"",R81&lt;&gt;""),CS81&lt;&gt;"",CV81&lt;&gt;"",CS81&lt;=CV81),"VIGILAR CIFRAS PRESION ARTERIAL",IF(AND(OR(O81&gt;0,R81&gt;0),AND(CU81&gt;120,CU81&lt;=139)),"PRE HTA SEGUIMIENTO",IF(AND(OR(O81&gt;0,R81&gt;0),AND(CU81&gt;1,CU81&lt;=70),AND(CV81&gt;1,CV81&lt;=40)),"HIPOTENSIÓN",IF(AND(OR(O81&lt;&gt;"",R81&lt;&gt;""),CS81&lt;&gt;"",CV81&lt;&gt;"",CS81&gt;CV81),"APARENTEMENTE NORMAL",IF(AND(OR(O81&gt;0,R81&gt;0),AND(CU81&gt;=80,CU81&lt;=120)),"APARENTEMENTE NORMAL",IF(AND(OR(O81&gt;0,R81&gt;0),AND(CV81&gt;=50,CV81&lt;=80)),"APARENTEMENTE NORMAL","")))))))))))))</f>
        <v>VIGILAR CIFRAS PRESION ARTERIAL</v>
      </c>
      <c r="CX81" s="21"/>
      <c r="CY81" s="21"/>
      <c r="CZ81" s="216" t="str">
        <f t="shared" si="263"/>
        <v/>
      </c>
      <c r="DA81" s="21">
        <v>90</v>
      </c>
      <c r="DB81" s="21">
        <v>60</v>
      </c>
      <c r="DC81" s="217" t="str">
        <f t="shared" si="264"/>
        <v>APARENTEMENTE NORMAL</v>
      </c>
      <c r="DD81" s="22">
        <v>44943</v>
      </c>
      <c r="DE81" s="22">
        <v>44943</v>
      </c>
      <c r="DF81" s="22">
        <v>44975</v>
      </c>
      <c r="DG81" s="22">
        <v>45003</v>
      </c>
      <c r="DH81" s="22">
        <v>45065</v>
      </c>
      <c r="DI81" s="22"/>
      <c r="DJ81" s="22"/>
      <c r="DK81" s="22"/>
      <c r="DL81" s="22"/>
      <c r="DM81" s="22"/>
      <c r="DN81" s="22"/>
      <c r="DO81" s="22"/>
      <c r="DP81" s="22"/>
      <c r="DQ81" s="22"/>
      <c r="DR81" s="28">
        <v>2</v>
      </c>
      <c r="DS81" s="22"/>
      <c r="DT81" s="22"/>
      <c r="DU81" s="216" t="str">
        <f t="shared" ca="1" si="438"/>
        <v>SALE SIN PLAN DE PARTO</v>
      </c>
      <c r="DV81" s="226" t="str">
        <f t="shared" si="439"/>
        <v>SALIO PROGRAMA</v>
      </c>
      <c r="DW8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1" s="216" t="str">
        <f t="shared" ca="1" si="266"/>
        <v/>
      </c>
      <c r="DY81" s="212">
        <f>IF(R81="","",IF(R81&gt;0,MAX(Tabla1[[#This Row],[FECHA C2]:[FECHA C13]],Tabla1[[#This Row],[FECHA CONSULTA PRIMERA VEZ PROGRAMA CPN ]])))</f>
        <v>45065</v>
      </c>
      <c r="DZ81" s="216">
        <f t="shared" si="267"/>
        <v>36</v>
      </c>
      <c r="EA81" s="222">
        <f>IF(R81&gt;0,SUM(COUNTA(DF81:DQ81)+COUNTA(Tabla1[[#This Row],[FECHA CONSULTA PRIMERA VEZ PROGRAMA CPN ]])),"")</f>
        <v>4</v>
      </c>
      <c r="EB81" s="222" t="str">
        <f t="shared" si="268"/>
        <v>SI</v>
      </c>
      <c r="EC81" s="214">
        <f t="shared" si="269"/>
        <v>7</v>
      </c>
      <c r="ED81" s="227">
        <f t="shared" si="270"/>
        <v>0.5714285714285714</v>
      </c>
      <c r="EE81" s="22">
        <v>44943</v>
      </c>
      <c r="EF81" s="22">
        <v>44943</v>
      </c>
      <c r="EG81" s="22">
        <v>44943</v>
      </c>
      <c r="EH81" s="22"/>
      <c r="EI81" s="22">
        <v>44943</v>
      </c>
      <c r="EJ81" s="22"/>
      <c r="EK81" s="22"/>
      <c r="EL81" s="21"/>
      <c r="EM81" s="21">
        <v>14.2</v>
      </c>
      <c r="EN81" s="22">
        <v>44960</v>
      </c>
      <c r="EO81" s="222">
        <f t="shared" si="271"/>
        <v>21.285714285714285</v>
      </c>
      <c r="EP81" s="214" t="str">
        <f t="shared" si="272"/>
        <v>NO DAR SULFATO FERROSO</v>
      </c>
      <c r="EQ81" s="216" t="str">
        <f t="shared" si="273"/>
        <v>II TRIM</v>
      </c>
      <c r="ER81" s="24"/>
      <c r="ES81" s="22"/>
      <c r="ET81" s="29" t="str">
        <f t="shared" ca="1" si="440"/>
        <v>SALE SIN TAMIZAJE HEMOGLOBINA SEM 28</v>
      </c>
      <c r="EU81" s="25" t="str">
        <f t="shared" si="275"/>
        <v/>
      </c>
      <c r="EV81" s="24" t="s">
        <v>866</v>
      </c>
      <c r="EW81" s="24">
        <v>44960</v>
      </c>
      <c r="EX81" s="22"/>
      <c r="EY81" s="29">
        <f t="shared" si="248"/>
        <v>21.285714285714285</v>
      </c>
      <c r="EZ81" s="25" t="str">
        <f t="shared" ca="1" si="249"/>
        <v/>
      </c>
      <c r="FA81" s="21">
        <v>63</v>
      </c>
      <c r="FB81" s="22">
        <v>44960</v>
      </c>
      <c r="FC81" s="29">
        <f t="shared" si="276"/>
        <v>21.285714285714285</v>
      </c>
      <c r="FD81" s="29">
        <v>54</v>
      </c>
      <c r="FE81" s="29">
        <v>72</v>
      </c>
      <c r="FF81" s="29">
        <v>108</v>
      </c>
      <c r="FG81" s="21" t="str">
        <f t="shared" ca="1" si="277"/>
        <v>NORMAL</v>
      </c>
      <c r="FH81" s="31">
        <v>45013</v>
      </c>
      <c r="FI81" s="29">
        <f t="shared" si="278"/>
        <v>28.857142857142858</v>
      </c>
      <c r="FJ81" s="22"/>
      <c r="FK81" s="22"/>
      <c r="FL81" s="29" t="str">
        <f t="shared" ca="1" si="279"/>
        <v>NO APLICA-INGRESO TARDIO</v>
      </c>
      <c r="FM81" s="22" t="s">
        <v>867</v>
      </c>
      <c r="FN81" s="32">
        <v>44960</v>
      </c>
      <c r="FO81" s="29">
        <f t="shared" ca="1" si="441"/>
        <v>21.285714285714285</v>
      </c>
      <c r="FP81" s="22"/>
      <c r="FQ81" s="32"/>
      <c r="FR81" s="29" t="str">
        <f t="shared" ca="1" si="442"/>
        <v>PIERDE TOMA DE TAMIZAJE</v>
      </c>
      <c r="FS81" s="22"/>
      <c r="FT81" s="32"/>
      <c r="FU81" s="29" t="str">
        <f>IF(AND(FJ81="",FM81="",FP81="",FS81=""),"",IF(OR(OR(Tabla1[[#This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1" s="28"/>
      <c r="FW81" s="22"/>
      <c r="FX81" s="29" t="str">
        <f t="shared" si="280"/>
        <v>TOMAR EXAMEN</v>
      </c>
      <c r="FY81" s="22">
        <v>44943</v>
      </c>
      <c r="FZ81" s="22">
        <v>44943</v>
      </c>
      <c r="GA81" s="29" t="str">
        <f t="shared" si="250"/>
        <v>REGISTRAR EN II TRIMESTRE</v>
      </c>
      <c r="GB81" s="22" t="s">
        <v>868</v>
      </c>
      <c r="GC81" s="22">
        <v>44960</v>
      </c>
      <c r="GD81" s="29">
        <f t="shared" ca="1" si="443"/>
        <v>21.285714285714285</v>
      </c>
      <c r="GE81" s="22" t="s">
        <v>868</v>
      </c>
      <c r="GF81" s="22">
        <v>45066</v>
      </c>
      <c r="GG81" s="29">
        <f t="shared" ca="1" si="444"/>
        <v>36.428571428571431</v>
      </c>
      <c r="GH81" s="22"/>
      <c r="GI81" s="29"/>
      <c r="GJ81" s="22"/>
      <c r="GK81" s="22"/>
      <c r="GL81" s="22"/>
      <c r="GM81" s="22"/>
      <c r="GN81" s="28" t="s">
        <v>869</v>
      </c>
      <c r="GO81" s="22">
        <v>44960</v>
      </c>
      <c r="GP81" s="29">
        <f t="shared" si="283"/>
        <v>21.285714285714285</v>
      </c>
      <c r="GQ81" s="28" t="s">
        <v>869</v>
      </c>
      <c r="GR81" s="28" t="s">
        <v>869</v>
      </c>
      <c r="GS81" s="22" t="str">
        <f t="shared" si="284"/>
        <v>CONTROL Igm</v>
      </c>
      <c r="GT81" s="22">
        <v>44960</v>
      </c>
      <c r="GU81" s="29">
        <f t="shared" si="285"/>
        <v>21.285714285714285</v>
      </c>
      <c r="GV81" s="21" t="str">
        <f t="shared" si="286"/>
        <v>II TRIM</v>
      </c>
      <c r="GW81" s="28" t="s">
        <v>869</v>
      </c>
      <c r="GX81" s="30"/>
      <c r="GY81" s="21"/>
      <c r="GZ81" s="21"/>
      <c r="HA81" s="21"/>
      <c r="HB81" s="21"/>
      <c r="HC81" s="21"/>
      <c r="HD81" s="21"/>
      <c r="HE81" s="21"/>
      <c r="HF81" s="22"/>
      <c r="HG81" s="22" t="str">
        <f>IF(OR(O81&gt;0,R81&gt;0),CONCATENATE(IF(Tabla1[[#This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1" s="22" t="e">
        <f t="shared" si="287"/>
        <v>#REF!</v>
      </c>
      <c r="HI81" s="22" t="e">
        <f t="shared" ca="1" si="288"/>
        <v>#REF!</v>
      </c>
      <c r="HJ81" s="21"/>
      <c r="HK81" s="21" t="str">
        <f t="shared" si="289"/>
        <v>SIN ANTECEDENTES DE RIESGO</v>
      </c>
      <c r="HL81" s="24" t="str">
        <f t="shared" si="290"/>
        <v>APARENTEMENTE NORMAL</v>
      </c>
      <c r="HM81" s="21" t="str">
        <f t="shared" ca="1" si="291"/>
        <v/>
      </c>
      <c r="HN81" s="30" t="str">
        <f t="shared" si="445"/>
        <v>SALIO PROGRAMA</v>
      </c>
      <c r="HO81" s="21"/>
      <c r="HP81" s="21"/>
      <c r="HQ81" s="21">
        <v>44943</v>
      </c>
      <c r="HR81" s="21" t="str">
        <f>IF(R81="","",IF(Tabla1[[#This Row],[ALARMA FACTORES DE RIESGO COMPLICACIONES HIPERTENSIVAS3]]="SIN ANTECEDENTES DE RIESGO","No Aplica para suministro de ASA",IF(AND(Tabla1[[#This Row],[FECHA INICIO DE SUMINISTRO DE ASA]]&gt;0,RV81&lt;12),"Inicia ASA ANTES de Sem 12",IF(AND(RV81&gt;11,RV81&lt;17,OR(HK81="RIESGO ALTO DE COMPLICACIONES HIPERTENSIVAS VER MANEJO GUIA SUMINISTRO ASA Y CALCIO",HK81="RIESGO MODERADO (2 O MAS CRITERIOS) VER MANEJO GUIA SUMINISTRO ASA Y CALCIO")),"Inicio oportuno de ASA",IF(AND(RV81&gt;12,OR(HK81="RIESGO ALTO DE COMPLICACIONES HIPERTENSIVAS VER MANEJO GUIA SUMINISTRO ASA Y CALCIO",HK81="RIESGO MODERADO (2 O MAS CRITERIOS) VER MANEJO GUIA SUMINISTRO ASA Y CALCIO")),"Inicio no oportuno mayor a 16 semanas",IF(AND(BU81&lt;12,OR(HK81="RIESGO ALTO DE COMPLICACIONES HIPERTENSIVAS VER MANEJO GUIA SUMINISTRO ASA Y CALCIO",HK81="RIESGO MODERADO (2 O MAS CRITERIOS) VER MANEJO GUIA SUMINISTRO ASA Y CALCIO")),"Pendiente Inicio de ASA a la semana 12",IF(AND(BU81&gt;11,BU81&lt;17,OR(HK81="RIESGO ALTO DE COMPLICACIONES HIPERTENSIVAS VER MANEJO GUIA SUMINISTRO ASA Y CALCIO",HK81="RIESGO MODERADO (2 O MAS CRITERIOS) VER MANEJO GUIA SUMINISTRO ASA Y CALCIO")),"Iniciar de inmediato ASA",IF(AND(BU81&gt;16,OR(HK81="RIESGO ALTO DE COMPLICACIONES HIPERTENSIVAS VER MANEJO GUIA SUMINISTRO ASA Y CALCIO",HK81="RIESGO MODERADO (2 O MAS CRITERIOS) VER MANEJO GUIA SUMINISTRO ASA Y CALCIO")),"Pierde Oportunidad, Inicio tardío de ASA","XXXXX"))))))))</f>
        <v>No Aplica para suministro de ASA</v>
      </c>
      <c r="HS81" s="22">
        <v>44943</v>
      </c>
      <c r="HT81" s="22" t="s">
        <v>870</v>
      </c>
      <c r="HU81" s="22"/>
      <c r="HV81" s="22"/>
      <c r="HW81" s="22">
        <v>44943</v>
      </c>
      <c r="HX81" s="22" t="s">
        <v>870</v>
      </c>
      <c r="HY81" s="22">
        <v>44943</v>
      </c>
      <c r="HZ81" s="28">
        <f t="shared" si="292"/>
        <v>18.857142857142858</v>
      </c>
      <c r="IA81" s="26" t="s">
        <v>864</v>
      </c>
      <c r="IB81" s="26"/>
      <c r="IC81" s="111"/>
      <c r="ID81" s="22"/>
      <c r="IE81" s="22" t="str">
        <f t="shared" ca="1" si="293"/>
        <v>SALE SIN VACUNA</v>
      </c>
      <c r="IF81" s="22"/>
      <c r="IG81" s="22">
        <f t="shared" si="294"/>
        <v>45091</v>
      </c>
      <c r="IH81" s="29">
        <f t="shared" ca="1" si="295"/>
        <v>-142</v>
      </c>
      <c r="II81" s="22" t="str">
        <f t="shared" ca="1" si="296"/>
        <v>POSIBLEMENTE NACIO</v>
      </c>
      <c r="IJ81" s="22"/>
      <c r="IK81" s="21" t="s">
        <v>898</v>
      </c>
      <c r="IL81" s="21"/>
      <c r="IM81" s="34"/>
      <c r="IN81" s="349">
        <v>45099</v>
      </c>
      <c r="IO81" s="21" t="s">
        <v>1640</v>
      </c>
      <c r="IP81" s="29">
        <f t="shared" si="435"/>
        <v>41.142857142857146</v>
      </c>
      <c r="IQ81" s="110"/>
      <c r="IR81" s="21" t="s">
        <v>879</v>
      </c>
      <c r="IS81" s="21" t="s">
        <v>1641</v>
      </c>
      <c r="IT81" s="21" t="s">
        <v>1642</v>
      </c>
      <c r="IU81" s="21"/>
      <c r="IV81" s="21"/>
      <c r="IW81" s="21"/>
      <c r="IX81" s="21"/>
      <c r="IY81" s="21"/>
      <c r="IZ81" s="21"/>
      <c r="JA81" s="21"/>
      <c r="JB81" s="30">
        <v>1</v>
      </c>
      <c r="JC81" s="21" t="s">
        <v>1643</v>
      </c>
      <c r="JD81" s="36">
        <v>3740</v>
      </c>
      <c r="JE81" s="21" t="str">
        <f t="shared" si="446"/>
        <v>PESO ADECUADO EDAD GESTACIONAL</v>
      </c>
      <c r="JF81" s="30"/>
      <c r="JG81" s="21"/>
      <c r="JH81" s="21"/>
      <c r="JI81" s="21"/>
      <c r="JJ81" s="30"/>
      <c r="JK81" s="22"/>
      <c r="JL81" s="22"/>
      <c r="JM81" s="21"/>
      <c r="JN81" s="36"/>
      <c r="JO81" s="21" t="str">
        <f t="shared" si="447"/>
        <v/>
      </c>
      <c r="JP81" s="22"/>
      <c r="JQ81" s="21"/>
      <c r="JR81" s="21"/>
      <c r="JS81" s="21"/>
      <c r="JT81" s="30"/>
      <c r="JU81" s="22"/>
      <c r="JV81" s="22"/>
      <c r="JW81" s="33"/>
      <c r="JX81" s="28" t="str">
        <f t="shared" si="448"/>
        <v>INASISTENTE</v>
      </c>
      <c r="JY81" s="33"/>
      <c r="JZ81" s="28" t="str">
        <f t="shared" si="449"/>
        <v>INASISTENTE</v>
      </c>
      <c r="KA81" s="21"/>
      <c r="KB81" s="21"/>
      <c r="KC81" s="21"/>
      <c r="KD81" s="37"/>
      <c r="KE81" s="28"/>
      <c r="KF81" s="28"/>
      <c r="KG81" s="28"/>
      <c r="KH81" s="39"/>
      <c r="KI81" s="39"/>
      <c r="KJ81" s="66"/>
      <c r="KK81" s="39"/>
      <c r="KL81" s="39"/>
      <c r="KM81" s="66"/>
      <c r="KN81" s="39"/>
      <c r="KO81" s="39"/>
      <c r="KP81" s="39"/>
      <c r="KQ81" s="39"/>
      <c r="KR81" s="39"/>
      <c r="KS81" s="39"/>
      <c r="KT81" s="39"/>
      <c r="KU81" s="38"/>
      <c r="KV81" s="38"/>
      <c r="KW81" s="38"/>
      <c r="KX81" s="38"/>
      <c r="KY81" s="38"/>
      <c r="KZ81" s="38"/>
      <c r="LA81" s="38"/>
      <c r="LB81" s="38"/>
      <c r="LC81" s="38"/>
      <c r="LD81" s="38"/>
      <c r="LE81" s="38"/>
      <c r="LF81" s="38"/>
      <c r="LG81" s="38"/>
      <c r="LH81" s="38"/>
      <c r="LI81" s="38"/>
      <c r="LJ81" s="38"/>
      <c r="LK81" s="38"/>
      <c r="LL81" s="38"/>
      <c r="LM81" s="38"/>
      <c r="LN81" s="38"/>
      <c r="LO81" s="38"/>
      <c r="LP81" s="38"/>
      <c r="LQ81" s="38"/>
      <c r="LR81" s="38"/>
      <c r="LS81" s="38"/>
      <c r="LT81" s="38"/>
      <c r="LU81" s="38"/>
      <c r="LV81" s="38"/>
      <c r="LW81" s="38"/>
      <c r="LX81" s="38"/>
      <c r="LY81" s="38"/>
      <c r="LZ81" s="38"/>
      <c r="MA81" s="38"/>
      <c r="MB81" s="38"/>
      <c r="MC81" s="38"/>
      <c r="MD81" s="38"/>
      <c r="ME81" s="38"/>
      <c r="MF81" s="38"/>
      <c r="MG81" s="38"/>
      <c r="MH81" s="43">
        <f t="shared" si="302"/>
        <v>0</v>
      </c>
      <c r="MI81" s="43" t="str">
        <f t="shared" si="303"/>
        <v/>
      </c>
      <c r="MJ81" s="43" t="str">
        <f t="shared" si="304"/>
        <v/>
      </c>
      <c r="MK81" s="43">
        <f t="shared" si="305"/>
        <v>0</v>
      </c>
      <c r="ML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1" s="43">
        <f t="shared" si="306"/>
        <v>18.857142857142858</v>
      </c>
      <c r="MN81" s="43">
        <f t="shared" si="307"/>
        <v>1</v>
      </c>
      <c r="MO81" s="43">
        <f t="shared" si="308"/>
        <v>2023</v>
      </c>
      <c r="MP81" s="43" t="str">
        <f t="shared" si="309"/>
        <v>I TRIMESTRE AÑO</v>
      </c>
      <c r="MQ81" s="43">
        <f t="shared" si="310"/>
        <v>16.71868155935173</v>
      </c>
      <c r="MR81" s="43">
        <f t="shared" si="311"/>
        <v>0</v>
      </c>
      <c r="MS81" s="43" t="str">
        <f t="shared" si="312"/>
        <v>DE 14 A 19AÑOS</v>
      </c>
      <c r="MT81" s="43">
        <f t="shared" si="313"/>
        <v>0</v>
      </c>
      <c r="MU81" s="43">
        <f t="shared" si="314"/>
        <v>1</v>
      </c>
      <c r="MV81" s="43">
        <f t="shared" si="315"/>
        <v>0</v>
      </c>
      <c r="MW81" s="43">
        <f t="shared" si="316"/>
        <v>0</v>
      </c>
      <c r="MX81" s="43" t="str">
        <f t="shared" si="317"/>
        <v/>
      </c>
      <c r="MY81" s="43" t="str">
        <f t="shared" ca="1" si="450"/>
        <v/>
      </c>
      <c r="MZ81" s="43" t="str">
        <f t="shared" si="318"/>
        <v/>
      </c>
      <c r="NA81" s="43">
        <f t="shared" si="319"/>
        <v>0</v>
      </c>
      <c r="NB81" s="43" t="str">
        <f t="shared" si="320"/>
        <v/>
      </c>
      <c r="NC81" s="43" t="str">
        <f t="shared" si="321"/>
        <v/>
      </c>
      <c r="ND81" s="43">
        <f t="shared" ca="1" si="322"/>
        <v>1</v>
      </c>
      <c r="NE81" s="43">
        <f>IF(OR(O81&gt;0,R81&gt;0),SUM(COUNTIF(Tabla1[[#This Row],[AÑOS AL INICIO5 CPN]],"&gt;=40"),COUNTIF(AS81,"0"),COUNTIF(AR81,"SI"),COUNTIF(CC81,"SI"),COUNTIF(BQ81,"&gt;119"),COUNTIF(CI81,"&gt;=35")),"")</f>
        <v>1</v>
      </c>
      <c r="NF81" s="43" t="str">
        <f t="shared" si="323"/>
        <v/>
      </c>
      <c r="NG81" s="43">
        <f t="shared" si="324"/>
        <v>0</v>
      </c>
      <c r="NH81" s="43">
        <f t="shared" si="325"/>
        <v>142.1</v>
      </c>
      <c r="NI8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CPN",P81="NO"),"Z",IF(AND(Tabla1[[#This Row],[CITA PROXIMO CONTROL]]="CITA MANUAL",Tabla1[[#This Row],[GESTANTES ACTUALES]]="ACTIVA INGRESO A CPN"),"W",IF(AND(Tabla1[[#This Row],[GESTANTES ACTUALES]]="SALIO PROGRAMA",IN81=""),"S",IF(AND(Tabla1[[#This Row],[CITA PROXIMO CONTROL]]&gt;0,IN81=""),(Tabla1[[#This Row],[CITA PROXIMO CONTROL]]-TODAY()),"SD"))))))))</f>
        <v>SD</v>
      </c>
      <c r="NJ81" s="43">
        <f>MONTH(Tabla1[[#This Row],[FECHA DE SALIDA  DEL PROGRAMA]])</f>
        <v>6</v>
      </c>
      <c r="NK81" s="43">
        <f>YEAR(Tabla1[[#This Row],[FECHA DE SALIDA  DEL PROGRAMA]])</f>
        <v>2023</v>
      </c>
      <c r="NL81" s="43" t="str">
        <f t="shared" si="326"/>
        <v>X</v>
      </c>
      <c r="NM81" s="43" t="str">
        <f t="shared" si="251"/>
        <v>NO</v>
      </c>
      <c r="NN81" s="43" t="str">
        <f ca="1">IF(AND(O81&gt;0,R81=""),"NO CPN",IF(AND(O81="",R81=""),"",IF(AND(R81&gt;0,Tabla1[[#This Row],[SEMANAS DE GESTACION ACTUALIZADAS]]&lt;=12),"NO APLICA",IF(AND(FH81&lt;&gt;"",FN81&lt;&gt;""),"SI","NO"))))</f>
        <v>SI</v>
      </c>
      <c r="NO81" s="43" t="str">
        <f ca="1">IF(AND(O81&gt;0,R81=""),"NO CPN",IF(AND(O81="",R81=""),"",IF(AND(R81&gt;0,Tabla1[[#This Row],[SEMANAS DE GESTACION ACTUALIZADAS]]&lt;=27),"NO APLICA",IF(AND(ES81&lt;&gt;"",FQ81&lt;&gt;"",GF81&lt;&gt;""),"SI","NO"))))</f>
        <v>NO</v>
      </c>
      <c r="NP81" s="204" t="str">
        <f t="shared" si="327"/>
        <v>DEFINIR CON ECO</v>
      </c>
      <c r="NQ81" s="21" t="str">
        <f t="shared" si="436"/>
        <v/>
      </c>
      <c r="NR81" s="21">
        <f t="shared" si="451"/>
        <v>2</v>
      </c>
      <c r="NS81" s="205">
        <f t="shared" ca="1" si="328"/>
        <v>1</v>
      </c>
      <c r="NT81" s="21">
        <f t="shared" ca="1" si="329"/>
        <v>2</v>
      </c>
      <c r="NU81" s="21" t="str">
        <f t="shared" ca="1" si="330"/>
        <v>INCOMPLETO</v>
      </c>
      <c r="NV81" s="21" t="str">
        <f t="shared" ca="1" si="331"/>
        <v>COMPLETO</v>
      </c>
      <c r="NW81" s="206" t="str">
        <f>IF(AND(O81="",R81=""),"",IF(OR(AND(Tabla1[[#This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1" s="207" t="str">
        <f t="shared" ca="1" si="332"/>
        <v>SIN VACUNAR</v>
      </c>
      <c r="NY81" s="43">
        <f>ROW(Tabla1[[#This Row],['# DE TAMIZAJES SIFILIS TOMADOS ]])</f>
        <v>81</v>
      </c>
      <c r="NZ81" s="43">
        <f t="shared" si="333"/>
        <v>18</v>
      </c>
      <c r="OA81" s="43" t="str">
        <f t="shared" si="334"/>
        <v/>
      </c>
      <c r="OB81" s="43" t="str">
        <f t="shared" si="335"/>
        <v/>
      </c>
      <c r="OC81" s="43" t="str">
        <f t="shared" si="336"/>
        <v/>
      </c>
      <c r="OD81" s="43" t="str">
        <f t="shared" si="337"/>
        <v/>
      </c>
      <c r="OE81" s="43" t="str">
        <f t="shared" si="338"/>
        <v/>
      </c>
      <c r="OF81" s="43" t="str">
        <f t="shared" si="339"/>
        <v/>
      </c>
      <c r="OG81" s="43" t="str">
        <f t="shared" si="340"/>
        <v/>
      </c>
      <c r="OH81" s="43" t="str">
        <f t="shared" si="341"/>
        <v/>
      </c>
      <c r="OI81" s="43" t="str">
        <f t="shared" si="342"/>
        <v/>
      </c>
      <c r="OJ81" s="43" t="str">
        <f t="shared" si="343"/>
        <v>NORMAL</v>
      </c>
      <c r="OK81" s="43" t="str">
        <f t="shared" si="344"/>
        <v/>
      </c>
      <c r="OL81" s="43" t="str">
        <f t="shared" si="345"/>
        <v/>
      </c>
      <c r="OM81" s="43" t="str">
        <f t="shared" si="346"/>
        <v/>
      </c>
      <c r="ON81" s="43" t="str">
        <f t="shared" si="347"/>
        <v/>
      </c>
      <c r="OO81" s="43" t="str">
        <f t="shared" si="348"/>
        <v/>
      </c>
      <c r="OP81" s="43" t="str">
        <f t="shared" si="349"/>
        <v/>
      </c>
      <c r="OQ81" s="43" t="str">
        <f t="shared" si="350"/>
        <v/>
      </c>
      <c r="OR81" s="43" t="str">
        <f t="shared" si="351"/>
        <v/>
      </c>
      <c r="OS81" s="43" t="str">
        <f t="shared" si="352"/>
        <v/>
      </c>
      <c r="OT81" s="43" t="str">
        <f t="shared" si="353"/>
        <v/>
      </c>
      <c r="OU81" s="43" t="str">
        <f t="shared" si="354"/>
        <v/>
      </c>
      <c r="OV81" s="110" t="str">
        <f t="shared" si="355"/>
        <v/>
      </c>
      <c r="OW81" s="43" t="str">
        <f t="shared" si="356"/>
        <v/>
      </c>
      <c r="OX81" s="43" t="str">
        <f t="shared" si="357"/>
        <v/>
      </c>
      <c r="OY81" s="43" t="str">
        <f t="shared" si="358"/>
        <v/>
      </c>
      <c r="OZ81" s="43" t="str">
        <f t="shared" si="359"/>
        <v/>
      </c>
      <c r="PA81" s="43" t="str">
        <f t="shared" si="360"/>
        <v/>
      </c>
      <c r="PB81" s="43" t="str">
        <f t="shared" si="361"/>
        <v/>
      </c>
      <c r="PC81" s="43" t="str">
        <f t="shared" si="362"/>
        <v/>
      </c>
      <c r="PD81" s="43" t="str">
        <f t="shared" si="363"/>
        <v/>
      </c>
      <c r="PE81" s="43" t="str">
        <f t="shared" si="364"/>
        <v/>
      </c>
      <c r="PF81" s="43" t="str">
        <f t="shared" si="365"/>
        <v/>
      </c>
      <c r="PG81" s="43" t="str">
        <f t="shared" si="366"/>
        <v/>
      </c>
      <c r="PH81" s="43" t="str">
        <f t="shared" si="367"/>
        <v/>
      </c>
      <c r="PI81" s="43">
        <f t="shared" si="368"/>
        <v>36</v>
      </c>
      <c r="PJ81" s="43" t="str">
        <f t="shared" si="369"/>
        <v/>
      </c>
      <c r="PK81" s="43" t="str">
        <f t="shared" si="370"/>
        <v/>
      </c>
      <c r="PL81" s="43" t="str">
        <f t="shared" si="371"/>
        <v/>
      </c>
      <c r="PM81" s="43" t="str">
        <f t="shared" si="372"/>
        <v/>
      </c>
      <c r="PN81" s="43" t="str">
        <f t="shared" si="373"/>
        <v/>
      </c>
      <c r="PO81" s="43" t="str">
        <f t="shared" si="374"/>
        <v/>
      </c>
      <c r="PP81" s="43" t="str">
        <f t="shared" si="375"/>
        <v/>
      </c>
      <c r="PQ81" s="43" t="str">
        <f t="shared" si="376"/>
        <v/>
      </c>
      <c r="PR81" s="43" t="str">
        <f t="shared" si="377"/>
        <v/>
      </c>
      <c r="PS81" s="43" t="str">
        <f t="shared" si="378"/>
        <v/>
      </c>
      <c r="PT81" s="43" t="str">
        <f t="shared" si="379"/>
        <v/>
      </c>
      <c r="PU81" s="43" t="str">
        <f t="shared" si="380"/>
        <v/>
      </c>
      <c r="PV81" s="43" t="str">
        <f t="shared" si="381"/>
        <v/>
      </c>
      <c r="PW81" s="43" t="str">
        <f t="shared" si="382"/>
        <v/>
      </c>
      <c r="PX81" s="43" t="str">
        <f t="shared" si="383"/>
        <v/>
      </c>
      <c r="PY81" s="43" t="str">
        <f t="shared" si="384"/>
        <v/>
      </c>
      <c r="PZ81" s="43" t="str">
        <f t="shared" si="385"/>
        <v/>
      </c>
      <c r="QA81" s="43" t="str">
        <f t="shared" si="386"/>
        <v/>
      </c>
      <c r="QB81" s="43" t="str">
        <f t="shared" si="387"/>
        <v/>
      </c>
      <c r="QC81" s="43" t="str">
        <f t="shared" si="388"/>
        <v/>
      </c>
      <c r="QD81" s="43" t="str">
        <f t="shared" si="389"/>
        <v/>
      </c>
      <c r="QE81" s="43" t="str">
        <f t="shared" si="390"/>
        <v/>
      </c>
      <c r="QF81" s="43" t="str">
        <f t="shared" si="391"/>
        <v/>
      </c>
      <c r="QG81" s="43" t="str">
        <f t="shared" si="392"/>
        <v/>
      </c>
      <c r="QH81" s="43" t="str">
        <f t="shared" si="393"/>
        <v/>
      </c>
      <c r="QI81" s="43" t="str">
        <f t="shared" si="394"/>
        <v/>
      </c>
      <c r="QJ81" s="43" t="str">
        <f t="shared" si="395"/>
        <v/>
      </c>
      <c r="QK81" s="43" t="str">
        <f t="shared" si="396"/>
        <v>NORMAL</v>
      </c>
      <c r="QL81" s="43" t="str">
        <f t="shared" si="397"/>
        <v/>
      </c>
      <c r="QM81" s="43" t="str">
        <f t="shared" si="398"/>
        <v/>
      </c>
      <c r="QN81" s="43" t="str">
        <f t="shared" si="399"/>
        <v/>
      </c>
      <c r="QO81" s="43" t="str">
        <f t="shared" si="400"/>
        <v/>
      </c>
      <c r="QP81" s="43" t="str">
        <f t="shared" si="401"/>
        <v/>
      </c>
      <c r="QQ81" s="43" t="str">
        <f t="shared" si="402"/>
        <v/>
      </c>
      <c r="QR81" s="43">
        <f t="shared" si="432"/>
        <v>36</v>
      </c>
      <c r="QS81" s="43"/>
      <c r="QT81" s="21" t="str">
        <f t="shared" si="403"/>
        <v/>
      </c>
      <c r="QU81" s="21" t="str">
        <f t="shared" si="404"/>
        <v/>
      </c>
      <c r="QV81" s="21" t="str">
        <f t="shared" si="405"/>
        <v/>
      </c>
      <c r="QW81" s="21" t="str">
        <f t="shared" si="406"/>
        <v/>
      </c>
      <c r="QX81" s="21" t="str">
        <f t="shared" si="407"/>
        <v/>
      </c>
      <c r="QY81" s="21" t="str">
        <f t="shared" si="408"/>
        <v/>
      </c>
      <c r="QZ81" s="21" t="str">
        <f t="shared" si="409"/>
        <v/>
      </c>
      <c r="RA81" s="21" t="str">
        <f t="shared" si="410"/>
        <v/>
      </c>
      <c r="RB81" s="21" t="str">
        <f t="shared" si="411"/>
        <v/>
      </c>
      <c r="RC81" s="21" t="str">
        <f t="shared" si="412"/>
        <v/>
      </c>
      <c r="RD81" s="21" t="str">
        <f t="shared" si="413"/>
        <v/>
      </c>
      <c r="RE81" s="21" t="str">
        <f t="shared" si="414"/>
        <v/>
      </c>
      <c r="RF81" s="21" t="str">
        <f t="shared" si="415"/>
        <v/>
      </c>
      <c r="RG81" s="21" t="str">
        <f t="shared" si="416"/>
        <v/>
      </c>
      <c r="RH81" s="21" t="str">
        <f t="shared" si="417"/>
        <v/>
      </c>
      <c r="RI81" s="21" t="str">
        <f t="shared" si="418"/>
        <v/>
      </c>
      <c r="RJ81" s="21" t="str">
        <f t="shared" si="419"/>
        <v/>
      </c>
      <c r="RK81" s="21" t="str">
        <f t="shared" si="420"/>
        <v/>
      </c>
      <c r="RL81" s="21" t="str">
        <f t="shared" si="421"/>
        <v/>
      </c>
      <c r="RM81" s="21" t="str">
        <f t="shared" si="422"/>
        <v/>
      </c>
      <c r="RN81" s="21" t="str">
        <f t="shared" si="423"/>
        <v/>
      </c>
      <c r="RO81" s="21" t="str">
        <f t="shared" si="424"/>
        <v/>
      </c>
      <c r="RP81" s="21" t="str">
        <f t="shared" si="425"/>
        <v/>
      </c>
      <c r="RQ81" s="21" t="str">
        <f t="shared" si="426"/>
        <v>ADECUADO PARA EDAD GESTACIONAL</v>
      </c>
      <c r="RR81" s="21" t="str">
        <f t="shared" si="427"/>
        <v/>
      </c>
      <c r="RS81" s="21" t="str">
        <f t="shared" si="428"/>
        <v/>
      </c>
      <c r="RT81" s="21" t="str">
        <f t="shared" si="429"/>
        <v/>
      </c>
      <c r="RU81" s="21" t="str">
        <f t="shared" si="430"/>
        <v/>
      </c>
      <c r="RV81" s="21">
        <f t="shared" si="431"/>
        <v>18.857142857142858</v>
      </c>
      <c r="RW81" s="284">
        <f>IF(OR(Tabla1[[#This Row],[FUM FORMULA CONFIABLE]]="",Tabla1[[#This Row],[FUM FORMULA CONFIABLE]]="SD"),"",IF(Tabla1[[#This Row],[FUM FORMULA CONFIABLE]]="CORREGIDA",Tabla1[[#This Row],[FUM X ECO 1]],Tabla1[[#This Row],[FUM x AMENORREA]]))</f>
        <v>44811</v>
      </c>
      <c r="RX81" s="21">
        <f>IF(AND(Tabla1[[#This Row],[FUM X ECO 1]]="",Tabla1[[#This Row],[FUM x AMENORREA]]=""),"",IF(AND(Tabla1[[#This Row],[FUM X ECO 1]]="",Tabla1[[#This Row],[FUM x AMENORREA]]&lt;&gt;""),"X",SUM(Tabla1[[#This Row],[FUM X ECO 1]]-Tabla1[[#This Row],[FUM x AMENORREA]])))</f>
        <v>6.9000000000014552</v>
      </c>
      <c r="RY81" s="21">
        <f t="shared" si="433"/>
        <v>1</v>
      </c>
    </row>
    <row r="82" spans="1:493" ht="45" customHeight="1" x14ac:dyDescent="0.25">
      <c r="A82" s="109"/>
      <c r="B82" s="43"/>
      <c r="C82" s="43" t="s">
        <v>845</v>
      </c>
      <c r="D82" s="124" t="s">
        <v>846</v>
      </c>
      <c r="E82" s="43" t="s">
        <v>1246</v>
      </c>
      <c r="F82" s="43" t="s">
        <v>1127</v>
      </c>
      <c r="G82" s="43" t="s">
        <v>1247</v>
      </c>
      <c r="H82" s="43" t="s">
        <v>1248</v>
      </c>
      <c r="I82" s="109" t="s">
        <v>851</v>
      </c>
      <c r="J82" s="110">
        <v>1061809950</v>
      </c>
      <c r="K82" s="43" t="s">
        <v>852</v>
      </c>
      <c r="L82" s="175" t="s">
        <v>853</v>
      </c>
      <c r="M82" s="22">
        <v>35945</v>
      </c>
      <c r="N82" s="213">
        <f t="shared" ca="1" si="252"/>
        <v>25.446575342465753</v>
      </c>
      <c r="O82" s="22">
        <v>44943</v>
      </c>
      <c r="P82" s="214" t="str">
        <f t="shared" si="437"/>
        <v>SI</v>
      </c>
      <c r="Q82" s="26" t="s">
        <v>855</v>
      </c>
      <c r="R82" s="22">
        <v>44943</v>
      </c>
      <c r="S82" s="21" t="s">
        <v>856</v>
      </c>
      <c r="T82" s="24" t="s">
        <v>690</v>
      </c>
      <c r="U82" s="21" t="s">
        <v>857</v>
      </c>
      <c r="V82" s="21" t="s">
        <v>858</v>
      </c>
      <c r="W82" s="21" t="s">
        <v>1004</v>
      </c>
      <c r="X82" s="21" t="s">
        <v>1004</v>
      </c>
      <c r="Y82" s="21" t="s">
        <v>859</v>
      </c>
      <c r="Z82" s="21">
        <v>3135275120</v>
      </c>
      <c r="AA82" s="21" t="s">
        <v>860</v>
      </c>
      <c r="AB82" s="27" t="s">
        <v>861</v>
      </c>
      <c r="AC82" s="26" t="s">
        <v>888</v>
      </c>
      <c r="AD82" s="38" t="s">
        <v>846</v>
      </c>
      <c r="AE82" s="26" t="s">
        <v>854</v>
      </c>
      <c r="AF82" s="26" t="s">
        <v>854</v>
      </c>
      <c r="AG82" s="23" t="s">
        <v>864</v>
      </c>
      <c r="AH82" s="23" t="s">
        <v>864</v>
      </c>
      <c r="AI82" s="24" t="s">
        <v>863</v>
      </c>
      <c r="AJ82" s="23" t="s">
        <v>864</v>
      </c>
      <c r="AK82" s="220" t="str">
        <f>IF(AND(AD82="",AE82="",AF82="",AG82="",AH82="",AI82="",AJ82=""),"",IF(OR(Tabla1[[#This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EVALUACIÓN",IF(AND(O82="",R82=""),"",IF(AND(OR(O82&gt;0,R82&gt;0),NG82&gt;=0,NG82&lt;2),"SIN RIESGO",IF(AND(OR(O82&gt;0,R82&gt;0),NG82&gt;=2),"CON RIESGO","ASD")))))</f>
        <v>SIN RIESGO</v>
      </c>
      <c r="AL82" s="23" t="s">
        <v>864</v>
      </c>
      <c r="AM82" s="26" t="s">
        <v>864</v>
      </c>
      <c r="AN82" s="26" t="s">
        <v>864</v>
      </c>
      <c r="AO82" s="26" t="s">
        <v>864</v>
      </c>
      <c r="AP82" s="26" t="s">
        <v>864</v>
      </c>
      <c r="AQ82" s="26" t="s">
        <v>864</v>
      </c>
      <c r="AR82" s="26" t="s">
        <v>864</v>
      </c>
      <c r="AS82" s="21">
        <v>0</v>
      </c>
      <c r="AT82" s="21">
        <v>0</v>
      </c>
      <c r="AU82" s="21">
        <v>0</v>
      </c>
      <c r="AV82" s="26" t="s">
        <v>864</v>
      </c>
      <c r="AW82" s="21">
        <v>0</v>
      </c>
      <c r="AX82" s="26" t="s">
        <v>864</v>
      </c>
      <c r="AY82" s="26" t="s">
        <v>864</v>
      </c>
      <c r="AZ82" s="26" t="s">
        <v>864</v>
      </c>
      <c r="BA82" s="26" t="s">
        <v>864</v>
      </c>
      <c r="BB82" s="26" t="s">
        <v>864</v>
      </c>
      <c r="BC82" s="26" t="s">
        <v>864</v>
      </c>
      <c r="BD82" s="26" t="s">
        <v>864</v>
      </c>
      <c r="BE82" s="26" t="s">
        <v>864</v>
      </c>
      <c r="BF82" s="26" t="s">
        <v>864</v>
      </c>
      <c r="BG82" s="26" t="s">
        <v>864</v>
      </c>
      <c r="BH82" s="26" t="s">
        <v>864</v>
      </c>
      <c r="BI82" s="26" t="s">
        <v>864</v>
      </c>
      <c r="BJ82" s="26"/>
      <c r="BK82" s="26"/>
      <c r="BL82" s="26" t="s">
        <v>864</v>
      </c>
      <c r="BM82" s="26" t="s">
        <v>864</v>
      </c>
      <c r="BN82" s="22"/>
      <c r="BO82" s="22">
        <v>44872</v>
      </c>
      <c r="BP82" s="21" t="s">
        <v>854</v>
      </c>
      <c r="BQ82" s="222">
        <f t="shared" si="254"/>
        <v>0</v>
      </c>
      <c r="BR82" s="223">
        <f t="shared" si="255"/>
        <v>44866.3</v>
      </c>
      <c r="BS82" s="224">
        <f t="shared" si="256"/>
        <v>10.142857142857142</v>
      </c>
      <c r="BT82" s="216" t="str">
        <f t="shared" si="257"/>
        <v>II TRIM</v>
      </c>
      <c r="BU82" s="214" t="str">
        <f t="shared" ca="1" si="258"/>
        <v/>
      </c>
      <c r="BV82" s="25"/>
      <c r="BW82" s="22">
        <v>44965</v>
      </c>
      <c r="BX82" s="28">
        <v>14.1</v>
      </c>
      <c r="BY82" s="28"/>
      <c r="BZ82" s="22"/>
      <c r="CA82" s="21"/>
      <c r="CB82" s="26"/>
      <c r="CC82" s="26"/>
      <c r="CD82" s="26"/>
      <c r="CE82" s="26"/>
      <c r="CF82" s="22" t="s">
        <v>1517</v>
      </c>
      <c r="CG82" s="21">
        <v>1.52</v>
      </c>
      <c r="CH82" s="21">
        <v>64.5</v>
      </c>
      <c r="CI82" s="214">
        <f t="shared" si="259"/>
        <v>27.917243767313018</v>
      </c>
      <c r="CJ82" s="225" t="e">
        <f>IF(AND(CI82&lt;10,CH82="SD"),"SIN DATO PESO PREGESTACION O I TRIM",IF(AND(OR(R82&gt;0,O82&gt;0),CI82="X"),"INGRESAR DATO DE PESO",IF(CI82="SD","INGRESAR DATO DE TALLA Y PESO",IF(AND(OR(Tabla1[[#This Row],[MOMENTO EN QUE SE REALIZA EL PESO AL INGRESO A CPN]]="PREGESTACIÓN",NZ82="Menor"),CI82&lt;18.5),"BAJO PESO",IF(AND(OR(Tabla1[[#This Row],[MOMENTO EN QUE SE REALIZA EL PESO AL INGRESO A CPN]]="PREGESTACIÓN",NZ82="Menor"),CI82&lt;25),"NORMAL",IF(AND(OR(Tabla1[[#This Row],[MOMENTO EN QUE SE REALIZA EL PESO AL INGRESO A CPN]]="PREGESTACIÓN",NZ82="Menor"),CI82&lt;30),"SOBREPESO",IF(AND(OR(Tabla1[[#This Row],[MOMENTO EN QUE SE REALIZA EL PESO AL INGRESO A CPN]]="PREGESTACIÓN",NZ82="Menor"),CI82&gt;=30,CI82&lt;50),"OBESIDAD",IF(AND(BS82&gt;0,Tabla1[[#This Row],[MOMENTO EN QUE SE REALIZA EL PESO AL INGRESO A CPN]]="GESTACIÓN"),HLOOKUP(NZ82,$OA$2:PH82,NY82),""))))))))</f>
        <v>#REF!</v>
      </c>
      <c r="CK82" s="212">
        <f t="shared" si="260"/>
        <v>45062</v>
      </c>
      <c r="CL82" s="21">
        <v>75</v>
      </c>
      <c r="CM82" s="214">
        <f t="shared" si="261"/>
        <v>32.461911357340718</v>
      </c>
      <c r="CN82" s="216">
        <f t="shared" si="262"/>
        <v>27</v>
      </c>
      <c r="CO82" s="216" t="e">
        <f>IF(PI82="","",IF(PI82&gt;0,HLOOKUP(PI82,$PJ$2:QQ82,NY82),""))</f>
        <v>#REF!</v>
      </c>
      <c r="CP82" s="21">
        <v>27</v>
      </c>
      <c r="CQ82" s="216" t="e">
        <f>IF(QR82="Menor","NO APLICA-MENOR 13 SEM",IF(AND(CC82="SI",CN82&gt;23),"NO APLICA- GEMELAR",IF(QR82="","",IF(QR82&gt;0,HLOOKUP(QR82,$QS$2:RU82,NY82),""))))</f>
        <v>#REF!</v>
      </c>
      <c r="CR82" s="21">
        <v>100</v>
      </c>
      <c r="CS82" s="21">
        <v>60</v>
      </c>
      <c r="CT82" s="217" t="str">
        <f>IF(R82="","",IF(AND(BS82&gt;1,BS82&lt;12,Tabla1[[#This Row],[T.A. SISTOLICA - ANTES DE SEMANA 12]]="",Tabla1[[#This Row],[T.A. DIASTOLICA - ANTES DE SEMANA 12]]=""),"REGISTRE DATO TA ANTES SEMANA 12",IF(AND(BS82&gt;11,BS82&lt;43,Tabla1[[#This Row],[T.A. SISTOLICA - ANTES DE SEMANA 12]]="",Tabla1[[#This Row],[T.A. DIASTOLICA - ANTES DE SEMANA 12]]=""),"NO APLICA REGISTRO TA-INGRESO TARDIO",IF(AND(OR(O82&gt;0,R82&gt;0),OR(CR82&gt;=140,CS82&gt;=90)),"DEFINIR ESTADIO HTA",IF(AND(OR(O82&gt;0,R82&gt;0),AND(CR82&gt;120,CR82&lt;=139)),"PRE HTA SEGUIMIENTO",IF(AND(OR(O82&gt;0,R82&gt;0),AND(CS82&gt;80,CS82&lt;=89)),"PRE HTA SEGUIMIENTO",IF(AND(OR(O82&gt;0,R82&gt;0),AND(CR82&gt;=80,CR82&lt;=120)),"APARENTEMENTE NORMAL",IF(AND(OR(O82&gt;0,R82&gt;0),AND(CS82&gt;=50,CS82&lt;=80)),"APARENTEMENTE NORMAL",IF(AND(OR(O82&gt;0,R82&gt;0),AND(CR82&gt;1,CR82&lt;=70),AND(CS82&gt;1,CS82&lt;=40)),"HIPOTENSIÓN","")))))))))</f>
        <v>APARENTEMENTE NORMAL</v>
      </c>
      <c r="CU82" s="21"/>
      <c r="CV82" s="21"/>
      <c r="CW82" s="217" t="str">
        <f ca="1">IF(R82="","",IF(AND(CN82&gt;19,CN82&lt;27,Tabla1[[#This Row],[T.A. SISTOLICA (Entre semana 20 y 26)]]="",Tabla1[[#This Row],[T.A. DIATOLICA (Entre semana 20 y 26)]]=""),"ACUDE A CONTROL SEM 20 A 26 REGISTRE TA AHORA",IF(AND(BS82&gt;1,BS82&lt;27,BU82&gt;19,Tabla1[[#This Row],[T.A. SISTOLICA (Entre semana 20 y 26)]]="",Tabla1[[#This Row],[T.A. DIATOLICA (Entre semana 20 y 26)]]=""),"COMPLETE REGISTRO TA CONTROL SEM 20 A26 ",IF(AND(BS82&gt;26,BS82&lt;43,Tabla1[[#This Row],[T.A. SISTOLICA (Entre semana 20 y 26)]]="",Tabla1[[#This Row],[T.A. DIATOLICA (Entre semana 20 y 26)]]=""),"NO APLICA REGISTRO TA-INGRESO TARDIO",IF(AND(OR(O82&gt;0,R82&gt;0),OR(CU82&gt;=140,CV82&gt;=90)),"ALTO RIESGO PREECLAMPSIA,DEFINIR ESTADIO HTA",IF(AND(OR(O82&gt;0,R82&gt;0),AND(CU82&gt;120,CU82&lt;=139)),"PRE HTA SEGUIMIENTO,RIESGO HIPERTENSION INDUCIDA POR EL EMBARAZO",IF(AND(OR(O82&gt;0,R82&gt;0),AND(CV82&gt;80,CV82&lt;=89)),"PRE HTA SEGUIMIENTO, RIESGO HIPERTENSION INDUCIDA POR EL EMBARAZO",IF(AND(OR(O82&lt;&gt;"",R82&lt;&gt;""),CS82&lt;&gt;"",CV82&lt;&gt;"",CS82&lt;=CV82),"VIGILAR CIFRAS PRESION ARTERIAL",IF(AND(OR(O82&gt;0,R82&gt;0),AND(CU82&gt;120,CU82&lt;=139)),"PRE HTA SEGUIMIENTO",IF(AND(OR(O82&gt;0,R82&gt;0),AND(CU82&gt;1,CU82&lt;=70),AND(CV82&gt;1,CV82&lt;=40)),"HIPOTENSIÓN",IF(AND(OR(O82&lt;&gt;"",R82&lt;&gt;""),CS82&lt;&gt;"",CV82&lt;&gt;"",CS82&gt;CV82),"APARENTEMENTE NORMAL",IF(AND(OR(O82&gt;0,R82&gt;0),AND(CU82&gt;=80,CU82&lt;=120)),"APARENTEMENTE NORMAL",IF(AND(OR(O82&gt;0,R82&gt;0),AND(CV82&gt;=50,CV82&lt;=80)),"APARENTEMENTE NORMAL","")))))))))))))</f>
        <v xml:space="preserve">COMPLETE REGISTRO TA CONTROL SEM 20 A26 </v>
      </c>
      <c r="CX82" s="21"/>
      <c r="CY82" s="21"/>
      <c r="CZ82" s="216" t="str">
        <f t="shared" si="263"/>
        <v/>
      </c>
      <c r="DA82" s="21">
        <v>100</v>
      </c>
      <c r="DB82" s="21">
        <v>60</v>
      </c>
      <c r="DC82" s="217" t="str">
        <f t="shared" si="264"/>
        <v>APARENTEMENTE NORMAL</v>
      </c>
      <c r="DD82" s="22">
        <v>44943</v>
      </c>
      <c r="DE82" s="22">
        <v>44943</v>
      </c>
      <c r="DF82" s="22">
        <v>44987</v>
      </c>
      <c r="DG82" s="22">
        <v>45062</v>
      </c>
      <c r="DH82" s="22"/>
      <c r="DI82" s="22"/>
      <c r="DJ82" s="22"/>
      <c r="DK82" s="22"/>
      <c r="DL82" s="22"/>
      <c r="DM82" s="22"/>
      <c r="DN82" s="22"/>
      <c r="DO82" s="22"/>
      <c r="DP82" s="22"/>
      <c r="DQ82" s="22"/>
      <c r="DR82" s="28">
        <v>1</v>
      </c>
      <c r="DS82" s="22"/>
      <c r="DT82" s="22"/>
      <c r="DU82" s="216" t="str">
        <f t="shared" ca="1" si="438"/>
        <v>SALE SIN PLAN DE PARTO</v>
      </c>
      <c r="DV82" s="226" t="str">
        <f t="shared" si="439"/>
        <v>SALIO PROGRAMA</v>
      </c>
      <c r="DW8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2" s="216" t="str">
        <f t="shared" ca="1" si="266"/>
        <v/>
      </c>
      <c r="DY82" s="212">
        <f>IF(R82="","",IF(R82&gt;0,MAX(Tabla1[[#This Row],[FECHA C2]:[FECHA C13]],Tabla1[[#This Row],[FECHA CONSULTA PRIMERA VEZ PROGRAMA CPN ]])))</f>
        <v>45062</v>
      </c>
      <c r="DZ82" s="216">
        <f t="shared" si="267"/>
        <v>27</v>
      </c>
      <c r="EA82" s="222">
        <f>IF(R82&gt;0,SUM(COUNTA(DF82:DQ82)+COUNTA(Tabla1[[#This Row],[FECHA CONSULTA PRIMERA VEZ PROGRAMA CPN ]])),"")</f>
        <v>3</v>
      </c>
      <c r="EB82" s="222" t="str">
        <f t="shared" si="268"/>
        <v>NO</v>
      </c>
      <c r="EC82" s="214">
        <f t="shared" si="269"/>
        <v>9</v>
      </c>
      <c r="ED82" s="227">
        <f t="shared" si="270"/>
        <v>0.33333333333333331</v>
      </c>
      <c r="EE82" s="22">
        <v>44943</v>
      </c>
      <c r="EF82" s="22">
        <v>44943</v>
      </c>
      <c r="EG82" s="22">
        <v>44943</v>
      </c>
      <c r="EH82" s="22">
        <v>44953</v>
      </c>
      <c r="EI82" s="22">
        <v>44943</v>
      </c>
      <c r="EJ82" s="22">
        <v>44953</v>
      </c>
      <c r="EK82" s="344">
        <v>44953</v>
      </c>
      <c r="EL82" s="21"/>
      <c r="EM82" s="21">
        <v>12.7</v>
      </c>
      <c r="EN82" s="22">
        <v>44989</v>
      </c>
      <c r="EO82" s="222">
        <f t="shared" si="271"/>
        <v>16.714285714285715</v>
      </c>
      <c r="EP82" s="214" t="str">
        <f t="shared" si="272"/>
        <v>NORMAL- SUMINISTRAR SULFATO FERROSO</v>
      </c>
      <c r="EQ82" s="216" t="str">
        <f t="shared" si="273"/>
        <v>II TRIM</v>
      </c>
      <c r="ER82" s="24"/>
      <c r="ES82" s="22"/>
      <c r="ET82" s="29" t="str">
        <f t="shared" ca="1" si="440"/>
        <v>SALE SIN TAMIZAJE HEMOGLOBINA SEM 28</v>
      </c>
      <c r="EU82" s="25" t="str">
        <f t="shared" si="275"/>
        <v/>
      </c>
      <c r="EV82" s="24" t="s">
        <v>1510</v>
      </c>
      <c r="EW82" s="24">
        <v>44989</v>
      </c>
      <c r="EX82" s="22"/>
      <c r="EY82" s="29">
        <f t="shared" si="248"/>
        <v>16.714285714285715</v>
      </c>
      <c r="EZ82" s="25" t="str">
        <f t="shared" si="249"/>
        <v>SIN RIESGO DE ISOINMUNIZACIÓN</v>
      </c>
      <c r="FA82" s="21">
        <v>75</v>
      </c>
      <c r="FB82" s="22">
        <v>44989</v>
      </c>
      <c r="FC82" s="29">
        <f t="shared" si="276"/>
        <v>16.714285714285715</v>
      </c>
      <c r="FD82" s="29"/>
      <c r="FE82" s="29"/>
      <c r="FF82" s="29"/>
      <c r="FG82" s="21" t="str">
        <f t="shared" ca="1" si="277"/>
        <v/>
      </c>
      <c r="FH82" s="31"/>
      <c r="FI82" s="29" t="str">
        <f t="shared" si="278"/>
        <v>TOMAR EXAMEN</v>
      </c>
      <c r="FJ82" s="22"/>
      <c r="FK82" s="22"/>
      <c r="FL82" s="29" t="str">
        <f t="shared" ca="1" si="279"/>
        <v>PIERDE TOMA DE TAMIZAJE</v>
      </c>
      <c r="FM82" s="22" t="s">
        <v>867</v>
      </c>
      <c r="FN82" s="32">
        <v>44989</v>
      </c>
      <c r="FO82" s="29">
        <f t="shared" ca="1" si="441"/>
        <v>16.714285714285715</v>
      </c>
      <c r="FP82" s="22"/>
      <c r="FQ82" s="32"/>
      <c r="FR82" s="29" t="str">
        <f t="shared" ca="1" si="442"/>
        <v>PIERDE TOMA DE TAMIZAJE</v>
      </c>
      <c r="FS82" s="22"/>
      <c r="FT82" s="32"/>
      <c r="FU82" s="29" t="str">
        <f>IF(AND(FJ82="",FM82="",FP82="",FS82=""),"",IF(OR(OR(Tabla1[[#This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2" s="28"/>
      <c r="FW82" s="22"/>
      <c r="FX82" s="29" t="str">
        <f t="shared" si="280"/>
        <v>TOMAR EXAMEN</v>
      </c>
      <c r="FY82" s="22">
        <v>44943</v>
      </c>
      <c r="FZ82" s="22">
        <v>44943</v>
      </c>
      <c r="GA82" s="29">
        <f t="shared" ca="1" si="250"/>
        <v>10.142857142857142</v>
      </c>
      <c r="GB82" s="22" t="s">
        <v>868</v>
      </c>
      <c r="GC82" s="22">
        <v>44989</v>
      </c>
      <c r="GD82" s="29">
        <f t="shared" ca="1" si="443"/>
        <v>16.714285714285715</v>
      </c>
      <c r="GE82" s="22"/>
      <c r="GF82" s="22"/>
      <c r="GG82" s="29" t="str">
        <f t="shared" ca="1" si="444"/>
        <v>PIERDE TOMA DE TAMIZAJE</v>
      </c>
      <c r="GH82" s="22"/>
      <c r="GI82" s="29"/>
      <c r="GJ82" s="22"/>
      <c r="GK82" s="22"/>
      <c r="GL82" s="22"/>
      <c r="GM82" s="22"/>
      <c r="GN82" s="28" t="s">
        <v>869</v>
      </c>
      <c r="GO82" s="22">
        <v>44989</v>
      </c>
      <c r="GP82" s="29">
        <f t="shared" si="283"/>
        <v>16.714285714285715</v>
      </c>
      <c r="GQ82" s="28"/>
      <c r="GR82" s="28"/>
      <c r="GS82" s="22" t="str">
        <f t="shared" si="284"/>
        <v/>
      </c>
      <c r="GT82" s="22"/>
      <c r="GU82" s="29" t="str">
        <f t="shared" si="285"/>
        <v>TOMAR EXAMEN</v>
      </c>
      <c r="GV82" s="21" t="str">
        <f t="shared" si="286"/>
        <v>POR DEFINIR</v>
      </c>
      <c r="GW82" s="28"/>
      <c r="GX82" s="30"/>
      <c r="GY82" s="21"/>
      <c r="GZ82" s="21"/>
      <c r="HA82" s="21"/>
      <c r="HB82" s="21"/>
      <c r="HC82" s="21"/>
      <c r="HD82" s="21"/>
      <c r="HE82" s="21"/>
      <c r="HF82" s="22"/>
      <c r="HG82" s="22" t="str">
        <f>IF(OR(O82&gt;0,R82&gt;0),CONCATENATE(IF(Tabla1[[#This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2" s="22" t="e">
        <f t="shared" si="287"/>
        <v>#REF!</v>
      </c>
      <c r="HI82" s="22" t="e">
        <f t="shared" ca="1" si="288"/>
        <v>#REF!</v>
      </c>
      <c r="HJ82" s="21"/>
      <c r="HK82" s="21" t="str">
        <f t="shared" si="289"/>
        <v>SIN ANTECEDENTES DE RIESGO</v>
      </c>
      <c r="HL82" s="24" t="str">
        <f t="shared" si="290"/>
        <v>APARENTEMENTE NORMAL</v>
      </c>
      <c r="HM82" s="21" t="str">
        <f t="shared" ca="1" si="291"/>
        <v/>
      </c>
      <c r="HN82" s="30" t="str">
        <f t="shared" si="445"/>
        <v>SALIO PROGRAMA</v>
      </c>
      <c r="HO82" s="21"/>
      <c r="HP82" s="21"/>
      <c r="HQ82" s="21">
        <v>44943</v>
      </c>
      <c r="HR82" s="21" t="str">
        <f>IF(R82="","",IF(Tabla1[[#This Row],[ALARMA FACTORES DE RIESGO COMPLICACIONES HIPERTENSIVAS3]]="SIN ANTECEDENTES DE RIESGO","No Aplica para suministro de ASA",IF(AND(Tabla1[[#This Row],[FECHA INICIO DE SUMINISTRO DE ASA]]&gt;0,RV82&lt;12),"Inicia ASA ANTES de Sem 12",IF(AND(RV82&gt;11,RV82&lt;17,OR(HK82="RIESGO ALTO DE COMPLICACIONES HIPERTENSIVAS VER MANEJO GUIA SUMINISTRO ASA Y CALCIO",HK82="RIESGO MODERADO (2 O MAS CRITERIOS) VER MANEJO GUIA SUMINISTRO ASA Y CALCIO")),"Inicio oportuno de ASA",IF(AND(RV82&gt;12,OR(HK82="RIESGO ALTO DE COMPLICACIONES HIPERTENSIVAS VER MANEJO GUIA SUMINISTRO ASA Y CALCIO",HK82="RIESGO MODERADO (2 O MAS CRITERIOS) VER MANEJO GUIA SUMINISTRO ASA Y CALCIO")),"Inicio no oportuno mayor a 16 semanas",IF(AND(BU82&lt;12,OR(HK82="RIESGO ALTO DE COMPLICACIONES HIPERTENSIVAS VER MANEJO GUIA SUMINISTRO ASA Y CALCIO",HK82="RIESGO MODERADO (2 O MAS CRITERIOS) VER MANEJO GUIA SUMINISTRO ASA Y CALCIO")),"Pendiente Inicio de ASA a la semana 12",IF(AND(BU82&gt;11,BU82&lt;17,OR(HK82="RIESGO ALTO DE COMPLICACIONES HIPERTENSIVAS VER MANEJO GUIA SUMINISTRO ASA Y CALCIO",HK82="RIESGO MODERADO (2 O MAS CRITERIOS) VER MANEJO GUIA SUMINISTRO ASA Y CALCIO")),"Iniciar de inmediato ASA",IF(AND(BU82&gt;16,OR(HK82="RIESGO ALTO DE COMPLICACIONES HIPERTENSIVAS VER MANEJO GUIA SUMINISTRO ASA Y CALCIO",HK82="RIESGO MODERADO (2 O MAS CRITERIOS) VER MANEJO GUIA SUMINISTRO ASA Y CALCIO")),"Pierde Oportunidad, Inicio tardío de ASA","XXXXX"))))))))</f>
        <v>No Aplica para suministro de ASA</v>
      </c>
      <c r="HS82" s="22">
        <v>44943</v>
      </c>
      <c r="HT82" s="22" t="s">
        <v>870</v>
      </c>
      <c r="HU82" s="22">
        <v>44943</v>
      </c>
      <c r="HV82" s="22" t="s">
        <v>870</v>
      </c>
      <c r="HW82" s="22">
        <v>44943</v>
      </c>
      <c r="HX82" s="22" t="s">
        <v>870</v>
      </c>
      <c r="HY82" s="22">
        <v>44943</v>
      </c>
      <c r="HZ82" s="28">
        <f t="shared" si="292"/>
        <v>10.142857142857142</v>
      </c>
      <c r="IA82" s="26" t="s">
        <v>864</v>
      </c>
      <c r="IB82" s="26"/>
      <c r="IC82" s="111"/>
      <c r="ID82" s="22"/>
      <c r="IE82" s="22" t="str">
        <f t="shared" ca="1" si="293"/>
        <v>SALE SIN VACUNA</v>
      </c>
      <c r="IF82" s="22"/>
      <c r="IG82" s="22">
        <f t="shared" si="294"/>
        <v>45152</v>
      </c>
      <c r="IH82" s="29">
        <f t="shared" ca="1" si="295"/>
        <v>-81</v>
      </c>
      <c r="II82" s="22" t="str">
        <f t="shared" ca="1" si="296"/>
        <v>POSIBLEMENTE NACIO</v>
      </c>
      <c r="IJ82" s="22"/>
      <c r="IK82" s="21" t="s">
        <v>1652</v>
      </c>
      <c r="IL82" s="21" t="s">
        <v>1639</v>
      </c>
      <c r="IM82" s="34"/>
      <c r="IN82" s="349">
        <v>45140</v>
      </c>
      <c r="IO82" s="21" t="s">
        <v>1186</v>
      </c>
      <c r="IP82" s="29">
        <f t="shared" si="435"/>
        <v>38.285714285714285</v>
      </c>
      <c r="IQ82" s="35" t="s">
        <v>1650</v>
      </c>
      <c r="IR82" s="21" t="s">
        <v>1651</v>
      </c>
      <c r="IS82" s="21" t="s">
        <v>1646</v>
      </c>
      <c r="IT82" s="21" t="s">
        <v>1642</v>
      </c>
      <c r="IU82" s="21"/>
      <c r="IV82" s="21"/>
      <c r="IW82" s="21"/>
      <c r="IX82" s="21"/>
      <c r="IY82" s="21"/>
      <c r="IZ82" s="21"/>
      <c r="JA82" s="21"/>
      <c r="JB82" s="30">
        <v>1</v>
      </c>
      <c r="JC82" s="21" t="s">
        <v>1643</v>
      </c>
      <c r="JD82" s="36">
        <v>2640</v>
      </c>
      <c r="JE82" s="21" t="str">
        <f t="shared" si="446"/>
        <v>PESO ADECUADO EDAD GESTACIONAL</v>
      </c>
      <c r="JF82" s="30"/>
      <c r="JG82" s="21"/>
      <c r="JH82" s="21"/>
      <c r="JI82" s="21" t="s">
        <v>854</v>
      </c>
      <c r="JJ82" s="30" t="s">
        <v>866</v>
      </c>
      <c r="JK82" s="22"/>
      <c r="JL82" s="22"/>
      <c r="JM82" s="21"/>
      <c r="JN82" s="36"/>
      <c r="JO82" s="21" t="str">
        <f t="shared" si="447"/>
        <v/>
      </c>
      <c r="JP82" s="22"/>
      <c r="JQ82" s="21"/>
      <c r="JR82" s="21"/>
      <c r="JS82" s="21"/>
      <c r="JT82" s="30"/>
      <c r="JU82" s="22"/>
      <c r="JV82" s="22"/>
      <c r="JW82" s="33"/>
      <c r="JX82" s="28" t="str">
        <f t="shared" si="448"/>
        <v>INASISTENTE</v>
      </c>
      <c r="JY82" s="33"/>
      <c r="JZ82" s="28" t="str">
        <f t="shared" si="449"/>
        <v>INASISTENTE</v>
      </c>
      <c r="KA82" s="21"/>
      <c r="KB82" s="21"/>
      <c r="KC82" s="21"/>
      <c r="KD82" s="37"/>
      <c r="KE82" s="28"/>
      <c r="KF82" s="28"/>
      <c r="KG82" s="28"/>
      <c r="KH82" s="39"/>
      <c r="KI82" s="39"/>
      <c r="KJ82" s="66"/>
      <c r="KK82" s="39"/>
      <c r="KL82" s="39"/>
      <c r="KM82" s="66"/>
      <c r="KN82" s="39"/>
      <c r="KO82" s="39"/>
      <c r="KP82" s="39"/>
      <c r="KQ82" s="39"/>
      <c r="KR82" s="39"/>
      <c r="KS82" s="39"/>
      <c r="KT82" s="39"/>
      <c r="KU82" s="38"/>
      <c r="KV82" s="38"/>
      <c r="KW82" s="38"/>
      <c r="KX82" s="38"/>
      <c r="KY82" s="38"/>
      <c r="KZ82" s="38"/>
      <c r="LA82" s="38"/>
      <c r="LB82" s="38"/>
      <c r="LC82" s="38"/>
      <c r="LD82" s="38"/>
      <c r="LE82" s="38"/>
      <c r="LF82" s="38"/>
      <c r="LG82" s="38"/>
      <c r="LH82" s="38"/>
      <c r="LI82" s="38"/>
      <c r="LJ82" s="38"/>
      <c r="LK82" s="38"/>
      <c r="LL82" s="38"/>
      <c r="LM82" s="38"/>
      <c r="LN82" s="38"/>
      <c r="LO82" s="38"/>
      <c r="LP82" s="38"/>
      <c r="LQ82" s="38"/>
      <c r="LR82" s="38"/>
      <c r="LS82" s="38"/>
      <c r="LT82" s="38"/>
      <c r="LU82" s="38"/>
      <c r="LV82" s="38"/>
      <c r="LW82" s="38"/>
      <c r="LX82" s="38"/>
      <c r="LY82" s="38"/>
      <c r="LZ82" s="38"/>
      <c r="MA82" s="38"/>
      <c r="MB82" s="38"/>
      <c r="MC82" s="38"/>
      <c r="MD82" s="38"/>
      <c r="ME82" s="38"/>
      <c r="MF82" s="38"/>
      <c r="MG82" s="38"/>
      <c r="MH82" s="43">
        <f t="shared" si="302"/>
        <v>0</v>
      </c>
      <c r="MI82" s="43" t="str">
        <f t="shared" si="303"/>
        <v/>
      </c>
      <c r="MJ82" s="43" t="str">
        <f t="shared" si="304"/>
        <v/>
      </c>
      <c r="MK82" s="43">
        <f t="shared" si="305"/>
        <v>0</v>
      </c>
      <c r="ML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2" s="43">
        <f t="shared" si="306"/>
        <v>10.142857142857142</v>
      </c>
      <c r="MN82" s="43">
        <f t="shared" si="307"/>
        <v>1</v>
      </c>
      <c r="MO82" s="43">
        <f t="shared" si="308"/>
        <v>2023</v>
      </c>
      <c r="MP82" s="43" t="str">
        <f t="shared" si="309"/>
        <v>I TRIMESTRE AÑO</v>
      </c>
      <c r="MQ82" s="43">
        <f t="shared" si="310"/>
        <v>24.274529128339903</v>
      </c>
      <c r="MR82" s="43">
        <f t="shared" si="311"/>
        <v>0</v>
      </c>
      <c r="MS82" s="43" t="str">
        <f t="shared" si="312"/>
        <v xml:space="preserve"> DE 20 A 24 AÑOS</v>
      </c>
      <c r="MT82" s="43">
        <f t="shared" si="313"/>
        <v>0</v>
      </c>
      <c r="MU82" s="43">
        <f t="shared" si="314"/>
        <v>1</v>
      </c>
      <c r="MV82" s="43">
        <f t="shared" si="315"/>
        <v>0</v>
      </c>
      <c r="MW82" s="43">
        <f t="shared" si="316"/>
        <v>0</v>
      </c>
      <c r="MX82" s="43" t="str">
        <f t="shared" si="317"/>
        <v/>
      </c>
      <c r="MY82" s="43" t="str">
        <f t="shared" ca="1" si="450"/>
        <v/>
      </c>
      <c r="MZ82" s="43" t="str">
        <f t="shared" si="318"/>
        <v/>
      </c>
      <c r="NA82" s="43" t="str">
        <f t="shared" si="319"/>
        <v/>
      </c>
      <c r="NB82" s="43" t="str">
        <f t="shared" si="320"/>
        <v/>
      </c>
      <c r="NC82" s="43" t="str">
        <f t="shared" si="321"/>
        <v/>
      </c>
      <c r="ND82" s="43">
        <f t="shared" ca="1" si="322"/>
        <v>1</v>
      </c>
      <c r="NE82" s="43">
        <f>IF(OR(O82&gt;0,R82&gt;0),SUM(COUNTIF(Tabla1[[#This Row],[AÑOS AL INICIO5 CPN]],"&gt;=40"),COUNTIF(AS82,"0"),COUNTIF(AR82,"SI"),COUNTIF(CC82,"SI"),COUNTIF(BQ82,"&gt;119"),COUNTIF(CI82,"&gt;=35")),"")</f>
        <v>1</v>
      </c>
      <c r="NF82" s="43" t="str">
        <f t="shared" si="323"/>
        <v/>
      </c>
      <c r="NG82" s="43">
        <f t="shared" si="324"/>
        <v>0</v>
      </c>
      <c r="NH82" s="43">
        <f t="shared" si="325"/>
        <v>98.7</v>
      </c>
      <c r="NI8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CPN",P82="NO"),"Z",IF(AND(Tabla1[[#This Row],[CITA PROXIMO CONTROL]]="CITA MANUAL",Tabla1[[#This Row],[GESTANTES ACTUALES]]="ACTIVA INGRESO A CPN"),"W",IF(AND(Tabla1[[#This Row],[GESTANTES ACTUALES]]="SALIO PROGRAMA",IN82=""),"S",IF(AND(Tabla1[[#This Row],[CITA PROXIMO CONTROL]]&gt;0,IN82=""),(Tabla1[[#This Row],[CITA PROXIMO CONTROL]]-TODAY()),"SD"))))))))</f>
        <v>SD</v>
      </c>
      <c r="NJ82" s="43">
        <f>MONTH(Tabla1[[#This Row],[FECHA DE SALIDA  DEL PROGRAMA]])</f>
        <v>8</v>
      </c>
      <c r="NK82" s="43">
        <f>YEAR(Tabla1[[#This Row],[FECHA DE SALIDA  DEL PROGRAMA]])</f>
        <v>2023</v>
      </c>
      <c r="NL82" s="43">
        <f t="shared" si="326"/>
        <v>10</v>
      </c>
      <c r="NM82" s="43" t="str">
        <f t="shared" si="251"/>
        <v>NO</v>
      </c>
      <c r="NN82" s="43" t="str">
        <f ca="1">IF(AND(O82&gt;0,R82=""),"NO CPN",IF(AND(O82="",R82=""),"",IF(AND(R82&gt;0,Tabla1[[#This Row],[SEMANAS DE GESTACION ACTUALIZADAS]]&lt;=12),"NO APLICA",IF(AND(FH82&lt;&gt;"",FN82&lt;&gt;""),"SI","NO"))))</f>
        <v>NO</v>
      </c>
      <c r="NO82" s="43" t="str">
        <f ca="1">IF(AND(O82&gt;0,R82=""),"NO CPN",IF(AND(O82="",R82=""),"",IF(AND(R82&gt;0,Tabla1[[#This Row],[SEMANAS DE GESTACION ACTUALIZADAS]]&lt;=27),"NO APLICA",IF(AND(ES82&lt;&gt;"",FQ82&lt;&gt;"",GF82&lt;&gt;""),"SI","NO"))))</f>
        <v>NO</v>
      </c>
      <c r="NP82" s="204" t="str">
        <f t="shared" si="327"/>
        <v>I TRIM</v>
      </c>
      <c r="NQ82" s="21" t="str">
        <f t="shared" si="436"/>
        <v/>
      </c>
      <c r="NR82" s="21">
        <f t="shared" si="451"/>
        <v>3</v>
      </c>
      <c r="NS82" s="205">
        <f t="shared" ca="1" si="328"/>
        <v>1</v>
      </c>
      <c r="NT82" s="21">
        <f t="shared" ca="1" si="329"/>
        <v>2</v>
      </c>
      <c r="NU82" s="21" t="str">
        <f t="shared" ca="1" si="330"/>
        <v>INCOMPLETO</v>
      </c>
      <c r="NV82" s="21" t="str">
        <f t="shared" ca="1" si="331"/>
        <v>INCOMPLETO</v>
      </c>
      <c r="NW82" s="206" t="str">
        <f>IF(AND(O82="",R82=""),"",IF(OR(AND(Tabla1[[#This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2" s="207" t="str">
        <f t="shared" ca="1" si="332"/>
        <v>SIN VACUNAR</v>
      </c>
      <c r="NY82" s="43">
        <f>ROW(Tabla1[[#This Row],['# DE TAMIZAJES SIFILIS TOMADOS ]])</f>
        <v>82</v>
      </c>
      <c r="NZ82" s="43">
        <f t="shared" si="333"/>
        <v>10</v>
      </c>
      <c r="OA82" s="43" t="str">
        <f t="shared" si="334"/>
        <v/>
      </c>
      <c r="OB82" s="43" t="str">
        <f t="shared" si="335"/>
        <v>SOBREPESO</v>
      </c>
      <c r="OC82" s="43" t="str">
        <f t="shared" si="336"/>
        <v/>
      </c>
      <c r="OD82" s="43" t="str">
        <f t="shared" si="337"/>
        <v/>
      </c>
      <c r="OE82" s="43" t="str">
        <f t="shared" si="338"/>
        <v/>
      </c>
      <c r="OF82" s="43" t="str">
        <f t="shared" si="339"/>
        <v/>
      </c>
      <c r="OG82" s="43" t="str">
        <f t="shared" si="340"/>
        <v/>
      </c>
      <c r="OH82" s="43" t="str">
        <f t="shared" si="341"/>
        <v/>
      </c>
      <c r="OI82" s="43" t="str">
        <f t="shared" si="342"/>
        <v/>
      </c>
      <c r="OJ82" s="43" t="str">
        <f t="shared" si="343"/>
        <v/>
      </c>
      <c r="OK82" s="43" t="str">
        <f t="shared" si="344"/>
        <v/>
      </c>
      <c r="OL82" s="43" t="str">
        <f t="shared" si="345"/>
        <v/>
      </c>
      <c r="OM82" s="43" t="str">
        <f t="shared" si="346"/>
        <v/>
      </c>
      <c r="ON82" s="43" t="str">
        <f t="shared" si="347"/>
        <v/>
      </c>
      <c r="OO82" s="43" t="str">
        <f t="shared" si="348"/>
        <v/>
      </c>
      <c r="OP82" s="43" t="str">
        <f t="shared" si="349"/>
        <v/>
      </c>
      <c r="OQ82" s="43" t="str">
        <f t="shared" si="350"/>
        <v/>
      </c>
      <c r="OR82" s="43" t="str">
        <f t="shared" si="351"/>
        <v/>
      </c>
      <c r="OS82" s="43" t="str">
        <f t="shared" si="352"/>
        <v/>
      </c>
      <c r="OT82" s="43" t="str">
        <f t="shared" si="353"/>
        <v/>
      </c>
      <c r="OU82" s="43" t="str">
        <f t="shared" si="354"/>
        <v/>
      </c>
      <c r="OV82" s="110" t="str">
        <f t="shared" si="355"/>
        <v/>
      </c>
      <c r="OW82" s="43" t="str">
        <f t="shared" si="356"/>
        <v/>
      </c>
      <c r="OX82" s="43" t="str">
        <f t="shared" si="357"/>
        <v/>
      </c>
      <c r="OY82" s="43" t="str">
        <f t="shared" si="358"/>
        <v/>
      </c>
      <c r="OZ82" s="43" t="str">
        <f t="shared" si="359"/>
        <v/>
      </c>
      <c r="PA82" s="43" t="str">
        <f t="shared" si="360"/>
        <v/>
      </c>
      <c r="PB82" s="43" t="str">
        <f t="shared" si="361"/>
        <v/>
      </c>
      <c r="PC82" s="43" t="str">
        <f t="shared" si="362"/>
        <v/>
      </c>
      <c r="PD82" s="43" t="str">
        <f t="shared" si="363"/>
        <v/>
      </c>
      <c r="PE82" s="43" t="str">
        <f t="shared" si="364"/>
        <v/>
      </c>
      <c r="PF82" s="43" t="str">
        <f t="shared" si="365"/>
        <v/>
      </c>
      <c r="PG82" s="43" t="str">
        <f t="shared" si="366"/>
        <v/>
      </c>
      <c r="PH82" s="43" t="str">
        <f t="shared" si="367"/>
        <v/>
      </c>
      <c r="PI82" s="43">
        <f t="shared" si="368"/>
        <v>27</v>
      </c>
      <c r="PJ82" s="43" t="str">
        <f t="shared" si="369"/>
        <v/>
      </c>
      <c r="PK82" s="43" t="str">
        <f t="shared" si="370"/>
        <v/>
      </c>
      <c r="PL82" s="43" t="str">
        <f t="shared" si="371"/>
        <v/>
      </c>
      <c r="PM82" s="43" t="str">
        <f t="shared" si="372"/>
        <v/>
      </c>
      <c r="PN82" s="43" t="str">
        <f t="shared" si="373"/>
        <v/>
      </c>
      <c r="PO82" s="43" t="str">
        <f t="shared" si="374"/>
        <v/>
      </c>
      <c r="PP82" s="43" t="str">
        <f t="shared" si="375"/>
        <v/>
      </c>
      <c r="PQ82" s="43" t="str">
        <f t="shared" si="376"/>
        <v/>
      </c>
      <c r="PR82" s="43" t="str">
        <f t="shared" si="377"/>
        <v/>
      </c>
      <c r="PS82" s="43" t="str">
        <f t="shared" si="378"/>
        <v/>
      </c>
      <c r="PT82" s="43" t="str">
        <f t="shared" si="379"/>
        <v/>
      </c>
      <c r="PU82" s="43" t="str">
        <f t="shared" si="380"/>
        <v/>
      </c>
      <c r="PV82" s="43" t="str">
        <f t="shared" si="381"/>
        <v/>
      </c>
      <c r="PW82" s="43" t="str">
        <f t="shared" si="382"/>
        <v/>
      </c>
      <c r="PX82" s="43" t="str">
        <f t="shared" si="383"/>
        <v/>
      </c>
      <c r="PY82" s="43" t="str">
        <f t="shared" si="384"/>
        <v/>
      </c>
      <c r="PZ82" s="43" t="str">
        <f t="shared" si="385"/>
        <v/>
      </c>
      <c r="QA82" s="43" t="str">
        <f t="shared" si="386"/>
        <v/>
      </c>
      <c r="QB82" s="43" t="str">
        <f t="shared" si="387"/>
        <v>OBESIDAD</v>
      </c>
      <c r="QC82" s="43" t="str">
        <f t="shared" si="388"/>
        <v/>
      </c>
      <c r="QD82" s="43" t="str">
        <f t="shared" si="389"/>
        <v/>
      </c>
      <c r="QE82" s="43" t="str">
        <f t="shared" si="390"/>
        <v/>
      </c>
      <c r="QF82" s="43" t="str">
        <f t="shared" si="391"/>
        <v/>
      </c>
      <c r="QG82" s="43" t="str">
        <f t="shared" si="392"/>
        <v/>
      </c>
      <c r="QH82" s="43" t="str">
        <f t="shared" si="393"/>
        <v/>
      </c>
      <c r="QI82" s="43" t="str">
        <f t="shared" si="394"/>
        <v/>
      </c>
      <c r="QJ82" s="43" t="str">
        <f t="shared" si="395"/>
        <v/>
      </c>
      <c r="QK82" s="43" t="str">
        <f t="shared" si="396"/>
        <v/>
      </c>
      <c r="QL82" s="43" t="str">
        <f t="shared" si="397"/>
        <v/>
      </c>
      <c r="QM82" s="43" t="str">
        <f t="shared" si="398"/>
        <v/>
      </c>
      <c r="QN82" s="43" t="str">
        <f t="shared" si="399"/>
        <v/>
      </c>
      <c r="QO82" s="43" t="str">
        <f t="shared" si="400"/>
        <v/>
      </c>
      <c r="QP82" s="43" t="str">
        <f t="shared" si="401"/>
        <v/>
      </c>
      <c r="QQ82" s="43" t="str">
        <f t="shared" si="402"/>
        <v/>
      </c>
      <c r="QR82" s="43">
        <f t="shared" si="432"/>
        <v>27</v>
      </c>
      <c r="QS82" s="43"/>
      <c r="QT82" s="21" t="str">
        <f t="shared" si="403"/>
        <v/>
      </c>
      <c r="QU82" s="21" t="str">
        <f t="shared" si="404"/>
        <v/>
      </c>
      <c r="QV82" s="21" t="str">
        <f t="shared" si="405"/>
        <v/>
      </c>
      <c r="QW82" s="21" t="str">
        <f t="shared" si="406"/>
        <v/>
      </c>
      <c r="QX82" s="21" t="str">
        <f t="shared" si="407"/>
        <v/>
      </c>
      <c r="QY82" s="21" t="str">
        <f t="shared" si="408"/>
        <v/>
      </c>
      <c r="QZ82" s="21" t="str">
        <f t="shared" si="409"/>
        <v/>
      </c>
      <c r="RA82" s="21" t="str">
        <f t="shared" si="410"/>
        <v/>
      </c>
      <c r="RB82" s="21" t="str">
        <f t="shared" si="411"/>
        <v/>
      </c>
      <c r="RC82" s="21" t="str">
        <f t="shared" si="412"/>
        <v/>
      </c>
      <c r="RD82" s="21" t="str">
        <f t="shared" si="413"/>
        <v/>
      </c>
      <c r="RE82" s="21" t="str">
        <f t="shared" si="414"/>
        <v/>
      </c>
      <c r="RF82" s="21" t="str">
        <f t="shared" si="415"/>
        <v/>
      </c>
      <c r="RG82" s="21" t="str">
        <f t="shared" si="416"/>
        <v/>
      </c>
      <c r="RH82" s="21" t="str">
        <f t="shared" si="417"/>
        <v>ALTO PARA EDAD GESTACIONAL</v>
      </c>
      <c r="RI82" s="21" t="str">
        <f t="shared" si="418"/>
        <v/>
      </c>
      <c r="RJ82" s="21" t="str">
        <f t="shared" si="419"/>
        <v/>
      </c>
      <c r="RK82" s="21" t="str">
        <f t="shared" si="420"/>
        <v/>
      </c>
      <c r="RL82" s="21" t="str">
        <f t="shared" si="421"/>
        <v/>
      </c>
      <c r="RM82" s="21" t="str">
        <f t="shared" si="422"/>
        <v/>
      </c>
      <c r="RN82" s="21" t="str">
        <f t="shared" si="423"/>
        <v/>
      </c>
      <c r="RO82" s="21" t="str">
        <f t="shared" si="424"/>
        <v/>
      </c>
      <c r="RP82" s="21" t="str">
        <f t="shared" si="425"/>
        <v/>
      </c>
      <c r="RQ82" s="21" t="str">
        <f t="shared" si="426"/>
        <v/>
      </c>
      <c r="RR82" s="21" t="str">
        <f t="shared" si="427"/>
        <v/>
      </c>
      <c r="RS82" s="21" t="str">
        <f t="shared" si="428"/>
        <v/>
      </c>
      <c r="RT82" s="21" t="str">
        <f t="shared" si="429"/>
        <v/>
      </c>
      <c r="RU82" s="21" t="str">
        <f t="shared" si="430"/>
        <v/>
      </c>
      <c r="RV82" s="21">
        <f t="shared" si="431"/>
        <v>10.142857142857142</v>
      </c>
      <c r="RW82" s="284">
        <f>IF(OR(Tabla1[[#This Row],[FUM FORMULA CONFIABLE]]="",Tabla1[[#This Row],[FUM FORMULA CONFIABLE]]="SD"),"",IF(Tabla1[[#This Row],[FUM FORMULA CONFIABLE]]="CORREGIDA",Tabla1[[#This Row],[FUM X ECO 1]],Tabla1[[#This Row],[FUM x AMENORREA]]))</f>
        <v>44872</v>
      </c>
      <c r="RX82" s="21">
        <f>IF(AND(Tabla1[[#This Row],[FUM X ECO 1]]="",Tabla1[[#This Row],[FUM x AMENORREA]]=""),"",IF(AND(Tabla1[[#This Row],[FUM X ECO 1]]="",Tabla1[[#This Row],[FUM x AMENORREA]]&lt;&gt;""),"X",SUM(Tabla1[[#This Row],[FUM X ECO 1]]-Tabla1[[#This Row],[FUM x AMENORREA]])))</f>
        <v>-5.6999999999970896</v>
      </c>
      <c r="RY82" s="21">
        <f t="shared" si="433"/>
        <v>0</v>
      </c>
    </row>
    <row r="83" spans="1:493" ht="45" customHeight="1" x14ac:dyDescent="0.25">
      <c r="A83" s="109"/>
      <c r="B83" s="43"/>
      <c r="C83" s="43" t="s">
        <v>845</v>
      </c>
      <c r="D83" s="124"/>
      <c r="E83" s="43" t="s">
        <v>1249</v>
      </c>
      <c r="F83" s="43" t="s">
        <v>883</v>
      </c>
      <c r="G83" s="43" t="s">
        <v>949</v>
      </c>
      <c r="H83" s="43" t="s">
        <v>1250</v>
      </c>
      <c r="I83" s="109" t="s">
        <v>851</v>
      </c>
      <c r="J83" s="110">
        <v>1006956188</v>
      </c>
      <c r="K83" s="43" t="s">
        <v>852</v>
      </c>
      <c r="L83" s="175" t="s">
        <v>853</v>
      </c>
      <c r="M83" s="22">
        <v>36663</v>
      </c>
      <c r="N83" s="213">
        <f t="shared" ca="1" si="252"/>
        <v>23.479452054794521</v>
      </c>
      <c r="O83" s="22">
        <v>44958</v>
      </c>
      <c r="P83" s="214" t="str">
        <f t="shared" si="437"/>
        <v>SI</v>
      </c>
      <c r="Q83" s="26" t="s">
        <v>855</v>
      </c>
      <c r="R83" s="22">
        <v>44958</v>
      </c>
      <c r="S83" s="21" t="s">
        <v>856</v>
      </c>
      <c r="T83" s="24" t="s">
        <v>690</v>
      </c>
      <c r="U83" s="21" t="s">
        <v>857</v>
      </c>
      <c r="V83" s="21" t="s">
        <v>858</v>
      </c>
      <c r="W83" s="21" t="s">
        <v>999</v>
      </c>
      <c r="X83" s="21" t="s">
        <v>920</v>
      </c>
      <c r="Y83" s="21" t="s">
        <v>859</v>
      </c>
      <c r="Z83" s="21" t="s">
        <v>894</v>
      </c>
      <c r="AA83" s="21" t="s">
        <v>860</v>
      </c>
      <c r="AB83" s="27" t="s">
        <v>861</v>
      </c>
      <c r="AC83" s="26" t="s">
        <v>877</v>
      </c>
      <c r="AD83" s="38" t="s">
        <v>1546</v>
      </c>
      <c r="AE83" s="26" t="s">
        <v>854</v>
      </c>
      <c r="AF83" s="26" t="s">
        <v>854</v>
      </c>
      <c r="AG83" s="23" t="s">
        <v>864</v>
      </c>
      <c r="AH83" s="23" t="s">
        <v>864</v>
      </c>
      <c r="AI83" s="24" t="s">
        <v>863</v>
      </c>
      <c r="AJ83" s="23" t="s">
        <v>864</v>
      </c>
      <c r="AK83" s="220" t="str">
        <f>IF(AND(AD83="",AE83="",AF83="",AG83="",AH83="",AI83="",AJ83=""),"",IF(OR(Tabla1[[#This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EVALUACIÓN",IF(AND(O83="",R83=""),"",IF(AND(OR(O83&gt;0,R83&gt;0),NG83&gt;=0,NG83&lt;2),"SIN RIESGO",IF(AND(OR(O83&gt;0,R83&gt;0),NG83&gt;=2),"CON RIESGO","ASD")))))</f>
        <v>SIN RIESGO</v>
      </c>
      <c r="AL83" s="23" t="s">
        <v>864</v>
      </c>
      <c r="AM83" s="26" t="s">
        <v>864</v>
      </c>
      <c r="AN83" s="26" t="s">
        <v>864</v>
      </c>
      <c r="AO83" s="26" t="s">
        <v>864</v>
      </c>
      <c r="AP83" s="26" t="s">
        <v>864</v>
      </c>
      <c r="AQ83" s="26" t="s">
        <v>864</v>
      </c>
      <c r="AR83" s="26" t="s">
        <v>864</v>
      </c>
      <c r="AS83" s="21">
        <v>3</v>
      </c>
      <c r="AT83" s="21">
        <v>3</v>
      </c>
      <c r="AU83" s="21">
        <v>0</v>
      </c>
      <c r="AV83" s="26" t="s">
        <v>864</v>
      </c>
      <c r="AW83" s="21">
        <v>0</v>
      </c>
      <c r="AX83" s="26" t="s">
        <v>864</v>
      </c>
      <c r="AY83" s="26" t="s">
        <v>864</v>
      </c>
      <c r="AZ83" s="26" t="s">
        <v>864</v>
      </c>
      <c r="BA83" s="26" t="s">
        <v>864</v>
      </c>
      <c r="BB83" s="26" t="s">
        <v>864</v>
      </c>
      <c r="BC83" s="26" t="s">
        <v>864</v>
      </c>
      <c r="BD83" s="26" t="s">
        <v>864</v>
      </c>
      <c r="BE83" s="26" t="s">
        <v>864</v>
      </c>
      <c r="BF83" s="26" t="s">
        <v>864</v>
      </c>
      <c r="BG83" s="26" t="s">
        <v>864</v>
      </c>
      <c r="BH83" s="26" t="s">
        <v>864</v>
      </c>
      <c r="BI83" s="26" t="s">
        <v>864</v>
      </c>
      <c r="BJ83" s="26" t="s">
        <v>864</v>
      </c>
      <c r="BK83" s="26" t="s">
        <v>864</v>
      </c>
      <c r="BL83" s="26" t="s">
        <v>864</v>
      </c>
      <c r="BM83" s="26" t="s">
        <v>864</v>
      </c>
      <c r="BN83" s="22">
        <v>44417</v>
      </c>
      <c r="BO83" s="22">
        <v>44861</v>
      </c>
      <c r="BP83" s="21" t="s">
        <v>854</v>
      </c>
      <c r="BQ83" s="222">
        <f t="shared" si="254"/>
        <v>14.8</v>
      </c>
      <c r="BR83" s="223">
        <f t="shared" si="255"/>
        <v>44861.3</v>
      </c>
      <c r="BS83" s="224">
        <f t="shared" si="256"/>
        <v>13.857142857142858</v>
      </c>
      <c r="BT83" s="216" t="str">
        <f t="shared" si="257"/>
        <v>II TRIM</v>
      </c>
      <c r="BU83" s="214" t="str">
        <f t="shared" ca="1" si="258"/>
        <v/>
      </c>
      <c r="BV83" s="25" t="s">
        <v>1525</v>
      </c>
      <c r="BW83" s="22">
        <v>44960</v>
      </c>
      <c r="BX83" s="28">
        <v>14.1</v>
      </c>
      <c r="BY83" s="28"/>
      <c r="BZ83" s="22"/>
      <c r="CA83" s="21"/>
      <c r="CB83" s="26" t="s">
        <v>864</v>
      </c>
      <c r="CC83" s="26" t="s">
        <v>864</v>
      </c>
      <c r="CD83" s="26"/>
      <c r="CE83" s="26" t="s">
        <v>864</v>
      </c>
      <c r="CF83" s="22" t="s">
        <v>1517</v>
      </c>
      <c r="CG83" s="21">
        <v>1.48</v>
      </c>
      <c r="CH83" s="21">
        <v>65</v>
      </c>
      <c r="CI83" s="214">
        <f t="shared" si="259"/>
        <v>29.674945215485756</v>
      </c>
      <c r="CJ83" s="225" t="e">
        <f>IF(AND(CI83&lt;10,CH83="SD"),"SIN DATO PESO PREGESTACION O I TRIM",IF(AND(OR(R83&gt;0,O83&gt;0),CI83="X"),"INGRESAR DATO DE PESO",IF(CI83="SD","INGRESAR DATO DE TALLA Y PESO",IF(AND(OR(Tabla1[[#This Row],[MOMENTO EN QUE SE REALIZA EL PESO AL INGRESO A CPN]]="PREGESTACIÓN",NZ83="Menor"),CI83&lt;18.5),"BAJO PESO",IF(AND(OR(Tabla1[[#This Row],[MOMENTO EN QUE SE REALIZA EL PESO AL INGRESO A CPN]]="PREGESTACIÓN",NZ83="Menor"),CI83&lt;25),"NORMAL",IF(AND(OR(Tabla1[[#This Row],[MOMENTO EN QUE SE REALIZA EL PESO AL INGRESO A CPN]]="PREGESTACIÓN",NZ83="Menor"),CI83&lt;30),"SOBREPESO",IF(AND(OR(Tabla1[[#This Row],[MOMENTO EN QUE SE REALIZA EL PESO AL INGRESO A CPN]]="PREGESTACIÓN",NZ83="Menor"),CI83&gt;=30,CI83&lt;50),"OBESIDAD",IF(AND(BS83&gt;0,Tabla1[[#This Row],[MOMENTO EN QUE SE REALIZA EL PESO AL INGRESO A CPN]]="GESTACIÓN"),HLOOKUP(NZ83,$OA$2:PH83,NY83),""))))))))</f>
        <v>#REF!</v>
      </c>
      <c r="CK83" s="212">
        <f t="shared" si="260"/>
        <v>45138</v>
      </c>
      <c r="CL83" s="21">
        <v>79</v>
      </c>
      <c r="CM83" s="214">
        <f t="shared" si="261"/>
        <v>36.066471877282687</v>
      </c>
      <c r="CN83" s="216">
        <f t="shared" si="262"/>
        <v>39</v>
      </c>
      <c r="CO83" s="216" t="e">
        <f>IF(PI83="","",IF(PI83&gt;0,HLOOKUP(PI83,$PJ$2:QQ83,NY83),""))</f>
        <v>#REF!</v>
      </c>
      <c r="CP83" s="21">
        <v>36</v>
      </c>
      <c r="CQ83" s="216" t="e">
        <f>IF(QR83="Menor","NO APLICA-MENOR 13 SEM",IF(AND(CC83="SI",CN83&gt;23),"NO APLICA- GEMELAR",IF(QR83="","",IF(QR83&gt;0,HLOOKUP(QR83,$QS$2:RU83,NY83),""))))</f>
        <v>#REF!</v>
      </c>
      <c r="CR83" s="21">
        <v>100</v>
      </c>
      <c r="CS83" s="21">
        <v>60</v>
      </c>
      <c r="CT83" s="217" t="str">
        <f>IF(R83="","",IF(AND(BS83&gt;1,BS83&lt;12,Tabla1[[#This Row],[T.A. SISTOLICA - ANTES DE SEMANA 12]]="",Tabla1[[#This Row],[T.A. DIASTOLICA - ANTES DE SEMANA 12]]=""),"REGISTRE DATO TA ANTES SEMANA 12",IF(AND(BS83&gt;11,BS83&lt;43,Tabla1[[#This Row],[T.A. SISTOLICA - ANTES DE SEMANA 12]]="",Tabla1[[#This Row],[T.A. DIASTOLICA - ANTES DE SEMANA 12]]=""),"NO APLICA REGISTRO TA-INGRESO TARDIO",IF(AND(OR(O83&gt;0,R83&gt;0),OR(CR83&gt;=140,CS83&gt;=90)),"DEFINIR ESTADIO HTA",IF(AND(OR(O83&gt;0,R83&gt;0),AND(CR83&gt;120,CR83&lt;=139)),"PRE HTA SEGUIMIENTO",IF(AND(OR(O83&gt;0,R83&gt;0),AND(CS83&gt;80,CS83&lt;=89)),"PRE HTA SEGUIMIENTO",IF(AND(OR(O83&gt;0,R83&gt;0),AND(CR83&gt;=80,CR83&lt;=120)),"APARENTEMENTE NORMAL",IF(AND(OR(O83&gt;0,R83&gt;0),AND(CS83&gt;=50,CS83&lt;=80)),"APARENTEMENTE NORMAL",IF(AND(OR(O83&gt;0,R83&gt;0),AND(CR83&gt;1,CR83&lt;=70),AND(CS83&gt;1,CS83&lt;=40)),"HIPOTENSIÓN","")))))))))</f>
        <v>APARENTEMENTE NORMAL</v>
      </c>
      <c r="CU83" s="21">
        <v>90</v>
      </c>
      <c r="CV83" s="21">
        <v>60</v>
      </c>
      <c r="CW83" s="217" t="str">
        <f ca="1">IF(R83="","",IF(AND(CN83&gt;19,CN83&lt;27,Tabla1[[#This Row],[T.A. SISTOLICA (Entre semana 20 y 26)]]="",Tabla1[[#This Row],[T.A. DIATOLICA (Entre semana 20 y 26)]]=""),"ACUDE A CONTROL SEM 20 A 26 REGISTRE TA AHORA",IF(AND(BS83&gt;1,BS83&lt;27,BU83&gt;19,Tabla1[[#This Row],[T.A. SISTOLICA (Entre semana 20 y 26)]]="",Tabla1[[#This Row],[T.A. DIATOLICA (Entre semana 20 y 26)]]=""),"COMPLETE REGISTRO TA CONTROL SEM 20 A26 ",IF(AND(BS83&gt;26,BS83&lt;43,Tabla1[[#This Row],[T.A. SISTOLICA (Entre semana 20 y 26)]]="",Tabla1[[#This Row],[T.A. DIATOLICA (Entre semana 20 y 26)]]=""),"NO APLICA REGISTRO TA-INGRESO TARDIO",IF(AND(OR(O83&gt;0,R83&gt;0),OR(CU83&gt;=140,CV83&gt;=90)),"ALTO RIESGO PREECLAMPSIA,DEFINIR ESTADIO HTA",IF(AND(OR(O83&gt;0,R83&gt;0),AND(CU83&gt;120,CU83&lt;=139)),"PRE HTA SEGUIMIENTO,RIESGO HIPERTENSION INDUCIDA POR EL EMBARAZO",IF(AND(OR(O83&gt;0,R83&gt;0),AND(CV83&gt;80,CV83&lt;=89)),"PRE HTA SEGUIMIENTO, RIESGO HIPERTENSION INDUCIDA POR EL EMBARAZO",IF(AND(OR(O83&lt;&gt;"",R83&lt;&gt;""),CS83&lt;&gt;"",CV83&lt;&gt;"",CS83&lt;=CV83),"VIGILAR CIFRAS PRESION ARTERIAL",IF(AND(OR(O83&gt;0,R83&gt;0),AND(CU83&gt;120,CU83&lt;=139)),"PRE HTA SEGUIMIENTO",IF(AND(OR(O83&gt;0,R83&gt;0),AND(CU83&gt;1,CU83&lt;=70),AND(CV83&gt;1,CV83&lt;=40)),"HIPOTENSIÓN",IF(AND(OR(O83&lt;&gt;"",R83&lt;&gt;""),CS83&lt;&gt;"",CV83&lt;&gt;"",CS83&gt;CV83),"APARENTEMENTE NORMAL",IF(AND(OR(O83&gt;0,R83&gt;0),AND(CU83&gt;=80,CU83&lt;=120)),"APARENTEMENTE NORMAL",IF(AND(OR(O83&gt;0,R83&gt;0),AND(CV83&gt;=50,CV83&lt;=80)),"APARENTEMENTE NORMAL","")))))))))))))</f>
        <v>VIGILAR CIFRAS PRESION ARTERIAL</v>
      </c>
      <c r="CX83" s="21">
        <v>90</v>
      </c>
      <c r="CY83" s="21">
        <v>70</v>
      </c>
      <c r="CZ83" s="216" t="str">
        <f t="shared" si="263"/>
        <v>VIGILAR CIFRAS PRESION ARTERIAL</v>
      </c>
      <c r="DA83" s="21">
        <v>100</v>
      </c>
      <c r="DB83" s="21">
        <v>60</v>
      </c>
      <c r="DC83" s="217" t="str">
        <f t="shared" si="264"/>
        <v>VIGILAR CIFRAS PRESION ARTERIAL</v>
      </c>
      <c r="DD83" s="22">
        <v>44958</v>
      </c>
      <c r="DE83" s="22">
        <v>44958</v>
      </c>
      <c r="DF83" s="22">
        <v>45029</v>
      </c>
      <c r="DG83" s="22">
        <v>45059</v>
      </c>
      <c r="DH83" s="22">
        <v>45093</v>
      </c>
      <c r="DI83" s="22">
        <v>45138</v>
      </c>
      <c r="DJ83" s="22"/>
      <c r="DK83" s="22"/>
      <c r="DL83" s="22"/>
      <c r="DM83" s="22"/>
      <c r="DN83" s="22"/>
      <c r="DO83" s="22"/>
      <c r="DP83" s="22"/>
      <c r="DQ83" s="22"/>
      <c r="DR83" s="28">
        <v>0</v>
      </c>
      <c r="DS83" s="22"/>
      <c r="DT83" s="22"/>
      <c r="DU83" s="216" t="str">
        <f t="shared" ca="1" si="438"/>
        <v>SALE SIN PLAN DE PARTO</v>
      </c>
      <c r="DV83" s="226" t="str">
        <f t="shared" si="439"/>
        <v>SALIO PROGRAMA</v>
      </c>
      <c r="DW8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3" s="216" t="str">
        <f t="shared" ca="1" si="266"/>
        <v/>
      </c>
      <c r="DY83" s="212">
        <f>IF(R83="","",IF(R83&gt;0,MAX(Tabla1[[#This Row],[FECHA C2]:[FECHA C13]],Tabla1[[#This Row],[FECHA CONSULTA PRIMERA VEZ PROGRAMA CPN ]])))</f>
        <v>45138</v>
      </c>
      <c r="DZ83" s="216">
        <f t="shared" si="267"/>
        <v>39</v>
      </c>
      <c r="EA83" s="222">
        <f>IF(R83&gt;0,SUM(COUNTA(DF83:DQ83)+COUNTA(Tabla1[[#This Row],[FECHA CONSULTA PRIMERA VEZ PROGRAMA CPN ]])),"")</f>
        <v>5</v>
      </c>
      <c r="EB83" s="222" t="str">
        <f t="shared" si="268"/>
        <v>SI</v>
      </c>
      <c r="EC83" s="214">
        <f t="shared" si="269"/>
        <v>8</v>
      </c>
      <c r="ED83" s="227">
        <f t="shared" si="270"/>
        <v>0.625</v>
      </c>
      <c r="EE83" s="22">
        <v>44958</v>
      </c>
      <c r="EF83" s="22">
        <v>44960</v>
      </c>
      <c r="EG83" s="22">
        <v>44958</v>
      </c>
      <c r="EH83" s="22"/>
      <c r="EI83" s="22">
        <v>44958</v>
      </c>
      <c r="EJ83" s="22"/>
      <c r="EK83" s="22"/>
      <c r="EL83" s="21"/>
      <c r="EM83" s="21">
        <v>13</v>
      </c>
      <c r="EN83" s="22">
        <v>44960</v>
      </c>
      <c r="EO83" s="222">
        <f t="shared" si="271"/>
        <v>14.142857142857142</v>
      </c>
      <c r="EP83" s="214" t="str">
        <f t="shared" si="272"/>
        <v>NORMAL- SUMINISTRAR SULFATO FERROSO</v>
      </c>
      <c r="EQ83" s="216" t="str">
        <f t="shared" si="273"/>
        <v>II TRIM</v>
      </c>
      <c r="ER83" s="24">
        <v>12.9</v>
      </c>
      <c r="ES83" s="22">
        <v>45126</v>
      </c>
      <c r="ET83" s="29">
        <f t="shared" ca="1" si="440"/>
        <v>37.857142857142854</v>
      </c>
      <c r="EU83" s="25" t="str">
        <f t="shared" si="275"/>
        <v>NORMAL- SUMINISTRAR SULFATO FERROSO</v>
      </c>
      <c r="EV83" s="24"/>
      <c r="EW83" s="24"/>
      <c r="EX83" s="22"/>
      <c r="EY83" s="29" t="str">
        <f t="shared" si="248"/>
        <v>TOMAR EXAMEN</v>
      </c>
      <c r="EZ83" s="25" t="str">
        <f t="shared" ca="1" si="249"/>
        <v/>
      </c>
      <c r="FA83" s="21"/>
      <c r="FB83" s="22"/>
      <c r="FC83" s="29" t="str">
        <f t="shared" si="276"/>
        <v>TOMAR EXAMEN</v>
      </c>
      <c r="FD83" s="29">
        <v>67</v>
      </c>
      <c r="FE83" s="29">
        <v>118</v>
      </c>
      <c r="FF83" s="29">
        <v>110</v>
      </c>
      <c r="FG83" s="21" t="str">
        <f t="shared" ca="1" si="277"/>
        <v>NORMAL</v>
      </c>
      <c r="FH83" s="31">
        <v>45051</v>
      </c>
      <c r="FI83" s="29">
        <f t="shared" si="278"/>
        <v>27.142857142857142</v>
      </c>
      <c r="FJ83" s="22"/>
      <c r="FK83" s="22"/>
      <c r="FL83" s="29" t="str">
        <f t="shared" ca="1" si="279"/>
        <v>NO APLICA-INGRESO TARDIO</v>
      </c>
      <c r="FM83" s="22" t="s">
        <v>867</v>
      </c>
      <c r="FN83" s="32">
        <v>44960</v>
      </c>
      <c r="FO83" s="29">
        <f t="shared" ca="1" si="441"/>
        <v>14.142857142857142</v>
      </c>
      <c r="FP83" s="22" t="s">
        <v>867</v>
      </c>
      <c r="FQ83" s="32">
        <v>45051</v>
      </c>
      <c r="FR83" s="29">
        <f t="shared" ca="1" si="442"/>
        <v>27.142857142857142</v>
      </c>
      <c r="FS83" s="22"/>
      <c r="FT83" s="32"/>
      <c r="FU83" s="29" t="str">
        <f>IF(AND(FJ83="",FM83="",FP83="",FS83=""),"",IF(OR(OR(Tabla1[[#This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3" s="28"/>
      <c r="FW83" s="22"/>
      <c r="FX83" s="29" t="str">
        <f t="shared" si="280"/>
        <v>TOMAR EXAMEN</v>
      </c>
      <c r="FY83" s="22">
        <v>44960</v>
      </c>
      <c r="FZ83" s="22">
        <v>44960</v>
      </c>
      <c r="GA83" s="29" t="str">
        <f t="shared" si="250"/>
        <v>REGISTRAR EN II TRIMESTRE</v>
      </c>
      <c r="GB83" s="22" t="s">
        <v>868</v>
      </c>
      <c r="GC83" s="22">
        <v>44960</v>
      </c>
      <c r="GD83" s="29">
        <f t="shared" ca="1" si="443"/>
        <v>14.142857142857142</v>
      </c>
      <c r="GE83" s="22" t="s">
        <v>868</v>
      </c>
      <c r="GF83" s="22">
        <v>45126</v>
      </c>
      <c r="GG83" s="29">
        <f t="shared" ca="1" si="444"/>
        <v>37.857142857142854</v>
      </c>
      <c r="GH83" s="22"/>
      <c r="GI83" s="29"/>
      <c r="GJ83" s="22"/>
      <c r="GK83" s="22"/>
      <c r="GL83" s="22"/>
      <c r="GM83" s="22"/>
      <c r="GN83" s="28" t="s">
        <v>869</v>
      </c>
      <c r="GO83" s="22">
        <v>44960</v>
      </c>
      <c r="GP83" s="29">
        <f t="shared" si="283"/>
        <v>14.142857142857142</v>
      </c>
      <c r="GQ83" s="28" t="s">
        <v>869</v>
      </c>
      <c r="GR83" s="28" t="s">
        <v>869</v>
      </c>
      <c r="GS83" s="22" t="str">
        <f t="shared" si="284"/>
        <v>CONTROL Igm</v>
      </c>
      <c r="GT83" s="22">
        <v>44960</v>
      </c>
      <c r="GU83" s="29">
        <f t="shared" si="285"/>
        <v>14.142857142857142</v>
      </c>
      <c r="GV83" s="21" t="str">
        <f t="shared" si="286"/>
        <v>II TRIM</v>
      </c>
      <c r="GW83" s="28" t="s">
        <v>869</v>
      </c>
      <c r="GX83" s="30"/>
      <c r="GY83" s="21"/>
      <c r="GZ83" s="21"/>
      <c r="HA83" s="21"/>
      <c r="HB83" s="21"/>
      <c r="HC83" s="21"/>
      <c r="HD83" s="21"/>
      <c r="HE83" s="21"/>
      <c r="HF83" s="22"/>
      <c r="HG83" s="22" t="str">
        <f>IF(OR(O83&gt;0,R83&gt;0),CONCATENATE(IF(Tabla1[[#This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3" s="22" t="e">
        <f t="shared" si="287"/>
        <v>#REF!</v>
      </c>
      <c r="HI83" s="22" t="e">
        <f t="shared" ca="1" si="288"/>
        <v>#REF!</v>
      </c>
      <c r="HJ83" s="21"/>
      <c r="HK83" s="21" t="str">
        <f t="shared" si="289"/>
        <v>SIN ANTECEDENTES DE RIESGO</v>
      </c>
      <c r="HL83" s="24" t="str">
        <f t="shared" si="290"/>
        <v>VIGILAR CIFRAS PRESION ARTERIAL</v>
      </c>
      <c r="HM83" s="21" t="str">
        <f t="shared" ca="1" si="291"/>
        <v/>
      </c>
      <c r="HN83" s="30" t="str">
        <f t="shared" si="445"/>
        <v>SALIO PROGRAMA</v>
      </c>
      <c r="HO83" s="21"/>
      <c r="HP83" s="21"/>
      <c r="HQ83" s="21">
        <v>45029</v>
      </c>
      <c r="HR83" s="21" t="str">
        <f>IF(R83="","",IF(Tabla1[[#This Row],[ALARMA FACTORES DE RIESGO COMPLICACIONES HIPERTENSIVAS3]]="SIN ANTECEDENTES DE RIESGO","No Aplica para suministro de ASA",IF(AND(Tabla1[[#This Row],[FECHA INICIO DE SUMINISTRO DE ASA]]&gt;0,RV83&lt;12),"Inicia ASA ANTES de Sem 12",IF(AND(RV83&gt;11,RV83&lt;17,OR(HK83="RIESGO ALTO DE COMPLICACIONES HIPERTENSIVAS VER MANEJO GUIA SUMINISTRO ASA Y CALCIO",HK83="RIESGO MODERADO (2 O MAS CRITERIOS) VER MANEJO GUIA SUMINISTRO ASA Y CALCIO")),"Inicio oportuno de ASA",IF(AND(RV83&gt;12,OR(HK83="RIESGO ALTO DE COMPLICACIONES HIPERTENSIVAS VER MANEJO GUIA SUMINISTRO ASA Y CALCIO",HK83="RIESGO MODERADO (2 O MAS CRITERIOS) VER MANEJO GUIA SUMINISTRO ASA Y CALCIO")),"Inicio no oportuno mayor a 16 semanas",IF(AND(BU83&lt;12,OR(HK83="RIESGO ALTO DE COMPLICACIONES HIPERTENSIVAS VER MANEJO GUIA SUMINISTRO ASA Y CALCIO",HK83="RIESGO MODERADO (2 O MAS CRITERIOS) VER MANEJO GUIA SUMINISTRO ASA Y CALCIO")),"Pendiente Inicio de ASA a la semana 12",IF(AND(BU83&gt;11,BU83&lt;17,OR(HK83="RIESGO ALTO DE COMPLICACIONES HIPERTENSIVAS VER MANEJO GUIA SUMINISTRO ASA Y CALCIO",HK83="RIESGO MODERADO (2 O MAS CRITERIOS) VER MANEJO GUIA SUMINISTRO ASA Y CALCIO")),"Iniciar de inmediato ASA",IF(AND(BU83&gt;16,OR(HK83="RIESGO ALTO DE COMPLICACIONES HIPERTENSIVAS VER MANEJO GUIA SUMINISTRO ASA Y CALCIO",HK83="RIESGO MODERADO (2 O MAS CRITERIOS) VER MANEJO GUIA SUMINISTRO ASA Y CALCIO")),"Pierde Oportunidad, Inicio tardío de ASA","XXXXX"))))))))</f>
        <v>No Aplica para suministro de ASA</v>
      </c>
      <c r="HS83" s="22">
        <v>45029</v>
      </c>
      <c r="HT83" s="22" t="s">
        <v>1532</v>
      </c>
      <c r="HU83" s="22">
        <v>44960</v>
      </c>
      <c r="HV83" s="22" t="s">
        <v>1523</v>
      </c>
      <c r="HW83" s="22"/>
      <c r="HX83" s="22"/>
      <c r="HY83" s="22">
        <v>44960</v>
      </c>
      <c r="HZ83" s="28">
        <f t="shared" si="292"/>
        <v>14.142857142857142</v>
      </c>
      <c r="IA83" s="26"/>
      <c r="IB83" s="26"/>
      <c r="IC83" s="111">
        <v>44960</v>
      </c>
      <c r="ID83" s="22"/>
      <c r="IE83" s="22" t="str">
        <f t="shared" ca="1" si="293"/>
        <v>SALE SIN VACUNA</v>
      </c>
      <c r="IF83" s="22"/>
      <c r="IG83" s="22">
        <f t="shared" si="294"/>
        <v>45141</v>
      </c>
      <c r="IH83" s="29">
        <f t="shared" ca="1" si="295"/>
        <v>-92</v>
      </c>
      <c r="II83" s="22" t="str">
        <f t="shared" ca="1" si="296"/>
        <v>POSIBLEMENTE NACIO</v>
      </c>
      <c r="IJ83" s="22"/>
      <c r="IK83" s="21" t="s">
        <v>1652</v>
      </c>
      <c r="IL83" s="21"/>
      <c r="IM83" s="34"/>
      <c r="IN83" s="349">
        <v>45141</v>
      </c>
      <c r="IO83" s="21" t="s">
        <v>1186</v>
      </c>
      <c r="IP83" s="29">
        <f t="shared" si="435"/>
        <v>40</v>
      </c>
      <c r="IQ83" s="35" t="s">
        <v>1650</v>
      </c>
      <c r="IR83" s="21" t="s">
        <v>1651</v>
      </c>
      <c r="IS83" s="21" t="s">
        <v>1646</v>
      </c>
      <c r="IT83" s="21" t="s">
        <v>1642</v>
      </c>
      <c r="IU83" s="21"/>
      <c r="IV83" s="21"/>
      <c r="IW83" s="21"/>
      <c r="IX83" s="21"/>
      <c r="IY83" s="21"/>
      <c r="IZ83" s="21"/>
      <c r="JA83" s="21"/>
      <c r="JB83" s="30">
        <v>1</v>
      </c>
      <c r="JC83" s="21" t="s">
        <v>1647</v>
      </c>
      <c r="JD83" s="36">
        <v>3555</v>
      </c>
      <c r="JE83" s="21" t="str">
        <f t="shared" si="446"/>
        <v>PESO ADECUADO EDAD GESTACIONAL</v>
      </c>
      <c r="JF83" s="30"/>
      <c r="JG83" s="21"/>
      <c r="JH83" s="21"/>
      <c r="JI83" s="21" t="s">
        <v>854</v>
      </c>
      <c r="JJ83" s="30" t="s">
        <v>866</v>
      </c>
      <c r="JK83" s="22"/>
      <c r="JL83" s="22"/>
      <c r="JM83" s="21"/>
      <c r="JN83" s="36"/>
      <c r="JO83" s="21" t="str">
        <f t="shared" si="447"/>
        <v/>
      </c>
      <c r="JP83" s="22"/>
      <c r="JQ83" s="21"/>
      <c r="JR83" s="21"/>
      <c r="JS83" s="21"/>
      <c r="JT83" s="30"/>
      <c r="JU83" s="22"/>
      <c r="JV83" s="22"/>
      <c r="JW83" s="33"/>
      <c r="JX83" s="28" t="str">
        <f t="shared" si="448"/>
        <v>INASISTENTE</v>
      </c>
      <c r="JY83" s="33"/>
      <c r="JZ83" s="28" t="str">
        <f t="shared" si="449"/>
        <v>INASISTENTE</v>
      </c>
      <c r="KA83" s="21"/>
      <c r="KB83" s="21"/>
      <c r="KC83" s="21"/>
      <c r="KD83" s="37"/>
      <c r="KE83" s="28"/>
      <c r="KF83" s="28"/>
      <c r="KG83" s="28"/>
      <c r="KH83" s="39"/>
      <c r="KI83" s="39"/>
      <c r="KJ83" s="66"/>
      <c r="KK83" s="39"/>
      <c r="KL83" s="39"/>
      <c r="KM83" s="66"/>
      <c r="KN83" s="39"/>
      <c r="KO83" s="39"/>
      <c r="KP83" s="39"/>
      <c r="KQ83" s="39"/>
      <c r="KR83" s="39"/>
      <c r="KS83" s="39"/>
      <c r="KT83" s="39"/>
      <c r="KU83" s="38"/>
      <c r="KV83" s="38"/>
      <c r="KW83" s="38"/>
      <c r="KX83" s="38"/>
      <c r="KY83" s="38"/>
      <c r="KZ83" s="38"/>
      <c r="LA83" s="38"/>
      <c r="LB83" s="38"/>
      <c r="LC83" s="38"/>
      <c r="LD83" s="38"/>
      <c r="LE83" s="38"/>
      <c r="LF83" s="38"/>
      <c r="LG83" s="38"/>
      <c r="LH83" s="38"/>
      <c r="LI83" s="38"/>
      <c r="LJ83" s="38"/>
      <c r="LK83" s="38"/>
      <c r="LL83" s="38"/>
      <c r="LM83" s="38"/>
      <c r="LN83" s="38"/>
      <c r="LO83" s="38"/>
      <c r="LP83" s="38"/>
      <c r="LQ83" s="38"/>
      <c r="LR83" s="38"/>
      <c r="LS83" s="38"/>
      <c r="LT83" s="38"/>
      <c r="LU83" s="38"/>
      <c r="LV83" s="38"/>
      <c r="LW83" s="38"/>
      <c r="LX83" s="38"/>
      <c r="LY83" s="38"/>
      <c r="LZ83" s="38"/>
      <c r="MA83" s="38"/>
      <c r="MB83" s="38"/>
      <c r="MC83" s="38"/>
      <c r="MD83" s="38"/>
      <c r="ME83" s="38"/>
      <c r="MF83" s="38"/>
      <c r="MG83" s="38"/>
      <c r="MH83" s="43">
        <f t="shared" si="302"/>
        <v>0</v>
      </c>
      <c r="MI83" s="43" t="str">
        <f t="shared" si="303"/>
        <v/>
      </c>
      <c r="MJ83" s="43" t="str">
        <f t="shared" si="304"/>
        <v/>
      </c>
      <c r="MK83" s="43">
        <f t="shared" si="305"/>
        <v>0</v>
      </c>
      <c r="ML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3" s="43">
        <f t="shared" si="306"/>
        <v>13.857142857142858</v>
      </c>
      <c r="MN83" s="43">
        <f t="shared" si="307"/>
        <v>2</v>
      </c>
      <c r="MO83" s="43">
        <f t="shared" si="308"/>
        <v>2023</v>
      </c>
      <c r="MP83" s="43" t="str">
        <f t="shared" si="309"/>
        <v>I TRIMESTRE AÑO</v>
      </c>
      <c r="MQ83" s="43">
        <f t="shared" si="310"/>
        <v>22.377354358300479</v>
      </c>
      <c r="MR83" s="43">
        <f t="shared" si="311"/>
        <v>0</v>
      </c>
      <c r="MS83" s="43" t="str">
        <f t="shared" si="312"/>
        <v xml:space="preserve"> DE 20 A 24 AÑOS</v>
      </c>
      <c r="MT83" s="43">
        <f t="shared" si="313"/>
        <v>0</v>
      </c>
      <c r="MU83" s="43">
        <f t="shared" si="314"/>
        <v>0</v>
      </c>
      <c r="MV83" s="43">
        <f t="shared" si="315"/>
        <v>0</v>
      </c>
      <c r="MW83" s="43">
        <f t="shared" si="316"/>
        <v>0</v>
      </c>
      <c r="MX83" s="43" t="str">
        <f t="shared" si="317"/>
        <v/>
      </c>
      <c r="MY83" s="43" t="str">
        <f t="shared" ca="1" si="450"/>
        <v/>
      </c>
      <c r="MZ83" s="43" t="str">
        <f t="shared" si="318"/>
        <v/>
      </c>
      <c r="NA83" s="43" t="str">
        <f t="shared" si="319"/>
        <v/>
      </c>
      <c r="NB83" s="43" t="str">
        <f t="shared" si="320"/>
        <v/>
      </c>
      <c r="NC83" s="43" t="str">
        <f t="shared" si="321"/>
        <v/>
      </c>
      <c r="ND83" s="43">
        <f t="shared" ca="1" si="322"/>
        <v>0</v>
      </c>
      <c r="NE83" s="43">
        <f>IF(OR(O83&gt;0,R83&gt;0),SUM(COUNTIF(Tabla1[[#This Row],[AÑOS AL INICIO5 CPN]],"&gt;=40"),COUNTIF(AS83,"0"),COUNTIF(AR83,"SI"),COUNTIF(CC83,"SI"),COUNTIF(BQ83,"&gt;119"),COUNTIF(CI83,"&gt;=35")),"")</f>
        <v>0</v>
      </c>
      <c r="NF83" s="43" t="str">
        <f t="shared" si="323"/>
        <v/>
      </c>
      <c r="NG83" s="43">
        <f t="shared" si="324"/>
        <v>0</v>
      </c>
      <c r="NH83" s="43">
        <f t="shared" si="325"/>
        <v>98.7</v>
      </c>
      <c r="NI8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CPN",P83="NO"),"Z",IF(AND(Tabla1[[#This Row],[CITA PROXIMO CONTROL]]="CITA MANUAL",Tabla1[[#This Row],[GESTANTES ACTUALES]]="ACTIVA INGRESO A CPN"),"W",IF(AND(Tabla1[[#This Row],[GESTANTES ACTUALES]]="SALIO PROGRAMA",IN83=""),"S",IF(AND(Tabla1[[#This Row],[CITA PROXIMO CONTROL]]&gt;0,IN83=""),(Tabla1[[#This Row],[CITA PROXIMO CONTROL]]-TODAY()),"SD"))))))))</f>
        <v>SD</v>
      </c>
      <c r="NJ83" s="43">
        <f>MONTH(Tabla1[[#This Row],[FECHA DE SALIDA  DEL PROGRAMA]])</f>
        <v>8</v>
      </c>
      <c r="NK83" s="43">
        <f>YEAR(Tabla1[[#This Row],[FECHA DE SALIDA  DEL PROGRAMA]])</f>
        <v>2023</v>
      </c>
      <c r="NL83" s="43" t="str">
        <f t="shared" si="326"/>
        <v>X</v>
      </c>
      <c r="NM83" s="43" t="str">
        <f t="shared" si="251"/>
        <v>NO</v>
      </c>
      <c r="NN83" s="43" t="str">
        <f ca="1">IF(AND(O83&gt;0,R83=""),"NO CPN",IF(AND(O83="",R83=""),"",IF(AND(R83&gt;0,Tabla1[[#This Row],[SEMANAS DE GESTACION ACTUALIZADAS]]&lt;=12),"NO APLICA",IF(AND(FH83&lt;&gt;"",FN83&lt;&gt;""),"SI","NO"))))</f>
        <v>SI</v>
      </c>
      <c r="NO83" s="43" t="str">
        <f ca="1">IF(AND(O83&gt;0,R83=""),"NO CPN",IF(AND(O83="",R83=""),"",IF(AND(R83&gt;0,Tabla1[[#This Row],[SEMANAS DE GESTACION ACTUALIZADAS]]&lt;=27),"NO APLICA",IF(AND(ES83&lt;&gt;"",FQ83&lt;&gt;"",GF83&lt;&gt;""),"SI","NO"))))</f>
        <v>SI</v>
      </c>
      <c r="NP83" s="204" t="str">
        <f t="shared" si="327"/>
        <v>II TRIM</v>
      </c>
      <c r="NQ83" s="21">
        <f t="shared" si="436"/>
        <v>3</v>
      </c>
      <c r="NR83" s="21">
        <f t="shared" si="451"/>
        <v>2</v>
      </c>
      <c r="NS83" s="205">
        <f t="shared" ca="1" si="328"/>
        <v>2</v>
      </c>
      <c r="NT83" s="21">
        <f t="shared" ca="1" si="329"/>
        <v>2</v>
      </c>
      <c r="NU83" s="21" t="str">
        <f t="shared" ca="1" si="330"/>
        <v>COMPLETO</v>
      </c>
      <c r="NV83" s="21" t="str">
        <f t="shared" ca="1" si="331"/>
        <v>COMPLETO</v>
      </c>
      <c r="NW83" s="206" t="str">
        <f>IF(AND(O83="",R83=""),"",IF(OR(AND(Tabla1[[#This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3" s="207" t="str">
        <f t="shared" ca="1" si="332"/>
        <v>SIN VACUNAR</v>
      </c>
      <c r="NY83" s="43">
        <f>ROW(Tabla1[[#This Row],['# DE TAMIZAJES SIFILIS TOMADOS ]])</f>
        <v>83</v>
      </c>
      <c r="NZ83" s="43">
        <f t="shared" si="333"/>
        <v>13</v>
      </c>
      <c r="OA83" s="43" t="str">
        <f t="shared" si="334"/>
        <v/>
      </c>
      <c r="OB83" s="43" t="str">
        <f t="shared" si="335"/>
        <v/>
      </c>
      <c r="OC83" s="43" t="str">
        <f t="shared" si="336"/>
        <v/>
      </c>
      <c r="OD83" s="43" t="str">
        <f t="shared" si="337"/>
        <v/>
      </c>
      <c r="OE83" s="43" t="str">
        <f t="shared" si="338"/>
        <v>SOBREPESO</v>
      </c>
      <c r="OF83" s="43" t="str">
        <f t="shared" si="339"/>
        <v/>
      </c>
      <c r="OG83" s="43" t="str">
        <f t="shared" si="340"/>
        <v/>
      </c>
      <c r="OH83" s="43" t="str">
        <f t="shared" si="341"/>
        <v/>
      </c>
      <c r="OI83" s="43" t="str">
        <f t="shared" si="342"/>
        <v/>
      </c>
      <c r="OJ83" s="43" t="str">
        <f t="shared" si="343"/>
        <v/>
      </c>
      <c r="OK83" s="43" t="str">
        <f t="shared" si="344"/>
        <v/>
      </c>
      <c r="OL83" s="43" t="str">
        <f t="shared" si="345"/>
        <v/>
      </c>
      <c r="OM83" s="43" t="str">
        <f t="shared" si="346"/>
        <v/>
      </c>
      <c r="ON83" s="43" t="str">
        <f t="shared" si="347"/>
        <v/>
      </c>
      <c r="OO83" s="43" t="str">
        <f t="shared" si="348"/>
        <v/>
      </c>
      <c r="OP83" s="43" t="str">
        <f t="shared" si="349"/>
        <v/>
      </c>
      <c r="OQ83" s="43" t="str">
        <f t="shared" si="350"/>
        <v/>
      </c>
      <c r="OR83" s="43" t="str">
        <f t="shared" si="351"/>
        <v/>
      </c>
      <c r="OS83" s="43" t="str">
        <f t="shared" si="352"/>
        <v/>
      </c>
      <c r="OT83" s="43" t="str">
        <f t="shared" si="353"/>
        <v/>
      </c>
      <c r="OU83" s="43" t="str">
        <f t="shared" si="354"/>
        <v/>
      </c>
      <c r="OV83" s="110" t="str">
        <f t="shared" si="355"/>
        <v/>
      </c>
      <c r="OW83" s="43" t="str">
        <f t="shared" si="356"/>
        <v/>
      </c>
      <c r="OX83" s="43" t="str">
        <f t="shared" si="357"/>
        <v/>
      </c>
      <c r="OY83" s="43" t="str">
        <f t="shared" si="358"/>
        <v/>
      </c>
      <c r="OZ83" s="43" t="str">
        <f t="shared" si="359"/>
        <v/>
      </c>
      <c r="PA83" s="43" t="str">
        <f t="shared" si="360"/>
        <v/>
      </c>
      <c r="PB83" s="43" t="str">
        <f t="shared" si="361"/>
        <v/>
      </c>
      <c r="PC83" s="43" t="str">
        <f t="shared" si="362"/>
        <v/>
      </c>
      <c r="PD83" s="43" t="str">
        <f t="shared" si="363"/>
        <v/>
      </c>
      <c r="PE83" s="43" t="str">
        <f t="shared" si="364"/>
        <v/>
      </c>
      <c r="PF83" s="43" t="str">
        <f t="shared" si="365"/>
        <v/>
      </c>
      <c r="PG83" s="43" t="str">
        <f t="shared" si="366"/>
        <v/>
      </c>
      <c r="PH83" s="43" t="str">
        <f t="shared" si="367"/>
        <v/>
      </c>
      <c r="PI83" s="43">
        <f t="shared" si="368"/>
        <v>39</v>
      </c>
      <c r="PJ83" s="43" t="str">
        <f t="shared" si="369"/>
        <v/>
      </c>
      <c r="PK83" s="43" t="str">
        <f t="shared" si="370"/>
        <v/>
      </c>
      <c r="PL83" s="43" t="str">
        <f t="shared" si="371"/>
        <v/>
      </c>
      <c r="PM83" s="43" t="str">
        <f t="shared" si="372"/>
        <v/>
      </c>
      <c r="PN83" s="43" t="str">
        <f t="shared" si="373"/>
        <v/>
      </c>
      <c r="PO83" s="43" t="str">
        <f t="shared" si="374"/>
        <v/>
      </c>
      <c r="PP83" s="43" t="str">
        <f t="shared" si="375"/>
        <v/>
      </c>
      <c r="PQ83" s="43" t="str">
        <f t="shared" si="376"/>
        <v/>
      </c>
      <c r="PR83" s="43" t="str">
        <f t="shared" si="377"/>
        <v/>
      </c>
      <c r="PS83" s="43" t="str">
        <f t="shared" si="378"/>
        <v/>
      </c>
      <c r="PT83" s="43" t="str">
        <f t="shared" si="379"/>
        <v/>
      </c>
      <c r="PU83" s="43" t="str">
        <f t="shared" si="380"/>
        <v/>
      </c>
      <c r="PV83" s="43" t="str">
        <f t="shared" si="381"/>
        <v/>
      </c>
      <c r="PW83" s="43" t="str">
        <f t="shared" si="382"/>
        <v/>
      </c>
      <c r="PX83" s="43" t="str">
        <f t="shared" si="383"/>
        <v/>
      </c>
      <c r="PY83" s="43" t="str">
        <f t="shared" si="384"/>
        <v/>
      </c>
      <c r="PZ83" s="43" t="str">
        <f t="shared" si="385"/>
        <v/>
      </c>
      <c r="QA83" s="43" t="str">
        <f t="shared" si="386"/>
        <v/>
      </c>
      <c r="QB83" s="43" t="str">
        <f t="shared" si="387"/>
        <v/>
      </c>
      <c r="QC83" s="43" t="str">
        <f t="shared" si="388"/>
        <v/>
      </c>
      <c r="QD83" s="43" t="str">
        <f t="shared" si="389"/>
        <v/>
      </c>
      <c r="QE83" s="43" t="str">
        <f t="shared" si="390"/>
        <v/>
      </c>
      <c r="QF83" s="43" t="str">
        <f t="shared" si="391"/>
        <v/>
      </c>
      <c r="QG83" s="43" t="str">
        <f t="shared" si="392"/>
        <v/>
      </c>
      <c r="QH83" s="43" t="str">
        <f t="shared" si="393"/>
        <v/>
      </c>
      <c r="QI83" s="43" t="str">
        <f t="shared" si="394"/>
        <v/>
      </c>
      <c r="QJ83" s="43" t="str">
        <f t="shared" si="395"/>
        <v/>
      </c>
      <c r="QK83" s="43" t="str">
        <f t="shared" si="396"/>
        <v/>
      </c>
      <c r="QL83" s="43" t="str">
        <f t="shared" si="397"/>
        <v/>
      </c>
      <c r="QM83" s="43" t="str">
        <f t="shared" si="398"/>
        <v/>
      </c>
      <c r="QN83" s="43" t="str">
        <f t="shared" si="399"/>
        <v>OBESIDAD</v>
      </c>
      <c r="QO83" s="43" t="str">
        <f t="shared" si="400"/>
        <v/>
      </c>
      <c r="QP83" s="43" t="str">
        <f t="shared" si="401"/>
        <v/>
      </c>
      <c r="QQ83" s="43" t="str">
        <f t="shared" si="402"/>
        <v/>
      </c>
      <c r="QR83" s="43">
        <f t="shared" si="432"/>
        <v>39</v>
      </c>
      <c r="QS83" s="43"/>
      <c r="QT83" s="21" t="str">
        <f t="shared" si="403"/>
        <v/>
      </c>
      <c r="QU83" s="21" t="str">
        <f t="shared" si="404"/>
        <v/>
      </c>
      <c r="QV83" s="21" t="str">
        <f t="shared" si="405"/>
        <v/>
      </c>
      <c r="QW83" s="21" t="str">
        <f t="shared" si="406"/>
        <v/>
      </c>
      <c r="QX83" s="21" t="str">
        <f t="shared" si="407"/>
        <v/>
      </c>
      <c r="QY83" s="21" t="str">
        <f t="shared" si="408"/>
        <v/>
      </c>
      <c r="QZ83" s="21" t="str">
        <f t="shared" si="409"/>
        <v/>
      </c>
      <c r="RA83" s="21" t="str">
        <f t="shared" si="410"/>
        <v/>
      </c>
      <c r="RB83" s="21" t="str">
        <f t="shared" si="411"/>
        <v/>
      </c>
      <c r="RC83" s="21" t="str">
        <f t="shared" si="412"/>
        <v/>
      </c>
      <c r="RD83" s="21" t="str">
        <f t="shared" si="413"/>
        <v/>
      </c>
      <c r="RE83" s="21" t="str">
        <f t="shared" si="414"/>
        <v/>
      </c>
      <c r="RF83" s="21" t="str">
        <f t="shared" si="415"/>
        <v/>
      </c>
      <c r="RG83" s="21" t="str">
        <f t="shared" si="416"/>
        <v/>
      </c>
      <c r="RH83" s="21" t="str">
        <f t="shared" si="417"/>
        <v/>
      </c>
      <c r="RI83" s="21" t="str">
        <f t="shared" si="418"/>
        <v/>
      </c>
      <c r="RJ83" s="21" t="str">
        <f t="shared" si="419"/>
        <v/>
      </c>
      <c r="RK83" s="21" t="str">
        <f t="shared" si="420"/>
        <v/>
      </c>
      <c r="RL83" s="21" t="str">
        <f t="shared" si="421"/>
        <v/>
      </c>
      <c r="RM83" s="21" t="str">
        <f t="shared" si="422"/>
        <v/>
      </c>
      <c r="RN83" s="21" t="str">
        <f t="shared" si="423"/>
        <v/>
      </c>
      <c r="RO83" s="21" t="str">
        <f t="shared" si="424"/>
        <v/>
      </c>
      <c r="RP83" s="21" t="str">
        <f t="shared" si="425"/>
        <v/>
      </c>
      <c r="RQ83" s="21" t="str">
        <f t="shared" si="426"/>
        <v/>
      </c>
      <c r="RR83" s="21" t="str">
        <f t="shared" si="427"/>
        <v/>
      </c>
      <c r="RS83" s="21" t="str">
        <f t="shared" si="428"/>
        <v/>
      </c>
      <c r="RT83" s="21" t="str">
        <f t="shared" si="429"/>
        <v>ALTO PARA EDAD GESTACIONAL</v>
      </c>
      <c r="RU83" s="21" t="str">
        <f t="shared" si="430"/>
        <v/>
      </c>
      <c r="RV83" s="21">
        <f t="shared" si="431"/>
        <v>24</v>
      </c>
      <c r="RW83" s="284">
        <f>IF(OR(Tabla1[[#This Row],[FUM FORMULA CONFIABLE]]="",Tabla1[[#This Row],[FUM FORMULA CONFIABLE]]="SD"),"",IF(Tabla1[[#This Row],[FUM FORMULA CONFIABLE]]="CORREGIDA",Tabla1[[#This Row],[FUM X ECO 1]],Tabla1[[#This Row],[FUM x AMENORREA]]))</f>
        <v>44861</v>
      </c>
      <c r="RX83" s="21">
        <f>IF(AND(Tabla1[[#This Row],[FUM X ECO 1]]="",Tabla1[[#This Row],[FUM x AMENORREA]]=""),"",IF(AND(Tabla1[[#This Row],[FUM X ECO 1]]="",Tabla1[[#This Row],[FUM x AMENORREA]]&lt;&gt;""),"X",SUM(Tabla1[[#This Row],[FUM X ECO 1]]-Tabla1[[#This Row],[FUM x AMENORREA]])))</f>
        <v>0.30000000000291038</v>
      </c>
      <c r="RY83" s="21">
        <f t="shared" si="433"/>
        <v>0</v>
      </c>
    </row>
    <row r="84" spans="1:493" ht="45" customHeight="1" x14ac:dyDescent="0.25">
      <c r="A84" s="109"/>
      <c r="B84" s="43"/>
      <c r="C84" s="43" t="s">
        <v>845</v>
      </c>
      <c r="D84" s="124"/>
      <c r="E84" s="43" t="s">
        <v>857</v>
      </c>
      <c r="F84" s="43" t="s">
        <v>914</v>
      </c>
      <c r="G84" s="43" t="s">
        <v>1252</v>
      </c>
      <c r="H84" s="43" t="s">
        <v>1253</v>
      </c>
      <c r="I84" s="109" t="s">
        <v>851</v>
      </c>
      <c r="J84" s="110">
        <v>1002847463</v>
      </c>
      <c r="K84" s="43" t="s">
        <v>852</v>
      </c>
      <c r="L84" s="175" t="s">
        <v>853</v>
      </c>
      <c r="M84" s="22">
        <v>37200</v>
      </c>
      <c r="N84" s="213">
        <f t="shared" ca="1" si="252"/>
        <v>22.008219178082193</v>
      </c>
      <c r="O84" s="22">
        <v>44958</v>
      </c>
      <c r="P84" s="214" t="str">
        <f t="shared" si="437"/>
        <v>SI</v>
      </c>
      <c r="Q84" s="26" t="s">
        <v>855</v>
      </c>
      <c r="R84" s="22">
        <v>44958</v>
      </c>
      <c r="S84" s="21" t="s">
        <v>856</v>
      </c>
      <c r="T84" s="24" t="s">
        <v>690</v>
      </c>
      <c r="U84" s="21" t="s">
        <v>857</v>
      </c>
      <c r="V84" s="21" t="s">
        <v>858</v>
      </c>
      <c r="W84" s="21" t="s">
        <v>1254</v>
      </c>
      <c r="X84" s="21" t="s">
        <v>1254</v>
      </c>
      <c r="Y84" s="21" t="s">
        <v>859</v>
      </c>
      <c r="Z84" s="21">
        <v>3106846990</v>
      </c>
      <c r="AA84" s="21" t="s">
        <v>860</v>
      </c>
      <c r="AB84" s="27" t="s">
        <v>861</v>
      </c>
      <c r="AC84" s="26" t="s">
        <v>897</v>
      </c>
      <c r="AD84" s="38" t="s">
        <v>1251</v>
      </c>
      <c r="AE84" s="26" t="s">
        <v>854</v>
      </c>
      <c r="AF84" s="26" t="s">
        <v>854</v>
      </c>
      <c r="AG84" s="23" t="s">
        <v>864</v>
      </c>
      <c r="AH84" s="23" t="s">
        <v>864</v>
      </c>
      <c r="AI84" s="24" t="s">
        <v>863</v>
      </c>
      <c r="AJ84" s="23" t="s">
        <v>864</v>
      </c>
      <c r="AK84" s="220" t="str">
        <f>IF(AND(AD84="",AE84="",AF84="",AG84="",AH84="",AI84="",AJ84=""),"",IF(OR(Tabla1[[#This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EVALUACIÓN",IF(AND(O84="",R84=""),"",IF(AND(OR(O84&gt;0,R84&gt;0),NG84&gt;=0,NG84&lt;2),"SIN RIESGO",IF(AND(OR(O84&gt;0,R84&gt;0),NG84&gt;=2),"CON RIESGO","ASD")))))</f>
        <v>SIN RIESGO</v>
      </c>
      <c r="AL84" s="23" t="s">
        <v>864</v>
      </c>
      <c r="AM84" s="26" t="s">
        <v>864</v>
      </c>
      <c r="AN84" s="26" t="s">
        <v>864</v>
      </c>
      <c r="AO84" s="26" t="s">
        <v>864</v>
      </c>
      <c r="AP84" s="26" t="s">
        <v>864</v>
      </c>
      <c r="AQ84" s="26" t="s">
        <v>864</v>
      </c>
      <c r="AR84" s="26" t="s">
        <v>864</v>
      </c>
      <c r="AS84" s="21">
        <v>1</v>
      </c>
      <c r="AT84" s="21">
        <v>1</v>
      </c>
      <c r="AU84" s="21">
        <v>0</v>
      </c>
      <c r="AV84" s="26" t="s">
        <v>864</v>
      </c>
      <c r="AW84" s="21">
        <v>0</v>
      </c>
      <c r="AX84" s="26" t="s">
        <v>864</v>
      </c>
      <c r="AY84" s="26" t="s">
        <v>864</v>
      </c>
      <c r="AZ84" s="26" t="s">
        <v>864</v>
      </c>
      <c r="BA84" s="26" t="s">
        <v>864</v>
      </c>
      <c r="BB84" s="26" t="s">
        <v>864</v>
      </c>
      <c r="BC84" s="26" t="s">
        <v>864</v>
      </c>
      <c r="BD84" s="26" t="s">
        <v>864</v>
      </c>
      <c r="BE84" s="26" t="s">
        <v>864</v>
      </c>
      <c r="BF84" s="26" t="s">
        <v>864</v>
      </c>
      <c r="BG84" s="26" t="s">
        <v>864</v>
      </c>
      <c r="BH84" s="26" t="s">
        <v>864</v>
      </c>
      <c r="BI84" s="26" t="s">
        <v>864</v>
      </c>
      <c r="BJ84" s="26"/>
      <c r="BK84" s="26" t="s">
        <v>864</v>
      </c>
      <c r="BL84" s="26" t="s">
        <v>864</v>
      </c>
      <c r="BM84" s="26" t="s">
        <v>864</v>
      </c>
      <c r="BN84" s="22">
        <v>44014</v>
      </c>
      <c r="BO84" s="22">
        <v>44813</v>
      </c>
      <c r="BP84" s="21" t="s">
        <v>854</v>
      </c>
      <c r="BQ84" s="222">
        <f t="shared" si="254"/>
        <v>26.633333333333333</v>
      </c>
      <c r="BR84" s="223">
        <f t="shared" si="255"/>
        <v>44813</v>
      </c>
      <c r="BS84" s="224">
        <f t="shared" si="256"/>
        <v>20.714285714285715</v>
      </c>
      <c r="BT84" s="216" t="str">
        <f t="shared" si="257"/>
        <v>II TRIM</v>
      </c>
      <c r="BU84" s="214" t="str">
        <f t="shared" ca="1" si="258"/>
        <v/>
      </c>
      <c r="BV84" s="25"/>
      <c r="BW84" s="22">
        <v>44960</v>
      </c>
      <c r="BX84" s="28">
        <v>21</v>
      </c>
      <c r="BY84" s="28"/>
      <c r="BZ84" s="22">
        <v>45051</v>
      </c>
      <c r="CA84" s="21">
        <v>32.1</v>
      </c>
      <c r="CB84" s="26" t="s">
        <v>864</v>
      </c>
      <c r="CC84" s="26" t="s">
        <v>864</v>
      </c>
      <c r="CD84" s="26" t="s">
        <v>878</v>
      </c>
      <c r="CE84" s="26" t="s">
        <v>864</v>
      </c>
      <c r="CF84" s="22" t="s">
        <v>1517</v>
      </c>
      <c r="CG84" s="21">
        <v>1.54</v>
      </c>
      <c r="CH84" s="21">
        <v>59</v>
      </c>
      <c r="CI84" s="214">
        <f t="shared" si="259"/>
        <v>24.877719682914488</v>
      </c>
      <c r="CJ84" s="225" t="e">
        <f>IF(AND(CI84&lt;10,CH84="SD"),"SIN DATO PESO PREGESTACION O I TRIM",IF(AND(OR(R84&gt;0,O84&gt;0),CI84="X"),"INGRESAR DATO DE PESO",IF(CI84="SD","INGRESAR DATO DE TALLA Y PESO",IF(AND(OR(Tabla1[[#This Row],[MOMENTO EN QUE SE REALIZA EL PESO AL INGRESO A CPN]]="PREGESTACIÓN",NZ84="Menor"),CI84&lt;18.5),"BAJO PESO",IF(AND(OR(Tabla1[[#This Row],[MOMENTO EN QUE SE REALIZA EL PESO AL INGRESO A CPN]]="PREGESTACIÓN",NZ84="Menor"),CI84&lt;25),"NORMAL",IF(AND(OR(Tabla1[[#This Row],[MOMENTO EN QUE SE REALIZA EL PESO AL INGRESO A CPN]]="PREGESTACIÓN",NZ84="Menor"),CI84&lt;30),"SOBREPESO",IF(AND(OR(Tabla1[[#This Row],[MOMENTO EN QUE SE REALIZA EL PESO AL INGRESO A CPN]]="PREGESTACIÓN",NZ84="Menor"),CI84&gt;=30,CI84&lt;50),"OBESIDAD",IF(AND(BS84&gt;0,Tabla1[[#This Row],[MOMENTO EN QUE SE REALIZA EL PESO AL INGRESO A CPN]]="GESTACIÓN"),HLOOKUP(NZ84,$OA$2:PH84,NY84),""))))))))</f>
        <v>#REF!</v>
      </c>
      <c r="CK84" s="212">
        <f t="shared" si="260"/>
        <v>45050</v>
      </c>
      <c r="CL84" s="21">
        <v>59.7</v>
      </c>
      <c r="CM84" s="214">
        <f t="shared" si="261"/>
        <v>25.172879068982969</v>
      </c>
      <c r="CN84" s="216">
        <f t="shared" si="262"/>
        <v>33</v>
      </c>
      <c r="CO84" s="216" t="e">
        <f>IF(PI84="","",IF(PI84&gt;0,HLOOKUP(PI84,$PJ$2:QQ84,NY84),""))</f>
        <v>#REF!</v>
      </c>
      <c r="CP84" s="21">
        <v>28</v>
      </c>
      <c r="CQ84" s="216" t="e">
        <f>IF(QR84="Menor","NO APLICA-MENOR 13 SEM",IF(AND(CC84="SI",CN84&gt;23),"NO APLICA- GEMELAR",IF(QR84="","",IF(QR84&gt;0,HLOOKUP(QR84,$QS$2:RU84,NY84),""))))</f>
        <v>#REF!</v>
      </c>
      <c r="CR84" s="21"/>
      <c r="CS84" s="21"/>
      <c r="CT84" s="217" t="str">
        <f>IF(R84="","",IF(AND(BS84&gt;1,BS84&lt;12,Tabla1[[#This Row],[T.A. SISTOLICA - ANTES DE SEMANA 12]]="",Tabla1[[#This Row],[T.A. DIASTOLICA - ANTES DE SEMANA 12]]=""),"REGISTRE DATO TA ANTES SEMANA 12",IF(AND(BS84&gt;11,BS84&lt;43,Tabla1[[#This Row],[T.A. SISTOLICA - ANTES DE SEMANA 12]]="",Tabla1[[#This Row],[T.A. DIASTOLICA - ANTES DE SEMANA 12]]=""),"NO APLICA REGISTRO TA-INGRESO TARDIO",IF(AND(OR(O84&gt;0,R84&gt;0),OR(CR84&gt;=140,CS84&gt;=90)),"DEFINIR ESTADIO HTA",IF(AND(OR(O84&gt;0,R84&gt;0),AND(CR84&gt;120,CR84&lt;=139)),"PRE HTA SEGUIMIENTO",IF(AND(OR(O84&gt;0,R84&gt;0),AND(CS84&gt;80,CS84&lt;=89)),"PRE HTA SEGUIMIENTO",IF(AND(OR(O84&gt;0,R84&gt;0),AND(CR84&gt;=80,CR84&lt;=120)),"APARENTEMENTE NORMAL",IF(AND(OR(O84&gt;0,R84&gt;0),AND(CS84&gt;=50,CS84&lt;=80)),"APARENTEMENTE NORMAL",IF(AND(OR(O84&gt;0,R84&gt;0),AND(CR84&gt;1,CR84&lt;=70),AND(CS84&gt;1,CS84&lt;=40)),"HIPOTENSIÓN","")))))))))</f>
        <v>NO APLICA REGISTRO TA-INGRESO TARDIO</v>
      </c>
      <c r="CU84" s="21">
        <v>90</v>
      </c>
      <c r="CV84" s="21">
        <v>60</v>
      </c>
      <c r="CW84" s="217" t="str">
        <f ca="1">IF(R84="","",IF(AND(CN84&gt;19,CN84&lt;27,Tabla1[[#This Row],[T.A. SISTOLICA (Entre semana 20 y 26)]]="",Tabla1[[#This Row],[T.A. DIATOLICA (Entre semana 20 y 26)]]=""),"ACUDE A CONTROL SEM 20 A 26 REGISTRE TA AHORA",IF(AND(BS84&gt;1,BS84&lt;27,BU84&gt;19,Tabla1[[#This Row],[T.A. SISTOLICA (Entre semana 20 y 26)]]="",Tabla1[[#This Row],[T.A. DIATOLICA (Entre semana 20 y 26)]]=""),"COMPLETE REGISTRO TA CONTROL SEM 20 A26 ",IF(AND(BS84&gt;26,BS84&lt;43,Tabla1[[#This Row],[T.A. SISTOLICA (Entre semana 20 y 26)]]="",Tabla1[[#This Row],[T.A. DIATOLICA (Entre semana 20 y 26)]]=""),"NO APLICA REGISTRO TA-INGRESO TARDIO",IF(AND(OR(O84&gt;0,R84&gt;0),OR(CU84&gt;=140,CV84&gt;=90)),"ALTO RIESGO PREECLAMPSIA,DEFINIR ESTADIO HTA",IF(AND(OR(O84&gt;0,R84&gt;0),AND(CU84&gt;120,CU84&lt;=139)),"PRE HTA SEGUIMIENTO,RIESGO HIPERTENSION INDUCIDA POR EL EMBARAZO",IF(AND(OR(O84&gt;0,R84&gt;0),AND(CV84&gt;80,CV84&lt;=89)),"PRE HTA SEGUIMIENTO, RIESGO HIPERTENSION INDUCIDA POR EL EMBARAZO",IF(AND(OR(O84&lt;&gt;"",R84&lt;&gt;""),CS84&lt;&gt;"",CV84&lt;&gt;"",CS84&lt;=CV84),"VIGILAR CIFRAS PRESION ARTERIAL",IF(AND(OR(O84&gt;0,R84&gt;0),AND(CU84&gt;120,CU84&lt;=139)),"PRE HTA SEGUIMIENTO",IF(AND(OR(O84&gt;0,R84&gt;0),AND(CU84&gt;1,CU84&lt;=70),AND(CV84&gt;1,CV84&lt;=40)),"HIPOTENSIÓN",IF(AND(OR(O84&lt;&gt;"",R84&lt;&gt;""),CS84&lt;&gt;"",CV84&lt;&gt;"",CS84&gt;CV84),"APARENTEMENTE NORMAL",IF(AND(OR(O84&gt;0,R84&gt;0),AND(CU84&gt;=80,CU84&lt;=120)),"APARENTEMENTE NORMAL",IF(AND(OR(O84&gt;0,R84&gt;0),AND(CV84&gt;=50,CV84&lt;=80)),"APARENTEMENTE NORMAL","")))))))))))))</f>
        <v>APARENTEMENTE NORMAL</v>
      </c>
      <c r="CX84" s="21">
        <v>90</v>
      </c>
      <c r="CY84" s="21">
        <v>60</v>
      </c>
      <c r="CZ84" s="216" t="str">
        <f t="shared" si="263"/>
        <v>APARENTEMENTE NORMAL</v>
      </c>
      <c r="DA84" s="21">
        <v>90</v>
      </c>
      <c r="DB84" s="21">
        <v>60</v>
      </c>
      <c r="DC84" s="217" t="str">
        <f t="shared" si="264"/>
        <v>APARENTEMENTE NORMAL</v>
      </c>
      <c r="DD84" s="22">
        <v>44958</v>
      </c>
      <c r="DE84" s="22">
        <v>44958</v>
      </c>
      <c r="DF84" s="22">
        <v>45001</v>
      </c>
      <c r="DG84" s="22">
        <v>45050</v>
      </c>
      <c r="DH84" s="22"/>
      <c r="DI84" s="22"/>
      <c r="DJ84" s="22"/>
      <c r="DK84" s="22"/>
      <c r="DL84" s="22"/>
      <c r="DM84" s="22"/>
      <c r="DN84" s="22"/>
      <c r="DO84" s="22"/>
      <c r="DP84" s="22"/>
      <c r="DQ84" s="22"/>
      <c r="DR84" s="28">
        <v>1</v>
      </c>
      <c r="DS84" s="22"/>
      <c r="DT84" s="22"/>
      <c r="DU84" s="216" t="str">
        <f t="shared" ca="1" si="438"/>
        <v>SALE SIN PLAN DE PARTO</v>
      </c>
      <c r="DV84" s="226" t="str">
        <f t="shared" si="439"/>
        <v>SALIO PROGRAMA</v>
      </c>
      <c r="DW8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4" s="216" t="str">
        <f t="shared" ca="1" si="266"/>
        <v/>
      </c>
      <c r="DY84" s="212">
        <f>IF(R84="","",IF(R84&gt;0,MAX(Tabla1[[#This Row],[FECHA C2]:[FECHA C13]],Tabla1[[#This Row],[FECHA CONSULTA PRIMERA VEZ PROGRAMA CPN ]])))</f>
        <v>45050</v>
      </c>
      <c r="DZ84" s="216">
        <f t="shared" si="267"/>
        <v>33</v>
      </c>
      <c r="EA84" s="222">
        <f>IF(R84&gt;0,SUM(COUNTA(DF84:DQ84)+COUNTA(Tabla1[[#This Row],[FECHA CONSULTA PRIMERA VEZ PROGRAMA CPN ]])),"")</f>
        <v>3</v>
      </c>
      <c r="EB84" s="222" t="str">
        <f t="shared" si="268"/>
        <v>NO</v>
      </c>
      <c r="EC84" s="214">
        <f t="shared" si="269"/>
        <v>6</v>
      </c>
      <c r="ED84" s="227">
        <f t="shared" si="270"/>
        <v>0.5</v>
      </c>
      <c r="EE84" s="22">
        <v>44958</v>
      </c>
      <c r="EF84" s="22">
        <v>44958</v>
      </c>
      <c r="EG84" s="22">
        <v>44958</v>
      </c>
      <c r="EH84" s="22"/>
      <c r="EI84" s="22">
        <v>44958</v>
      </c>
      <c r="EJ84" s="22"/>
      <c r="EK84" s="22"/>
      <c r="EL84" s="21"/>
      <c r="EM84" s="21">
        <v>13.8</v>
      </c>
      <c r="EN84" s="22">
        <v>45051</v>
      </c>
      <c r="EO84" s="222">
        <f t="shared" si="271"/>
        <v>34</v>
      </c>
      <c r="EP84" s="214" t="str">
        <f t="shared" si="272"/>
        <v>NORMAL- SUMINISTRAR SULFATO FERROSO</v>
      </c>
      <c r="EQ84" s="216" t="str">
        <f t="shared" si="273"/>
        <v>III TRIM</v>
      </c>
      <c r="ER84" s="24"/>
      <c r="ES84" s="22"/>
      <c r="ET84" s="29" t="str">
        <f t="shared" ca="1" si="440"/>
        <v>SALE SIN TAMIZAJE HEMOGLOBINA SEM 28</v>
      </c>
      <c r="EU84" s="25" t="str">
        <f t="shared" si="275"/>
        <v/>
      </c>
      <c r="EV84" s="24" t="s">
        <v>866</v>
      </c>
      <c r="EW84" s="24">
        <v>44959</v>
      </c>
      <c r="EX84" s="22"/>
      <c r="EY84" s="29">
        <f t="shared" si="248"/>
        <v>20.857142857142858</v>
      </c>
      <c r="EZ84" s="25" t="str">
        <f t="shared" ca="1" si="249"/>
        <v/>
      </c>
      <c r="FA84" s="21">
        <v>78</v>
      </c>
      <c r="FB84" s="22">
        <v>44959</v>
      </c>
      <c r="FC84" s="29">
        <f t="shared" si="276"/>
        <v>20.857142857142858</v>
      </c>
      <c r="FD84" s="29">
        <v>76</v>
      </c>
      <c r="FE84" s="29">
        <v>108</v>
      </c>
      <c r="FF84" s="29">
        <v>186</v>
      </c>
      <c r="FG84" s="21" t="str">
        <f t="shared" ca="1" si="277"/>
        <v>DIABETES, REMITIR</v>
      </c>
      <c r="FH84" s="31">
        <v>44988</v>
      </c>
      <c r="FI84" s="29">
        <f t="shared" si="278"/>
        <v>25</v>
      </c>
      <c r="FJ84" s="22"/>
      <c r="FK84" s="22"/>
      <c r="FL84" s="29" t="str">
        <f t="shared" ca="1" si="279"/>
        <v>NO APLICA-INGRESO TARDIO</v>
      </c>
      <c r="FM84" s="22" t="s">
        <v>867</v>
      </c>
      <c r="FN84" s="32">
        <v>44959</v>
      </c>
      <c r="FO84" s="29">
        <f t="shared" ca="1" si="441"/>
        <v>20.857142857142858</v>
      </c>
      <c r="FP84" s="22"/>
      <c r="FQ84" s="32"/>
      <c r="FR84" s="29" t="str">
        <f t="shared" ca="1" si="442"/>
        <v>PIERDE TOMA DE TAMIZAJE</v>
      </c>
      <c r="FS84" s="22"/>
      <c r="FT84" s="32"/>
      <c r="FU84" s="29" t="str">
        <f>IF(AND(FJ84="",FM84="",FP84="",FS84=""),"",IF(OR(OR(Tabla1[[#This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4" s="28"/>
      <c r="FW84" s="22"/>
      <c r="FX84" s="29" t="str">
        <f t="shared" si="280"/>
        <v>TOMAR EXAMEN</v>
      </c>
      <c r="FY84" s="22"/>
      <c r="FZ84" s="22"/>
      <c r="GA84" s="29" t="str">
        <f t="shared" ca="1" si="250"/>
        <v>NO APLICA-INGRESO TARDIO</v>
      </c>
      <c r="GB84" s="22" t="s">
        <v>868</v>
      </c>
      <c r="GC84" s="22">
        <v>44959</v>
      </c>
      <c r="GD84" s="29">
        <f t="shared" ca="1" si="443"/>
        <v>20.857142857142858</v>
      </c>
      <c r="GE84" s="22"/>
      <c r="GF84" s="22"/>
      <c r="GG84" s="29" t="str">
        <f t="shared" ca="1" si="444"/>
        <v>PIERDE TOMA DE TAMIZAJE</v>
      </c>
      <c r="GH84" s="22"/>
      <c r="GI84" s="29"/>
      <c r="GJ84" s="22"/>
      <c r="GK84" s="22"/>
      <c r="GL84" s="22"/>
      <c r="GM84" s="22"/>
      <c r="GN84" s="28"/>
      <c r="GO84" s="22"/>
      <c r="GP84" s="29" t="str">
        <f t="shared" si="283"/>
        <v>TOMAR EXAMEN</v>
      </c>
      <c r="GQ84" s="28" t="s">
        <v>880</v>
      </c>
      <c r="GR84" s="28" t="s">
        <v>869</v>
      </c>
      <c r="GS84" s="22" t="str">
        <f t="shared" si="284"/>
        <v>SE EXCLUYE INFECCION</v>
      </c>
      <c r="GT84" s="22">
        <v>44959</v>
      </c>
      <c r="GU84" s="29">
        <f t="shared" si="285"/>
        <v>20.857142857142858</v>
      </c>
      <c r="GV84" s="21" t="str">
        <f t="shared" si="286"/>
        <v>II TRIM</v>
      </c>
      <c r="GW84" s="28" t="s">
        <v>869</v>
      </c>
      <c r="GX84" s="30"/>
      <c r="GY84" s="21"/>
      <c r="GZ84" s="21"/>
      <c r="HA84" s="21"/>
      <c r="HB84" s="21"/>
      <c r="HC84" s="21"/>
      <c r="HD84" s="21"/>
      <c r="HE84" s="21"/>
      <c r="HF84" s="22"/>
      <c r="HG84" s="22" t="str">
        <f>IF(OR(O84&gt;0,R84&gt;0),CONCATENATE(IF(Tabla1[[#This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4" s="22" t="e">
        <f t="shared" si="287"/>
        <v>#REF!</v>
      </c>
      <c r="HI84" s="22" t="e">
        <f t="shared" ca="1" si="288"/>
        <v>#REF!</v>
      </c>
      <c r="HJ84" s="21"/>
      <c r="HK84" s="21" t="str">
        <f t="shared" si="289"/>
        <v>SIN ANTECEDENTES DE RIESGO</v>
      </c>
      <c r="HL84" s="24" t="str">
        <f t="shared" si="290"/>
        <v>APARENTEMENTE NORMAL</v>
      </c>
      <c r="HM84" s="21" t="str">
        <f t="shared" ca="1" si="291"/>
        <v/>
      </c>
      <c r="HN84" s="30" t="str">
        <f t="shared" si="445"/>
        <v>SALIO PROGRAMA</v>
      </c>
      <c r="HO84" s="21"/>
      <c r="HP84" s="21"/>
      <c r="HQ84" s="21">
        <v>44959</v>
      </c>
      <c r="HR84" s="21" t="str">
        <f>IF(R84="","",IF(Tabla1[[#This Row],[ALARMA FACTORES DE RIESGO COMPLICACIONES HIPERTENSIVAS3]]="SIN ANTECEDENTES DE RIESGO","No Aplica para suministro de ASA",IF(AND(Tabla1[[#This Row],[FECHA INICIO DE SUMINISTRO DE ASA]]&gt;0,RV84&lt;12),"Inicia ASA ANTES de Sem 12",IF(AND(RV84&gt;11,RV84&lt;17,OR(HK84="RIESGO ALTO DE COMPLICACIONES HIPERTENSIVAS VER MANEJO GUIA SUMINISTRO ASA Y CALCIO",HK84="RIESGO MODERADO (2 O MAS CRITERIOS) VER MANEJO GUIA SUMINISTRO ASA Y CALCIO")),"Inicio oportuno de ASA",IF(AND(RV84&gt;12,OR(HK84="RIESGO ALTO DE COMPLICACIONES HIPERTENSIVAS VER MANEJO GUIA SUMINISTRO ASA Y CALCIO",HK84="RIESGO MODERADO (2 O MAS CRITERIOS) VER MANEJO GUIA SUMINISTRO ASA Y CALCIO")),"Inicio no oportuno mayor a 16 semanas",IF(AND(BU84&lt;12,OR(HK84="RIESGO ALTO DE COMPLICACIONES HIPERTENSIVAS VER MANEJO GUIA SUMINISTRO ASA Y CALCIO",HK84="RIESGO MODERADO (2 O MAS CRITERIOS) VER MANEJO GUIA SUMINISTRO ASA Y CALCIO")),"Pendiente Inicio de ASA a la semana 12",IF(AND(BU84&gt;11,BU84&lt;17,OR(HK84="RIESGO ALTO DE COMPLICACIONES HIPERTENSIVAS VER MANEJO GUIA SUMINISTRO ASA Y CALCIO",HK84="RIESGO MODERADO (2 O MAS CRITERIOS) VER MANEJO GUIA SUMINISTRO ASA Y CALCIO")),"Iniciar de inmediato ASA",IF(AND(BU84&gt;16,OR(HK84="RIESGO ALTO DE COMPLICACIONES HIPERTENSIVAS VER MANEJO GUIA SUMINISTRO ASA Y CALCIO",HK84="RIESGO MODERADO (2 O MAS CRITERIOS) VER MANEJO GUIA SUMINISTRO ASA Y CALCIO")),"Pierde Oportunidad, Inicio tardío de ASA","XXXXX"))))))))</f>
        <v>No Aplica para suministro de ASA</v>
      </c>
      <c r="HS84" s="22">
        <v>44959</v>
      </c>
      <c r="HT84" s="22" t="s">
        <v>870</v>
      </c>
      <c r="HU84" s="22"/>
      <c r="HV84" s="22"/>
      <c r="HW84" s="22">
        <v>44959</v>
      </c>
      <c r="HX84" s="22" t="s">
        <v>870</v>
      </c>
      <c r="HY84" s="22">
        <v>44958</v>
      </c>
      <c r="HZ84" s="28">
        <f t="shared" si="292"/>
        <v>20.714285714285715</v>
      </c>
      <c r="IA84" s="26"/>
      <c r="IB84" s="26"/>
      <c r="IC84" s="111"/>
      <c r="ID84" s="22"/>
      <c r="IE84" s="22" t="str">
        <f t="shared" ca="1" si="293"/>
        <v>SALE SIN VACUNA</v>
      </c>
      <c r="IF84" s="22"/>
      <c r="IG84" s="22">
        <f t="shared" si="294"/>
        <v>45093</v>
      </c>
      <c r="IH84" s="29">
        <f t="shared" ca="1" si="295"/>
        <v>-140</v>
      </c>
      <c r="II84" s="22" t="str">
        <f t="shared" ca="1" si="296"/>
        <v>POSIBLEMENTE NACIO</v>
      </c>
      <c r="IJ84" s="22"/>
      <c r="IK84" s="21" t="s">
        <v>898</v>
      </c>
      <c r="IL84" s="21"/>
      <c r="IM84" s="34"/>
      <c r="IN84" s="349">
        <v>45093</v>
      </c>
      <c r="IO84" s="21" t="s">
        <v>1640</v>
      </c>
      <c r="IP84" s="29">
        <f t="shared" si="435"/>
        <v>40</v>
      </c>
      <c r="IQ84" s="110"/>
      <c r="IR84" s="21" t="s">
        <v>879</v>
      </c>
      <c r="IS84" s="21" t="s">
        <v>1648</v>
      </c>
      <c r="IT84" s="21" t="s">
        <v>1642</v>
      </c>
      <c r="IU84" s="21"/>
      <c r="IV84" s="21"/>
      <c r="IW84" s="21"/>
      <c r="IX84" s="21"/>
      <c r="IY84" s="21"/>
      <c r="IZ84" s="21"/>
      <c r="JA84" s="21"/>
      <c r="JB84" s="30">
        <v>1</v>
      </c>
      <c r="JC84" s="21" t="s">
        <v>1643</v>
      </c>
      <c r="JD84" s="36">
        <v>2600</v>
      </c>
      <c r="JE84" s="21" t="str">
        <f t="shared" si="446"/>
        <v>PESO ADECUADO EDAD GESTACIONAL</v>
      </c>
      <c r="JF84" s="30"/>
      <c r="JG84" s="21"/>
      <c r="JH84" s="21"/>
      <c r="JI84" s="21"/>
      <c r="JJ84" s="30"/>
      <c r="JK84" s="22"/>
      <c r="JL84" s="22"/>
      <c r="JM84" s="21"/>
      <c r="JN84" s="36"/>
      <c r="JO84" s="21" t="str">
        <f t="shared" si="447"/>
        <v/>
      </c>
      <c r="JP84" s="22"/>
      <c r="JQ84" s="21"/>
      <c r="JR84" s="21"/>
      <c r="JS84" s="21"/>
      <c r="JT84" s="30"/>
      <c r="JU84" s="22"/>
      <c r="JV84" s="22"/>
      <c r="JW84" s="33"/>
      <c r="JX84" s="28" t="str">
        <f t="shared" si="448"/>
        <v>INASISTENTE</v>
      </c>
      <c r="JY84" s="33"/>
      <c r="JZ84" s="28" t="str">
        <f t="shared" si="449"/>
        <v>INASISTENTE</v>
      </c>
      <c r="KA84" s="21"/>
      <c r="KB84" s="21"/>
      <c r="KC84" s="21"/>
      <c r="KD84" s="37"/>
      <c r="KE84" s="28"/>
      <c r="KF84" s="28"/>
      <c r="KG84" s="28"/>
      <c r="KH84" s="39"/>
      <c r="KI84" s="39"/>
      <c r="KJ84" s="66"/>
      <c r="KK84" s="39"/>
      <c r="KL84" s="39"/>
      <c r="KM84" s="66"/>
      <c r="KN84" s="39"/>
      <c r="KO84" s="39"/>
      <c r="KP84" s="39"/>
      <c r="KQ84" s="39"/>
      <c r="KR84" s="39"/>
      <c r="KS84" s="39"/>
      <c r="KT84" s="39"/>
      <c r="KU84" s="38"/>
      <c r="KV84" s="38"/>
      <c r="KW84" s="38"/>
      <c r="KX84" s="38"/>
      <c r="KY84" s="38"/>
      <c r="KZ84" s="38"/>
      <c r="LA84" s="38"/>
      <c r="LB84" s="38"/>
      <c r="LC84" s="38"/>
      <c r="LD84" s="38"/>
      <c r="LE84" s="38"/>
      <c r="LF84" s="38"/>
      <c r="LG84" s="38"/>
      <c r="LH84" s="38"/>
      <c r="LI84" s="38"/>
      <c r="LJ84" s="38"/>
      <c r="LK84" s="38"/>
      <c r="LL84" s="38"/>
      <c r="LM84" s="38"/>
      <c r="LN84" s="38"/>
      <c r="LO84" s="38"/>
      <c r="LP84" s="38"/>
      <c r="LQ84" s="38"/>
      <c r="LR84" s="38"/>
      <c r="LS84" s="38"/>
      <c r="LT84" s="38"/>
      <c r="LU84" s="38"/>
      <c r="LV84" s="38"/>
      <c r="LW84" s="38"/>
      <c r="LX84" s="38"/>
      <c r="LY84" s="38"/>
      <c r="LZ84" s="38"/>
      <c r="MA84" s="38"/>
      <c r="MB84" s="38"/>
      <c r="MC84" s="38"/>
      <c r="MD84" s="38"/>
      <c r="ME84" s="38"/>
      <c r="MF84" s="38"/>
      <c r="MG84" s="38"/>
      <c r="MH84" s="43">
        <f t="shared" si="302"/>
        <v>0</v>
      </c>
      <c r="MI84" s="43" t="str">
        <f t="shared" si="303"/>
        <v/>
      </c>
      <c r="MJ84" s="43" t="str">
        <f t="shared" si="304"/>
        <v/>
      </c>
      <c r="MK84" s="43">
        <f t="shared" si="305"/>
        <v>0</v>
      </c>
      <c r="ML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4" s="43">
        <f t="shared" si="306"/>
        <v>20.714285714285715</v>
      </c>
      <c r="MN84" s="43">
        <f t="shared" si="307"/>
        <v>2</v>
      </c>
      <c r="MO84" s="43">
        <f t="shared" si="308"/>
        <v>2023</v>
      </c>
      <c r="MP84" s="43" t="str">
        <f t="shared" si="309"/>
        <v>I TRIMESTRE AÑO</v>
      </c>
      <c r="MQ84" s="43">
        <f t="shared" si="310"/>
        <v>20.931887866841873</v>
      </c>
      <c r="MR84" s="43">
        <f t="shared" si="311"/>
        <v>0</v>
      </c>
      <c r="MS84" s="43" t="str">
        <f t="shared" si="312"/>
        <v xml:space="preserve"> DE 20 A 24 AÑOS</v>
      </c>
      <c r="MT84" s="43">
        <f t="shared" si="313"/>
        <v>0</v>
      </c>
      <c r="MU84" s="43">
        <f t="shared" si="314"/>
        <v>0</v>
      </c>
      <c r="MV84" s="43">
        <f t="shared" si="315"/>
        <v>0</v>
      </c>
      <c r="MW84" s="43">
        <f t="shared" si="316"/>
        <v>0</v>
      </c>
      <c r="MX84" s="43" t="str">
        <f t="shared" si="317"/>
        <v/>
      </c>
      <c r="MY84" s="43" t="str">
        <f t="shared" ca="1" si="450"/>
        <v/>
      </c>
      <c r="MZ84" s="43" t="str">
        <f t="shared" si="318"/>
        <v/>
      </c>
      <c r="NA84" s="43">
        <f t="shared" si="319"/>
        <v>0</v>
      </c>
      <c r="NB84" s="43" t="str">
        <f t="shared" si="320"/>
        <v/>
      </c>
      <c r="NC84" s="43" t="str">
        <f t="shared" si="321"/>
        <v/>
      </c>
      <c r="ND84" s="43">
        <f t="shared" ca="1" si="322"/>
        <v>2</v>
      </c>
      <c r="NE84" s="43">
        <f>IF(OR(O84&gt;0,R84&gt;0),SUM(COUNTIF(Tabla1[[#This Row],[AÑOS AL INICIO5 CPN]],"&gt;=40"),COUNTIF(AS84,"0"),COUNTIF(AR84,"SI"),COUNTIF(CC84,"SI"),COUNTIF(BQ84,"&gt;119"),COUNTIF(CI84,"&gt;=35")),"")</f>
        <v>0</v>
      </c>
      <c r="NF84" s="43" t="str">
        <f t="shared" si="323"/>
        <v/>
      </c>
      <c r="NG84" s="43">
        <f t="shared" si="324"/>
        <v>0</v>
      </c>
      <c r="NH84" s="43">
        <f t="shared" si="325"/>
        <v>147</v>
      </c>
      <c r="NI8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CPN",P84="NO"),"Z",IF(AND(Tabla1[[#This Row],[CITA PROXIMO CONTROL]]="CITA MANUAL",Tabla1[[#This Row],[GESTANTES ACTUALES]]="ACTIVA INGRESO A CPN"),"W",IF(AND(Tabla1[[#This Row],[GESTANTES ACTUALES]]="SALIO PROGRAMA",IN84=""),"S",IF(AND(Tabla1[[#This Row],[CITA PROXIMO CONTROL]]&gt;0,IN84=""),(Tabla1[[#This Row],[CITA PROXIMO CONTROL]]-TODAY()),"SD"))))))))</f>
        <v>SD</v>
      </c>
      <c r="NJ84" s="43">
        <f>MONTH(Tabla1[[#This Row],[FECHA DE SALIDA  DEL PROGRAMA]])</f>
        <v>6</v>
      </c>
      <c r="NK84" s="43">
        <f>YEAR(Tabla1[[#This Row],[FECHA DE SALIDA  DEL PROGRAMA]])</f>
        <v>2023</v>
      </c>
      <c r="NL84" s="43" t="str">
        <f t="shared" si="326"/>
        <v>X</v>
      </c>
      <c r="NM84" s="43" t="str">
        <f t="shared" si="251"/>
        <v>NO</v>
      </c>
      <c r="NN84" s="43" t="str">
        <f ca="1">IF(AND(O84&gt;0,R84=""),"NO CPN",IF(AND(O84="",R84=""),"",IF(AND(R84&gt;0,Tabla1[[#This Row],[SEMANAS DE GESTACION ACTUALIZADAS]]&lt;=12),"NO APLICA",IF(AND(FH84&lt;&gt;"",FN84&lt;&gt;""),"SI","NO"))))</f>
        <v>SI</v>
      </c>
      <c r="NO84" s="43" t="str">
        <f ca="1">IF(AND(O84&gt;0,R84=""),"NO CPN",IF(AND(O84="",R84=""),"",IF(AND(R84&gt;0,Tabla1[[#This Row],[SEMANAS DE GESTACION ACTUALIZADAS]]&lt;=27),"NO APLICA",IF(AND(ES84&lt;&gt;"",FQ84&lt;&gt;"",GF84&lt;&gt;""),"SI","NO"))))</f>
        <v>NO</v>
      </c>
      <c r="NP84" s="204" t="str">
        <f t="shared" si="327"/>
        <v>II TRIM</v>
      </c>
      <c r="NQ84" s="21" t="str">
        <f t="shared" si="436"/>
        <v/>
      </c>
      <c r="NR84" s="21">
        <f t="shared" si="451"/>
        <v>2</v>
      </c>
      <c r="NS84" s="205">
        <f t="shared" ca="1" si="328"/>
        <v>1</v>
      </c>
      <c r="NT84" s="21">
        <f t="shared" ca="1" si="329"/>
        <v>1</v>
      </c>
      <c r="NU84" s="21" t="str">
        <f t="shared" ca="1" si="330"/>
        <v>INCOMPLETO</v>
      </c>
      <c r="NV84" s="21" t="str">
        <f t="shared" ca="1" si="331"/>
        <v>INCOMPLETO</v>
      </c>
      <c r="NW84" s="206" t="str">
        <f>IF(AND(O84="",R84=""),"",IF(OR(AND(Tabla1[[#This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4" s="207" t="str">
        <f t="shared" ca="1" si="332"/>
        <v>SIN VACUNAR</v>
      </c>
      <c r="NY84" s="43">
        <f>ROW(Tabla1[[#This Row],['# DE TAMIZAJES SIFILIS TOMADOS ]])</f>
        <v>84</v>
      </c>
      <c r="NZ84" s="43">
        <f t="shared" si="333"/>
        <v>20</v>
      </c>
      <c r="OA84" s="43" t="str">
        <f t="shared" si="334"/>
        <v/>
      </c>
      <c r="OB84" s="43" t="str">
        <f t="shared" si="335"/>
        <v/>
      </c>
      <c r="OC84" s="43" t="str">
        <f t="shared" si="336"/>
        <v/>
      </c>
      <c r="OD84" s="43" t="str">
        <f t="shared" si="337"/>
        <v/>
      </c>
      <c r="OE84" s="43" t="str">
        <f t="shared" si="338"/>
        <v/>
      </c>
      <c r="OF84" s="43" t="str">
        <f t="shared" si="339"/>
        <v/>
      </c>
      <c r="OG84" s="43" t="str">
        <f t="shared" si="340"/>
        <v/>
      </c>
      <c r="OH84" s="43" t="str">
        <f t="shared" si="341"/>
        <v/>
      </c>
      <c r="OI84" s="43" t="str">
        <f t="shared" si="342"/>
        <v/>
      </c>
      <c r="OJ84" s="43" t="str">
        <f t="shared" si="343"/>
        <v/>
      </c>
      <c r="OK84" s="43" t="str">
        <f t="shared" si="344"/>
        <v/>
      </c>
      <c r="OL84" s="43" t="str">
        <f t="shared" si="345"/>
        <v>NORMAL</v>
      </c>
      <c r="OM84" s="43" t="str">
        <f t="shared" si="346"/>
        <v/>
      </c>
      <c r="ON84" s="43" t="str">
        <f t="shared" si="347"/>
        <v/>
      </c>
      <c r="OO84" s="43" t="str">
        <f t="shared" si="348"/>
        <v/>
      </c>
      <c r="OP84" s="43" t="str">
        <f t="shared" si="349"/>
        <v/>
      </c>
      <c r="OQ84" s="43" t="str">
        <f t="shared" si="350"/>
        <v/>
      </c>
      <c r="OR84" s="43" t="str">
        <f t="shared" si="351"/>
        <v/>
      </c>
      <c r="OS84" s="43" t="str">
        <f t="shared" si="352"/>
        <v/>
      </c>
      <c r="OT84" s="43" t="str">
        <f t="shared" si="353"/>
        <v/>
      </c>
      <c r="OU84" s="43" t="str">
        <f t="shared" si="354"/>
        <v/>
      </c>
      <c r="OV84" s="110" t="str">
        <f t="shared" si="355"/>
        <v/>
      </c>
      <c r="OW84" s="43" t="str">
        <f t="shared" si="356"/>
        <v/>
      </c>
      <c r="OX84" s="43" t="str">
        <f t="shared" si="357"/>
        <v/>
      </c>
      <c r="OY84" s="43" t="str">
        <f t="shared" si="358"/>
        <v/>
      </c>
      <c r="OZ84" s="43" t="str">
        <f t="shared" si="359"/>
        <v/>
      </c>
      <c r="PA84" s="43" t="str">
        <f t="shared" si="360"/>
        <v/>
      </c>
      <c r="PB84" s="43" t="str">
        <f t="shared" si="361"/>
        <v/>
      </c>
      <c r="PC84" s="43" t="str">
        <f t="shared" si="362"/>
        <v/>
      </c>
      <c r="PD84" s="43" t="str">
        <f t="shared" si="363"/>
        <v/>
      </c>
      <c r="PE84" s="43" t="str">
        <f t="shared" si="364"/>
        <v/>
      </c>
      <c r="PF84" s="43" t="str">
        <f t="shared" si="365"/>
        <v/>
      </c>
      <c r="PG84" s="43" t="str">
        <f t="shared" si="366"/>
        <v/>
      </c>
      <c r="PH84" s="43" t="str">
        <f t="shared" si="367"/>
        <v/>
      </c>
      <c r="PI84" s="43">
        <f t="shared" si="368"/>
        <v>33</v>
      </c>
      <c r="PJ84" s="43" t="str">
        <f t="shared" si="369"/>
        <v/>
      </c>
      <c r="PK84" s="43" t="str">
        <f t="shared" si="370"/>
        <v/>
      </c>
      <c r="PL84" s="43" t="str">
        <f t="shared" si="371"/>
        <v/>
      </c>
      <c r="PM84" s="43" t="str">
        <f t="shared" si="372"/>
        <v/>
      </c>
      <c r="PN84" s="43" t="str">
        <f t="shared" si="373"/>
        <v/>
      </c>
      <c r="PO84" s="43" t="str">
        <f t="shared" si="374"/>
        <v/>
      </c>
      <c r="PP84" s="43" t="str">
        <f t="shared" si="375"/>
        <v/>
      </c>
      <c r="PQ84" s="43" t="str">
        <f t="shared" si="376"/>
        <v/>
      </c>
      <c r="PR84" s="43" t="str">
        <f t="shared" si="377"/>
        <v/>
      </c>
      <c r="PS84" s="43" t="str">
        <f t="shared" si="378"/>
        <v/>
      </c>
      <c r="PT84" s="43" t="str">
        <f t="shared" si="379"/>
        <v/>
      </c>
      <c r="PU84" s="43" t="str">
        <f t="shared" si="380"/>
        <v/>
      </c>
      <c r="PV84" s="43" t="str">
        <f t="shared" si="381"/>
        <v/>
      </c>
      <c r="PW84" s="43" t="str">
        <f t="shared" si="382"/>
        <v/>
      </c>
      <c r="PX84" s="43" t="str">
        <f t="shared" si="383"/>
        <v/>
      </c>
      <c r="PY84" s="43" t="str">
        <f t="shared" si="384"/>
        <v/>
      </c>
      <c r="PZ84" s="43" t="str">
        <f t="shared" si="385"/>
        <v/>
      </c>
      <c r="QA84" s="43" t="str">
        <f t="shared" si="386"/>
        <v/>
      </c>
      <c r="QB84" s="43" t="str">
        <f t="shared" si="387"/>
        <v/>
      </c>
      <c r="QC84" s="43" t="str">
        <f t="shared" si="388"/>
        <v/>
      </c>
      <c r="QD84" s="43" t="str">
        <f t="shared" si="389"/>
        <v/>
      </c>
      <c r="QE84" s="43" t="str">
        <f t="shared" si="390"/>
        <v/>
      </c>
      <c r="QF84" s="43" t="str">
        <f t="shared" si="391"/>
        <v/>
      </c>
      <c r="QG84" s="43" t="str">
        <f t="shared" si="392"/>
        <v/>
      </c>
      <c r="QH84" s="43" t="str">
        <f t="shared" si="393"/>
        <v>NORMAL</v>
      </c>
      <c r="QI84" s="43" t="str">
        <f t="shared" si="394"/>
        <v/>
      </c>
      <c r="QJ84" s="43" t="str">
        <f t="shared" si="395"/>
        <v/>
      </c>
      <c r="QK84" s="43" t="str">
        <f t="shared" si="396"/>
        <v/>
      </c>
      <c r="QL84" s="43" t="str">
        <f t="shared" si="397"/>
        <v/>
      </c>
      <c r="QM84" s="43" t="str">
        <f t="shared" si="398"/>
        <v/>
      </c>
      <c r="QN84" s="43" t="str">
        <f t="shared" si="399"/>
        <v/>
      </c>
      <c r="QO84" s="43" t="str">
        <f t="shared" si="400"/>
        <v/>
      </c>
      <c r="QP84" s="43" t="str">
        <f t="shared" si="401"/>
        <v/>
      </c>
      <c r="QQ84" s="43" t="str">
        <f t="shared" si="402"/>
        <v/>
      </c>
      <c r="QR84" s="43">
        <f t="shared" si="432"/>
        <v>33</v>
      </c>
      <c r="QS84" s="43"/>
      <c r="QT84" s="21" t="str">
        <f t="shared" si="403"/>
        <v/>
      </c>
      <c r="QU84" s="21" t="str">
        <f t="shared" si="404"/>
        <v/>
      </c>
      <c r="QV84" s="21" t="str">
        <f t="shared" si="405"/>
        <v/>
      </c>
      <c r="QW84" s="21" t="str">
        <f t="shared" si="406"/>
        <v/>
      </c>
      <c r="QX84" s="21" t="str">
        <f t="shared" si="407"/>
        <v/>
      </c>
      <c r="QY84" s="21" t="str">
        <f t="shared" si="408"/>
        <v/>
      </c>
      <c r="QZ84" s="21" t="str">
        <f t="shared" si="409"/>
        <v/>
      </c>
      <c r="RA84" s="21" t="str">
        <f t="shared" si="410"/>
        <v/>
      </c>
      <c r="RB84" s="21" t="str">
        <f t="shared" si="411"/>
        <v/>
      </c>
      <c r="RC84" s="21" t="str">
        <f t="shared" si="412"/>
        <v/>
      </c>
      <c r="RD84" s="21" t="str">
        <f t="shared" si="413"/>
        <v/>
      </c>
      <c r="RE84" s="21" t="str">
        <f t="shared" si="414"/>
        <v/>
      </c>
      <c r="RF84" s="21" t="str">
        <f t="shared" si="415"/>
        <v/>
      </c>
      <c r="RG84" s="21" t="str">
        <f t="shared" si="416"/>
        <v/>
      </c>
      <c r="RH84" s="21" t="str">
        <f t="shared" si="417"/>
        <v/>
      </c>
      <c r="RI84" s="21" t="str">
        <f t="shared" si="418"/>
        <v/>
      </c>
      <c r="RJ84" s="21" t="str">
        <f t="shared" si="419"/>
        <v/>
      </c>
      <c r="RK84" s="21" t="str">
        <f t="shared" si="420"/>
        <v/>
      </c>
      <c r="RL84" s="21" t="str">
        <f t="shared" si="421"/>
        <v/>
      </c>
      <c r="RM84" s="21" t="str">
        <f t="shared" si="422"/>
        <v/>
      </c>
      <c r="RN84" s="21" t="str">
        <f t="shared" si="423"/>
        <v>ADECUADO PARA EDAD GESTACIONAL</v>
      </c>
      <c r="RO84" s="21" t="str">
        <f t="shared" si="424"/>
        <v/>
      </c>
      <c r="RP84" s="21" t="str">
        <f t="shared" si="425"/>
        <v/>
      </c>
      <c r="RQ84" s="21" t="str">
        <f t="shared" si="426"/>
        <v/>
      </c>
      <c r="RR84" s="21" t="str">
        <f t="shared" si="427"/>
        <v/>
      </c>
      <c r="RS84" s="21" t="str">
        <f t="shared" si="428"/>
        <v/>
      </c>
      <c r="RT84" s="21" t="str">
        <f t="shared" si="429"/>
        <v/>
      </c>
      <c r="RU84" s="21" t="str">
        <f t="shared" si="430"/>
        <v/>
      </c>
      <c r="RV84" s="21">
        <f t="shared" si="431"/>
        <v>20.857142857142858</v>
      </c>
      <c r="RW84" s="284">
        <f>IF(OR(Tabla1[[#This Row],[FUM FORMULA CONFIABLE]]="",Tabla1[[#This Row],[FUM FORMULA CONFIABLE]]="SD"),"",IF(Tabla1[[#This Row],[FUM FORMULA CONFIABLE]]="CORREGIDA",Tabla1[[#This Row],[FUM X ECO 1]],Tabla1[[#This Row],[FUM x AMENORREA]]))</f>
        <v>44813</v>
      </c>
      <c r="RX84" s="21">
        <f>IF(AND(Tabla1[[#This Row],[FUM X ECO 1]]="",Tabla1[[#This Row],[FUM x AMENORREA]]=""),"",IF(AND(Tabla1[[#This Row],[FUM X ECO 1]]="",Tabla1[[#This Row],[FUM x AMENORREA]]&lt;&gt;""),"X",SUM(Tabla1[[#This Row],[FUM X ECO 1]]-Tabla1[[#This Row],[FUM x AMENORREA]])))</f>
        <v>0</v>
      </c>
      <c r="RY84" s="21">
        <f t="shared" si="433"/>
        <v>0</v>
      </c>
    </row>
    <row r="85" spans="1:493" ht="45" customHeight="1" x14ac:dyDescent="0.25">
      <c r="A85" s="109"/>
      <c r="B85" s="43"/>
      <c r="C85" s="43" t="s">
        <v>845</v>
      </c>
      <c r="D85" s="124"/>
      <c r="E85" s="43" t="s">
        <v>1255</v>
      </c>
      <c r="F85" s="43" t="s">
        <v>1256</v>
      </c>
      <c r="G85" s="43" t="s">
        <v>1257</v>
      </c>
      <c r="H85" s="43" t="s">
        <v>1258</v>
      </c>
      <c r="I85" s="109" t="s">
        <v>851</v>
      </c>
      <c r="J85" s="110">
        <v>1061690037</v>
      </c>
      <c r="K85" s="43" t="s">
        <v>852</v>
      </c>
      <c r="L85" s="175" t="s">
        <v>853</v>
      </c>
      <c r="M85" s="22">
        <v>37994</v>
      </c>
      <c r="N85" s="213">
        <f t="shared" ca="1" si="252"/>
        <v>19.832876712328765</v>
      </c>
      <c r="O85" s="22">
        <v>44952</v>
      </c>
      <c r="P85" s="214" t="str">
        <f t="shared" si="437"/>
        <v>SI</v>
      </c>
      <c r="Q85" s="26" t="s">
        <v>855</v>
      </c>
      <c r="R85" s="22">
        <v>44952</v>
      </c>
      <c r="S85" s="21" t="s">
        <v>856</v>
      </c>
      <c r="T85" s="24" t="s">
        <v>690</v>
      </c>
      <c r="U85" s="21" t="s">
        <v>857</v>
      </c>
      <c r="V85" s="21" t="s">
        <v>858</v>
      </c>
      <c r="W85" s="21" t="s">
        <v>1259</v>
      </c>
      <c r="X85" s="21" t="s">
        <v>1259</v>
      </c>
      <c r="Y85" s="21" t="s">
        <v>859</v>
      </c>
      <c r="Z85" s="21">
        <v>31467744201</v>
      </c>
      <c r="AA85" s="21" t="s">
        <v>860</v>
      </c>
      <c r="AB85" s="27" t="s">
        <v>861</v>
      </c>
      <c r="AC85" s="26" t="s">
        <v>888</v>
      </c>
      <c r="AD85" s="38" t="s">
        <v>1546</v>
      </c>
      <c r="AE85" s="26" t="s">
        <v>854</v>
      </c>
      <c r="AF85" s="26" t="s">
        <v>854</v>
      </c>
      <c r="AG85" s="23" t="s">
        <v>864</v>
      </c>
      <c r="AH85" s="23" t="s">
        <v>864</v>
      </c>
      <c r="AI85" s="24" t="s">
        <v>863</v>
      </c>
      <c r="AJ85" s="23" t="s">
        <v>864</v>
      </c>
      <c r="AK85" s="220" t="str">
        <f>IF(AND(AD85="",AE85="",AF85="",AG85="",AH85="",AI85="",AJ85=""),"",IF(OR(Tabla1[[#This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EVALUACIÓN",IF(AND(O85="",R85=""),"",IF(AND(OR(O85&gt;0,R85&gt;0),NG85&gt;=0,NG85&lt;2),"SIN RIESGO",IF(AND(OR(O85&gt;0,R85&gt;0),NG85&gt;=2),"CON RIESGO","ASD")))))</f>
        <v>SIN RIESGO</v>
      </c>
      <c r="AL85" s="23" t="s">
        <v>864</v>
      </c>
      <c r="AM85" s="26" t="s">
        <v>864</v>
      </c>
      <c r="AN85" s="26" t="s">
        <v>864</v>
      </c>
      <c r="AO85" s="26" t="s">
        <v>864</v>
      </c>
      <c r="AP85" s="26" t="s">
        <v>864</v>
      </c>
      <c r="AQ85" s="26" t="s">
        <v>864</v>
      </c>
      <c r="AR85" s="26" t="s">
        <v>864</v>
      </c>
      <c r="AS85" s="21">
        <v>0</v>
      </c>
      <c r="AT85" s="21">
        <v>0</v>
      </c>
      <c r="AU85" s="21">
        <v>0</v>
      </c>
      <c r="AV85" s="26" t="s">
        <v>864</v>
      </c>
      <c r="AW85" s="21">
        <v>0</v>
      </c>
      <c r="AX85" s="26" t="s">
        <v>864</v>
      </c>
      <c r="AY85" s="26" t="s">
        <v>864</v>
      </c>
      <c r="AZ85" s="26" t="s">
        <v>864</v>
      </c>
      <c r="BA85" s="26" t="s">
        <v>864</v>
      </c>
      <c r="BB85" s="26" t="s">
        <v>864</v>
      </c>
      <c r="BC85" s="26" t="s">
        <v>864</v>
      </c>
      <c r="BD85" s="26" t="s">
        <v>864</v>
      </c>
      <c r="BE85" s="26" t="s">
        <v>864</v>
      </c>
      <c r="BF85" s="26" t="s">
        <v>864</v>
      </c>
      <c r="BG85" s="26" t="s">
        <v>864</v>
      </c>
      <c r="BH85" s="26" t="s">
        <v>864</v>
      </c>
      <c r="BI85" s="26" t="s">
        <v>864</v>
      </c>
      <c r="BJ85" s="26" t="s">
        <v>864</v>
      </c>
      <c r="BK85" s="26" t="s">
        <v>865</v>
      </c>
      <c r="BL85" s="26" t="s">
        <v>864</v>
      </c>
      <c r="BM85" s="26" t="s">
        <v>864</v>
      </c>
      <c r="BN85" s="22"/>
      <c r="BO85" s="22">
        <v>44889</v>
      </c>
      <c r="BP85" s="21" t="s">
        <v>854</v>
      </c>
      <c r="BQ85" s="222">
        <f t="shared" si="254"/>
        <v>0</v>
      </c>
      <c r="BR85" s="223">
        <f t="shared" si="255"/>
        <v>44889.3</v>
      </c>
      <c r="BS85" s="224">
        <f t="shared" si="256"/>
        <v>9</v>
      </c>
      <c r="BT85" s="216" t="str">
        <f t="shared" si="257"/>
        <v>I TRIM</v>
      </c>
      <c r="BU85" s="214" t="str">
        <f t="shared" ca="1" si="258"/>
        <v/>
      </c>
      <c r="BV85" s="25"/>
      <c r="BW85" s="22">
        <v>44960</v>
      </c>
      <c r="BX85" s="28">
        <v>10.1</v>
      </c>
      <c r="BY85" s="28"/>
      <c r="BZ85" s="22">
        <v>45016</v>
      </c>
      <c r="CA85" s="21">
        <v>17.5</v>
      </c>
      <c r="CB85" s="26" t="s">
        <v>864</v>
      </c>
      <c r="CC85" s="26" t="s">
        <v>864</v>
      </c>
      <c r="CD85" s="26" t="s">
        <v>878</v>
      </c>
      <c r="CE85" s="26" t="s">
        <v>864</v>
      </c>
      <c r="CF85" s="22" t="s">
        <v>1517</v>
      </c>
      <c r="CG85" s="21">
        <v>1.62</v>
      </c>
      <c r="CH85" s="21">
        <v>61</v>
      </c>
      <c r="CI85" s="214">
        <f t="shared" si="259"/>
        <v>23.243408017070564</v>
      </c>
      <c r="CJ85" s="225" t="str">
        <f>IF(AND(CI85&lt;10,CH85="SD"),"SIN DATO PESO PREGESTACION O I TRIM",IF(AND(OR(R85&gt;0,O85&gt;0),CI85="X"),"INGRESAR DATO DE PESO",IF(CI85="SD","INGRESAR DATO DE TALLA Y PESO",IF(AND(OR(Tabla1[[#This Row],[MOMENTO EN QUE SE REALIZA EL PESO AL INGRESO A CPN]]="PREGESTACIÓN",NZ85="Menor"),CI85&lt;18.5),"BAJO PESO",IF(AND(OR(Tabla1[[#This Row],[MOMENTO EN QUE SE REALIZA EL PESO AL INGRESO A CPN]]="PREGESTACIÓN",NZ85="Menor"),CI85&lt;25),"NORMAL",IF(AND(OR(Tabla1[[#This Row],[MOMENTO EN QUE SE REALIZA EL PESO AL INGRESO A CPN]]="PREGESTACIÓN",NZ85="Menor"),CI85&lt;30),"SOBREPESO",IF(AND(OR(Tabla1[[#This Row],[MOMENTO EN QUE SE REALIZA EL PESO AL INGRESO A CPN]]="PREGESTACIÓN",NZ85="Menor"),CI85&gt;=30,CI85&lt;50),"OBESIDAD",IF(AND(BS85&gt;0,Tabla1[[#This Row],[MOMENTO EN QUE SE REALIZA EL PESO AL INGRESO A CPN]]="GESTACIÓN"),HLOOKUP(NZ85,$OA$2:PH85,NY85),""))))))))</f>
        <v>NORMAL</v>
      </c>
      <c r="CK85" s="212">
        <f t="shared" si="260"/>
        <v>45041</v>
      </c>
      <c r="CL85" s="21">
        <v>61</v>
      </c>
      <c r="CM85" s="214">
        <f t="shared" si="261"/>
        <v>23.243408017070564</v>
      </c>
      <c r="CN85" s="216">
        <f t="shared" si="262"/>
        <v>21</v>
      </c>
      <c r="CO85" s="216" t="e">
        <f>IF(PI85="","",IF(PI85&gt;0,HLOOKUP(PI85,$PJ$2:QQ85,NY85),""))</f>
        <v>#REF!</v>
      </c>
      <c r="CP85" s="21"/>
      <c r="CQ85" s="216" t="e">
        <f>IF(QR85="Menor","NO APLICA-MENOR 13 SEM",IF(AND(CC85="SI",CN85&gt;23),"NO APLICA- GEMELAR",IF(QR85="","",IF(QR85&gt;0,HLOOKUP(QR85,$QS$2:RU85,NY85),""))))</f>
        <v>#REF!</v>
      </c>
      <c r="CR85" s="21">
        <v>90</v>
      </c>
      <c r="CS85" s="21">
        <v>60</v>
      </c>
      <c r="CT85" s="217" t="str">
        <f>IF(R85="","",IF(AND(BS85&gt;1,BS85&lt;12,Tabla1[[#This Row],[T.A. SISTOLICA - ANTES DE SEMANA 12]]="",Tabla1[[#This Row],[T.A. DIASTOLICA - ANTES DE SEMANA 12]]=""),"REGISTRE DATO TA ANTES SEMANA 12",IF(AND(BS85&gt;11,BS85&lt;43,Tabla1[[#This Row],[T.A. SISTOLICA - ANTES DE SEMANA 12]]="",Tabla1[[#This Row],[T.A. DIASTOLICA - ANTES DE SEMANA 12]]=""),"NO APLICA REGISTRO TA-INGRESO TARDIO",IF(AND(OR(O85&gt;0,R85&gt;0),OR(CR85&gt;=140,CS85&gt;=90)),"DEFINIR ESTADIO HTA",IF(AND(OR(O85&gt;0,R85&gt;0),AND(CR85&gt;120,CR85&lt;=139)),"PRE HTA SEGUIMIENTO",IF(AND(OR(O85&gt;0,R85&gt;0),AND(CS85&gt;80,CS85&lt;=89)),"PRE HTA SEGUIMIENTO",IF(AND(OR(O85&gt;0,R85&gt;0),AND(CR85&gt;=80,CR85&lt;=120)),"APARENTEMENTE NORMAL",IF(AND(OR(O85&gt;0,R85&gt;0),AND(CS85&gt;=50,CS85&lt;=80)),"APARENTEMENTE NORMAL",IF(AND(OR(O85&gt;0,R85&gt;0),AND(CR85&gt;1,CR85&lt;=70),AND(CS85&gt;1,CS85&lt;=40)),"HIPOTENSIÓN","")))))))))</f>
        <v>APARENTEMENTE NORMAL</v>
      </c>
      <c r="CU85" s="21"/>
      <c r="CV85" s="21"/>
      <c r="CW85" s="217" t="str">
        <f>IF(R85="","",IF(AND(CN85&gt;19,CN85&lt;27,Tabla1[[#This Row],[T.A. SISTOLICA (Entre semana 20 y 26)]]="",Tabla1[[#This Row],[T.A. DIATOLICA (Entre semana 20 y 26)]]=""),"ACUDE A CONTROL SEM 20 A 26 REGISTRE TA AHORA",IF(AND(BS85&gt;1,BS85&lt;27,BU85&gt;19,Tabla1[[#This Row],[T.A. SISTOLICA (Entre semana 20 y 26)]]="",Tabla1[[#This Row],[T.A. DIATOLICA (Entre semana 20 y 26)]]=""),"COMPLETE REGISTRO TA CONTROL SEM 20 A26 ",IF(AND(BS85&gt;26,BS85&lt;43,Tabla1[[#This Row],[T.A. SISTOLICA (Entre semana 20 y 26)]]="",Tabla1[[#This Row],[T.A. DIATOLICA (Entre semana 20 y 26)]]=""),"NO APLICA REGISTRO TA-INGRESO TARDIO",IF(AND(OR(O85&gt;0,R85&gt;0),OR(CU85&gt;=140,CV85&gt;=90)),"ALTO RIESGO PREECLAMPSIA,DEFINIR ESTADIO HTA",IF(AND(OR(O85&gt;0,R85&gt;0),AND(CU85&gt;120,CU85&lt;=139)),"PRE HTA SEGUIMIENTO,RIESGO HIPERTENSION INDUCIDA POR EL EMBARAZO",IF(AND(OR(O85&gt;0,R85&gt;0),AND(CV85&gt;80,CV85&lt;=89)),"PRE HTA SEGUIMIENTO, RIESGO HIPERTENSION INDUCIDA POR EL EMBARAZO",IF(AND(OR(O85&lt;&gt;"",R85&lt;&gt;""),CS85&lt;&gt;"",CV85&lt;&gt;"",CS85&lt;=CV85),"VIGILAR CIFRAS PRESION ARTERIAL",IF(AND(OR(O85&gt;0,R85&gt;0),AND(CU85&gt;120,CU85&lt;=139)),"PRE HTA SEGUIMIENTO",IF(AND(OR(O85&gt;0,R85&gt;0),AND(CU85&gt;1,CU85&lt;=70),AND(CV85&gt;1,CV85&lt;=40)),"HIPOTENSIÓN",IF(AND(OR(O85&lt;&gt;"",R85&lt;&gt;""),CS85&lt;&gt;"",CV85&lt;&gt;"",CS85&gt;CV85),"APARENTEMENTE NORMAL",IF(AND(OR(O85&gt;0,R85&gt;0),AND(CU85&gt;=80,CU85&lt;=120)),"APARENTEMENTE NORMAL",IF(AND(OR(O85&gt;0,R85&gt;0),AND(CV85&gt;=50,CV85&lt;=80)),"APARENTEMENTE NORMAL","")))))))))))))</f>
        <v>ACUDE A CONTROL SEM 20 A 26 REGISTRE TA AHORA</v>
      </c>
      <c r="CX85" s="21"/>
      <c r="CY85" s="21"/>
      <c r="CZ85" s="216" t="str">
        <f t="shared" si="263"/>
        <v/>
      </c>
      <c r="DA85" s="21"/>
      <c r="DB85" s="21"/>
      <c r="DC85" s="217" t="str">
        <f t="shared" si="264"/>
        <v>REGISTRE DATO PRESIÓN ARTERIAL MENSUAL</v>
      </c>
      <c r="DD85" s="22">
        <v>44952</v>
      </c>
      <c r="DE85" s="22">
        <v>44952</v>
      </c>
      <c r="DF85" s="22">
        <v>44980</v>
      </c>
      <c r="DG85" s="22">
        <v>45009</v>
      </c>
      <c r="DH85" s="22">
        <v>45041</v>
      </c>
      <c r="DI85" s="22"/>
      <c r="DJ85" s="22"/>
      <c r="DK85" s="22"/>
      <c r="DL85" s="22"/>
      <c r="DM85" s="22"/>
      <c r="DN85" s="22"/>
      <c r="DO85" s="22"/>
      <c r="DP85" s="22"/>
      <c r="DQ85" s="22"/>
      <c r="DR85" s="28">
        <v>1</v>
      </c>
      <c r="DS85" s="22"/>
      <c r="DT85" s="22"/>
      <c r="DU85" s="216" t="str">
        <f t="shared" ca="1" si="438"/>
        <v>CONCERTAR PLAN DE PARTO INMEDIATO</v>
      </c>
      <c r="DV85" s="226" t="str">
        <f t="shared" si="439"/>
        <v>ACTIVA INGRESO A CPN</v>
      </c>
      <c r="DW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5" s="216" t="e">
        <f t="shared" ca="1" si="266"/>
        <v>#REF!</v>
      </c>
      <c r="DY85" s="212">
        <f>IF(R85="","",IF(R85&gt;0,MAX(Tabla1[[#This Row],[FECHA C2]:[FECHA C13]],Tabla1[[#This Row],[FECHA CONSULTA PRIMERA VEZ PROGRAMA CPN ]])))</f>
        <v>45041</v>
      </c>
      <c r="DZ85" s="216">
        <f t="shared" si="267"/>
        <v>21</v>
      </c>
      <c r="EA85" s="222">
        <f>IF(R85&gt;0,SUM(COUNTA(DF85:DQ85)+COUNTA(Tabla1[[#This Row],[FECHA CONSULTA PRIMERA VEZ PROGRAMA CPN ]])),"")</f>
        <v>4</v>
      </c>
      <c r="EB85" s="222" t="str">
        <f t="shared" si="268"/>
        <v>SI</v>
      </c>
      <c r="EC85" s="214">
        <f t="shared" si="269"/>
        <v>9</v>
      </c>
      <c r="ED85" s="227">
        <f t="shared" si="270"/>
        <v>0.44444444444444442</v>
      </c>
      <c r="EE85" s="22">
        <v>44952</v>
      </c>
      <c r="EF85" s="22">
        <v>44952</v>
      </c>
      <c r="EG85" s="22">
        <v>44952</v>
      </c>
      <c r="EH85" s="22"/>
      <c r="EI85" s="22">
        <v>44952</v>
      </c>
      <c r="EJ85" s="22"/>
      <c r="EK85" s="22"/>
      <c r="EL85" s="21"/>
      <c r="EM85" s="21">
        <v>12.2</v>
      </c>
      <c r="EN85" s="22">
        <v>44952</v>
      </c>
      <c r="EO85" s="222">
        <f t="shared" si="271"/>
        <v>9</v>
      </c>
      <c r="EP85" s="214" t="str">
        <f t="shared" si="272"/>
        <v>NORMAL- SUMINISTRAR SULFATO FERROSO</v>
      </c>
      <c r="EQ85" s="216" t="str">
        <f t="shared" si="273"/>
        <v>I TRIM</v>
      </c>
      <c r="ER85" s="24"/>
      <c r="ES85" s="22"/>
      <c r="ET85" s="29" t="str">
        <f t="shared" ca="1" si="440"/>
        <v>TOMA DE HEMOGLOBINA TARDÍA</v>
      </c>
      <c r="EU85" s="25" t="str">
        <f t="shared" si="275"/>
        <v/>
      </c>
      <c r="EV85" s="24" t="s">
        <v>866</v>
      </c>
      <c r="EW85" s="24">
        <v>44952</v>
      </c>
      <c r="EX85" s="22"/>
      <c r="EY85" s="29">
        <f t="shared" si="248"/>
        <v>9</v>
      </c>
      <c r="EZ85" s="25" t="str">
        <f t="shared" ca="1" si="249"/>
        <v/>
      </c>
      <c r="FA85" s="21">
        <v>85</v>
      </c>
      <c r="FB85" s="22">
        <v>44952</v>
      </c>
      <c r="FC85" s="29">
        <f t="shared" si="276"/>
        <v>9</v>
      </c>
      <c r="FD85" s="29"/>
      <c r="FE85" s="29"/>
      <c r="FF85" s="29"/>
      <c r="FG85" s="21" t="str">
        <f t="shared" ca="1" si="277"/>
        <v/>
      </c>
      <c r="FH85" s="31"/>
      <c r="FI85" s="29" t="str">
        <f t="shared" si="278"/>
        <v>TOMAR EXAMEN</v>
      </c>
      <c r="FJ85" s="22" t="s">
        <v>867</v>
      </c>
      <c r="FK85" s="22">
        <v>44952</v>
      </c>
      <c r="FL85" s="29">
        <f t="shared" ca="1" si="279"/>
        <v>9</v>
      </c>
      <c r="FM85" s="22" t="s">
        <v>867</v>
      </c>
      <c r="FN85" s="32">
        <v>44995</v>
      </c>
      <c r="FO85" s="29">
        <f t="shared" ca="1" si="441"/>
        <v>15.142857142857142</v>
      </c>
      <c r="FP85" s="22"/>
      <c r="FQ85" s="32"/>
      <c r="FR85" s="29" t="str">
        <f t="shared" ca="1" si="442"/>
        <v>TOMA INMEDIATA DE TAMIZAJE</v>
      </c>
      <c r="FS85" s="22"/>
      <c r="FT85" s="32"/>
      <c r="FU85" s="29" t="str">
        <f>IF(AND(FJ85="",FM85="",FP85="",FS85=""),"",IF(OR(OR(Tabla1[[#This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5" s="28"/>
      <c r="FW85" s="22"/>
      <c r="FX85" s="29" t="str">
        <f t="shared" si="280"/>
        <v>TOMAR EXAMEN</v>
      </c>
      <c r="FY85" s="22"/>
      <c r="FZ85" s="22"/>
      <c r="GA85" s="29" t="str">
        <f t="shared" ca="1" si="250"/>
        <v>PIERDE TOMA DE TAMIZAJE</v>
      </c>
      <c r="GB85" s="22" t="s">
        <v>868</v>
      </c>
      <c r="GC85" s="22">
        <v>44995</v>
      </c>
      <c r="GD85" s="29">
        <f t="shared" ca="1" si="443"/>
        <v>15.142857142857142</v>
      </c>
      <c r="GE85" s="22"/>
      <c r="GF85" s="22"/>
      <c r="GG85" s="29" t="str">
        <f t="shared" ca="1" si="444"/>
        <v>TOMA INMEDIATA DE TAMIZAJE</v>
      </c>
      <c r="GH85" s="22"/>
      <c r="GI85" s="29"/>
      <c r="GJ85" s="22"/>
      <c r="GK85" s="22"/>
      <c r="GL85" s="22"/>
      <c r="GM85" s="22"/>
      <c r="GN85" s="28" t="s">
        <v>869</v>
      </c>
      <c r="GO85" s="22">
        <v>44952</v>
      </c>
      <c r="GP85" s="29">
        <f t="shared" si="283"/>
        <v>9</v>
      </c>
      <c r="GQ85" s="28" t="s">
        <v>869</v>
      </c>
      <c r="GR85" s="28" t="s">
        <v>869</v>
      </c>
      <c r="GS85" s="22" t="str">
        <f t="shared" si="284"/>
        <v>CONTROL Igm</v>
      </c>
      <c r="GT85" s="22">
        <v>44952</v>
      </c>
      <c r="GU85" s="29">
        <f t="shared" si="285"/>
        <v>9</v>
      </c>
      <c r="GV85" s="21" t="str">
        <f t="shared" si="286"/>
        <v>I TRIM</v>
      </c>
      <c r="GW85" s="28" t="s">
        <v>869</v>
      </c>
      <c r="GX85" s="30"/>
      <c r="GY85" s="21" t="s">
        <v>906</v>
      </c>
      <c r="GZ85" s="21"/>
      <c r="HA85" s="21"/>
      <c r="HB85" s="21"/>
      <c r="HC85" s="21"/>
      <c r="HD85" s="21"/>
      <c r="HE85" s="21"/>
      <c r="HF85" s="22"/>
      <c r="HG85" s="22" t="str">
        <f>IF(OR(O85&gt;0,R85&gt;0),CONCATENATE(IF(Tabla1[[#This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5" s="22" t="e">
        <f t="shared" si="287"/>
        <v>#REF!</v>
      </c>
      <c r="HI85" s="22" t="e">
        <f t="shared" ca="1" si="288"/>
        <v>#REF!</v>
      </c>
      <c r="HJ85" s="21"/>
      <c r="HK85" s="21" t="str">
        <f t="shared" si="289"/>
        <v>SIN ANTECEDENTES DE RIESGO</v>
      </c>
      <c r="HL85" s="24" t="str">
        <f t="shared" si="290"/>
        <v>REGISTRE DATO PRESIÓN ARTERIAL MENSUAL</v>
      </c>
      <c r="HM85" s="21" t="e">
        <f t="shared" ca="1" si="291"/>
        <v>#REF!</v>
      </c>
      <c r="HN85" s="30" t="str">
        <f t="shared" si="445"/>
        <v>ACTIVA INGRESO A CPN</v>
      </c>
      <c r="HO85" s="21"/>
      <c r="HP85" s="21"/>
      <c r="HQ85" s="21">
        <v>44952</v>
      </c>
      <c r="HR85" s="21" t="str">
        <f>IF(R85="","",IF(Tabla1[[#This Row],[ALARMA FACTORES DE RIESGO COMPLICACIONES HIPERTENSIVAS3]]="SIN ANTECEDENTES DE RIESGO","No Aplica para suministro de ASA",IF(AND(Tabla1[[#This Row],[FECHA INICIO DE SUMINISTRO DE ASA]]&gt;0,RV85&lt;12),"Inicia ASA ANTES de Sem 12",IF(AND(RV85&gt;11,RV85&lt;17,OR(HK85="RIESGO ALTO DE COMPLICACIONES HIPERTENSIVAS VER MANEJO GUIA SUMINISTRO ASA Y CALCIO",HK85="RIESGO MODERADO (2 O MAS CRITERIOS) VER MANEJO GUIA SUMINISTRO ASA Y CALCIO")),"Inicio oportuno de ASA",IF(AND(RV85&gt;12,OR(HK85="RIESGO ALTO DE COMPLICACIONES HIPERTENSIVAS VER MANEJO GUIA SUMINISTRO ASA Y CALCIO",HK85="RIESGO MODERADO (2 O MAS CRITERIOS) VER MANEJO GUIA SUMINISTRO ASA Y CALCIO")),"Inicio no oportuno mayor a 16 semanas",IF(AND(BU85&lt;12,OR(HK85="RIESGO ALTO DE COMPLICACIONES HIPERTENSIVAS VER MANEJO GUIA SUMINISTRO ASA Y CALCIO",HK85="RIESGO MODERADO (2 O MAS CRITERIOS) VER MANEJO GUIA SUMINISTRO ASA Y CALCIO")),"Pendiente Inicio de ASA a la semana 12",IF(AND(BU85&gt;11,BU85&lt;17,OR(HK85="RIESGO ALTO DE COMPLICACIONES HIPERTENSIVAS VER MANEJO GUIA SUMINISTRO ASA Y CALCIO",HK85="RIESGO MODERADO (2 O MAS CRITERIOS) VER MANEJO GUIA SUMINISTRO ASA Y CALCIO")),"Iniciar de inmediato ASA",IF(AND(BU85&gt;16,OR(HK85="RIESGO ALTO DE COMPLICACIONES HIPERTENSIVAS VER MANEJO GUIA SUMINISTRO ASA Y CALCIO",HK85="RIESGO MODERADO (2 O MAS CRITERIOS) VER MANEJO GUIA SUMINISTRO ASA Y CALCIO")),"Pierde Oportunidad, Inicio tardío de ASA","XXXXX"))))))))</f>
        <v>No Aplica para suministro de ASA</v>
      </c>
      <c r="HS85" s="22">
        <v>44952</v>
      </c>
      <c r="HT85" s="22" t="s">
        <v>935</v>
      </c>
      <c r="HU85" s="22">
        <v>44952</v>
      </c>
      <c r="HV85" s="22" t="s">
        <v>870</v>
      </c>
      <c r="HW85" s="22">
        <v>44952</v>
      </c>
      <c r="HX85" s="22" t="s">
        <v>870</v>
      </c>
      <c r="HY85" s="22">
        <v>44952</v>
      </c>
      <c r="HZ85" s="28">
        <f t="shared" si="292"/>
        <v>9</v>
      </c>
      <c r="IA85" s="26"/>
      <c r="IB85" s="26"/>
      <c r="IC85" s="111">
        <v>44960</v>
      </c>
      <c r="ID85" s="22">
        <v>44960</v>
      </c>
      <c r="IE85" s="22" t="str">
        <f t="shared" ca="1" si="293"/>
        <v>VACUNA APLICADA ANTES SEMANA 20</v>
      </c>
      <c r="IF85" s="22"/>
      <c r="IG85" s="22">
        <f t="shared" si="294"/>
        <v>45169</v>
      </c>
      <c r="IH85" s="29">
        <f t="shared" ca="1" si="295"/>
        <v>-64</v>
      </c>
      <c r="II85" s="22" t="str">
        <f t="shared" ca="1" si="296"/>
        <v>POSIBLEMENTE NACIO</v>
      </c>
      <c r="IJ85" s="22"/>
      <c r="IK85" s="21"/>
      <c r="IL85" s="21"/>
      <c r="IM85" s="34"/>
      <c r="IN85" s="349"/>
      <c r="IO85" s="21"/>
      <c r="IP85" s="29" t="str">
        <f t="shared" si="435"/>
        <v/>
      </c>
      <c r="IQ85" s="110"/>
      <c r="IR85" s="21"/>
      <c r="IS85" s="21"/>
      <c r="IT85" s="21"/>
      <c r="IU85" s="21"/>
      <c r="IV85" s="21"/>
      <c r="IW85" s="21"/>
      <c r="IX85" s="21"/>
      <c r="IY85" s="21"/>
      <c r="IZ85" s="21"/>
      <c r="JA85" s="21"/>
      <c r="JB85" s="30"/>
      <c r="JC85" s="21"/>
      <c r="JD85" s="36"/>
      <c r="JE85" s="21" t="str">
        <f t="shared" si="446"/>
        <v/>
      </c>
      <c r="JF85" s="30"/>
      <c r="JG85" s="21"/>
      <c r="JH85" s="21"/>
      <c r="JI85" s="21"/>
      <c r="JJ85" s="30"/>
      <c r="JK85" s="22"/>
      <c r="JL85" s="22"/>
      <c r="JM85" s="21"/>
      <c r="JN85" s="36"/>
      <c r="JO85" s="21" t="str">
        <f t="shared" si="447"/>
        <v/>
      </c>
      <c r="JP85" s="22"/>
      <c r="JQ85" s="21"/>
      <c r="JR85" s="21"/>
      <c r="JS85" s="21"/>
      <c r="JT85" s="30"/>
      <c r="JU85" s="22"/>
      <c r="JV85" s="22"/>
      <c r="JW85" s="33"/>
      <c r="JX85" s="28" t="str">
        <f t="shared" si="448"/>
        <v/>
      </c>
      <c r="JY85" s="33"/>
      <c r="JZ85" s="28" t="str">
        <f t="shared" si="449"/>
        <v/>
      </c>
      <c r="KA85" s="21"/>
      <c r="KB85" s="21"/>
      <c r="KC85" s="21"/>
      <c r="KD85" s="37"/>
      <c r="KE85" s="28"/>
      <c r="KF85" s="28"/>
      <c r="KG85" s="28"/>
      <c r="KH85" s="39"/>
      <c r="KI85" s="39"/>
      <c r="KJ85" s="66"/>
      <c r="KK85" s="39"/>
      <c r="KL85" s="39"/>
      <c r="KM85" s="66"/>
      <c r="KN85" s="39"/>
      <c r="KO85" s="39"/>
      <c r="KP85" s="39"/>
      <c r="KQ85" s="39"/>
      <c r="KR85" s="39"/>
      <c r="KS85" s="39"/>
      <c r="KT85" s="39"/>
      <c r="KU85" s="38"/>
      <c r="KV85" s="38"/>
      <c r="KW85" s="38"/>
      <c r="KX85" s="38"/>
      <c r="KY85" s="38"/>
      <c r="KZ85" s="38"/>
      <c r="LA85" s="38"/>
      <c r="LB85" s="38"/>
      <c r="LC85" s="38"/>
      <c r="LD85" s="38"/>
      <c r="LE85" s="38"/>
      <c r="LF85" s="38"/>
      <c r="LG85" s="38"/>
      <c r="LH85" s="38"/>
      <c r="LI85" s="38"/>
      <c r="LJ85" s="38"/>
      <c r="LK85" s="38"/>
      <c r="LL85" s="38"/>
      <c r="LM85" s="38"/>
      <c r="LN85" s="38"/>
      <c r="LO85" s="38"/>
      <c r="LP85" s="38"/>
      <c r="LQ85" s="38"/>
      <c r="LR85" s="38"/>
      <c r="LS85" s="38"/>
      <c r="LT85" s="38"/>
      <c r="LU85" s="38"/>
      <c r="LV85" s="38"/>
      <c r="LW85" s="38"/>
      <c r="LX85" s="38"/>
      <c r="LY85" s="38"/>
      <c r="LZ85" s="38"/>
      <c r="MA85" s="38"/>
      <c r="MB85" s="38"/>
      <c r="MC85" s="38"/>
      <c r="MD85" s="38"/>
      <c r="ME85" s="38"/>
      <c r="MF85" s="38"/>
      <c r="MG85" s="38"/>
      <c r="MH85" s="43">
        <f t="shared" si="302"/>
        <v>0</v>
      </c>
      <c r="MI85" s="43" t="str">
        <f t="shared" si="303"/>
        <v/>
      </c>
      <c r="MJ85" s="43" t="str">
        <f t="shared" si="304"/>
        <v/>
      </c>
      <c r="MK85" s="43">
        <f t="shared" si="305"/>
        <v>0</v>
      </c>
      <c r="ML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5" s="43">
        <f t="shared" si="306"/>
        <v>9</v>
      </c>
      <c r="MN85" s="43">
        <f t="shared" si="307"/>
        <v>1</v>
      </c>
      <c r="MO85" s="43">
        <f t="shared" si="308"/>
        <v>2023</v>
      </c>
      <c r="MP85" s="43" t="str">
        <f t="shared" si="309"/>
        <v>I TRIMESTRE AÑO</v>
      </c>
      <c r="MQ85" s="43">
        <f t="shared" si="310"/>
        <v>18.774638633377133</v>
      </c>
      <c r="MR85" s="43">
        <f t="shared" si="311"/>
        <v>0</v>
      </c>
      <c r="MS85" s="43" t="str">
        <f t="shared" si="312"/>
        <v>DE 14 A 19AÑOS</v>
      </c>
      <c r="MT85" s="43">
        <f t="shared" si="313"/>
        <v>0</v>
      </c>
      <c r="MU85" s="43">
        <f t="shared" si="314"/>
        <v>1</v>
      </c>
      <c r="MV85" s="43">
        <f t="shared" si="315"/>
        <v>0</v>
      </c>
      <c r="MW85" s="43">
        <f t="shared" si="316"/>
        <v>0</v>
      </c>
      <c r="MX85" s="43" t="str">
        <f t="shared" si="317"/>
        <v/>
      </c>
      <c r="MY85" s="43" t="str">
        <f t="shared" ca="1" si="450"/>
        <v/>
      </c>
      <c r="MZ85" s="43" t="str">
        <f t="shared" si="318"/>
        <v/>
      </c>
      <c r="NA85" s="43">
        <f t="shared" si="319"/>
        <v>0</v>
      </c>
      <c r="NB85" s="43" t="str">
        <f t="shared" si="320"/>
        <v/>
      </c>
      <c r="NC85" s="43" t="str">
        <f t="shared" si="321"/>
        <v/>
      </c>
      <c r="ND85" s="43">
        <f t="shared" ca="1" si="322"/>
        <v>1</v>
      </c>
      <c r="NE85" s="43">
        <f>IF(OR(O85&gt;0,R85&gt;0),SUM(COUNTIF(Tabla1[[#This Row],[AÑOS AL INICIO5 CPN]],"&gt;=40"),COUNTIF(AS85,"0"),COUNTIF(AR85,"SI"),COUNTIF(CC85,"SI"),COUNTIF(BQ85,"&gt;119"),COUNTIF(CI85,"&gt;=35")),"")</f>
        <v>1</v>
      </c>
      <c r="NF85" s="43">
        <f t="shared" si="323"/>
        <v>10.142857142857142</v>
      </c>
      <c r="NG85" s="43">
        <f t="shared" si="324"/>
        <v>0</v>
      </c>
      <c r="NH85" s="43">
        <f t="shared" si="325"/>
        <v>70.7</v>
      </c>
      <c r="NI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CPN",P85="NO"),"Z",IF(AND(Tabla1[[#This Row],[CITA PROXIMO CONTROL]]="CITA MANUAL",Tabla1[[#This Row],[GESTANTES ACTUALES]]="ACTIVA INGRESO A CPN"),"W",IF(AND(Tabla1[[#This Row],[GESTANTES ACTUALES]]="SALIO PROGRAMA",IN85=""),"S",IF(AND(Tabla1[[#This Row],[CITA PROXIMO CONTROL]]&gt;0,IN85=""),(Tabla1[[#This Row],[CITA PROXIMO CONTROL]]-TODAY()),"SD"))))))))</f>
        <v>#REF!</v>
      </c>
      <c r="NJ85" s="43">
        <f>MONTH(Tabla1[[#This Row],[FECHA DE SALIDA  DEL PROGRAMA]])</f>
        <v>1</v>
      </c>
      <c r="NK85" s="43">
        <f>YEAR(Tabla1[[#This Row],[FECHA DE SALIDA  DEL PROGRAMA]])</f>
        <v>1900</v>
      </c>
      <c r="NL85" s="43" t="str">
        <f t="shared" si="326"/>
        <v>X</v>
      </c>
      <c r="NM85" s="43" t="str">
        <f t="shared" si="251"/>
        <v>NO</v>
      </c>
      <c r="NN85" s="43" t="str">
        <f ca="1">IF(AND(O85&gt;0,R85=""),"NO CPN",IF(AND(O85="",R85=""),"",IF(AND(R85&gt;0,Tabla1[[#This Row],[SEMANAS DE GESTACION ACTUALIZADAS]]&lt;=12),"NO APLICA",IF(AND(FH85&lt;&gt;"",FN85&lt;&gt;""),"SI","NO"))))</f>
        <v>NO</v>
      </c>
      <c r="NO85" s="43" t="str">
        <f ca="1">IF(AND(O85&gt;0,R85=""),"NO CPN",IF(AND(O85="",R85=""),"",IF(AND(R85&gt;0,Tabla1[[#This Row],[SEMANAS DE GESTACION ACTUALIZADAS]]&lt;=27),"NO APLICA",IF(AND(ES85&lt;&gt;"",FQ85&lt;&gt;"",GF85&lt;&gt;""),"SI","NO"))))</f>
        <v>NO</v>
      </c>
      <c r="NP85" s="204" t="str">
        <f t="shared" si="327"/>
        <v>I TRIM</v>
      </c>
      <c r="NQ85" s="21">
        <f t="shared" si="436"/>
        <v>10</v>
      </c>
      <c r="NR85" s="21" t="str">
        <f t="shared" ca="1" si="451"/>
        <v>REVISAR FUM O FECHA SALIDA PROGRAMA</v>
      </c>
      <c r="NS85" s="205">
        <f t="shared" ca="1" si="328"/>
        <v>2</v>
      </c>
      <c r="NT85" s="21">
        <f t="shared" ca="1" si="329"/>
        <v>1</v>
      </c>
      <c r="NU85" s="21" t="str">
        <f t="shared" ca="1" si="330"/>
        <v>POR DEFINIR</v>
      </c>
      <c r="NV85" s="21" t="str">
        <f t="shared" ca="1" si="331"/>
        <v>POR DEFINIR</v>
      </c>
      <c r="NW85" s="206" t="str">
        <f>IF(AND(O85="",R85=""),"",IF(OR(AND(Tabla1[[#This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5" s="207" t="str">
        <f t="shared" ca="1" si="332"/>
        <v>VACUNADA</v>
      </c>
      <c r="NY85" s="43">
        <f>ROW(Tabla1[[#This Row],['# DE TAMIZAJES SIFILIS TOMADOS ]])</f>
        <v>85</v>
      </c>
      <c r="NZ85" s="43" t="str">
        <f t="shared" si="333"/>
        <v>Menor</v>
      </c>
      <c r="OA85" s="43" t="str">
        <f t="shared" si="334"/>
        <v>NORMAL</v>
      </c>
      <c r="OB85" s="43" t="str">
        <f t="shared" si="335"/>
        <v/>
      </c>
      <c r="OC85" s="43" t="str">
        <f t="shared" si="336"/>
        <v/>
      </c>
      <c r="OD85" s="43" t="str">
        <f t="shared" si="337"/>
        <v/>
      </c>
      <c r="OE85" s="43" t="str">
        <f t="shared" si="338"/>
        <v/>
      </c>
      <c r="OF85" s="43" t="str">
        <f t="shared" si="339"/>
        <v/>
      </c>
      <c r="OG85" s="43" t="str">
        <f t="shared" si="340"/>
        <v/>
      </c>
      <c r="OH85" s="43" t="str">
        <f t="shared" si="341"/>
        <v/>
      </c>
      <c r="OI85" s="43" t="str">
        <f t="shared" si="342"/>
        <v/>
      </c>
      <c r="OJ85" s="43" t="str">
        <f t="shared" si="343"/>
        <v/>
      </c>
      <c r="OK85" s="43" t="str">
        <f t="shared" si="344"/>
        <v/>
      </c>
      <c r="OL85" s="43" t="str">
        <f t="shared" si="345"/>
        <v/>
      </c>
      <c r="OM85" s="43" t="str">
        <f t="shared" si="346"/>
        <v/>
      </c>
      <c r="ON85" s="43" t="str">
        <f t="shared" si="347"/>
        <v/>
      </c>
      <c r="OO85" s="43" t="str">
        <f t="shared" si="348"/>
        <v/>
      </c>
      <c r="OP85" s="43" t="str">
        <f t="shared" si="349"/>
        <v/>
      </c>
      <c r="OQ85" s="43" t="str">
        <f t="shared" si="350"/>
        <v/>
      </c>
      <c r="OR85" s="43" t="str">
        <f t="shared" si="351"/>
        <v/>
      </c>
      <c r="OS85" s="43" t="str">
        <f t="shared" si="352"/>
        <v/>
      </c>
      <c r="OT85" s="43" t="str">
        <f t="shared" si="353"/>
        <v/>
      </c>
      <c r="OU85" s="43" t="str">
        <f t="shared" si="354"/>
        <v/>
      </c>
      <c r="OV85" s="110" t="str">
        <f t="shared" si="355"/>
        <v/>
      </c>
      <c r="OW85" s="43" t="str">
        <f t="shared" si="356"/>
        <v/>
      </c>
      <c r="OX85" s="43" t="str">
        <f t="shared" si="357"/>
        <v/>
      </c>
      <c r="OY85" s="43" t="str">
        <f t="shared" si="358"/>
        <v/>
      </c>
      <c r="OZ85" s="43" t="str">
        <f t="shared" si="359"/>
        <v/>
      </c>
      <c r="PA85" s="43" t="str">
        <f t="shared" si="360"/>
        <v/>
      </c>
      <c r="PB85" s="43" t="str">
        <f t="shared" si="361"/>
        <v/>
      </c>
      <c r="PC85" s="43" t="str">
        <f t="shared" si="362"/>
        <v/>
      </c>
      <c r="PD85" s="43" t="str">
        <f t="shared" si="363"/>
        <v/>
      </c>
      <c r="PE85" s="43" t="str">
        <f t="shared" si="364"/>
        <v/>
      </c>
      <c r="PF85" s="43" t="str">
        <f t="shared" si="365"/>
        <v/>
      </c>
      <c r="PG85" s="43" t="str">
        <f t="shared" si="366"/>
        <v/>
      </c>
      <c r="PH85" s="43" t="str">
        <f t="shared" si="367"/>
        <v/>
      </c>
      <c r="PI85" s="43">
        <f t="shared" si="368"/>
        <v>21</v>
      </c>
      <c r="PJ85" s="43" t="str">
        <f t="shared" si="369"/>
        <v/>
      </c>
      <c r="PK85" s="43" t="str">
        <f t="shared" si="370"/>
        <v/>
      </c>
      <c r="PL85" s="43" t="str">
        <f t="shared" si="371"/>
        <v/>
      </c>
      <c r="PM85" s="43" t="str">
        <f t="shared" si="372"/>
        <v/>
      </c>
      <c r="PN85" s="43" t="str">
        <f t="shared" si="373"/>
        <v/>
      </c>
      <c r="PO85" s="43" t="str">
        <f t="shared" si="374"/>
        <v/>
      </c>
      <c r="PP85" s="43" t="str">
        <f t="shared" si="375"/>
        <v/>
      </c>
      <c r="PQ85" s="43" t="str">
        <f t="shared" si="376"/>
        <v/>
      </c>
      <c r="PR85" s="43" t="str">
        <f t="shared" si="377"/>
        <v/>
      </c>
      <c r="PS85" s="43" t="str">
        <f t="shared" si="378"/>
        <v/>
      </c>
      <c r="PT85" s="43" t="str">
        <f t="shared" si="379"/>
        <v/>
      </c>
      <c r="PU85" s="43" t="str">
        <f t="shared" si="380"/>
        <v/>
      </c>
      <c r="PV85" s="43" t="str">
        <f t="shared" si="381"/>
        <v>NORMAL</v>
      </c>
      <c r="PW85" s="43" t="str">
        <f t="shared" si="382"/>
        <v/>
      </c>
      <c r="PX85" s="43" t="str">
        <f t="shared" si="383"/>
        <v/>
      </c>
      <c r="PY85" s="43" t="str">
        <f t="shared" si="384"/>
        <v/>
      </c>
      <c r="PZ85" s="43" t="str">
        <f t="shared" si="385"/>
        <v/>
      </c>
      <c r="QA85" s="43" t="str">
        <f t="shared" si="386"/>
        <v/>
      </c>
      <c r="QB85" s="43" t="str">
        <f t="shared" si="387"/>
        <v/>
      </c>
      <c r="QC85" s="43" t="str">
        <f t="shared" si="388"/>
        <v/>
      </c>
      <c r="QD85" s="43" t="str">
        <f t="shared" si="389"/>
        <v/>
      </c>
      <c r="QE85" s="43" t="str">
        <f t="shared" si="390"/>
        <v/>
      </c>
      <c r="QF85" s="43" t="str">
        <f t="shared" si="391"/>
        <v/>
      </c>
      <c r="QG85" s="43" t="str">
        <f t="shared" si="392"/>
        <v/>
      </c>
      <c r="QH85" s="43" t="str">
        <f t="shared" si="393"/>
        <v/>
      </c>
      <c r="QI85" s="43" t="str">
        <f t="shared" si="394"/>
        <v/>
      </c>
      <c r="QJ85" s="43" t="str">
        <f t="shared" si="395"/>
        <v/>
      </c>
      <c r="QK85" s="43" t="str">
        <f t="shared" si="396"/>
        <v/>
      </c>
      <c r="QL85" s="43" t="str">
        <f t="shared" si="397"/>
        <v/>
      </c>
      <c r="QM85" s="43" t="str">
        <f t="shared" si="398"/>
        <v/>
      </c>
      <c r="QN85" s="43" t="str">
        <f t="shared" si="399"/>
        <v/>
      </c>
      <c r="QO85" s="43" t="str">
        <f t="shared" si="400"/>
        <v/>
      </c>
      <c r="QP85" s="43" t="str">
        <f t="shared" si="401"/>
        <v/>
      </c>
      <c r="QQ85" s="43" t="str">
        <f t="shared" si="402"/>
        <v/>
      </c>
      <c r="QR85" s="43">
        <f t="shared" si="432"/>
        <v>21</v>
      </c>
      <c r="QS85" s="43"/>
      <c r="QT85" s="21" t="str">
        <f t="shared" si="403"/>
        <v/>
      </c>
      <c r="QU85" s="21" t="str">
        <f t="shared" si="404"/>
        <v/>
      </c>
      <c r="QV85" s="21" t="str">
        <f t="shared" si="405"/>
        <v/>
      </c>
      <c r="QW85" s="21" t="str">
        <f t="shared" si="406"/>
        <v/>
      </c>
      <c r="QX85" s="21" t="str">
        <f t="shared" si="407"/>
        <v/>
      </c>
      <c r="QY85" s="21" t="str">
        <f t="shared" si="408"/>
        <v/>
      </c>
      <c r="QZ85" s="21" t="str">
        <f t="shared" si="409"/>
        <v/>
      </c>
      <c r="RA85" s="21" t="str">
        <f t="shared" si="410"/>
        <v/>
      </c>
      <c r="RB85" s="21" t="str">
        <f t="shared" si="411"/>
        <v/>
      </c>
      <c r="RC85" s="21" t="str">
        <f t="shared" si="412"/>
        <v/>
      </c>
      <c r="RD85" s="21" t="str">
        <f t="shared" si="413"/>
        <v/>
      </c>
      <c r="RE85" s="21" t="str">
        <f t="shared" si="414"/>
        <v/>
      </c>
      <c r="RF85" s="21" t="str">
        <f t="shared" si="415"/>
        <v/>
      </c>
      <c r="RG85" s="21" t="str">
        <f t="shared" si="416"/>
        <v/>
      </c>
      <c r="RH85" s="21" t="str">
        <f t="shared" si="417"/>
        <v/>
      </c>
      <c r="RI85" s="21" t="str">
        <f t="shared" si="418"/>
        <v/>
      </c>
      <c r="RJ85" s="21" t="str">
        <f t="shared" si="419"/>
        <v/>
      </c>
      <c r="RK85" s="21" t="str">
        <f t="shared" si="420"/>
        <v/>
      </c>
      <c r="RL85" s="21" t="str">
        <f t="shared" si="421"/>
        <v/>
      </c>
      <c r="RM85" s="21" t="str">
        <f t="shared" si="422"/>
        <v/>
      </c>
      <c r="RN85" s="21" t="str">
        <f t="shared" si="423"/>
        <v/>
      </c>
      <c r="RO85" s="21" t="str">
        <f t="shared" si="424"/>
        <v/>
      </c>
      <c r="RP85" s="21" t="str">
        <f t="shared" si="425"/>
        <v/>
      </c>
      <c r="RQ85" s="21" t="str">
        <f t="shared" si="426"/>
        <v/>
      </c>
      <c r="RR85" s="21" t="str">
        <f t="shared" si="427"/>
        <v/>
      </c>
      <c r="RS85" s="21" t="str">
        <f t="shared" si="428"/>
        <v/>
      </c>
      <c r="RT85" s="21" t="str">
        <f t="shared" si="429"/>
        <v/>
      </c>
      <c r="RU85" s="21" t="str">
        <f t="shared" si="430"/>
        <v/>
      </c>
      <c r="RV85" s="21">
        <f t="shared" si="431"/>
        <v>9</v>
      </c>
      <c r="RW85" s="284">
        <f>IF(OR(Tabla1[[#This Row],[FUM FORMULA CONFIABLE]]="",Tabla1[[#This Row],[FUM FORMULA CONFIABLE]]="SD"),"",IF(Tabla1[[#This Row],[FUM FORMULA CONFIABLE]]="CORREGIDA",Tabla1[[#This Row],[FUM X ECO 1]],Tabla1[[#This Row],[FUM x AMENORREA]]))</f>
        <v>44889</v>
      </c>
      <c r="RX85" s="21">
        <f>IF(AND(Tabla1[[#This Row],[FUM X ECO 1]]="",Tabla1[[#This Row],[FUM x AMENORREA]]=""),"",IF(AND(Tabla1[[#This Row],[FUM X ECO 1]]="",Tabla1[[#This Row],[FUM x AMENORREA]]&lt;&gt;""),"X",SUM(Tabla1[[#This Row],[FUM X ECO 1]]-Tabla1[[#This Row],[FUM x AMENORREA]])))</f>
        <v>0.30000000000291038</v>
      </c>
      <c r="RY85" s="21">
        <f t="shared" si="433"/>
        <v>0</v>
      </c>
    </row>
    <row r="86" spans="1:493" ht="45" customHeight="1" x14ac:dyDescent="0.25">
      <c r="A86" s="109" t="s">
        <v>1260</v>
      </c>
      <c r="B86" s="43"/>
      <c r="C86" s="43" t="s">
        <v>845</v>
      </c>
      <c r="D86" s="124"/>
      <c r="E86" s="43" t="s">
        <v>1261</v>
      </c>
      <c r="F86" s="43" t="s">
        <v>1262</v>
      </c>
      <c r="G86" s="43" t="s">
        <v>1263</v>
      </c>
      <c r="H86" s="43"/>
      <c r="I86" s="109" t="s">
        <v>851</v>
      </c>
      <c r="J86" s="110">
        <v>1059605939</v>
      </c>
      <c r="K86" s="43" t="s">
        <v>852</v>
      </c>
      <c r="L86" s="175" t="s">
        <v>853</v>
      </c>
      <c r="M86" s="22">
        <v>35816</v>
      </c>
      <c r="N86" s="213">
        <f t="shared" ca="1" si="252"/>
        <v>25.8</v>
      </c>
      <c r="O86" s="22">
        <v>44954</v>
      </c>
      <c r="P86" s="214" t="str">
        <f t="shared" si="437"/>
        <v>SI</v>
      </c>
      <c r="Q86" s="26" t="s">
        <v>855</v>
      </c>
      <c r="R86" s="22">
        <v>44954</v>
      </c>
      <c r="S86" s="21" t="s">
        <v>856</v>
      </c>
      <c r="T86" s="24" t="s">
        <v>690</v>
      </c>
      <c r="U86" s="21" t="s">
        <v>857</v>
      </c>
      <c r="V86" s="21" t="s">
        <v>858</v>
      </c>
      <c r="W86" s="21" t="s">
        <v>1236</v>
      </c>
      <c r="X86" s="21"/>
      <c r="Y86" s="21" t="s">
        <v>859</v>
      </c>
      <c r="Z86" s="21">
        <v>3223903286</v>
      </c>
      <c r="AA86" s="21" t="s">
        <v>860</v>
      </c>
      <c r="AB86" s="27" t="s">
        <v>861</v>
      </c>
      <c r="AC86" s="26" t="s">
        <v>888</v>
      </c>
      <c r="AD86" s="38"/>
      <c r="AE86" s="26" t="s">
        <v>854</v>
      </c>
      <c r="AF86" s="26" t="s">
        <v>854</v>
      </c>
      <c r="AG86" s="23" t="s">
        <v>864</v>
      </c>
      <c r="AH86" s="23" t="s">
        <v>864</v>
      </c>
      <c r="AI86" s="24" t="s">
        <v>863</v>
      </c>
      <c r="AJ86" s="23" t="s">
        <v>864</v>
      </c>
      <c r="AK86" s="220" t="str">
        <f>IF(AND(AD86="",AE86="",AF86="",AG86="",AH86="",AI86="",AJ86=""),"",IF(OR(Tabla1[[#This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EVALUACIÓN",IF(AND(O86="",R86=""),"",IF(AND(OR(O86&gt;0,R86&gt;0),NG86&gt;=0,NG86&lt;2),"SIN RIESGO",IF(AND(OR(O86&gt;0,R86&gt;0),NG86&gt;=2),"CON RIESGO","ASD")))))</f>
        <v>SIN RIESGO</v>
      </c>
      <c r="AL86" s="23" t="s">
        <v>864</v>
      </c>
      <c r="AM86" s="26" t="s">
        <v>864</v>
      </c>
      <c r="AN86" s="26" t="s">
        <v>864</v>
      </c>
      <c r="AO86" s="26" t="s">
        <v>864</v>
      </c>
      <c r="AP86" s="26" t="s">
        <v>864</v>
      </c>
      <c r="AQ86" s="26" t="s">
        <v>864</v>
      </c>
      <c r="AR86" s="26" t="s">
        <v>864</v>
      </c>
      <c r="AS86" s="21">
        <v>2</v>
      </c>
      <c r="AT86" s="21">
        <v>2</v>
      </c>
      <c r="AU86" s="21">
        <v>0</v>
      </c>
      <c r="AV86" s="26" t="s">
        <v>864</v>
      </c>
      <c r="AW86" s="21">
        <v>0</v>
      </c>
      <c r="AX86" s="26" t="s">
        <v>864</v>
      </c>
      <c r="AY86" s="26" t="s">
        <v>864</v>
      </c>
      <c r="AZ86" s="26" t="s">
        <v>864</v>
      </c>
      <c r="BA86" s="26" t="s">
        <v>864</v>
      </c>
      <c r="BB86" s="26" t="s">
        <v>864</v>
      </c>
      <c r="BC86" s="26" t="s">
        <v>864</v>
      </c>
      <c r="BD86" s="26" t="s">
        <v>864</v>
      </c>
      <c r="BE86" s="26" t="s">
        <v>864</v>
      </c>
      <c r="BF86" s="26" t="s">
        <v>864</v>
      </c>
      <c r="BG86" s="26" t="s">
        <v>864</v>
      </c>
      <c r="BH86" s="26" t="s">
        <v>864</v>
      </c>
      <c r="BI86" s="26" t="s">
        <v>864</v>
      </c>
      <c r="BJ86" s="26"/>
      <c r="BK86" s="26"/>
      <c r="BL86" s="26" t="s">
        <v>864</v>
      </c>
      <c r="BM86" s="26" t="s">
        <v>864</v>
      </c>
      <c r="BN86" s="22">
        <v>42634</v>
      </c>
      <c r="BO86" s="22">
        <v>44849</v>
      </c>
      <c r="BP86" s="21" t="s">
        <v>854</v>
      </c>
      <c r="BQ86" s="222">
        <f t="shared" si="254"/>
        <v>73.833333333333329</v>
      </c>
      <c r="BR86" s="223">
        <f t="shared" si="255"/>
        <v>44789.9</v>
      </c>
      <c r="BS86" s="224">
        <f t="shared" si="256"/>
        <v>15</v>
      </c>
      <c r="BT86" s="216" t="str">
        <f t="shared" si="257"/>
        <v>II TRIM</v>
      </c>
      <c r="BU86" s="214" t="str">
        <f t="shared" ca="1" si="258"/>
        <v/>
      </c>
      <c r="BV86" s="25"/>
      <c r="BW86" s="22">
        <v>44960</v>
      </c>
      <c r="BX86" s="28">
        <v>24.3</v>
      </c>
      <c r="BY86" s="28"/>
      <c r="BZ86" s="22">
        <v>45016</v>
      </c>
      <c r="CA86" s="21">
        <v>32.5</v>
      </c>
      <c r="CB86" s="26" t="s">
        <v>864</v>
      </c>
      <c r="CC86" s="26" t="s">
        <v>864</v>
      </c>
      <c r="CD86" s="26" t="s">
        <v>878</v>
      </c>
      <c r="CE86" s="26" t="s">
        <v>864</v>
      </c>
      <c r="CF86" s="22" t="s">
        <v>1517</v>
      </c>
      <c r="CG86" s="21">
        <v>1.58</v>
      </c>
      <c r="CH86" s="21">
        <v>57.5</v>
      </c>
      <c r="CI86" s="214">
        <f t="shared" si="259"/>
        <v>23.033167761576667</v>
      </c>
      <c r="CJ86" s="225" t="e">
        <f>IF(AND(CI86&lt;10,CH86="SD"),"SIN DATO PESO PREGESTACION O I TRIM",IF(AND(OR(R86&gt;0,O86&gt;0),CI86="X"),"INGRESAR DATO DE PESO",IF(CI86="SD","INGRESAR DATO DE TALLA Y PESO",IF(AND(OR(Tabla1[[#This Row],[MOMENTO EN QUE SE REALIZA EL PESO AL INGRESO A CPN]]="PREGESTACIÓN",NZ86="Menor"),CI86&lt;18.5),"BAJO PESO",IF(AND(OR(Tabla1[[#This Row],[MOMENTO EN QUE SE REALIZA EL PESO AL INGRESO A CPN]]="PREGESTACIÓN",NZ86="Menor"),CI86&lt;25),"NORMAL",IF(AND(OR(Tabla1[[#This Row],[MOMENTO EN QUE SE REALIZA EL PESO AL INGRESO A CPN]]="PREGESTACIÓN",NZ86="Menor"),CI86&lt;30),"SOBREPESO",IF(AND(OR(Tabla1[[#This Row],[MOMENTO EN QUE SE REALIZA EL PESO AL INGRESO A CPN]]="PREGESTACIÓN",NZ86="Menor"),CI86&gt;=30,CI86&lt;50),"OBESIDAD",IF(AND(BS86&gt;0,Tabla1[[#This Row],[MOMENTO EN QUE SE REALIZA EL PESO AL INGRESO A CPN]]="GESTACIÓN"),HLOOKUP(NZ86,$OA$2:PH86,NY86),""))))))))</f>
        <v>#REF!</v>
      </c>
      <c r="CK86" s="212">
        <f t="shared" si="260"/>
        <v>45044</v>
      </c>
      <c r="CL86" s="21"/>
      <c r="CM86" s="214">
        <f t="shared" si="261"/>
        <v>0</v>
      </c>
      <c r="CN86" s="216">
        <f t="shared" si="262"/>
        <v>27</v>
      </c>
      <c r="CO86" s="216" t="e">
        <f>IF(PI86="","",IF(PI86&gt;0,HLOOKUP(PI86,$PJ$2:QQ86,NY86),""))</f>
        <v>#REF!</v>
      </c>
      <c r="CP86" s="21"/>
      <c r="CQ86" s="216" t="e">
        <f>IF(QR86="Menor","NO APLICA-MENOR 13 SEM",IF(AND(CC86="SI",CN86&gt;23),"NO APLICA- GEMELAR",IF(QR86="","",IF(QR86&gt;0,HLOOKUP(QR86,$QS$2:RU86,NY86),""))))</f>
        <v>#REF!</v>
      </c>
      <c r="CR86" s="21"/>
      <c r="CS86" s="21"/>
      <c r="CT86" s="217" t="str">
        <f>IF(R86="","",IF(AND(BS86&gt;1,BS86&lt;12,Tabla1[[#This Row],[T.A. SISTOLICA - ANTES DE SEMANA 12]]="",Tabla1[[#This Row],[T.A. DIASTOLICA - ANTES DE SEMANA 12]]=""),"REGISTRE DATO TA ANTES SEMANA 12",IF(AND(BS86&gt;11,BS86&lt;43,Tabla1[[#This Row],[T.A. SISTOLICA - ANTES DE SEMANA 12]]="",Tabla1[[#This Row],[T.A. DIASTOLICA - ANTES DE SEMANA 12]]=""),"NO APLICA REGISTRO TA-INGRESO TARDIO",IF(AND(OR(O86&gt;0,R86&gt;0),OR(CR86&gt;=140,CS86&gt;=90)),"DEFINIR ESTADIO HTA",IF(AND(OR(O86&gt;0,R86&gt;0),AND(CR86&gt;120,CR86&lt;=139)),"PRE HTA SEGUIMIENTO",IF(AND(OR(O86&gt;0,R86&gt;0),AND(CS86&gt;80,CS86&lt;=89)),"PRE HTA SEGUIMIENTO",IF(AND(OR(O86&gt;0,R86&gt;0),AND(CR86&gt;=80,CR86&lt;=120)),"APARENTEMENTE NORMAL",IF(AND(OR(O86&gt;0,R86&gt;0),AND(CS86&gt;=50,CS86&lt;=80)),"APARENTEMENTE NORMAL",IF(AND(OR(O86&gt;0,R86&gt;0),AND(CR86&gt;1,CR86&lt;=70),AND(CS86&gt;1,CS86&lt;=40)),"HIPOTENSIÓN","")))))))))</f>
        <v>NO APLICA REGISTRO TA-INGRESO TARDIO</v>
      </c>
      <c r="CU86" s="21">
        <v>100</v>
      </c>
      <c r="CV86" s="21">
        <v>60</v>
      </c>
      <c r="CW86" s="217" t="str">
        <f ca="1">IF(R86="","",IF(AND(CN86&gt;19,CN86&lt;27,Tabla1[[#This Row],[T.A. SISTOLICA (Entre semana 20 y 26)]]="",Tabla1[[#This Row],[T.A. DIATOLICA (Entre semana 20 y 26)]]=""),"ACUDE A CONTROL SEM 20 A 26 REGISTRE TA AHORA",IF(AND(BS86&gt;1,BS86&lt;27,BU86&gt;19,Tabla1[[#This Row],[T.A. SISTOLICA (Entre semana 20 y 26)]]="",Tabla1[[#This Row],[T.A. DIATOLICA (Entre semana 20 y 26)]]=""),"COMPLETE REGISTRO TA CONTROL SEM 20 A26 ",IF(AND(BS86&gt;26,BS86&lt;43,Tabla1[[#This Row],[T.A. SISTOLICA (Entre semana 20 y 26)]]="",Tabla1[[#This Row],[T.A. DIATOLICA (Entre semana 20 y 26)]]=""),"NO APLICA REGISTRO TA-INGRESO TARDIO",IF(AND(OR(O86&gt;0,R86&gt;0),OR(CU86&gt;=140,CV86&gt;=90)),"ALTO RIESGO PREECLAMPSIA,DEFINIR ESTADIO HTA",IF(AND(OR(O86&gt;0,R86&gt;0),AND(CU86&gt;120,CU86&lt;=139)),"PRE HTA SEGUIMIENTO,RIESGO HIPERTENSION INDUCIDA POR EL EMBARAZO",IF(AND(OR(O86&gt;0,R86&gt;0),AND(CV86&gt;80,CV86&lt;=89)),"PRE HTA SEGUIMIENTO, RIESGO HIPERTENSION INDUCIDA POR EL EMBARAZO",IF(AND(OR(O86&lt;&gt;"",R86&lt;&gt;""),CS86&lt;&gt;"",CV86&lt;&gt;"",CS86&lt;=CV86),"VIGILAR CIFRAS PRESION ARTERIAL",IF(AND(OR(O86&gt;0,R86&gt;0),AND(CU86&gt;120,CU86&lt;=139)),"PRE HTA SEGUIMIENTO",IF(AND(OR(O86&gt;0,R86&gt;0),AND(CU86&gt;1,CU86&lt;=70),AND(CV86&gt;1,CV86&lt;=40)),"HIPOTENSIÓN",IF(AND(OR(O86&lt;&gt;"",R86&lt;&gt;""),CS86&lt;&gt;"",CV86&lt;&gt;"",CS86&gt;CV86),"APARENTEMENTE NORMAL",IF(AND(OR(O86&gt;0,R86&gt;0),AND(CU86&gt;=80,CU86&lt;=120)),"APARENTEMENTE NORMAL",IF(AND(OR(O86&gt;0,R86&gt;0),AND(CV86&gt;=50,CV86&lt;=80)),"APARENTEMENTE NORMAL","")))))))))))))</f>
        <v>APARENTEMENTE NORMAL</v>
      </c>
      <c r="CX86" s="21"/>
      <c r="CY86" s="21"/>
      <c r="CZ86" s="216" t="str">
        <f t="shared" si="263"/>
        <v/>
      </c>
      <c r="DA86" s="21"/>
      <c r="DB86" s="21"/>
      <c r="DC86" s="217" t="str">
        <f t="shared" si="264"/>
        <v>REGISTRE DATO PRESIÓN ARTERIAL MENSUAL</v>
      </c>
      <c r="DD86" s="22">
        <v>44954</v>
      </c>
      <c r="DE86" s="22">
        <v>44954</v>
      </c>
      <c r="DF86" s="22">
        <v>44985</v>
      </c>
      <c r="DG86" s="22">
        <v>45014</v>
      </c>
      <c r="DH86" s="22">
        <v>45044</v>
      </c>
      <c r="DI86" s="22"/>
      <c r="DJ86" s="22"/>
      <c r="DK86" s="22"/>
      <c r="DL86" s="22"/>
      <c r="DM86" s="22"/>
      <c r="DN86" s="22"/>
      <c r="DO86" s="22"/>
      <c r="DP86" s="22"/>
      <c r="DQ86" s="22"/>
      <c r="DR86" s="28">
        <v>1</v>
      </c>
      <c r="DS86" s="22"/>
      <c r="DT86" s="22"/>
      <c r="DU86" s="216" t="str">
        <f t="shared" ca="1" si="438"/>
        <v>SALE PROGRAMA ANTES SEMANA 35</v>
      </c>
      <c r="DV86" s="226" t="str">
        <f t="shared" si="439"/>
        <v>SALIO PROGRAMA</v>
      </c>
      <c r="DW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6" s="216" t="str">
        <f t="shared" ca="1" si="266"/>
        <v/>
      </c>
      <c r="DY86" s="212">
        <f>IF(R86="","",IF(R86&gt;0,MAX(Tabla1[[#This Row],[FECHA C2]:[FECHA C13]],Tabla1[[#This Row],[FECHA CONSULTA PRIMERA VEZ PROGRAMA CPN ]])))</f>
        <v>45044</v>
      </c>
      <c r="DZ86" s="216">
        <f t="shared" si="267"/>
        <v>27</v>
      </c>
      <c r="EA86" s="222">
        <f>IF(R86&gt;0,SUM(COUNTA(DF86:DQ86)+COUNTA(Tabla1[[#This Row],[FECHA CONSULTA PRIMERA VEZ PROGRAMA CPN ]])),"")</f>
        <v>4</v>
      </c>
      <c r="EB86" s="222" t="str">
        <f t="shared" si="268"/>
        <v>SI</v>
      </c>
      <c r="EC86" s="214">
        <f t="shared" si="269"/>
        <v>8</v>
      </c>
      <c r="ED86" s="227">
        <f t="shared" si="270"/>
        <v>0.5</v>
      </c>
      <c r="EE86" s="22">
        <v>44954</v>
      </c>
      <c r="EF86" s="22">
        <v>44957</v>
      </c>
      <c r="EG86" s="22">
        <v>44954</v>
      </c>
      <c r="EH86" s="22"/>
      <c r="EI86" s="22">
        <v>44954</v>
      </c>
      <c r="EJ86" s="22"/>
      <c r="EK86" s="22"/>
      <c r="EL86" s="21"/>
      <c r="EM86" s="21">
        <v>12.1</v>
      </c>
      <c r="EN86" s="22">
        <v>44944</v>
      </c>
      <c r="EO86" s="222">
        <f t="shared" si="271"/>
        <v>13.571428571428571</v>
      </c>
      <c r="EP86" s="214" t="str">
        <f t="shared" si="272"/>
        <v>NORMAL- SUMINISTRAR SULFATO FERROSO</v>
      </c>
      <c r="EQ86" s="216" t="str">
        <f t="shared" si="273"/>
        <v>II TRIM</v>
      </c>
      <c r="ER86" s="24"/>
      <c r="ES86" s="22"/>
      <c r="ET86" s="29" t="str">
        <f t="shared" ca="1" si="440"/>
        <v>SALE SIN TAMIZAJE HEMOGLOBINA SEM 28</v>
      </c>
      <c r="EU86" s="25" t="str">
        <f t="shared" si="275"/>
        <v/>
      </c>
      <c r="EV86" s="24" t="s">
        <v>926</v>
      </c>
      <c r="EW86" s="24">
        <v>44985</v>
      </c>
      <c r="EX86" s="22"/>
      <c r="EY86" s="29">
        <f t="shared" si="248"/>
        <v>19.428571428571427</v>
      </c>
      <c r="EZ86" s="25" t="str">
        <f t="shared" ca="1" si="249"/>
        <v/>
      </c>
      <c r="FA86" s="21">
        <v>79</v>
      </c>
      <c r="FB86" s="22">
        <v>44985</v>
      </c>
      <c r="FC86" s="29">
        <f t="shared" si="276"/>
        <v>19.428571428571427</v>
      </c>
      <c r="FD86" s="29">
        <v>64</v>
      </c>
      <c r="FE86" s="29">
        <v>120</v>
      </c>
      <c r="FF86" s="29">
        <v>92</v>
      </c>
      <c r="FG86" s="21" t="str">
        <f t="shared" si="277"/>
        <v xml:space="preserve">NORMAL, NO DESCARTA DIABETES POR REALIZARLO ANTES DE  SEMANA 24, </v>
      </c>
      <c r="FH86" s="31">
        <v>44995</v>
      </c>
      <c r="FI86" s="29">
        <f t="shared" si="278"/>
        <v>20.857142857142858</v>
      </c>
      <c r="FJ86" s="22"/>
      <c r="FK86" s="22"/>
      <c r="FL86" s="29" t="str">
        <f t="shared" ca="1" si="279"/>
        <v>NO APLICA-INGRESO TARDIO</v>
      </c>
      <c r="FM86" s="22" t="s">
        <v>867</v>
      </c>
      <c r="FN86" s="32">
        <v>44985</v>
      </c>
      <c r="FO86" s="29">
        <f t="shared" ca="1" si="441"/>
        <v>19.428571428571427</v>
      </c>
      <c r="FP86" s="22"/>
      <c r="FQ86" s="32"/>
      <c r="FR86" s="29" t="str">
        <f t="shared" ca="1" si="442"/>
        <v>PIERDE TOMA DE TAMIZAJE</v>
      </c>
      <c r="FS86" s="22"/>
      <c r="FT86" s="32"/>
      <c r="FU86" s="29" t="str">
        <f>IF(AND(FJ86="",FM86="",FP86="",FS86=""),"",IF(OR(OR(Tabla1[[#This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6" s="28"/>
      <c r="FW86" s="22"/>
      <c r="FX86" s="29" t="str">
        <f t="shared" si="280"/>
        <v>TOMAR EXAMEN</v>
      </c>
      <c r="FY86" s="22">
        <v>44954</v>
      </c>
      <c r="FZ86" s="22">
        <v>44954</v>
      </c>
      <c r="GA86" s="29" t="str">
        <f t="shared" si="250"/>
        <v>REGISTRAR EN II TRIMESTRE</v>
      </c>
      <c r="GB86" s="22"/>
      <c r="GC86" s="22"/>
      <c r="GD86" s="29" t="str">
        <f t="shared" ca="1" si="443"/>
        <v>PIERDE TOMA DE TAMIZAJE</v>
      </c>
      <c r="GE86" s="22"/>
      <c r="GF86" s="22"/>
      <c r="GG86" s="29" t="str">
        <f t="shared" ca="1" si="444"/>
        <v>PIERDE TOMA DE TAMIZAJE</v>
      </c>
      <c r="GH86" s="22"/>
      <c r="GI86" s="29"/>
      <c r="GJ86" s="22"/>
      <c r="GK86" s="22"/>
      <c r="GL86" s="22"/>
      <c r="GM86" s="22"/>
      <c r="GN86" s="28" t="s">
        <v>869</v>
      </c>
      <c r="GO86" s="22">
        <v>44954</v>
      </c>
      <c r="GP86" s="29">
        <f t="shared" si="283"/>
        <v>15</v>
      </c>
      <c r="GQ86" s="28" t="s">
        <v>869</v>
      </c>
      <c r="GR86" s="28" t="s">
        <v>869</v>
      </c>
      <c r="GS86" s="22" t="str">
        <f t="shared" si="284"/>
        <v>CONTROL Igm</v>
      </c>
      <c r="GT86" s="22">
        <v>44954</v>
      </c>
      <c r="GU86" s="29">
        <f t="shared" si="285"/>
        <v>15</v>
      </c>
      <c r="GV86" s="21" t="str">
        <f t="shared" si="286"/>
        <v>II TRIM</v>
      </c>
      <c r="GW86" s="28" t="s">
        <v>869</v>
      </c>
      <c r="GX86" s="30"/>
      <c r="GY86" s="21"/>
      <c r="GZ86" s="21"/>
      <c r="HA86" s="21"/>
      <c r="HB86" s="21"/>
      <c r="HC86" s="21"/>
      <c r="HD86" s="21"/>
      <c r="HE86" s="21"/>
      <c r="HF86" s="22"/>
      <c r="HG86" s="22" t="str">
        <f>IF(OR(O86&gt;0,R86&gt;0),CONCATENATE(IF(Tabla1[[#This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6" s="22" t="e">
        <f t="shared" si="287"/>
        <v>#REF!</v>
      </c>
      <c r="HI86" s="22" t="e">
        <f t="shared" ca="1" si="288"/>
        <v>#REF!</v>
      </c>
      <c r="HJ86" s="21"/>
      <c r="HK86" s="21" t="str">
        <f t="shared" si="289"/>
        <v>SIN ANTECEDENTES DE RIESGO</v>
      </c>
      <c r="HL86" s="24" t="str">
        <f t="shared" si="290"/>
        <v>REGISTRE DATO PRESIÓN ARTERIAL MENSUAL</v>
      </c>
      <c r="HM86" s="21" t="str">
        <f t="shared" ca="1" si="291"/>
        <v/>
      </c>
      <c r="HN86" s="30" t="str">
        <f t="shared" si="445"/>
        <v>SALIO PROGRAMA</v>
      </c>
      <c r="HO86" s="21"/>
      <c r="HP86" s="21"/>
      <c r="HQ86" s="21">
        <v>44954</v>
      </c>
      <c r="HR86" s="21" t="str">
        <f>IF(R86="","",IF(Tabla1[[#This Row],[ALARMA FACTORES DE RIESGO COMPLICACIONES HIPERTENSIVAS3]]="SIN ANTECEDENTES DE RIESGO","No Aplica para suministro de ASA",IF(AND(Tabla1[[#This Row],[FECHA INICIO DE SUMINISTRO DE ASA]]&gt;0,RV86&lt;12),"Inicia ASA ANTES de Sem 12",IF(AND(RV86&gt;11,RV86&lt;17,OR(HK86="RIESGO ALTO DE COMPLICACIONES HIPERTENSIVAS VER MANEJO GUIA SUMINISTRO ASA Y CALCIO",HK86="RIESGO MODERADO (2 O MAS CRITERIOS) VER MANEJO GUIA SUMINISTRO ASA Y CALCIO")),"Inicio oportuno de ASA",IF(AND(RV86&gt;12,OR(HK86="RIESGO ALTO DE COMPLICACIONES HIPERTENSIVAS VER MANEJO GUIA SUMINISTRO ASA Y CALCIO",HK86="RIESGO MODERADO (2 O MAS CRITERIOS) VER MANEJO GUIA SUMINISTRO ASA Y CALCIO")),"Inicio no oportuno mayor a 16 semanas",IF(AND(BU86&lt;12,OR(HK86="RIESGO ALTO DE COMPLICACIONES HIPERTENSIVAS VER MANEJO GUIA SUMINISTRO ASA Y CALCIO",HK86="RIESGO MODERADO (2 O MAS CRITERIOS) VER MANEJO GUIA SUMINISTRO ASA Y CALCIO")),"Pendiente Inicio de ASA a la semana 12",IF(AND(BU86&gt;11,BU86&lt;17,OR(HK86="RIESGO ALTO DE COMPLICACIONES HIPERTENSIVAS VER MANEJO GUIA SUMINISTRO ASA Y CALCIO",HK86="RIESGO MODERADO (2 O MAS CRITERIOS) VER MANEJO GUIA SUMINISTRO ASA Y CALCIO")),"Iniciar de inmediato ASA",IF(AND(BU86&gt;16,OR(HK86="RIESGO ALTO DE COMPLICACIONES HIPERTENSIVAS VER MANEJO GUIA SUMINISTRO ASA Y CALCIO",HK86="RIESGO MODERADO (2 O MAS CRITERIOS) VER MANEJO GUIA SUMINISTRO ASA Y CALCIO")),"Pierde Oportunidad, Inicio tardío de ASA","XXXXX"))))))))</f>
        <v>No Aplica para suministro de ASA</v>
      </c>
      <c r="HS86" s="22">
        <v>44954</v>
      </c>
      <c r="HT86" s="22" t="s">
        <v>870</v>
      </c>
      <c r="HU86" s="22">
        <v>44954</v>
      </c>
      <c r="HV86" s="22" t="s">
        <v>935</v>
      </c>
      <c r="HW86" s="22">
        <v>44954</v>
      </c>
      <c r="HX86" s="22" t="s">
        <v>870</v>
      </c>
      <c r="HY86" s="22">
        <v>44954</v>
      </c>
      <c r="HZ86" s="28">
        <f t="shared" si="292"/>
        <v>15</v>
      </c>
      <c r="IA86" s="26"/>
      <c r="IB86" s="26"/>
      <c r="IC86" s="111"/>
      <c r="ID86" s="22"/>
      <c r="IE86" s="22" t="str">
        <f t="shared" ca="1" si="293"/>
        <v>SALE SIN VACUNA</v>
      </c>
      <c r="IF86" s="22"/>
      <c r="IG86" s="22">
        <f t="shared" si="294"/>
        <v>45129</v>
      </c>
      <c r="IH86" s="29">
        <f t="shared" ca="1" si="295"/>
        <v>-104</v>
      </c>
      <c r="II86" s="22" t="str">
        <f t="shared" ca="1" si="296"/>
        <v>POSIBLEMENTE NACIO</v>
      </c>
      <c r="IJ86" s="22"/>
      <c r="IK86" s="21" t="s">
        <v>898</v>
      </c>
      <c r="IL86" s="21"/>
      <c r="IM86" s="34"/>
      <c r="IN86" s="349">
        <v>45052</v>
      </c>
      <c r="IO86" s="21" t="s">
        <v>1186</v>
      </c>
      <c r="IP86" s="29">
        <f t="shared" si="435"/>
        <v>29</v>
      </c>
      <c r="IQ86" s="35" t="s">
        <v>1650</v>
      </c>
      <c r="IR86" s="21" t="s">
        <v>1651</v>
      </c>
      <c r="IS86" s="21" t="s">
        <v>1646</v>
      </c>
      <c r="IT86" s="21" t="s">
        <v>1642</v>
      </c>
      <c r="IU86" s="21"/>
      <c r="IV86" s="21"/>
      <c r="IW86" s="21"/>
      <c r="IX86" s="21"/>
      <c r="IY86" s="21"/>
      <c r="IZ86" s="21"/>
      <c r="JA86" s="21"/>
      <c r="JB86" s="30">
        <v>1</v>
      </c>
      <c r="JC86" s="21" t="s">
        <v>1647</v>
      </c>
      <c r="JD86" s="36">
        <v>2920</v>
      </c>
      <c r="JE86" s="21" t="str">
        <f t="shared" si="446"/>
        <v>ERROR VERIFICAR DATO EDAD GESTACIONAL VS PESO</v>
      </c>
      <c r="JF86" s="30"/>
      <c r="JG86" s="21"/>
      <c r="JH86" s="21"/>
      <c r="JI86" s="21" t="s">
        <v>854</v>
      </c>
      <c r="JJ86" s="30" t="s">
        <v>866</v>
      </c>
      <c r="JK86" s="22"/>
      <c r="JL86" s="22"/>
      <c r="JM86" s="21"/>
      <c r="JN86" s="36"/>
      <c r="JO86" s="21" t="str">
        <f t="shared" si="447"/>
        <v/>
      </c>
      <c r="JP86" s="22"/>
      <c r="JQ86" s="21"/>
      <c r="JR86" s="21"/>
      <c r="JS86" s="21"/>
      <c r="JT86" s="30"/>
      <c r="JU86" s="22"/>
      <c r="JV86" s="22"/>
      <c r="JW86" s="33"/>
      <c r="JX86" s="28" t="str">
        <f t="shared" si="448"/>
        <v>INASISTENTE</v>
      </c>
      <c r="JY86" s="33"/>
      <c r="JZ86" s="28" t="str">
        <f t="shared" si="449"/>
        <v>INASISTENTE</v>
      </c>
      <c r="KA86" s="21"/>
      <c r="KB86" s="21"/>
      <c r="KC86" s="21"/>
      <c r="KD86" s="37"/>
      <c r="KE86" s="28"/>
      <c r="KF86" s="28"/>
      <c r="KG86" s="28"/>
      <c r="KH86" s="39"/>
      <c r="KI86" s="39"/>
      <c r="KJ86" s="66"/>
      <c r="KK86" s="39"/>
      <c r="KL86" s="39"/>
      <c r="KM86" s="66"/>
      <c r="KN86" s="39"/>
      <c r="KO86" s="39"/>
      <c r="KP86" s="39"/>
      <c r="KQ86" s="39"/>
      <c r="KR86" s="39"/>
      <c r="KS86" s="39"/>
      <c r="KT86" s="39"/>
      <c r="KU86" s="38"/>
      <c r="KV86" s="38"/>
      <c r="KW86" s="38"/>
      <c r="KX86" s="38"/>
      <c r="KY86" s="38"/>
      <c r="KZ86" s="38"/>
      <c r="LA86" s="38"/>
      <c r="LB86" s="38"/>
      <c r="LC86" s="38"/>
      <c r="LD86" s="38"/>
      <c r="LE86" s="38"/>
      <c r="LF86" s="38"/>
      <c r="LG86" s="38"/>
      <c r="LH86" s="38"/>
      <c r="LI86" s="38"/>
      <c r="LJ86" s="38"/>
      <c r="LK86" s="38"/>
      <c r="LL86" s="38"/>
      <c r="LM86" s="38"/>
      <c r="LN86" s="38"/>
      <c r="LO86" s="38"/>
      <c r="LP86" s="38"/>
      <c r="LQ86" s="38"/>
      <c r="LR86" s="38"/>
      <c r="LS86" s="38"/>
      <c r="LT86" s="38"/>
      <c r="LU86" s="38"/>
      <c r="LV86" s="38"/>
      <c r="LW86" s="38"/>
      <c r="LX86" s="38"/>
      <c r="LY86" s="38"/>
      <c r="LZ86" s="38"/>
      <c r="MA86" s="38"/>
      <c r="MB86" s="38"/>
      <c r="MC86" s="38"/>
      <c r="MD86" s="38"/>
      <c r="ME86" s="38"/>
      <c r="MF86" s="38"/>
      <c r="MG86" s="38"/>
      <c r="MH86" s="43">
        <f t="shared" si="302"/>
        <v>0</v>
      </c>
      <c r="MI86" s="43" t="str">
        <f t="shared" si="303"/>
        <v/>
      </c>
      <c r="MJ86" s="43" t="str">
        <f t="shared" si="304"/>
        <v/>
      </c>
      <c r="MK86" s="43">
        <f t="shared" si="305"/>
        <v>0</v>
      </c>
      <c r="ML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6" s="43">
        <f t="shared" si="306"/>
        <v>15</v>
      </c>
      <c r="MN86" s="43">
        <f t="shared" si="307"/>
        <v>1</v>
      </c>
      <c r="MO86" s="43">
        <f t="shared" si="308"/>
        <v>2023</v>
      </c>
      <c r="MP86" s="43" t="str">
        <f t="shared" si="309"/>
        <v>I TRIMESTRE AÑO</v>
      </c>
      <c r="MQ86" s="43">
        <f t="shared" si="310"/>
        <v>24.6577967586509</v>
      </c>
      <c r="MR86" s="43">
        <f t="shared" si="311"/>
        <v>0</v>
      </c>
      <c r="MS86" s="43" t="str">
        <f t="shared" si="312"/>
        <v xml:space="preserve"> DE 20 A 24 AÑOS</v>
      </c>
      <c r="MT86" s="43">
        <f t="shared" si="313"/>
        <v>0</v>
      </c>
      <c r="MU86" s="43">
        <f t="shared" si="314"/>
        <v>0</v>
      </c>
      <c r="MV86" s="43">
        <f t="shared" si="315"/>
        <v>0</v>
      </c>
      <c r="MW86" s="43">
        <f t="shared" si="316"/>
        <v>0</v>
      </c>
      <c r="MX86" s="43" t="str">
        <f t="shared" si="317"/>
        <v/>
      </c>
      <c r="MY86" s="43" t="str">
        <f t="shared" ca="1" si="450"/>
        <v/>
      </c>
      <c r="MZ86" s="43" t="str">
        <f t="shared" si="318"/>
        <v/>
      </c>
      <c r="NA86" s="43">
        <f t="shared" si="319"/>
        <v>0</v>
      </c>
      <c r="NB86" s="43" t="str">
        <f t="shared" si="320"/>
        <v/>
      </c>
      <c r="NC86" s="43" t="str">
        <f t="shared" si="321"/>
        <v/>
      </c>
      <c r="ND86" s="43">
        <f t="shared" ca="1" si="322"/>
        <v>0</v>
      </c>
      <c r="NE86" s="43">
        <f>IF(OR(O86&gt;0,R86&gt;0),SUM(COUNTIF(Tabla1[[#This Row],[AÑOS AL INICIO5 CPN]],"&gt;=40"),COUNTIF(AS86,"0"),COUNTIF(AR86,"SI"),COUNTIF(CC86,"SI"),COUNTIF(BQ86,"&gt;119"),COUNTIF(CI86,"&gt;=35")),"")</f>
        <v>0</v>
      </c>
      <c r="NF86" s="43" t="str">
        <f t="shared" si="323"/>
        <v/>
      </c>
      <c r="NG86" s="43">
        <f t="shared" si="324"/>
        <v>0</v>
      </c>
      <c r="NH86" s="43">
        <f t="shared" si="325"/>
        <v>170.1</v>
      </c>
      <c r="NI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CPN",P86="NO"),"Z",IF(AND(Tabla1[[#This Row],[CITA PROXIMO CONTROL]]="CITA MANUAL",Tabla1[[#This Row],[GESTANTES ACTUALES]]="ACTIVA INGRESO A CPN"),"W",IF(AND(Tabla1[[#This Row],[GESTANTES ACTUALES]]="SALIO PROGRAMA",IN86=""),"S",IF(AND(Tabla1[[#This Row],[CITA PROXIMO CONTROL]]&gt;0,IN86=""),(Tabla1[[#This Row],[CITA PROXIMO CONTROL]]-TODAY()),"SD"))))))))</f>
        <v>SD</v>
      </c>
      <c r="NJ86" s="43">
        <f>MONTH(Tabla1[[#This Row],[FECHA DE SALIDA  DEL PROGRAMA]])</f>
        <v>5</v>
      </c>
      <c r="NK86" s="43">
        <f>YEAR(Tabla1[[#This Row],[FECHA DE SALIDA  DEL PROGRAMA]])</f>
        <v>2023</v>
      </c>
      <c r="NL86" s="43" t="str">
        <f t="shared" si="326"/>
        <v>X</v>
      </c>
      <c r="NM86" s="43" t="str">
        <f t="shared" si="251"/>
        <v>NO</v>
      </c>
      <c r="NN86" s="43" t="str">
        <f ca="1">IF(AND(O86&gt;0,R86=""),"NO CPN",IF(AND(O86="",R86=""),"",IF(AND(R86&gt;0,Tabla1[[#This Row],[SEMANAS DE GESTACION ACTUALIZADAS]]&lt;=12),"NO APLICA",IF(AND(FH86&lt;&gt;"",FN86&lt;&gt;""),"SI","NO"))))</f>
        <v>SI</v>
      </c>
      <c r="NO86" s="43" t="str">
        <f ca="1">IF(AND(O86&gt;0,R86=""),"NO CPN",IF(AND(O86="",R86=""),"",IF(AND(R86&gt;0,Tabla1[[#This Row],[SEMANAS DE GESTACION ACTUALIZADAS]]&lt;=27),"NO APLICA",IF(AND(ES86&lt;&gt;"",FQ86&lt;&gt;"",GF86&lt;&gt;""),"SI","NO"))))</f>
        <v>NO</v>
      </c>
      <c r="NP86" s="204" t="str">
        <f t="shared" si="327"/>
        <v>II TRIM</v>
      </c>
      <c r="NQ86" s="21">
        <f t="shared" si="436"/>
        <v>10</v>
      </c>
      <c r="NR86" s="21">
        <f t="shared" si="451"/>
        <v>2</v>
      </c>
      <c r="NS86" s="205">
        <f t="shared" ca="1" si="328"/>
        <v>1</v>
      </c>
      <c r="NT86" s="21">
        <f t="shared" ca="1" si="329"/>
        <v>0</v>
      </c>
      <c r="NU86" s="21" t="str">
        <f t="shared" ca="1" si="330"/>
        <v>INCOMPLETO</v>
      </c>
      <c r="NV86" s="21" t="str">
        <f t="shared" ca="1" si="331"/>
        <v>INCOMPLETO</v>
      </c>
      <c r="NW86" s="206" t="str">
        <f>IF(AND(O86="",R86=""),"",IF(OR(AND(Tabla1[[#This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6" s="207" t="str">
        <f t="shared" ca="1" si="332"/>
        <v>SIN VACUNAR</v>
      </c>
      <c r="NY86" s="43">
        <f>ROW(Tabla1[[#This Row],['# DE TAMIZAJES SIFILIS TOMADOS ]])</f>
        <v>86</v>
      </c>
      <c r="NZ86" s="43">
        <f t="shared" si="333"/>
        <v>15</v>
      </c>
      <c r="OA86" s="43" t="str">
        <f t="shared" si="334"/>
        <v/>
      </c>
      <c r="OB86" s="43" t="str">
        <f t="shared" si="335"/>
        <v/>
      </c>
      <c r="OC86" s="43" t="str">
        <f t="shared" si="336"/>
        <v/>
      </c>
      <c r="OD86" s="43" t="str">
        <f t="shared" si="337"/>
        <v/>
      </c>
      <c r="OE86" s="43" t="str">
        <f t="shared" si="338"/>
        <v/>
      </c>
      <c r="OF86" s="43" t="str">
        <f t="shared" si="339"/>
        <v/>
      </c>
      <c r="OG86" s="43" t="str">
        <f t="shared" si="340"/>
        <v>NORMAL</v>
      </c>
      <c r="OH86" s="43" t="str">
        <f t="shared" si="341"/>
        <v/>
      </c>
      <c r="OI86" s="43" t="str">
        <f t="shared" si="342"/>
        <v/>
      </c>
      <c r="OJ86" s="43" t="str">
        <f t="shared" si="343"/>
        <v/>
      </c>
      <c r="OK86" s="43" t="str">
        <f t="shared" si="344"/>
        <v/>
      </c>
      <c r="OL86" s="43" t="str">
        <f t="shared" si="345"/>
        <v/>
      </c>
      <c r="OM86" s="43" t="str">
        <f t="shared" si="346"/>
        <v/>
      </c>
      <c r="ON86" s="43" t="str">
        <f t="shared" si="347"/>
        <v/>
      </c>
      <c r="OO86" s="43" t="str">
        <f t="shared" si="348"/>
        <v/>
      </c>
      <c r="OP86" s="43" t="str">
        <f t="shared" si="349"/>
        <v/>
      </c>
      <c r="OQ86" s="43" t="str">
        <f t="shared" si="350"/>
        <v/>
      </c>
      <c r="OR86" s="43" t="str">
        <f t="shared" si="351"/>
        <v/>
      </c>
      <c r="OS86" s="43" t="str">
        <f t="shared" si="352"/>
        <v/>
      </c>
      <c r="OT86" s="43" t="str">
        <f t="shared" si="353"/>
        <v/>
      </c>
      <c r="OU86" s="43" t="str">
        <f t="shared" si="354"/>
        <v/>
      </c>
      <c r="OV86" s="110" t="str">
        <f t="shared" si="355"/>
        <v/>
      </c>
      <c r="OW86" s="43" t="str">
        <f t="shared" si="356"/>
        <v/>
      </c>
      <c r="OX86" s="43" t="str">
        <f t="shared" si="357"/>
        <v/>
      </c>
      <c r="OY86" s="43" t="str">
        <f t="shared" si="358"/>
        <v/>
      </c>
      <c r="OZ86" s="43" t="str">
        <f t="shared" si="359"/>
        <v/>
      </c>
      <c r="PA86" s="43" t="str">
        <f t="shared" si="360"/>
        <v/>
      </c>
      <c r="PB86" s="43" t="str">
        <f t="shared" si="361"/>
        <v/>
      </c>
      <c r="PC86" s="43" t="str">
        <f t="shared" si="362"/>
        <v/>
      </c>
      <c r="PD86" s="43" t="str">
        <f t="shared" si="363"/>
        <v/>
      </c>
      <c r="PE86" s="43" t="str">
        <f t="shared" si="364"/>
        <v/>
      </c>
      <c r="PF86" s="43" t="str">
        <f t="shared" si="365"/>
        <v/>
      </c>
      <c r="PG86" s="43" t="str">
        <f t="shared" si="366"/>
        <v/>
      </c>
      <c r="PH86" s="43" t="str">
        <f t="shared" si="367"/>
        <v/>
      </c>
      <c r="PI86" s="43">
        <f t="shared" si="368"/>
        <v>27</v>
      </c>
      <c r="PJ86" s="43" t="str">
        <f t="shared" si="369"/>
        <v/>
      </c>
      <c r="PK86" s="43" t="str">
        <f t="shared" si="370"/>
        <v/>
      </c>
      <c r="PL86" s="43" t="str">
        <f t="shared" si="371"/>
        <v/>
      </c>
      <c r="PM86" s="43" t="str">
        <f t="shared" si="372"/>
        <v/>
      </c>
      <c r="PN86" s="43" t="str">
        <f t="shared" si="373"/>
        <v/>
      </c>
      <c r="PO86" s="43" t="str">
        <f t="shared" si="374"/>
        <v/>
      </c>
      <c r="PP86" s="43" t="str">
        <f t="shared" si="375"/>
        <v/>
      </c>
      <c r="PQ86" s="43" t="str">
        <f t="shared" si="376"/>
        <v/>
      </c>
      <c r="PR86" s="43" t="str">
        <f t="shared" si="377"/>
        <v/>
      </c>
      <c r="PS86" s="43" t="str">
        <f t="shared" si="378"/>
        <v/>
      </c>
      <c r="PT86" s="43" t="str">
        <f t="shared" si="379"/>
        <v/>
      </c>
      <c r="PU86" s="43" t="str">
        <f t="shared" si="380"/>
        <v/>
      </c>
      <c r="PV86" s="43" t="str">
        <f t="shared" si="381"/>
        <v/>
      </c>
      <c r="PW86" s="43" t="str">
        <f t="shared" si="382"/>
        <v/>
      </c>
      <c r="PX86" s="43" t="str">
        <f t="shared" si="383"/>
        <v/>
      </c>
      <c r="PY86" s="43" t="str">
        <f t="shared" si="384"/>
        <v/>
      </c>
      <c r="PZ86" s="43" t="str">
        <f t="shared" si="385"/>
        <v/>
      </c>
      <c r="QA86" s="43" t="str">
        <f t="shared" si="386"/>
        <v/>
      </c>
      <c r="QB86" s="43" t="str">
        <f t="shared" si="387"/>
        <v/>
      </c>
      <c r="QC86" s="43" t="str">
        <f t="shared" si="388"/>
        <v/>
      </c>
      <c r="QD86" s="43" t="str">
        <f t="shared" si="389"/>
        <v/>
      </c>
      <c r="QE86" s="43" t="str">
        <f t="shared" si="390"/>
        <v/>
      </c>
      <c r="QF86" s="43" t="str">
        <f t="shared" si="391"/>
        <v/>
      </c>
      <c r="QG86" s="43" t="str">
        <f t="shared" si="392"/>
        <v/>
      </c>
      <c r="QH86" s="43" t="str">
        <f t="shared" si="393"/>
        <v/>
      </c>
      <c r="QI86" s="43" t="str">
        <f t="shared" si="394"/>
        <v/>
      </c>
      <c r="QJ86" s="43" t="str">
        <f t="shared" si="395"/>
        <v/>
      </c>
      <c r="QK86" s="43" t="str">
        <f t="shared" si="396"/>
        <v/>
      </c>
      <c r="QL86" s="43" t="str">
        <f t="shared" si="397"/>
        <v/>
      </c>
      <c r="QM86" s="43" t="str">
        <f t="shared" si="398"/>
        <v/>
      </c>
      <c r="QN86" s="43" t="str">
        <f t="shared" si="399"/>
        <v/>
      </c>
      <c r="QO86" s="43" t="str">
        <f t="shared" si="400"/>
        <v/>
      </c>
      <c r="QP86" s="43" t="str">
        <f t="shared" si="401"/>
        <v/>
      </c>
      <c r="QQ86" s="43" t="str">
        <f t="shared" si="402"/>
        <v/>
      </c>
      <c r="QR86" s="43">
        <f t="shared" si="432"/>
        <v>27</v>
      </c>
      <c r="QS86" s="43"/>
      <c r="QT86" s="21" t="str">
        <f t="shared" si="403"/>
        <v/>
      </c>
      <c r="QU86" s="21" t="str">
        <f t="shared" si="404"/>
        <v/>
      </c>
      <c r="QV86" s="21" t="str">
        <f t="shared" si="405"/>
        <v/>
      </c>
      <c r="QW86" s="21" t="str">
        <f t="shared" si="406"/>
        <v/>
      </c>
      <c r="QX86" s="21" t="str">
        <f t="shared" si="407"/>
        <v/>
      </c>
      <c r="QY86" s="21" t="str">
        <f t="shared" si="408"/>
        <v/>
      </c>
      <c r="QZ86" s="21" t="str">
        <f t="shared" si="409"/>
        <v/>
      </c>
      <c r="RA86" s="21" t="str">
        <f t="shared" si="410"/>
        <v/>
      </c>
      <c r="RB86" s="21" t="str">
        <f t="shared" si="411"/>
        <v/>
      </c>
      <c r="RC86" s="21" t="str">
        <f t="shared" si="412"/>
        <v/>
      </c>
      <c r="RD86" s="21" t="str">
        <f t="shared" si="413"/>
        <v/>
      </c>
      <c r="RE86" s="21" t="str">
        <f t="shared" si="414"/>
        <v/>
      </c>
      <c r="RF86" s="21" t="str">
        <f t="shared" si="415"/>
        <v/>
      </c>
      <c r="RG86" s="21" t="str">
        <f t="shared" si="416"/>
        <v/>
      </c>
      <c r="RH86" s="21" t="str">
        <f t="shared" si="417"/>
        <v/>
      </c>
      <c r="RI86" s="21" t="str">
        <f t="shared" si="418"/>
        <v/>
      </c>
      <c r="RJ86" s="21" t="str">
        <f t="shared" si="419"/>
        <v/>
      </c>
      <c r="RK86" s="21" t="str">
        <f t="shared" si="420"/>
        <v/>
      </c>
      <c r="RL86" s="21" t="str">
        <f t="shared" si="421"/>
        <v/>
      </c>
      <c r="RM86" s="21" t="str">
        <f t="shared" si="422"/>
        <v/>
      </c>
      <c r="RN86" s="21" t="str">
        <f t="shared" si="423"/>
        <v/>
      </c>
      <c r="RO86" s="21" t="str">
        <f t="shared" si="424"/>
        <v/>
      </c>
      <c r="RP86" s="21" t="str">
        <f t="shared" si="425"/>
        <v/>
      </c>
      <c r="RQ86" s="21" t="str">
        <f t="shared" si="426"/>
        <v/>
      </c>
      <c r="RR86" s="21" t="str">
        <f t="shared" si="427"/>
        <v/>
      </c>
      <c r="RS86" s="21" t="str">
        <f t="shared" si="428"/>
        <v/>
      </c>
      <c r="RT86" s="21" t="str">
        <f t="shared" si="429"/>
        <v/>
      </c>
      <c r="RU86" s="21" t="str">
        <f t="shared" si="430"/>
        <v/>
      </c>
      <c r="RV86" s="21">
        <f t="shared" si="431"/>
        <v>15</v>
      </c>
      <c r="RW86" s="284">
        <f>IF(OR(Tabla1[[#This Row],[FUM FORMULA CONFIABLE]]="",Tabla1[[#This Row],[FUM FORMULA CONFIABLE]]="SD"),"",IF(Tabla1[[#This Row],[FUM FORMULA CONFIABLE]]="CORREGIDA",Tabla1[[#This Row],[FUM X ECO 1]],Tabla1[[#This Row],[FUM x AMENORREA]]))</f>
        <v>44849</v>
      </c>
      <c r="RX86" s="21">
        <f>IF(AND(Tabla1[[#This Row],[FUM X ECO 1]]="",Tabla1[[#This Row],[FUM x AMENORREA]]=""),"",IF(AND(Tabla1[[#This Row],[FUM X ECO 1]]="",Tabla1[[#This Row],[FUM x AMENORREA]]&lt;&gt;""),"X",SUM(Tabla1[[#This Row],[FUM X ECO 1]]-Tabla1[[#This Row],[FUM x AMENORREA]])))</f>
        <v>-59.099999999998545</v>
      </c>
      <c r="RY86" s="21">
        <f t="shared" si="433"/>
        <v>1</v>
      </c>
    </row>
    <row r="87" spans="1:493" ht="45" customHeight="1" x14ac:dyDescent="0.25">
      <c r="A87" s="109" t="s">
        <v>1264</v>
      </c>
      <c r="B87" s="43"/>
      <c r="C87" s="43" t="s">
        <v>845</v>
      </c>
      <c r="D87" s="124"/>
      <c r="E87" s="43" t="s">
        <v>1265</v>
      </c>
      <c r="F87" s="43" t="s">
        <v>953</v>
      </c>
      <c r="G87" s="43" t="s">
        <v>1266</v>
      </c>
      <c r="H87" s="43"/>
      <c r="I87" s="109" t="s">
        <v>851</v>
      </c>
      <c r="J87" s="110">
        <v>1059604648</v>
      </c>
      <c r="K87" s="43" t="s">
        <v>852</v>
      </c>
      <c r="L87" s="175" t="s">
        <v>853</v>
      </c>
      <c r="M87" s="22">
        <v>35379</v>
      </c>
      <c r="N87" s="213">
        <f t="shared" ca="1" si="252"/>
        <v>26.997260273972604</v>
      </c>
      <c r="O87" s="22">
        <v>44960</v>
      </c>
      <c r="P87" s="214" t="str">
        <f t="shared" si="437"/>
        <v>SI</v>
      </c>
      <c r="Q87" s="26" t="s">
        <v>855</v>
      </c>
      <c r="R87" s="22">
        <v>44960</v>
      </c>
      <c r="S87" s="21" t="s">
        <v>856</v>
      </c>
      <c r="T87" s="24" t="s">
        <v>690</v>
      </c>
      <c r="U87" s="21" t="s">
        <v>857</v>
      </c>
      <c r="V87" s="21" t="s">
        <v>858</v>
      </c>
      <c r="W87" s="21" t="s">
        <v>893</v>
      </c>
      <c r="X87" s="21" t="s">
        <v>893</v>
      </c>
      <c r="Y87" s="21" t="s">
        <v>859</v>
      </c>
      <c r="Z87" s="21" t="s">
        <v>1267</v>
      </c>
      <c r="AA87" s="21" t="s">
        <v>860</v>
      </c>
      <c r="AB87" s="27" t="s">
        <v>861</v>
      </c>
      <c r="AC87" s="26" t="s">
        <v>877</v>
      </c>
      <c r="AD87" s="38"/>
      <c r="AE87" s="26" t="s">
        <v>854</v>
      </c>
      <c r="AF87" s="26" t="s">
        <v>854</v>
      </c>
      <c r="AG87" s="23" t="s">
        <v>864</v>
      </c>
      <c r="AH87" s="23" t="s">
        <v>864</v>
      </c>
      <c r="AI87" s="24" t="s">
        <v>863</v>
      </c>
      <c r="AJ87" s="23" t="s">
        <v>864</v>
      </c>
      <c r="AK87" s="220" t="str">
        <f>IF(AND(AD87="",AE87="",AF87="",AG87="",AH87="",AI87="",AJ87=""),"",IF(OR(Tabla1[[#This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EVALUACIÓN",IF(AND(O87="",R87=""),"",IF(AND(OR(O87&gt;0,R87&gt;0),NG87&gt;=0,NG87&lt;2),"SIN RIESGO",IF(AND(OR(O87&gt;0,R87&gt;0),NG87&gt;=2),"CON RIESGO","ASD")))))</f>
        <v>SIN RIESGO</v>
      </c>
      <c r="AL87" s="23" t="s">
        <v>864</v>
      </c>
      <c r="AM87" s="26" t="s">
        <v>864</v>
      </c>
      <c r="AN87" s="26" t="s">
        <v>864</v>
      </c>
      <c r="AO87" s="26" t="s">
        <v>864</v>
      </c>
      <c r="AP87" s="26" t="s">
        <v>864</v>
      </c>
      <c r="AQ87" s="26" t="s">
        <v>864</v>
      </c>
      <c r="AR87" s="26" t="s">
        <v>864</v>
      </c>
      <c r="AS87" s="21">
        <v>3</v>
      </c>
      <c r="AT87" s="21">
        <v>3</v>
      </c>
      <c r="AU87" s="21">
        <v>0</v>
      </c>
      <c r="AV87" s="26" t="s">
        <v>864</v>
      </c>
      <c r="AW87" s="21">
        <v>0</v>
      </c>
      <c r="AX87" s="26" t="s">
        <v>864</v>
      </c>
      <c r="AY87" s="26" t="s">
        <v>864</v>
      </c>
      <c r="AZ87" s="26" t="s">
        <v>864</v>
      </c>
      <c r="BA87" s="26" t="s">
        <v>864</v>
      </c>
      <c r="BB87" s="26" t="s">
        <v>864</v>
      </c>
      <c r="BC87" s="26" t="s">
        <v>864</v>
      </c>
      <c r="BD87" s="26" t="s">
        <v>864</v>
      </c>
      <c r="BE87" s="26" t="s">
        <v>864</v>
      </c>
      <c r="BF87" s="26" t="s">
        <v>864</v>
      </c>
      <c r="BG87" s="26" t="s">
        <v>864</v>
      </c>
      <c r="BH87" s="26" t="s">
        <v>864</v>
      </c>
      <c r="BI87" s="26" t="s">
        <v>864</v>
      </c>
      <c r="BJ87" s="26"/>
      <c r="BK87" s="26"/>
      <c r="BL87" s="26" t="s">
        <v>864</v>
      </c>
      <c r="BM87" s="26" t="s">
        <v>864</v>
      </c>
      <c r="BN87" s="22">
        <v>44349</v>
      </c>
      <c r="BO87" s="22">
        <v>44850</v>
      </c>
      <c r="BP87" s="21" t="s">
        <v>854</v>
      </c>
      <c r="BQ87" s="222">
        <f t="shared" si="254"/>
        <v>16.7</v>
      </c>
      <c r="BR87" s="223">
        <f t="shared" si="255"/>
        <v>44850.8</v>
      </c>
      <c r="BS87" s="224">
        <f t="shared" si="256"/>
        <v>15.714285714285714</v>
      </c>
      <c r="BT87" s="216" t="str">
        <f t="shared" si="257"/>
        <v>II TRIM</v>
      </c>
      <c r="BU87" s="214" t="str">
        <f t="shared" ca="1" si="258"/>
        <v/>
      </c>
      <c r="BV87" s="25"/>
      <c r="BW87" s="22">
        <v>44960</v>
      </c>
      <c r="BX87" s="28">
        <v>15.6</v>
      </c>
      <c r="BY87" s="28"/>
      <c r="BZ87" s="22">
        <v>45055</v>
      </c>
      <c r="CA87" s="21">
        <v>12.6</v>
      </c>
      <c r="CB87" s="26" t="s">
        <v>864</v>
      </c>
      <c r="CC87" s="26" t="s">
        <v>864</v>
      </c>
      <c r="CD87" s="26" t="s">
        <v>865</v>
      </c>
      <c r="CE87" s="26" t="s">
        <v>864</v>
      </c>
      <c r="CF87" s="22" t="s">
        <v>1517</v>
      </c>
      <c r="CG87" s="21">
        <v>1.39</v>
      </c>
      <c r="CH87" s="21">
        <v>49.5</v>
      </c>
      <c r="CI87" s="214">
        <f t="shared" si="259"/>
        <v>25.619791936235188</v>
      </c>
      <c r="CJ87" s="225" t="e">
        <f>IF(AND(CI87&lt;10,CH87="SD"),"SIN DATO PESO PREGESTACION O I TRIM",IF(AND(OR(R87&gt;0,O87&gt;0),CI87="X"),"INGRESAR DATO DE PESO",IF(CI87="SD","INGRESAR DATO DE TALLA Y PESO",IF(AND(OR(Tabla1[[#This Row],[MOMENTO EN QUE SE REALIZA EL PESO AL INGRESO A CPN]]="PREGESTACIÓN",NZ87="Menor"),CI87&lt;18.5),"BAJO PESO",IF(AND(OR(Tabla1[[#This Row],[MOMENTO EN QUE SE REALIZA EL PESO AL INGRESO A CPN]]="PREGESTACIÓN",NZ87="Menor"),CI87&lt;25),"NORMAL",IF(AND(OR(Tabla1[[#This Row],[MOMENTO EN QUE SE REALIZA EL PESO AL INGRESO A CPN]]="PREGESTACIÓN",NZ87="Menor"),CI87&lt;30),"SOBREPESO",IF(AND(OR(Tabla1[[#This Row],[MOMENTO EN QUE SE REALIZA EL PESO AL INGRESO A CPN]]="PREGESTACIÓN",NZ87="Menor"),CI87&gt;=30,CI87&lt;50),"OBESIDAD",IF(AND(BS87&gt;0,Tabla1[[#This Row],[MOMENTO EN QUE SE REALIZA EL PESO AL INGRESO A CPN]]="GESTACIÓN"),HLOOKUP(NZ87,$OA$2:PH87,NY87),""))))))))</f>
        <v>#REF!</v>
      </c>
      <c r="CK87" s="212">
        <f t="shared" si="260"/>
        <v>45101</v>
      </c>
      <c r="CL87" s="21">
        <v>52</v>
      </c>
      <c r="CM87" s="214">
        <f t="shared" si="261"/>
        <v>26.913720821903631</v>
      </c>
      <c r="CN87" s="216">
        <f t="shared" si="262"/>
        <v>35</v>
      </c>
      <c r="CO87" s="216" t="e">
        <f>IF(PI87="","",IF(PI87&gt;0,HLOOKUP(PI87,$PJ$2:QQ87,NY87),""))</f>
        <v>#REF!</v>
      </c>
      <c r="CP87" s="21">
        <v>29</v>
      </c>
      <c r="CQ87" s="216" t="e">
        <f>IF(QR87="Menor","NO APLICA-MENOR 13 SEM",IF(AND(CC87="SI",CN87&gt;23),"NO APLICA- GEMELAR",IF(QR87="","",IF(QR87&gt;0,HLOOKUP(QR87,$QS$2:RU87,NY87),""))))</f>
        <v>#REF!</v>
      </c>
      <c r="CR87" s="21"/>
      <c r="CS87" s="21"/>
      <c r="CT87" s="217" t="str">
        <f>IF(R87="","",IF(AND(BS87&gt;1,BS87&lt;12,Tabla1[[#This Row],[T.A. SISTOLICA - ANTES DE SEMANA 12]]="",Tabla1[[#This Row],[T.A. DIASTOLICA - ANTES DE SEMANA 12]]=""),"REGISTRE DATO TA ANTES SEMANA 12",IF(AND(BS87&gt;11,BS87&lt;43,Tabla1[[#This Row],[T.A. SISTOLICA - ANTES DE SEMANA 12]]="",Tabla1[[#This Row],[T.A. DIASTOLICA - ANTES DE SEMANA 12]]=""),"NO APLICA REGISTRO TA-INGRESO TARDIO",IF(AND(OR(O87&gt;0,R87&gt;0),OR(CR87&gt;=140,CS87&gt;=90)),"DEFINIR ESTADIO HTA",IF(AND(OR(O87&gt;0,R87&gt;0),AND(CR87&gt;120,CR87&lt;=139)),"PRE HTA SEGUIMIENTO",IF(AND(OR(O87&gt;0,R87&gt;0),AND(CS87&gt;80,CS87&lt;=89)),"PRE HTA SEGUIMIENTO",IF(AND(OR(O87&gt;0,R87&gt;0),AND(CR87&gt;=80,CR87&lt;=120)),"APARENTEMENTE NORMAL",IF(AND(OR(O87&gt;0,R87&gt;0),AND(CS87&gt;=50,CS87&lt;=80)),"APARENTEMENTE NORMAL",IF(AND(OR(O87&gt;0,R87&gt;0),AND(CR87&gt;1,CR87&lt;=70),AND(CS87&gt;1,CS87&lt;=40)),"HIPOTENSIÓN","")))))))))</f>
        <v>NO APLICA REGISTRO TA-INGRESO TARDIO</v>
      </c>
      <c r="CU87" s="21"/>
      <c r="CV87" s="21"/>
      <c r="CW87" s="217" t="str">
        <f ca="1">IF(R87="","",IF(AND(CN87&gt;19,CN87&lt;27,Tabla1[[#This Row],[T.A. SISTOLICA (Entre semana 20 y 26)]]="",Tabla1[[#This Row],[T.A. DIATOLICA (Entre semana 20 y 26)]]=""),"ACUDE A CONTROL SEM 20 A 26 REGISTRE TA AHORA",IF(AND(BS87&gt;1,BS87&lt;27,BU87&gt;19,Tabla1[[#This Row],[T.A. SISTOLICA (Entre semana 20 y 26)]]="",Tabla1[[#This Row],[T.A. DIATOLICA (Entre semana 20 y 26)]]=""),"COMPLETE REGISTRO TA CONTROL SEM 20 A26 ",IF(AND(BS87&gt;26,BS87&lt;43,Tabla1[[#This Row],[T.A. SISTOLICA (Entre semana 20 y 26)]]="",Tabla1[[#This Row],[T.A. DIATOLICA (Entre semana 20 y 26)]]=""),"NO APLICA REGISTRO TA-INGRESO TARDIO",IF(AND(OR(O87&gt;0,R87&gt;0),OR(CU87&gt;=140,CV87&gt;=90)),"ALTO RIESGO PREECLAMPSIA,DEFINIR ESTADIO HTA",IF(AND(OR(O87&gt;0,R87&gt;0),AND(CU87&gt;120,CU87&lt;=139)),"PRE HTA SEGUIMIENTO,RIESGO HIPERTENSION INDUCIDA POR EL EMBARAZO",IF(AND(OR(O87&gt;0,R87&gt;0),AND(CV87&gt;80,CV87&lt;=89)),"PRE HTA SEGUIMIENTO, RIESGO HIPERTENSION INDUCIDA POR EL EMBARAZO",IF(AND(OR(O87&lt;&gt;"",R87&lt;&gt;""),CS87&lt;&gt;"",CV87&lt;&gt;"",CS87&lt;=CV87),"VIGILAR CIFRAS PRESION ARTERIAL",IF(AND(OR(O87&gt;0,R87&gt;0),AND(CU87&gt;120,CU87&lt;=139)),"PRE HTA SEGUIMIENTO",IF(AND(OR(O87&gt;0,R87&gt;0),AND(CU87&gt;1,CU87&lt;=70),AND(CV87&gt;1,CV87&lt;=40)),"HIPOTENSIÓN",IF(AND(OR(O87&lt;&gt;"",R87&lt;&gt;""),CS87&lt;&gt;"",CV87&lt;&gt;"",CS87&gt;CV87),"APARENTEMENTE NORMAL",IF(AND(OR(O87&gt;0,R87&gt;0),AND(CU87&gt;=80,CU87&lt;=120)),"APARENTEMENTE NORMAL",IF(AND(OR(O87&gt;0,R87&gt;0),AND(CV87&gt;=50,CV87&lt;=80)),"APARENTEMENTE NORMAL","")))))))))))))</f>
        <v xml:space="preserve">COMPLETE REGISTRO TA CONTROL SEM 20 A26 </v>
      </c>
      <c r="CX87" s="21">
        <v>120</v>
      </c>
      <c r="CY87" s="21">
        <v>80</v>
      </c>
      <c r="CZ87" s="216" t="str">
        <f t="shared" si="263"/>
        <v>APARENTEMENTE NORMAL</v>
      </c>
      <c r="DA87" s="21">
        <v>120</v>
      </c>
      <c r="DB87" s="21">
        <v>80</v>
      </c>
      <c r="DC87" s="217" t="str">
        <f t="shared" si="264"/>
        <v>APARENTEMENTE NORMAL</v>
      </c>
      <c r="DD87" s="22">
        <v>44960</v>
      </c>
      <c r="DE87" s="22">
        <v>44960</v>
      </c>
      <c r="DF87" s="22">
        <v>45020</v>
      </c>
      <c r="DG87" s="22">
        <v>45070</v>
      </c>
      <c r="DH87" s="22">
        <v>45101</v>
      </c>
      <c r="DI87" s="22"/>
      <c r="DJ87" s="22"/>
      <c r="DK87" s="22"/>
      <c r="DL87" s="22"/>
      <c r="DM87" s="22"/>
      <c r="DN87" s="22"/>
      <c r="DO87" s="22"/>
      <c r="DP87" s="22"/>
      <c r="DQ87" s="22"/>
      <c r="DR87" s="28"/>
      <c r="DS87" s="22"/>
      <c r="DT87" s="22"/>
      <c r="DU87" s="216" t="str">
        <f t="shared" ca="1" si="438"/>
        <v>SALE SIN PLAN DE PARTO</v>
      </c>
      <c r="DV87" s="226" t="str">
        <f t="shared" si="439"/>
        <v>SALIO PROGRAMA</v>
      </c>
      <c r="DW8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7" s="216" t="str">
        <f t="shared" ca="1" si="266"/>
        <v/>
      </c>
      <c r="DY87" s="212">
        <f>IF(R87="","",IF(R87&gt;0,MAX(Tabla1[[#This Row],[FECHA C2]:[FECHA C13]],Tabla1[[#This Row],[FECHA CONSULTA PRIMERA VEZ PROGRAMA CPN ]])))</f>
        <v>45101</v>
      </c>
      <c r="DZ87" s="216">
        <f t="shared" si="267"/>
        <v>35</v>
      </c>
      <c r="EA87" s="222">
        <f>IF(R87&gt;0,SUM(COUNTA(DF87:DQ87)+COUNTA(Tabla1[[#This Row],[FECHA CONSULTA PRIMERA VEZ PROGRAMA CPN ]])),"")</f>
        <v>4</v>
      </c>
      <c r="EB87" s="222" t="str">
        <f t="shared" si="268"/>
        <v>SI</v>
      </c>
      <c r="EC87" s="214">
        <f t="shared" si="269"/>
        <v>8</v>
      </c>
      <c r="ED87" s="227">
        <f t="shared" si="270"/>
        <v>0.5</v>
      </c>
      <c r="EE87" s="22">
        <v>44960</v>
      </c>
      <c r="EF87" s="22">
        <v>44960</v>
      </c>
      <c r="EG87" s="22">
        <v>44960</v>
      </c>
      <c r="EH87" s="22"/>
      <c r="EI87" s="22">
        <v>44960</v>
      </c>
      <c r="EJ87" s="22">
        <v>45016</v>
      </c>
      <c r="EK87" s="22"/>
      <c r="EL87" s="21"/>
      <c r="EM87" s="21">
        <v>12</v>
      </c>
      <c r="EN87" s="22">
        <v>45023</v>
      </c>
      <c r="EO87" s="222">
        <f t="shared" si="271"/>
        <v>24.714285714285715</v>
      </c>
      <c r="EP87" s="214" t="str">
        <f t="shared" si="272"/>
        <v>NORMAL- SUMINISTRAR SULFATO FERROSO</v>
      </c>
      <c r="EQ87" s="216" t="str">
        <f t="shared" si="273"/>
        <v>II TRIM</v>
      </c>
      <c r="ER87" s="24"/>
      <c r="ES87" s="22"/>
      <c r="ET87" s="29" t="str">
        <f t="shared" ca="1" si="440"/>
        <v>SALE SIN TAMIZAJE HEMOGLOBINA SEM 28</v>
      </c>
      <c r="EU87" s="25" t="str">
        <f t="shared" si="275"/>
        <v/>
      </c>
      <c r="EV87" s="24" t="s">
        <v>1510</v>
      </c>
      <c r="EW87" s="32">
        <v>44960</v>
      </c>
      <c r="EX87" s="22"/>
      <c r="EY87" s="29">
        <f t="shared" si="248"/>
        <v>15.714285714285714</v>
      </c>
      <c r="EZ87" s="25" t="str">
        <f t="shared" si="249"/>
        <v>SIN RIESGO DE ISOINMUNIZACIÓN</v>
      </c>
      <c r="FA87" s="21">
        <v>73</v>
      </c>
      <c r="FB87" s="22">
        <v>44960</v>
      </c>
      <c r="FC87" s="29">
        <f t="shared" si="276"/>
        <v>15.714285714285714</v>
      </c>
      <c r="FD87" s="29">
        <v>69</v>
      </c>
      <c r="FE87" s="29">
        <v>88</v>
      </c>
      <c r="FF87" s="29">
        <v>114</v>
      </c>
      <c r="FG87" s="21" t="str">
        <f t="shared" ca="1" si="277"/>
        <v>NORMAL</v>
      </c>
      <c r="FH87" s="31">
        <v>45072</v>
      </c>
      <c r="FI87" s="29">
        <f t="shared" si="278"/>
        <v>31.714285714285715</v>
      </c>
      <c r="FJ87" s="22"/>
      <c r="FK87" s="22"/>
      <c r="FL87" s="29" t="str">
        <f t="shared" ca="1" si="279"/>
        <v>NO APLICA-INGRESO TARDIO</v>
      </c>
      <c r="FM87" s="22"/>
      <c r="FN87" s="32"/>
      <c r="FO87" s="29" t="str">
        <f t="shared" ca="1" si="441"/>
        <v>PIERDE TOMA DE TAMIZAJE</v>
      </c>
      <c r="FP87" s="22" t="s">
        <v>867</v>
      </c>
      <c r="FQ87" s="32">
        <v>45072</v>
      </c>
      <c r="FR87" s="29">
        <f t="shared" ca="1" si="442"/>
        <v>31.714285714285715</v>
      </c>
      <c r="FS87" s="22"/>
      <c r="FT87" s="32"/>
      <c r="FU87" s="29" t="str">
        <f>IF(AND(FJ87="",FM87="",FP87="",FS87=""),"",IF(OR(OR(Tabla1[[#This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7" s="28"/>
      <c r="FW87" s="22"/>
      <c r="FX87" s="29" t="str">
        <f t="shared" si="280"/>
        <v>TOMAR EXAMEN</v>
      </c>
      <c r="FY87" s="22"/>
      <c r="FZ87" s="22"/>
      <c r="GA87" s="29" t="str">
        <f t="shared" ca="1" si="250"/>
        <v>NO APLICA-INGRESO TARDIO</v>
      </c>
      <c r="GB87" s="22" t="s">
        <v>868</v>
      </c>
      <c r="GC87" s="22">
        <v>44960</v>
      </c>
      <c r="GD87" s="29">
        <f t="shared" ca="1" si="443"/>
        <v>15.714285714285714</v>
      </c>
      <c r="GE87" s="22"/>
      <c r="GF87" s="22"/>
      <c r="GG87" s="29" t="str">
        <f t="shared" ca="1" si="444"/>
        <v>PIERDE TOMA DE TAMIZAJE</v>
      </c>
      <c r="GH87" s="22"/>
      <c r="GI87" s="29"/>
      <c r="GJ87" s="22"/>
      <c r="GK87" s="22"/>
      <c r="GL87" s="22"/>
      <c r="GM87" s="22"/>
      <c r="GN87" s="28" t="s">
        <v>869</v>
      </c>
      <c r="GO87" s="22">
        <v>44960</v>
      </c>
      <c r="GP87" s="29">
        <f t="shared" si="283"/>
        <v>15.714285714285714</v>
      </c>
      <c r="GQ87" s="28" t="s">
        <v>869</v>
      </c>
      <c r="GR87" s="28" t="s">
        <v>869</v>
      </c>
      <c r="GS87" s="22" t="str">
        <f t="shared" si="284"/>
        <v>CONTROL Igm</v>
      </c>
      <c r="GT87" s="22">
        <v>45023</v>
      </c>
      <c r="GU87" s="29">
        <f t="shared" si="285"/>
        <v>24.714285714285715</v>
      </c>
      <c r="GV87" s="21" t="str">
        <f t="shared" si="286"/>
        <v>II TRIM</v>
      </c>
      <c r="GW87" s="28"/>
      <c r="GX87" s="30"/>
      <c r="GY87" s="21"/>
      <c r="GZ87" s="21"/>
      <c r="HA87" s="21"/>
      <c r="HB87" s="21"/>
      <c r="HC87" s="21"/>
      <c r="HD87" s="21"/>
      <c r="HE87" s="21"/>
      <c r="HF87" s="22"/>
      <c r="HG87" s="22" t="str">
        <f>IF(OR(O87&gt;0,R87&gt;0),CONCATENATE(IF(Tabla1[[#This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7" s="22" t="e">
        <f t="shared" si="287"/>
        <v>#REF!</v>
      </c>
      <c r="HI87" s="22" t="e">
        <f t="shared" ca="1" si="288"/>
        <v>#REF!</v>
      </c>
      <c r="HJ87" s="21"/>
      <c r="HK87" s="21" t="str">
        <f t="shared" si="289"/>
        <v>SIN ANTECEDENTES DE RIESGO</v>
      </c>
      <c r="HL87" s="24" t="str">
        <f t="shared" si="290"/>
        <v>APARENTEMENTE NORMAL</v>
      </c>
      <c r="HM87" s="21" t="str">
        <f t="shared" ca="1" si="291"/>
        <v/>
      </c>
      <c r="HN87" s="30" t="str">
        <f t="shared" si="445"/>
        <v>SALIO PROGRAMA</v>
      </c>
      <c r="HO87" s="21"/>
      <c r="HP87" s="21"/>
      <c r="HQ87" s="21"/>
      <c r="HR87" s="21" t="str">
        <f>IF(R87="","",IF(Tabla1[[#This Row],[ALARMA FACTORES DE RIESGO COMPLICACIONES HIPERTENSIVAS3]]="SIN ANTECEDENTES DE RIESGO","No Aplica para suministro de ASA",IF(AND(Tabla1[[#This Row],[FECHA INICIO DE SUMINISTRO DE ASA]]&gt;0,RV87&lt;12),"Inicia ASA ANTES de Sem 12",IF(AND(RV87&gt;11,RV87&lt;17,OR(HK87="RIESGO ALTO DE COMPLICACIONES HIPERTENSIVAS VER MANEJO GUIA SUMINISTRO ASA Y CALCIO",HK87="RIESGO MODERADO (2 O MAS CRITERIOS) VER MANEJO GUIA SUMINISTRO ASA Y CALCIO")),"Inicio oportuno de ASA",IF(AND(RV87&gt;12,OR(HK87="RIESGO ALTO DE COMPLICACIONES HIPERTENSIVAS VER MANEJO GUIA SUMINISTRO ASA Y CALCIO",HK87="RIESGO MODERADO (2 O MAS CRITERIOS) VER MANEJO GUIA SUMINISTRO ASA Y CALCIO")),"Inicio no oportuno mayor a 16 semanas",IF(AND(BU87&lt;12,OR(HK87="RIESGO ALTO DE COMPLICACIONES HIPERTENSIVAS VER MANEJO GUIA SUMINISTRO ASA Y CALCIO",HK87="RIESGO MODERADO (2 O MAS CRITERIOS) VER MANEJO GUIA SUMINISTRO ASA Y CALCIO")),"Pendiente Inicio de ASA a la semana 12",IF(AND(BU87&gt;11,BU87&lt;17,OR(HK87="RIESGO ALTO DE COMPLICACIONES HIPERTENSIVAS VER MANEJO GUIA SUMINISTRO ASA Y CALCIO",HK87="RIESGO MODERADO (2 O MAS CRITERIOS) VER MANEJO GUIA SUMINISTRO ASA Y CALCIO")),"Iniciar de inmediato ASA",IF(AND(BU87&gt;16,OR(HK87="RIESGO ALTO DE COMPLICACIONES HIPERTENSIVAS VER MANEJO GUIA SUMINISTRO ASA Y CALCIO",HK87="RIESGO MODERADO (2 O MAS CRITERIOS) VER MANEJO GUIA SUMINISTRO ASA Y CALCIO")),"Pierde Oportunidad, Inicio tardío de ASA","XXXXX"))))))))</f>
        <v>No Aplica para suministro de ASA</v>
      </c>
      <c r="HS87" s="22">
        <v>44960</v>
      </c>
      <c r="HT87" s="22" t="s">
        <v>1518</v>
      </c>
      <c r="HU87" s="22"/>
      <c r="HV87" s="22"/>
      <c r="HW87" s="4">
        <v>44960</v>
      </c>
      <c r="HX87" s="22" t="s">
        <v>1511</v>
      </c>
      <c r="HY87" s="22">
        <v>44960</v>
      </c>
      <c r="HZ87" s="28">
        <f t="shared" si="292"/>
        <v>15.714285714285714</v>
      </c>
      <c r="IA87" s="26"/>
      <c r="IB87" s="26"/>
      <c r="IC87" s="111"/>
      <c r="ID87" s="22"/>
      <c r="IE87" s="22" t="str">
        <f t="shared" ca="1" si="293"/>
        <v>SALE SIN VACUNA</v>
      </c>
      <c r="IF87" s="22"/>
      <c r="IG87" s="22">
        <f t="shared" si="294"/>
        <v>45130</v>
      </c>
      <c r="IH87" s="29">
        <f t="shared" ca="1" si="295"/>
        <v>-103</v>
      </c>
      <c r="II87" s="22" t="str">
        <f t="shared" ca="1" si="296"/>
        <v>POSIBLEMENTE NACIO</v>
      </c>
      <c r="IJ87" s="22"/>
      <c r="IK87" s="21" t="s">
        <v>1652</v>
      </c>
      <c r="IL87" s="21"/>
      <c r="IM87" s="34"/>
      <c r="IN87" s="349">
        <v>45108</v>
      </c>
      <c r="IO87" s="21" t="s">
        <v>1186</v>
      </c>
      <c r="IP87" s="29">
        <f t="shared" si="435"/>
        <v>36.857142857142854</v>
      </c>
      <c r="IQ87" s="290" t="s">
        <v>1654</v>
      </c>
      <c r="IR87" s="290" t="s">
        <v>1651</v>
      </c>
      <c r="IS87" s="290" t="s">
        <v>1646</v>
      </c>
      <c r="IT87" s="290" t="s">
        <v>1642</v>
      </c>
      <c r="IU87" s="21"/>
      <c r="IV87" s="21"/>
      <c r="IW87" s="21"/>
      <c r="IX87" s="21"/>
      <c r="IY87" s="21"/>
      <c r="IZ87" s="21"/>
      <c r="JA87" s="21"/>
      <c r="JB87" s="30">
        <v>1</v>
      </c>
      <c r="JC87" s="21" t="s">
        <v>1643</v>
      </c>
      <c r="JD87" s="36">
        <v>2320</v>
      </c>
      <c r="JE87" s="21" t="str">
        <f t="shared" si="446"/>
        <v>BAJO PESO AL NACER</v>
      </c>
      <c r="JF87" s="30"/>
      <c r="JG87" s="21"/>
      <c r="JH87" s="21"/>
      <c r="JI87" s="21" t="s">
        <v>854</v>
      </c>
      <c r="JJ87" s="30" t="s">
        <v>866</v>
      </c>
      <c r="JK87" s="22"/>
      <c r="JL87" s="22"/>
      <c r="JM87" s="21"/>
      <c r="JN87" s="36"/>
      <c r="JO87" s="21" t="str">
        <f t="shared" si="447"/>
        <v/>
      </c>
      <c r="JP87" s="22"/>
      <c r="JQ87" s="21"/>
      <c r="JR87" s="21"/>
      <c r="JS87" s="21"/>
      <c r="JT87" s="30"/>
      <c r="JU87" s="22"/>
      <c r="JV87" s="22"/>
      <c r="JW87" s="33"/>
      <c r="JX87" s="28" t="str">
        <f t="shared" si="448"/>
        <v>INASISTENTE</v>
      </c>
      <c r="JY87" s="33"/>
      <c r="JZ87" s="28" t="str">
        <f t="shared" si="449"/>
        <v>INASISTENTE</v>
      </c>
      <c r="KA87" s="21"/>
      <c r="KB87" s="21"/>
      <c r="KC87" s="21"/>
      <c r="KD87" s="37"/>
      <c r="KE87" s="28"/>
      <c r="KF87" s="28"/>
      <c r="KG87" s="28"/>
      <c r="KH87" s="39"/>
      <c r="KI87" s="39"/>
      <c r="KJ87" s="66"/>
      <c r="KK87" s="39"/>
      <c r="KL87" s="39"/>
      <c r="KM87" s="66"/>
      <c r="KN87" s="39"/>
      <c r="KO87" s="39"/>
      <c r="KP87" s="39"/>
      <c r="KQ87" s="39"/>
      <c r="KR87" s="39"/>
      <c r="KS87" s="39"/>
      <c r="KT87" s="39"/>
      <c r="KU87" s="38"/>
      <c r="KV87" s="38"/>
      <c r="KW87" s="38"/>
      <c r="KX87" s="38"/>
      <c r="KY87" s="38"/>
      <c r="KZ87" s="38"/>
      <c r="LA87" s="38"/>
      <c r="LB87" s="38"/>
      <c r="LC87" s="38"/>
      <c r="LD87" s="38"/>
      <c r="LE87" s="38"/>
      <c r="LF87" s="38"/>
      <c r="LG87" s="38"/>
      <c r="LH87" s="38"/>
      <c r="LI87" s="38"/>
      <c r="LJ87" s="38"/>
      <c r="LK87" s="38"/>
      <c r="LL87" s="38"/>
      <c r="LM87" s="38"/>
      <c r="LN87" s="38"/>
      <c r="LO87" s="38"/>
      <c r="LP87" s="38"/>
      <c r="LQ87" s="38"/>
      <c r="LR87" s="38"/>
      <c r="LS87" s="38"/>
      <c r="LT87" s="38"/>
      <c r="LU87" s="38"/>
      <c r="LV87" s="38"/>
      <c r="LW87" s="38"/>
      <c r="LX87" s="38"/>
      <c r="LY87" s="38"/>
      <c r="LZ87" s="38"/>
      <c r="MA87" s="38"/>
      <c r="MB87" s="38"/>
      <c r="MC87" s="38"/>
      <c r="MD87" s="38"/>
      <c r="ME87" s="38"/>
      <c r="MF87" s="38"/>
      <c r="MG87" s="38"/>
      <c r="MH87" s="43">
        <f t="shared" si="302"/>
        <v>0</v>
      </c>
      <c r="MI87" s="43" t="str">
        <f t="shared" si="303"/>
        <v/>
      </c>
      <c r="MJ87" s="43" t="str">
        <f t="shared" si="304"/>
        <v/>
      </c>
      <c r="MK87" s="43">
        <f t="shared" si="305"/>
        <v>0</v>
      </c>
      <c r="ML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7" s="43">
        <f t="shared" si="306"/>
        <v>15.714285714285714</v>
      </c>
      <c r="MN87" s="43">
        <f t="shared" si="307"/>
        <v>2</v>
      </c>
      <c r="MO87" s="43">
        <f t="shared" si="308"/>
        <v>2023</v>
      </c>
      <c r="MP87" s="43" t="str">
        <f t="shared" si="309"/>
        <v>I TRIMESTRE AÑO</v>
      </c>
      <c r="MQ87" s="43">
        <f t="shared" si="310"/>
        <v>25.851401664476565</v>
      </c>
      <c r="MR87" s="43">
        <f t="shared" si="311"/>
        <v>0</v>
      </c>
      <c r="MS87" s="43" t="str">
        <f t="shared" si="312"/>
        <v xml:space="preserve"> DE 25 A 29 AÑOS</v>
      </c>
      <c r="MT87" s="43">
        <f t="shared" si="313"/>
        <v>0</v>
      </c>
      <c r="MU87" s="43">
        <f t="shared" si="314"/>
        <v>0</v>
      </c>
      <c r="MV87" s="43">
        <f t="shared" si="315"/>
        <v>0</v>
      </c>
      <c r="MW87" s="43">
        <f t="shared" si="316"/>
        <v>0</v>
      </c>
      <c r="MX87" s="43" t="str">
        <f t="shared" si="317"/>
        <v/>
      </c>
      <c r="MY87" s="43" t="str">
        <f t="shared" ca="1" si="450"/>
        <v/>
      </c>
      <c r="MZ87" s="43" t="str">
        <f t="shared" si="318"/>
        <v/>
      </c>
      <c r="NA87" s="43">
        <f t="shared" si="319"/>
        <v>0</v>
      </c>
      <c r="NB87" s="43" t="str">
        <f t="shared" si="320"/>
        <v/>
      </c>
      <c r="NC87" s="43" t="str">
        <f t="shared" si="321"/>
        <v/>
      </c>
      <c r="ND87" s="43">
        <f t="shared" ca="1" si="322"/>
        <v>0</v>
      </c>
      <c r="NE87" s="43">
        <f>IF(OR(O87&gt;0,R87&gt;0),SUM(COUNTIF(Tabla1[[#This Row],[AÑOS AL INICIO5 CPN]],"&gt;=40"),COUNTIF(AS87,"0"),COUNTIF(AR87,"SI"),COUNTIF(CC87,"SI"),COUNTIF(BQ87,"&gt;119"),COUNTIF(CI87,"&gt;=35")),"")</f>
        <v>0</v>
      </c>
      <c r="NF87" s="43" t="str">
        <f t="shared" si="323"/>
        <v/>
      </c>
      <c r="NG87" s="43">
        <f t="shared" si="324"/>
        <v>0</v>
      </c>
      <c r="NH87" s="43">
        <f t="shared" si="325"/>
        <v>109.2</v>
      </c>
      <c r="NI8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CPN",P87="NO"),"Z",IF(AND(Tabla1[[#This Row],[CITA PROXIMO CONTROL]]="CITA MANUAL",Tabla1[[#This Row],[GESTANTES ACTUALES]]="ACTIVA INGRESO A CPN"),"W",IF(AND(Tabla1[[#This Row],[GESTANTES ACTUALES]]="SALIO PROGRAMA",IN87=""),"S",IF(AND(Tabla1[[#This Row],[CITA PROXIMO CONTROL]]&gt;0,IN87=""),(Tabla1[[#This Row],[CITA PROXIMO CONTROL]]-TODAY()),"SD"))))))))</f>
        <v>SD</v>
      </c>
      <c r="NJ87" s="43">
        <f>MONTH(Tabla1[[#This Row],[FECHA DE SALIDA  DEL PROGRAMA]])</f>
        <v>7</v>
      </c>
      <c r="NK87" s="43">
        <f>YEAR(Tabla1[[#This Row],[FECHA DE SALIDA  DEL PROGRAMA]])</f>
        <v>2023</v>
      </c>
      <c r="NL87" s="43">
        <f t="shared" si="326"/>
        <v>56</v>
      </c>
      <c r="NM87" s="43" t="str">
        <f t="shared" si="251"/>
        <v>NO</v>
      </c>
      <c r="NN87" s="43" t="str">
        <f ca="1">IF(AND(O87&gt;0,R87=""),"NO CPN",IF(AND(O87="",R87=""),"",IF(AND(R87&gt;0,Tabla1[[#This Row],[SEMANAS DE GESTACION ACTUALIZADAS]]&lt;=12),"NO APLICA",IF(AND(FH87&lt;&gt;"",FN87&lt;&gt;""),"SI","NO"))))</f>
        <v>NO</v>
      </c>
      <c r="NO87" s="43" t="str">
        <f ca="1">IF(AND(O87&gt;0,R87=""),"NO CPN",IF(AND(O87="",R87=""),"",IF(AND(R87&gt;0,Tabla1[[#This Row],[SEMANAS DE GESTACION ACTUALIZADAS]]&lt;=27),"NO APLICA",IF(AND(ES87&lt;&gt;"",FQ87&lt;&gt;"",GF87&lt;&gt;""),"SI","NO"))))</f>
        <v>NO</v>
      </c>
      <c r="NP87" s="204" t="str">
        <f t="shared" si="327"/>
        <v>II TRIM</v>
      </c>
      <c r="NQ87" s="21" t="str">
        <f t="shared" si="436"/>
        <v/>
      </c>
      <c r="NR87" s="21">
        <f t="shared" si="451"/>
        <v>2</v>
      </c>
      <c r="NS87" s="205">
        <f t="shared" ca="1" si="328"/>
        <v>1</v>
      </c>
      <c r="NT87" s="21">
        <f t="shared" ca="1" si="329"/>
        <v>1</v>
      </c>
      <c r="NU87" s="21" t="str">
        <f t="shared" ca="1" si="330"/>
        <v>INCOMPLETO</v>
      </c>
      <c r="NV87" s="21" t="str">
        <f t="shared" ca="1" si="331"/>
        <v>INCOMPLETO</v>
      </c>
      <c r="NW87" s="206" t="str">
        <f>IF(AND(O87="",R87=""),"",IF(OR(AND(Tabla1[[#This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7" s="207" t="str">
        <f t="shared" ca="1" si="332"/>
        <v>SIN VACUNAR</v>
      </c>
      <c r="NY87" s="43">
        <f>ROW(Tabla1[[#This Row],['# DE TAMIZAJES SIFILIS TOMADOS ]])</f>
        <v>87</v>
      </c>
      <c r="NZ87" s="43">
        <f t="shared" si="333"/>
        <v>15</v>
      </c>
      <c r="OA87" s="43" t="str">
        <f t="shared" si="334"/>
        <v/>
      </c>
      <c r="OB87" s="43" t="str">
        <f t="shared" si="335"/>
        <v/>
      </c>
      <c r="OC87" s="43" t="str">
        <f t="shared" si="336"/>
        <v/>
      </c>
      <c r="OD87" s="43" t="str">
        <f t="shared" si="337"/>
        <v/>
      </c>
      <c r="OE87" s="43" t="str">
        <f t="shared" si="338"/>
        <v/>
      </c>
      <c r="OF87" s="43" t="str">
        <f t="shared" si="339"/>
        <v/>
      </c>
      <c r="OG87" s="43" t="str">
        <f t="shared" si="340"/>
        <v>NORMAL</v>
      </c>
      <c r="OH87" s="43" t="str">
        <f t="shared" si="341"/>
        <v/>
      </c>
      <c r="OI87" s="43" t="str">
        <f t="shared" si="342"/>
        <v/>
      </c>
      <c r="OJ87" s="43" t="str">
        <f t="shared" si="343"/>
        <v/>
      </c>
      <c r="OK87" s="43" t="str">
        <f t="shared" si="344"/>
        <v/>
      </c>
      <c r="OL87" s="43" t="str">
        <f t="shared" si="345"/>
        <v/>
      </c>
      <c r="OM87" s="43" t="str">
        <f t="shared" si="346"/>
        <v/>
      </c>
      <c r="ON87" s="43" t="str">
        <f t="shared" si="347"/>
        <v/>
      </c>
      <c r="OO87" s="43" t="str">
        <f t="shared" si="348"/>
        <v/>
      </c>
      <c r="OP87" s="43" t="str">
        <f t="shared" si="349"/>
        <v/>
      </c>
      <c r="OQ87" s="43" t="str">
        <f t="shared" si="350"/>
        <v/>
      </c>
      <c r="OR87" s="43" t="str">
        <f t="shared" si="351"/>
        <v/>
      </c>
      <c r="OS87" s="43" t="str">
        <f t="shared" si="352"/>
        <v/>
      </c>
      <c r="OT87" s="43" t="str">
        <f t="shared" si="353"/>
        <v/>
      </c>
      <c r="OU87" s="43" t="str">
        <f t="shared" si="354"/>
        <v/>
      </c>
      <c r="OV87" s="110" t="str">
        <f t="shared" si="355"/>
        <v/>
      </c>
      <c r="OW87" s="43" t="str">
        <f t="shared" si="356"/>
        <v/>
      </c>
      <c r="OX87" s="43" t="str">
        <f t="shared" si="357"/>
        <v/>
      </c>
      <c r="OY87" s="43" t="str">
        <f t="shared" si="358"/>
        <v/>
      </c>
      <c r="OZ87" s="43" t="str">
        <f t="shared" si="359"/>
        <v/>
      </c>
      <c r="PA87" s="43" t="str">
        <f t="shared" si="360"/>
        <v/>
      </c>
      <c r="PB87" s="43" t="str">
        <f t="shared" si="361"/>
        <v/>
      </c>
      <c r="PC87" s="43" t="str">
        <f t="shared" si="362"/>
        <v/>
      </c>
      <c r="PD87" s="43" t="str">
        <f t="shared" si="363"/>
        <v/>
      </c>
      <c r="PE87" s="43" t="str">
        <f t="shared" si="364"/>
        <v/>
      </c>
      <c r="PF87" s="43" t="str">
        <f t="shared" si="365"/>
        <v/>
      </c>
      <c r="PG87" s="43" t="str">
        <f t="shared" si="366"/>
        <v/>
      </c>
      <c r="PH87" s="43" t="str">
        <f t="shared" si="367"/>
        <v/>
      </c>
      <c r="PI87" s="43">
        <f t="shared" si="368"/>
        <v>35</v>
      </c>
      <c r="PJ87" s="43" t="str">
        <f t="shared" si="369"/>
        <v/>
      </c>
      <c r="PK87" s="43" t="str">
        <f t="shared" si="370"/>
        <v/>
      </c>
      <c r="PL87" s="43" t="str">
        <f t="shared" si="371"/>
        <v/>
      </c>
      <c r="PM87" s="43" t="str">
        <f t="shared" si="372"/>
        <v/>
      </c>
      <c r="PN87" s="43" t="str">
        <f t="shared" si="373"/>
        <v/>
      </c>
      <c r="PO87" s="43" t="str">
        <f t="shared" si="374"/>
        <v/>
      </c>
      <c r="PP87" s="43" t="str">
        <f t="shared" si="375"/>
        <v/>
      </c>
      <c r="PQ87" s="43" t="str">
        <f t="shared" si="376"/>
        <v/>
      </c>
      <c r="PR87" s="43" t="str">
        <f t="shared" si="377"/>
        <v/>
      </c>
      <c r="PS87" s="43" t="str">
        <f t="shared" si="378"/>
        <v/>
      </c>
      <c r="PT87" s="43" t="str">
        <f t="shared" si="379"/>
        <v/>
      </c>
      <c r="PU87" s="43" t="str">
        <f t="shared" si="380"/>
        <v/>
      </c>
      <c r="PV87" s="43" t="str">
        <f t="shared" si="381"/>
        <v/>
      </c>
      <c r="PW87" s="43" t="str">
        <f t="shared" si="382"/>
        <v/>
      </c>
      <c r="PX87" s="43" t="str">
        <f t="shared" si="383"/>
        <v/>
      </c>
      <c r="PY87" s="43" t="str">
        <f t="shared" si="384"/>
        <v/>
      </c>
      <c r="PZ87" s="43" t="str">
        <f t="shared" si="385"/>
        <v/>
      </c>
      <c r="QA87" s="43" t="str">
        <f t="shared" si="386"/>
        <v/>
      </c>
      <c r="QB87" s="43" t="str">
        <f t="shared" si="387"/>
        <v/>
      </c>
      <c r="QC87" s="43" t="str">
        <f t="shared" si="388"/>
        <v/>
      </c>
      <c r="QD87" s="43" t="str">
        <f t="shared" si="389"/>
        <v/>
      </c>
      <c r="QE87" s="43" t="str">
        <f t="shared" si="390"/>
        <v/>
      </c>
      <c r="QF87" s="43" t="str">
        <f t="shared" si="391"/>
        <v/>
      </c>
      <c r="QG87" s="43" t="str">
        <f t="shared" si="392"/>
        <v/>
      </c>
      <c r="QH87" s="43" t="str">
        <f t="shared" si="393"/>
        <v/>
      </c>
      <c r="QI87" s="43" t="str">
        <f t="shared" si="394"/>
        <v/>
      </c>
      <c r="QJ87" s="43" t="str">
        <f t="shared" si="395"/>
        <v>NORMAL</v>
      </c>
      <c r="QK87" s="43" t="str">
        <f t="shared" si="396"/>
        <v/>
      </c>
      <c r="QL87" s="43" t="str">
        <f t="shared" si="397"/>
        <v/>
      </c>
      <c r="QM87" s="43" t="str">
        <f t="shared" si="398"/>
        <v/>
      </c>
      <c r="QN87" s="43" t="str">
        <f t="shared" si="399"/>
        <v/>
      </c>
      <c r="QO87" s="43" t="str">
        <f t="shared" si="400"/>
        <v/>
      </c>
      <c r="QP87" s="43" t="str">
        <f t="shared" si="401"/>
        <v/>
      </c>
      <c r="QQ87" s="43" t="str">
        <f t="shared" si="402"/>
        <v/>
      </c>
      <c r="QR87" s="43">
        <f t="shared" si="432"/>
        <v>35</v>
      </c>
      <c r="QS87" s="43"/>
      <c r="QT87" s="21" t="str">
        <f t="shared" si="403"/>
        <v/>
      </c>
      <c r="QU87" s="21" t="str">
        <f t="shared" si="404"/>
        <v/>
      </c>
      <c r="QV87" s="21" t="str">
        <f t="shared" si="405"/>
        <v/>
      </c>
      <c r="QW87" s="21" t="str">
        <f t="shared" si="406"/>
        <v/>
      </c>
      <c r="QX87" s="21" t="str">
        <f t="shared" si="407"/>
        <v/>
      </c>
      <c r="QY87" s="21" t="str">
        <f t="shared" si="408"/>
        <v/>
      </c>
      <c r="QZ87" s="21" t="str">
        <f t="shared" si="409"/>
        <v/>
      </c>
      <c r="RA87" s="21" t="str">
        <f t="shared" si="410"/>
        <v/>
      </c>
      <c r="RB87" s="21" t="str">
        <f t="shared" si="411"/>
        <v/>
      </c>
      <c r="RC87" s="21" t="str">
        <f t="shared" si="412"/>
        <v/>
      </c>
      <c r="RD87" s="21" t="str">
        <f t="shared" si="413"/>
        <v/>
      </c>
      <c r="RE87" s="21" t="str">
        <f t="shared" si="414"/>
        <v/>
      </c>
      <c r="RF87" s="21" t="str">
        <f t="shared" si="415"/>
        <v/>
      </c>
      <c r="RG87" s="21" t="str">
        <f t="shared" si="416"/>
        <v/>
      </c>
      <c r="RH87" s="21" t="str">
        <f t="shared" si="417"/>
        <v/>
      </c>
      <c r="RI87" s="21" t="str">
        <f t="shared" si="418"/>
        <v/>
      </c>
      <c r="RJ87" s="21" t="str">
        <f t="shared" si="419"/>
        <v/>
      </c>
      <c r="RK87" s="21" t="str">
        <f t="shared" si="420"/>
        <v/>
      </c>
      <c r="RL87" s="21" t="str">
        <f t="shared" si="421"/>
        <v/>
      </c>
      <c r="RM87" s="21" t="str">
        <f t="shared" si="422"/>
        <v/>
      </c>
      <c r="RN87" s="21" t="str">
        <f t="shared" si="423"/>
        <v/>
      </c>
      <c r="RO87" s="21" t="str">
        <f t="shared" si="424"/>
        <v/>
      </c>
      <c r="RP87" s="21" t="str">
        <f t="shared" si="425"/>
        <v>ADECUADO PARA EDAD GESTACIONAL</v>
      </c>
      <c r="RQ87" s="21" t="str">
        <f t="shared" si="426"/>
        <v/>
      </c>
      <c r="RR87" s="21" t="str">
        <f t="shared" si="427"/>
        <v/>
      </c>
      <c r="RS87" s="21" t="str">
        <f t="shared" si="428"/>
        <v/>
      </c>
      <c r="RT87" s="21" t="str">
        <f t="shared" si="429"/>
        <v/>
      </c>
      <c r="RU87" s="21" t="str">
        <f t="shared" si="430"/>
        <v/>
      </c>
      <c r="RV87" s="21">
        <f t="shared" si="431"/>
        <v>-1</v>
      </c>
      <c r="RW87" s="284">
        <f>IF(OR(Tabla1[[#This Row],[FUM FORMULA CONFIABLE]]="",Tabla1[[#This Row],[FUM FORMULA CONFIABLE]]="SD"),"",IF(Tabla1[[#This Row],[FUM FORMULA CONFIABLE]]="CORREGIDA",Tabla1[[#This Row],[FUM X ECO 1]],Tabla1[[#This Row],[FUM x AMENORREA]]))</f>
        <v>44850</v>
      </c>
      <c r="RX87" s="21">
        <f>IF(AND(Tabla1[[#This Row],[FUM X ECO 1]]="",Tabla1[[#This Row],[FUM x AMENORREA]]=""),"",IF(AND(Tabla1[[#This Row],[FUM X ECO 1]]="",Tabla1[[#This Row],[FUM x AMENORREA]]&lt;&gt;""),"X",SUM(Tabla1[[#This Row],[FUM X ECO 1]]-Tabla1[[#This Row],[FUM x AMENORREA]])))</f>
        <v>0.80000000000291038</v>
      </c>
      <c r="RY87" s="21">
        <f t="shared" si="433"/>
        <v>0</v>
      </c>
    </row>
    <row r="88" spans="1:493" ht="45" customHeight="1" x14ac:dyDescent="0.25">
      <c r="A88" s="109"/>
      <c r="B88" s="43"/>
      <c r="C88" s="43" t="s">
        <v>845</v>
      </c>
      <c r="D88" s="124"/>
      <c r="E88" s="43" t="s">
        <v>1268</v>
      </c>
      <c r="F88" s="43" t="s">
        <v>1135</v>
      </c>
      <c r="G88" s="43" t="s">
        <v>1269</v>
      </c>
      <c r="H88" s="43"/>
      <c r="I88" s="109" t="s">
        <v>851</v>
      </c>
      <c r="J88" s="110">
        <v>1059597793</v>
      </c>
      <c r="K88" s="43" t="s">
        <v>904</v>
      </c>
      <c r="L88" s="175" t="s">
        <v>1270</v>
      </c>
      <c r="M88" s="22">
        <v>39122</v>
      </c>
      <c r="N88" s="213">
        <f t="shared" ca="1" si="252"/>
        <v>16.742465753424657</v>
      </c>
      <c r="O88" s="22">
        <v>44960</v>
      </c>
      <c r="P88" s="214" t="str">
        <f t="shared" si="437"/>
        <v>SI</v>
      </c>
      <c r="Q88" s="26" t="s">
        <v>855</v>
      </c>
      <c r="R88" s="22">
        <v>44960</v>
      </c>
      <c r="S88" s="21" t="s">
        <v>856</v>
      </c>
      <c r="T88" s="24" t="s">
        <v>690</v>
      </c>
      <c r="U88" s="21" t="s">
        <v>857</v>
      </c>
      <c r="V88" s="21" t="s">
        <v>858</v>
      </c>
      <c r="W88" s="21" t="s">
        <v>1233</v>
      </c>
      <c r="X88" s="21" t="s">
        <v>1233</v>
      </c>
      <c r="Y88" s="21" t="s">
        <v>859</v>
      </c>
      <c r="Z88" s="21">
        <v>3117914137</v>
      </c>
      <c r="AA88" s="21" t="s">
        <v>860</v>
      </c>
      <c r="AB88" s="27" t="s">
        <v>861</v>
      </c>
      <c r="AC88" s="26" t="s">
        <v>877</v>
      </c>
      <c r="AD88" s="38" t="s">
        <v>863</v>
      </c>
      <c r="AE88" s="26" t="s">
        <v>854</v>
      </c>
      <c r="AF88" s="26" t="s">
        <v>854</v>
      </c>
      <c r="AG88" s="23" t="s">
        <v>864</v>
      </c>
      <c r="AH88" s="23" t="s">
        <v>864</v>
      </c>
      <c r="AI88" s="24" t="s">
        <v>863</v>
      </c>
      <c r="AJ88" s="23" t="s">
        <v>864</v>
      </c>
      <c r="AK88" s="220" t="str">
        <f>IF(AND(AD88="",AE88="",AF88="",AG88="",AH88="",AI88="",AJ88=""),"",IF(OR(Tabla1[[#This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EVALUACIÓN",IF(AND(O88="",R88=""),"",IF(AND(OR(O88&gt;0,R88&gt;0),NG88&gt;=0,NG88&lt;2),"SIN RIESGO",IF(AND(OR(O88&gt;0,R88&gt;0),NG88&gt;=2),"CON RIESGO","ASD")))))</f>
        <v>SIN RIESGO</v>
      </c>
      <c r="AL88" s="23"/>
      <c r="AM88" s="26"/>
      <c r="AN88" s="26"/>
      <c r="AO88" s="26"/>
      <c r="AP88" s="26"/>
      <c r="AQ88" s="26"/>
      <c r="AR88" s="26"/>
      <c r="AS88" s="21">
        <v>0</v>
      </c>
      <c r="AT88" s="21">
        <v>0</v>
      </c>
      <c r="AU88" s="21">
        <v>0</v>
      </c>
      <c r="AV88" s="26" t="s">
        <v>864</v>
      </c>
      <c r="AW88" s="21">
        <v>0</v>
      </c>
      <c r="AX88" s="26" t="s">
        <v>864</v>
      </c>
      <c r="AY88" s="26" t="s">
        <v>864</v>
      </c>
      <c r="AZ88" s="26" t="s">
        <v>864</v>
      </c>
      <c r="BA88" s="26" t="s">
        <v>864</v>
      </c>
      <c r="BB88" s="26" t="s">
        <v>864</v>
      </c>
      <c r="BC88" s="26" t="s">
        <v>864</v>
      </c>
      <c r="BD88" s="26" t="s">
        <v>864</v>
      </c>
      <c r="BE88" s="26" t="s">
        <v>864</v>
      </c>
      <c r="BF88" s="26" t="s">
        <v>864</v>
      </c>
      <c r="BG88" s="26" t="s">
        <v>864</v>
      </c>
      <c r="BH88" s="26" t="s">
        <v>864</v>
      </c>
      <c r="BI88" s="26" t="s">
        <v>864</v>
      </c>
      <c r="BJ88" s="26"/>
      <c r="BK88" s="26"/>
      <c r="BL88" s="26" t="s">
        <v>864</v>
      </c>
      <c r="BM88" s="26" t="s">
        <v>864</v>
      </c>
      <c r="BN88" s="22"/>
      <c r="BO88" s="22">
        <v>44845</v>
      </c>
      <c r="BP88" s="21" t="s">
        <v>1380</v>
      </c>
      <c r="BQ88" s="222">
        <f t="shared" si="254"/>
        <v>0</v>
      </c>
      <c r="BR88" s="223">
        <f t="shared" si="255"/>
        <v>44753.5</v>
      </c>
      <c r="BS88" s="224">
        <f t="shared" si="256"/>
        <v>29.5</v>
      </c>
      <c r="BT88" s="216" t="str">
        <f t="shared" si="257"/>
        <v>III TRIM</v>
      </c>
      <c r="BU88" s="214" t="str">
        <f t="shared" ca="1" si="258"/>
        <v/>
      </c>
      <c r="BV88" s="25"/>
      <c r="BW88" s="22">
        <v>44960</v>
      </c>
      <c r="BX88" s="28">
        <v>29.5</v>
      </c>
      <c r="BY88" s="28"/>
      <c r="BZ88" s="22"/>
      <c r="CA88" s="21"/>
      <c r="CB88" s="26" t="s">
        <v>864</v>
      </c>
      <c r="CC88" s="26" t="s">
        <v>864</v>
      </c>
      <c r="CD88" s="26" t="s">
        <v>878</v>
      </c>
      <c r="CE88" s="26" t="s">
        <v>864</v>
      </c>
      <c r="CF88" s="22" t="s">
        <v>1517</v>
      </c>
      <c r="CG88" s="21">
        <v>1.45</v>
      </c>
      <c r="CH88" s="21">
        <v>68</v>
      </c>
      <c r="CI88" s="214">
        <f t="shared" si="259"/>
        <v>32.342449464922709</v>
      </c>
      <c r="CJ88" s="225" t="e">
        <f>IF(AND(CI88&lt;10,CH88="SD"),"SIN DATO PESO PREGESTACION O I TRIM",IF(AND(OR(R88&gt;0,O88&gt;0),CI88="X"),"INGRESAR DATO DE PESO",IF(CI88="SD","INGRESAR DATO DE TALLA Y PESO",IF(AND(OR(Tabla1[[#This Row],[MOMENTO EN QUE SE REALIZA EL PESO AL INGRESO A CPN]]="PREGESTACIÓN",NZ88="Menor"),CI88&lt;18.5),"BAJO PESO",IF(AND(OR(Tabla1[[#This Row],[MOMENTO EN QUE SE REALIZA EL PESO AL INGRESO A CPN]]="PREGESTACIÓN",NZ88="Menor"),CI88&lt;25),"NORMAL",IF(AND(OR(Tabla1[[#This Row],[MOMENTO EN QUE SE REALIZA EL PESO AL INGRESO A CPN]]="PREGESTACIÓN",NZ88="Menor"),CI88&lt;30),"SOBREPESO",IF(AND(OR(Tabla1[[#This Row],[MOMENTO EN QUE SE REALIZA EL PESO AL INGRESO A CPN]]="PREGESTACIÓN",NZ88="Menor"),CI88&gt;=30,CI88&lt;50),"OBESIDAD",IF(AND(BS88&gt;0,Tabla1[[#This Row],[MOMENTO EN QUE SE REALIZA EL PESO AL INGRESO A CPN]]="GESTACIÓN"),HLOOKUP(NZ88,$OA$2:PH88,NY88),""))))))))</f>
        <v>#REF!</v>
      </c>
      <c r="CK88" s="212">
        <f t="shared" si="260"/>
        <v>44960</v>
      </c>
      <c r="CL88" s="21"/>
      <c r="CM88" s="214">
        <f t="shared" si="261"/>
        <v>0</v>
      </c>
      <c r="CN88" s="216">
        <f t="shared" si="262"/>
        <v>29</v>
      </c>
      <c r="CO88" s="216" t="e">
        <f>IF(PI88="","",IF(PI88&gt;0,HLOOKUP(PI88,$PJ$2:QQ88,NY88),""))</f>
        <v>#REF!</v>
      </c>
      <c r="CP88" s="21"/>
      <c r="CQ88" s="216" t="e">
        <f>IF(QR88="Menor","NO APLICA-MENOR 13 SEM",IF(AND(CC88="SI",CN88&gt;23),"NO APLICA- GEMELAR",IF(QR88="","",IF(QR88&gt;0,HLOOKUP(QR88,$QS$2:RU88,NY88),""))))</f>
        <v>#REF!</v>
      </c>
      <c r="CR88" s="21"/>
      <c r="CS88" s="21"/>
      <c r="CT88" s="217" t="str">
        <f>IF(R88="","",IF(AND(BS88&gt;1,BS88&lt;12,Tabla1[[#This Row],[T.A. SISTOLICA - ANTES DE SEMANA 12]]="",Tabla1[[#This Row],[T.A. DIASTOLICA - ANTES DE SEMANA 12]]=""),"REGISTRE DATO TA ANTES SEMANA 12",IF(AND(BS88&gt;11,BS88&lt;43,Tabla1[[#This Row],[T.A. SISTOLICA - ANTES DE SEMANA 12]]="",Tabla1[[#This Row],[T.A. DIASTOLICA - ANTES DE SEMANA 12]]=""),"NO APLICA REGISTRO TA-INGRESO TARDIO",IF(AND(OR(O88&gt;0,R88&gt;0),OR(CR88&gt;=140,CS88&gt;=90)),"DEFINIR ESTADIO HTA",IF(AND(OR(O88&gt;0,R88&gt;0),AND(CR88&gt;120,CR88&lt;=139)),"PRE HTA SEGUIMIENTO",IF(AND(OR(O88&gt;0,R88&gt;0),AND(CS88&gt;80,CS88&lt;=89)),"PRE HTA SEGUIMIENTO",IF(AND(OR(O88&gt;0,R88&gt;0),AND(CR88&gt;=80,CR88&lt;=120)),"APARENTEMENTE NORMAL",IF(AND(OR(O88&gt;0,R88&gt;0),AND(CS88&gt;=50,CS88&lt;=80)),"APARENTEMENTE NORMAL",IF(AND(OR(O88&gt;0,R88&gt;0),AND(CR88&gt;1,CR88&lt;=70),AND(CS88&gt;1,CS88&lt;=40)),"HIPOTENSIÓN","")))))))))</f>
        <v>NO APLICA REGISTRO TA-INGRESO TARDIO</v>
      </c>
      <c r="CU88" s="21"/>
      <c r="CV88" s="21"/>
      <c r="CW88" s="217" t="str">
        <f ca="1">IF(R88="","",IF(AND(CN88&gt;19,CN88&lt;27,Tabla1[[#This Row],[T.A. SISTOLICA (Entre semana 20 y 26)]]="",Tabla1[[#This Row],[T.A. DIATOLICA (Entre semana 20 y 26)]]=""),"ACUDE A CONTROL SEM 20 A 26 REGISTRE TA AHORA",IF(AND(BS88&gt;1,BS88&lt;27,BU88&gt;19,Tabla1[[#This Row],[T.A. SISTOLICA (Entre semana 20 y 26)]]="",Tabla1[[#This Row],[T.A. DIATOLICA (Entre semana 20 y 26)]]=""),"COMPLETE REGISTRO TA CONTROL SEM 20 A26 ",IF(AND(BS88&gt;26,BS88&lt;43,Tabla1[[#This Row],[T.A. SISTOLICA (Entre semana 20 y 26)]]="",Tabla1[[#This Row],[T.A. DIATOLICA (Entre semana 20 y 26)]]=""),"NO APLICA REGISTRO TA-INGRESO TARDIO",IF(AND(OR(O88&gt;0,R88&gt;0),OR(CU88&gt;=140,CV88&gt;=90)),"ALTO RIESGO PREECLAMPSIA,DEFINIR ESTADIO HTA",IF(AND(OR(O88&gt;0,R88&gt;0),AND(CU88&gt;120,CU88&lt;=139)),"PRE HTA SEGUIMIENTO,RIESGO HIPERTENSION INDUCIDA POR EL EMBARAZO",IF(AND(OR(O88&gt;0,R88&gt;0),AND(CV88&gt;80,CV88&lt;=89)),"PRE HTA SEGUIMIENTO, RIESGO HIPERTENSION INDUCIDA POR EL EMBARAZO",IF(AND(OR(O88&lt;&gt;"",R88&lt;&gt;""),CS88&lt;&gt;"",CV88&lt;&gt;"",CS88&lt;=CV88),"VIGILAR CIFRAS PRESION ARTERIAL",IF(AND(OR(O88&gt;0,R88&gt;0),AND(CU88&gt;120,CU88&lt;=139)),"PRE HTA SEGUIMIENTO",IF(AND(OR(O88&gt;0,R88&gt;0),AND(CU88&gt;1,CU88&lt;=70),AND(CV88&gt;1,CV88&lt;=40)),"HIPOTENSIÓN",IF(AND(OR(O88&lt;&gt;"",R88&lt;&gt;""),CS88&lt;&gt;"",CV88&lt;&gt;"",CS88&gt;CV88),"APARENTEMENTE NORMAL",IF(AND(OR(O88&gt;0,R88&gt;0),AND(CU88&gt;=80,CU88&lt;=120)),"APARENTEMENTE NORMAL",IF(AND(OR(O88&gt;0,R88&gt;0),AND(CV88&gt;=50,CV88&lt;=80)),"APARENTEMENTE NORMAL","")))))))))))))</f>
        <v>NO APLICA REGISTRO TA-INGRESO TARDIO</v>
      </c>
      <c r="CX88" s="21"/>
      <c r="CY88" s="21"/>
      <c r="CZ88" s="216" t="str">
        <f t="shared" si="263"/>
        <v/>
      </c>
      <c r="DA88" s="21"/>
      <c r="DB88" s="21"/>
      <c r="DC88" s="217" t="str">
        <f t="shared" si="264"/>
        <v>REGISTRE DATO PRESIÓN ARTERIAL MENSUAL</v>
      </c>
      <c r="DD88" s="22"/>
      <c r="DE88" s="22"/>
      <c r="DF88" s="22">
        <v>44960</v>
      </c>
      <c r="DG88" s="22"/>
      <c r="DH88" s="22"/>
      <c r="DI88" s="22"/>
      <c r="DJ88" s="22"/>
      <c r="DK88" s="22"/>
      <c r="DL88" s="22"/>
      <c r="DM88" s="22"/>
      <c r="DN88" s="22"/>
      <c r="DO88" s="22"/>
      <c r="DP88" s="22"/>
      <c r="DQ88" s="22"/>
      <c r="DR88" s="28"/>
      <c r="DS88" s="22"/>
      <c r="DT88" s="22"/>
      <c r="DU88" s="216" t="str">
        <f t="shared" ca="1" si="438"/>
        <v>CONCERTAR PLAN DE PARTO INMEDIATO</v>
      </c>
      <c r="DV88" s="226" t="str">
        <f t="shared" si="439"/>
        <v>ACTIVA INGRESO A CPN</v>
      </c>
      <c r="DW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88" s="216" t="e">
        <f t="shared" ca="1" si="266"/>
        <v>#REF!</v>
      </c>
      <c r="DY88" s="212">
        <f>IF(R88="","",IF(R88&gt;0,MAX(Tabla1[[#This Row],[FECHA C2]:[FECHA C13]],Tabla1[[#This Row],[FECHA CONSULTA PRIMERA VEZ PROGRAMA CPN ]])))</f>
        <v>44960</v>
      </c>
      <c r="DZ88" s="216">
        <f t="shared" si="267"/>
        <v>29</v>
      </c>
      <c r="EA88" s="222">
        <f>IF(R88&gt;0,SUM(COUNTA(DF88:DQ88)+COUNTA(Tabla1[[#This Row],[FECHA CONSULTA PRIMERA VEZ PROGRAMA CPN ]])),"")</f>
        <v>2</v>
      </c>
      <c r="EB88" s="222" t="str">
        <f t="shared" si="268"/>
        <v>NO</v>
      </c>
      <c r="EC88" s="214">
        <f t="shared" si="269"/>
        <v>4</v>
      </c>
      <c r="ED88" s="227">
        <f t="shared" si="270"/>
        <v>0.5</v>
      </c>
      <c r="EE88" s="22">
        <v>44960</v>
      </c>
      <c r="EF88" s="22"/>
      <c r="EG88" s="22">
        <v>44960</v>
      </c>
      <c r="EH88" s="22"/>
      <c r="EI88" s="22">
        <v>44960</v>
      </c>
      <c r="EJ88" s="22"/>
      <c r="EK88" s="22"/>
      <c r="EL88" s="21"/>
      <c r="EM88" s="21"/>
      <c r="EN88" s="22"/>
      <c r="EO88" s="222" t="str">
        <f t="shared" si="271"/>
        <v>TOMAR EXAMEN</v>
      </c>
      <c r="EP88" s="214" t="str">
        <f t="shared" si="272"/>
        <v/>
      </c>
      <c r="EQ88" s="216" t="str">
        <f t="shared" si="273"/>
        <v>POR DEFINIR</v>
      </c>
      <c r="ER88" s="24"/>
      <c r="ES88" s="22"/>
      <c r="ET88" s="29" t="str">
        <f t="shared" ca="1" si="440"/>
        <v>TOMA DE HEMOGLOBINA TARDÍA</v>
      </c>
      <c r="EU88" s="25" t="str">
        <f t="shared" si="275"/>
        <v/>
      </c>
      <c r="EV88" s="24"/>
      <c r="EW88" s="24"/>
      <c r="EX88" s="22"/>
      <c r="EY88" s="29" t="str">
        <f t="shared" si="248"/>
        <v>TOMAR EXAMEN</v>
      </c>
      <c r="EZ88" s="25" t="str">
        <f t="shared" ca="1" si="249"/>
        <v/>
      </c>
      <c r="FA88" s="21"/>
      <c r="FB88" s="22"/>
      <c r="FC88" s="29" t="str">
        <f t="shared" si="276"/>
        <v>PIERDE TOMA TAMIZAJE- INGRESO TARDIO</v>
      </c>
      <c r="FD88" s="29"/>
      <c r="FE88" s="29"/>
      <c r="FF88" s="29"/>
      <c r="FG88" s="21" t="str">
        <f t="shared" ca="1" si="277"/>
        <v/>
      </c>
      <c r="FH88" s="31"/>
      <c r="FI88" s="29" t="str">
        <f t="shared" si="278"/>
        <v>TOMAR EXAMEN</v>
      </c>
      <c r="FJ88" s="22"/>
      <c r="FK88" s="22"/>
      <c r="FL88" s="29" t="str">
        <f t="shared" ca="1" si="279"/>
        <v>NO APLICA-INGRESO TARDIO</v>
      </c>
      <c r="FM88" s="22"/>
      <c r="FN88" s="32"/>
      <c r="FO88" s="29" t="str">
        <f t="shared" ca="1" si="441"/>
        <v>NO APLICA-INGRESO TARDIO</v>
      </c>
      <c r="FP88" s="22"/>
      <c r="FQ88" s="32"/>
      <c r="FR88" s="29" t="str">
        <f t="shared" ca="1" si="442"/>
        <v>TOMA INMEDIATA DE TAMIZAJE</v>
      </c>
      <c r="FS88" s="22"/>
      <c r="FT88" s="32"/>
      <c r="FU88" s="29" t="str">
        <f>IF(AND(FJ88="",FM88="",FP88="",FS88=""),"",IF(OR(OR(Tabla1[[#This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8" s="28"/>
      <c r="FW88" s="22"/>
      <c r="FX88" s="29" t="str">
        <f t="shared" si="280"/>
        <v>TOMAR EXAMEN</v>
      </c>
      <c r="FY88" s="22"/>
      <c r="FZ88" s="22"/>
      <c r="GA88" s="29" t="str">
        <f t="shared" ca="1" si="250"/>
        <v>NO APLICA-INGRESO TARDIO</v>
      </c>
      <c r="GB88" s="22"/>
      <c r="GC88" s="22"/>
      <c r="GD88" s="29" t="str">
        <f t="shared" ca="1" si="443"/>
        <v>NO APLICA-INGRESO TARDIO</v>
      </c>
      <c r="GE88" s="22"/>
      <c r="GF88" s="22"/>
      <c r="GG88" s="29" t="str">
        <f t="shared" ca="1" si="444"/>
        <v>TOMA INMEDIATA DE TAMIZAJE</v>
      </c>
      <c r="GH88" s="22"/>
      <c r="GI88" s="29"/>
      <c r="GJ88" s="22"/>
      <c r="GK88" s="22"/>
      <c r="GL88" s="22"/>
      <c r="GM88" s="22"/>
      <c r="GN88" s="28"/>
      <c r="GO88" s="22"/>
      <c r="GP88" s="29" t="str">
        <f t="shared" si="283"/>
        <v>TOMAR EXAMEN</v>
      </c>
      <c r="GQ88" s="28"/>
      <c r="GR88" s="28"/>
      <c r="GS88" s="22" t="str">
        <f t="shared" si="284"/>
        <v/>
      </c>
      <c r="GT88" s="22"/>
      <c r="GU88" s="29" t="str">
        <f t="shared" si="285"/>
        <v>TOMAR EXAMEN</v>
      </c>
      <c r="GV88" s="21" t="str">
        <f t="shared" si="286"/>
        <v>POR DEFINIR</v>
      </c>
      <c r="GW88" s="28"/>
      <c r="GX88" s="30"/>
      <c r="GY88" s="21"/>
      <c r="GZ88" s="21"/>
      <c r="HA88" s="21"/>
      <c r="HB88" s="21"/>
      <c r="HC88" s="21"/>
      <c r="HD88" s="21"/>
      <c r="HE88" s="21"/>
      <c r="HF88" s="22"/>
      <c r="HG88" s="22" t="str">
        <f>IF(OR(O88&gt;0,R88&gt;0),CONCATENATE(IF(Tabla1[[#This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8" s="22" t="e">
        <f t="shared" si="287"/>
        <v>#REF!</v>
      </c>
      <c r="HI88" s="22" t="e">
        <f t="shared" ca="1" si="288"/>
        <v>#REF!</v>
      </c>
      <c r="HJ88" s="21"/>
      <c r="HK88" s="21" t="str">
        <f t="shared" si="289"/>
        <v>SIN ANTECEDENTES DE RIESGO</v>
      </c>
      <c r="HL88" s="24" t="str">
        <f t="shared" si="290"/>
        <v>REGISTRE DATO PRESIÓN ARTERIAL MENSUAL</v>
      </c>
      <c r="HM88" s="21" t="e">
        <f t="shared" ca="1" si="291"/>
        <v>#REF!</v>
      </c>
      <c r="HN88" s="30" t="str">
        <f t="shared" si="445"/>
        <v>ACTIVA INGRESO A CPN</v>
      </c>
      <c r="HO88" s="21"/>
      <c r="HP88" s="21"/>
      <c r="HQ88" s="21"/>
      <c r="HR88" s="21" t="str">
        <f>IF(R88="","",IF(Tabla1[[#This Row],[ALARMA FACTORES DE RIESGO COMPLICACIONES HIPERTENSIVAS3]]="SIN ANTECEDENTES DE RIESGO","No Aplica para suministro de ASA",IF(AND(Tabla1[[#This Row],[FECHA INICIO DE SUMINISTRO DE ASA]]&gt;0,RV88&lt;12),"Inicia ASA ANTES de Sem 12",IF(AND(RV88&gt;11,RV88&lt;17,OR(HK88="RIESGO ALTO DE COMPLICACIONES HIPERTENSIVAS VER MANEJO GUIA SUMINISTRO ASA Y CALCIO",HK88="RIESGO MODERADO (2 O MAS CRITERIOS) VER MANEJO GUIA SUMINISTRO ASA Y CALCIO")),"Inicio oportuno de ASA",IF(AND(RV88&gt;12,OR(HK88="RIESGO ALTO DE COMPLICACIONES HIPERTENSIVAS VER MANEJO GUIA SUMINISTRO ASA Y CALCIO",HK88="RIESGO MODERADO (2 O MAS CRITERIOS) VER MANEJO GUIA SUMINISTRO ASA Y CALCIO")),"Inicio no oportuno mayor a 16 semanas",IF(AND(BU88&lt;12,OR(HK88="RIESGO ALTO DE COMPLICACIONES HIPERTENSIVAS VER MANEJO GUIA SUMINISTRO ASA Y CALCIO",HK88="RIESGO MODERADO (2 O MAS CRITERIOS) VER MANEJO GUIA SUMINISTRO ASA Y CALCIO")),"Pendiente Inicio de ASA a la semana 12",IF(AND(BU88&gt;11,BU88&lt;17,OR(HK88="RIESGO ALTO DE COMPLICACIONES HIPERTENSIVAS VER MANEJO GUIA SUMINISTRO ASA Y CALCIO",HK88="RIESGO MODERADO (2 O MAS CRITERIOS) VER MANEJO GUIA SUMINISTRO ASA Y CALCIO")),"Iniciar de inmediato ASA",IF(AND(BU88&gt;16,OR(HK88="RIESGO ALTO DE COMPLICACIONES HIPERTENSIVAS VER MANEJO GUIA SUMINISTRO ASA Y CALCIO",HK88="RIESGO MODERADO (2 O MAS CRITERIOS) VER MANEJO GUIA SUMINISTRO ASA Y CALCIO")),"Pierde Oportunidad, Inicio tardío de ASA","XXXXX"))))))))</f>
        <v>No Aplica para suministro de ASA</v>
      </c>
      <c r="HS88" s="22"/>
      <c r="HT88" s="22"/>
      <c r="HU88" s="22"/>
      <c r="HV88" s="22"/>
      <c r="HW88" s="22"/>
      <c r="HX88" s="22"/>
      <c r="HY88" s="22">
        <v>44960</v>
      </c>
      <c r="HZ88" s="28">
        <f t="shared" si="292"/>
        <v>29.5</v>
      </c>
      <c r="IA88" s="26"/>
      <c r="IB88" s="26"/>
      <c r="IC88" s="111">
        <v>44960</v>
      </c>
      <c r="ID88" s="22">
        <v>44960</v>
      </c>
      <c r="IE88" s="22" t="str">
        <f t="shared" ca="1" si="293"/>
        <v>VACUNA APLICADA ENTRE SEMANA 27 Y EL PARTO</v>
      </c>
      <c r="IF88" s="22"/>
      <c r="IG88" s="22">
        <f t="shared" si="294"/>
        <v>45033.5</v>
      </c>
      <c r="IH88" s="29">
        <f t="shared" ca="1" si="295"/>
        <v>-199.5</v>
      </c>
      <c r="II88" s="22" t="str">
        <f t="shared" ca="1" si="296"/>
        <v>POSIBLEMENTE NACIO</v>
      </c>
      <c r="IJ88" s="22"/>
      <c r="IK88" s="21"/>
      <c r="IL88" s="21"/>
      <c r="IM88" s="34"/>
      <c r="IN88" s="349"/>
      <c r="IO88" s="21"/>
      <c r="IP88" s="29" t="str">
        <f t="shared" si="435"/>
        <v/>
      </c>
      <c r="IQ88" s="110"/>
      <c r="IR88" s="21"/>
      <c r="IS88" s="21"/>
      <c r="IT88" s="21"/>
      <c r="IU88" s="21"/>
      <c r="IV88" s="21"/>
      <c r="IW88" s="21"/>
      <c r="IX88" s="21"/>
      <c r="IY88" s="21"/>
      <c r="IZ88" s="21"/>
      <c r="JA88" s="21"/>
      <c r="JB88" s="30"/>
      <c r="JC88" s="21"/>
      <c r="JD88" s="36"/>
      <c r="JE88" s="21" t="str">
        <f t="shared" si="446"/>
        <v/>
      </c>
      <c r="JF88" s="30"/>
      <c r="JG88" s="21"/>
      <c r="JH88" s="21"/>
      <c r="JI88" s="21"/>
      <c r="JJ88" s="30"/>
      <c r="JK88" s="22"/>
      <c r="JL88" s="22"/>
      <c r="JM88" s="21"/>
      <c r="JN88" s="36"/>
      <c r="JO88" s="21" t="str">
        <f t="shared" si="447"/>
        <v/>
      </c>
      <c r="JP88" s="22"/>
      <c r="JQ88" s="21"/>
      <c r="JR88" s="21"/>
      <c r="JS88" s="21"/>
      <c r="JT88" s="30"/>
      <c r="JU88" s="22"/>
      <c r="JV88" s="22"/>
      <c r="JW88" s="33"/>
      <c r="JX88" s="28" t="str">
        <f t="shared" si="448"/>
        <v/>
      </c>
      <c r="JY88" s="33"/>
      <c r="JZ88" s="28" t="str">
        <f t="shared" si="449"/>
        <v/>
      </c>
      <c r="KA88" s="21"/>
      <c r="KB88" s="21"/>
      <c r="KC88" s="21"/>
      <c r="KD88" s="37"/>
      <c r="KE88" s="28"/>
      <c r="KF88" s="28"/>
      <c r="KG88" s="28"/>
      <c r="KH88" s="39"/>
      <c r="KI88" s="39"/>
      <c r="KJ88" s="66"/>
      <c r="KK88" s="39"/>
      <c r="KL88" s="39"/>
      <c r="KM88" s="66"/>
      <c r="KN88" s="39"/>
      <c r="KO88" s="39"/>
      <c r="KP88" s="39"/>
      <c r="KQ88" s="39"/>
      <c r="KR88" s="39"/>
      <c r="KS88" s="39"/>
      <c r="KT88" s="39"/>
      <c r="KU88" s="38"/>
      <c r="KV88" s="38"/>
      <c r="KW88" s="38"/>
      <c r="KX88" s="38"/>
      <c r="KY88" s="38"/>
      <c r="KZ88" s="38"/>
      <c r="LA88" s="38"/>
      <c r="LB88" s="38"/>
      <c r="LC88" s="38"/>
      <c r="LD88" s="38"/>
      <c r="LE88" s="38"/>
      <c r="LF88" s="38"/>
      <c r="LG88" s="38"/>
      <c r="LH88" s="38"/>
      <c r="LI88" s="38"/>
      <c r="LJ88" s="38"/>
      <c r="LK88" s="38"/>
      <c r="LL88" s="38"/>
      <c r="LM88" s="38"/>
      <c r="LN88" s="38"/>
      <c r="LO88" s="38"/>
      <c r="LP88" s="38"/>
      <c r="LQ88" s="38"/>
      <c r="LR88" s="38"/>
      <c r="LS88" s="38"/>
      <c r="LT88" s="38"/>
      <c r="LU88" s="38"/>
      <c r="LV88" s="38"/>
      <c r="LW88" s="38"/>
      <c r="LX88" s="38"/>
      <c r="LY88" s="38"/>
      <c r="LZ88" s="38"/>
      <c r="MA88" s="38"/>
      <c r="MB88" s="38"/>
      <c r="MC88" s="38"/>
      <c r="MD88" s="38"/>
      <c r="ME88" s="38"/>
      <c r="MF88" s="38"/>
      <c r="MG88" s="38"/>
      <c r="MH88" s="43">
        <f t="shared" si="302"/>
        <v>0</v>
      </c>
      <c r="MI88" s="43" t="str">
        <f t="shared" si="303"/>
        <v/>
      </c>
      <c r="MJ88" s="43" t="str">
        <f t="shared" si="304"/>
        <v/>
      </c>
      <c r="MK88" s="43">
        <f t="shared" si="305"/>
        <v>0</v>
      </c>
      <c r="ML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88" s="43">
        <f t="shared" si="306"/>
        <v>29.5</v>
      </c>
      <c r="MN88" s="43">
        <f t="shared" si="307"/>
        <v>2</v>
      </c>
      <c r="MO88" s="43">
        <f t="shared" si="308"/>
        <v>2023</v>
      </c>
      <c r="MP88" s="43" t="str">
        <f t="shared" si="309"/>
        <v>I TRIMESTRE AÑO</v>
      </c>
      <c r="MQ88" s="43">
        <f t="shared" si="310"/>
        <v>15.752299605781864</v>
      </c>
      <c r="MR88" s="43">
        <f t="shared" si="311"/>
        <v>1</v>
      </c>
      <c r="MS88" s="43" t="str">
        <f t="shared" si="312"/>
        <v>DE 14 A 19AÑOS</v>
      </c>
      <c r="MT88" s="43">
        <f t="shared" si="313"/>
        <v>0</v>
      </c>
      <c r="MU88" s="43">
        <f t="shared" si="314"/>
        <v>1</v>
      </c>
      <c r="MV88" s="43">
        <f t="shared" si="315"/>
        <v>0</v>
      </c>
      <c r="MW88" s="43">
        <f t="shared" si="316"/>
        <v>0</v>
      </c>
      <c r="MX88" s="43" t="str">
        <f t="shared" si="317"/>
        <v/>
      </c>
      <c r="MY88" s="43" t="str">
        <f t="shared" ca="1" si="450"/>
        <v/>
      </c>
      <c r="MZ88" s="43" t="str">
        <f t="shared" si="318"/>
        <v/>
      </c>
      <c r="NA88" s="43">
        <f t="shared" si="319"/>
        <v>0</v>
      </c>
      <c r="NB88" s="43" t="str">
        <f t="shared" si="320"/>
        <v/>
      </c>
      <c r="NC88" s="43" t="str">
        <f t="shared" si="321"/>
        <v/>
      </c>
      <c r="ND88" s="43">
        <f t="shared" ca="1" si="322"/>
        <v>2</v>
      </c>
      <c r="NE88" s="43">
        <f>IF(OR(O88&gt;0,R88&gt;0),SUM(COUNTIF(Tabla1[[#This Row],[AÑOS AL INICIO5 CPN]],"&gt;=40"),COUNTIF(AS88,"0"),COUNTIF(AR88,"SI"),COUNTIF(CC88,"SI"),COUNTIF(BQ88,"&gt;119"),COUNTIF(CI88,"&gt;=35")),"")</f>
        <v>1</v>
      </c>
      <c r="NF88" s="43">
        <f t="shared" si="323"/>
        <v>29.5</v>
      </c>
      <c r="NG88" s="43">
        <f t="shared" si="324"/>
        <v>0</v>
      </c>
      <c r="NH88" s="43">
        <f t="shared" si="325"/>
        <v>206.5</v>
      </c>
      <c r="NI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CPN",P88="NO"),"Z",IF(AND(Tabla1[[#This Row],[CITA PROXIMO CONTROL]]="CITA MANUAL",Tabla1[[#This Row],[GESTANTES ACTUALES]]="ACTIVA INGRESO A CPN"),"W",IF(AND(Tabla1[[#This Row],[GESTANTES ACTUALES]]="SALIO PROGRAMA",IN88=""),"S",IF(AND(Tabla1[[#This Row],[CITA PROXIMO CONTROL]]&gt;0,IN88=""),(Tabla1[[#This Row],[CITA PROXIMO CONTROL]]-TODAY()),"SD"))))))))</f>
        <v>#REF!</v>
      </c>
      <c r="NJ88" s="43">
        <f>MONTH(Tabla1[[#This Row],[FECHA DE SALIDA  DEL PROGRAMA]])</f>
        <v>1</v>
      </c>
      <c r="NK88" s="43">
        <f>YEAR(Tabla1[[#This Row],[FECHA DE SALIDA  DEL PROGRAMA]])</f>
        <v>1900</v>
      </c>
      <c r="NL88" s="43" t="str">
        <f t="shared" si="326"/>
        <v>X</v>
      </c>
      <c r="NM88" s="43" t="str">
        <f t="shared" si="251"/>
        <v>NO</v>
      </c>
      <c r="NN88" s="43" t="str">
        <f ca="1">IF(AND(O88&gt;0,R88=""),"NO CPN",IF(AND(O88="",R88=""),"",IF(AND(R88&gt;0,Tabla1[[#This Row],[SEMANAS DE GESTACION ACTUALIZADAS]]&lt;=12),"NO APLICA",IF(AND(FH88&lt;&gt;"",FN88&lt;&gt;""),"SI","NO"))))</f>
        <v>NO</v>
      </c>
      <c r="NO88" s="43" t="str">
        <f ca="1">IF(AND(O88&gt;0,R88=""),"NO CPN",IF(AND(O88="",R88=""),"",IF(AND(R88&gt;0,Tabla1[[#This Row],[SEMANAS DE GESTACION ACTUALIZADAS]]&lt;=27),"NO APLICA",IF(AND(ES88&lt;&gt;"",FQ88&lt;&gt;"",GF88&lt;&gt;""),"SI","NO"))))</f>
        <v>NO</v>
      </c>
      <c r="NP88" s="204" t="str">
        <f t="shared" si="327"/>
        <v>III TRIM</v>
      </c>
      <c r="NQ88" s="21" t="str">
        <f t="shared" si="436"/>
        <v/>
      </c>
      <c r="NR88" s="21">
        <f t="shared" si="451"/>
        <v>1</v>
      </c>
      <c r="NS88" s="205">
        <f t="shared" ca="1" si="328"/>
        <v>0</v>
      </c>
      <c r="NT88" s="21">
        <f t="shared" ca="1" si="329"/>
        <v>0</v>
      </c>
      <c r="NU88" s="21" t="str">
        <f t="shared" ca="1" si="330"/>
        <v>INCOMPLETO</v>
      </c>
      <c r="NV88" s="21" t="str">
        <f t="shared" ca="1" si="331"/>
        <v>INCOMPLETO</v>
      </c>
      <c r="NW88" s="206" t="str">
        <f>IF(AND(O88="",R88=""),"",IF(OR(AND(Tabla1[[#This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88" s="207" t="str">
        <f t="shared" ca="1" si="332"/>
        <v>VACUNADA</v>
      </c>
      <c r="NY88" s="43">
        <f>ROW(Tabla1[[#This Row],['# DE TAMIZAJES SIFILIS TOMADOS ]])</f>
        <v>88</v>
      </c>
      <c r="NZ88" s="43">
        <f t="shared" si="333"/>
        <v>29</v>
      </c>
      <c r="OA88" s="43" t="str">
        <f t="shared" si="334"/>
        <v/>
      </c>
      <c r="OB88" s="43" t="str">
        <f t="shared" si="335"/>
        <v/>
      </c>
      <c r="OC88" s="43" t="str">
        <f t="shared" si="336"/>
        <v/>
      </c>
      <c r="OD88" s="43" t="str">
        <f t="shared" si="337"/>
        <v/>
      </c>
      <c r="OE88" s="43" t="str">
        <f t="shared" si="338"/>
        <v/>
      </c>
      <c r="OF88" s="43" t="str">
        <f t="shared" si="339"/>
        <v/>
      </c>
      <c r="OG88" s="43" t="str">
        <f t="shared" si="340"/>
        <v/>
      </c>
      <c r="OH88" s="43" t="str">
        <f t="shared" si="341"/>
        <v/>
      </c>
      <c r="OI88" s="43" t="str">
        <f t="shared" si="342"/>
        <v/>
      </c>
      <c r="OJ88" s="43" t="str">
        <f t="shared" si="343"/>
        <v/>
      </c>
      <c r="OK88" s="43" t="str">
        <f t="shared" si="344"/>
        <v/>
      </c>
      <c r="OL88" s="43" t="str">
        <f t="shared" si="345"/>
        <v/>
      </c>
      <c r="OM88" s="43" t="str">
        <f t="shared" si="346"/>
        <v/>
      </c>
      <c r="ON88" s="43" t="str">
        <f t="shared" si="347"/>
        <v/>
      </c>
      <c r="OO88" s="43" t="str">
        <f t="shared" si="348"/>
        <v/>
      </c>
      <c r="OP88" s="43" t="str">
        <f t="shared" si="349"/>
        <v/>
      </c>
      <c r="OQ88" s="43" t="str">
        <f t="shared" si="350"/>
        <v/>
      </c>
      <c r="OR88" s="43" t="str">
        <f t="shared" si="351"/>
        <v/>
      </c>
      <c r="OS88" s="43" t="str">
        <f t="shared" si="352"/>
        <v/>
      </c>
      <c r="OT88" s="43" t="str">
        <f t="shared" si="353"/>
        <v/>
      </c>
      <c r="OU88" s="43" t="str">
        <f t="shared" si="354"/>
        <v>OBESIDAD</v>
      </c>
      <c r="OV88" s="110" t="str">
        <f t="shared" si="355"/>
        <v/>
      </c>
      <c r="OW88" s="43" t="str">
        <f t="shared" si="356"/>
        <v/>
      </c>
      <c r="OX88" s="43" t="str">
        <f t="shared" si="357"/>
        <v/>
      </c>
      <c r="OY88" s="43" t="str">
        <f t="shared" si="358"/>
        <v/>
      </c>
      <c r="OZ88" s="43" t="str">
        <f t="shared" si="359"/>
        <v/>
      </c>
      <c r="PA88" s="43" t="str">
        <f t="shared" si="360"/>
        <v/>
      </c>
      <c r="PB88" s="43" t="str">
        <f t="shared" si="361"/>
        <v/>
      </c>
      <c r="PC88" s="43" t="str">
        <f t="shared" si="362"/>
        <v/>
      </c>
      <c r="PD88" s="43" t="str">
        <f t="shared" si="363"/>
        <v/>
      </c>
      <c r="PE88" s="43" t="str">
        <f t="shared" si="364"/>
        <v/>
      </c>
      <c r="PF88" s="43" t="str">
        <f t="shared" si="365"/>
        <v/>
      </c>
      <c r="PG88" s="43" t="str">
        <f t="shared" si="366"/>
        <v/>
      </c>
      <c r="PH88" s="43" t="str">
        <f t="shared" si="367"/>
        <v/>
      </c>
      <c r="PI88" s="43">
        <f t="shared" si="368"/>
        <v>29</v>
      </c>
      <c r="PJ88" s="43" t="str">
        <f t="shared" si="369"/>
        <v/>
      </c>
      <c r="PK88" s="43" t="str">
        <f t="shared" si="370"/>
        <v/>
      </c>
      <c r="PL88" s="43" t="str">
        <f t="shared" si="371"/>
        <v/>
      </c>
      <c r="PM88" s="43" t="str">
        <f t="shared" si="372"/>
        <v/>
      </c>
      <c r="PN88" s="43" t="str">
        <f t="shared" si="373"/>
        <v/>
      </c>
      <c r="PO88" s="43" t="str">
        <f t="shared" si="374"/>
        <v/>
      </c>
      <c r="PP88" s="43" t="str">
        <f t="shared" si="375"/>
        <v/>
      </c>
      <c r="PQ88" s="43" t="str">
        <f t="shared" si="376"/>
        <v/>
      </c>
      <c r="PR88" s="43" t="str">
        <f t="shared" si="377"/>
        <v/>
      </c>
      <c r="PS88" s="43" t="str">
        <f t="shared" si="378"/>
        <v/>
      </c>
      <c r="PT88" s="43" t="str">
        <f t="shared" si="379"/>
        <v/>
      </c>
      <c r="PU88" s="43" t="str">
        <f t="shared" si="380"/>
        <v/>
      </c>
      <c r="PV88" s="43" t="str">
        <f t="shared" si="381"/>
        <v/>
      </c>
      <c r="PW88" s="43" t="str">
        <f t="shared" si="382"/>
        <v/>
      </c>
      <c r="PX88" s="43" t="str">
        <f t="shared" si="383"/>
        <v/>
      </c>
      <c r="PY88" s="43" t="str">
        <f t="shared" si="384"/>
        <v/>
      </c>
      <c r="PZ88" s="43" t="str">
        <f t="shared" si="385"/>
        <v/>
      </c>
      <c r="QA88" s="43" t="str">
        <f t="shared" si="386"/>
        <v/>
      </c>
      <c r="QB88" s="43" t="str">
        <f t="shared" si="387"/>
        <v/>
      </c>
      <c r="QC88" s="43" t="str">
        <f t="shared" si="388"/>
        <v/>
      </c>
      <c r="QD88" s="43" t="str">
        <f t="shared" si="389"/>
        <v/>
      </c>
      <c r="QE88" s="43" t="str">
        <f t="shared" si="390"/>
        <v/>
      </c>
      <c r="QF88" s="43" t="str">
        <f t="shared" si="391"/>
        <v/>
      </c>
      <c r="QG88" s="43" t="str">
        <f t="shared" si="392"/>
        <v/>
      </c>
      <c r="QH88" s="43" t="str">
        <f t="shared" si="393"/>
        <v/>
      </c>
      <c r="QI88" s="43" t="str">
        <f t="shared" si="394"/>
        <v/>
      </c>
      <c r="QJ88" s="43" t="str">
        <f t="shared" si="395"/>
        <v/>
      </c>
      <c r="QK88" s="43" t="str">
        <f t="shared" si="396"/>
        <v/>
      </c>
      <c r="QL88" s="43" t="str">
        <f t="shared" si="397"/>
        <v/>
      </c>
      <c r="QM88" s="43" t="str">
        <f t="shared" si="398"/>
        <v/>
      </c>
      <c r="QN88" s="43" t="str">
        <f t="shared" si="399"/>
        <v/>
      </c>
      <c r="QO88" s="43" t="str">
        <f t="shared" si="400"/>
        <v/>
      </c>
      <c r="QP88" s="43" t="str">
        <f t="shared" si="401"/>
        <v/>
      </c>
      <c r="QQ88" s="43" t="str">
        <f t="shared" si="402"/>
        <v/>
      </c>
      <c r="QR88" s="43">
        <f t="shared" si="432"/>
        <v>29</v>
      </c>
      <c r="QS88" s="43"/>
      <c r="QT88" s="21" t="str">
        <f t="shared" si="403"/>
        <v/>
      </c>
      <c r="QU88" s="21" t="str">
        <f t="shared" si="404"/>
        <v/>
      </c>
      <c r="QV88" s="21" t="str">
        <f t="shared" si="405"/>
        <v/>
      </c>
      <c r="QW88" s="21" t="str">
        <f t="shared" si="406"/>
        <v/>
      </c>
      <c r="QX88" s="21" t="str">
        <f t="shared" si="407"/>
        <v/>
      </c>
      <c r="QY88" s="21" t="str">
        <f t="shared" si="408"/>
        <v/>
      </c>
      <c r="QZ88" s="21" t="str">
        <f t="shared" si="409"/>
        <v/>
      </c>
      <c r="RA88" s="21" t="str">
        <f t="shared" si="410"/>
        <v/>
      </c>
      <c r="RB88" s="21" t="str">
        <f t="shared" si="411"/>
        <v/>
      </c>
      <c r="RC88" s="21" t="str">
        <f t="shared" si="412"/>
        <v/>
      </c>
      <c r="RD88" s="21" t="str">
        <f t="shared" si="413"/>
        <v/>
      </c>
      <c r="RE88" s="21" t="str">
        <f t="shared" si="414"/>
        <v/>
      </c>
      <c r="RF88" s="21" t="str">
        <f t="shared" si="415"/>
        <v/>
      </c>
      <c r="RG88" s="21" t="str">
        <f t="shared" si="416"/>
        <v/>
      </c>
      <c r="RH88" s="21" t="str">
        <f t="shared" si="417"/>
        <v/>
      </c>
      <c r="RI88" s="21" t="str">
        <f t="shared" si="418"/>
        <v/>
      </c>
      <c r="RJ88" s="21" t="str">
        <f t="shared" si="419"/>
        <v/>
      </c>
      <c r="RK88" s="21" t="str">
        <f t="shared" si="420"/>
        <v/>
      </c>
      <c r="RL88" s="21" t="str">
        <f t="shared" si="421"/>
        <v/>
      </c>
      <c r="RM88" s="21" t="str">
        <f t="shared" si="422"/>
        <v/>
      </c>
      <c r="RN88" s="21" t="str">
        <f t="shared" si="423"/>
        <v/>
      </c>
      <c r="RO88" s="21" t="str">
        <f t="shared" si="424"/>
        <v/>
      </c>
      <c r="RP88" s="21" t="str">
        <f t="shared" si="425"/>
        <v/>
      </c>
      <c r="RQ88" s="21" t="str">
        <f t="shared" si="426"/>
        <v/>
      </c>
      <c r="RR88" s="21" t="str">
        <f t="shared" si="427"/>
        <v/>
      </c>
      <c r="RS88" s="21" t="str">
        <f t="shared" si="428"/>
        <v/>
      </c>
      <c r="RT88" s="21" t="str">
        <f t="shared" si="429"/>
        <v/>
      </c>
      <c r="RU88" s="21" t="str">
        <f t="shared" si="430"/>
        <v/>
      </c>
      <c r="RV88" s="21">
        <f t="shared" si="431"/>
        <v>-1</v>
      </c>
      <c r="RW88" s="284">
        <f>IF(OR(Tabla1[[#This Row],[FUM FORMULA CONFIABLE]]="",Tabla1[[#This Row],[FUM FORMULA CONFIABLE]]="SD"),"",IF(Tabla1[[#This Row],[FUM FORMULA CONFIABLE]]="CORREGIDA",Tabla1[[#This Row],[FUM X ECO 1]],Tabla1[[#This Row],[FUM x AMENORREA]]))</f>
        <v>44753.5</v>
      </c>
      <c r="RX88" s="21">
        <f>IF(AND(Tabla1[[#This Row],[FUM X ECO 1]]="",Tabla1[[#This Row],[FUM x AMENORREA]]=""),"",IF(AND(Tabla1[[#This Row],[FUM X ECO 1]]="",Tabla1[[#This Row],[FUM x AMENORREA]]&lt;&gt;""),"X",SUM(Tabla1[[#This Row],[FUM X ECO 1]]-Tabla1[[#This Row],[FUM x AMENORREA]])))</f>
        <v>-91.5</v>
      </c>
      <c r="RY88" s="21">
        <f t="shared" si="433"/>
        <v>1</v>
      </c>
    </row>
    <row r="89" spans="1:493" ht="45" customHeight="1" x14ac:dyDescent="0.25">
      <c r="A89" s="109" t="s">
        <v>1271</v>
      </c>
      <c r="B89" s="43"/>
      <c r="C89" s="43" t="s">
        <v>845</v>
      </c>
      <c r="D89" s="124"/>
      <c r="E89" s="43" t="s">
        <v>980</v>
      </c>
      <c r="F89" s="43" t="s">
        <v>980</v>
      </c>
      <c r="G89" s="43" t="s">
        <v>1272</v>
      </c>
      <c r="H89" s="43" t="s">
        <v>1273</v>
      </c>
      <c r="I89" s="109" t="s">
        <v>851</v>
      </c>
      <c r="J89" s="110">
        <v>1061782600</v>
      </c>
      <c r="K89" s="43" t="s">
        <v>1274</v>
      </c>
      <c r="L89" s="175" t="s">
        <v>853</v>
      </c>
      <c r="M89" s="22">
        <v>34901</v>
      </c>
      <c r="N89" s="213">
        <f t="shared" ca="1" si="252"/>
        <v>28.306849315068494</v>
      </c>
      <c r="O89" s="22">
        <v>44947</v>
      </c>
      <c r="P89" s="214" t="str">
        <f t="shared" si="437"/>
        <v>SI</v>
      </c>
      <c r="Q89" s="26" t="s">
        <v>855</v>
      </c>
      <c r="R89" s="22">
        <v>44943</v>
      </c>
      <c r="S89" s="21" t="s">
        <v>856</v>
      </c>
      <c r="T89" s="24" t="s">
        <v>690</v>
      </c>
      <c r="U89" s="21" t="s">
        <v>1004</v>
      </c>
      <c r="V89" s="21" t="s">
        <v>858</v>
      </c>
      <c r="W89" s="21" t="s">
        <v>1275</v>
      </c>
      <c r="X89" s="21" t="s">
        <v>1275</v>
      </c>
      <c r="Y89" s="21" t="s">
        <v>859</v>
      </c>
      <c r="Z89" s="21"/>
      <c r="AA89" s="21" t="s">
        <v>860</v>
      </c>
      <c r="AB89" s="27" t="s">
        <v>861</v>
      </c>
      <c r="AC89" s="26" t="s">
        <v>888</v>
      </c>
      <c r="AD89" s="38" t="s">
        <v>863</v>
      </c>
      <c r="AE89" s="26" t="s">
        <v>854</v>
      </c>
      <c r="AF89" s="26" t="s">
        <v>854</v>
      </c>
      <c r="AG89" s="23" t="s">
        <v>864</v>
      </c>
      <c r="AH89" s="23" t="s">
        <v>864</v>
      </c>
      <c r="AI89" s="24" t="s">
        <v>863</v>
      </c>
      <c r="AJ89" s="23" t="s">
        <v>864</v>
      </c>
      <c r="AK89" s="220" t="str">
        <f>IF(AND(AD89="",AE89="",AF89="",AG89="",AH89="",AI89="",AJ89=""),"",IF(OR(Tabla1[[#This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EVALUACIÓN",IF(AND(O89="",R89=""),"",IF(AND(OR(O89&gt;0,R89&gt;0),NG89&gt;=0,NG89&lt;2),"SIN RIESGO",IF(AND(OR(O89&gt;0,R89&gt;0),NG89&gt;=2),"CON RIESGO","ASD")))))</f>
        <v>SIN RIESGO</v>
      </c>
      <c r="AL89" s="23" t="s">
        <v>864</v>
      </c>
      <c r="AM89" s="26" t="s">
        <v>864</v>
      </c>
      <c r="AN89" s="26" t="s">
        <v>864</v>
      </c>
      <c r="AO89" s="26" t="s">
        <v>864</v>
      </c>
      <c r="AP89" s="26" t="s">
        <v>864</v>
      </c>
      <c r="AQ89" s="26" t="s">
        <v>864</v>
      </c>
      <c r="AR89" s="26" t="s">
        <v>864</v>
      </c>
      <c r="AS89" s="21">
        <v>3</v>
      </c>
      <c r="AT89" s="21">
        <v>2</v>
      </c>
      <c r="AU89" s="21">
        <v>0</v>
      </c>
      <c r="AV89" s="26" t="s">
        <v>864</v>
      </c>
      <c r="AW89" s="21">
        <v>0</v>
      </c>
      <c r="AX89" s="26" t="s">
        <v>864</v>
      </c>
      <c r="AY89" s="26" t="s">
        <v>864</v>
      </c>
      <c r="AZ89" s="26" t="s">
        <v>864</v>
      </c>
      <c r="BA89" s="26" t="s">
        <v>864</v>
      </c>
      <c r="BB89" s="26" t="s">
        <v>864</v>
      </c>
      <c r="BC89" s="26" t="s">
        <v>864</v>
      </c>
      <c r="BD89" s="26" t="s">
        <v>864</v>
      </c>
      <c r="BE89" s="26" t="s">
        <v>864</v>
      </c>
      <c r="BF89" s="26" t="s">
        <v>864</v>
      </c>
      <c r="BG89" s="26" t="s">
        <v>864</v>
      </c>
      <c r="BH89" s="26" t="s">
        <v>864</v>
      </c>
      <c r="BI89" s="26" t="s">
        <v>864</v>
      </c>
      <c r="BJ89" s="26" t="s">
        <v>864</v>
      </c>
      <c r="BK89" s="26" t="s">
        <v>864</v>
      </c>
      <c r="BL89" s="26" t="s">
        <v>864</v>
      </c>
      <c r="BM89" s="26" t="s">
        <v>864</v>
      </c>
      <c r="BN89" s="22">
        <v>44167</v>
      </c>
      <c r="BO89" s="22">
        <v>44862</v>
      </c>
      <c r="BP89" s="21" t="s">
        <v>854</v>
      </c>
      <c r="BQ89" s="222">
        <f t="shared" si="254"/>
        <v>23.166666666666668</v>
      </c>
      <c r="BR89" s="223">
        <f t="shared" si="255"/>
        <v>44862.5</v>
      </c>
      <c r="BS89" s="224">
        <f t="shared" si="256"/>
        <v>11.571428571428571</v>
      </c>
      <c r="BT89" s="216" t="str">
        <f t="shared" si="257"/>
        <v>II TRIM</v>
      </c>
      <c r="BU89" s="214" t="str">
        <f t="shared" ca="1" si="258"/>
        <v/>
      </c>
      <c r="BV89" s="25"/>
      <c r="BW89" s="22">
        <v>44943</v>
      </c>
      <c r="BX89" s="28">
        <v>11.5</v>
      </c>
      <c r="BY89" s="28"/>
      <c r="BZ89" s="22"/>
      <c r="CA89" s="21"/>
      <c r="CB89" s="26" t="s">
        <v>864</v>
      </c>
      <c r="CC89" s="26" t="s">
        <v>864</v>
      </c>
      <c r="CD89" s="26"/>
      <c r="CE89" s="26" t="s">
        <v>864</v>
      </c>
      <c r="CF89" s="22" t="s">
        <v>1517</v>
      </c>
      <c r="CG89" s="21">
        <v>1.53</v>
      </c>
      <c r="CH89" s="21">
        <v>65.7</v>
      </c>
      <c r="CI89" s="214">
        <f t="shared" si="259"/>
        <v>28.066128412149176</v>
      </c>
      <c r="CJ89" s="225" t="e">
        <f>IF(AND(CI89&lt;10,CH89="SD"),"SIN DATO PESO PREGESTACION O I TRIM",IF(AND(OR(R89&gt;0,O89&gt;0),CI89="X"),"INGRESAR DATO DE PESO",IF(CI89="SD","INGRESAR DATO DE TALLA Y PESO",IF(AND(OR(Tabla1[[#This Row],[MOMENTO EN QUE SE REALIZA EL PESO AL INGRESO A CPN]]="PREGESTACIÓN",NZ89="Menor"),CI89&lt;18.5),"BAJO PESO",IF(AND(OR(Tabla1[[#This Row],[MOMENTO EN QUE SE REALIZA EL PESO AL INGRESO A CPN]]="PREGESTACIÓN",NZ89="Menor"),CI89&lt;25),"NORMAL",IF(AND(OR(Tabla1[[#This Row],[MOMENTO EN QUE SE REALIZA EL PESO AL INGRESO A CPN]]="PREGESTACIÓN",NZ89="Menor"),CI89&lt;30),"SOBREPESO",IF(AND(OR(Tabla1[[#This Row],[MOMENTO EN QUE SE REALIZA EL PESO AL INGRESO A CPN]]="PREGESTACIÓN",NZ89="Menor"),CI89&gt;=30,CI89&lt;50),"OBESIDAD",IF(AND(BS89&gt;0,Tabla1[[#This Row],[MOMENTO EN QUE SE REALIZA EL PESO AL INGRESO A CPN]]="GESTACIÓN"),HLOOKUP(NZ89,$OA$2:PH89,NY89),""))))))))</f>
        <v>#REF!</v>
      </c>
      <c r="CK89" s="212">
        <f t="shared" si="260"/>
        <v>45125</v>
      </c>
      <c r="CL89" s="21">
        <v>74.900000000000006</v>
      </c>
      <c r="CM89" s="214">
        <f t="shared" si="261"/>
        <v>31.996240762100051</v>
      </c>
      <c r="CN89" s="216">
        <f t="shared" si="262"/>
        <v>37</v>
      </c>
      <c r="CO89" s="216" t="e">
        <f>IF(PI89="","",IF(PI89&gt;0,HLOOKUP(PI89,$PJ$2:QQ89,NY89),""))</f>
        <v>#REF!</v>
      </c>
      <c r="CP89" s="21">
        <v>36</v>
      </c>
      <c r="CQ89" s="216" t="e">
        <f>IF(QR89="Menor","NO APLICA-MENOR 13 SEM",IF(AND(CC89="SI",CN89&gt;23),"NO APLICA- GEMELAR",IF(QR89="","",IF(QR89&gt;0,HLOOKUP(QR89,$QS$2:RU89,NY89),""))))</f>
        <v>#REF!</v>
      </c>
      <c r="CR89" s="21">
        <v>90</v>
      </c>
      <c r="CS89" s="21">
        <v>60</v>
      </c>
      <c r="CT89" s="217" t="str">
        <f>IF(R89="","",IF(AND(BS89&gt;1,BS89&lt;12,Tabla1[[#This Row],[T.A. SISTOLICA - ANTES DE SEMANA 12]]="",Tabla1[[#This Row],[T.A. DIASTOLICA - ANTES DE SEMANA 12]]=""),"REGISTRE DATO TA ANTES SEMANA 12",IF(AND(BS89&gt;11,BS89&lt;43,Tabla1[[#This Row],[T.A. SISTOLICA - ANTES DE SEMANA 12]]="",Tabla1[[#This Row],[T.A. DIASTOLICA - ANTES DE SEMANA 12]]=""),"NO APLICA REGISTRO TA-INGRESO TARDIO",IF(AND(OR(O89&gt;0,R89&gt;0),OR(CR89&gt;=140,CS89&gt;=90)),"DEFINIR ESTADIO HTA",IF(AND(OR(O89&gt;0,R89&gt;0),AND(CR89&gt;120,CR89&lt;=139)),"PRE HTA SEGUIMIENTO",IF(AND(OR(O89&gt;0,R89&gt;0),AND(CS89&gt;80,CS89&lt;=89)),"PRE HTA SEGUIMIENTO",IF(AND(OR(O89&gt;0,R89&gt;0),AND(CR89&gt;=80,CR89&lt;=120)),"APARENTEMENTE NORMAL",IF(AND(OR(O89&gt;0,R89&gt;0),AND(CS89&gt;=50,CS89&lt;=80)),"APARENTEMENTE NORMAL",IF(AND(OR(O89&gt;0,R89&gt;0),AND(CR89&gt;1,CR89&lt;=70),AND(CS89&gt;1,CS89&lt;=40)),"HIPOTENSIÓN","")))))))))</f>
        <v>APARENTEMENTE NORMAL</v>
      </c>
      <c r="CU89" s="21">
        <v>100</v>
      </c>
      <c r="CV89" s="21">
        <v>60</v>
      </c>
      <c r="CW89" s="217" t="str">
        <f ca="1">IF(R89="","",IF(AND(CN89&gt;19,CN89&lt;27,Tabla1[[#This Row],[T.A. SISTOLICA (Entre semana 20 y 26)]]="",Tabla1[[#This Row],[T.A. DIATOLICA (Entre semana 20 y 26)]]=""),"ACUDE A CONTROL SEM 20 A 26 REGISTRE TA AHORA",IF(AND(BS89&gt;1,BS89&lt;27,BU89&gt;19,Tabla1[[#This Row],[T.A. SISTOLICA (Entre semana 20 y 26)]]="",Tabla1[[#This Row],[T.A. DIATOLICA (Entre semana 20 y 26)]]=""),"COMPLETE REGISTRO TA CONTROL SEM 20 A26 ",IF(AND(BS89&gt;26,BS89&lt;43,Tabla1[[#This Row],[T.A. SISTOLICA (Entre semana 20 y 26)]]="",Tabla1[[#This Row],[T.A. DIATOLICA (Entre semana 20 y 26)]]=""),"NO APLICA REGISTRO TA-INGRESO TARDIO",IF(AND(OR(O89&gt;0,R89&gt;0),OR(CU89&gt;=140,CV89&gt;=90)),"ALTO RIESGO PREECLAMPSIA,DEFINIR ESTADIO HTA",IF(AND(OR(O89&gt;0,R89&gt;0),AND(CU89&gt;120,CU89&lt;=139)),"PRE HTA SEGUIMIENTO,RIESGO HIPERTENSION INDUCIDA POR EL EMBARAZO",IF(AND(OR(O89&gt;0,R89&gt;0),AND(CV89&gt;80,CV89&lt;=89)),"PRE HTA SEGUIMIENTO, RIESGO HIPERTENSION INDUCIDA POR EL EMBARAZO",IF(AND(OR(O89&lt;&gt;"",R89&lt;&gt;""),CS89&lt;&gt;"",CV89&lt;&gt;"",CS89&lt;=CV89),"VIGILAR CIFRAS PRESION ARTERIAL",IF(AND(OR(O89&gt;0,R89&gt;0),AND(CU89&gt;120,CU89&lt;=139)),"PRE HTA SEGUIMIENTO",IF(AND(OR(O89&gt;0,R89&gt;0),AND(CU89&gt;1,CU89&lt;=70),AND(CV89&gt;1,CV89&lt;=40)),"HIPOTENSIÓN",IF(AND(OR(O89&lt;&gt;"",R89&lt;&gt;""),CS89&lt;&gt;"",CV89&lt;&gt;"",CS89&gt;CV89),"APARENTEMENTE NORMAL",IF(AND(OR(O89&gt;0,R89&gt;0),AND(CU89&gt;=80,CU89&lt;=120)),"APARENTEMENTE NORMAL",IF(AND(OR(O89&gt;0,R89&gt;0),AND(CV89&gt;=50,CV89&lt;=80)),"APARENTEMENTE NORMAL","")))))))))))))</f>
        <v>VIGILAR CIFRAS PRESION ARTERIAL</v>
      </c>
      <c r="CX89" s="21">
        <v>90</v>
      </c>
      <c r="CY89" s="21">
        <v>60</v>
      </c>
      <c r="CZ89" s="216" t="str">
        <f t="shared" si="263"/>
        <v>APARENTEMENTE NORMAL</v>
      </c>
      <c r="DA89" s="21">
        <v>90</v>
      </c>
      <c r="DB89" s="21">
        <v>60</v>
      </c>
      <c r="DC89" s="217" t="str">
        <f t="shared" si="264"/>
        <v>APARENTEMENTE NORMAL</v>
      </c>
      <c r="DD89" s="22">
        <v>44943</v>
      </c>
      <c r="DE89" s="22">
        <v>44943</v>
      </c>
      <c r="DF89" s="22">
        <v>44989</v>
      </c>
      <c r="DG89" s="22">
        <v>45027</v>
      </c>
      <c r="DH89" s="22">
        <v>45059</v>
      </c>
      <c r="DI89" s="22">
        <v>45094</v>
      </c>
      <c r="DJ89" s="22">
        <v>45125</v>
      </c>
      <c r="DK89" s="22"/>
      <c r="DL89" s="22"/>
      <c r="DM89" s="22"/>
      <c r="DN89" s="22"/>
      <c r="DO89" s="22"/>
      <c r="DP89" s="22"/>
      <c r="DQ89" s="22"/>
      <c r="DR89" s="28">
        <v>0</v>
      </c>
      <c r="DS89" s="22"/>
      <c r="DT89" s="22"/>
      <c r="DU89" s="216" t="str">
        <f t="shared" ca="1" si="438"/>
        <v>SALE SIN PLAN DE PARTO</v>
      </c>
      <c r="DV89" s="226" t="str">
        <f t="shared" si="439"/>
        <v>SALIO PROGRAMA</v>
      </c>
      <c r="DW8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89" s="216" t="str">
        <f t="shared" ca="1" si="266"/>
        <v/>
      </c>
      <c r="DY89" s="212">
        <f>IF(R89="","",IF(R89&gt;0,MAX(Tabla1[[#This Row],[FECHA C2]:[FECHA C13]],Tabla1[[#This Row],[FECHA CONSULTA PRIMERA VEZ PROGRAMA CPN ]])))</f>
        <v>45125</v>
      </c>
      <c r="DZ89" s="216">
        <f t="shared" si="267"/>
        <v>37</v>
      </c>
      <c r="EA89" s="222">
        <f>IF(R89&gt;0,SUM(COUNTA(DF89:DQ89)+COUNTA(Tabla1[[#This Row],[FECHA CONSULTA PRIMERA VEZ PROGRAMA CPN ]])),"")</f>
        <v>6</v>
      </c>
      <c r="EB89" s="222" t="str">
        <f t="shared" si="268"/>
        <v>SI</v>
      </c>
      <c r="EC89" s="214">
        <f t="shared" si="269"/>
        <v>9</v>
      </c>
      <c r="ED89" s="227">
        <f t="shared" si="270"/>
        <v>0.66666666666666663</v>
      </c>
      <c r="EE89" s="22">
        <v>44947</v>
      </c>
      <c r="EF89" s="22">
        <v>44947</v>
      </c>
      <c r="EG89" s="22">
        <v>44947</v>
      </c>
      <c r="EH89" s="22">
        <v>44958</v>
      </c>
      <c r="EI89" s="22">
        <v>44947</v>
      </c>
      <c r="EJ89" s="22">
        <v>44965</v>
      </c>
      <c r="EK89" s="22">
        <v>45040</v>
      </c>
      <c r="EL89" s="21">
        <v>1</v>
      </c>
      <c r="EM89" s="21">
        <v>14</v>
      </c>
      <c r="EN89" s="22">
        <v>44957</v>
      </c>
      <c r="EO89" s="222">
        <f t="shared" si="271"/>
        <v>13.571428571428571</v>
      </c>
      <c r="EP89" s="214" t="str">
        <f t="shared" si="272"/>
        <v>NORMAL- SUMINISTRAR SULFATO FERROSO</v>
      </c>
      <c r="EQ89" s="216" t="str">
        <f t="shared" si="273"/>
        <v>II TRIM</v>
      </c>
      <c r="ER89" s="24">
        <v>13.4</v>
      </c>
      <c r="ES89" s="22">
        <v>45066</v>
      </c>
      <c r="ET89" s="29">
        <f t="shared" ca="1" si="440"/>
        <v>29.142857142857142</v>
      </c>
      <c r="EU89" s="25" t="str">
        <f t="shared" si="275"/>
        <v>NORMAL- SUMINISTRAR SULFATO FERROSO</v>
      </c>
      <c r="EV89" s="24" t="s">
        <v>1510</v>
      </c>
      <c r="EW89" s="24">
        <v>44957</v>
      </c>
      <c r="EX89" s="22"/>
      <c r="EY89" s="29">
        <f t="shared" si="248"/>
        <v>13.571428571428571</v>
      </c>
      <c r="EZ89" s="25" t="str">
        <f t="shared" si="249"/>
        <v>SIN RIESGO DE ISOINMUNIZACIÓN</v>
      </c>
      <c r="FA89" s="21">
        <v>88</v>
      </c>
      <c r="FB89" s="22">
        <v>44957</v>
      </c>
      <c r="FC89" s="29">
        <f t="shared" si="276"/>
        <v>13.571428571428571</v>
      </c>
      <c r="FD89" s="29">
        <v>88</v>
      </c>
      <c r="FE89" s="29">
        <v>134</v>
      </c>
      <c r="FF89" s="29">
        <v>121</v>
      </c>
      <c r="FG89" s="21" t="str">
        <f t="shared" ca="1" si="277"/>
        <v>NORMAL</v>
      </c>
      <c r="FH89" s="31">
        <v>45031</v>
      </c>
      <c r="FI89" s="29">
        <f t="shared" si="278"/>
        <v>24.142857142857142</v>
      </c>
      <c r="FJ89" s="22"/>
      <c r="FK89" s="22"/>
      <c r="FL89" s="29" t="str">
        <f t="shared" ca="1" si="279"/>
        <v>PIERDE TOMA DE TAMIZAJE</v>
      </c>
      <c r="FM89" s="22" t="s">
        <v>867</v>
      </c>
      <c r="FN89" s="32">
        <v>44957</v>
      </c>
      <c r="FO89" s="29">
        <f t="shared" ca="1" si="441"/>
        <v>13.571428571428571</v>
      </c>
      <c r="FP89" s="22"/>
      <c r="FQ89" s="32"/>
      <c r="FR89" s="29" t="str">
        <f t="shared" ca="1" si="442"/>
        <v>PIERDE TOMA DE TAMIZAJE</v>
      </c>
      <c r="FS89" s="22"/>
      <c r="FT89" s="32"/>
      <c r="FU89" s="29" t="str">
        <f>IF(AND(FJ89="",FM89="",FP89="",FS89=""),"",IF(OR(OR(Tabla1[[#This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89" s="28"/>
      <c r="FW89" s="22"/>
      <c r="FX89" s="29" t="str">
        <f t="shared" si="280"/>
        <v>TOMAR EXAMEN</v>
      </c>
      <c r="FY89" s="22">
        <v>44957</v>
      </c>
      <c r="FZ89" s="22">
        <v>44957</v>
      </c>
      <c r="GA89" s="29" t="str">
        <f t="shared" si="250"/>
        <v>REGISTRAR EN II TRIMESTRE</v>
      </c>
      <c r="GB89" s="22" t="s">
        <v>868</v>
      </c>
      <c r="GC89" s="22">
        <v>44957</v>
      </c>
      <c r="GD89" s="29">
        <f t="shared" ca="1" si="443"/>
        <v>13.571428571428571</v>
      </c>
      <c r="GE89" s="22"/>
      <c r="GF89" s="22"/>
      <c r="GG89" s="29" t="str">
        <f t="shared" ca="1" si="444"/>
        <v>PIERDE TOMA DE TAMIZAJE</v>
      </c>
      <c r="GH89" s="22"/>
      <c r="GI89" s="29"/>
      <c r="GJ89" s="22"/>
      <c r="GK89" s="22"/>
      <c r="GL89" s="22"/>
      <c r="GM89" s="22"/>
      <c r="GN89" s="28" t="s">
        <v>869</v>
      </c>
      <c r="GO89" s="22">
        <v>44957</v>
      </c>
      <c r="GP89" s="29">
        <f t="shared" si="283"/>
        <v>13.571428571428571</v>
      </c>
      <c r="GQ89" s="28" t="s">
        <v>869</v>
      </c>
      <c r="GR89" s="28" t="s">
        <v>869</v>
      </c>
      <c r="GS89" s="22" t="str">
        <f t="shared" si="284"/>
        <v>CONTROL Igm</v>
      </c>
      <c r="GT89" s="22">
        <v>44957</v>
      </c>
      <c r="GU89" s="29">
        <f t="shared" si="285"/>
        <v>13.571428571428571</v>
      </c>
      <c r="GV89" s="21" t="str">
        <f t="shared" si="286"/>
        <v>II TRIM</v>
      </c>
      <c r="GW89" s="28" t="s">
        <v>869</v>
      </c>
      <c r="GX89" s="30"/>
      <c r="GY89" s="21"/>
      <c r="GZ89" s="21"/>
      <c r="HA89" s="21"/>
      <c r="HB89" s="21"/>
      <c r="HC89" s="21"/>
      <c r="HD89" s="21"/>
      <c r="HE89" s="21"/>
      <c r="HF89" s="22"/>
      <c r="HG89" s="22" t="str">
        <f>IF(OR(O89&gt;0,R89&gt;0),CONCATENATE(IF(Tabla1[[#This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89" s="22" t="e">
        <f t="shared" si="287"/>
        <v>#REF!</v>
      </c>
      <c r="HI89" s="22" t="e">
        <f t="shared" ca="1" si="288"/>
        <v>#REF!</v>
      </c>
      <c r="HJ89" s="21"/>
      <c r="HK89" s="21" t="str">
        <f t="shared" si="289"/>
        <v>SIN ANTECEDENTES DE RIESGO</v>
      </c>
      <c r="HL89" s="24" t="str">
        <f t="shared" si="290"/>
        <v>APARENTEMENTE NORMAL</v>
      </c>
      <c r="HM89" s="21" t="str">
        <f t="shared" ca="1" si="291"/>
        <v/>
      </c>
      <c r="HN89" s="30" t="str">
        <f t="shared" si="445"/>
        <v>SALIO PROGRAMA</v>
      </c>
      <c r="HO89" s="21"/>
      <c r="HP89" s="21"/>
      <c r="HQ89" s="21">
        <v>44943</v>
      </c>
      <c r="HR89" s="21" t="str">
        <f>IF(R89="","",IF(Tabla1[[#This Row],[ALARMA FACTORES DE RIESGO COMPLICACIONES HIPERTENSIVAS3]]="SIN ANTECEDENTES DE RIESGO","No Aplica para suministro de ASA",IF(AND(Tabla1[[#This Row],[FECHA INICIO DE SUMINISTRO DE ASA]]&gt;0,RV89&lt;12),"Inicia ASA ANTES de Sem 12",IF(AND(RV89&gt;11,RV89&lt;17,OR(HK89="RIESGO ALTO DE COMPLICACIONES HIPERTENSIVAS VER MANEJO GUIA SUMINISTRO ASA Y CALCIO",HK89="RIESGO MODERADO (2 O MAS CRITERIOS) VER MANEJO GUIA SUMINISTRO ASA Y CALCIO")),"Inicio oportuno de ASA",IF(AND(RV89&gt;12,OR(HK89="RIESGO ALTO DE COMPLICACIONES HIPERTENSIVAS VER MANEJO GUIA SUMINISTRO ASA Y CALCIO",HK89="RIESGO MODERADO (2 O MAS CRITERIOS) VER MANEJO GUIA SUMINISTRO ASA Y CALCIO")),"Inicio no oportuno mayor a 16 semanas",IF(AND(BU89&lt;12,OR(HK89="RIESGO ALTO DE COMPLICACIONES HIPERTENSIVAS VER MANEJO GUIA SUMINISTRO ASA Y CALCIO",HK89="RIESGO MODERADO (2 O MAS CRITERIOS) VER MANEJO GUIA SUMINISTRO ASA Y CALCIO")),"Pendiente Inicio de ASA a la semana 12",IF(AND(BU89&gt;11,BU89&lt;17,OR(HK89="RIESGO ALTO DE COMPLICACIONES HIPERTENSIVAS VER MANEJO GUIA SUMINISTRO ASA Y CALCIO",HK89="RIESGO MODERADO (2 O MAS CRITERIOS) VER MANEJO GUIA SUMINISTRO ASA Y CALCIO")),"Iniciar de inmediato ASA",IF(AND(BU89&gt;16,OR(HK89="RIESGO ALTO DE COMPLICACIONES HIPERTENSIVAS VER MANEJO GUIA SUMINISTRO ASA Y CALCIO",HK89="RIESGO MODERADO (2 O MAS CRITERIOS) VER MANEJO GUIA SUMINISTRO ASA Y CALCIO")),"Pierde Oportunidad, Inicio tardío de ASA","XXXXX"))))))))</f>
        <v>No Aplica para suministro de ASA</v>
      </c>
      <c r="HS89" s="22">
        <v>44943</v>
      </c>
      <c r="HT89" s="22" t="s">
        <v>870</v>
      </c>
      <c r="HU89" s="22">
        <v>44943</v>
      </c>
      <c r="HV89" s="22" t="s">
        <v>870</v>
      </c>
      <c r="HW89" s="22">
        <v>44943</v>
      </c>
      <c r="HX89" s="22" t="s">
        <v>870</v>
      </c>
      <c r="HY89" s="22">
        <v>44947</v>
      </c>
      <c r="HZ89" s="28">
        <f t="shared" si="292"/>
        <v>12.142857142857142</v>
      </c>
      <c r="IA89" s="26"/>
      <c r="IB89" s="26"/>
      <c r="IC89" s="111"/>
      <c r="ID89" s="22"/>
      <c r="IE89" s="22" t="str">
        <f t="shared" ca="1" si="293"/>
        <v>SALE SIN VACUNA</v>
      </c>
      <c r="IF89" s="22"/>
      <c r="IG89" s="22">
        <f t="shared" si="294"/>
        <v>45142</v>
      </c>
      <c r="IH89" s="29">
        <f t="shared" ca="1" si="295"/>
        <v>-91</v>
      </c>
      <c r="II89" s="22" t="str">
        <f t="shared" ca="1" si="296"/>
        <v>POSIBLEMENTE NACIO</v>
      </c>
      <c r="IJ89" s="22"/>
      <c r="IK89" s="21" t="s">
        <v>1652</v>
      </c>
      <c r="IL89" s="21"/>
      <c r="IM89" s="34"/>
      <c r="IN89" s="349">
        <v>45145</v>
      </c>
      <c r="IO89" s="21" t="s">
        <v>1186</v>
      </c>
      <c r="IP89" s="29">
        <f t="shared" si="435"/>
        <v>40.428571428571431</v>
      </c>
      <c r="IQ89" s="290" t="s">
        <v>1654</v>
      </c>
      <c r="IR89" s="290" t="s">
        <v>1651</v>
      </c>
      <c r="IS89" s="290" t="s">
        <v>1646</v>
      </c>
      <c r="IT89" s="290" t="s">
        <v>1642</v>
      </c>
      <c r="IU89" s="21"/>
      <c r="IV89" s="21"/>
      <c r="IW89" s="21"/>
      <c r="IX89" s="21"/>
      <c r="IY89" s="21"/>
      <c r="IZ89" s="21"/>
      <c r="JA89" s="21"/>
      <c r="JB89" s="30">
        <v>1</v>
      </c>
      <c r="JC89" s="21" t="s">
        <v>1643</v>
      </c>
      <c r="JD89" s="36">
        <v>3850</v>
      </c>
      <c r="JE89" s="21" t="str">
        <f t="shared" si="446"/>
        <v>PESO ADECUADO EDAD GESTACIONAL</v>
      </c>
      <c r="JF89" s="30"/>
      <c r="JG89" s="21"/>
      <c r="JH89" s="21"/>
      <c r="JI89" s="21"/>
      <c r="JJ89" s="30"/>
      <c r="JK89" s="22"/>
      <c r="JL89" s="22"/>
      <c r="JM89" s="21"/>
      <c r="JN89" s="36"/>
      <c r="JO89" s="21" t="str">
        <f t="shared" si="447"/>
        <v/>
      </c>
      <c r="JP89" s="22"/>
      <c r="JQ89" s="21"/>
      <c r="JR89" s="21"/>
      <c r="JS89" s="21"/>
      <c r="JT89" s="30"/>
      <c r="JU89" s="22"/>
      <c r="JV89" s="22"/>
      <c r="JW89" s="33"/>
      <c r="JX89" s="28" t="str">
        <f t="shared" si="448"/>
        <v>INASISTENTE</v>
      </c>
      <c r="JY89" s="33"/>
      <c r="JZ89" s="28" t="str">
        <f t="shared" si="449"/>
        <v>INASISTENTE</v>
      </c>
      <c r="KA89" s="21"/>
      <c r="KB89" s="21"/>
      <c r="KC89" s="21"/>
      <c r="KD89" s="37"/>
      <c r="KE89" s="28"/>
      <c r="KF89" s="28"/>
      <c r="KG89" s="28"/>
      <c r="KH89" s="39"/>
      <c r="KI89" s="39"/>
      <c r="KJ89" s="66"/>
      <c r="KK89" s="39"/>
      <c r="KL89" s="39"/>
      <c r="KM89" s="66"/>
      <c r="KN89" s="39"/>
      <c r="KO89" s="39"/>
      <c r="KP89" s="39"/>
      <c r="KQ89" s="39"/>
      <c r="KR89" s="39"/>
      <c r="KS89" s="39"/>
      <c r="KT89" s="39"/>
      <c r="KU89" s="38"/>
      <c r="KV89" s="38"/>
      <c r="KW89" s="38"/>
      <c r="KX89" s="38"/>
      <c r="KY89" s="38"/>
      <c r="KZ89" s="38"/>
      <c r="LA89" s="38"/>
      <c r="LB89" s="38"/>
      <c r="LC89" s="38"/>
      <c r="LD89" s="38"/>
      <c r="LE89" s="38"/>
      <c r="LF89" s="38"/>
      <c r="LG89" s="38"/>
      <c r="LH89" s="38"/>
      <c r="LI89" s="38"/>
      <c r="LJ89" s="38"/>
      <c r="LK89" s="38"/>
      <c r="LL89" s="38"/>
      <c r="LM89" s="38"/>
      <c r="LN89" s="38"/>
      <c r="LO89" s="38"/>
      <c r="LP89" s="38"/>
      <c r="LQ89" s="38"/>
      <c r="LR89" s="38"/>
      <c r="LS89" s="38"/>
      <c r="LT89" s="38"/>
      <c r="LU89" s="38"/>
      <c r="LV89" s="38"/>
      <c r="LW89" s="38"/>
      <c r="LX89" s="38"/>
      <c r="LY89" s="38"/>
      <c r="LZ89" s="38"/>
      <c r="MA89" s="38"/>
      <c r="MB89" s="38"/>
      <c r="MC89" s="38"/>
      <c r="MD89" s="38"/>
      <c r="ME89" s="38"/>
      <c r="MF89" s="38"/>
      <c r="MG89" s="38"/>
      <c r="MH89" s="43">
        <f t="shared" si="302"/>
        <v>0</v>
      </c>
      <c r="MI89" s="43" t="str">
        <f t="shared" si="303"/>
        <v/>
      </c>
      <c r="MJ89" s="43" t="str">
        <f t="shared" si="304"/>
        <v/>
      </c>
      <c r="MK89" s="43">
        <f t="shared" si="305"/>
        <v>0</v>
      </c>
      <c r="ML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-4</v>
      </c>
      <c r="MM89" s="43">
        <f t="shared" si="306"/>
        <v>12.142857142857142</v>
      </c>
      <c r="MN89" s="43">
        <f t="shared" si="307"/>
        <v>1</v>
      </c>
      <c r="MO89" s="43">
        <f t="shared" si="308"/>
        <v>2023</v>
      </c>
      <c r="MP89" s="43" t="str">
        <f t="shared" si="309"/>
        <v>I TRIMESTRE AÑO</v>
      </c>
      <c r="MQ89" s="43">
        <f t="shared" si="310"/>
        <v>27.091546211125713</v>
      </c>
      <c r="MR89" s="43">
        <f t="shared" si="311"/>
        <v>0</v>
      </c>
      <c r="MS89" s="43" t="str">
        <f t="shared" si="312"/>
        <v xml:space="preserve"> DE 25 A 29 AÑOS</v>
      </c>
      <c r="MT89" s="43">
        <f t="shared" si="313"/>
        <v>0</v>
      </c>
      <c r="MU89" s="43">
        <f t="shared" si="314"/>
        <v>0</v>
      </c>
      <c r="MV89" s="43">
        <f t="shared" si="315"/>
        <v>0</v>
      </c>
      <c r="MW89" s="43">
        <f t="shared" si="316"/>
        <v>0</v>
      </c>
      <c r="MX89" s="43" t="str">
        <f t="shared" si="317"/>
        <v/>
      </c>
      <c r="MY89" s="43" t="str">
        <f t="shared" ca="1" si="450"/>
        <v/>
      </c>
      <c r="MZ89" s="43" t="str">
        <f t="shared" si="318"/>
        <v/>
      </c>
      <c r="NA89" s="43" t="str">
        <f t="shared" si="319"/>
        <v/>
      </c>
      <c r="NB89" s="43" t="str">
        <f t="shared" si="320"/>
        <v/>
      </c>
      <c r="NC89" s="43" t="str">
        <f t="shared" si="321"/>
        <v/>
      </c>
      <c r="ND89" s="43">
        <f t="shared" ca="1" si="322"/>
        <v>0</v>
      </c>
      <c r="NE89" s="43">
        <f>IF(OR(O89&gt;0,R89&gt;0),SUM(COUNTIF(Tabla1[[#This Row],[AÑOS AL INICIO5 CPN]],"&gt;=40"),COUNTIF(AS89,"0"),COUNTIF(AR89,"SI"),COUNTIF(CC89,"SI"),COUNTIF(BQ89,"&gt;119"),COUNTIF(CI89,"&gt;=35")),"")</f>
        <v>0</v>
      </c>
      <c r="NF89" s="43" t="str">
        <f t="shared" si="323"/>
        <v/>
      </c>
      <c r="NG89" s="43">
        <f t="shared" si="324"/>
        <v>0</v>
      </c>
      <c r="NH89" s="43">
        <f t="shared" si="325"/>
        <v>80.5</v>
      </c>
      <c r="NI8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CPN",P89="NO"),"Z",IF(AND(Tabla1[[#This Row],[CITA PROXIMO CONTROL]]="CITA MANUAL",Tabla1[[#This Row],[GESTANTES ACTUALES]]="ACTIVA INGRESO A CPN"),"W",IF(AND(Tabla1[[#This Row],[GESTANTES ACTUALES]]="SALIO PROGRAMA",IN89=""),"S",IF(AND(Tabla1[[#This Row],[CITA PROXIMO CONTROL]]&gt;0,IN89=""),(Tabla1[[#This Row],[CITA PROXIMO CONTROL]]-TODAY()),"SD"))))))))</f>
        <v>SD</v>
      </c>
      <c r="NJ89" s="43">
        <f>MONTH(Tabla1[[#This Row],[FECHA DE SALIDA  DEL PROGRAMA]])</f>
        <v>8</v>
      </c>
      <c r="NK89" s="43">
        <f>YEAR(Tabla1[[#This Row],[FECHA DE SALIDA  DEL PROGRAMA]])</f>
        <v>2023</v>
      </c>
      <c r="NL89" s="43">
        <f t="shared" si="326"/>
        <v>18</v>
      </c>
      <c r="NM89" s="43" t="str">
        <f t="shared" si="251"/>
        <v>NO</v>
      </c>
      <c r="NN89" s="43" t="str">
        <f ca="1">IF(AND(O89&gt;0,R89=""),"NO CPN",IF(AND(O89="",R89=""),"",IF(AND(R89&gt;0,Tabla1[[#This Row],[SEMANAS DE GESTACION ACTUALIZADAS]]&lt;=12),"NO APLICA",IF(AND(FH89&lt;&gt;"",FN89&lt;&gt;""),"SI","NO"))))</f>
        <v>SI</v>
      </c>
      <c r="NO89" s="43" t="str">
        <f ca="1">IF(AND(O89&gt;0,R89=""),"NO CPN",IF(AND(O89="",R89=""),"",IF(AND(R89&gt;0,Tabla1[[#This Row],[SEMANAS DE GESTACION ACTUALIZADAS]]&lt;=27),"NO APLICA",IF(AND(ES89&lt;&gt;"",FQ89&lt;&gt;"",GF89&lt;&gt;""),"SI","NO"))))</f>
        <v>NO</v>
      </c>
      <c r="NP89" s="204" t="str">
        <f t="shared" si="327"/>
        <v>I TRIM</v>
      </c>
      <c r="NQ89" s="21">
        <f t="shared" si="436"/>
        <v>7</v>
      </c>
      <c r="NR89" s="21">
        <f t="shared" si="451"/>
        <v>3</v>
      </c>
      <c r="NS89" s="205">
        <f t="shared" ca="1" si="328"/>
        <v>1</v>
      </c>
      <c r="NT89" s="21">
        <f t="shared" ca="1" si="329"/>
        <v>1</v>
      </c>
      <c r="NU89" s="21" t="str">
        <f t="shared" ca="1" si="330"/>
        <v>INCOMPLETO</v>
      </c>
      <c r="NV89" s="21" t="str">
        <f t="shared" ca="1" si="331"/>
        <v>INCOMPLETO</v>
      </c>
      <c r="NW89" s="206" t="str">
        <f>IF(AND(O89="",R89=""),"",IF(OR(AND(Tabla1[[#This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89" s="207" t="str">
        <f t="shared" ca="1" si="332"/>
        <v>SIN VACUNAR</v>
      </c>
      <c r="NY89" s="43">
        <f>ROW(Tabla1[[#This Row],['# DE TAMIZAJES SIFILIS TOMADOS ]])</f>
        <v>89</v>
      </c>
      <c r="NZ89" s="43">
        <f t="shared" si="333"/>
        <v>11</v>
      </c>
      <c r="OA89" s="43" t="str">
        <f t="shared" si="334"/>
        <v/>
      </c>
      <c r="OB89" s="43" t="str">
        <f t="shared" si="335"/>
        <v/>
      </c>
      <c r="OC89" s="43" t="str">
        <f t="shared" si="336"/>
        <v>SOBREPESO</v>
      </c>
      <c r="OD89" s="43" t="str">
        <f t="shared" si="337"/>
        <v/>
      </c>
      <c r="OE89" s="43" t="str">
        <f t="shared" si="338"/>
        <v/>
      </c>
      <c r="OF89" s="43" t="str">
        <f t="shared" si="339"/>
        <v/>
      </c>
      <c r="OG89" s="43" t="str">
        <f t="shared" si="340"/>
        <v/>
      </c>
      <c r="OH89" s="43" t="str">
        <f t="shared" si="341"/>
        <v/>
      </c>
      <c r="OI89" s="43" t="str">
        <f t="shared" si="342"/>
        <v/>
      </c>
      <c r="OJ89" s="43" t="str">
        <f t="shared" si="343"/>
        <v/>
      </c>
      <c r="OK89" s="43" t="str">
        <f t="shared" si="344"/>
        <v/>
      </c>
      <c r="OL89" s="43" t="str">
        <f t="shared" si="345"/>
        <v/>
      </c>
      <c r="OM89" s="43" t="str">
        <f t="shared" si="346"/>
        <v/>
      </c>
      <c r="ON89" s="43" t="str">
        <f t="shared" si="347"/>
        <v/>
      </c>
      <c r="OO89" s="43" t="str">
        <f t="shared" si="348"/>
        <v/>
      </c>
      <c r="OP89" s="43" t="str">
        <f t="shared" si="349"/>
        <v/>
      </c>
      <c r="OQ89" s="43" t="str">
        <f t="shared" si="350"/>
        <v/>
      </c>
      <c r="OR89" s="43" t="str">
        <f t="shared" si="351"/>
        <v/>
      </c>
      <c r="OS89" s="43" t="str">
        <f t="shared" si="352"/>
        <v/>
      </c>
      <c r="OT89" s="43" t="str">
        <f t="shared" si="353"/>
        <v/>
      </c>
      <c r="OU89" s="43" t="str">
        <f t="shared" si="354"/>
        <v/>
      </c>
      <c r="OV89" s="110" t="str">
        <f t="shared" si="355"/>
        <v/>
      </c>
      <c r="OW89" s="43" t="str">
        <f t="shared" si="356"/>
        <v/>
      </c>
      <c r="OX89" s="43" t="str">
        <f t="shared" si="357"/>
        <v/>
      </c>
      <c r="OY89" s="43" t="str">
        <f t="shared" si="358"/>
        <v/>
      </c>
      <c r="OZ89" s="43" t="str">
        <f t="shared" si="359"/>
        <v/>
      </c>
      <c r="PA89" s="43" t="str">
        <f t="shared" si="360"/>
        <v/>
      </c>
      <c r="PB89" s="43" t="str">
        <f t="shared" si="361"/>
        <v/>
      </c>
      <c r="PC89" s="43" t="str">
        <f t="shared" si="362"/>
        <v/>
      </c>
      <c r="PD89" s="43" t="str">
        <f t="shared" si="363"/>
        <v/>
      </c>
      <c r="PE89" s="43" t="str">
        <f t="shared" si="364"/>
        <v/>
      </c>
      <c r="PF89" s="43" t="str">
        <f t="shared" si="365"/>
        <v/>
      </c>
      <c r="PG89" s="43" t="str">
        <f t="shared" si="366"/>
        <v/>
      </c>
      <c r="PH89" s="43" t="str">
        <f t="shared" si="367"/>
        <v/>
      </c>
      <c r="PI89" s="43">
        <f t="shared" si="368"/>
        <v>37</v>
      </c>
      <c r="PJ89" s="43" t="str">
        <f t="shared" si="369"/>
        <v/>
      </c>
      <c r="PK89" s="43" t="str">
        <f t="shared" si="370"/>
        <v/>
      </c>
      <c r="PL89" s="43" t="str">
        <f t="shared" si="371"/>
        <v/>
      </c>
      <c r="PM89" s="43" t="str">
        <f t="shared" si="372"/>
        <v/>
      </c>
      <c r="PN89" s="43" t="str">
        <f t="shared" si="373"/>
        <v/>
      </c>
      <c r="PO89" s="43" t="str">
        <f t="shared" si="374"/>
        <v/>
      </c>
      <c r="PP89" s="43" t="str">
        <f t="shared" si="375"/>
        <v/>
      </c>
      <c r="PQ89" s="43" t="str">
        <f t="shared" si="376"/>
        <v/>
      </c>
      <c r="PR89" s="43" t="str">
        <f t="shared" si="377"/>
        <v/>
      </c>
      <c r="PS89" s="43" t="str">
        <f t="shared" si="378"/>
        <v/>
      </c>
      <c r="PT89" s="43" t="str">
        <f t="shared" si="379"/>
        <v/>
      </c>
      <c r="PU89" s="43" t="str">
        <f t="shared" si="380"/>
        <v/>
      </c>
      <c r="PV89" s="43" t="str">
        <f t="shared" si="381"/>
        <v/>
      </c>
      <c r="PW89" s="43" t="str">
        <f t="shared" si="382"/>
        <v/>
      </c>
      <c r="PX89" s="43" t="str">
        <f t="shared" si="383"/>
        <v/>
      </c>
      <c r="PY89" s="43" t="str">
        <f t="shared" si="384"/>
        <v/>
      </c>
      <c r="PZ89" s="43" t="str">
        <f t="shared" si="385"/>
        <v/>
      </c>
      <c r="QA89" s="43" t="str">
        <f t="shared" si="386"/>
        <v/>
      </c>
      <c r="QB89" s="43" t="str">
        <f t="shared" si="387"/>
        <v/>
      </c>
      <c r="QC89" s="43" t="str">
        <f t="shared" si="388"/>
        <v/>
      </c>
      <c r="QD89" s="43" t="str">
        <f t="shared" si="389"/>
        <v/>
      </c>
      <c r="QE89" s="43" t="str">
        <f t="shared" si="390"/>
        <v/>
      </c>
      <c r="QF89" s="43" t="str">
        <f t="shared" si="391"/>
        <v/>
      </c>
      <c r="QG89" s="43" t="str">
        <f t="shared" si="392"/>
        <v/>
      </c>
      <c r="QH89" s="43" t="str">
        <f t="shared" si="393"/>
        <v/>
      </c>
      <c r="QI89" s="43" t="str">
        <f t="shared" si="394"/>
        <v/>
      </c>
      <c r="QJ89" s="43" t="str">
        <f t="shared" si="395"/>
        <v/>
      </c>
      <c r="QK89" s="43" t="str">
        <f t="shared" si="396"/>
        <v/>
      </c>
      <c r="QL89" s="43" t="str">
        <f t="shared" si="397"/>
        <v>SOBREPESO</v>
      </c>
      <c r="QM89" s="43" t="str">
        <f t="shared" si="398"/>
        <v/>
      </c>
      <c r="QN89" s="43" t="str">
        <f t="shared" si="399"/>
        <v/>
      </c>
      <c r="QO89" s="43" t="str">
        <f t="shared" si="400"/>
        <v/>
      </c>
      <c r="QP89" s="43" t="str">
        <f t="shared" si="401"/>
        <v/>
      </c>
      <c r="QQ89" s="43" t="str">
        <f t="shared" si="402"/>
        <v/>
      </c>
      <c r="QR89" s="43">
        <f t="shared" si="432"/>
        <v>37</v>
      </c>
      <c r="QS89" s="43"/>
      <c r="QT89" s="21" t="str">
        <f t="shared" si="403"/>
        <v/>
      </c>
      <c r="QU89" s="21" t="str">
        <f t="shared" si="404"/>
        <v/>
      </c>
      <c r="QV89" s="21" t="str">
        <f t="shared" si="405"/>
        <v/>
      </c>
      <c r="QW89" s="21" t="str">
        <f t="shared" si="406"/>
        <v/>
      </c>
      <c r="QX89" s="21" t="str">
        <f t="shared" si="407"/>
        <v/>
      </c>
      <c r="QY89" s="21" t="str">
        <f t="shared" si="408"/>
        <v/>
      </c>
      <c r="QZ89" s="21" t="str">
        <f t="shared" si="409"/>
        <v/>
      </c>
      <c r="RA89" s="21" t="str">
        <f t="shared" si="410"/>
        <v/>
      </c>
      <c r="RB89" s="21" t="str">
        <f t="shared" si="411"/>
        <v/>
      </c>
      <c r="RC89" s="21" t="str">
        <f t="shared" si="412"/>
        <v/>
      </c>
      <c r="RD89" s="21" t="str">
        <f t="shared" si="413"/>
        <v/>
      </c>
      <c r="RE89" s="21" t="str">
        <f t="shared" si="414"/>
        <v/>
      </c>
      <c r="RF89" s="21" t="str">
        <f t="shared" si="415"/>
        <v/>
      </c>
      <c r="RG89" s="21" t="str">
        <f t="shared" si="416"/>
        <v/>
      </c>
      <c r="RH89" s="21" t="str">
        <f t="shared" si="417"/>
        <v/>
      </c>
      <c r="RI89" s="21" t="str">
        <f t="shared" si="418"/>
        <v/>
      </c>
      <c r="RJ89" s="21" t="str">
        <f t="shared" si="419"/>
        <v/>
      </c>
      <c r="RK89" s="21" t="str">
        <f t="shared" si="420"/>
        <v/>
      </c>
      <c r="RL89" s="21" t="str">
        <f t="shared" si="421"/>
        <v/>
      </c>
      <c r="RM89" s="21" t="str">
        <f t="shared" si="422"/>
        <v/>
      </c>
      <c r="RN89" s="21" t="str">
        <f t="shared" si="423"/>
        <v/>
      </c>
      <c r="RO89" s="21" t="str">
        <f t="shared" si="424"/>
        <v/>
      </c>
      <c r="RP89" s="21" t="str">
        <f t="shared" si="425"/>
        <v/>
      </c>
      <c r="RQ89" s="21" t="str">
        <f t="shared" si="426"/>
        <v/>
      </c>
      <c r="RR89" s="21" t="str">
        <f t="shared" si="427"/>
        <v>ALTO PARA EDAD GESTACIONAL</v>
      </c>
      <c r="RS89" s="21" t="str">
        <f t="shared" si="428"/>
        <v/>
      </c>
      <c r="RT89" s="21" t="str">
        <f t="shared" si="429"/>
        <v/>
      </c>
      <c r="RU89" s="21" t="str">
        <f t="shared" si="430"/>
        <v/>
      </c>
      <c r="RV89" s="21">
        <f t="shared" si="431"/>
        <v>11.571428571428571</v>
      </c>
      <c r="RW89" s="284">
        <f>IF(OR(Tabla1[[#This Row],[FUM FORMULA CONFIABLE]]="",Tabla1[[#This Row],[FUM FORMULA CONFIABLE]]="SD"),"",IF(Tabla1[[#This Row],[FUM FORMULA CONFIABLE]]="CORREGIDA",Tabla1[[#This Row],[FUM X ECO 1]],Tabla1[[#This Row],[FUM x AMENORREA]]))</f>
        <v>44862</v>
      </c>
      <c r="RX89" s="21">
        <f>IF(AND(Tabla1[[#This Row],[FUM X ECO 1]]="",Tabla1[[#This Row],[FUM x AMENORREA]]=""),"",IF(AND(Tabla1[[#This Row],[FUM X ECO 1]]="",Tabla1[[#This Row],[FUM x AMENORREA]]&lt;&gt;""),"X",SUM(Tabla1[[#This Row],[FUM X ECO 1]]-Tabla1[[#This Row],[FUM x AMENORREA]])))</f>
        <v>0.5</v>
      </c>
      <c r="RY89" s="21">
        <f t="shared" si="433"/>
        <v>0</v>
      </c>
    </row>
    <row r="90" spans="1:493" ht="45" customHeight="1" x14ac:dyDescent="0.25">
      <c r="A90" s="109"/>
      <c r="B90" s="43"/>
      <c r="C90" s="43" t="s">
        <v>845</v>
      </c>
      <c r="D90" s="124"/>
      <c r="E90" s="43" t="s">
        <v>1276</v>
      </c>
      <c r="F90" s="43" t="s">
        <v>857</v>
      </c>
      <c r="G90" s="43"/>
      <c r="H90" s="43" t="s">
        <v>1277</v>
      </c>
      <c r="I90" s="109" t="s">
        <v>851</v>
      </c>
      <c r="J90" s="110">
        <v>1003150920</v>
      </c>
      <c r="K90" s="43" t="s">
        <v>852</v>
      </c>
      <c r="L90" s="175" t="s">
        <v>1509</v>
      </c>
      <c r="M90" s="22">
        <v>35341</v>
      </c>
      <c r="N90" s="213">
        <f t="shared" ca="1" si="252"/>
        <v>27.101369863013698</v>
      </c>
      <c r="O90" s="22">
        <v>44953</v>
      </c>
      <c r="P90" s="214" t="str">
        <f t="shared" si="437"/>
        <v>SI</v>
      </c>
      <c r="Q90" s="26" t="s">
        <v>855</v>
      </c>
      <c r="R90" s="22">
        <v>44953</v>
      </c>
      <c r="S90" s="21" t="s">
        <v>856</v>
      </c>
      <c r="T90" s="24" t="s">
        <v>690</v>
      </c>
      <c r="U90" s="21" t="s">
        <v>857</v>
      </c>
      <c r="V90" s="21" t="s">
        <v>858</v>
      </c>
      <c r="W90" s="21" t="s">
        <v>1278</v>
      </c>
      <c r="X90" s="21" t="s">
        <v>887</v>
      </c>
      <c r="Y90" s="21" t="s">
        <v>859</v>
      </c>
      <c r="Z90" s="21">
        <v>3135027113</v>
      </c>
      <c r="AA90" s="21" t="s">
        <v>860</v>
      </c>
      <c r="AB90" s="27" t="s">
        <v>861</v>
      </c>
      <c r="AC90" s="26" t="s">
        <v>888</v>
      </c>
      <c r="AD90" s="38" t="s">
        <v>863</v>
      </c>
      <c r="AE90" s="26" t="s">
        <v>854</v>
      </c>
      <c r="AF90" s="26" t="s">
        <v>854</v>
      </c>
      <c r="AG90" s="23" t="s">
        <v>864</v>
      </c>
      <c r="AH90" s="23" t="s">
        <v>864</v>
      </c>
      <c r="AI90" s="24" t="s">
        <v>863</v>
      </c>
      <c r="AJ90" s="23" t="s">
        <v>864</v>
      </c>
      <c r="AK90" s="220" t="str">
        <f>IF(AND(AD90="",AE90="",AF90="",AG90="",AH90="",AI90="",AJ90=""),"",IF(OR(Tabla1[[#This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EVALUACIÓN",IF(AND(O90="",R90=""),"",IF(AND(OR(O90&gt;0,R90&gt;0),NG90&gt;=0,NG90&lt;2),"SIN RIESGO",IF(AND(OR(O90&gt;0,R90&gt;0),NG90&gt;=2),"CON RIESGO","ASD")))))</f>
        <v>SIN RIESGO</v>
      </c>
      <c r="AL90" s="23" t="s">
        <v>864</v>
      </c>
      <c r="AM90" s="26" t="s">
        <v>864</v>
      </c>
      <c r="AN90" s="23" t="s">
        <v>864</v>
      </c>
      <c r="AO90" s="26" t="s">
        <v>864</v>
      </c>
      <c r="AP90" s="26" t="s">
        <v>864</v>
      </c>
      <c r="AQ90" s="26" t="s">
        <v>864</v>
      </c>
      <c r="AR90" s="26" t="s">
        <v>864</v>
      </c>
      <c r="AS90" s="21">
        <v>4</v>
      </c>
      <c r="AT90" s="21">
        <v>3</v>
      </c>
      <c r="AU90" s="21">
        <v>1</v>
      </c>
      <c r="AV90" s="26" t="s">
        <v>864</v>
      </c>
      <c r="AW90" s="21">
        <v>1</v>
      </c>
      <c r="AX90" s="26" t="s">
        <v>864</v>
      </c>
      <c r="AY90" s="26" t="s">
        <v>864</v>
      </c>
      <c r="AZ90" s="26" t="s">
        <v>864</v>
      </c>
      <c r="BA90" s="26" t="s">
        <v>864</v>
      </c>
      <c r="BB90" s="26" t="s">
        <v>864</v>
      </c>
      <c r="BC90" s="26" t="s">
        <v>864</v>
      </c>
      <c r="BD90" s="26" t="s">
        <v>864</v>
      </c>
      <c r="BE90" s="26" t="s">
        <v>864</v>
      </c>
      <c r="BF90" s="26" t="s">
        <v>864</v>
      </c>
      <c r="BG90" s="26" t="s">
        <v>864</v>
      </c>
      <c r="BH90" s="26" t="s">
        <v>864</v>
      </c>
      <c r="BI90" s="26" t="s">
        <v>864</v>
      </c>
      <c r="BJ90" s="26" t="s">
        <v>864</v>
      </c>
      <c r="BK90" s="26" t="s">
        <v>864</v>
      </c>
      <c r="BL90" s="26" t="s">
        <v>864</v>
      </c>
      <c r="BM90" s="26" t="s">
        <v>864</v>
      </c>
      <c r="BN90" s="22">
        <v>43959</v>
      </c>
      <c r="BO90" s="22">
        <v>44846</v>
      </c>
      <c r="BP90" s="21" t="s">
        <v>1380</v>
      </c>
      <c r="BQ90" s="222">
        <f t="shared" si="254"/>
        <v>29.773333333333238</v>
      </c>
      <c r="BR90" s="223">
        <f t="shared" si="255"/>
        <v>44852.2</v>
      </c>
      <c r="BS90" s="224">
        <f t="shared" si="256"/>
        <v>14.400000000000416</v>
      </c>
      <c r="BT90" s="216" t="str">
        <f t="shared" si="257"/>
        <v>II TRIM</v>
      </c>
      <c r="BU90" s="214" t="str">
        <f t="shared" ca="1" si="258"/>
        <v/>
      </c>
      <c r="BV90" s="25" t="s">
        <v>989</v>
      </c>
      <c r="BW90" s="22">
        <v>44995</v>
      </c>
      <c r="BX90" s="28">
        <v>20.399999999999999</v>
      </c>
      <c r="BY90" s="28"/>
      <c r="BZ90" s="22"/>
      <c r="CA90" s="21"/>
      <c r="CB90" s="26" t="s">
        <v>864</v>
      </c>
      <c r="CC90" s="26" t="s">
        <v>864</v>
      </c>
      <c r="CD90" s="26" t="s">
        <v>1087</v>
      </c>
      <c r="CE90" s="26" t="s">
        <v>864</v>
      </c>
      <c r="CF90" s="22" t="s">
        <v>1517</v>
      </c>
      <c r="CG90" s="21">
        <v>1.52</v>
      </c>
      <c r="CH90" s="21">
        <v>62</v>
      </c>
      <c r="CI90" s="214">
        <f t="shared" si="259"/>
        <v>26.835180055401661</v>
      </c>
      <c r="CJ90" s="225" t="e">
        <f>IF(AND(CI90&lt;10,CH90="SD"),"SIN DATO PESO PREGESTACION O I TRIM",IF(AND(OR(R90&gt;0,O90&gt;0),CI90="X"),"INGRESAR DATO DE PESO",IF(CI90="SD","INGRESAR DATO DE TALLA Y PESO",IF(AND(OR(Tabla1[[#This Row],[MOMENTO EN QUE SE REALIZA EL PESO AL INGRESO A CPN]]="PREGESTACIÓN",NZ90="Menor"),CI90&lt;18.5),"BAJO PESO",IF(AND(OR(Tabla1[[#This Row],[MOMENTO EN QUE SE REALIZA EL PESO AL INGRESO A CPN]]="PREGESTACIÓN",NZ90="Menor"),CI90&lt;25),"NORMAL",IF(AND(OR(Tabla1[[#This Row],[MOMENTO EN QUE SE REALIZA EL PESO AL INGRESO A CPN]]="PREGESTACIÓN",NZ90="Menor"),CI90&lt;30),"SOBREPESO",IF(AND(OR(Tabla1[[#This Row],[MOMENTO EN QUE SE REALIZA EL PESO AL INGRESO A CPN]]="PREGESTACIÓN",NZ90="Menor"),CI90&gt;=30,CI90&lt;50),"OBESIDAD",IF(AND(BS90&gt;0,Tabla1[[#This Row],[MOMENTO EN QUE SE REALIZA EL PESO AL INGRESO A CPN]]="GESTACIÓN"),HLOOKUP(NZ90,$OA$2:PH90,NY90),""))))))))</f>
        <v>#REF!</v>
      </c>
      <c r="CK90" s="212">
        <f t="shared" si="260"/>
        <v>45113</v>
      </c>
      <c r="CL90" s="21">
        <v>71</v>
      </c>
      <c r="CM90" s="214">
        <f t="shared" si="261"/>
        <v>30.730609418282548</v>
      </c>
      <c r="CN90" s="216">
        <f t="shared" si="262"/>
        <v>37</v>
      </c>
      <c r="CO90" s="216" t="e">
        <f>IF(PI90="","",IF(PI90&gt;0,HLOOKUP(PI90,$PJ$2:QQ90,NY90),""))</f>
        <v>#REF!</v>
      </c>
      <c r="CP90" s="21">
        <v>33</v>
      </c>
      <c r="CQ90" s="216" t="e">
        <f>IF(QR90="Menor","NO APLICA-MENOR 13 SEM",IF(AND(CC90="SI",CN90&gt;23),"NO APLICA- GEMELAR",IF(QR90="","",IF(QR90&gt;0,HLOOKUP(QR90,$QS$2:RU90,NY90),""))))</f>
        <v>#REF!</v>
      </c>
      <c r="CR90" s="21">
        <v>100</v>
      </c>
      <c r="CS90" s="21">
        <v>70</v>
      </c>
      <c r="CT90" s="217" t="str">
        <f>IF(R90="","",IF(AND(BS90&gt;1,BS90&lt;12,Tabla1[[#This Row],[T.A. SISTOLICA - ANTES DE SEMANA 12]]="",Tabla1[[#This Row],[T.A. DIASTOLICA - ANTES DE SEMANA 12]]=""),"REGISTRE DATO TA ANTES SEMANA 12",IF(AND(BS90&gt;11,BS90&lt;43,Tabla1[[#This Row],[T.A. SISTOLICA - ANTES DE SEMANA 12]]="",Tabla1[[#This Row],[T.A. DIASTOLICA - ANTES DE SEMANA 12]]=""),"NO APLICA REGISTRO TA-INGRESO TARDIO",IF(AND(OR(O90&gt;0,R90&gt;0),OR(CR90&gt;=140,CS90&gt;=90)),"DEFINIR ESTADIO HTA",IF(AND(OR(O90&gt;0,R90&gt;0),AND(CR90&gt;120,CR90&lt;=139)),"PRE HTA SEGUIMIENTO",IF(AND(OR(O90&gt;0,R90&gt;0),AND(CS90&gt;80,CS90&lt;=89)),"PRE HTA SEGUIMIENTO",IF(AND(OR(O90&gt;0,R90&gt;0),AND(CR90&gt;=80,CR90&lt;=120)),"APARENTEMENTE NORMAL",IF(AND(OR(O90&gt;0,R90&gt;0),AND(CS90&gt;=50,CS90&lt;=80)),"APARENTEMENTE NORMAL",IF(AND(OR(O90&gt;0,R90&gt;0),AND(CR90&gt;1,CR90&lt;=70),AND(CS90&gt;1,CS90&lt;=40)),"HIPOTENSIÓN","")))))))))</f>
        <v>APARENTEMENTE NORMAL</v>
      </c>
      <c r="CU90" s="21"/>
      <c r="CV90" s="21"/>
      <c r="CW90" s="217" t="str">
        <f ca="1">IF(R90="","",IF(AND(CN90&gt;19,CN90&lt;27,Tabla1[[#This Row],[T.A. SISTOLICA (Entre semana 20 y 26)]]="",Tabla1[[#This Row],[T.A. DIATOLICA (Entre semana 20 y 26)]]=""),"ACUDE A CONTROL SEM 20 A 26 REGISTRE TA AHORA",IF(AND(BS90&gt;1,BS90&lt;27,BU90&gt;19,Tabla1[[#This Row],[T.A. SISTOLICA (Entre semana 20 y 26)]]="",Tabla1[[#This Row],[T.A. DIATOLICA (Entre semana 20 y 26)]]=""),"COMPLETE REGISTRO TA CONTROL SEM 20 A26 ",IF(AND(BS90&gt;26,BS90&lt;43,Tabla1[[#This Row],[T.A. SISTOLICA (Entre semana 20 y 26)]]="",Tabla1[[#This Row],[T.A. DIATOLICA (Entre semana 20 y 26)]]=""),"NO APLICA REGISTRO TA-INGRESO TARDIO",IF(AND(OR(O90&gt;0,R90&gt;0),OR(CU90&gt;=140,CV90&gt;=90)),"ALTO RIESGO PREECLAMPSIA,DEFINIR ESTADIO HTA",IF(AND(OR(O90&gt;0,R90&gt;0),AND(CU90&gt;120,CU90&lt;=139)),"PRE HTA SEGUIMIENTO,RIESGO HIPERTENSION INDUCIDA POR EL EMBARAZO",IF(AND(OR(O90&gt;0,R90&gt;0),AND(CV90&gt;80,CV90&lt;=89)),"PRE HTA SEGUIMIENTO, RIESGO HIPERTENSION INDUCIDA POR EL EMBARAZO",IF(AND(OR(O90&lt;&gt;"",R90&lt;&gt;""),CS90&lt;&gt;"",CV90&lt;&gt;"",CS90&lt;=CV90),"VIGILAR CIFRAS PRESION ARTERIAL",IF(AND(OR(O90&gt;0,R90&gt;0),AND(CU90&gt;120,CU90&lt;=139)),"PRE HTA SEGUIMIENTO",IF(AND(OR(O90&gt;0,R90&gt;0),AND(CU90&gt;1,CU90&lt;=70),AND(CV90&gt;1,CV90&lt;=40)),"HIPOTENSIÓN",IF(AND(OR(O90&lt;&gt;"",R90&lt;&gt;""),CS90&lt;&gt;"",CV90&lt;&gt;"",CS90&gt;CV90),"APARENTEMENTE NORMAL",IF(AND(OR(O90&gt;0,R90&gt;0),AND(CU90&gt;=80,CU90&lt;=120)),"APARENTEMENTE NORMAL",IF(AND(OR(O90&gt;0,R90&gt;0),AND(CV90&gt;=50,CV90&lt;=80)),"APARENTEMENTE NORMAL","")))))))))))))</f>
        <v xml:space="preserve">COMPLETE REGISTRO TA CONTROL SEM 20 A26 </v>
      </c>
      <c r="CX90" s="21"/>
      <c r="CY90" s="21"/>
      <c r="CZ90" s="216" t="str">
        <f t="shared" si="263"/>
        <v/>
      </c>
      <c r="DA90" s="21">
        <v>100</v>
      </c>
      <c r="DB90" s="21">
        <v>70</v>
      </c>
      <c r="DC90" s="217" t="str">
        <f t="shared" si="264"/>
        <v>APARENTEMENTE NORMAL</v>
      </c>
      <c r="DD90" s="22">
        <v>44953</v>
      </c>
      <c r="DE90" s="22">
        <v>44953</v>
      </c>
      <c r="DF90" s="22">
        <v>44988</v>
      </c>
      <c r="DG90" s="22">
        <v>45021</v>
      </c>
      <c r="DH90" s="22">
        <v>45065</v>
      </c>
      <c r="DI90" s="22">
        <v>45113</v>
      </c>
      <c r="DJ90" s="22"/>
      <c r="DK90" s="22"/>
      <c r="DL90" s="22"/>
      <c r="DM90" s="22"/>
      <c r="DN90" s="22"/>
      <c r="DO90" s="22"/>
      <c r="DP90" s="22"/>
      <c r="DQ90" s="22"/>
      <c r="DR90" s="28"/>
      <c r="DS90" s="22"/>
      <c r="DT90" s="22"/>
      <c r="DU90" s="216" t="str">
        <f t="shared" ca="1" si="438"/>
        <v>SALE SIN PLAN DE PARTO</v>
      </c>
      <c r="DV90" s="226" t="str">
        <f t="shared" si="439"/>
        <v>SALIO PROGRAMA</v>
      </c>
      <c r="DW9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0" s="216" t="str">
        <f t="shared" ca="1" si="266"/>
        <v/>
      </c>
      <c r="DY90" s="212">
        <f>IF(R90="","",IF(R90&gt;0,MAX(Tabla1[[#This Row],[FECHA C2]:[FECHA C13]],Tabla1[[#This Row],[FECHA CONSULTA PRIMERA VEZ PROGRAMA CPN ]])))</f>
        <v>45113</v>
      </c>
      <c r="DZ90" s="216">
        <f t="shared" si="267"/>
        <v>37</v>
      </c>
      <c r="EA90" s="222">
        <f>IF(R90&gt;0,SUM(COUNTA(DF90:DQ90)+COUNTA(Tabla1[[#This Row],[FECHA CONSULTA PRIMERA VEZ PROGRAMA CPN ]])),"")</f>
        <v>5</v>
      </c>
      <c r="EB90" s="222" t="str">
        <f t="shared" si="268"/>
        <v>SI</v>
      </c>
      <c r="EC90" s="214">
        <f t="shared" si="269"/>
        <v>8</v>
      </c>
      <c r="ED90" s="227">
        <f t="shared" si="270"/>
        <v>0.625</v>
      </c>
      <c r="EE90" s="22">
        <v>44953</v>
      </c>
      <c r="EF90" s="22">
        <v>44953</v>
      </c>
      <c r="EG90" s="22">
        <v>44953</v>
      </c>
      <c r="EH90" s="22"/>
      <c r="EI90" s="22">
        <v>44953</v>
      </c>
      <c r="EJ90" s="22">
        <v>45007</v>
      </c>
      <c r="EK90" s="344">
        <v>45002</v>
      </c>
      <c r="EL90" s="21"/>
      <c r="EM90" s="21">
        <v>12.6</v>
      </c>
      <c r="EN90" s="22">
        <v>44994</v>
      </c>
      <c r="EO90" s="222">
        <f t="shared" si="271"/>
        <v>20.257142857143272</v>
      </c>
      <c r="EP90" s="214" t="str">
        <f t="shared" si="272"/>
        <v>NORMAL- SUMINISTRAR SULFATO FERROSO</v>
      </c>
      <c r="EQ90" s="216" t="str">
        <f t="shared" si="273"/>
        <v>II TRIM</v>
      </c>
      <c r="ER90" s="24"/>
      <c r="ES90" s="22"/>
      <c r="ET90" s="29" t="str">
        <f t="shared" ca="1" si="440"/>
        <v>SALE SIN TAMIZAJE HEMOGLOBINA SEM 28</v>
      </c>
      <c r="EU90" s="25" t="str">
        <f t="shared" si="275"/>
        <v/>
      </c>
      <c r="EV90" s="24" t="s">
        <v>1510</v>
      </c>
      <c r="EW90" s="22">
        <v>44994</v>
      </c>
      <c r="EX90" s="22"/>
      <c r="EY90" s="29">
        <f t="shared" si="248"/>
        <v>20.257142857143272</v>
      </c>
      <c r="EZ90" s="25" t="str">
        <f t="shared" si="249"/>
        <v>SIN RIESGO DE ISOINMUNIZACIÓN</v>
      </c>
      <c r="FA90" s="21">
        <v>73</v>
      </c>
      <c r="FB90" s="22">
        <v>44994</v>
      </c>
      <c r="FC90" s="29">
        <f t="shared" si="276"/>
        <v>20.257142857143272</v>
      </c>
      <c r="FD90" s="29">
        <v>71</v>
      </c>
      <c r="FE90" s="29">
        <v>133</v>
      </c>
      <c r="FF90" s="29">
        <v>66</v>
      </c>
      <c r="FG90" s="21" t="str">
        <f t="shared" ca="1" si="277"/>
        <v>NORMAL</v>
      </c>
      <c r="FH90" s="31">
        <v>45041</v>
      </c>
      <c r="FI90" s="29">
        <f t="shared" si="278"/>
        <v>26.971428571428987</v>
      </c>
      <c r="FJ90" s="22"/>
      <c r="FK90" s="22"/>
      <c r="FL90" s="29" t="str">
        <f t="shared" ca="1" si="279"/>
        <v>NO APLICA-INGRESO TARDIO</v>
      </c>
      <c r="FM90" s="22" t="s">
        <v>867</v>
      </c>
      <c r="FN90" s="32">
        <v>45041</v>
      </c>
      <c r="FO90" s="29">
        <f t="shared" ca="1" si="441"/>
        <v>26.971428571428987</v>
      </c>
      <c r="FP90" s="22"/>
      <c r="FQ90" s="32"/>
      <c r="FR90" s="29" t="str">
        <f t="shared" ca="1" si="442"/>
        <v>PIERDE TOMA DE TAMIZAJE</v>
      </c>
      <c r="FS90" s="22"/>
      <c r="FT90" s="32"/>
      <c r="FU90" s="29" t="str">
        <f>IF(AND(FJ90="",FM90="",FP90="",FS90=""),"",IF(OR(OR(Tabla1[[#This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0" s="28"/>
      <c r="FW90" s="22"/>
      <c r="FX90" s="29" t="str">
        <f t="shared" si="280"/>
        <v>TOMAR EXAMEN</v>
      </c>
      <c r="FY90" s="22"/>
      <c r="FZ90" s="287"/>
      <c r="GA90" s="29" t="str">
        <f t="shared" ca="1" si="250"/>
        <v>NO APLICA-INGRESO TARDIO</v>
      </c>
      <c r="GB90" s="22" t="s">
        <v>868</v>
      </c>
      <c r="GC90" s="287">
        <v>44994</v>
      </c>
      <c r="GD90" s="29">
        <f t="shared" ca="1" si="443"/>
        <v>20.257142857143272</v>
      </c>
      <c r="GE90" s="22"/>
      <c r="GF90" s="22"/>
      <c r="GG90" s="29" t="str">
        <f t="shared" ca="1" si="444"/>
        <v>PIERDE TOMA DE TAMIZAJE</v>
      </c>
      <c r="GH90" s="22"/>
      <c r="GI90" s="29"/>
      <c r="GJ90" s="22"/>
      <c r="GK90" s="22"/>
      <c r="GL90" s="22"/>
      <c r="GM90" s="22"/>
      <c r="GN90" s="28" t="s">
        <v>869</v>
      </c>
      <c r="GO90" s="22">
        <v>44994</v>
      </c>
      <c r="GP90" s="29">
        <f t="shared" si="283"/>
        <v>20.257142857143272</v>
      </c>
      <c r="GQ90" s="28"/>
      <c r="GR90" s="28"/>
      <c r="GS90" s="22" t="str">
        <f t="shared" si="284"/>
        <v/>
      </c>
      <c r="GT90" s="22"/>
      <c r="GU90" s="29" t="str">
        <f t="shared" si="285"/>
        <v>TOMAR EXAMEN</v>
      </c>
      <c r="GV90" s="21" t="str">
        <f t="shared" si="286"/>
        <v>POR DEFINIR</v>
      </c>
      <c r="GW90" s="28"/>
      <c r="GX90" s="30"/>
      <c r="GY90" s="21"/>
      <c r="GZ90" s="21"/>
      <c r="HA90" s="21"/>
      <c r="HB90" s="21"/>
      <c r="HC90" s="21"/>
      <c r="HD90" s="21"/>
      <c r="HE90" s="21"/>
      <c r="HF90" s="22"/>
      <c r="HG90" s="22" t="str">
        <f>IF(OR(O90&gt;0,R90&gt;0),CONCATENATE(IF(Tabla1[[#This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0" s="22" t="e">
        <f t="shared" si="287"/>
        <v>#REF!</v>
      </c>
      <c r="HI90" s="22" t="e">
        <f t="shared" ca="1" si="288"/>
        <v>#REF!</v>
      </c>
      <c r="HJ90" s="21"/>
      <c r="HK90" s="21" t="str">
        <f t="shared" si="289"/>
        <v>SIN ANTECEDENTES DE RIESGO</v>
      </c>
      <c r="HL90" s="24" t="str">
        <f t="shared" si="290"/>
        <v>APARENTEMENTE NORMAL</v>
      </c>
      <c r="HM90" s="21" t="str">
        <f t="shared" ca="1" si="291"/>
        <v/>
      </c>
      <c r="HN90" s="30" t="str">
        <f t="shared" si="445"/>
        <v>SALIO PROGRAMA</v>
      </c>
      <c r="HO90" s="21"/>
      <c r="HP90" s="21"/>
      <c r="HQ90" s="21"/>
      <c r="HR90" s="21" t="str">
        <f>IF(R90="","",IF(Tabla1[[#This Row],[ALARMA FACTORES DE RIESGO COMPLICACIONES HIPERTENSIVAS3]]="SIN ANTECEDENTES DE RIESGO","No Aplica para suministro de ASA",IF(AND(Tabla1[[#This Row],[FECHA INICIO DE SUMINISTRO DE ASA]]&gt;0,RV90&lt;12),"Inicia ASA ANTES de Sem 12",IF(AND(RV90&gt;11,RV90&lt;17,OR(HK90="RIESGO ALTO DE COMPLICACIONES HIPERTENSIVAS VER MANEJO GUIA SUMINISTRO ASA Y CALCIO",HK90="RIESGO MODERADO (2 O MAS CRITERIOS) VER MANEJO GUIA SUMINISTRO ASA Y CALCIO")),"Inicio oportuno de ASA",IF(AND(RV90&gt;12,OR(HK90="RIESGO ALTO DE COMPLICACIONES HIPERTENSIVAS VER MANEJO GUIA SUMINISTRO ASA Y CALCIO",HK90="RIESGO MODERADO (2 O MAS CRITERIOS) VER MANEJO GUIA SUMINISTRO ASA Y CALCIO")),"Inicio no oportuno mayor a 16 semanas",IF(AND(BU90&lt;12,OR(HK90="RIESGO ALTO DE COMPLICACIONES HIPERTENSIVAS VER MANEJO GUIA SUMINISTRO ASA Y CALCIO",HK90="RIESGO MODERADO (2 O MAS CRITERIOS) VER MANEJO GUIA SUMINISTRO ASA Y CALCIO")),"Pendiente Inicio de ASA a la semana 12",IF(AND(BU90&gt;11,BU90&lt;17,OR(HK90="RIESGO ALTO DE COMPLICACIONES HIPERTENSIVAS VER MANEJO GUIA SUMINISTRO ASA Y CALCIO",HK90="RIESGO MODERADO (2 O MAS CRITERIOS) VER MANEJO GUIA SUMINISTRO ASA Y CALCIO")),"Iniciar de inmediato ASA",IF(AND(BU90&gt;16,OR(HK90="RIESGO ALTO DE COMPLICACIONES HIPERTENSIVAS VER MANEJO GUIA SUMINISTRO ASA Y CALCIO",HK90="RIESGO MODERADO (2 O MAS CRITERIOS) VER MANEJO GUIA SUMINISTRO ASA Y CALCIO")),"Pierde Oportunidad, Inicio tardío de ASA","XXXXX"))))))))</f>
        <v>No Aplica para suministro de ASA</v>
      </c>
      <c r="HS90" s="22">
        <v>44988</v>
      </c>
      <c r="HT90" s="22" t="s">
        <v>1518</v>
      </c>
      <c r="HU90" s="22">
        <v>44988</v>
      </c>
      <c r="HV90" s="22" t="s">
        <v>1544</v>
      </c>
      <c r="HW90" s="22">
        <v>44988</v>
      </c>
      <c r="HX90" s="22" t="s">
        <v>1511</v>
      </c>
      <c r="HY90" s="22">
        <v>44958</v>
      </c>
      <c r="HZ90" s="28">
        <f t="shared" si="292"/>
        <v>15.11428571428613</v>
      </c>
      <c r="IA90" s="26"/>
      <c r="IB90" s="26"/>
      <c r="IC90" s="111"/>
      <c r="ID90" s="22"/>
      <c r="IE90" s="22" t="str">
        <f t="shared" ca="1" si="293"/>
        <v>SALE SIN VACUNA</v>
      </c>
      <c r="IF90" s="22"/>
      <c r="IG90" s="22">
        <f t="shared" si="294"/>
        <v>45132.2</v>
      </c>
      <c r="IH90" s="29">
        <f t="shared" ca="1" si="295"/>
        <v>-100.80000000000291</v>
      </c>
      <c r="II90" s="22" t="str">
        <f t="shared" ca="1" si="296"/>
        <v>POSIBLEMENTE NACIO</v>
      </c>
      <c r="IJ90" s="22"/>
      <c r="IK90" s="21" t="s">
        <v>898</v>
      </c>
      <c r="IL90" s="21"/>
      <c r="IM90" s="34"/>
      <c r="IN90" s="349">
        <v>45124</v>
      </c>
      <c r="IO90" s="21" t="s">
        <v>1186</v>
      </c>
      <c r="IP90" s="29">
        <f t="shared" si="435"/>
        <v>38.828571428571841</v>
      </c>
      <c r="IQ90" s="110" t="s">
        <v>1644</v>
      </c>
      <c r="IR90" s="21" t="s">
        <v>1645</v>
      </c>
      <c r="IS90" s="21" t="s">
        <v>1646</v>
      </c>
      <c r="IT90" s="21" t="s">
        <v>1642</v>
      </c>
      <c r="IU90" s="21"/>
      <c r="IV90" s="21"/>
      <c r="IW90" s="21"/>
      <c r="IX90" s="21"/>
      <c r="IY90" s="21"/>
      <c r="IZ90" s="21"/>
      <c r="JA90" s="21"/>
      <c r="JB90" s="30">
        <v>1</v>
      </c>
      <c r="JC90" s="21" t="s">
        <v>1647</v>
      </c>
      <c r="JD90" s="36">
        <v>3900</v>
      </c>
      <c r="JE90" s="21" t="str">
        <f t="shared" si="446"/>
        <v>PESO ADECUADO EDAD GESTACIONAL</v>
      </c>
      <c r="JF90" s="30"/>
      <c r="JG90" s="21"/>
      <c r="JH90" s="21"/>
      <c r="JI90" s="21" t="s">
        <v>854</v>
      </c>
      <c r="JJ90" s="30" t="s">
        <v>866</v>
      </c>
      <c r="JK90" s="22"/>
      <c r="JL90" s="22"/>
      <c r="JM90" s="21"/>
      <c r="JN90" s="36"/>
      <c r="JO90" s="21" t="str">
        <f t="shared" si="447"/>
        <v/>
      </c>
      <c r="JP90" s="22"/>
      <c r="JQ90" s="21"/>
      <c r="JR90" s="21"/>
      <c r="JS90" s="21"/>
      <c r="JT90" s="30"/>
      <c r="JU90" s="22"/>
      <c r="JV90" s="22"/>
      <c r="JW90" s="33"/>
      <c r="JX90" s="28" t="str">
        <f t="shared" si="448"/>
        <v>INASISTENTE</v>
      </c>
      <c r="JY90" s="33"/>
      <c r="JZ90" s="28" t="str">
        <f t="shared" si="449"/>
        <v>INASISTENTE</v>
      </c>
      <c r="KA90" s="21"/>
      <c r="KB90" s="21"/>
      <c r="KC90" s="21"/>
      <c r="KD90" s="37"/>
      <c r="KE90" s="28"/>
      <c r="KF90" s="28"/>
      <c r="KG90" s="28"/>
      <c r="KH90" s="39"/>
      <c r="KI90" s="39"/>
      <c r="KJ90" s="66"/>
      <c r="KK90" s="39"/>
      <c r="KL90" s="39"/>
      <c r="KM90" s="66"/>
      <c r="KN90" s="39"/>
      <c r="KO90" s="39"/>
      <c r="KP90" s="39"/>
      <c r="KQ90" s="39"/>
      <c r="KR90" s="39"/>
      <c r="KS90" s="39"/>
      <c r="KT90" s="39"/>
      <c r="KU90" s="38"/>
      <c r="KV90" s="38"/>
      <c r="KW90" s="38"/>
      <c r="KX90" s="38"/>
      <c r="KY90" s="38"/>
      <c r="KZ90" s="38"/>
      <c r="LA90" s="38"/>
      <c r="LB90" s="38"/>
      <c r="LC90" s="38"/>
      <c r="LD90" s="38"/>
      <c r="LE90" s="38"/>
      <c r="LF90" s="38"/>
      <c r="LG90" s="38"/>
      <c r="LH90" s="38"/>
      <c r="LI90" s="38"/>
      <c r="LJ90" s="38"/>
      <c r="LK90" s="38"/>
      <c r="LL90" s="38"/>
      <c r="LM90" s="38"/>
      <c r="LN90" s="38"/>
      <c r="LO90" s="38"/>
      <c r="LP90" s="38"/>
      <c r="LQ90" s="38"/>
      <c r="LR90" s="38"/>
      <c r="LS90" s="38"/>
      <c r="LT90" s="38"/>
      <c r="LU90" s="38"/>
      <c r="LV90" s="38"/>
      <c r="LW90" s="38"/>
      <c r="LX90" s="38"/>
      <c r="LY90" s="38"/>
      <c r="LZ90" s="38"/>
      <c r="MA90" s="38"/>
      <c r="MB90" s="38"/>
      <c r="MC90" s="38"/>
      <c r="MD90" s="38"/>
      <c r="ME90" s="38"/>
      <c r="MF90" s="38"/>
      <c r="MG90" s="38"/>
      <c r="MH90" s="43">
        <f t="shared" si="302"/>
        <v>0</v>
      </c>
      <c r="MI90" s="43" t="str">
        <f t="shared" si="303"/>
        <v/>
      </c>
      <c r="MJ90" s="43" t="str">
        <f t="shared" si="304"/>
        <v/>
      </c>
      <c r="MK90" s="43">
        <f t="shared" si="305"/>
        <v>0</v>
      </c>
      <c r="ML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0" s="43">
        <f t="shared" si="306"/>
        <v>14.400000000000416</v>
      </c>
      <c r="MN90" s="43">
        <f t="shared" si="307"/>
        <v>1</v>
      </c>
      <c r="MO90" s="43">
        <f t="shared" si="308"/>
        <v>2023</v>
      </c>
      <c r="MP90" s="43" t="str">
        <f t="shared" si="309"/>
        <v>I TRIMESTRE AÑO</v>
      </c>
      <c r="MQ90" s="43">
        <f t="shared" si="310"/>
        <v>25.936268068331142</v>
      </c>
      <c r="MR90" s="43">
        <f t="shared" si="311"/>
        <v>0</v>
      </c>
      <c r="MS90" s="43" t="str">
        <f t="shared" si="312"/>
        <v xml:space="preserve"> DE 25 A 29 AÑOS</v>
      </c>
      <c r="MT90" s="43">
        <f t="shared" si="313"/>
        <v>0</v>
      </c>
      <c r="MU90" s="43">
        <f t="shared" si="314"/>
        <v>0</v>
      </c>
      <c r="MV90" s="43">
        <f t="shared" si="315"/>
        <v>1</v>
      </c>
      <c r="MW90" s="43">
        <f t="shared" si="316"/>
        <v>0</v>
      </c>
      <c r="MX90" s="43" t="str">
        <f t="shared" si="317"/>
        <v/>
      </c>
      <c r="MY90" s="43" t="str">
        <f t="shared" ca="1" si="450"/>
        <v/>
      </c>
      <c r="MZ90" s="43" t="str">
        <f t="shared" si="318"/>
        <v/>
      </c>
      <c r="NA90" s="43">
        <f t="shared" si="319"/>
        <v>3</v>
      </c>
      <c r="NB90" s="43" t="str">
        <f t="shared" si="320"/>
        <v/>
      </c>
      <c r="NC90" s="43" t="str">
        <f t="shared" si="321"/>
        <v/>
      </c>
      <c r="ND90" s="43">
        <f t="shared" ca="1" si="322"/>
        <v>4</v>
      </c>
      <c r="NE90" s="43">
        <f>IF(OR(O90&gt;0,R90&gt;0),SUM(COUNTIF(Tabla1[[#This Row],[AÑOS AL INICIO5 CPN]],"&gt;=40"),COUNTIF(AS90,"0"),COUNTIF(AR90,"SI"),COUNTIF(CC90,"SI"),COUNTIF(BQ90,"&gt;119"),COUNTIF(CI90,"&gt;=35")),"")</f>
        <v>0</v>
      </c>
      <c r="NF90" s="43" t="str">
        <f t="shared" si="323"/>
        <v/>
      </c>
      <c r="NG90" s="43">
        <f t="shared" si="324"/>
        <v>0</v>
      </c>
      <c r="NH90" s="43">
        <f t="shared" si="325"/>
        <v>142.79999999999998</v>
      </c>
      <c r="NI9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CPN",P90="NO"),"Z",IF(AND(Tabla1[[#This Row],[CITA PROXIMO CONTROL]]="CITA MANUAL",Tabla1[[#This Row],[GESTANTES ACTUALES]]="ACTIVA INGRESO A CPN"),"W",IF(AND(Tabla1[[#This Row],[GESTANTES ACTUALES]]="SALIO PROGRAMA",IN90=""),"S",IF(AND(Tabla1[[#This Row],[CITA PROXIMO CONTROL]]&gt;0,IN90=""),(Tabla1[[#This Row],[CITA PROXIMO CONTROL]]-TODAY()),"SD"))))))))</f>
        <v>SD</v>
      </c>
      <c r="NJ90" s="43">
        <f>MONTH(Tabla1[[#This Row],[FECHA DE SALIDA  DEL PROGRAMA]])</f>
        <v>7</v>
      </c>
      <c r="NK90" s="43">
        <f>YEAR(Tabla1[[#This Row],[FECHA DE SALIDA  DEL PROGRAMA]])</f>
        <v>2023</v>
      </c>
      <c r="NL90" s="43">
        <f t="shared" si="326"/>
        <v>54</v>
      </c>
      <c r="NM90" s="43" t="str">
        <f>IF(AND(O90&gt;0,R90=""),"NO CPN",IF(AND(O90="",R90=""),"",IF(AND(EN90&lt;&gt;"",EX90&lt;&gt;"",FB90&lt;&gt;"",FK90&lt;&gt;"",FW90&lt;&gt;"",FY90&lt;&gt;"",GO90&lt;&gt;"",GQ90&lt;&gt;"",GR90&lt;&gt;""),"SI","NO")))</f>
        <v>NO</v>
      </c>
      <c r="NN90" s="43" t="str">
        <f ca="1">IF(AND(O90&gt;0,R90=""),"NO CPN",IF(AND(O90="",R90=""),"",IF(AND(R90&gt;0,Tabla1[[#This Row],[SEMANAS DE GESTACION ACTUALIZADAS]]&lt;=12),"NO APLICA",IF(AND(FH90&lt;&gt;"",FN90&lt;&gt;""),"SI","NO"))))</f>
        <v>SI</v>
      </c>
      <c r="NO90" s="43" t="str">
        <f ca="1">IF(AND(O90&gt;0,R90=""),"NO CPN",IF(AND(O90="",R90=""),"",IF(AND(R90&gt;0,Tabla1[[#This Row],[SEMANAS DE GESTACION ACTUALIZADAS]]&lt;=27),"NO APLICA",IF(AND(ES90&lt;&gt;"",FQ90&lt;&gt;"",GF90&lt;&gt;""),"SI","NO"))))</f>
        <v>NO</v>
      </c>
      <c r="NP90" s="204" t="str">
        <f t="shared" si="327"/>
        <v>II TRIM</v>
      </c>
      <c r="NQ90" s="21">
        <f t="shared" si="436"/>
        <v>9</v>
      </c>
      <c r="NR90" s="21">
        <f t="shared" si="451"/>
        <v>2</v>
      </c>
      <c r="NS90" s="205">
        <f t="shared" ca="1" si="328"/>
        <v>1</v>
      </c>
      <c r="NT90" s="21">
        <f t="shared" ca="1" si="329"/>
        <v>1</v>
      </c>
      <c r="NU90" s="21" t="str">
        <f t="shared" ca="1" si="330"/>
        <v>INCOMPLETO</v>
      </c>
      <c r="NV90" s="21" t="str">
        <f t="shared" ca="1" si="331"/>
        <v>INCOMPLETO</v>
      </c>
      <c r="NW90" s="206" t="str">
        <f>IF(AND(O90="",R90=""),"",IF(OR(AND(Tabla1[[#This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0" s="207" t="str">
        <f t="shared" ca="1" si="332"/>
        <v>SIN VACUNAR</v>
      </c>
      <c r="NY90" s="43">
        <f>ROW(Tabla1[[#This Row],['# DE TAMIZAJES SIFILIS TOMADOS ]])</f>
        <v>90</v>
      </c>
      <c r="NZ90" s="43">
        <f t="shared" si="333"/>
        <v>14</v>
      </c>
      <c r="OA90" s="43" t="str">
        <f t="shared" si="334"/>
        <v/>
      </c>
      <c r="OB90" s="43" t="str">
        <f t="shared" si="335"/>
        <v/>
      </c>
      <c r="OC90" s="43" t="str">
        <f t="shared" si="336"/>
        <v/>
      </c>
      <c r="OD90" s="43" t="str">
        <f t="shared" si="337"/>
        <v/>
      </c>
      <c r="OE90" s="43" t="str">
        <f t="shared" si="338"/>
        <v/>
      </c>
      <c r="OF90" s="43" t="str">
        <f t="shared" si="339"/>
        <v>SOBREPESO</v>
      </c>
      <c r="OG90" s="43" t="str">
        <f t="shared" si="340"/>
        <v/>
      </c>
      <c r="OH90" s="43" t="str">
        <f t="shared" si="341"/>
        <v/>
      </c>
      <c r="OI90" s="43" t="str">
        <f t="shared" si="342"/>
        <v/>
      </c>
      <c r="OJ90" s="43" t="str">
        <f t="shared" si="343"/>
        <v/>
      </c>
      <c r="OK90" s="43" t="str">
        <f t="shared" si="344"/>
        <v/>
      </c>
      <c r="OL90" s="43" t="str">
        <f t="shared" si="345"/>
        <v/>
      </c>
      <c r="OM90" s="43" t="str">
        <f t="shared" si="346"/>
        <v/>
      </c>
      <c r="ON90" s="43" t="str">
        <f t="shared" si="347"/>
        <v/>
      </c>
      <c r="OO90" s="43" t="str">
        <f t="shared" si="348"/>
        <v/>
      </c>
      <c r="OP90" s="43" t="str">
        <f t="shared" si="349"/>
        <v/>
      </c>
      <c r="OQ90" s="43" t="str">
        <f t="shared" si="350"/>
        <v/>
      </c>
      <c r="OR90" s="43" t="str">
        <f t="shared" si="351"/>
        <v/>
      </c>
      <c r="OS90" s="43" t="str">
        <f t="shared" si="352"/>
        <v/>
      </c>
      <c r="OT90" s="43" t="str">
        <f t="shared" si="353"/>
        <v/>
      </c>
      <c r="OU90" s="43" t="str">
        <f t="shared" si="354"/>
        <v/>
      </c>
      <c r="OV90" s="110" t="str">
        <f t="shared" si="355"/>
        <v/>
      </c>
      <c r="OW90" s="43" t="str">
        <f t="shared" si="356"/>
        <v/>
      </c>
      <c r="OX90" s="43" t="str">
        <f t="shared" si="357"/>
        <v/>
      </c>
      <c r="OY90" s="43" t="str">
        <f t="shared" si="358"/>
        <v/>
      </c>
      <c r="OZ90" s="43" t="str">
        <f t="shared" si="359"/>
        <v/>
      </c>
      <c r="PA90" s="43" t="str">
        <f t="shared" si="360"/>
        <v/>
      </c>
      <c r="PB90" s="43" t="str">
        <f t="shared" si="361"/>
        <v/>
      </c>
      <c r="PC90" s="43" t="str">
        <f t="shared" si="362"/>
        <v/>
      </c>
      <c r="PD90" s="43" t="str">
        <f t="shared" si="363"/>
        <v/>
      </c>
      <c r="PE90" s="43" t="str">
        <f t="shared" si="364"/>
        <v/>
      </c>
      <c r="PF90" s="43" t="str">
        <f t="shared" si="365"/>
        <v/>
      </c>
      <c r="PG90" s="43" t="str">
        <f t="shared" si="366"/>
        <v/>
      </c>
      <c r="PH90" s="43" t="str">
        <f t="shared" si="367"/>
        <v/>
      </c>
      <c r="PI90" s="43">
        <f t="shared" si="368"/>
        <v>37</v>
      </c>
      <c r="PJ90" s="43" t="str">
        <f t="shared" si="369"/>
        <v/>
      </c>
      <c r="PK90" s="43" t="str">
        <f t="shared" si="370"/>
        <v/>
      </c>
      <c r="PL90" s="43" t="str">
        <f t="shared" si="371"/>
        <v/>
      </c>
      <c r="PM90" s="43" t="str">
        <f t="shared" si="372"/>
        <v/>
      </c>
      <c r="PN90" s="43" t="str">
        <f t="shared" si="373"/>
        <v/>
      </c>
      <c r="PO90" s="43" t="str">
        <f t="shared" si="374"/>
        <v/>
      </c>
      <c r="PP90" s="43" t="str">
        <f t="shared" si="375"/>
        <v/>
      </c>
      <c r="PQ90" s="43" t="str">
        <f t="shared" si="376"/>
        <v/>
      </c>
      <c r="PR90" s="43" t="str">
        <f t="shared" si="377"/>
        <v/>
      </c>
      <c r="PS90" s="43" t="str">
        <f t="shared" si="378"/>
        <v/>
      </c>
      <c r="PT90" s="43" t="str">
        <f t="shared" si="379"/>
        <v/>
      </c>
      <c r="PU90" s="43" t="str">
        <f t="shared" si="380"/>
        <v/>
      </c>
      <c r="PV90" s="43" t="str">
        <f t="shared" si="381"/>
        <v/>
      </c>
      <c r="PW90" s="43" t="str">
        <f t="shared" si="382"/>
        <v/>
      </c>
      <c r="PX90" s="43" t="str">
        <f t="shared" si="383"/>
        <v/>
      </c>
      <c r="PY90" s="43" t="str">
        <f t="shared" si="384"/>
        <v/>
      </c>
      <c r="PZ90" s="43" t="str">
        <f t="shared" si="385"/>
        <v/>
      </c>
      <c r="QA90" s="43" t="str">
        <f t="shared" si="386"/>
        <v/>
      </c>
      <c r="QB90" s="43" t="str">
        <f t="shared" si="387"/>
        <v/>
      </c>
      <c r="QC90" s="43" t="str">
        <f t="shared" si="388"/>
        <v/>
      </c>
      <c r="QD90" s="43" t="str">
        <f t="shared" si="389"/>
        <v/>
      </c>
      <c r="QE90" s="43" t="str">
        <f t="shared" si="390"/>
        <v/>
      </c>
      <c r="QF90" s="43" t="str">
        <f t="shared" si="391"/>
        <v/>
      </c>
      <c r="QG90" s="43" t="str">
        <f t="shared" si="392"/>
        <v/>
      </c>
      <c r="QH90" s="43" t="str">
        <f t="shared" si="393"/>
        <v/>
      </c>
      <c r="QI90" s="43" t="str">
        <f t="shared" si="394"/>
        <v/>
      </c>
      <c r="QJ90" s="43" t="str">
        <f t="shared" si="395"/>
        <v/>
      </c>
      <c r="QK90" s="43" t="str">
        <f t="shared" si="396"/>
        <v/>
      </c>
      <c r="QL90" s="43" t="str">
        <f t="shared" si="397"/>
        <v>SOBREPESO</v>
      </c>
      <c r="QM90" s="43" t="str">
        <f t="shared" si="398"/>
        <v/>
      </c>
      <c r="QN90" s="43" t="str">
        <f t="shared" si="399"/>
        <v/>
      </c>
      <c r="QO90" s="43" t="str">
        <f t="shared" si="400"/>
        <v/>
      </c>
      <c r="QP90" s="43" t="str">
        <f t="shared" si="401"/>
        <v/>
      </c>
      <c r="QQ90" s="43" t="str">
        <f t="shared" si="402"/>
        <v/>
      </c>
      <c r="QR90" s="43">
        <f t="shared" si="432"/>
        <v>37</v>
      </c>
      <c r="QS90" s="43"/>
      <c r="QT90" s="21" t="str">
        <f t="shared" si="403"/>
        <v/>
      </c>
      <c r="QU90" s="21" t="str">
        <f t="shared" si="404"/>
        <v/>
      </c>
      <c r="QV90" s="21" t="str">
        <f t="shared" si="405"/>
        <v/>
      </c>
      <c r="QW90" s="21" t="str">
        <f t="shared" si="406"/>
        <v/>
      </c>
      <c r="QX90" s="21" t="str">
        <f t="shared" si="407"/>
        <v/>
      </c>
      <c r="QY90" s="21" t="str">
        <f t="shared" si="408"/>
        <v/>
      </c>
      <c r="QZ90" s="21" t="str">
        <f t="shared" si="409"/>
        <v/>
      </c>
      <c r="RA90" s="21" t="str">
        <f t="shared" si="410"/>
        <v/>
      </c>
      <c r="RB90" s="21" t="str">
        <f t="shared" si="411"/>
        <v/>
      </c>
      <c r="RC90" s="21" t="str">
        <f t="shared" si="412"/>
        <v/>
      </c>
      <c r="RD90" s="21" t="str">
        <f t="shared" si="413"/>
        <v/>
      </c>
      <c r="RE90" s="21" t="str">
        <f t="shared" si="414"/>
        <v/>
      </c>
      <c r="RF90" s="21" t="str">
        <f t="shared" si="415"/>
        <v/>
      </c>
      <c r="RG90" s="21" t="str">
        <f t="shared" si="416"/>
        <v/>
      </c>
      <c r="RH90" s="21" t="str">
        <f t="shared" si="417"/>
        <v/>
      </c>
      <c r="RI90" s="21" t="str">
        <f t="shared" si="418"/>
        <v/>
      </c>
      <c r="RJ90" s="21" t="str">
        <f t="shared" si="419"/>
        <v/>
      </c>
      <c r="RK90" s="21" t="str">
        <f t="shared" si="420"/>
        <v/>
      </c>
      <c r="RL90" s="21" t="str">
        <f t="shared" si="421"/>
        <v/>
      </c>
      <c r="RM90" s="21" t="str">
        <f t="shared" si="422"/>
        <v/>
      </c>
      <c r="RN90" s="21" t="str">
        <f t="shared" si="423"/>
        <v/>
      </c>
      <c r="RO90" s="21" t="str">
        <f t="shared" si="424"/>
        <v/>
      </c>
      <c r="RP90" s="21" t="str">
        <f t="shared" si="425"/>
        <v/>
      </c>
      <c r="RQ90" s="21" t="str">
        <f t="shared" si="426"/>
        <v/>
      </c>
      <c r="RR90" s="21" t="str">
        <f t="shared" si="427"/>
        <v>ADECUADO PARA EDAD GESTACIONAL</v>
      </c>
      <c r="RS90" s="21" t="str">
        <f t="shared" si="428"/>
        <v/>
      </c>
      <c r="RT90" s="21" t="str">
        <f t="shared" si="429"/>
        <v/>
      </c>
      <c r="RU90" s="21" t="str">
        <f t="shared" si="430"/>
        <v/>
      </c>
      <c r="RV90" s="21">
        <f t="shared" si="431"/>
        <v>-1</v>
      </c>
      <c r="RW90" s="284">
        <f>IF(OR(Tabla1[[#This Row],[FUM FORMULA CONFIABLE]]="",Tabla1[[#This Row],[FUM FORMULA CONFIABLE]]="SD"),"",IF(Tabla1[[#This Row],[FUM FORMULA CONFIABLE]]="CORREGIDA",Tabla1[[#This Row],[FUM X ECO 1]],Tabla1[[#This Row],[FUM x AMENORREA]]))</f>
        <v>44852.2</v>
      </c>
      <c r="RX90" s="21">
        <f>IF(AND(Tabla1[[#This Row],[FUM X ECO 1]]="",Tabla1[[#This Row],[FUM x AMENORREA]]=""),"",IF(AND(Tabla1[[#This Row],[FUM X ECO 1]]="",Tabla1[[#This Row],[FUM x AMENORREA]]&lt;&gt;""),"X",SUM(Tabla1[[#This Row],[FUM X ECO 1]]-Tabla1[[#This Row],[FUM x AMENORREA]])))</f>
        <v>6.1999999999970896</v>
      </c>
      <c r="RY90" s="21">
        <f t="shared" si="433"/>
        <v>1</v>
      </c>
    </row>
    <row r="91" spans="1:493" ht="45" customHeight="1" x14ac:dyDescent="0.25">
      <c r="A91" s="109" t="s">
        <v>1279</v>
      </c>
      <c r="B91" s="43" t="s">
        <v>1057</v>
      </c>
      <c r="C91" s="43" t="s">
        <v>845</v>
      </c>
      <c r="D91" s="124"/>
      <c r="E91" s="43" t="s">
        <v>873</v>
      </c>
      <c r="F91" s="43" t="s">
        <v>874</v>
      </c>
      <c r="G91" s="43" t="s">
        <v>1280</v>
      </c>
      <c r="H91" s="43" t="s">
        <v>1281</v>
      </c>
      <c r="I91" s="109" t="s">
        <v>1094</v>
      </c>
      <c r="J91" s="110">
        <v>1059599177</v>
      </c>
      <c r="K91" s="43" t="s">
        <v>852</v>
      </c>
      <c r="L91" s="175" t="s">
        <v>886</v>
      </c>
      <c r="M91" s="22">
        <v>39798</v>
      </c>
      <c r="N91" s="213">
        <f t="shared" ca="1" si="252"/>
        <v>14.890410958904109</v>
      </c>
      <c r="O91" s="22">
        <v>44952</v>
      </c>
      <c r="P91" s="214" t="str">
        <f t="shared" si="437"/>
        <v>SI</v>
      </c>
      <c r="Q91" s="26" t="s">
        <v>855</v>
      </c>
      <c r="R91" s="22">
        <v>44952</v>
      </c>
      <c r="S91" s="21" t="s">
        <v>856</v>
      </c>
      <c r="T91" s="24" t="s">
        <v>690</v>
      </c>
      <c r="U91" s="21" t="s">
        <v>857</v>
      </c>
      <c r="V91" s="21" t="s">
        <v>858</v>
      </c>
      <c r="W91" s="21" t="s">
        <v>1139</v>
      </c>
      <c r="X91" s="21" t="s">
        <v>1139</v>
      </c>
      <c r="Y91" s="21" t="s">
        <v>859</v>
      </c>
      <c r="Z91" s="21">
        <v>3145654127</v>
      </c>
      <c r="AA91" s="21" t="s">
        <v>860</v>
      </c>
      <c r="AB91" s="27" t="s">
        <v>861</v>
      </c>
      <c r="AC91" s="26" t="s">
        <v>877</v>
      </c>
      <c r="AD91" s="38" t="s">
        <v>1546</v>
      </c>
      <c r="AE91" s="26" t="s">
        <v>854</v>
      </c>
      <c r="AF91" s="26" t="s">
        <v>854</v>
      </c>
      <c r="AG91" s="23" t="s">
        <v>864</v>
      </c>
      <c r="AH91" s="23" t="s">
        <v>864</v>
      </c>
      <c r="AI91" s="24" t="s">
        <v>863</v>
      </c>
      <c r="AJ91" s="23" t="s">
        <v>864</v>
      </c>
      <c r="AK91" s="220" t="str">
        <f>IF(AND(AD91="",AE91="",AF91="",AG91="",AH91="",AI91="",AJ91=""),"",IF(OR(Tabla1[[#This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EVALUACIÓN",IF(AND(O91="",R91=""),"",IF(AND(OR(O91&gt;0,R91&gt;0),NG91&gt;=0,NG91&lt;2),"SIN RIESGO",IF(AND(OR(O91&gt;0,R91&gt;0),NG91&gt;=2),"CON RIESGO","ASD")))))</f>
        <v>SIN RIESGO</v>
      </c>
      <c r="AL91" s="23" t="s">
        <v>864</v>
      </c>
      <c r="AM91" s="26" t="s">
        <v>864</v>
      </c>
      <c r="AN91" s="26" t="s">
        <v>864</v>
      </c>
      <c r="AO91" s="26" t="s">
        <v>864</v>
      </c>
      <c r="AP91" s="26" t="s">
        <v>864</v>
      </c>
      <c r="AQ91" s="26" t="s">
        <v>864</v>
      </c>
      <c r="AR91" s="26" t="s">
        <v>864</v>
      </c>
      <c r="AS91" s="21">
        <v>1</v>
      </c>
      <c r="AT91" s="21">
        <v>0</v>
      </c>
      <c r="AU91" s="21">
        <v>1</v>
      </c>
      <c r="AV91" s="26" t="s">
        <v>864</v>
      </c>
      <c r="AW91" s="21">
        <v>0</v>
      </c>
      <c r="AX91" s="26" t="s">
        <v>864</v>
      </c>
      <c r="AY91" s="26" t="s">
        <v>864</v>
      </c>
      <c r="AZ91" s="26" t="s">
        <v>864</v>
      </c>
      <c r="BA91" s="26" t="s">
        <v>864</v>
      </c>
      <c r="BB91" s="26" t="s">
        <v>864</v>
      </c>
      <c r="BC91" s="26" t="s">
        <v>864</v>
      </c>
      <c r="BD91" s="26" t="s">
        <v>864</v>
      </c>
      <c r="BE91" s="26" t="s">
        <v>864</v>
      </c>
      <c r="BF91" s="26" t="s">
        <v>864</v>
      </c>
      <c r="BG91" s="26" t="s">
        <v>864</v>
      </c>
      <c r="BH91" s="26" t="s">
        <v>864</v>
      </c>
      <c r="BI91" s="26" t="s">
        <v>864</v>
      </c>
      <c r="BJ91" s="26" t="s">
        <v>864</v>
      </c>
      <c r="BK91" s="26" t="s">
        <v>865</v>
      </c>
      <c r="BL91" s="26" t="s">
        <v>864</v>
      </c>
      <c r="BM91" s="26" t="s">
        <v>864</v>
      </c>
      <c r="BN91" s="22"/>
      <c r="BO91" s="22">
        <v>44889</v>
      </c>
      <c r="BP91" s="21" t="s">
        <v>1380</v>
      </c>
      <c r="BQ91" s="222">
        <f t="shared" si="254"/>
        <v>0</v>
      </c>
      <c r="BR91" s="223">
        <f t="shared" si="255"/>
        <v>44880.2</v>
      </c>
      <c r="BS91" s="224">
        <f t="shared" si="256"/>
        <v>10.257142857143274</v>
      </c>
      <c r="BT91" s="216" t="str">
        <f t="shared" si="257"/>
        <v>II TRIM</v>
      </c>
      <c r="BU91" s="214" t="str">
        <f t="shared" ca="1" si="258"/>
        <v/>
      </c>
      <c r="BV91" s="25"/>
      <c r="BW91" s="22">
        <v>44995</v>
      </c>
      <c r="BX91" s="28">
        <v>16.399999999999999</v>
      </c>
      <c r="BY91" s="28"/>
      <c r="BZ91" s="22"/>
      <c r="CA91" s="21"/>
      <c r="CB91" s="26" t="s">
        <v>864</v>
      </c>
      <c r="CC91" s="26" t="s">
        <v>864</v>
      </c>
      <c r="CD91" s="26" t="s">
        <v>972</v>
      </c>
      <c r="CE91" s="26" t="s">
        <v>864</v>
      </c>
      <c r="CF91" s="22" t="s">
        <v>1517</v>
      </c>
      <c r="CG91" s="21">
        <v>1.51</v>
      </c>
      <c r="CH91" s="21">
        <v>48</v>
      </c>
      <c r="CI91" s="214">
        <f t="shared" si="259"/>
        <v>21.051708258409718</v>
      </c>
      <c r="CJ91" s="225" t="e">
        <f>IF(AND(CI91&lt;10,CH91="SD"),"SIN DATO PESO PREGESTACION O I TRIM",IF(AND(OR(R91&gt;0,O91&gt;0),CI91="X"),"INGRESAR DATO DE PESO",IF(CI91="SD","INGRESAR DATO DE TALLA Y PESO",IF(AND(OR(Tabla1[[#This Row],[MOMENTO EN QUE SE REALIZA EL PESO AL INGRESO A CPN]]="PREGESTACIÓN",NZ91="Menor"),CI91&lt;18.5),"BAJO PESO",IF(AND(OR(Tabla1[[#This Row],[MOMENTO EN QUE SE REALIZA EL PESO AL INGRESO A CPN]]="PREGESTACIÓN",NZ91="Menor"),CI91&lt;25),"NORMAL",IF(AND(OR(Tabla1[[#This Row],[MOMENTO EN QUE SE REALIZA EL PESO AL INGRESO A CPN]]="PREGESTACIÓN",NZ91="Menor"),CI91&lt;30),"SOBREPESO",IF(AND(OR(Tabla1[[#This Row],[MOMENTO EN QUE SE REALIZA EL PESO AL INGRESO A CPN]]="PREGESTACIÓN",NZ91="Menor"),CI91&gt;=30,CI91&lt;50),"OBESIDAD",IF(AND(BS91&gt;0,Tabla1[[#This Row],[MOMENTO EN QUE SE REALIZA EL PESO AL INGRESO A CPN]]="GESTACIÓN"),HLOOKUP(NZ91,$OA$2:PH91,NY91),""))))))))</f>
        <v>#REF!</v>
      </c>
      <c r="CK91" s="212">
        <f t="shared" si="260"/>
        <v>45070</v>
      </c>
      <c r="CL91" s="21">
        <v>54</v>
      </c>
      <c r="CM91" s="214">
        <f t="shared" si="261"/>
        <v>23.683171790710933</v>
      </c>
      <c r="CN91" s="216">
        <f t="shared" si="262"/>
        <v>27</v>
      </c>
      <c r="CO91" s="216" t="e">
        <f>IF(PI91="","",IF(PI91&gt;0,HLOOKUP(PI91,$PJ$2:QQ91,NY91),""))</f>
        <v>#REF!</v>
      </c>
      <c r="CP91" s="21">
        <v>25</v>
      </c>
      <c r="CQ91" s="216" t="e">
        <f>IF(QR91="Menor","NO APLICA-MENOR 13 SEM",IF(AND(CC91="SI",CN91&gt;23),"NO APLICA- GEMELAR",IF(QR91="","",IF(QR91&gt;0,HLOOKUP(QR91,$QS$2:RU91,NY91),""))))</f>
        <v>#REF!</v>
      </c>
      <c r="CR91" s="21">
        <v>100</v>
      </c>
      <c r="CS91" s="21">
        <v>70</v>
      </c>
      <c r="CT91" s="217" t="str">
        <f>IF(R91="","",IF(AND(BS91&gt;1,BS91&lt;12,Tabla1[[#This Row],[T.A. SISTOLICA - ANTES DE SEMANA 12]]="",Tabla1[[#This Row],[T.A. DIASTOLICA - ANTES DE SEMANA 12]]=""),"REGISTRE DATO TA ANTES SEMANA 12",IF(AND(BS91&gt;11,BS91&lt;43,Tabla1[[#This Row],[T.A. SISTOLICA - ANTES DE SEMANA 12]]="",Tabla1[[#This Row],[T.A. DIASTOLICA - ANTES DE SEMANA 12]]=""),"NO APLICA REGISTRO TA-INGRESO TARDIO",IF(AND(OR(O91&gt;0,R91&gt;0),OR(CR91&gt;=140,CS91&gt;=90)),"DEFINIR ESTADIO HTA",IF(AND(OR(O91&gt;0,R91&gt;0),AND(CR91&gt;120,CR91&lt;=139)),"PRE HTA SEGUIMIENTO",IF(AND(OR(O91&gt;0,R91&gt;0),AND(CS91&gt;80,CS91&lt;=89)),"PRE HTA SEGUIMIENTO",IF(AND(OR(O91&gt;0,R91&gt;0),AND(CR91&gt;=80,CR91&lt;=120)),"APARENTEMENTE NORMAL",IF(AND(OR(O91&gt;0,R91&gt;0),AND(CS91&gt;=50,CS91&lt;=80)),"APARENTEMENTE NORMAL",IF(AND(OR(O91&gt;0,R91&gt;0),AND(CR91&gt;1,CR91&lt;=70),AND(CS91&gt;1,CS91&lt;=40)),"HIPOTENSIÓN","")))))))))</f>
        <v>APARENTEMENTE NORMAL</v>
      </c>
      <c r="CU91" s="21"/>
      <c r="CV91" s="21"/>
      <c r="CW91" s="217" t="str">
        <f ca="1">IF(R91="","",IF(AND(CN91&gt;19,CN91&lt;27,Tabla1[[#This Row],[T.A. SISTOLICA (Entre semana 20 y 26)]]="",Tabla1[[#This Row],[T.A. DIATOLICA (Entre semana 20 y 26)]]=""),"ACUDE A CONTROL SEM 20 A 26 REGISTRE TA AHORA",IF(AND(BS91&gt;1,BS91&lt;27,BU91&gt;19,Tabla1[[#This Row],[T.A. SISTOLICA (Entre semana 20 y 26)]]="",Tabla1[[#This Row],[T.A. DIATOLICA (Entre semana 20 y 26)]]=""),"COMPLETE REGISTRO TA CONTROL SEM 20 A26 ",IF(AND(BS91&gt;26,BS91&lt;43,Tabla1[[#This Row],[T.A. SISTOLICA (Entre semana 20 y 26)]]="",Tabla1[[#This Row],[T.A. DIATOLICA (Entre semana 20 y 26)]]=""),"NO APLICA REGISTRO TA-INGRESO TARDIO",IF(AND(OR(O91&gt;0,R91&gt;0),OR(CU91&gt;=140,CV91&gt;=90)),"ALTO RIESGO PREECLAMPSIA,DEFINIR ESTADIO HTA",IF(AND(OR(O91&gt;0,R91&gt;0),AND(CU91&gt;120,CU91&lt;=139)),"PRE HTA SEGUIMIENTO,RIESGO HIPERTENSION INDUCIDA POR EL EMBARAZO",IF(AND(OR(O91&gt;0,R91&gt;0),AND(CV91&gt;80,CV91&lt;=89)),"PRE HTA SEGUIMIENTO, RIESGO HIPERTENSION INDUCIDA POR EL EMBARAZO",IF(AND(OR(O91&lt;&gt;"",R91&lt;&gt;""),CS91&lt;&gt;"",CV91&lt;&gt;"",CS91&lt;=CV91),"VIGILAR CIFRAS PRESION ARTERIAL",IF(AND(OR(O91&gt;0,R91&gt;0),AND(CU91&gt;120,CU91&lt;=139)),"PRE HTA SEGUIMIENTO",IF(AND(OR(O91&gt;0,R91&gt;0),AND(CU91&gt;1,CU91&lt;=70),AND(CV91&gt;1,CV91&lt;=40)),"HIPOTENSIÓN",IF(AND(OR(O91&lt;&gt;"",R91&lt;&gt;""),CS91&lt;&gt;"",CV91&lt;&gt;"",CS91&gt;CV91),"APARENTEMENTE NORMAL",IF(AND(OR(O91&gt;0,R91&gt;0),AND(CU91&gt;=80,CU91&lt;=120)),"APARENTEMENTE NORMAL",IF(AND(OR(O91&gt;0,R91&gt;0),AND(CV91&gt;=50,CV91&lt;=80)),"APARENTEMENTE NORMAL","")))))))))))))</f>
        <v xml:space="preserve">COMPLETE REGISTRO TA CONTROL SEM 20 A26 </v>
      </c>
      <c r="CX91" s="21"/>
      <c r="CY91" s="21"/>
      <c r="CZ91" s="216" t="str">
        <f t="shared" si="263"/>
        <v/>
      </c>
      <c r="DA91" s="21">
        <v>90</v>
      </c>
      <c r="DB91" s="21">
        <v>60</v>
      </c>
      <c r="DC91" s="217" t="str">
        <f t="shared" si="264"/>
        <v>APARENTEMENTE NORMAL</v>
      </c>
      <c r="DD91" s="22">
        <v>44952</v>
      </c>
      <c r="DE91" s="22">
        <v>44952</v>
      </c>
      <c r="DF91" s="22">
        <v>44995</v>
      </c>
      <c r="DG91" s="22">
        <v>45070</v>
      </c>
      <c r="DH91" s="22"/>
      <c r="DI91" s="22"/>
      <c r="DJ91" s="22"/>
      <c r="DK91" s="22"/>
      <c r="DL91" s="22"/>
      <c r="DM91" s="22"/>
      <c r="DN91" s="22"/>
      <c r="DO91" s="22"/>
      <c r="DP91" s="22"/>
      <c r="DQ91" s="22"/>
      <c r="DR91" s="28"/>
      <c r="DS91" s="22"/>
      <c r="DT91" s="22"/>
      <c r="DU91" s="216" t="str">
        <f t="shared" ca="1" si="438"/>
        <v>CONCERTAR PLAN DE PARTO INMEDIATO</v>
      </c>
      <c r="DV91" s="226" t="str">
        <f t="shared" si="439"/>
        <v>ACTIVA INGRESO A CPN</v>
      </c>
      <c r="DW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1" s="216" t="e">
        <f t="shared" ca="1" si="266"/>
        <v>#REF!</v>
      </c>
      <c r="DY91" s="212">
        <f>IF(R91="","",IF(R91&gt;0,MAX(Tabla1[[#This Row],[FECHA C2]:[FECHA C13]],Tabla1[[#This Row],[FECHA CONSULTA PRIMERA VEZ PROGRAMA CPN ]])))</f>
        <v>45070</v>
      </c>
      <c r="DZ91" s="216">
        <f t="shared" si="267"/>
        <v>27</v>
      </c>
      <c r="EA91" s="222">
        <f>IF(R91&gt;0,SUM(COUNTA(DF91:DQ91)+COUNTA(Tabla1[[#This Row],[FECHA CONSULTA PRIMERA VEZ PROGRAMA CPN ]])),"")</f>
        <v>3</v>
      </c>
      <c r="EB91" s="222" t="str">
        <f t="shared" si="268"/>
        <v>NO</v>
      </c>
      <c r="EC91" s="214">
        <f t="shared" si="269"/>
        <v>9</v>
      </c>
      <c r="ED91" s="227">
        <f t="shared" si="270"/>
        <v>0.33333333333333331</v>
      </c>
      <c r="EE91" s="22">
        <v>44952</v>
      </c>
      <c r="EF91" s="22">
        <v>44952</v>
      </c>
      <c r="EG91" s="22">
        <v>44952</v>
      </c>
      <c r="EH91" s="22"/>
      <c r="EI91" s="22">
        <v>44952</v>
      </c>
      <c r="EJ91" s="22"/>
      <c r="EK91" s="344">
        <v>44963</v>
      </c>
      <c r="EL91" s="21"/>
      <c r="EM91" s="21"/>
      <c r="EN91" s="22"/>
      <c r="EO91" s="222" t="str">
        <f t="shared" si="271"/>
        <v>TOMAR EXAMEN</v>
      </c>
      <c r="EP91" s="214" t="str">
        <f t="shared" si="272"/>
        <v/>
      </c>
      <c r="EQ91" s="216" t="str">
        <f t="shared" si="273"/>
        <v>POR DEFINIR</v>
      </c>
      <c r="ER91" s="24"/>
      <c r="ES91" s="22"/>
      <c r="ET91" s="29" t="str">
        <f t="shared" ca="1" si="440"/>
        <v>TOMA DE HEMOGLOBINA TARDÍA</v>
      </c>
      <c r="EU91" s="25" t="str">
        <f t="shared" si="275"/>
        <v/>
      </c>
      <c r="EV91" s="24"/>
      <c r="EW91" s="24"/>
      <c r="EX91" s="22"/>
      <c r="EY91" s="29" t="str">
        <f t="shared" si="248"/>
        <v>TOMAR EXAMEN</v>
      </c>
      <c r="EZ91" s="25" t="str">
        <f t="shared" ca="1" si="249"/>
        <v/>
      </c>
      <c r="FA91" s="21"/>
      <c r="FB91" s="22"/>
      <c r="FC91" s="29" t="str">
        <f t="shared" si="276"/>
        <v>TOMAR EXAMEN</v>
      </c>
      <c r="FD91" s="29"/>
      <c r="FE91" s="29"/>
      <c r="FF91" s="29"/>
      <c r="FG91" s="21" t="str">
        <f t="shared" ca="1" si="277"/>
        <v/>
      </c>
      <c r="FH91" s="31"/>
      <c r="FI91" s="29" t="str">
        <f t="shared" si="278"/>
        <v>TOMAR EXAMEN</v>
      </c>
      <c r="FJ91" s="22"/>
      <c r="FK91" s="22"/>
      <c r="FL91" s="29" t="str">
        <f t="shared" ca="1" si="279"/>
        <v>PIERDE TOMA DE TAMIZAJE</v>
      </c>
      <c r="FM91" s="22"/>
      <c r="FN91" s="32"/>
      <c r="FO91" s="29" t="str">
        <f t="shared" ca="1" si="441"/>
        <v>PIERDE TOMA DE TAMIZAJE</v>
      </c>
      <c r="FP91" s="22"/>
      <c r="FQ91" s="32"/>
      <c r="FR91" s="29" t="str">
        <f t="shared" ca="1" si="442"/>
        <v>TOMA INMEDIATA DE TAMIZAJE</v>
      </c>
      <c r="FS91" s="22"/>
      <c r="FT91" s="32"/>
      <c r="FU91" s="29" t="str">
        <f>IF(AND(FJ91="",FM91="",FP91="",FS91=""),"",IF(OR(OR(Tabla1[[#This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1" s="28"/>
      <c r="FW91" s="22"/>
      <c r="FX91" s="29" t="str">
        <f t="shared" si="280"/>
        <v>TOMAR EXAMEN</v>
      </c>
      <c r="FY91" s="22"/>
      <c r="FZ91" s="22"/>
      <c r="GA91" s="29" t="str">
        <f t="shared" ca="1" si="250"/>
        <v>PIERDE TOMA DE TAMIZAJE</v>
      </c>
      <c r="GB91" s="22"/>
      <c r="GC91" s="22"/>
      <c r="GD91" s="29" t="str">
        <f t="shared" ca="1" si="443"/>
        <v>PIERDE TOMA DE TAMIZAJE</v>
      </c>
      <c r="GE91" s="22"/>
      <c r="GF91" s="22"/>
      <c r="GG91" s="29" t="str">
        <f t="shared" ca="1" si="444"/>
        <v>TOMA INMEDIATA DE TAMIZAJE</v>
      </c>
      <c r="GH91" s="22"/>
      <c r="GI91" s="29"/>
      <c r="GJ91" s="22"/>
      <c r="GK91" s="22"/>
      <c r="GL91" s="22"/>
      <c r="GM91" s="22"/>
      <c r="GN91" s="28"/>
      <c r="GO91" s="22"/>
      <c r="GP91" s="29" t="str">
        <f t="shared" si="283"/>
        <v>TOMAR EXAMEN</v>
      </c>
      <c r="GQ91" s="28"/>
      <c r="GR91" s="28"/>
      <c r="GS91" s="22" t="str">
        <f t="shared" si="284"/>
        <v/>
      </c>
      <c r="GT91" s="22"/>
      <c r="GU91" s="29" t="str">
        <f t="shared" si="285"/>
        <v>TOMAR EXAMEN</v>
      </c>
      <c r="GV91" s="21" t="str">
        <f t="shared" si="286"/>
        <v>POR DEFINIR</v>
      </c>
      <c r="GW91" s="28"/>
      <c r="GX91" s="30"/>
      <c r="GY91" s="21"/>
      <c r="GZ91" s="21"/>
      <c r="HA91" s="21"/>
      <c r="HB91" s="21"/>
      <c r="HC91" s="21"/>
      <c r="HD91" s="21"/>
      <c r="HE91" s="21"/>
      <c r="HF91" s="22"/>
      <c r="HG91" s="22" t="str">
        <f>IF(OR(O91&gt;0,R91&gt;0),CONCATENATE(IF(Tabla1[[#This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1" s="22" t="e">
        <f t="shared" si="287"/>
        <v>#REF!</v>
      </c>
      <c r="HI91" s="22" t="e">
        <f t="shared" ca="1" si="288"/>
        <v>#REF!</v>
      </c>
      <c r="HJ91" s="21"/>
      <c r="HK91" s="21" t="str">
        <f t="shared" si="289"/>
        <v>SIN ANTECEDENTES DE RIESGO</v>
      </c>
      <c r="HL91" s="24" t="str">
        <f t="shared" si="290"/>
        <v>APARENTEMENTE NORMAL</v>
      </c>
      <c r="HM91" s="21" t="e">
        <f t="shared" ca="1" si="291"/>
        <v>#REF!</v>
      </c>
      <c r="HN91" s="30" t="str">
        <f t="shared" si="445"/>
        <v>ACTIVA INGRESO A CPN</v>
      </c>
      <c r="HO91" s="21"/>
      <c r="HP91" s="21"/>
      <c r="HQ91" s="21">
        <v>44952</v>
      </c>
      <c r="HR91" s="21" t="str">
        <f>IF(R91="","",IF(Tabla1[[#This Row],[ALARMA FACTORES DE RIESGO COMPLICACIONES HIPERTENSIVAS3]]="SIN ANTECEDENTES DE RIESGO","No Aplica para suministro de ASA",IF(AND(Tabla1[[#This Row],[FECHA INICIO DE SUMINISTRO DE ASA]]&gt;0,RV91&lt;12),"Inicia ASA ANTES de Sem 12",IF(AND(RV91&gt;11,RV91&lt;17,OR(HK91="RIESGO ALTO DE COMPLICACIONES HIPERTENSIVAS VER MANEJO GUIA SUMINISTRO ASA Y CALCIO",HK91="RIESGO MODERADO (2 O MAS CRITERIOS) VER MANEJO GUIA SUMINISTRO ASA Y CALCIO")),"Inicio oportuno de ASA",IF(AND(RV91&gt;12,OR(HK91="RIESGO ALTO DE COMPLICACIONES HIPERTENSIVAS VER MANEJO GUIA SUMINISTRO ASA Y CALCIO",HK91="RIESGO MODERADO (2 O MAS CRITERIOS) VER MANEJO GUIA SUMINISTRO ASA Y CALCIO")),"Inicio no oportuno mayor a 16 semanas",IF(AND(BU91&lt;12,OR(HK91="RIESGO ALTO DE COMPLICACIONES HIPERTENSIVAS VER MANEJO GUIA SUMINISTRO ASA Y CALCIO",HK91="RIESGO MODERADO (2 O MAS CRITERIOS) VER MANEJO GUIA SUMINISTRO ASA Y CALCIO")),"Pendiente Inicio de ASA a la semana 12",IF(AND(BU91&gt;11,BU91&lt;17,OR(HK91="RIESGO ALTO DE COMPLICACIONES HIPERTENSIVAS VER MANEJO GUIA SUMINISTRO ASA Y CALCIO",HK91="RIESGO MODERADO (2 O MAS CRITERIOS) VER MANEJO GUIA SUMINISTRO ASA Y CALCIO")),"Iniciar de inmediato ASA",IF(AND(BU91&gt;16,OR(HK91="RIESGO ALTO DE COMPLICACIONES HIPERTENSIVAS VER MANEJO GUIA SUMINISTRO ASA Y CALCIO",HK91="RIESGO MODERADO (2 O MAS CRITERIOS) VER MANEJO GUIA SUMINISTRO ASA Y CALCIO")),"Pierde Oportunidad, Inicio tardío de ASA","XXXXX"))))))))</f>
        <v>No Aplica para suministro de ASA</v>
      </c>
      <c r="HS91" s="22">
        <v>44952</v>
      </c>
      <c r="HT91" s="22" t="s">
        <v>870</v>
      </c>
      <c r="HU91" s="22">
        <v>44952</v>
      </c>
      <c r="HV91" s="22" t="s">
        <v>870</v>
      </c>
      <c r="HW91" s="22">
        <v>44952</v>
      </c>
      <c r="HX91" s="22" t="s">
        <v>870</v>
      </c>
      <c r="HY91" s="22">
        <v>44952</v>
      </c>
      <c r="HZ91" s="28">
        <f t="shared" si="292"/>
        <v>10.257142857143274</v>
      </c>
      <c r="IA91" s="26"/>
      <c r="IB91" s="26"/>
      <c r="IC91" s="111"/>
      <c r="ID91" s="22"/>
      <c r="IE91" s="22" t="str">
        <f t="shared" ca="1" si="293"/>
        <v/>
      </c>
      <c r="IF91" s="22"/>
      <c r="IG91" s="22">
        <f t="shared" si="294"/>
        <v>45160.2</v>
      </c>
      <c r="IH91" s="29">
        <f t="shared" ca="1" si="295"/>
        <v>-72.80000000000291</v>
      </c>
      <c r="II91" s="22" t="str">
        <f t="shared" ca="1" si="296"/>
        <v>POSIBLEMENTE NACIO</v>
      </c>
      <c r="IJ91" s="22"/>
      <c r="IK91" s="21"/>
      <c r="IL91" s="21"/>
      <c r="IM91" s="34"/>
      <c r="IN91" s="349"/>
      <c r="IO91" s="21"/>
      <c r="IP91" s="29" t="str">
        <f t="shared" si="435"/>
        <v/>
      </c>
      <c r="IQ91" s="110"/>
      <c r="IR91" s="21"/>
      <c r="IS91" s="21"/>
      <c r="IT91" s="21"/>
      <c r="IU91" s="21"/>
      <c r="IV91" s="21"/>
      <c r="IW91" s="21"/>
      <c r="IX91" s="21"/>
      <c r="IY91" s="21"/>
      <c r="IZ91" s="21"/>
      <c r="JA91" s="21"/>
      <c r="JB91" s="30"/>
      <c r="JC91" s="21"/>
      <c r="JD91" s="36"/>
      <c r="JE91" s="21" t="str">
        <f t="shared" si="446"/>
        <v/>
      </c>
      <c r="JF91" s="30"/>
      <c r="JG91" s="21"/>
      <c r="JH91" s="21"/>
      <c r="JI91" s="21"/>
      <c r="JJ91" s="30"/>
      <c r="JK91" s="22"/>
      <c r="JL91" s="22"/>
      <c r="JM91" s="21"/>
      <c r="JN91" s="36"/>
      <c r="JO91" s="21" t="str">
        <f t="shared" si="447"/>
        <v/>
      </c>
      <c r="JP91" s="22"/>
      <c r="JQ91" s="21"/>
      <c r="JR91" s="21"/>
      <c r="JS91" s="21"/>
      <c r="JT91" s="30"/>
      <c r="JU91" s="22"/>
      <c r="JV91" s="22"/>
      <c r="JW91" s="33"/>
      <c r="JX91" s="28" t="str">
        <f t="shared" si="448"/>
        <v/>
      </c>
      <c r="JY91" s="33"/>
      <c r="JZ91" s="28" t="str">
        <f t="shared" si="449"/>
        <v/>
      </c>
      <c r="KA91" s="21"/>
      <c r="KB91" s="21"/>
      <c r="KC91" s="21"/>
      <c r="KD91" s="37"/>
      <c r="KE91" s="28"/>
      <c r="KF91" s="28"/>
      <c r="KG91" s="28"/>
      <c r="KH91" s="39"/>
      <c r="KI91" s="39"/>
      <c r="KJ91" s="66"/>
      <c r="KK91" s="39"/>
      <c r="KL91" s="39"/>
      <c r="KM91" s="66"/>
      <c r="KN91" s="39"/>
      <c r="KO91" s="39"/>
      <c r="KP91" s="39"/>
      <c r="KQ91" s="39"/>
      <c r="KR91" s="39"/>
      <c r="KS91" s="39"/>
      <c r="KT91" s="39"/>
      <c r="KU91" s="38"/>
      <c r="KV91" s="38"/>
      <c r="KW91" s="38"/>
      <c r="KX91" s="38"/>
      <c r="KY91" s="38"/>
      <c r="KZ91" s="38"/>
      <c r="LA91" s="38"/>
      <c r="LB91" s="38"/>
      <c r="LC91" s="38"/>
      <c r="LD91" s="38"/>
      <c r="LE91" s="38"/>
      <c r="LF91" s="38"/>
      <c r="LG91" s="38"/>
      <c r="LH91" s="38"/>
      <c r="LI91" s="38"/>
      <c r="LJ91" s="38"/>
      <c r="LK91" s="38"/>
      <c r="LL91" s="38"/>
      <c r="LM91" s="38"/>
      <c r="LN91" s="38"/>
      <c r="LO91" s="38"/>
      <c r="LP91" s="38"/>
      <c r="LQ91" s="38"/>
      <c r="LR91" s="38"/>
      <c r="LS91" s="38"/>
      <c r="LT91" s="38"/>
      <c r="LU91" s="38"/>
      <c r="LV91" s="38"/>
      <c r="LW91" s="38"/>
      <c r="LX91" s="38"/>
      <c r="LY91" s="38"/>
      <c r="LZ91" s="38"/>
      <c r="MA91" s="38"/>
      <c r="MB91" s="38"/>
      <c r="MC91" s="38"/>
      <c r="MD91" s="38"/>
      <c r="ME91" s="38"/>
      <c r="MF91" s="38"/>
      <c r="MG91" s="38"/>
      <c r="MH91" s="43">
        <f t="shared" si="302"/>
        <v>0</v>
      </c>
      <c r="MI91" s="43" t="str">
        <f t="shared" si="303"/>
        <v/>
      </c>
      <c r="MJ91" s="43" t="str">
        <f t="shared" si="304"/>
        <v/>
      </c>
      <c r="MK91" s="43">
        <f t="shared" si="305"/>
        <v>0</v>
      </c>
      <c r="ML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1" s="43">
        <f t="shared" si="306"/>
        <v>10.257142857143274</v>
      </c>
      <c r="MN91" s="43">
        <f t="shared" si="307"/>
        <v>1</v>
      </c>
      <c r="MO91" s="43">
        <f t="shared" si="308"/>
        <v>2023</v>
      </c>
      <c r="MP91" s="43" t="str">
        <f t="shared" si="309"/>
        <v>I TRIMESTRE AÑO</v>
      </c>
      <c r="MQ91" s="43">
        <f t="shared" si="310"/>
        <v>13.907139728427508</v>
      </c>
      <c r="MR91" s="43">
        <f t="shared" si="311"/>
        <v>2</v>
      </c>
      <c r="MS91" s="43" t="str">
        <f t="shared" si="312"/>
        <v>MENOR 14 AÑOS</v>
      </c>
      <c r="MT91" s="43">
        <f t="shared" si="313"/>
        <v>0</v>
      </c>
      <c r="MU91" s="43">
        <f t="shared" si="314"/>
        <v>1</v>
      </c>
      <c r="MV91" s="43">
        <f t="shared" si="315"/>
        <v>0</v>
      </c>
      <c r="MW91" s="43">
        <f t="shared" si="316"/>
        <v>0</v>
      </c>
      <c r="MX91" s="43" t="str">
        <f t="shared" si="317"/>
        <v/>
      </c>
      <c r="MY91" s="43" t="str">
        <f t="shared" ca="1" si="450"/>
        <v/>
      </c>
      <c r="MZ91" s="43" t="str">
        <f t="shared" si="318"/>
        <v/>
      </c>
      <c r="NA91" s="43" t="str">
        <f t="shared" si="319"/>
        <v/>
      </c>
      <c r="NB91" s="43" t="str">
        <f t="shared" si="320"/>
        <v/>
      </c>
      <c r="NC91" s="43" t="str">
        <f t="shared" si="321"/>
        <v/>
      </c>
      <c r="ND91" s="43">
        <f t="shared" ca="1" si="322"/>
        <v>3</v>
      </c>
      <c r="NE91" s="43">
        <f>IF(OR(O91&gt;0,R91&gt;0),SUM(COUNTIF(Tabla1[[#This Row],[AÑOS AL INICIO5 CPN]],"&gt;=40"),COUNTIF(AS91,"0"),COUNTIF(AR91,"SI"),COUNTIF(CC91,"SI"),COUNTIF(BQ91,"&gt;119"),COUNTIF(CI91,"&gt;=35")),"")</f>
        <v>0</v>
      </c>
      <c r="NF91" s="43" t="str">
        <f t="shared" si="323"/>
        <v/>
      </c>
      <c r="NG91" s="43">
        <f t="shared" si="324"/>
        <v>0</v>
      </c>
      <c r="NH91" s="43">
        <f t="shared" si="325"/>
        <v>114.79999999999998</v>
      </c>
      <c r="NI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CPN",P91="NO"),"Z",IF(AND(Tabla1[[#This Row],[CITA PROXIMO CONTROL]]="CITA MANUAL",Tabla1[[#This Row],[GESTANTES ACTUALES]]="ACTIVA INGRESO A CPN"),"W",IF(AND(Tabla1[[#This Row],[GESTANTES ACTUALES]]="SALIO PROGRAMA",IN91=""),"S",IF(AND(Tabla1[[#This Row],[CITA PROXIMO CONTROL]]&gt;0,IN91=""),(Tabla1[[#This Row],[CITA PROXIMO CONTROL]]-TODAY()),"SD"))))))))</f>
        <v>#REF!</v>
      </c>
      <c r="NJ91" s="43">
        <f>MONTH(Tabla1[[#This Row],[FECHA DE SALIDA  DEL PROGRAMA]])</f>
        <v>1</v>
      </c>
      <c r="NK91" s="43">
        <f>YEAR(Tabla1[[#This Row],[FECHA DE SALIDA  DEL PROGRAMA]])</f>
        <v>1900</v>
      </c>
      <c r="NL91" s="43" t="str">
        <f t="shared" si="326"/>
        <v>X</v>
      </c>
      <c r="NM91" s="43" t="str">
        <f>IF(AND(O91&gt;0,R91=""),"NO CPN",IF(AND(O91="",R91=""),"",IF(AND(EN91&lt;&gt;"",EX91&lt;&gt;"",FB91&lt;&gt;"",FK91&lt;&gt;"",FW91&lt;&gt;"",FZ91&lt;&gt;"",GO91&lt;&gt;"",GQ91&lt;&gt;"",GR91&lt;&gt;""),"SI","NO")))</f>
        <v>NO</v>
      </c>
      <c r="NN91" s="43" t="str">
        <f ca="1">IF(AND(O91&gt;0,R91=""),"NO CPN",IF(AND(O91="",R91=""),"",IF(AND(R91&gt;0,Tabla1[[#This Row],[SEMANAS DE GESTACION ACTUALIZADAS]]&lt;=12),"NO APLICA",IF(AND(FH91&lt;&gt;"",FN91&lt;&gt;""),"SI","NO"))))</f>
        <v>NO</v>
      </c>
      <c r="NO91" s="43" t="str">
        <f ca="1">IF(AND(O91&gt;0,R91=""),"NO CPN",IF(AND(O91="",R91=""),"",IF(AND(R91&gt;0,Tabla1[[#This Row],[SEMANAS DE GESTACION ACTUALIZADAS]]&lt;=27),"NO APLICA",IF(AND(ES91&lt;&gt;"",FQ91&lt;&gt;"",GF91&lt;&gt;""),"SI","NO"))))</f>
        <v>NO</v>
      </c>
      <c r="NP91" s="204" t="str">
        <f t="shared" si="327"/>
        <v>I TRIM</v>
      </c>
      <c r="NQ91" s="21">
        <f t="shared" si="436"/>
        <v>10</v>
      </c>
      <c r="NR91" s="21" t="str">
        <f t="shared" ca="1" si="451"/>
        <v>REVISAR FUM O FECHA SALIDA PROGRAMA</v>
      </c>
      <c r="NS91" s="205">
        <f t="shared" ca="1" si="328"/>
        <v>0</v>
      </c>
      <c r="NT91" s="21">
        <f t="shared" ca="1" si="329"/>
        <v>0</v>
      </c>
      <c r="NU91" s="21" t="str">
        <f t="shared" ca="1" si="330"/>
        <v>POR DEFINIR</v>
      </c>
      <c r="NV91" s="21" t="str">
        <f t="shared" ca="1" si="331"/>
        <v>POR DEFINIR</v>
      </c>
      <c r="NW91" s="206" t="str">
        <f>IF(AND(O91="",R91=""),"",IF(OR(AND(Tabla1[[#This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1" s="207" t="str">
        <f t="shared" ca="1" si="332"/>
        <v>SIN VACUNAR</v>
      </c>
      <c r="NY91" s="43">
        <f>ROW(Tabla1[[#This Row],['# DE TAMIZAJES SIFILIS TOMADOS ]])</f>
        <v>91</v>
      </c>
      <c r="NZ91" s="43">
        <f t="shared" si="333"/>
        <v>10</v>
      </c>
      <c r="OA91" s="43" t="str">
        <f t="shared" si="334"/>
        <v/>
      </c>
      <c r="OB91" s="43" t="str">
        <f t="shared" si="335"/>
        <v>NORMAL</v>
      </c>
      <c r="OC91" s="43" t="str">
        <f t="shared" si="336"/>
        <v/>
      </c>
      <c r="OD91" s="43" t="str">
        <f t="shared" si="337"/>
        <v/>
      </c>
      <c r="OE91" s="43" t="str">
        <f t="shared" si="338"/>
        <v/>
      </c>
      <c r="OF91" s="43" t="str">
        <f t="shared" si="339"/>
        <v/>
      </c>
      <c r="OG91" s="43" t="str">
        <f t="shared" si="340"/>
        <v/>
      </c>
      <c r="OH91" s="43" t="str">
        <f t="shared" si="341"/>
        <v/>
      </c>
      <c r="OI91" s="43" t="str">
        <f t="shared" si="342"/>
        <v/>
      </c>
      <c r="OJ91" s="43" t="str">
        <f t="shared" si="343"/>
        <v/>
      </c>
      <c r="OK91" s="43" t="str">
        <f t="shared" si="344"/>
        <v/>
      </c>
      <c r="OL91" s="43" t="str">
        <f t="shared" si="345"/>
        <v/>
      </c>
      <c r="OM91" s="43" t="str">
        <f t="shared" si="346"/>
        <v/>
      </c>
      <c r="ON91" s="43" t="str">
        <f t="shared" si="347"/>
        <v/>
      </c>
      <c r="OO91" s="43" t="str">
        <f t="shared" si="348"/>
        <v/>
      </c>
      <c r="OP91" s="43" t="str">
        <f t="shared" si="349"/>
        <v/>
      </c>
      <c r="OQ91" s="43" t="str">
        <f t="shared" si="350"/>
        <v/>
      </c>
      <c r="OR91" s="43" t="str">
        <f t="shared" si="351"/>
        <v/>
      </c>
      <c r="OS91" s="43" t="str">
        <f t="shared" si="352"/>
        <v/>
      </c>
      <c r="OT91" s="43" t="str">
        <f t="shared" si="353"/>
        <v/>
      </c>
      <c r="OU91" s="43" t="str">
        <f t="shared" si="354"/>
        <v/>
      </c>
      <c r="OV91" s="110" t="str">
        <f t="shared" si="355"/>
        <v/>
      </c>
      <c r="OW91" s="43" t="str">
        <f t="shared" si="356"/>
        <v/>
      </c>
      <c r="OX91" s="43" t="str">
        <f t="shared" si="357"/>
        <v/>
      </c>
      <c r="OY91" s="43" t="str">
        <f t="shared" si="358"/>
        <v/>
      </c>
      <c r="OZ91" s="43" t="str">
        <f t="shared" si="359"/>
        <v/>
      </c>
      <c r="PA91" s="43" t="str">
        <f t="shared" si="360"/>
        <v/>
      </c>
      <c r="PB91" s="43" t="str">
        <f t="shared" si="361"/>
        <v/>
      </c>
      <c r="PC91" s="43" t="str">
        <f t="shared" si="362"/>
        <v/>
      </c>
      <c r="PD91" s="43" t="str">
        <f t="shared" si="363"/>
        <v/>
      </c>
      <c r="PE91" s="43" t="str">
        <f t="shared" si="364"/>
        <v/>
      </c>
      <c r="PF91" s="43" t="str">
        <f t="shared" si="365"/>
        <v/>
      </c>
      <c r="PG91" s="43" t="str">
        <f t="shared" si="366"/>
        <v/>
      </c>
      <c r="PH91" s="43" t="str">
        <f t="shared" si="367"/>
        <v/>
      </c>
      <c r="PI91" s="43">
        <f t="shared" si="368"/>
        <v>27</v>
      </c>
      <c r="PJ91" s="43" t="str">
        <f t="shared" si="369"/>
        <v/>
      </c>
      <c r="PK91" s="43" t="str">
        <f t="shared" si="370"/>
        <v/>
      </c>
      <c r="PL91" s="43" t="str">
        <f t="shared" si="371"/>
        <v/>
      </c>
      <c r="PM91" s="43" t="str">
        <f t="shared" si="372"/>
        <v/>
      </c>
      <c r="PN91" s="43" t="str">
        <f t="shared" si="373"/>
        <v/>
      </c>
      <c r="PO91" s="43" t="str">
        <f t="shared" si="374"/>
        <v/>
      </c>
      <c r="PP91" s="43" t="str">
        <f t="shared" si="375"/>
        <v/>
      </c>
      <c r="PQ91" s="43" t="str">
        <f t="shared" si="376"/>
        <v/>
      </c>
      <c r="PR91" s="43" t="str">
        <f t="shared" si="377"/>
        <v/>
      </c>
      <c r="PS91" s="43" t="str">
        <f t="shared" si="378"/>
        <v/>
      </c>
      <c r="PT91" s="43" t="str">
        <f t="shared" si="379"/>
        <v/>
      </c>
      <c r="PU91" s="43" t="str">
        <f t="shared" si="380"/>
        <v/>
      </c>
      <c r="PV91" s="43" t="str">
        <f t="shared" si="381"/>
        <v/>
      </c>
      <c r="PW91" s="43" t="str">
        <f t="shared" si="382"/>
        <v/>
      </c>
      <c r="PX91" s="43" t="str">
        <f t="shared" si="383"/>
        <v/>
      </c>
      <c r="PY91" s="43" t="str">
        <f t="shared" si="384"/>
        <v/>
      </c>
      <c r="PZ91" s="43" t="str">
        <f t="shared" si="385"/>
        <v/>
      </c>
      <c r="QA91" s="43" t="str">
        <f t="shared" si="386"/>
        <v/>
      </c>
      <c r="QB91" s="43" t="str">
        <f t="shared" si="387"/>
        <v>NORMAL</v>
      </c>
      <c r="QC91" s="43" t="str">
        <f t="shared" si="388"/>
        <v/>
      </c>
      <c r="QD91" s="43" t="str">
        <f t="shared" si="389"/>
        <v/>
      </c>
      <c r="QE91" s="43" t="str">
        <f t="shared" si="390"/>
        <v/>
      </c>
      <c r="QF91" s="43" t="str">
        <f t="shared" si="391"/>
        <v/>
      </c>
      <c r="QG91" s="43" t="str">
        <f t="shared" si="392"/>
        <v/>
      </c>
      <c r="QH91" s="43" t="str">
        <f t="shared" si="393"/>
        <v/>
      </c>
      <c r="QI91" s="43" t="str">
        <f t="shared" si="394"/>
        <v/>
      </c>
      <c r="QJ91" s="43" t="str">
        <f t="shared" si="395"/>
        <v/>
      </c>
      <c r="QK91" s="43" t="str">
        <f t="shared" si="396"/>
        <v/>
      </c>
      <c r="QL91" s="43" t="str">
        <f t="shared" si="397"/>
        <v/>
      </c>
      <c r="QM91" s="43" t="str">
        <f t="shared" si="398"/>
        <v/>
      </c>
      <c r="QN91" s="43" t="str">
        <f t="shared" si="399"/>
        <v/>
      </c>
      <c r="QO91" s="43" t="str">
        <f t="shared" si="400"/>
        <v/>
      </c>
      <c r="QP91" s="43" t="str">
        <f t="shared" si="401"/>
        <v/>
      </c>
      <c r="QQ91" s="43" t="str">
        <f t="shared" si="402"/>
        <v/>
      </c>
      <c r="QR91" s="43">
        <f t="shared" si="432"/>
        <v>27</v>
      </c>
      <c r="QS91" s="43"/>
      <c r="QT91" s="21" t="str">
        <f t="shared" si="403"/>
        <v/>
      </c>
      <c r="QU91" s="21" t="str">
        <f t="shared" si="404"/>
        <v/>
      </c>
      <c r="QV91" s="21" t="str">
        <f t="shared" si="405"/>
        <v/>
      </c>
      <c r="QW91" s="21" t="str">
        <f t="shared" si="406"/>
        <v/>
      </c>
      <c r="QX91" s="21" t="str">
        <f t="shared" si="407"/>
        <v/>
      </c>
      <c r="QY91" s="21" t="str">
        <f t="shared" si="408"/>
        <v/>
      </c>
      <c r="QZ91" s="21" t="str">
        <f t="shared" si="409"/>
        <v/>
      </c>
      <c r="RA91" s="21" t="str">
        <f t="shared" si="410"/>
        <v/>
      </c>
      <c r="RB91" s="21" t="str">
        <f t="shared" si="411"/>
        <v/>
      </c>
      <c r="RC91" s="21" t="str">
        <f t="shared" si="412"/>
        <v/>
      </c>
      <c r="RD91" s="21" t="str">
        <f t="shared" si="413"/>
        <v/>
      </c>
      <c r="RE91" s="21" t="str">
        <f t="shared" si="414"/>
        <v/>
      </c>
      <c r="RF91" s="21" t="str">
        <f t="shared" si="415"/>
        <v/>
      </c>
      <c r="RG91" s="21" t="str">
        <f t="shared" si="416"/>
        <v/>
      </c>
      <c r="RH91" s="21" t="str">
        <f t="shared" si="417"/>
        <v>ADECUADO PARA EDAD GESTACIONAL</v>
      </c>
      <c r="RI91" s="21" t="str">
        <f t="shared" si="418"/>
        <v/>
      </c>
      <c r="RJ91" s="21" t="str">
        <f t="shared" si="419"/>
        <v/>
      </c>
      <c r="RK91" s="21" t="str">
        <f t="shared" si="420"/>
        <v/>
      </c>
      <c r="RL91" s="21" t="str">
        <f t="shared" si="421"/>
        <v/>
      </c>
      <c r="RM91" s="21" t="str">
        <f t="shared" si="422"/>
        <v/>
      </c>
      <c r="RN91" s="21" t="str">
        <f t="shared" si="423"/>
        <v/>
      </c>
      <c r="RO91" s="21" t="str">
        <f t="shared" si="424"/>
        <v/>
      </c>
      <c r="RP91" s="21" t="str">
        <f t="shared" si="425"/>
        <v/>
      </c>
      <c r="RQ91" s="21" t="str">
        <f t="shared" si="426"/>
        <v/>
      </c>
      <c r="RR91" s="21" t="str">
        <f t="shared" si="427"/>
        <v/>
      </c>
      <c r="RS91" s="21" t="str">
        <f t="shared" si="428"/>
        <v/>
      </c>
      <c r="RT91" s="21" t="str">
        <f t="shared" si="429"/>
        <v/>
      </c>
      <c r="RU91" s="21" t="str">
        <f t="shared" si="430"/>
        <v/>
      </c>
      <c r="RV91" s="21">
        <f t="shared" si="431"/>
        <v>10.257142857143274</v>
      </c>
      <c r="RW91" s="284">
        <f>IF(OR(Tabla1[[#This Row],[FUM FORMULA CONFIABLE]]="",Tabla1[[#This Row],[FUM FORMULA CONFIABLE]]="SD"),"",IF(Tabla1[[#This Row],[FUM FORMULA CONFIABLE]]="CORREGIDA",Tabla1[[#This Row],[FUM X ECO 1]],Tabla1[[#This Row],[FUM x AMENORREA]]))</f>
        <v>44880.2</v>
      </c>
      <c r="RX91" s="21">
        <f>IF(AND(Tabla1[[#This Row],[FUM X ECO 1]]="",Tabla1[[#This Row],[FUM x AMENORREA]]=""),"",IF(AND(Tabla1[[#This Row],[FUM X ECO 1]]="",Tabla1[[#This Row],[FUM x AMENORREA]]&lt;&gt;""),"X",SUM(Tabla1[[#This Row],[FUM X ECO 1]]-Tabla1[[#This Row],[FUM x AMENORREA]])))</f>
        <v>-8.8000000000029104</v>
      </c>
      <c r="RY91" s="21">
        <f t="shared" si="433"/>
        <v>1</v>
      </c>
    </row>
    <row r="92" spans="1:493" ht="45" customHeight="1" x14ac:dyDescent="0.25">
      <c r="A92" s="109"/>
      <c r="B92" s="43"/>
      <c r="C92" s="43" t="s">
        <v>845</v>
      </c>
      <c r="D92" s="124"/>
      <c r="E92" s="43" t="s">
        <v>1282</v>
      </c>
      <c r="F92" s="43" t="s">
        <v>943</v>
      </c>
      <c r="G92" s="43" t="s">
        <v>1283</v>
      </c>
      <c r="H92" s="43"/>
      <c r="I92" s="109" t="s">
        <v>851</v>
      </c>
      <c r="J92" s="110">
        <v>25547178</v>
      </c>
      <c r="K92" s="43" t="s">
        <v>852</v>
      </c>
      <c r="L92" s="175" t="s">
        <v>1509</v>
      </c>
      <c r="M92" s="22">
        <v>28905</v>
      </c>
      <c r="N92" s="213">
        <f t="shared" ca="1" si="252"/>
        <v>44.734246575342468</v>
      </c>
      <c r="O92" s="22">
        <v>44960</v>
      </c>
      <c r="P92" s="214" t="str">
        <f t="shared" si="437"/>
        <v>SI</v>
      </c>
      <c r="Q92" s="26" t="s">
        <v>855</v>
      </c>
      <c r="R92" s="22">
        <v>44960</v>
      </c>
      <c r="S92" s="21" t="s">
        <v>856</v>
      </c>
      <c r="T92" s="24" t="s">
        <v>690</v>
      </c>
      <c r="U92" s="21" t="s">
        <v>857</v>
      </c>
      <c r="V92" s="21" t="s">
        <v>858</v>
      </c>
      <c r="W92" s="21" t="s">
        <v>859</v>
      </c>
      <c r="X92" s="21" t="s">
        <v>859</v>
      </c>
      <c r="Y92" s="21" t="s">
        <v>859</v>
      </c>
      <c r="Z92" s="21" t="s">
        <v>894</v>
      </c>
      <c r="AA92" s="21" t="s">
        <v>860</v>
      </c>
      <c r="AB92" s="27" t="s">
        <v>861</v>
      </c>
      <c r="AC92" s="26" t="s">
        <v>877</v>
      </c>
      <c r="AD92" s="38" t="s">
        <v>863</v>
      </c>
      <c r="AE92" s="26" t="s">
        <v>854</v>
      </c>
      <c r="AF92" s="26" t="s">
        <v>854</v>
      </c>
      <c r="AG92" s="23" t="s">
        <v>864</v>
      </c>
      <c r="AH92" s="23" t="s">
        <v>864</v>
      </c>
      <c r="AI92" s="24" t="s">
        <v>863</v>
      </c>
      <c r="AJ92" s="23" t="s">
        <v>864</v>
      </c>
      <c r="AK92" s="220" t="str">
        <f>IF(AND(AD92="",AE92="",AF92="",AG92="",AH92="",AI92="",AJ92=""),"",IF(OR(Tabla1[[#This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EVALUACIÓN",IF(AND(O92="",R92=""),"",IF(AND(OR(O92&gt;0,R92&gt;0),NG92&gt;=0,NG92&lt;2),"SIN RIESGO",IF(AND(OR(O92&gt;0,R92&gt;0),NG92&gt;=2),"CON RIESGO","ASD")))))</f>
        <v>SIN RIESGO</v>
      </c>
      <c r="AL92" s="23" t="s">
        <v>864</v>
      </c>
      <c r="AM92" s="26" t="s">
        <v>864</v>
      </c>
      <c r="AN92" s="26"/>
      <c r="AO92" s="26" t="s">
        <v>864</v>
      </c>
      <c r="AP92" s="26" t="s">
        <v>864</v>
      </c>
      <c r="AQ92" s="26"/>
      <c r="AR92" s="26"/>
      <c r="AS92" s="21">
        <v>0</v>
      </c>
      <c r="AT92" s="21">
        <v>0</v>
      </c>
      <c r="AU92" s="21">
        <v>0</v>
      </c>
      <c r="AV92" s="26" t="s">
        <v>864</v>
      </c>
      <c r="AW92" s="21">
        <v>0</v>
      </c>
      <c r="AX92" s="26" t="s">
        <v>864</v>
      </c>
      <c r="AY92" s="26" t="s">
        <v>864</v>
      </c>
      <c r="AZ92" s="26" t="s">
        <v>864</v>
      </c>
      <c r="BA92" s="26" t="s">
        <v>864</v>
      </c>
      <c r="BB92" s="26" t="s">
        <v>864</v>
      </c>
      <c r="BC92" s="26" t="s">
        <v>864</v>
      </c>
      <c r="BD92" s="26" t="s">
        <v>864</v>
      </c>
      <c r="BE92" s="26" t="s">
        <v>864</v>
      </c>
      <c r="BF92" s="26" t="s">
        <v>864</v>
      </c>
      <c r="BG92" s="26" t="s">
        <v>864</v>
      </c>
      <c r="BH92" s="26" t="s">
        <v>864</v>
      </c>
      <c r="BI92" s="26" t="s">
        <v>864</v>
      </c>
      <c r="BJ92" s="26"/>
      <c r="BK92" s="26"/>
      <c r="BL92" s="26" t="s">
        <v>864</v>
      </c>
      <c r="BM92" s="26" t="s">
        <v>864</v>
      </c>
      <c r="BN92" s="22"/>
      <c r="BO92" s="22">
        <v>44780</v>
      </c>
      <c r="BP92" s="21" t="s">
        <v>854</v>
      </c>
      <c r="BQ92" s="222">
        <f t="shared" si="254"/>
        <v>0</v>
      </c>
      <c r="BR92" s="223">
        <f t="shared" si="255"/>
        <v>44781.5</v>
      </c>
      <c r="BS92" s="224">
        <f t="shared" si="256"/>
        <v>25.714285714285715</v>
      </c>
      <c r="BT92" s="216" t="str">
        <f t="shared" si="257"/>
        <v>II TRIM</v>
      </c>
      <c r="BU92" s="214" t="str">
        <f t="shared" ca="1" si="258"/>
        <v/>
      </c>
      <c r="BV92" s="25"/>
      <c r="BW92" s="22">
        <v>44960</v>
      </c>
      <c r="BX92" s="28">
        <v>25.5</v>
      </c>
      <c r="BY92" s="28"/>
      <c r="BZ92" s="22"/>
      <c r="CA92" s="21"/>
      <c r="CB92" s="26" t="s">
        <v>864</v>
      </c>
      <c r="CC92" s="26" t="s">
        <v>864</v>
      </c>
      <c r="CD92" s="26" t="s">
        <v>878</v>
      </c>
      <c r="CE92" s="26" t="s">
        <v>864</v>
      </c>
      <c r="CF92" s="22" t="s">
        <v>1517</v>
      </c>
      <c r="CG92" s="21">
        <v>1.44</v>
      </c>
      <c r="CH92" s="21">
        <v>52.5</v>
      </c>
      <c r="CI92" s="214">
        <f t="shared" si="259"/>
        <v>25.318287037037038</v>
      </c>
      <c r="CJ92" s="225" t="e">
        <f>IF(AND(CI92&lt;10,CH92="SD"),"SIN DATO PESO PREGESTACION O I TRIM",IF(AND(OR(R92&gt;0,O92&gt;0),CI92="X"),"INGRESAR DATO DE PESO",IF(CI92="SD","INGRESAR DATO DE TALLA Y PESO",IF(AND(OR(Tabla1[[#This Row],[MOMENTO EN QUE SE REALIZA EL PESO AL INGRESO A CPN]]="PREGESTACIÓN",NZ92="Menor"),CI92&lt;18.5),"BAJO PESO",IF(AND(OR(Tabla1[[#This Row],[MOMENTO EN QUE SE REALIZA EL PESO AL INGRESO A CPN]]="PREGESTACIÓN",NZ92="Menor"),CI92&lt;25),"NORMAL",IF(AND(OR(Tabla1[[#This Row],[MOMENTO EN QUE SE REALIZA EL PESO AL INGRESO A CPN]]="PREGESTACIÓN",NZ92="Menor"),CI92&lt;30),"SOBREPESO",IF(AND(OR(Tabla1[[#This Row],[MOMENTO EN QUE SE REALIZA EL PESO AL INGRESO A CPN]]="PREGESTACIÓN",NZ92="Menor"),CI92&gt;=30,CI92&lt;50),"OBESIDAD",IF(AND(BS92&gt;0,Tabla1[[#This Row],[MOMENTO EN QUE SE REALIZA EL PESO AL INGRESO A CPN]]="GESTACIÓN"),HLOOKUP(NZ92,$OA$2:PH92,NY92),""))))))))</f>
        <v>#REF!</v>
      </c>
      <c r="CK92" s="212">
        <f t="shared" si="260"/>
        <v>44998</v>
      </c>
      <c r="CL92" s="21"/>
      <c r="CM92" s="214">
        <f t="shared" si="261"/>
        <v>0</v>
      </c>
      <c r="CN92" s="216">
        <f t="shared" si="262"/>
        <v>31</v>
      </c>
      <c r="CO92" s="216" t="e">
        <f>IF(PI92="","",IF(PI92&gt;0,HLOOKUP(PI92,$PJ$2:QQ92,NY92),""))</f>
        <v>#REF!</v>
      </c>
      <c r="CP92" s="21"/>
      <c r="CQ92" s="216" t="e">
        <f>IF(QR92="Menor","NO APLICA-MENOR 13 SEM",IF(AND(CC92="SI",CN92&gt;23),"NO APLICA- GEMELAR",IF(QR92="","",IF(QR92&gt;0,HLOOKUP(QR92,$QS$2:RU92,NY92),""))))</f>
        <v>#REF!</v>
      </c>
      <c r="CR92" s="21"/>
      <c r="CS92" s="21"/>
      <c r="CT92" s="217" t="str">
        <f>IF(R92="","",IF(AND(BS92&gt;1,BS92&lt;12,Tabla1[[#This Row],[T.A. SISTOLICA - ANTES DE SEMANA 12]]="",Tabla1[[#This Row],[T.A. DIASTOLICA - ANTES DE SEMANA 12]]=""),"REGISTRE DATO TA ANTES SEMANA 12",IF(AND(BS92&gt;11,BS92&lt;43,Tabla1[[#This Row],[T.A. SISTOLICA - ANTES DE SEMANA 12]]="",Tabla1[[#This Row],[T.A. DIASTOLICA - ANTES DE SEMANA 12]]=""),"NO APLICA REGISTRO TA-INGRESO TARDIO",IF(AND(OR(O92&gt;0,R92&gt;0),OR(CR92&gt;=140,CS92&gt;=90)),"DEFINIR ESTADIO HTA",IF(AND(OR(O92&gt;0,R92&gt;0),AND(CR92&gt;120,CR92&lt;=139)),"PRE HTA SEGUIMIENTO",IF(AND(OR(O92&gt;0,R92&gt;0),AND(CS92&gt;80,CS92&lt;=89)),"PRE HTA SEGUIMIENTO",IF(AND(OR(O92&gt;0,R92&gt;0),AND(CR92&gt;=80,CR92&lt;=120)),"APARENTEMENTE NORMAL",IF(AND(OR(O92&gt;0,R92&gt;0),AND(CS92&gt;=50,CS92&lt;=80)),"APARENTEMENTE NORMAL",IF(AND(OR(O92&gt;0,R92&gt;0),AND(CR92&gt;1,CR92&lt;=70),AND(CS92&gt;1,CS92&lt;=40)),"HIPOTENSIÓN","")))))))))</f>
        <v>NO APLICA REGISTRO TA-INGRESO TARDIO</v>
      </c>
      <c r="CU92" s="21">
        <v>100</v>
      </c>
      <c r="CV92" s="21">
        <v>60</v>
      </c>
      <c r="CW92" s="217" t="str">
        <f ca="1">IF(R92="","",IF(AND(CN92&gt;19,CN92&lt;27,Tabla1[[#This Row],[T.A. SISTOLICA (Entre semana 20 y 26)]]="",Tabla1[[#This Row],[T.A. DIATOLICA (Entre semana 20 y 26)]]=""),"ACUDE A CONTROL SEM 20 A 26 REGISTRE TA AHORA",IF(AND(BS92&gt;1,BS92&lt;27,BU92&gt;19,Tabla1[[#This Row],[T.A. SISTOLICA (Entre semana 20 y 26)]]="",Tabla1[[#This Row],[T.A. DIATOLICA (Entre semana 20 y 26)]]=""),"COMPLETE REGISTRO TA CONTROL SEM 20 A26 ",IF(AND(BS92&gt;26,BS92&lt;43,Tabla1[[#This Row],[T.A. SISTOLICA (Entre semana 20 y 26)]]="",Tabla1[[#This Row],[T.A. DIATOLICA (Entre semana 20 y 26)]]=""),"NO APLICA REGISTRO TA-INGRESO TARDIO",IF(AND(OR(O92&gt;0,R92&gt;0),OR(CU92&gt;=140,CV92&gt;=90)),"ALTO RIESGO PREECLAMPSIA,DEFINIR ESTADIO HTA",IF(AND(OR(O92&gt;0,R92&gt;0),AND(CU92&gt;120,CU92&lt;=139)),"PRE HTA SEGUIMIENTO,RIESGO HIPERTENSION INDUCIDA POR EL EMBARAZO",IF(AND(OR(O92&gt;0,R92&gt;0),AND(CV92&gt;80,CV92&lt;=89)),"PRE HTA SEGUIMIENTO, RIESGO HIPERTENSION INDUCIDA POR EL EMBARAZO",IF(AND(OR(O92&lt;&gt;"",R92&lt;&gt;""),CS92&lt;&gt;"",CV92&lt;&gt;"",CS92&lt;=CV92),"VIGILAR CIFRAS PRESION ARTERIAL",IF(AND(OR(O92&gt;0,R92&gt;0),AND(CU92&gt;120,CU92&lt;=139)),"PRE HTA SEGUIMIENTO",IF(AND(OR(O92&gt;0,R92&gt;0),AND(CU92&gt;1,CU92&lt;=70),AND(CV92&gt;1,CV92&lt;=40)),"HIPOTENSIÓN",IF(AND(OR(O92&lt;&gt;"",R92&lt;&gt;""),CS92&lt;&gt;"",CV92&lt;&gt;"",CS92&gt;CV92),"APARENTEMENTE NORMAL",IF(AND(OR(O92&gt;0,R92&gt;0),AND(CU92&gt;=80,CU92&lt;=120)),"APARENTEMENTE NORMAL",IF(AND(OR(O92&gt;0,R92&gt;0),AND(CV92&gt;=50,CV92&lt;=80)),"APARENTEMENTE NORMAL","")))))))))))))</f>
        <v>APARENTEMENTE NORMAL</v>
      </c>
      <c r="CX92" s="21"/>
      <c r="CY92" s="21"/>
      <c r="CZ92" s="216" t="str">
        <f t="shared" si="263"/>
        <v/>
      </c>
      <c r="DA92" s="21"/>
      <c r="DB92" s="21"/>
      <c r="DC92" s="217" t="str">
        <f t="shared" si="264"/>
        <v>REGISTRE DATO PRESIÓN ARTERIAL MENSUAL</v>
      </c>
      <c r="DD92" s="22">
        <v>44960</v>
      </c>
      <c r="DE92" s="22">
        <v>44960</v>
      </c>
      <c r="DF92" s="22">
        <v>44998</v>
      </c>
      <c r="DG92" s="22"/>
      <c r="DH92" s="22"/>
      <c r="DI92" s="22"/>
      <c r="DJ92" s="22"/>
      <c r="DK92" s="22"/>
      <c r="DL92" s="22"/>
      <c r="DM92" s="22"/>
      <c r="DN92" s="22"/>
      <c r="DO92" s="22"/>
      <c r="DP92" s="22"/>
      <c r="DQ92" s="22"/>
      <c r="DR92" s="28"/>
      <c r="DS92" s="22"/>
      <c r="DT92" s="22"/>
      <c r="DU92" s="216" t="str">
        <f t="shared" ca="1" si="438"/>
        <v>SALE SIN PLAN DE PARTO</v>
      </c>
      <c r="DV92" s="226" t="str">
        <f t="shared" si="439"/>
        <v>SALIO PROGRAMA</v>
      </c>
      <c r="DW9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2" s="216" t="str">
        <f t="shared" ca="1" si="266"/>
        <v/>
      </c>
      <c r="DY92" s="212">
        <f>IF(R92="","",IF(R92&gt;0,MAX(Tabla1[[#This Row],[FECHA C2]:[FECHA C13]],Tabla1[[#This Row],[FECHA CONSULTA PRIMERA VEZ PROGRAMA CPN ]])))</f>
        <v>44998</v>
      </c>
      <c r="DZ92" s="216">
        <f t="shared" si="267"/>
        <v>31</v>
      </c>
      <c r="EA92" s="222">
        <f>IF(R92&gt;0,SUM(COUNTA(DF92:DQ92)+COUNTA(Tabla1[[#This Row],[FECHA CONSULTA PRIMERA VEZ PROGRAMA CPN ]])),"")</f>
        <v>2</v>
      </c>
      <c r="EB92" s="222" t="str">
        <f t="shared" si="268"/>
        <v>NO</v>
      </c>
      <c r="EC92" s="214">
        <f t="shared" si="269"/>
        <v>5</v>
      </c>
      <c r="ED92" s="227">
        <f t="shared" si="270"/>
        <v>0.4</v>
      </c>
      <c r="EE92" s="22">
        <v>44960</v>
      </c>
      <c r="EF92" s="22">
        <v>44960</v>
      </c>
      <c r="EG92" s="22">
        <v>44960</v>
      </c>
      <c r="EH92" s="22"/>
      <c r="EI92" s="22">
        <v>44960</v>
      </c>
      <c r="EJ92" s="22"/>
      <c r="EK92" s="344">
        <v>44992</v>
      </c>
      <c r="EL92" s="21"/>
      <c r="EM92" s="21"/>
      <c r="EN92" s="22"/>
      <c r="EO92" s="222" t="str">
        <f t="shared" si="271"/>
        <v>TOMAR EXAMEN</v>
      </c>
      <c r="EP92" s="214" t="str">
        <f t="shared" si="272"/>
        <v/>
      </c>
      <c r="EQ92" s="216" t="str">
        <f t="shared" si="273"/>
        <v>POR DEFINIR</v>
      </c>
      <c r="ER92" s="24"/>
      <c r="ES92" s="22"/>
      <c r="ET92" s="29" t="str">
        <f t="shared" ca="1" si="440"/>
        <v>SALE SIN TAMIZAJE HEMOGLOBINA SEM 28</v>
      </c>
      <c r="EU92" s="25" t="str">
        <f t="shared" si="275"/>
        <v/>
      </c>
      <c r="EV92" s="24"/>
      <c r="EW92" s="24"/>
      <c r="EX92" s="22"/>
      <c r="EY92" s="29" t="str">
        <f t="shared" si="248"/>
        <v>TOMAR EXAMEN</v>
      </c>
      <c r="EZ92" s="25" t="str">
        <f t="shared" ca="1" si="249"/>
        <v/>
      </c>
      <c r="FA92" s="21"/>
      <c r="FB92" s="22"/>
      <c r="FC92" s="29" t="str">
        <f t="shared" si="276"/>
        <v>PIERDE TOMA TAMIZAJE- INGRESO TARDIO</v>
      </c>
      <c r="FD92" s="29"/>
      <c r="FE92" s="29"/>
      <c r="FF92" s="29"/>
      <c r="FG92" s="21" t="str">
        <f t="shared" ca="1" si="277"/>
        <v/>
      </c>
      <c r="FH92" s="31"/>
      <c r="FI92" s="29" t="str">
        <f t="shared" si="278"/>
        <v>TOMAR EXAMEN</v>
      </c>
      <c r="FJ92" s="22"/>
      <c r="FK92" s="22"/>
      <c r="FL92" s="29" t="str">
        <f t="shared" ca="1" si="279"/>
        <v>NO APLICA-INGRESO TARDIO</v>
      </c>
      <c r="FM92" s="22"/>
      <c r="FN92" s="32"/>
      <c r="FO92" s="29" t="str">
        <f t="shared" ca="1" si="441"/>
        <v>PIERDE TOMA DE TAMIZAJE</v>
      </c>
      <c r="FP92" s="22"/>
      <c r="FQ92" s="32"/>
      <c r="FR92" s="29" t="str">
        <f t="shared" ca="1" si="442"/>
        <v>PIERDE TOMA DE TAMIZAJE</v>
      </c>
      <c r="FS92" s="22"/>
      <c r="FT92" s="32"/>
      <c r="FU92" s="29" t="str">
        <f>IF(AND(FJ92="",FM92="",FP92="",FS92=""),"",IF(OR(OR(Tabla1[[#This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2" s="28"/>
      <c r="FW92" s="22"/>
      <c r="FX92" s="29" t="str">
        <f t="shared" si="280"/>
        <v>TOMAR EXAMEN</v>
      </c>
      <c r="FY92" s="22"/>
      <c r="FZ92" s="22"/>
      <c r="GA92" s="29" t="str">
        <f t="shared" ca="1" si="250"/>
        <v>NO APLICA-INGRESO TARDIO</v>
      </c>
      <c r="GB92" s="22"/>
      <c r="GC92" s="22"/>
      <c r="GD92" s="29" t="str">
        <f t="shared" ca="1" si="443"/>
        <v>PIERDE TOMA DE TAMIZAJE</v>
      </c>
      <c r="GE92" s="22"/>
      <c r="GF92" s="22"/>
      <c r="GG92" s="29" t="str">
        <f t="shared" ca="1" si="444"/>
        <v>PIERDE TOMA DE TAMIZAJE</v>
      </c>
      <c r="GH92" s="22"/>
      <c r="GI92" s="29"/>
      <c r="GJ92" s="22"/>
      <c r="GK92" s="22"/>
      <c r="GL92" s="22"/>
      <c r="GM92" s="22"/>
      <c r="GN92" s="28"/>
      <c r="GO92" s="22"/>
      <c r="GP92" s="29" t="str">
        <f t="shared" si="283"/>
        <v>TOMAR EXAMEN</v>
      </c>
      <c r="GQ92" s="28"/>
      <c r="GR92" s="28"/>
      <c r="GS92" s="22" t="str">
        <f t="shared" si="284"/>
        <v/>
      </c>
      <c r="GT92" s="22"/>
      <c r="GU92" s="29" t="str">
        <f t="shared" si="285"/>
        <v>TOMAR EXAMEN</v>
      </c>
      <c r="GV92" s="21" t="str">
        <f t="shared" si="286"/>
        <v>POR DEFINIR</v>
      </c>
      <c r="GW92" s="28"/>
      <c r="GX92" s="30"/>
      <c r="GY92" s="21"/>
      <c r="GZ92" s="21"/>
      <c r="HA92" s="21"/>
      <c r="HB92" s="21"/>
      <c r="HC92" s="21"/>
      <c r="HD92" s="21"/>
      <c r="HE92" s="21"/>
      <c r="HF92" s="22"/>
      <c r="HG92" s="22" t="str">
        <f>IF(OR(O92&gt;0,R92&gt;0),CONCATENATE(IF(Tabla1[[#This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2" s="22" t="e">
        <f t="shared" si="287"/>
        <v>#REF!</v>
      </c>
      <c r="HI92" s="22" t="str">
        <f t="shared" si="288"/>
        <v>ALTO RIESGO</v>
      </c>
      <c r="HJ92" s="21"/>
      <c r="HK92" s="21" t="str">
        <f t="shared" si="289"/>
        <v>RIESGO MODERADO (2 O MAS CRITERIOS) VER MANEJO GUIA SUMINISTRO ASA Y CALCIO</v>
      </c>
      <c r="HL92" s="24" t="str">
        <f t="shared" si="290"/>
        <v>REGISTRE DATO PRESIÓN ARTERIAL MENSUAL</v>
      </c>
      <c r="HM92" s="21" t="str">
        <f t="shared" ca="1" si="291"/>
        <v/>
      </c>
      <c r="HN92" s="30" t="str">
        <f t="shared" si="445"/>
        <v>SALIO PROGRAMA</v>
      </c>
      <c r="HO92" s="21"/>
      <c r="HP92" s="21"/>
      <c r="HQ92" s="21">
        <v>44960</v>
      </c>
      <c r="HR92" s="21" t="str">
        <f>IF(R92="","",IF(Tabla1[[#This Row],[ALARMA FACTORES DE RIESGO COMPLICACIONES HIPERTENSIVAS3]]="SIN ANTECEDENTES DE RIESGO","No Aplica para suministro de ASA",IF(AND(Tabla1[[#This Row],[FECHA INICIO DE SUMINISTRO DE ASA]]&gt;0,RV92&lt;12),"Inicia ASA ANTES de Sem 12",IF(AND(RV92&gt;11,RV92&lt;17,OR(HK92="RIESGO ALTO DE COMPLICACIONES HIPERTENSIVAS VER MANEJO GUIA SUMINISTRO ASA Y CALCIO",HK92="RIESGO MODERADO (2 O MAS CRITERIOS) VER MANEJO GUIA SUMINISTRO ASA Y CALCIO")),"Inicio oportuno de ASA",IF(AND(RV92&gt;12,OR(HK92="RIESGO ALTO DE COMPLICACIONES HIPERTENSIVAS VER MANEJO GUIA SUMINISTRO ASA Y CALCIO",HK92="RIESGO MODERADO (2 O MAS CRITERIOS) VER MANEJO GUIA SUMINISTRO ASA Y CALCIO")),"Inicio no oportuno mayor a 16 semanas",IF(AND(BU92&lt;12,OR(HK92="RIESGO ALTO DE COMPLICACIONES HIPERTENSIVAS VER MANEJO GUIA SUMINISTRO ASA Y CALCIO",HK92="RIESGO MODERADO (2 O MAS CRITERIOS) VER MANEJO GUIA SUMINISTRO ASA Y CALCIO")),"Pendiente Inicio de ASA a la semana 12",IF(AND(BU92&gt;11,BU92&lt;17,OR(HK92="RIESGO ALTO DE COMPLICACIONES HIPERTENSIVAS VER MANEJO GUIA SUMINISTRO ASA Y CALCIO",HK92="RIESGO MODERADO (2 O MAS CRITERIOS) VER MANEJO GUIA SUMINISTRO ASA Y CALCIO")),"Iniciar de inmediato ASA",IF(AND(BU92&gt;16,OR(HK92="RIESGO ALTO DE COMPLICACIONES HIPERTENSIVAS VER MANEJO GUIA SUMINISTRO ASA Y CALCIO",HK92="RIESGO MODERADO (2 O MAS CRITERIOS) VER MANEJO GUIA SUMINISTRO ASA Y CALCIO")),"Pierde Oportunidad, Inicio tardío de ASA","XXXXX"))))))))</f>
        <v>Inicio no oportuno mayor a 16 semanas</v>
      </c>
      <c r="HS92" s="22">
        <v>44960</v>
      </c>
      <c r="HT92" s="22" t="s">
        <v>870</v>
      </c>
      <c r="HU92" s="22">
        <v>44960</v>
      </c>
      <c r="HV92" s="22" t="s">
        <v>870</v>
      </c>
      <c r="HW92" s="22">
        <v>44960</v>
      </c>
      <c r="HX92" s="22" t="s">
        <v>870</v>
      </c>
      <c r="HY92" s="22">
        <v>44960</v>
      </c>
      <c r="HZ92" s="28">
        <f t="shared" si="292"/>
        <v>25.714285714285715</v>
      </c>
      <c r="IA92" s="26"/>
      <c r="IB92" s="26"/>
      <c r="IC92" s="111"/>
      <c r="ID92" s="22"/>
      <c r="IE92" s="22" t="str">
        <f t="shared" ca="1" si="293"/>
        <v>SALE SIN VACUNA</v>
      </c>
      <c r="IF92" s="22"/>
      <c r="IG92" s="22">
        <f t="shared" si="294"/>
        <v>45060</v>
      </c>
      <c r="IH92" s="29">
        <f t="shared" ca="1" si="295"/>
        <v>-173</v>
      </c>
      <c r="II92" s="22" t="str">
        <f t="shared" ca="1" si="296"/>
        <v>POSIBLEMENTE NACIO</v>
      </c>
      <c r="IJ92" s="22"/>
      <c r="IK92" s="21" t="s">
        <v>898</v>
      </c>
      <c r="IL92" s="21" t="s">
        <v>1639</v>
      </c>
      <c r="IM92" s="34"/>
      <c r="IN92" s="349">
        <v>45032</v>
      </c>
      <c r="IO92" s="21" t="s">
        <v>1640</v>
      </c>
      <c r="IP92" s="29">
        <f t="shared" si="435"/>
        <v>36</v>
      </c>
      <c r="IQ92" s="110"/>
      <c r="IR92" s="21" t="s">
        <v>879</v>
      </c>
      <c r="IS92" s="21" t="s">
        <v>1641</v>
      </c>
      <c r="IT92" s="21" t="s">
        <v>1642</v>
      </c>
      <c r="IU92" s="21"/>
      <c r="IV92" s="21"/>
      <c r="IW92" s="21"/>
      <c r="IX92" s="21"/>
      <c r="IY92" s="21"/>
      <c r="IZ92" s="21"/>
      <c r="JA92" s="21"/>
      <c r="JB92" s="30">
        <v>1</v>
      </c>
      <c r="JC92" s="21" t="s">
        <v>1643</v>
      </c>
      <c r="JD92" s="36">
        <v>1750</v>
      </c>
      <c r="JE92" s="21" t="str">
        <f t="shared" si="446"/>
        <v>PREMATURO</v>
      </c>
      <c r="JF92" s="30"/>
      <c r="JG92" s="21"/>
      <c r="JH92" s="21"/>
      <c r="JI92" s="21"/>
      <c r="JJ92" s="30"/>
      <c r="JK92" s="22"/>
      <c r="JL92" s="22"/>
      <c r="JM92" s="21"/>
      <c r="JN92" s="36"/>
      <c r="JO92" s="21" t="str">
        <f t="shared" si="447"/>
        <v/>
      </c>
      <c r="JP92" s="22"/>
      <c r="JQ92" s="21"/>
      <c r="JR92" s="21"/>
      <c r="JS92" s="21"/>
      <c r="JT92" s="30"/>
      <c r="JU92" s="22"/>
      <c r="JV92" s="22"/>
      <c r="JW92" s="33"/>
      <c r="JX92" s="28" t="str">
        <f t="shared" si="448"/>
        <v>INASISTENTE</v>
      </c>
      <c r="JY92" s="33"/>
      <c r="JZ92" s="28" t="str">
        <f t="shared" si="449"/>
        <v>INASISTENTE</v>
      </c>
      <c r="KA92" s="21"/>
      <c r="KB92" s="21"/>
      <c r="KC92" s="21"/>
      <c r="KD92" s="37"/>
      <c r="KE92" s="28"/>
      <c r="KF92" s="28"/>
      <c r="KG92" s="28"/>
      <c r="KH92" s="39"/>
      <c r="KI92" s="39"/>
      <c r="KJ92" s="66"/>
      <c r="KK92" s="39"/>
      <c r="KL92" s="39"/>
      <c r="KM92" s="66"/>
      <c r="KN92" s="39"/>
      <c r="KO92" s="39"/>
      <c r="KP92" s="39"/>
      <c r="KQ92" s="39"/>
      <c r="KR92" s="39"/>
      <c r="KS92" s="39"/>
      <c r="KT92" s="39"/>
      <c r="KU92" s="38"/>
      <c r="KV92" s="38"/>
      <c r="KW92" s="38"/>
      <c r="KX92" s="38"/>
      <c r="KY92" s="38"/>
      <c r="KZ92" s="38"/>
      <c r="LA92" s="38"/>
      <c r="LB92" s="38"/>
      <c r="LC92" s="38"/>
      <c r="LD92" s="38"/>
      <c r="LE92" s="38"/>
      <c r="LF92" s="38"/>
      <c r="LG92" s="38"/>
      <c r="LH92" s="38"/>
      <c r="LI92" s="38"/>
      <c r="LJ92" s="38"/>
      <c r="LK92" s="38"/>
      <c r="LL92" s="38"/>
      <c r="LM92" s="38"/>
      <c r="LN92" s="38"/>
      <c r="LO92" s="38"/>
      <c r="LP92" s="38"/>
      <c r="LQ92" s="38"/>
      <c r="LR92" s="38"/>
      <c r="LS92" s="38"/>
      <c r="LT92" s="38"/>
      <c r="LU92" s="38"/>
      <c r="LV92" s="38"/>
      <c r="LW92" s="38"/>
      <c r="LX92" s="38"/>
      <c r="LY92" s="38"/>
      <c r="LZ92" s="38"/>
      <c r="MA92" s="38"/>
      <c r="MB92" s="38"/>
      <c r="MC92" s="38"/>
      <c r="MD92" s="38"/>
      <c r="ME92" s="38"/>
      <c r="MF92" s="38"/>
      <c r="MG92" s="38"/>
      <c r="MH92" s="43">
        <f t="shared" si="302"/>
        <v>0</v>
      </c>
      <c r="MI92" s="43" t="str">
        <f t="shared" si="303"/>
        <v/>
      </c>
      <c r="MJ92" s="43" t="str">
        <f t="shared" si="304"/>
        <v/>
      </c>
      <c r="MK92" s="43">
        <f t="shared" si="305"/>
        <v>0</v>
      </c>
      <c r="ML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2" s="43">
        <f t="shared" si="306"/>
        <v>25.714285714285715</v>
      </c>
      <c r="MN92" s="43">
        <f t="shared" si="307"/>
        <v>2</v>
      </c>
      <c r="MO92" s="43">
        <f t="shared" si="308"/>
        <v>2023</v>
      </c>
      <c r="MP92" s="43" t="str">
        <f t="shared" si="309"/>
        <v>I TRIMESTRE AÑO</v>
      </c>
      <c r="MQ92" s="43">
        <f t="shared" si="310"/>
        <v>43.320192728865521</v>
      </c>
      <c r="MR92" s="43">
        <f t="shared" si="311"/>
        <v>2</v>
      </c>
      <c r="MS92" s="43" t="str">
        <f t="shared" si="312"/>
        <v xml:space="preserve"> DE 40 Y MAS</v>
      </c>
      <c r="MT92" s="43">
        <f t="shared" si="313"/>
        <v>0</v>
      </c>
      <c r="MU92" s="43">
        <f t="shared" si="314"/>
        <v>1</v>
      </c>
      <c r="MV92" s="43">
        <f t="shared" si="315"/>
        <v>0</v>
      </c>
      <c r="MW92" s="43">
        <f t="shared" si="316"/>
        <v>0</v>
      </c>
      <c r="MX92" s="43" t="str">
        <f t="shared" si="317"/>
        <v/>
      </c>
      <c r="MY92" s="43" t="str">
        <f t="shared" ca="1" si="450"/>
        <v/>
      </c>
      <c r="MZ92" s="43" t="str">
        <f t="shared" si="318"/>
        <v/>
      </c>
      <c r="NA92" s="43">
        <f t="shared" si="319"/>
        <v>0</v>
      </c>
      <c r="NB92" s="43" t="str">
        <f t="shared" si="320"/>
        <v/>
      </c>
      <c r="NC92" s="43" t="str">
        <f t="shared" si="321"/>
        <v/>
      </c>
      <c r="ND92" s="43">
        <f t="shared" ca="1" si="322"/>
        <v>3</v>
      </c>
      <c r="NE92" s="43">
        <f>IF(OR(O92&gt;0,R92&gt;0),SUM(COUNTIF(Tabla1[[#This Row],[AÑOS AL INICIO5 CPN]],"&gt;=40"),COUNTIF(AS92,"0"),COUNTIF(AR92,"SI"),COUNTIF(CC92,"SI"),COUNTIF(BQ92,"&gt;119"),COUNTIF(CI92,"&gt;=35")),"")</f>
        <v>2</v>
      </c>
      <c r="NF92" s="43" t="str">
        <f t="shared" si="323"/>
        <v/>
      </c>
      <c r="NG92" s="43">
        <f t="shared" si="324"/>
        <v>0</v>
      </c>
      <c r="NH92" s="43">
        <f t="shared" si="325"/>
        <v>178.5</v>
      </c>
      <c r="NI9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CPN",P92="NO"),"Z",IF(AND(Tabla1[[#This Row],[CITA PROXIMO CONTROL]]="CITA MANUAL",Tabla1[[#This Row],[GESTANTES ACTUALES]]="ACTIVA INGRESO A CPN"),"W",IF(AND(Tabla1[[#This Row],[GESTANTES ACTUALES]]="SALIO PROGRAMA",IN92=""),"S",IF(AND(Tabla1[[#This Row],[CITA PROXIMO CONTROL]]&gt;0,IN92=""),(Tabla1[[#This Row],[CITA PROXIMO CONTROL]]-TODAY()),"SD"))))))))</f>
        <v>SD</v>
      </c>
      <c r="NJ92" s="43">
        <f>MONTH(Tabla1[[#This Row],[FECHA DE SALIDA  DEL PROGRAMA]])</f>
        <v>4</v>
      </c>
      <c r="NK92" s="43">
        <f>YEAR(Tabla1[[#This Row],[FECHA DE SALIDA  DEL PROGRAMA]])</f>
        <v>2023</v>
      </c>
      <c r="NL92" s="43" t="str">
        <f t="shared" si="326"/>
        <v>X</v>
      </c>
      <c r="NM92" s="43" t="str">
        <f>IF(AND(O92&gt;0,R92=""),"NO CPN",IF(AND(O92="",R92=""),"",IF(AND(EN92&lt;&gt;"",EX92&lt;&gt;"",FB92&lt;&gt;"",FK92&lt;&gt;"",FW92&lt;&gt;"",FZ92&lt;&gt;"",GO92&lt;&gt;"",GQ92&lt;&gt;"",GR92&lt;&gt;""),"SI","NO")))</f>
        <v>NO</v>
      </c>
      <c r="NN92" s="43" t="str">
        <f ca="1">IF(AND(O92&gt;0,R92=""),"NO CPN",IF(AND(O92="",R92=""),"",IF(AND(R92&gt;0,Tabla1[[#This Row],[SEMANAS DE GESTACION ACTUALIZADAS]]&lt;=12),"NO APLICA",IF(AND(FH92&lt;&gt;"",FN92&lt;&gt;""),"SI","NO"))))</f>
        <v>NO</v>
      </c>
      <c r="NO92" s="43" t="str">
        <f ca="1">IF(AND(O92&gt;0,R92=""),"NO CPN",IF(AND(O92="",R92=""),"",IF(AND(R92&gt;0,Tabla1[[#This Row],[SEMANAS DE GESTACION ACTUALIZADAS]]&lt;=27),"NO APLICA",IF(AND(ES92&lt;&gt;"",FQ92&lt;&gt;"",GF92&lt;&gt;""),"SI","NO"))))</f>
        <v>NO</v>
      </c>
      <c r="NP92" s="204" t="str">
        <f t="shared" si="327"/>
        <v>II TRIM</v>
      </c>
      <c r="NQ92" s="21">
        <f t="shared" si="436"/>
        <v>1</v>
      </c>
      <c r="NR92" s="21">
        <f t="shared" si="451"/>
        <v>2</v>
      </c>
      <c r="NS92" s="205">
        <f t="shared" ca="1" si="328"/>
        <v>0</v>
      </c>
      <c r="NT92" s="21">
        <f t="shared" ca="1" si="329"/>
        <v>0</v>
      </c>
      <c r="NU92" s="21" t="str">
        <f t="shared" ca="1" si="330"/>
        <v>INCOMPLETO</v>
      </c>
      <c r="NV92" s="21" t="str">
        <f t="shared" ca="1" si="331"/>
        <v>INCOMPLETO</v>
      </c>
      <c r="NW92" s="206" t="str">
        <f>IF(AND(O92="",R92=""),"",IF(OR(AND(Tabla1[[#This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2" s="207" t="str">
        <f t="shared" ca="1" si="332"/>
        <v>SIN VACUNAR</v>
      </c>
      <c r="NY92" s="43">
        <f>ROW(Tabla1[[#This Row],['# DE TAMIZAJES SIFILIS TOMADOS ]])</f>
        <v>92</v>
      </c>
      <c r="NZ92" s="43">
        <f t="shared" si="333"/>
        <v>25</v>
      </c>
      <c r="OA92" s="43" t="str">
        <f t="shared" si="334"/>
        <v/>
      </c>
      <c r="OB92" s="43" t="str">
        <f t="shared" si="335"/>
        <v/>
      </c>
      <c r="OC92" s="43" t="str">
        <f t="shared" si="336"/>
        <v/>
      </c>
      <c r="OD92" s="43" t="str">
        <f t="shared" si="337"/>
        <v/>
      </c>
      <c r="OE92" s="43" t="str">
        <f t="shared" si="338"/>
        <v/>
      </c>
      <c r="OF92" s="43" t="str">
        <f t="shared" si="339"/>
        <v/>
      </c>
      <c r="OG92" s="43" t="str">
        <f t="shared" si="340"/>
        <v/>
      </c>
      <c r="OH92" s="43" t="str">
        <f t="shared" si="341"/>
        <v/>
      </c>
      <c r="OI92" s="43" t="str">
        <f t="shared" si="342"/>
        <v/>
      </c>
      <c r="OJ92" s="43" t="str">
        <f t="shared" si="343"/>
        <v/>
      </c>
      <c r="OK92" s="43" t="str">
        <f t="shared" si="344"/>
        <v/>
      </c>
      <c r="OL92" s="43" t="str">
        <f t="shared" si="345"/>
        <v/>
      </c>
      <c r="OM92" s="43" t="str">
        <f t="shared" si="346"/>
        <v/>
      </c>
      <c r="ON92" s="43" t="str">
        <f t="shared" si="347"/>
        <v/>
      </c>
      <c r="OO92" s="43" t="str">
        <f t="shared" si="348"/>
        <v/>
      </c>
      <c r="OP92" s="43" t="str">
        <f t="shared" si="349"/>
        <v/>
      </c>
      <c r="OQ92" s="43" t="str">
        <f t="shared" si="350"/>
        <v>NORMAL</v>
      </c>
      <c r="OR92" s="43" t="str">
        <f t="shared" si="351"/>
        <v/>
      </c>
      <c r="OS92" s="43" t="str">
        <f t="shared" si="352"/>
        <v/>
      </c>
      <c r="OT92" s="43" t="str">
        <f t="shared" si="353"/>
        <v/>
      </c>
      <c r="OU92" s="43" t="str">
        <f t="shared" si="354"/>
        <v/>
      </c>
      <c r="OV92" s="110" t="str">
        <f t="shared" si="355"/>
        <v/>
      </c>
      <c r="OW92" s="43" t="str">
        <f t="shared" si="356"/>
        <v/>
      </c>
      <c r="OX92" s="43" t="str">
        <f t="shared" si="357"/>
        <v/>
      </c>
      <c r="OY92" s="43" t="str">
        <f t="shared" si="358"/>
        <v/>
      </c>
      <c r="OZ92" s="43" t="str">
        <f t="shared" si="359"/>
        <v/>
      </c>
      <c r="PA92" s="43" t="str">
        <f t="shared" si="360"/>
        <v/>
      </c>
      <c r="PB92" s="43" t="str">
        <f t="shared" si="361"/>
        <v/>
      </c>
      <c r="PC92" s="43" t="str">
        <f t="shared" si="362"/>
        <v/>
      </c>
      <c r="PD92" s="43" t="str">
        <f t="shared" si="363"/>
        <v/>
      </c>
      <c r="PE92" s="43" t="str">
        <f t="shared" si="364"/>
        <v/>
      </c>
      <c r="PF92" s="43" t="str">
        <f t="shared" si="365"/>
        <v/>
      </c>
      <c r="PG92" s="43" t="str">
        <f t="shared" si="366"/>
        <v/>
      </c>
      <c r="PH92" s="43" t="str">
        <f t="shared" si="367"/>
        <v/>
      </c>
      <c r="PI92" s="43">
        <f t="shared" si="368"/>
        <v>31</v>
      </c>
      <c r="PJ92" s="43" t="str">
        <f t="shared" si="369"/>
        <v/>
      </c>
      <c r="PK92" s="43" t="str">
        <f t="shared" si="370"/>
        <v/>
      </c>
      <c r="PL92" s="43" t="str">
        <f t="shared" si="371"/>
        <v/>
      </c>
      <c r="PM92" s="43" t="str">
        <f t="shared" si="372"/>
        <v/>
      </c>
      <c r="PN92" s="43" t="str">
        <f t="shared" si="373"/>
        <v/>
      </c>
      <c r="PO92" s="43" t="str">
        <f t="shared" si="374"/>
        <v/>
      </c>
      <c r="PP92" s="43" t="str">
        <f t="shared" si="375"/>
        <v/>
      </c>
      <c r="PQ92" s="43" t="str">
        <f t="shared" si="376"/>
        <v/>
      </c>
      <c r="PR92" s="43" t="str">
        <f t="shared" si="377"/>
        <v/>
      </c>
      <c r="PS92" s="43" t="str">
        <f t="shared" si="378"/>
        <v/>
      </c>
      <c r="PT92" s="43" t="str">
        <f t="shared" si="379"/>
        <v/>
      </c>
      <c r="PU92" s="43" t="str">
        <f t="shared" si="380"/>
        <v/>
      </c>
      <c r="PV92" s="43" t="str">
        <f t="shared" si="381"/>
        <v/>
      </c>
      <c r="PW92" s="43" t="str">
        <f t="shared" si="382"/>
        <v/>
      </c>
      <c r="PX92" s="43" t="str">
        <f t="shared" si="383"/>
        <v/>
      </c>
      <c r="PY92" s="43" t="str">
        <f t="shared" si="384"/>
        <v/>
      </c>
      <c r="PZ92" s="43" t="str">
        <f t="shared" si="385"/>
        <v/>
      </c>
      <c r="QA92" s="43" t="str">
        <f t="shared" si="386"/>
        <v/>
      </c>
      <c r="QB92" s="43" t="str">
        <f t="shared" si="387"/>
        <v/>
      </c>
      <c r="QC92" s="43" t="str">
        <f t="shared" si="388"/>
        <v/>
      </c>
      <c r="QD92" s="43" t="str">
        <f t="shared" si="389"/>
        <v/>
      </c>
      <c r="QE92" s="43" t="str">
        <f t="shared" si="390"/>
        <v/>
      </c>
      <c r="QF92" s="43" t="str">
        <f t="shared" si="391"/>
        <v/>
      </c>
      <c r="QG92" s="43" t="str">
        <f t="shared" si="392"/>
        <v/>
      </c>
      <c r="QH92" s="43" t="str">
        <f t="shared" si="393"/>
        <v/>
      </c>
      <c r="QI92" s="43" t="str">
        <f t="shared" si="394"/>
        <v/>
      </c>
      <c r="QJ92" s="43" t="str">
        <f t="shared" si="395"/>
        <v/>
      </c>
      <c r="QK92" s="43" t="str">
        <f t="shared" si="396"/>
        <v/>
      </c>
      <c r="QL92" s="43" t="str">
        <f t="shared" si="397"/>
        <v/>
      </c>
      <c r="QM92" s="43" t="str">
        <f t="shared" si="398"/>
        <v/>
      </c>
      <c r="QN92" s="43" t="str">
        <f t="shared" si="399"/>
        <v/>
      </c>
      <c r="QO92" s="43" t="str">
        <f t="shared" si="400"/>
        <v/>
      </c>
      <c r="QP92" s="43" t="str">
        <f t="shared" si="401"/>
        <v/>
      </c>
      <c r="QQ92" s="43" t="str">
        <f t="shared" si="402"/>
        <v/>
      </c>
      <c r="QR92" s="43">
        <f t="shared" si="432"/>
        <v>31</v>
      </c>
      <c r="QS92" s="43"/>
      <c r="QT92" s="21" t="str">
        <f t="shared" si="403"/>
        <v/>
      </c>
      <c r="QU92" s="21" t="str">
        <f t="shared" si="404"/>
        <v/>
      </c>
      <c r="QV92" s="21" t="str">
        <f t="shared" si="405"/>
        <v/>
      </c>
      <c r="QW92" s="21" t="str">
        <f t="shared" si="406"/>
        <v/>
      </c>
      <c r="QX92" s="21" t="str">
        <f t="shared" si="407"/>
        <v/>
      </c>
      <c r="QY92" s="21" t="str">
        <f t="shared" si="408"/>
        <v/>
      </c>
      <c r="QZ92" s="21" t="str">
        <f t="shared" si="409"/>
        <v/>
      </c>
      <c r="RA92" s="21" t="str">
        <f t="shared" si="410"/>
        <v/>
      </c>
      <c r="RB92" s="21" t="str">
        <f t="shared" si="411"/>
        <v/>
      </c>
      <c r="RC92" s="21" t="str">
        <f t="shared" si="412"/>
        <v/>
      </c>
      <c r="RD92" s="21" t="str">
        <f t="shared" si="413"/>
        <v/>
      </c>
      <c r="RE92" s="21" t="str">
        <f t="shared" si="414"/>
        <v/>
      </c>
      <c r="RF92" s="21" t="str">
        <f t="shared" si="415"/>
        <v/>
      </c>
      <c r="RG92" s="21" t="str">
        <f t="shared" si="416"/>
        <v/>
      </c>
      <c r="RH92" s="21" t="str">
        <f t="shared" si="417"/>
        <v/>
      </c>
      <c r="RI92" s="21" t="str">
        <f t="shared" si="418"/>
        <v/>
      </c>
      <c r="RJ92" s="21" t="str">
        <f t="shared" si="419"/>
        <v/>
      </c>
      <c r="RK92" s="21" t="str">
        <f t="shared" si="420"/>
        <v/>
      </c>
      <c r="RL92" s="21" t="str">
        <f t="shared" si="421"/>
        <v/>
      </c>
      <c r="RM92" s="21" t="str">
        <f t="shared" si="422"/>
        <v/>
      </c>
      <c r="RN92" s="21" t="str">
        <f t="shared" si="423"/>
        <v/>
      </c>
      <c r="RO92" s="21" t="str">
        <f t="shared" si="424"/>
        <v/>
      </c>
      <c r="RP92" s="21" t="str">
        <f t="shared" si="425"/>
        <v/>
      </c>
      <c r="RQ92" s="21" t="str">
        <f t="shared" si="426"/>
        <v/>
      </c>
      <c r="RR92" s="21" t="str">
        <f t="shared" si="427"/>
        <v/>
      </c>
      <c r="RS92" s="21" t="str">
        <f t="shared" si="428"/>
        <v/>
      </c>
      <c r="RT92" s="21" t="str">
        <f t="shared" si="429"/>
        <v/>
      </c>
      <c r="RU92" s="21" t="str">
        <f t="shared" si="430"/>
        <v/>
      </c>
      <c r="RV92" s="21">
        <f t="shared" si="431"/>
        <v>25.714285714285715</v>
      </c>
      <c r="RW92" s="284">
        <f>IF(OR(Tabla1[[#This Row],[FUM FORMULA CONFIABLE]]="",Tabla1[[#This Row],[FUM FORMULA CONFIABLE]]="SD"),"",IF(Tabla1[[#This Row],[FUM FORMULA CONFIABLE]]="CORREGIDA",Tabla1[[#This Row],[FUM X ECO 1]],Tabla1[[#This Row],[FUM x AMENORREA]]))</f>
        <v>44780</v>
      </c>
      <c r="RX92" s="21">
        <f>IF(AND(Tabla1[[#This Row],[FUM X ECO 1]]="",Tabla1[[#This Row],[FUM x AMENORREA]]=""),"",IF(AND(Tabla1[[#This Row],[FUM X ECO 1]]="",Tabla1[[#This Row],[FUM x AMENORREA]]&lt;&gt;""),"X",SUM(Tabla1[[#This Row],[FUM X ECO 1]]-Tabla1[[#This Row],[FUM x AMENORREA]])))</f>
        <v>1.5</v>
      </c>
      <c r="RY92" s="21">
        <f t="shared" si="433"/>
        <v>0</v>
      </c>
    </row>
    <row r="93" spans="1:493" ht="45" customHeight="1" x14ac:dyDescent="0.25">
      <c r="A93" s="109"/>
      <c r="B93" s="43"/>
      <c r="C93" s="43" t="s">
        <v>845</v>
      </c>
      <c r="D93" s="124"/>
      <c r="E93" s="43" t="s">
        <v>896</v>
      </c>
      <c r="F93" s="43" t="s">
        <v>943</v>
      </c>
      <c r="G93" s="43" t="s">
        <v>1284</v>
      </c>
      <c r="H93" s="43" t="s">
        <v>1285</v>
      </c>
      <c r="I93" s="109" t="s">
        <v>851</v>
      </c>
      <c r="J93" s="110">
        <v>1002848394</v>
      </c>
      <c r="K93" s="43" t="s">
        <v>852</v>
      </c>
      <c r="L93" s="175" t="s">
        <v>1509</v>
      </c>
      <c r="M93" s="22">
        <v>36598</v>
      </c>
      <c r="N93" s="213">
        <f t="shared" ca="1" si="252"/>
        <v>23.657534246575342</v>
      </c>
      <c r="O93" s="22">
        <v>44960</v>
      </c>
      <c r="P93" s="214" t="str">
        <f t="shared" si="437"/>
        <v>SI</v>
      </c>
      <c r="Q93" s="26" t="s">
        <v>855</v>
      </c>
      <c r="R93" s="22">
        <v>44960</v>
      </c>
      <c r="S93" s="21" t="s">
        <v>856</v>
      </c>
      <c r="T93" s="24" t="s">
        <v>690</v>
      </c>
      <c r="U93" s="21" t="s">
        <v>857</v>
      </c>
      <c r="V93" s="21" t="s">
        <v>858</v>
      </c>
      <c r="W93" s="21" t="s">
        <v>876</v>
      </c>
      <c r="X93" s="21" t="s">
        <v>876</v>
      </c>
      <c r="Y93" s="21" t="s">
        <v>859</v>
      </c>
      <c r="Z93" s="21" t="s">
        <v>894</v>
      </c>
      <c r="AA93" s="21" t="s">
        <v>860</v>
      </c>
      <c r="AB93" s="27" t="s">
        <v>861</v>
      </c>
      <c r="AC93" s="26" t="s">
        <v>877</v>
      </c>
      <c r="AD93" s="38" t="s">
        <v>863</v>
      </c>
      <c r="AE93" s="26" t="s">
        <v>854</v>
      </c>
      <c r="AF93" s="26" t="s">
        <v>854</v>
      </c>
      <c r="AG93" s="23" t="s">
        <v>864</v>
      </c>
      <c r="AH93" s="23" t="s">
        <v>864</v>
      </c>
      <c r="AI93" s="24" t="s">
        <v>863</v>
      </c>
      <c r="AJ93" s="23" t="s">
        <v>864</v>
      </c>
      <c r="AK93" s="220" t="str">
        <f>IF(AND(AD93="",AE93="",AF93="",AG93="",AH93="",AI93="",AJ93=""),"",IF(OR(Tabla1[[#This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EVALUACIÓN",IF(AND(O93="",R93=""),"",IF(AND(OR(O93&gt;0,R93&gt;0),NG93&gt;=0,NG93&lt;2),"SIN RIESGO",IF(AND(OR(O93&gt;0,R93&gt;0),NG93&gt;=2),"CON RIESGO","ASD")))))</f>
        <v>SIN RIESGO</v>
      </c>
      <c r="AL93" s="23" t="s">
        <v>864</v>
      </c>
      <c r="AM93" s="26" t="s">
        <v>864</v>
      </c>
      <c r="AN93" s="26"/>
      <c r="AO93" s="26" t="s">
        <v>864</v>
      </c>
      <c r="AP93" s="26" t="s">
        <v>864</v>
      </c>
      <c r="AQ93" s="26"/>
      <c r="AR93" s="26"/>
      <c r="AS93" s="21"/>
      <c r="AT93" s="21"/>
      <c r="AU93" s="21"/>
      <c r="AV93" s="26"/>
      <c r="AW93" s="21"/>
      <c r="AX93" s="26" t="s">
        <v>864</v>
      </c>
      <c r="AY93" s="26" t="s">
        <v>864</v>
      </c>
      <c r="AZ93" s="26" t="s">
        <v>864</v>
      </c>
      <c r="BA93" s="26" t="s">
        <v>864</v>
      </c>
      <c r="BB93" s="26" t="s">
        <v>864</v>
      </c>
      <c r="BC93" s="26" t="s">
        <v>864</v>
      </c>
      <c r="BD93" s="26" t="s">
        <v>864</v>
      </c>
      <c r="BE93" s="26" t="s">
        <v>864</v>
      </c>
      <c r="BF93" s="26" t="s">
        <v>864</v>
      </c>
      <c r="BG93" s="26" t="s">
        <v>864</v>
      </c>
      <c r="BH93" s="26" t="s">
        <v>864</v>
      </c>
      <c r="BI93" s="26" t="s">
        <v>864</v>
      </c>
      <c r="BJ93" s="26"/>
      <c r="BK93" s="26"/>
      <c r="BL93" s="26" t="s">
        <v>864</v>
      </c>
      <c r="BM93" s="26" t="s">
        <v>864</v>
      </c>
      <c r="BN93" s="22"/>
      <c r="BO93" s="22">
        <v>44803</v>
      </c>
      <c r="BP93" s="21" t="s">
        <v>854</v>
      </c>
      <c r="BQ93" s="222">
        <f t="shared" si="254"/>
        <v>0</v>
      </c>
      <c r="BR93" s="223">
        <f t="shared" si="255"/>
        <v>44803.9</v>
      </c>
      <c r="BS93" s="224">
        <f t="shared" si="256"/>
        <v>22.428571428571427</v>
      </c>
      <c r="BT93" s="216" t="str">
        <f t="shared" si="257"/>
        <v>II TRIM</v>
      </c>
      <c r="BU93" s="214" t="str">
        <f t="shared" ca="1" si="258"/>
        <v/>
      </c>
      <c r="BV93" s="25"/>
      <c r="BW93" s="22">
        <v>44960</v>
      </c>
      <c r="BX93" s="28">
        <v>22.3</v>
      </c>
      <c r="BY93" s="28"/>
      <c r="BZ93" s="22"/>
      <c r="CA93" s="21"/>
      <c r="CB93" s="26" t="s">
        <v>864</v>
      </c>
      <c r="CC93" s="26" t="s">
        <v>864</v>
      </c>
      <c r="CD93" s="26" t="s">
        <v>878</v>
      </c>
      <c r="CE93" s="26" t="s">
        <v>864</v>
      </c>
      <c r="CF93" s="22" t="s">
        <v>1517</v>
      </c>
      <c r="CG93" s="21">
        <v>1.43</v>
      </c>
      <c r="CH93" s="21">
        <v>50</v>
      </c>
      <c r="CI93" s="214">
        <f t="shared" si="259"/>
        <v>24.451073402122358</v>
      </c>
      <c r="CJ93" s="225" t="e">
        <f>IF(AND(CI93&lt;10,CH93="SD"),"SIN DATO PESO PREGESTACION O I TRIM",IF(AND(OR(R93&gt;0,O93&gt;0),CI93="X"),"INGRESAR DATO DE PESO",IF(CI93="SD","INGRESAR DATO DE TALLA Y PESO",IF(AND(OR(Tabla1[[#This Row],[MOMENTO EN QUE SE REALIZA EL PESO AL INGRESO A CPN]]="PREGESTACIÓN",NZ93="Menor"),CI93&lt;18.5),"BAJO PESO",IF(AND(OR(Tabla1[[#This Row],[MOMENTO EN QUE SE REALIZA EL PESO AL INGRESO A CPN]]="PREGESTACIÓN",NZ93="Menor"),CI93&lt;25),"NORMAL",IF(AND(OR(Tabla1[[#This Row],[MOMENTO EN QUE SE REALIZA EL PESO AL INGRESO A CPN]]="PREGESTACIÓN",NZ93="Menor"),CI93&lt;30),"SOBREPESO",IF(AND(OR(Tabla1[[#This Row],[MOMENTO EN QUE SE REALIZA EL PESO AL INGRESO A CPN]]="PREGESTACIÓN",NZ93="Menor"),CI93&gt;=30,CI93&lt;50),"OBESIDAD",IF(AND(BS93&gt;0,Tabla1[[#This Row],[MOMENTO EN QUE SE REALIZA EL PESO AL INGRESO A CPN]]="GESTACIÓN"),HLOOKUP(NZ93,$OA$2:PH93,NY93),""))))))))</f>
        <v>#REF!</v>
      </c>
      <c r="CK93" s="212">
        <f t="shared" si="260"/>
        <v>44999</v>
      </c>
      <c r="CL93" s="21"/>
      <c r="CM93" s="214">
        <f t="shared" si="261"/>
        <v>0</v>
      </c>
      <c r="CN93" s="216">
        <f t="shared" si="262"/>
        <v>28</v>
      </c>
      <c r="CO93" s="216" t="e">
        <f>IF(PI93="","",IF(PI93&gt;0,HLOOKUP(PI93,$PJ$2:QQ93,NY93),""))</f>
        <v>#REF!</v>
      </c>
      <c r="CP93" s="21"/>
      <c r="CQ93" s="216" t="e">
        <f>IF(QR93="Menor","NO APLICA-MENOR 13 SEM",IF(AND(CC93="SI",CN93&gt;23),"NO APLICA- GEMELAR",IF(QR93="","",IF(QR93&gt;0,HLOOKUP(QR93,$QS$2:RU93,NY93),""))))</f>
        <v>#REF!</v>
      </c>
      <c r="CR93" s="21"/>
      <c r="CS93" s="21"/>
      <c r="CT93" s="217" t="str">
        <f>IF(R93="","",IF(AND(BS93&gt;1,BS93&lt;12,Tabla1[[#This Row],[T.A. SISTOLICA - ANTES DE SEMANA 12]]="",Tabla1[[#This Row],[T.A. DIASTOLICA - ANTES DE SEMANA 12]]=""),"REGISTRE DATO TA ANTES SEMANA 12",IF(AND(BS93&gt;11,BS93&lt;43,Tabla1[[#This Row],[T.A. SISTOLICA - ANTES DE SEMANA 12]]="",Tabla1[[#This Row],[T.A. DIASTOLICA - ANTES DE SEMANA 12]]=""),"NO APLICA REGISTRO TA-INGRESO TARDIO",IF(AND(OR(O93&gt;0,R93&gt;0),OR(CR93&gt;=140,CS93&gt;=90)),"DEFINIR ESTADIO HTA",IF(AND(OR(O93&gt;0,R93&gt;0),AND(CR93&gt;120,CR93&lt;=139)),"PRE HTA SEGUIMIENTO",IF(AND(OR(O93&gt;0,R93&gt;0),AND(CS93&gt;80,CS93&lt;=89)),"PRE HTA SEGUIMIENTO",IF(AND(OR(O93&gt;0,R93&gt;0),AND(CR93&gt;=80,CR93&lt;=120)),"APARENTEMENTE NORMAL",IF(AND(OR(O93&gt;0,R93&gt;0),AND(CS93&gt;=50,CS93&lt;=80)),"APARENTEMENTE NORMAL",IF(AND(OR(O93&gt;0,R93&gt;0),AND(CR93&gt;1,CR93&lt;=70),AND(CS93&gt;1,CS93&lt;=40)),"HIPOTENSIÓN","")))))))))</f>
        <v>NO APLICA REGISTRO TA-INGRESO TARDIO</v>
      </c>
      <c r="CU93" s="21">
        <v>100</v>
      </c>
      <c r="CV93" s="21">
        <v>60</v>
      </c>
      <c r="CW93" s="217" t="str">
        <f ca="1">IF(R93="","",IF(AND(CN93&gt;19,CN93&lt;27,Tabla1[[#This Row],[T.A. SISTOLICA (Entre semana 20 y 26)]]="",Tabla1[[#This Row],[T.A. DIATOLICA (Entre semana 20 y 26)]]=""),"ACUDE A CONTROL SEM 20 A 26 REGISTRE TA AHORA",IF(AND(BS93&gt;1,BS93&lt;27,BU93&gt;19,Tabla1[[#This Row],[T.A. SISTOLICA (Entre semana 20 y 26)]]="",Tabla1[[#This Row],[T.A. DIATOLICA (Entre semana 20 y 26)]]=""),"COMPLETE REGISTRO TA CONTROL SEM 20 A26 ",IF(AND(BS93&gt;26,BS93&lt;43,Tabla1[[#This Row],[T.A. SISTOLICA (Entre semana 20 y 26)]]="",Tabla1[[#This Row],[T.A. DIATOLICA (Entre semana 20 y 26)]]=""),"NO APLICA REGISTRO TA-INGRESO TARDIO",IF(AND(OR(O93&gt;0,R93&gt;0),OR(CU93&gt;=140,CV93&gt;=90)),"ALTO RIESGO PREECLAMPSIA,DEFINIR ESTADIO HTA",IF(AND(OR(O93&gt;0,R93&gt;0),AND(CU93&gt;120,CU93&lt;=139)),"PRE HTA SEGUIMIENTO,RIESGO HIPERTENSION INDUCIDA POR EL EMBARAZO",IF(AND(OR(O93&gt;0,R93&gt;0),AND(CV93&gt;80,CV93&lt;=89)),"PRE HTA SEGUIMIENTO, RIESGO HIPERTENSION INDUCIDA POR EL EMBARAZO",IF(AND(OR(O93&lt;&gt;"",R93&lt;&gt;""),CS93&lt;&gt;"",CV93&lt;&gt;"",CS93&lt;=CV93),"VIGILAR CIFRAS PRESION ARTERIAL",IF(AND(OR(O93&gt;0,R93&gt;0),AND(CU93&gt;120,CU93&lt;=139)),"PRE HTA SEGUIMIENTO",IF(AND(OR(O93&gt;0,R93&gt;0),AND(CU93&gt;1,CU93&lt;=70),AND(CV93&gt;1,CV93&lt;=40)),"HIPOTENSIÓN",IF(AND(OR(O93&lt;&gt;"",R93&lt;&gt;""),CS93&lt;&gt;"",CV93&lt;&gt;"",CS93&gt;CV93),"APARENTEMENTE NORMAL",IF(AND(OR(O93&gt;0,R93&gt;0),AND(CU93&gt;=80,CU93&lt;=120)),"APARENTEMENTE NORMAL",IF(AND(OR(O93&gt;0,R93&gt;0),AND(CV93&gt;=50,CV93&lt;=80)),"APARENTEMENTE NORMAL","")))))))))))))</f>
        <v>APARENTEMENTE NORMAL</v>
      </c>
      <c r="CX93" s="21"/>
      <c r="CY93" s="21"/>
      <c r="CZ93" s="216" t="str">
        <f t="shared" si="263"/>
        <v/>
      </c>
      <c r="DA93" s="21"/>
      <c r="DB93" s="21"/>
      <c r="DC93" s="217" t="str">
        <f t="shared" si="264"/>
        <v>REGISTRE DATO PRESIÓN ARTERIAL MENSUAL</v>
      </c>
      <c r="DD93" s="22">
        <v>44595</v>
      </c>
      <c r="DE93" s="22">
        <v>44595</v>
      </c>
      <c r="DF93" s="22">
        <v>44999</v>
      </c>
      <c r="DG93" s="22"/>
      <c r="DH93" s="22"/>
      <c r="DI93" s="22"/>
      <c r="DJ93" s="22"/>
      <c r="DK93" s="22"/>
      <c r="DL93" s="22"/>
      <c r="DM93" s="22"/>
      <c r="DN93" s="22"/>
      <c r="DO93" s="22"/>
      <c r="DP93" s="22"/>
      <c r="DQ93" s="22"/>
      <c r="DR93" s="28"/>
      <c r="DS93" s="22"/>
      <c r="DT93" s="22"/>
      <c r="DU93" s="216" t="str">
        <f t="shared" ca="1" si="438"/>
        <v>SALE SIN PLAN DE PARTO</v>
      </c>
      <c r="DV93" s="226" t="str">
        <f t="shared" si="439"/>
        <v>SALIO PROGRAMA</v>
      </c>
      <c r="DW9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3" s="216" t="str">
        <f t="shared" ca="1" si="266"/>
        <v/>
      </c>
      <c r="DY93" s="212">
        <f>IF(R93="","",IF(R93&gt;0,MAX(Tabla1[[#This Row],[FECHA C2]:[FECHA C13]],Tabla1[[#This Row],[FECHA CONSULTA PRIMERA VEZ PROGRAMA CPN ]])))</f>
        <v>44999</v>
      </c>
      <c r="DZ93" s="216">
        <f t="shared" si="267"/>
        <v>28</v>
      </c>
      <c r="EA93" s="222">
        <f>IF(R93&gt;0,SUM(COUNTA(DF93:DQ93)+COUNTA(Tabla1[[#This Row],[FECHA CONSULTA PRIMERA VEZ PROGRAMA CPN ]])),"")</f>
        <v>2</v>
      </c>
      <c r="EB93" s="222" t="str">
        <f t="shared" si="268"/>
        <v>NO</v>
      </c>
      <c r="EC93" s="214">
        <f t="shared" si="269"/>
        <v>6</v>
      </c>
      <c r="ED93" s="227">
        <f t="shared" si="270"/>
        <v>0.33333333333333331</v>
      </c>
      <c r="EE93" s="22">
        <v>44595</v>
      </c>
      <c r="EF93" s="22">
        <v>44595</v>
      </c>
      <c r="EG93" s="22">
        <v>44595</v>
      </c>
      <c r="EH93" s="22"/>
      <c r="EI93" s="22">
        <v>44595</v>
      </c>
      <c r="EJ93" s="22"/>
      <c r="EK93" s="22"/>
      <c r="EL93" s="21"/>
      <c r="EM93" s="21"/>
      <c r="EN93" s="22"/>
      <c r="EO93" s="222" t="str">
        <f t="shared" si="271"/>
        <v>TOMAR EXAMEN</v>
      </c>
      <c r="EP93" s="214" t="str">
        <f t="shared" si="272"/>
        <v/>
      </c>
      <c r="EQ93" s="216" t="str">
        <f t="shared" si="273"/>
        <v>POR DEFINIR</v>
      </c>
      <c r="ER93" s="24"/>
      <c r="ES93" s="22"/>
      <c r="ET93" s="29" t="str">
        <f t="shared" ca="1" si="440"/>
        <v>SALE SIN TAMIZAJE HEMOGLOBINA SEM 28</v>
      </c>
      <c r="EU93" s="25" t="str">
        <f t="shared" si="275"/>
        <v/>
      </c>
      <c r="EV93" s="24"/>
      <c r="EW93" s="24"/>
      <c r="EX93" s="22"/>
      <c r="EY93" s="29" t="str">
        <f t="shared" si="248"/>
        <v>TOMAR EXAMEN</v>
      </c>
      <c r="EZ93" s="25" t="str">
        <f t="shared" ca="1" si="249"/>
        <v/>
      </c>
      <c r="FA93" s="21"/>
      <c r="FB93" s="22"/>
      <c r="FC93" s="29" t="str">
        <f t="shared" si="276"/>
        <v>TOMAR EXAMEN</v>
      </c>
      <c r="FD93" s="29"/>
      <c r="FE93" s="29"/>
      <c r="FF93" s="29"/>
      <c r="FG93" s="21" t="str">
        <f t="shared" ca="1" si="277"/>
        <v/>
      </c>
      <c r="FH93" s="31"/>
      <c r="FI93" s="29" t="str">
        <f t="shared" si="278"/>
        <v>TOMAR EXAMEN</v>
      </c>
      <c r="FJ93" s="22"/>
      <c r="FK93" s="22"/>
      <c r="FL93" s="29" t="str">
        <f t="shared" ca="1" si="279"/>
        <v>NO APLICA-INGRESO TARDIO</v>
      </c>
      <c r="FM93" s="22"/>
      <c r="FN93" s="32"/>
      <c r="FO93" s="29" t="str">
        <f t="shared" ca="1" si="441"/>
        <v>PIERDE TOMA DE TAMIZAJE</v>
      </c>
      <c r="FP93" s="22"/>
      <c r="FQ93" s="32"/>
      <c r="FR93" s="29" t="str">
        <f t="shared" ca="1" si="442"/>
        <v>PIERDE TOMA DE TAMIZAJE</v>
      </c>
      <c r="FS93" s="22"/>
      <c r="FT93" s="32"/>
      <c r="FU93" s="29" t="str">
        <f>IF(AND(FJ93="",FM93="",FP93="",FS93=""),"",IF(OR(OR(Tabla1[[#This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3" s="28"/>
      <c r="FW93" s="22"/>
      <c r="FX93" s="29" t="str">
        <f t="shared" si="280"/>
        <v>TOMAR EXAMEN</v>
      </c>
      <c r="FY93" s="22"/>
      <c r="FZ93" s="22"/>
      <c r="GA93" s="29" t="str">
        <f t="shared" ref="GA93:GA124" ca="1" si="452">IF(AND(BT93="ERROR FUM O INGRESO",FZ93&gt;0),"ERROR FUM O INGRESO",IF(AND(FZ93="",R93="",O93=""),"",IF(OR(AND(FZ93&lt;&gt;"",FZ93&lt;RW93),AND(FZ93&lt;&gt;"",AND(SUM((FZ93-RW93)/7)&gt;=13,SUM((FZ93-RW93)/7)&lt;27))),"REGISTRAR EN II TRIMESTRE",IF(OR(AND(FZ93&lt;&gt;"",FZ93&lt;RW93),AND(FZ93&lt;&gt;"",AND(SUM((FZ93-RW93)/7)&gt;=27,SUM((FZ93-RW93)/7)&lt;44))),"REGISTRAR EN III TRIMESTRE",IF(AND(FZ93="",OR(O93&gt;0,R93&gt;0),AND(BU93&gt;1,BU93&lt;10)),"EN RANGO PARA TOMAR EXAMEN",IF(AND(FZ93="",OR(O93&gt;0,R93&gt;0),AND(BU93&gt;=10,BU93&lt;12)),"TOMA INMEDIATA DE TAMIZAJE",IF(AND(FZ93="",BS93&lt;12,OR(O93&gt;0,R93&gt;0)),"PIERDE TOMA DE TAMIZAJE",IF(AND(FZ93="",OR(O93&gt;0,R93&gt;0),AND(BS93&gt;=13,BS93&lt;44)),"NO APLICA-INGRESO TARDIO",IF(FZ93&gt;0,SUM(FZ93-RW93)/7,"")))))))))</f>
        <v>NO APLICA-INGRESO TARDIO</v>
      </c>
      <c r="GB93" s="22"/>
      <c r="GC93" s="22"/>
      <c r="GD93" s="29" t="str">
        <f t="shared" ca="1" si="443"/>
        <v>PIERDE TOMA DE TAMIZAJE</v>
      </c>
      <c r="GE93" s="22"/>
      <c r="GF93" s="22"/>
      <c r="GG93" s="29" t="str">
        <f t="shared" ca="1" si="444"/>
        <v>PIERDE TOMA DE TAMIZAJE</v>
      </c>
      <c r="GH93" s="22"/>
      <c r="GI93" s="29"/>
      <c r="GJ93" s="22"/>
      <c r="GK93" s="22"/>
      <c r="GL93" s="22"/>
      <c r="GM93" s="22"/>
      <c r="GN93" s="28"/>
      <c r="GO93" s="22"/>
      <c r="GP93" s="29" t="str">
        <f t="shared" si="283"/>
        <v>TOMAR EXAMEN</v>
      </c>
      <c r="GQ93" s="28"/>
      <c r="GR93" s="28"/>
      <c r="GS93" s="22" t="str">
        <f t="shared" si="284"/>
        <v/>
      </c>
      <c r="GT93" s="22"/>
      <c r="GU93" s="29" t="str">
        <f t="shared" si="285"/>
        <v>TOMAR EXAMEN</v>
      </c>
      <c r="GV93" s="21" t="str">
        <f t="shared" si="286"/>
        <v>POR DEFINIR</v>
      </c>
      <c r="GW93" s="28"/>
      <c r="GX93" s="30"/>
      <c r="GY93" s="21"/>
      <c r="GZ93" s="21"/>
      <c r="HA93" s="21"/>
      <c r="HB93" s="21"/>
      <c r="HC93" s="21"/>
      <c r="HD93" s="21"/>
      <c r="HE93" s="21"/>
      <c r="HF93" s="22"/>
      <c r="HG93" s="22" t="str">
        <f>IF(OR(O93&gt;0,R93&gt;0),CONCATENATE(IF(Tabla1[[#This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3" s="22" t="e">
        <f t="shared" si="287"/>
        <v>#REF!</v>
      </c>
      <c r="HI93" s="22" t="e">
        <f t="shared" ca="1" si="288"/>
        <v>#REF!</v>
      </c>
      <c r="HJ93" s="21"/>
      <c r="HK93" s="21" t="str">
        <f t="shared" si="289"/>
        <v>SIN ANTECEDENTES DE RIESGO</v>
      </c>
      <c r="HL93" s="24" t="str">
        <f t="shared" si="290"/>
        <v>REGISTRE DATO PRESIÓN ARTERIAL MENSUAL</v>
      </c>
      <c r="HM93" s="21" t="str">
        <f t="shared" ca="1" si="291"/>
        <v/>
      </c>
      <c r="HN93" s="30" t="str">
        <f t="shared" si="445"/>
        <v>SALIO PROGRAMA</v>
      </c>
      <c r="HO93" s="21"/>
      <c r="HP93" s="21"/>
      <c r="HQ93" s="21">
        <v>44960</v>
      </c>
      <c r="HR93" s="21" t="str">
        <f>IF(R93="","",IF(Tabla1[[#This Row],[ALARMA FACTORES DE RIESGO COMPLICACIONES HIPERTENSIVAS3]]="SIN ANTECEDENTES DE RIESGO","No Aplica para suministro de ASA",IF(AND(Tabla1[[#This Row],[FECHA INICIO DE SUMINISTRO DE ASA]]&gt;0,RV93&lt;12),"Inicia ASA ANTES de Sem 12",IF(AND(RV93&gt;11,RV93&lt;17,OR(HK93="RIESGO ALTO DE COMPLICACIONES HIPERTENSIVAS VER MANEJO GUIA SUMINISTRO ASA Y CALCIO",HK93="RIESGO MODERADO (2 O MAS CRITERIOS) VER MANEJO GUIA SUMINISTRO ASA Y CALCIO")),"Inicio oportuno de ASA",IF(AND(RV93&gt;12,OR(HK93="RIESGO ALTO DE COMPLICACIONES HIPERTENSIVAS VER MANEJO GUIA SUMINISTRO ASA Y CALCIO",HK93="RIESGO MODERADO (2 O MAS CRITERIOS) VER MANEJO GUIA SUMINISTRO ASA Y CALCIO")),"Inicio no oportuno mayor a 16 semanas",IF(AND(BU93&lt;12,OR(HK93="RIESGO ALTO DE COMPLICACIONES HIPERTENSIVAS VER MANEJO GUIA SUMINISTRO ASA Y CALCIO",HK93="RIESGO MODERADO (2 O MAS CRITERIOS) VER MANEJO GUIA SUMINISTRO ASA Y CALCIO")),"Pendiente Inicio de ASA a la semana 12",IF(AND(BU93&gt;11,BU93&lt;17,OR(HK93="RIESGO ALTO DE COMPLICACIONES HIPERTENSIVAS VER MANEJO GUIA SUMINISTRO ASA Y CALCIO",HK93="RIESGO MODERADO (2 O MAS CRITERIOS) VER MANEJO GUIA SUMINISTRO ASA Y CALCIO")),"Iniciar de inmediato ASA",IF(AND(BU93&gt;16,OR(HK93="RIESGO ALTO DE COMPLICACIONES HIPERTENSIVAS VER MANEJO GUIA SUMINISTRO ASA Y CALCIO",HK93="RIESGO MODERADO (2 O MAS CRITERIOS) VER MANEJO GUIA SUMINISTRO ASA Y CALCIO")),"Pierde Oportunidad, Inicio tardío de ASA","XXXXX"))))))))</f>
        <v>No Aplica para suministro de ASA</v>
      </c>
      <c r="HS93" s="22">
        <v>44960</v>
      </c>
      <c r="HT93" s="22"/>
      <c r="HU93" s="22">
        <v>44960</v>
      </c>
      <c r="HV93" s="22"/>
      <c r="HW93" s="22">
        <v>44960</v>
      </c>
      <c r="HX93" s="22"/>
      <c r="HY93" s="22">
        <v>44960</v>
      </c>
      <c r="HZ93" s="28">
        <f t="shared" si="292"/>
        <v>22.428571428571427</v>
      </c>
      <c r="IA93" s="26"/>
      <c r="IB93" s="26"/>
      <c r="IC93" s="111"/>
      <c r="ID93" s="22"/>
      <c r="IE93" s="22" t="str">
        <f t="shared" ca="1" si="293"/>
        <v>SALE SIN VACUNA</v>
      </c>
      <c r="IF93" s="22"/>
      <c r="IG93" s="22">
        <f t="shared" si="294"/>
        <v>45083</v>
      </c>
      <c r="IH93" s="29">
        <f t="shared" ca="1" si="295"/>
        <v>-150</v>
      </c>
      <c r="II93" s="22" t="str">
        <f t="shared" ca="1" si="296"/>
        <v>POSIBLEMENTE NACIO</v>
      </c>
      <c r="IJ93" s="22"/>
      <c r="IK93" s="21" t="s">
        <v>1652</v>
      </c>
      <c r="IL93" s="21"/>
      <c r="IM93" s="34"/>
      <c r="IN93" s="349">
        <v>45063</v>
      </c>
      <c r="IO93" s="21" t="s">
        <v>1186</v>
      </c>
      <c r="IP93" s="29">
        <f t="shared" si="435"/>
        <v>37.142857142857146</v>
      </c>
      <c r="IQ93" s="290" t="s">
        <v>1654</v>
      </c>
      <c r="IR93" s="290" t="s">
        <v>1651</v>
      </c>
      <c r="IS93" s="290" t="s">
        <v>1646</v>
      </c>
      <c r="IT93" s="290" t="s">
        <v>1642</v>
      </c>
      <c r="IU93" s="21"/>
      <c r="IV93" s="21"/>
      <c r="IW93" s="21"/>
      <c r="IX93" s="21"/>
      <c r="IY93" s="21"/>
      <c r="IZ93" s="21"/>
      <c r="JA93" s="21"/>
      <c r="JB93" s="30">
        <v>1</v>
      </c>
      <c r="JC93" s="21" t="s">
        <v>1643</v>
      </c>
      <c r="JD93" s="36">
        <v>2970</v>
      </c>
      <c r="JE93" s="21" t="str">
        <f t="shared" si="446"/>
        <v>PESO ADECUADO EDAD GESTACIONAL</v>
      </c>
      <c r="JF93" s="30"/>
      <c r="JG93" s="21"/>
      <c r="JH93" s="21"/>
      <c r="JI93" s="21" t="s">
        <v>854</v>
      </c>
      <c r="JJ93" s="30" t="s">
        <v>866</v>
      </c>
      <c r="JK93" s="22"/>
      <c r="JL93" s="22"/>
      <c r="JM93" s="21"/>
      <c r="JN93" s="36"/>
      <c r="JO93" s="21" t="str">
        <f t="shared" si="447"/>
        <v/>
      </c>
      <c r="JP93" s="22"/>
      <c r="JQ93" s="21"/>
      <c r="JR93" s="21"/>
      <c r="JS93" s="21"/>
      <c r="JT93" s="30"/>
      <c r="JU93" s="22"/>
      <c r="JV93" s="22"/>
      <c r="JW93" s="33"/>
      <c r="JX93" s="28" t="str">
        <f t="shared" si="448"/>
        <v>INASISTENTE</v>
      </c>
      <c r="JY93" s="33"/>
      <c r="JZ93" s="28" t="str">
        <f t="shared" si="449"/>
        <v>INASISTENTE</v>
      </c>
      <c r="KA93" s="21"/>
      <c r="KB93" s="21"/>
      <c r="KC93" s="21"/>
      <c r="KD93" s="37"/>
      <c r="KE93" s="28"/>
      <c r="KF93" s="28"/>
      <c r="KG93" s="28"/>
      <c r="KH93" s="39"/>
      <c r="KI93" s="39"/>
      <c r="KJ93" s="66"/>
      <c r="KK93" s="39"/>
      <c r="KL93" s="39"/>
      <c r="KM93" s="66"/>
      <c r="KN93" s="39"/>
      <c r="KO93" s="39"/>
      <c r="KP93" s="39"/>
      <c r="KQ93" s="39"/>
      <c r="KR93" s="39"/>
      <c r="KS93" s="39"/>
      <c r="KT93" s="39"/>
      <c r="KU93" s="38"/>
      <c r="KV93" s="38"/>
      <c r="KW93" s="38"/>
      <c r="KX93" s="38"/>
      <c r="KY93" s="38"/>
      <c r="KZ93" s="38"/>
      <c r="LA93" s="38"/>
      <c r="LB93" s="38"/>
      <c r="LC93" s="38"/>
      <c r="LD93" s="38"/>
      <c r="LE93" s="38"/>
      <c r="LF93" s="38"/>
      <c r="LG93" s="38"/>
      <c r="LH93" s="38"/>
      <c r="LI93" s="38"/>
      <c r="LJ93" s="38"/>
      <c r="LK93" s="38"/>
      <c r="LL93" s="38"/>
      <c r="LM93" s="38"/>
      <c r="LN93" s="38"/>
      <c r="LO93" s="38"/>
      <c r="LP93" s="38"/>
      <c r="LQ93" s="38"/>
      <c r="LR93" s="38"/>
      <c r="LS93" s="38"/>
      <c r="LT93" s="38"/>
      <c r="LU93" s="38"/>
      <c r="LV93" s="38"/>
      <c r="LW93" s="38"/>
      <c r="LX93" s="38"/>
      <c r="LY93" s="38"/>
      <c r="LZ93" s="38"/>
      <c r="MA93" s="38"/>
      <c r="MB93" s="38"/>
      <c r="MC93" s="38"/>
      <c r="MD93" s="38"/>
      <c r="ME93" s="38"/>
      <c r="MF93" s="38"/>
      <c r="MG93" s="38"/>
      <c r="MH93" s="43">
        <f t="shared" si="302"/>
        <v>0</v>
      </c>
      <c r="MI93" s="43" t="str">
        <f t="shared" si="303"/>
        <v/>
      </c>
      <c r="MJ93" s="43" t="str">
        <f t="shared" si="304"/>
        <v/>
      </c>
      <c r="MK93" s="43">
        <f t="shared" si="305"/>
        <v>0</v>
      </c>
      <c r="ML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3" s="43">
        <f t="shared" si="306"/>
        <v>22.428571428571427</v>
      </c>
      <c r="MN93" s="43">
        <f t="shared" si="307"/>
        <v>2</v>
      </c>
      <c r="MO93" s="43">
        <f t="shared" si="308"/>
        <v>2023</v>
      </c>
      <c r="MP93" s="43" t="str">
        <f t="shared" si="309"/>
        <v>I TRIMESTRE AÑO</v>
      </c>
      <c r="MQ93" s="43">
        <f t="shared" si="310"/>
        <v>22.558037669732808</v>
      </c>
      <c r="MR93" s="43">
        <f t="shared" si="311"/>
        <v>0</v>
      </c>
      <c r="MS93" s="43" t="str">
        <f t="shared" si="312"/>
        <v xml:space="preserve"> DE 20 A 24 AÑOS</v>
      </c>
      <c r="MT93" s="43">
        <f t="shared" si="313"/>
        <v>0</v>
      </c>
      <c r="MU93" s="43" t="str">
        <f t="shared" si="314"/>
        <v/>
      </c>
      <c r="MV93" s="43" t="str">
        <f t="shared" si="315"/>
        <v/>
      </c>
      <c r="MW93" s="43">
        <f t="shared" si="316"/>
        <v>0</v>
      </c>
      <c r="MX93" s="43" t="str">
        <f t="shared" si="317"/>
        <v/>
      </c>
      <c r="MY93" s="43" t="str">
        <f t="shared" ca="1" si="450"/>
        <v/>
      </c>
      <c r="MZ93" s="43" t="str">
        <f t="shared" si="318"/>
        <v/>
      </c>
      <c r="NA93" s="43">
        <f t="shared" si="319"/>
        <v>0</v>
      </c>
      <c r="NB93" s="43" t="str">
        <f t="shared" si="320"/>
        <v/>
      </c>
      <c r="NC93" s="43" t="str">
        <f t="shared" si="321"/>
        <v/>
      </c>
      <c r="ND93" s="43">
        <f t="shared" ca="1" si="322"/>
        <v>0</v>
      </c>
      <c r="NE93" s="43">
        <f>IF(OR(O93&gt;0,R93&gt;0),SUM(COUNTIF(Tabla1[[#This Row],[AÑOS AL INICIO5 CPN]],"&gt;=40"),COUNTIF(AS93,"0"),COUNTIF(AR93,"SI"),COUNTIF(CC93,"SI"),COUNTIF(BQ93,"&gt;119"),COUNTIF(CI93,"&gt;=35")),"")</f>
        <v>0</v>
      </c>
      <c r="NF93" s="43" t="str">
        <f t="shared" si="323"/>
        <v/>
      </c>
      <c r="NG93" s="43">
        <f t="shared" si="324"/>
        <v>0</v>
      </c>
      <c r="NH93" s="43">
        <f t="shared" si="325"/>
        <v>156.1</v>
      </c>
      <c r="NI9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CPN",P93="NO"),"Z",IF(AND(Tabla1[[#This Row],[CITA PROXIMO CONTROL]]="CITA MANUAL",Tabla1[[#This Row],[GESTANTES ACTUALES]]="ACTIVA INGRESO A CPN"),"W",IF(AND(Tabla1[[#This Row],[GESTANTES ACTUALES]]="SALIO PROGRAMA",IN93=""),"S",IF(AND(Tabla1[[#This Row],[CITA PROXIMO CONTROL]]&gt;0,IN93=""),(Tabla1[[#This Row],[CITA PROXIMO CONTROL]]-TODAY()),"SD"))))))))</f>
        <v>SD</v>
      </c>
      <c r="NJ93" s="43">
        <f>MONTH(Tabla1[[#This Row],[FECHA DE SALIDA  DEL PROGRAMA]])</f>
        <v>5</v>
      </c>
      <c r="NK93" s="43">
        <f>YEAR(Tabla1[[#This Row],[FECHA DE SALIDA  DEL PROGRAMA]])</f>
        <v>2023</v>
      </c>
      <c r="NL93" s="43" t="str">
        <f t="shared" si="326"/>
        <v>X</v>
      </c>
      <c r="NM93" s="43" t="str">
        <f>IF(AND(O93&gt;0,R93=""),"NO CPN",IF(AND(O93="",R93=""),"",IF(AND(EN93&lt;&gt;"",EX93&lt;&gt;"",FB93&lt;&gt;"",FK93&lt;&gt;"",FW93&lt;&gt;"",FZ93&lt;&gt;"",GO93&lt;&gt;"",GQ93&lt;&gt;"",GR93&lt;&gt;""),"SI","NO")))</f>
        <v>NO</v>
      </c>
      <c r="NN93" s="43" t="str">
        <f ca="1">IF(AND(O93&gt;0,R93=""),"NO CPN",IF(AND(O93="",R93=""),"",IF(AND(R93&gt;0,Tabla1[[#This Row],[SEMANAS DE GESTACION ACTUALIZADAS]]&lt;=12),"NO APLICA",IF(AND(FH93&lt;&gt;"",FN93&lt;&gt;""),"SI","NO"))))</f>
        <v>NO</v>
      </c>
      <c r="NO93" s="43" t="str">
        <f ca="1">IF(AND(O93&gt;0,R93=""),"NO CPN",IF(AND(O93="",R93=""),"",IF(AND(R93&gt;0,Tabla1[[#This Row],[SEMANAS DE GESTACION ACTUALIZADAS]]&lt;=27),"NO APLICA",IF(AND(ES93&lt;&gt;"",FQ93&lt;&gt;"",GF93&lt;&gt;""),"SI","NO"))))</f>
        <v>NO</v>
      </c>
      <c r="NP93" s="204" t="str">
        <f t="shared" si="327"/>
        <v>II TRIM</v>
      </c>
      <c r="NQ93" s="21" t="str">
        <f t="shared" si="436"/>
        <v/>
      </c>
      <c r="NR93" s="21">
        <f t="shared" si="451"/>
        <v>2</v>
      </c>
      <c r="NS93" s="205">
        <f t="shared" ca="1" si="328"/>
        <v>0</v>
      </c>
      <c r="NT93" s="21">
        <f t="shared" ca="1" si="329"/>
        <v>0</v>
      </c>
      <c r="NU93" s="21" t="str">
        <f t="shared" ca="1" si="330"/>
        <v>INCOMPLETO</v>
      </c>
      <c r="NV93" s="21" t="str">
        <f t="shared" ca="1" si="331"/>
        <v>INCOMPLETO</v>
      </c>
      <c r="NW93" s="206" t="str">
        <f>IF(AND(O93="",R93=""),"",IF(OR(AND(Tabla1[[#This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3" s="207" t="str">
        <f t="shared" ca="1" si="332"/>
        <v>SIN VACUNAR</v>
      </c>
      <c r="NY93" s="43">
        <f>ROW(Tabla1[[#This Row],['# DE TAMIZAJES SIFILIS TOMADOS ]])</f>
        <v>93</v>
      </c>
      <c r="NZ93" s="43">
        <f t="shared" si="333"/>
        <v>22</v>
      </c>
      <c r="OA93" s="43" t="str">
        <f t="shared" si="334"/>
        <v/>
      </c>
      <c r="OB93" s="43" t="str">
        <f t="shared" si="335"/>
        <v/>
      </c>
      <c r="OC93" s="43" t="str">
        <f t="shared" si="336"/>
        <v/>
      </c>
      <c r="OD93" s="43" t="str">
        <f t="shared" si="337"/>
        <v/>
      </c>
      <c r="OE93" s="43" t="str">
        <f t="shared" si="338"/>
        <v/>
      </c>
      <c r="OF93" s="43" t="str">
        <f t="shared" si="339"/>
        <v/>
      </c>
      <c r="OG93" s="43" t="str">
        <f t="shared" si="340"/>
        <v/>
      </c>
      <c r="OH93" s="43" t="str">
        <f t="shared" si="341"/>
        <v/>
      </c>
      <c r="OI93" s="43" t="str">
        <f t="shared" si="342"/>
        <v/>
      </c>
      <c r="OJ93" s="43" t="str">
        <f t="shared" si="343"/>
        <v/>
      </c>
      <c r="OK93" s="43" t="str">
        <f t="shared" si="344"/>
        <v/>
      </c>
      <c r="OL93" s="43" t="str">
        <f t="shared" si="345"/>
        <v/>
      </c>
      <c r="OM93" s="43" t="str">
        <f t="shared" si="346"/>
        <v/>
      </c>
      <c r="ON93" s="43" t="str">
        <f t="shared" si="347"/>
        <v>NORMAL</v>
      </c>
      <c r="OO93" s="43" t="str">
        <f t="shared" si="348"/>
        <v/>
      </c>
      <c r="OP93" s="43" t="str">
        <f t="shared" si="349"/>
        <v/>
      </c>
      <c r="OQ93" s="43" t="str">
        <f t="shared" si="350"/>
        <v/>
      </c>
      <c r="OR93" s="43" t="str">
        <f t="shared" si="351"/>
        <v/>
      </c>
      <c r="OS93" s="43" t="str">
        <f t="shared" si="352"/>
        <v/>
      </c>
      <c r="OT93" s="43" t="str">
        <f t="shared" si="353"/>
        <v/>
      </c>
      <c r="OU93" s="43" t="str">
        <f t="shared" si="354"/>
        <v/>
      </c>
      <c r="OV93" s="110" t="str">
        <f t="shared" si="355"/>
        <v/>
      </c>
      <c r="OW93" s="43" t="str">
        <f t="shared" si="356"/>
        <v/>
      </c>
      <c r="OX93" s="43" t="str">
        <f t="shared" si="357"/>
        <v/>
      </c>
      <c r="OY93" s="43" t="str">
        <f t="shared" si="358"/>
        <v/>
      </c>
      <c r="OZ93" s="43" t="str">
        <f t="shared" si="359"/>
        <v/>
      </c>
      <c r="PA93" s="43" t="str">
        <f t="shared" si="360"/>
        <v/>
      </c>
      <c r="PB93" s="43" t="str">
        <f t="shared" si="361"/>
        <v/>
      </c>
      <c r="PC93" s="43" t="str">
        <f t="shared" si="362"/>
        <v/>
      </c>
      <c r="PD93" s="43" t="str">
        <f t="shared" si="363"/>
        <v/>
      </c>
      <c r="PE93" s="43" t="str">
        <f t="shared" si="364"/>
        <v/>
      </c>
      <c r="PF93" s="43" t="str">
        <f t="shared" si="365"/>
        <v/>
      </c>
      <c r="PG93" s="43" t="str">
        <f t="shared" si="366"/>
        <v/>
      </c>
      <c r="PH93" s="43" t="str">
        <f t="shared" si="367"/>
        <v/>
      </c>
      <c r="PI93" s="43">
        <f t="shared" si="368"/>
        <v>28</v>
      </c>
      <c r="PJ93" s="43" t="str">
        <f t="shared" si="369"/>
        <v/>
      </c>
      <c r="PK93" s="43" t="str">
        <f t="shared" si="370"/>
        <v/>
      </c>
      <c r="PL93" s="43" t="str">
        <f t="shared" si="371"/>
        <v/>
      </c>
      <c r="PM93" s="43" t="str">
        <f t="shared" si="372"/>
        <v/>
      </c>
      <c r="PN93" s="43" t="str">
        <f t="shared" si="373"/>
        <v/>
      </c>
      <c r="PO93" s="43" t="str">
        <f t="shared" si="374"/>
        <v/>
      </c>
      <c r="PP93" s="43" t="str">
        <f t="shared" si="375"/>
        <v/>
      </c>
      <c r="PQ93" s="43" t="str">
        <f t="shared" si="376"/>
        <v/>
      </c>
      <c r="PR93" s="43" t="str">
        <f t="shared" si="377"/>
        <v/>
      </c>
      <c r="PS93" s="43" t="str">
        <f t="shared" si="378"/>
        <v/>
      </c>
      <c r="PT93" s="43" t="str">
        <f t="shared" si="379"/>
        <v/>
      </c>
      <c r="PU93" s="43" t="str">
        <f t="shared" si="380"/>
        <v/>
      </c>
      <c r="PV93" s="43" t="str">
        <f t="shared" si="381"/>
        <v/>
      </c>
      <c r="PW93" s="43" t="str">
        <f t="shared" si="382"/>
        <v/>
      </c>
      <c r="PX93" s="43" t="str">
        <f t="shared" si="383"/>
        <v/>
      </c>
      <c r="PY93" s="43" t="str">
        <f t="shared" si="384"/>
        <v/>
      </c>
      <c r="PZ93" s="43" t="str">
        <f t="shared" si="385"/>
        <v/>
      </c>
      <c r="QA93" s="43" t="str">
        <f t="shared" si="386"/>
        <v/>
      </c>
      <c r="QB93" s="43" t="str">
        <f t="shared" si="387"/>
        <v/>
      </c>
      <c r="QC93" s="43" t="str">
        <f t="shared" si="388"/>
        <v/>
      </c>
      <c r="QD93" s="43" t="str">
        <f t="shared" si="389"/>
        <v/>
      </c>
      <c r="QE93" s="43" t="str">
        <f t="shared" si="390"/>
        <v/>
      </c>
      <c r="QF93" s="43" t="str">
        <f t="shared" si="391"/>
        <v/>
      </c>
      <c r="QG93" s="43" t="str">
        <f t="shared" si="392"/>
        <v/>
      </c>
      <c r="QH93" s="43" t="str">
        <f t="shared" si="393"/>
        <v/>
      </c>
      <c r="QI93" s="43" t="str">
        <f t="shared" si="394"/>
        <v/>
      </c>
      <c r="QJ93" s="43" t="str">
        <f t="shared" si="395"/>
        <v/>
      </c>
      <c r="QK93" s="43" t="str">
        <f t="shared" si="396"/>
        <v/>
      </c>
      <c r="QL93" s="43" t="str">
        <f t="shared" si="397"/>
        <v/>
      </c>
      <c r="QM93" s="43" t="str">
        <f t="shared" si="398"/>
        <v/>
      </c>
      <c r="QN93" s="43" t="str">
        <f t="shared" si="399"/>
        <v/>
      </c>
      <c r="QO93" s="43" t="str">
        <f t="shared" si="400"/>
        <v/>
      </c>
      <c r="QP93" s="43" t="str">
        <f t="shared" si="401"/>
        <v/>
      </c>
      <c r="QQ93" s="43" t="str">
        <f t="shared" si="402"/>
        <v/>
      </c>
      <c r="QR93" s="43">
        <f t="shared" si="432"/>
        <v>28</v>
      </c>
      <c r="QS93" s="43"/>
      <c r="QT93" s="21" t="str">
        <f t="shared" si="403"/>
        <v/>
      </c>
      <c r="QU93" s="21" t="str">
        <f t="shared" si="404"/>
        <v/>
      </c>
      <c r="QV93" s="21" t="str">
        <f t="shared" si="405"/>
        <v/>
      </c>
      <c r="QW93" s="21" t="str">
        <f t="shared" si="406"/>
        <v/>
      </c>
      <c r="QX93" s="21" t="str">
        <f t="shared" si="407"/>
        <v/>
      </c>
      <c r="QY93" s="21" t="str">
        <f t="shared" si="408"/>
        <v/>
      </c>
      <c r="QZ93" s="21" t="str">
        <f t="shared" si="409"/>
        <v/>
      </c>
      <c r="RA93" s="21" t="str">
        <f t="shared" si="410"/>
        <v/>
      </c>
      <c r="RB93" s="21" t="str">
        <f t="shared" si="411"/>
        <v/>
      </c>
      <c r="RC93" s="21" t="str">
        <f t="shared" si="412"/>
        <v/>
      </c>
      <c r="RD93" s="21" t="str">
        <f t="shared" si="413"/>
        <v/>
      </c>
      <c r="RE93" s="21" t="str">
        <f t="shared" si="414"/>
        <v/>
      </c>
      <c r="RF93" s="21" t="str">
        <f t="shared" si="415"/>
        <v/>
      </c>
      <c r="RG93" s="21" t="str">
        <f t="shared" si="416"/>
        <v/>
      </c>
      <c r="RH93" s="21" t="str">
        <f t="shared" si="417"/>
        <v/>
      </c>
      <c r="RI93" s="21" t="str">
        <f t="shared" si="418"/>
        <v/>
      </c>
      <c r="RJ93" s="21" t="str">
        <f t="shared" si="419"/>
        <v/>
      </c>
      <c r="RK93" s="21" t="str">
        <f t="shared" si="420"/>
        <v/>
      </c>
      <c r="RL93" s="21" t="str">
        <f t="shared" si="421"/>
        <v/>
      </c>
      <c r="RM93" s="21" t="str">
        <f t="shared" si="422"/>
        <v/>
      </c>
      <c r="RN93" s="21" t="str">
        <f t="shared" si="423"/>
        <v/>
      </c>
      <c r="RO93" s="21" t="str">
        <f t="shared" si="424"/>
        <v/>
      </c>
      <c r="RP93" s="21" t="str">
        <f t="shared" si="425"/>
        <v/>
      </c>
      <c r="RQ93" s="21" t="str">
        <f t="shared" si="426"/>
        <v/>
      </c>
      <c r="RR93" s="21" t="str">
        <f t="shared" si="427"/>
        <v/>
      </c>
      <c r="RS93" s="21" t="str">
        <f t="shared" si="428"/>
        <v/>
      </c>
      <c r="RT93" s="21" t="str">
        <f t="shared" si="429"/>
        <v/>
      </c>
      <c r="RU93" s="21" t="str">
        <f t="shared" si="430"/>
        <v/>
      </c>
      <c r="RV93" s="21">
        <f t="shared" si="431"/>
        <v>22.428571428571427</v>
      </c>
      <c r="RW93" s="284">
        <f>IF(OR(Tabla1[[#This Row],[FUM FORMULA CONFIABLE]]="",Tabla1[[#This Row],[FUM FORMULA CONFIABLE]]="SD"),"",IF(Tabla1[[#This Row],[FUM FORMULA CONFIABLE]]="CORREGIDA",Tabla1[[#This Row],[FUM X ECO 1]],Tabla1[[#This Row],[FUM x AMENORREA]]))</f>
        <v>44803</v>
      </c>
      <c r="RX93" s="21">
        <f>IF(AND(Tabla1[[#This Row],[FUM X ECO 1]]="",Tabla1[[#This Row],[FUM x AMENORREA]]=""),"",IF(AND(Tabla1[[#This Row],[FUM X ECO 1]]="",Tabla1[[#This Row],[FUM x AMENORREA]]&lt;&gt;""),"X",SUM(Tabla1[[#This Row],[FUM X ECO 1]]-Tabla1[[#This Row],[FUM x AMENORREA]])))</f>
        <v>0.90000000000145519</v>
      </c>
      <c r="RY93" s="21">
        <f t="shared" si="433"/>
        <v>0</v>
      </c>
    </row>
    <row r="94" spans="1:493" s="338" customFormat="1" ht="45" customHeight="1" x14ac:dyDescent="0.25">
      <c r="A94" s="300"/>
      <c r="B94" s="301"/>
      <c r="C94" s="301" t="s">
        <v>845</v>
      </c>
      <c r="D94" s="302"/>
      <c r="E94" s="301" t="s">
        <v>1147</v>
      </c>
      <c r="F94" s="301" t="s">
        <v>1286</v>
      </c>
      <c r="G94" s="301" t="s">
        <v>1287</v>
      </c>
      <c r="H94" s="301" t="s">
        <v>1043</v>
      </c>
      <c r="I94" s="300" t="s">
        <v>851</v>
      </c>
      <c r="J94" s="303">
        <v>1059597815</v>
      </c>
      <c r="K94" s="301" t="s">
        <v>852</v>
      </c>
      <c r="L94" s="304" t="s">
        <v>1509</v>
      </c>
      <c r="M94" s="305">
        <v>32252</v>
      </c>
      <c r="N94" s="306">
        <f t="shared" ca="1" si="252"/>
        <v>35.564383561643837</v>
      </c>
      <c r="O94" s="305">
        <v>44958</v>
      </c>
      <c r="P94" s="307" t="str">
        <f t="shared" si="437"/>
        <v>SI</v>
      </c>
      <c r="Q94" s="308" t="s">
        <v>855</v>
      </c>
      <c r="R94" s="305">
        <v>44958</v>
      </c>
      <c r="S94" s="309" t="s">
        <v>856</v>
      </c>
      <c r="T94" s="310" t="s">
        <v>690</v>
      </c>
      <c r="U94" s="309" t="s">
        <v>857</v>
      </c>
      <c r="V94" s="309" t="s">
        <v>858</v>
      </c>
      <c r="W94" s="309" t="s">
        <v>1288</v>
      </c>
      <c r="X94" s="309" t="s">
        <v>1288</v>
      </c>
      <c r="Y94" s="309" t="s">
        <v>859</v>
      </c>
      <c r="Z94" s="309">
        <v>3184258429</v>
      </c>
      <c r="AA94" s="309" t="s">
        <v>860</v>
      </c>
      <c r="AB94" s="311" t="s">
        <v>861</v>
      </c>
      <c r="AC94" s="308" t="s">
        <v>877</v>
      </c>
      <c r="AD94" s="312" t="s">
        <v>1546</v>
      </c>
      <c r="AE94" s="308" t="s">
        <v>854</v>
      </c>
      <c r="AF94" s="308" t="s">
        <v>854</v>
      </c>
      <c r="AG94" s="313" t="s">
        <v>864</v>
      </c>
      <c r="AH94" s="313" t="s">
        <v>864</v>
      </c>
      <c r="AI94" s="310" t="s">
        <v>863</v>
      </c>
      <c r="AJ94" s="313" t="s">
        <v>864</v>
      </c>
      <c r="AK94" s="314" t="str">
        <f>IF(AND(AD94="",AE94="",AF94="",AG94="",AH94="",AI94="",AJ94=""),"",IF(OR(Tabla1[[#This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EVALUACIÓN",IF(AND(O94="",R94=""),"",IF(AND(OR(O94&gt;0,R94&gt;0),NG94&gt;=0,NG94&lt;2),"SIN RIESGO",IF(AND(OR(O94&gt;0,R94&gt;0),NG94&gt;=2),"CON RIESGO","ASD")))))</f>
        <v>SIN RIESGO</v>
      </c>
      <c r="AL94" s="313" t="s">
        <v>864</v>
      </c>
      <c r="AM94" s="308" t="s">
        <v>864</v>
      </c>
      <c r="AN94" s="313" t="s">
        <v>864</v>
      </c>
      <c r="AO94" s="308" t="s">
        <v>864</v>
      </c>
      <c r="AP94" s="308" t="s">
        <v>864</v>
      </c>
      <c r="AQ94" s="313" t="s">
        <v>864</v>
      </c>
      <c r="AR94" s="313" t="s">
        <v>864</v>
      </c>
      <c r="AS94" s="309">
        <v>3</v>
      </c>
      <c r="AT94" s="309">
        <v>2</v>
      </c>
      <c r="AU94" s="309">
        <v>0</v>
      </c>
      <c r="AV94" s="308" t="s">
        <v>864</v>
      </c>
      <c r="AW94" s="309">
        <v>0</v>
      </c>
      <c r="AX94" s="308" t="s">
        <v>864</v>
      </c>
      <c r="AY94" s="308" t="s">
        <v>864</v>
      </c>
      <c r="AZ94" s="308" t="s">
        <v>864</v>
      </c>
      <c r="BA94" s="308" t="s">
        <v>864</v>
      </c>
      <c r="BB94" s="308" t="s">
        <v>864</v>
      </c>
      <c r="BC94" s="308" t="s">
        <v>864</v>
      </c>
      <c r="BD94" s="308" t="s">
        <v>864</v>
      </c>
      <c r="BE94" s="308" t="s">
        <v>864</v>
      </c>
      <c r="BF94" s="308" t="s">
        <v>864</v>
      </c>
      <c r="BG94" s="308" t="s">
        <v>864</v>
      </c>
      <c r="BH94" s="308" t="s">
        <v>864</v>
      </c>
      <c r="BI94" s="308" t="s">
        <v>864</v>
      </c>
      <c r="BJ94" s="308" t="s">
        <v>864</v>
      </c>
      <c r="BK94" s="308" t="s">
        <v>864</v>
      </c>
      <c r="BL94" s="308" t="s">
        <v>864</v>
      </c>
      <c r="BM94" s="308" t="s">
        <v>864</v>
      </c>
      <c r="BN94" s="305">
        <v>40685</v>
      </c>
      <c r="BO94" s="305">
        <v>44881</v>
      </c>
      <c r="BP94" s="309" t="s">
        <v>1380</v>
      </c>
      <c r="BQ94" s="315">
        <f t="shared" si="254"/>
        <v>139.37333333333325</v>
      </c>
      <c r="BR94" s="316">
        <f t="shared" si="255"/>
        <v>44866.2</v>
      </c>
      <c r="BS94" s="317">
        <f t="shared" si="256"/>
        <v>13.11428571428613</v>
      </c>
      <c r="BT94" s="318" t="str">
        <f t="shared" si="257"/>
        <v>II TRIM</v>
      </c>
      <c r="BU94" s="307" t="str">
        <f t="shared" ca="1" si="258"/>
        <v/>
      </c>
      <c r="BV94" s="319" t="s">
        <v>1525</v>
      </c>
      <c r="BW94" s="305">
        <v>44960</v>
      </c>
      <c r="BX94" s="320">
        <v>13.4</v>
      </c>
      <c r="BY94" s="320"/>
      <c r="BZ94" s="305"/>
      <c r="CA94" s="309"/>
      <c r="CB94" s="308" t="s">
        <v>864</v>
      </c>
      <c r="CC94" s="308" t="s">
        <v>864</v>
      </c>
      <c r="CD94" s="308"/>
      <c r="CE94" s="308" t="s">
        <v>864</v>
      </c>
      <c r="CF94" s="22" t="s">
        <v>1517</v>
      </c>
      <c r="CG94" s="309">
        <v>1.41</v>
      </c>
      <c r="CH94" s="309">
        <v>50</v>
      </c>
      <c r="CI94" s="307">
        <f t="shared" si="259"/>
        <v>25.149640360142854</v>
      </c>
      <c r="CJ94" s="321" t="e">
        <f>IF(AND(CI94&lt;10,CH94="SD"),"SIN DATO PESO PREGESTACION O I TRIM",IF(AND(OR(R94&gt;0,O94&gt;0),CI94="X"),"INGRESAR DATO DE PESO",IF(CI94="SD","INGRESAR DATO DE TALLA Y PESO",IF(AND(OR(Tabla1[[#This Row],[MOMENTO EN QUE SE REALIZA EL PESO AL INGRESO A CPN]]="PREGESTACIÓN",NZ94="Menor"),CI94&lt;18.5),"BAJO PESO",IF(AND(OR(Tabla1[[#This Row],[MOMENTO EN QUE SE REALIZA EL PESO AL INGRESO A CPN]]="PREGESTACIÓN",NZ94="Menor"),CI94&lt;25),"NORMAL",IF(AND(OR(Tabla1[[#This Row],[MOMENTO EN QUE SE REALIZA EL PESO AL INGRESO A CPN]]="PREGESTACIÓN",NZ94="Menor"),CI94&lt;30),"SOBREPESO",IF(AND(OR(Tabla1[[#This Row],[MOMENTO EN QUE SE REALIZA EL PESO AL INGRESO A CPN]]="PREGESTACIÓN",NZ94="Menor"),CI94&gt;=30,CI94&lt;50),"OBESIDAD",IF(AND(BS94&gt;0,Tabla1[[#This Row],[MOMENTO EN QUE SE REALIZA EL PESO AL INGRESO A CPN]]="GESTACIÓN"),HLOOKUP(NZ94,$OA$2:PH94,NY94),""))))))))</f>
        <v>#REF!</v>
      </c>
      <c r="CK94" s="322">
        <f t="shared" si="260"/>
        <v>45115</v>
      </c>
      <c r="CL94" s="309">
        <v>58</v>
      </c>
      <c r="CM94" s="307">
        <f t="shared" si="261"/>
        <v>29.173582817765709</v>
      </c>
      <c r="CN94" s="318">
        <f t="shared" si="262"/>
        <v>35</v>
      </c>
      <c r="CO94" s="318" t="e">
        <f>IF(PI94="","",IF(PI94&gt;0,HLOOKUP(PI94,$PJ$2:QQ94,NY94),""))</f>
        <v>#REF!</v>
      </c>
      <c r="CP94" s="309">
        <v>32</v>
      </c>
      <c r="CQ94" s="318" t="e">
        <f>IF(QR94="Menor","NO APLICA-MENOR 13 SEM",IF(AND(CC94="SI",CN94&gt;23),"NO APLICA- GEMELAR",IF(QR94="","",IF(QR94&gt;0,HLOOKUP(QR94,$QS$2:RU94,NY94),""))))</f>
        <v>#REF!</v>
      </c>
      <c r="CR94" s="309"/>
      <c r="CS94" s="309"/>
      <c r="CT94" s="323" t="str">
        <f>IF(R94="","",IF(AND(BS94&gt;1,BS94&lt;12,Tabla1[[#This Row],[T.A. SISTOLICA - ANTES DE SEMANA 12]]="",Tabla1[[#This Row],[T.A. DIASTOLICA - ANTES DE SEMANA 12]]=""),"REGISTRE DATO TA ANTES SEMANA 12",IF(AND(BS94&gt;11,BS94&lt;43,Tabla1[[#This Row],[T.A. SISTOLICA - ANTES DE SEMANA 12]]="",Tabla1[[#This Row],[T.A. DIASTOLICA - ANTES DE SEMANA 12]]=""),"NO APLICA REGISTRO TA-INGRESO TARDIO",IF(AND(OR(O94&gt;0,R94&gt;0),OR(CR94&gt;=140,CS94&gt;=90)),"DEFINIR ESTADIO HTA",IF(AND(OR(O94&gt;0,R94&gt;0),AND(CR94&gt;120,CR94&lt;=139)),"PRE HTA SEGUIMIENTO",IF(AND(OR(O94&gt;0,R94&gt;0),AND(CS94&gt;80,CS94&lt;=89)),"PRE HTA SEGUIMIENTO",IF(AND(OR(O94&gt;0,R94&gt;0),AND(CR94&gt;=80,CR94&lt;=120)),"APARENTEMENTE NORMAL",IF(AND(OR(O94&gt;0,R94&gt;0),AND(CS94&gt;=50,CS94&lt;=80)),"APARENTEMENTE NORMAL",IF(AND(OR(O94&gt;0,R94&gt;0),AND(CR94&gt;1,CR94&lt;=70),AND(CS94&gt;1,CS94&lt;=40)),"HIPOTENSIÓN","")))))))))</f>
        <v>NO APLICA REGISTRO TA-INGRESO TARDIO</v>
      </c>
      <c r="CU94" s="309">
        <v>90</v>
      </c>
      <c r="CV94" s="309">
        <v>60</v>
      </c>
      <c r="CW94" s="323" t="str">
        <f ca="1">IF(R94="","",IF(AND(CN94&gt;19,CN94&lt;27,Tabla1[[#This Row],[T.A. SISTOLICA (Entre semana 20 y 26)]]="",Tabla1[[#This Row],[T.A. DIATOLICA (Entre semana 20 y 26)]]=""),"ACUDE A CONTROL SEM 20 A 26 REGISTRE TA AHORA",IF(AND(BS94&gt;1,BS94&lt;27,BU94&gt;19,Tabla1[[#This Row],[T.A. SISTOLICA (Entre semana 20 y 26)]]="",Tabla1[[#This Row],[T.A. DIATOLICA (Entre semana 20 y 26)]]=""),"COMPLETE REGISTRO TA CONTROL SEM 20 A26 ",IF(AND(BS94&gt;26,BS94&lt;43,Tabla1[[#This Row],[T.A. SISTOLICA (Entre semana 20 y 26)]]="",Tabla1[[#This Row],[T.A. DIATOLICA (Entre semana 20 y 26)]]=""),"NO APLICA REGISTRO TA-INGRESO TARDIO",IF(AND(OR(O94&gt;0,R94&gt;0),OR(CU94&gt;=140,CV94&gt;=90)),"ALTO RIESGO PREECLAMPSIA,DEFINIR ESTADIO HTA",IF(AND(OR(O94&gt;0,R94&gt;0),AND(CU94&gt;120,CU94&lt;=139)),"PRE HTA SEGUIMIENTO,RIESGO HIPERTENSION INDUCIDA POR EL EMBARAZO",IF(AND(OR(O94&gt;0,R94&gt;0),AND(CV94&gt;80,CV94&lt;=89)),"PRE HTA SEGUIMIENTO, RIESGO HIPERTENSION INDUCIDA POR EL EMBARAZO",IF(AND(OR(O94&lt;&gt;"",R94&lt;&gt;""),CS94&lt;&gt;"",CV94&lt;&gt;"",CS94&lt;=CV94),"VIGILAR CIFRAS PRESION ARTERIAL",IF(AND(OR(O94&gt;0,R94&gt;0),AND(CU94&gt;120,CU94&lt;=139)),"PRE HTA SEGUIMIENTO",IF(AND(OR(O94&gt;0,R94&gt;0),AND(CU94&gt;1,CU94&lt;=70),AND(CV94&gt;1,CV94&lt;=40)),"HIPOTENSIÓN",IF(AND(OR(O94&lt;&gt;"",R94&lt;&gt;""),CS94&lt;&gt;"",CV94&lt;&gt;"",CS94&gt;CV94),"APARENTEMENTE NORMAL",IF(AND(OR(O94&gt;0,R94&gt;0),AND(CU94&gt;=80,CU94&lt;=120)),"APARENTEMENTE NORMAL",IF(AND(OR(O94&gt;0,R94&gt;0),AND(CV94&gt;=50,CV94&lt;=80)),"APARENTEMENTE NORMAL","")))))))))))))</f>
        <v>APARENTEMENTE NORMAL</v>
      </c>
      <c r="CX94" s="309"/>
      <c r="CY94" s="309"/>
      <c r="CZ94" s="318" t="str">
        <f t="shared" si="263"/>
        <v/>
      </c>
      <c r="DA94" s="309">
        <v>100</v>
      </c>
      <c r="DB94" s="309">
        <v>60</v>
      </c>
      <c r="DC94" s="323" t="str">
        <f t="shared" si="264"/>
        <v>VIGILAR CIFRAS PRESION ARTERIAL</v>
      </c>
      <c r="DD94" s="305">
        <v>44958</v>
      </c>
      <c r="DE94" s="305">
        <v>44958</v>
      </c>
      <c r="DF94" s="305">
        <v>45031</v>
      </c>
      <c r="DG94" s="305">
        <v>45071</v>
      </c>
      <c r="DH94" s="305">
        <v>45115</v>
      </c>
      <c r="DI94" s="305"/>
      <c r="DJ94" s="305"/>
      <c r="DK94" s="305"/>
      <c r="DL94" s="305"/>
      <c r="DM94" s="305"/>
      <c r="DN94" s="305"/>
      <c r="DO94" s="305"/>
      <c r="DP94" s="305"/>
      <c r="DQ94" s="305"/>
      <c r="DR94" s="320"/>
      <c r="DS94" s="305"/>
      <c r="DT94" s="305"/>
      <c r="DU94" s="318" t="str">
        <f t="shared" ca="1" si="438"/>
        <v>CONCERTAR PLAN DE PARTO INMEDIATO</v>
      </c>
      <c r="DV94" s="324" t="str">
        <f t="shared" si="439"/>
        <v>ACTIVA INGRESO A CPN</v>
      </c>
      <c r="DW94"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4" s="318" t="e">
        <f t="shared" ca="1" si="266"/>
        <v>#REF!</v>
      </c>
      <c r="DY94" s="322">
        <f>IF(R94="","",IF(R94&gt;0,MAX(Tabla1[[#This Row],[FECHA C2]:[FECHA C13]],Tabla1[[#This Row],[FECHA CONSULTA PRIMERA VEZ PROGRAMA CPN ]])))</f>
        <v>45115</v>
      </c>
      <c r="DZ94" s="318">
        <f t="shared" si="267"/>
        <v>35</v>
      </c>
      <c r="EA94" s="315">
        <f>IF(R94&gt;0,SUM(COUNTA(DF94:DQ94)+COUNTA(Tabla1[[#This Row],[FECHA CONSULTA PRIMERA VEZ PROGRAMA CPN ]])),"")</f>
        <v>4</v>
      </c>
      <c r="EB94" s="315" t="str">
        <f t="shared" si="268"/>
        <v>SI</v>
      </c>
      <c r="EC94" s="307">
        <f t="shared" si="269"/>
        <v>8</v>
      </c>
      <c r="ED94" s="325">
        <f t="shared" si="270"/>
        <v>0.5</v>
      </c>
      <c r="EE94" s="305">
        <v>44958</v>
      </c>
      <c r="EF94" s="305"/>
      <c r="EG94" s="305">
        <v>44958</v>
      </c>
      <c r="EH94" s="305"/>
      <c r="EI94" s="305">
        <v>44958</v>
      </c>
      <c r="EJ94" s="305"/>
      <c r="EK94" s="305"/>
      <c r="EL94" s="309"/>
      <c r="EM94" s="309"/>
      <c r="EN94" s="305"/>
      <c r="EO94" s="315" t="str">
        <f t="shared" si="271"/>
        <v>TOMAR EXAMEN</v>
      </c>
      <c r="EP94" s="307" t="str">
        <f t="shared" si="272"/>
        <v/>
      </c>
      <c r="EQ94" s="318" t="str">
        <f t="shared" si="273"/>
        <v>POR DEFINIR</v>
      </c>
      <c r="ER94" s="310"/>
      <c r="ES94" s="305"/>
      <c r="ET94" s="326" t="str">
        <f t="shared" ca="1" si="440"/>
        <v>TOMA DE HEMOGLOBINA TARDÍA</v>
      </c>
      <c r="EU94" s="319" t="str">
        <f t="shared" si="275"/>
        <v/>
      </c>
      <c r="EV94" s="310"/>
      <c r="EW94" s="310"/>
      <c r="EX94" s="305"/>
      <c r="EY94" s="326" t="str">
        <f t="shared" si="248"/>
        <v>TOMAR EXAMEN</v>
      </c>
      <c r="EZ94" s="319" t="str">
        <f t="shared" ca="1" si="249"/>
        <v/>
      </c>
      <c r="FA94" s="309">
        <v>78</v>
      </c>
      <c r="FB94" s="305">
        <v>44960</v>
      </c>
      <c r="FC94" s="326">
        <f t="shared" si="276"/>
        <v>13.400000000000416</v>
      </c>
      <c r="FD94" s="326"/>
      <c r="FE94" s="326"/>
      <c r="FF94" s="326"/>
      <c r="FG94" s="309" t="str">
        <f t="shared" ca="1" si="277"/>
        <v/>
      </c>
      <c r="FH94" s="327"/>
      <c r="FI94" s="326" t="str">
        <f t="shared" si="278"/>
        <v>TOMAR EXAMEN</v>
      </c>
      <c r="FJ94" s="305"/>
      <c r="FK94" s="305"/>
      <c r="FL94" s="326" t="str">
        <f t="shared" ca="1" si="279"/>
        <v>NO APLICA-INGRESO TARDIO</v>
      </c>
      <c r="FM94" s="305" t="s">
        <v>867</v>
      </c>
      <c r="FN94" s="305">
        <v>44960</v>
      </c>
      <c r="FO94" s="326">
        <f t="shared" ca="1" si="441"/>
        <v>13.400000000000416</v>
      </c>
      <c r="FP94" s="305"/>
      <c r="FQ94" s="328"/>
      <c r="FR94" s="326" t="str">
        <f t="shared" ca="1" si="442"/>
        <v>TOMA INMEDIATA DE TAMIZAJE</v>
      </c>
      <c r="FS94" s="305"/>
      <c r="FT94" s="328"/>
      <c r="FU94" s="326" t="str">
        <f>IF(AND(FJ94="",FM94="",FP94="",FS94=""),"",IF(OR(OR(Tabla1[[#This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4" s="320"/>
      <c r="FW94" s="305"/>
      <c r="FX94" s="326" t="str">
        <f t="shared" si="280"/>
        <v>TOMAR EXAMEN</v>
      </c>
      <c r="FY94" s="305"/>
      <c r="FZ94" s="305"/>
      <c r="GA94" s="326" t="str">
        <f t="shared" ca="1" si="452"/>
        <v>NO APLICA-INGRESO TARDIO</v>
      </c>
      <c r="GB94" s="305" t="s">
        <v>868</v>
      </c>
      <c r="GC94" s="305">
        <v>44958</v>
      </c>
      <c r="GD94" s="326">
        <f t="shared" ca="1" si="443"/>
        <v>13.11428571428613</v>
      </c>
      <c r="GE94" s="305"/>
      <c r="GF94" s="305"/>
      <c r="GG94" s="326" t="str">
        <f t="shared" ca="1" si="444"/>
        <v>TOMA INMEDIATA DE TAMIZAJE</v>
      </c>
      <c r="GH94" s="305"/>
      <c r="GI94" s="326"/>
      <c r="GJ94" s="305"/>
      <c r="GK94" s="305"/>
      <c r="GL94" s="305"/>
      <c r="GM94" s="305"/>
      <c r="GN94" s="320"/>
      <c r="GO94" s="305"/>
      <c r="GP94" s="326" t="str">
        <f t="shared" si="283"/>
        <v>TOMAR EXAMEN</v>
      </c>
      <c r="GQ94" s="320"/>
      <c r="GR94" s="320"/>
      <c r="GS94" s="305" t="str">
        <f t="shared" si="284"/>
        <v/>
      </c>
      <c r="GT94" s="305"/>
      <c r="GU94" s="326" t="str">
        <f t="shared" si="285"/>
        <v>TOMAR EXAMEN</v>
      </c>
      <c r="GV94" s="309" t="str">
        <f t="shared" si="286"/>
        <v>POR DEFINIR</v>
      </c>
      <c r="GW94" s="320"/>
      <c r="GX94" s="329"/>
      <c r="GY94" s="309"/>
      <c r="GZ94" s="309"/>
      <c r="HA94" s="309"/>
      <c r="HB94" s="309"/>
      <c r="HC94" s="309"/>
      <c r="HD94" s="309"/>
      <c r="HE94" s="309"/>
      <c r="HF94" s="305"/>
      <c r="HG94" s="305" t="str">
        <f>IF(OR(O94&gt;0,R94&gt;0),CONCATENATE(IF(Tabla1[[#This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4" s="305" t="e">
        <f t="shared" si="287"/>
        <v>#REF!</v>
      </c>
      <c r="HI94" s="305" t="e">
        <f t="shared" ca="1" si="288"/>
        <v>#REF!</v>
      </c>
      <c r="HJ94" s="309"/>
      <c r="HK94" s="309" t="str">
        <f t="shared" si="289"/>
        <v>SIN ANTECEDENTES DE RIESGO</v>
      </c>
      <c r="HL94" s="310" t="str">
        <f t="shared" si="290"/>
        <v>VIGILAR CIFRAS PRESION ARTERIAL</v>
      </c>
      <c r="HM94" s="309" t="e">
        <f t="shared" ca="1" si="291"/>
        <v>#REF!</v>
      </c>
      <c r="HN94" s="329" t="str">
        <f t="shared" si="445"/>
        <v>ACTIVA INGRESO A CPN</v>
      </c>
      <c r="HO94" s="309"/>
      <c r="HP94" s="309"/>
      <c r="HQ94" s="309">
        <v>45031</v>
      </c>
      <c r="HR94" s="309" t="str">
        <f>IF(R94="","",IF(Tabla1[[#This Row],[ALARMA FACTORES DE RIESGO COMPLICACIONES HIPERTENSIVAS3]]="SIN ANTECEDENTES DE RIESGO","No Aplica para suministro de ASA",IF(AND(Tabla1[[#This Row],[FECHA INICIO DE SUMINISTRO DE ASA]]&gt;0,RV94&lt;12),"Inicia ASA ANTES de Sem 12",IF(AND(RV94&gt;11,RV94&lt;17,OR(HK94="RIESGO ALTO DE COMPLICACIONES HIPERTENSIVAS VER MANEJO GUIA SUMINISTRO ASA Y CALCIO",HK94="RIESGO MODERADO (2 O MAS CRITERIOS) VER MANEJO GUIA SUMINISTRO ASA Y CALCIO")),"Inicio oportuno de ASA",IF(AND(RV94&gt;12,OR(HK94="RIESGO ALTO DE COMPLICACIONES HIPERTENSIVAS VER MANEJO GUIA SUMINISTRO ASA Y CALCIO",HK94="RIESGO MODERADO (2 O MAS CRITERIOS) VER MANEJO GUIA SUMINISTRO ASA Y CALCIO")),"Inicio no oportuno mayor a 16 semanas",IF(AND(BU94&lt;12,OR(HK94="RIESGO ALTO DE COMPLICACIONES HIPERTENSIVAS VER MANEJO GUIA SUMINISTRO ASA Y CALCIO",HK94="RIESGO MODERADO (2 O MAS CRITERIOS) VER MANEJO GUIA SUMINISTRO ASA Y CALCIO")),"Pendiente Inicio de ASA a la semana 12",IF(AND(BU94&gt;11,BU94&lt;17,OR(HK94="RIESGO ALTO DE COMPLICACIONES HIPERTENSIVAS VER MANEJO GUIA SUMINISTRO ASA Y CALCIO",HK94="RIESGO MODERADO (2 O MAS CRITERIOS) VER MANEJO GUIA SUMINISTRO ASA Y CALCIO")),"Iniciar de inmediato ASA",IF(AND(BU94&gt;16,OR(HK94="RIESGO ALTO DE COMPLICACIONES HIPERTENSIVAS VER MANEJO GUIA SUMINISTRO ASA Y CALCIO",HK94="RIESGO MODERADO (2 O MAS CRITERIOS) VER MANEJO GUIA SUMINISTRO ASA Y CALCIO")),"Pierde Oportunidad, Inicio tardío de ASA","XXXXX"))))))))</f>
        <v>No Aplica para suministro de ASA</v>
      </c>
      <c r="HS94" s="305">
        <v>45031</v>
      </c>
      <c r="HT94" s="305" t="s">
        <v>870</v>
      </c>
      <c r="HU94" s="305"/>
      <c r="HV94" s="305"/>
      <c r="HW94" s="305">
        <v>45031</v>
      </c>
      <c r="HX94" s="305" t="s">
        <v>870</v>
      </c>
      <c r="HY94" s="305">
        <v>44958</v>
      </c>
      <c r="HZ94" s="320">
        <f t="shared" si="292"/>
        <v>13.11428571428613</v>
      </c>
      <c r="IA94" s="308"/>
      <c r="IB94" s="308"/>
      <c r="IC94" s="330"/>
      <c r="ID94" s="305"/>
      <c r="IE94" s="305" t="str">
        <f t="shared" ca="1" si="293"/>
        <v/>
      </c>
      <c r="IF94" s="305"/>
      <c r="IG94" s="305">
        <f t="shared" si="294"/>
        <v>45146.2</v>
      </c>
      <c r="IH94" s="326">
        <f t="shared" ca="1" si="295"/>
        <v>-86.80000000000291</v>
      </c>
      <c r="II94" s="305" t="str">
        <f t="shared" ca="1" si="296"/>
        <v>POSIBLEMENTE NACIO</v>
      </c>
      <c r="IJ94" s="305"/>
      <c r="IK94" s="309"/>
      <c r="IL94" s="309"/>
      <c r="IM94" s="331"/>
      <c r="IN94" s="350"/>
      <c r="IO94" s="309"/>
      <c r="IP94" s="326" t="str">
        <f t="shared" si="435"/>
        <v/>
      </c>
      <c r="IQ94" s="303"/>
      <c r="IR94" s="309"/>
      <c r="IS94" s="309"/>
      <c r="IT94" s="309"/>
      <c r="IU94" s="309"/>
      <c r="IV94" s="309"/>
      <c r="IW94" s="309"/>
      <c r="IX94" s="309"/>
      <c r="IY94" s="309"/>
      <c r="IZ94" s="309"/>
      <c r="JA94" s="309"/>
      <c r="JB94" s="329"/>
      <c r="JC94" s="309"/>
      <c r="JD94" s="333"/>
      <c r="JE94" s="309" t="str">
        <f t="shared" si="446"/>
        <v/>
      </c>
      <c r="JF94" s="329"/>
      <c r="JG94" s="309"/>
      <c r="JH94" s="309"/>
      <c r="JI94" s="309"/>
      <c r="JJ94" s="329"/>
      <c r="JK94" s="305"/>
      <c r="JL94" s="305"/>
      <c r="JM94" s="309"/>
      <c r="JN94" s="333"/>
      <c r="JO94" s="309" t="str">
        <f t="shared" si="447"/>
        <v/>
      </c>
      <c r="JP94" s="305"/>
      <c r="JQ94" s="309"/>
      <c r="JR94" s="309"/>
      <c r="JS94" s="309"/>
      <c r="JT94" s="329"/>
      <c r="JU94" s="305"/>
      <c r="JV94" s="305"/>
      <c r="JW94" s="334"/>
      <c r="JX94" s="320" t="str">
        <f t="shared" si="448"/>
        <v/>
      </c>
      <c r="JY94" s="334"/>
      <c r="JZ94" s="320" t="str">
        <f t="shared" si="449"/>
        <v/>
      </c>
      <c r="KA94" s="309"/>
      <c r="KB94" s="309"/>
      <c r="KC94" s="309"/>
      <c r="KD94" s="335"/>
      <c r="KE94" s="320"/>
      <c r="KF94" s="320"/>
      <c r="KG94" s="320"/>
      <c r="KH94" s="336"/>
      <c r="KI94" s="336"/>
      <c r="KJ94" s="337"/>
      <c r="KK94" s="336"/>
      <c r="KL94" s="336"/>
      <c r="KM94" s="337"/>
      <c r="KN94" s="336"/>
      <c r="KO94" s="336"/>
      <c r="KP94" s="336"/>
      <c r="KQ94" s="336"/>
      <c r="KR94" s="336"/>
      <c r="KS94" s="336"/>
      <c r="KT94" s="336"/>
      <c r="KU94" s="312"/>
      <c r="KV94" s="312"/>
      <c r="KW94" s="312"/>
      <c r="KX94" s="312"/>
      <c r="KY94" s="312"/>
      <c r="KZ94" s="312"/>
      <c r="LA94" s="312"/>
      <c r="LB94" s="312"/>
      <c r="LC94" s="312"/>
      <c r="LD94" s="312"/>
      <c r="LE94" s="312"/>
      <c r="LF94" s="312"/>
      <c r="LG94" s="312"/>
      <c r="LH94" s="312"/>
      <c r="LI94" s="312"/>
      <c r="LJ94" s="312"/>
      <c r="LK94" s="312"/>
      <c r="LL94" s="312"/>
      <c r="LM94" s="312"/>
      <c r="LN94" s="312"/>
      <c r="LO94" s="312"/>
      <c r="LP94" s="312"/>
      <c r="LQ94" s="312"/>
      <c r="LR94" s="312"/>
      <c r="LS94" s="312"/>
      <c r="LT94" s="312"/>
      <c r="LU94" s="312"/>
      <c r="LV94" s="312"/>
      <c r="LW94" s="312"/>
      <c r="LX94" s="312"/>
      <c r="LY94" s="312"/>
      <c r="LZ94" s="312"/>
      <c r="MA94" s="312"/>
      <c r="MB94" s="312"/>
      <c r="MC94" s="312"/>
      <c r="MD94" s="312"/>
      <c r="ME94" s="312"/>
      <c r="MF94" s="312"/>
      <c r="MG94" s="312"/>
      <c r="MH94" s="43">
        <f t="shared" si="302"/>
        <v>0</v>
      </c>
      <c r="MI94" s="43" t="str">
        <f t="shared" si="303"/>
        <v/>
      </c>
      <c r="MJ94" s="43" t="str">
        <f t="shared" si="304"/>
        <v/>
      </c>
      <c r="MK94" s="43">
        <f t="shared" si="305"/>
        <v>0</v>
      </c>
      <c r="ML9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4" s="43">
        <f t="shared" si="306"/>
        <v>13.11428571428613</v>
      </c>
      <c r="MN94" s="43">
        <f t="shared" si="307"/>
        <v>2</v>
      </c>
      <c r="MO94" s="43">
        <f t="shared" si="308"/>
        <v>2023</v>
      </c>
      <c r="MP94" s="43" t="str">
        <f t="shared" si="309"/>
        <v>I TRIMESTRE AÑO</v>
      </c>
      <c r="MQ94" s="43">
        <f t="shared" si="310"/>
        <v>34.280551905387647</v>
      </c>
      <c r="MR94" s="43">
        <f t="shared" si="311"/>
        <v>0</v>
      </c>
      <c r="MS94" s="43" t="str">
        <f t="shared" si="312"/>
        <v xml:space="preserve"> DE 30 A 34 AÑOS</v>
      </c>
      <c r="MT94" s="43">
        <f t="shared" si="313"/>
        <v>0</v>
      </c>
      <c r="MU94" s="43">
        <f t="shared" si="314"/>
        <v>0</v>
      </c>
      <c r="MV94" s="43">
        <f t="shared" si="315"/>
        <v>0</v>
      </c>
      <c r="MW94" s="43">
        <f t="shared" si="316"/>
        <v>0</v>
      </c>
      <c r="MX94" s="43" t="str">
        <f t="shared" si="317"/>
        <v/>
      </c>
      <c r="MY94" s="43" t="str">
        <f t="shared" ca="1" si="450"/>
        <v/>
      </c>
      <c r="MZ94" s="43" t="str">
        <f t="shared" si="318"/>
        <v/>
      </c>
      <c r="NA94" s="43" t="str">
        <f t="shared" si="319"/>
        <v/>
      </c>
      <c r="NB94" s="43" t="str">
        <f t="shared" si="320"/>
        <v/>
      </c>
      <c r="NC94" s="43" t="str">
        <f t="shared" si="321"/>
        <v/>
      </c>
      <c r="ND94" s="43">
        <f t="shared" ca="1" si="322"/>
        <v>0</v>
      </c>
      <c r="NE94" s="43">
        <f>IF(OR(O94&gt;0,R94&gt;0),SUM(COUNTIF(Tabla1[[#This Row],[AÑOS AL INICIO5 CPN]],"&gt;=40"),COUNTIF(AS94,"0"),COUNTIF(AR94,"SI"),COUNTIF(CC94,"SI"),COUNTIF(BQ94,"&gt;119"),COUNTIF(CI94,"&gt;=35")),"")</f>
        <v>1</v>
      </c>
      <c r="NF94" s="43" t="str">
        <f t="shared" si="323"/>
        <v/>
      </c>
      <c r="NG94" s="43">
        <f t="shared" si="324"/>
        <v>0</v>
      </c>
      <c r="NH94" s="43">
        <f t="shared" si="325"/>
        <v>93.8</v>
      </c>
      <c r="NI9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CPN",P94="NO"),"Z",IF(AND(Tabla1[[#This Row],[CITA PROXIMO CONTROL]]="CITA MANUAL",Tabla1[[#This Row],[GESTANTES ACTUALES]]="ACTIVA INGRESO A CPN"),"W",IF(AND(Tabla1[[#This Row],[GESTANTES ACTUALES]]="SALIO PROGRAMA",IN94=""),"S",IF(AND(Tabla1[[#This Row],[CITA PROXIMO CONTROL]]&gt;0,IN94=""),(Tabla1[[#This Row],[CITA PROXIMO CONTROL]]-TODAY()),"SD"))))))))</f>
        <v>#REF!</v>
      </c>
      <c r="NJ94" s="43">
        <f>MONTH(Tabla1[[#This Row],[FECHA DE SALIDA  DEL PROGRAMA]])</f>
        <v>1</v>
      </c>
      <c r="NK94" s="43">
        <f>YEAR(Tabla1[[#This Row],[FECHA DE SALIDA  DEL PROGRAMA]])</f>
        <v>1900</v>
      </c>
      <c r="NL94" s="43" t="str">
        <f t="shared" si="326"/>
        <v>X</v>
      </c>
      <c r="NM94" s="43" t="str">
        <f>IF(AND(O94&gt;0,R94=""),"NO CPN",IF(AND(O94="",R94=""),"",IF(AND(EN94&lt;&gt;"",EX94&lt;&gt;"",FB94&lt;&gt;"",FK94&lt;&gt;"",FW94&lt;&gt;"",FZ94&lt;&gt;"",GO94&lt;&gt;"",GQ94&lt;&gt;"",GR94&lt;&gt;""),"SI","NO")))</f>
        <v>NO</v>
      </c>
      <c r="NN94" s="43" t="str">
        <f ca="1">IF(AND(O94&gt;0,R94=""),"NO CPN",IF(AND(O94="",R94=""),"",IF(AND(R94&gt;0,Tabla1[[#This Row],[SEMANAS DE GESTACION ACTUALIZADAS]]&lt;=12),"NO APLICA",IF(AND(FH94&lt;&gt;"",FN94&lt;&gt;""),"SI","NO"))))</f>
        <v>NO</v>
      </c>
      <c r="NO94" s="43" t="str">
        <f ca="1">IF(AND(O94&gt;0,R94=""),"NO CPN",IF(AND(O94="",R94=""),"",IF(AND(R94&gt;0,Tabla1[[#This Row],[SEMANAS DE GESTACION ACTUALIZADAS]]&lt;=27),"NO APLICA",IF(AND(ES94&lt;&gt;"",FQ94&lt;&gt;"",GF94&lt;&gt;""),"SI","NO"))))</f>
        <v>NO</v>
      </c>
      <c r="NP94" s="204" t="str">
        <f t="shared" si="327"/>
        <v>II TRIM</v>
      </c>
      <c r="NQ94" s="21" t="str">
        <f t="shared" si="436"/>
        <v/>
      </c>
      <c r="NR94" s="21" t="str">
        <f t="shared" ca="1" si="451"/>
        <v>REVISAR FUM O FECHA SALIDA PROGRAMA</v>
      </c>
      <c r="NS94" s="205">
        <f t="shared" ca="1" si="328"/>
        <v>1</v>
      </c>
      <c r="NT94" s="21">
        <f t="shared" ca="1" si="329"/>
        <v>1</v>
      </c>
      <c r="NU94" s="21" t="str">
        <f t="shared" ca="1" si="330"/>
        <v>POR DEFINIR</v>
      </c>
      <c r="NV94" s="21" t="str">
        <f t="shared" ca="1" si="331"/>
        <v>POR DEFINIR</v>
      </c>
      <c r="NW94" s="206" t="str">
        <f>IF(AND(O94="",R94=""),"",IF(OR(AND(Tabla1[[#This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4" s="207" t="str">
        <f t="shared" ca="1" si="332"/>
        <v>SIN VACUNAR</v>
      </c>
      <c r="NY94" s="43">
        <f>ROW(Tabla1[[#This Row],['# DE TAMIZAJES SIFILIS TOMADOS ]])</f>
        <v>94</v>
      </c>
      <c r="NZ94" s="43">
        <f t="shared" si="333"/>
        <v>13</v>
      </c>
      <c r="OA94" s="43" t="str">
        <f t="shared" si="334"/>
        <v/>
      </c>
      <c r="OB94" s="43" t="str">
        <f t="shared" si="335"/>
        <v/>
      </c>
      <c r="OC94" s="43" t="str">
        <f t="shared" si="336"/>
        <v/>
      </c>
      <c r="OD94" s="43" t="str">
        <f t="shared" si="337"/>
        <v/>
      </c>
      <c r="OE94" s="43" t="str">
        <f t="shared" si="338"/>
        <v>NORMAL</v>
      </c>
      <c r="OF94" s="43" t="str">
        <f t="shared" si="339"/>
        <v/>
      </c>
      <c r="OG94" s="43" t="str">
        <f t="shared" si="340"/>
        <v/>
      </c>
      <c r="OH94" s="43" t="str">
        <f t="shared" si="341"/>
        <v/>
      </c>
      <c r="OI94" s="43" t="str">
        <f t="shared" si="342"/>
        <v/>
      </c>
      <c r="OJ94" s="43" t="str">
        <f t="shared" si="343"/>
        <v/>
      </c>
      <c r="OK94" s="43" t="str">
        <f t="shared" si="344"/>
        <v/>
      </c>
      <c r="OL94" s="43" t="str">
        <f t="shared" si="345"/>
        <v/>
      </c>
      <c r="OM94" s="43" t="str">
        <f t="shared" si="346"/>
        <v/>
      </c>
      <c r="ON94" s="43" t="str">
        <f t="shared" si="347"/>
        <v/>
      </c>
      <c r="OO94" s="43" t="str">
        <f t="shared" si="348"/>
        <v/>
      </c>
      <c r="OP94" s="43" t="str">
        <f t="shared" si="349"/>
        <v/>
      </c>
      <c r="OQ94" s="43" t="str">
        <f t="shared" si="350"/>
        <v/>
      </c>
      <c r="OR94" s="43" t="str">
        <f t="shared" si="351"/>
        <v/>
      </c>
      <c r="OS94" s="43" t="str">
        <f t="shared" si="352"/>
        <v/>
      </c>
      <c r="OT94" s="43" t="str">
        <f t="shared" si="353"/>
        <v/>
      </c>
      <c r="OU94" s="43" t="str">
        <f t="shared" si="354"/>
        <v/>
      </c>
      <c r="OV94" s="110" t="str">
        <f t="shared" si="355"/>
        <v/>
      </c>
      <c r="OW94" s="43" t="str">
        <f t="shared" si="356"/>
        <v/>
      </c>
      <c r="OX94" s="43" t="str">
        <f t="shared" si="357"/>
        <v/>
      </c>
      <c r="OY94" s="43" t="str">
        <f t="shared" si="358"/>
        <v/>
      </c>
      <c r="OZ94" s="43" t="str">
        <f t="shared" si="359"/>
        <v/>
      </c>
      <c r="PA94" s="43" t="str">
        <f t="shared" si="360"/>
        <v/>
      </c>
      <c r="PB94" s="43" t="str">
        <f t="shared" si="361"/>
        <v/>
      </c>
      <c r="PC94" s="43" t="str">
        <f t="shared" si="362"/>
        <v/>
      </c>
      <c r="PD94" s="43" t="str">
        <f t="shared" si="363"/>
        <v/>
      </c>
      <c r="PE94" s="43" t="str">
        <f t="shared" si="364"/>
        <v/>
      </c>
      <c r="PF94" s="43" t="str">
        <f t="shared" si="365"/>
        <v/>
      </c>
      <c r="PG94" s="43" t="str">
        <f t="shared" si="366"/>
        <v/>
      </c>
      <c r="PH94" s="43" t="str">
        <f t="shared" si="367"/>
        <v/>
      </c>
      <c r="PI94" s="43">
        <f t="shared" si="368"/>
        <v>35</v>
      </c>
      <c r="PJ94" s="43" t="str">
        <f t="shared" si="369"/>
        <v/>
      </c>
      <c r="PK94" s="43" t="str">
        <f t="shared" si="370"/>
        <v/>
      </c>
      <c r="PL94" s="43" t="str">
        <f t="shared" si="371"/>
        <v/>
      </c>
      <c r="PM94" s="43" t="str">
        <f t="shared" si="372"/>
        <v/>
      </c>
      <c r="PN94" s="43" t="str">
        <f t="shared" si="373"/>
        <v/>
      </c>
      <c r="PO94" s="43" t="str">
        <f t="shared" si="374"/>
        <v/>
      </c>
      <c r="PP94" s="43" t="str">
        <f t="shared" si="375"/>
        <v/>
      </c>
      <c r="PQ94" s="43" t="str">
        <f t="shared" si="376"/>
        <v/>
      </c>
      <c r="PR94" s="43" t="str">
        <f t="shared" si="377"/>
        <v/>
      </c>
      <c r="PS94" s="43" t="str">
        <f t="shared" si="378"/>
        <v/>
      </c>
      <c r="PT94" s="43" t="str">
        <f t="shared" si="379"/>
        <v/>
      </c>
      <c r="PU94" s="43" t="str">
        <f t="shared" si="380"/>
        <v/>
      </c>
      <c r="PV94" s="43" t="str">
        <f t="shared" si="381"/>
        <v/>
      </c>
      <c r="PW94" s="43" t="str">
        <f t="shared" si="382"/>
        <v/>
      </c>
      <c r="PX94" s="43" t="str">
        <f t="shared" si="383"/>
        <v/>
      </c>
      <c r="PY94" s="43" t="str">
        <f t="shared" si="384"/>
        <v/>
      </c>
      <c r="PZ94" s="43" t="str">
        <f t="shared" si="385"/>
        <v/>
      </c>
      <c r="QA94" s="43" t="str">
        <f t="shared" si="386"/>
        <v/>
      </c>
      <c r="QB94" s="43" t="str">
        <f t="shared" si="387"/>
        <v/>
      </c>
      <c r="QC94" s="43" t="str">
        <f t="shared" si="388"/>
        <v/>
      </c>
      <c r="QD94" s="43" t="str">
        <f t="shared" si="389"/>
        <v/>
      </c>
      <c r="QE94" s="43" t="str">
        <f t="shared" si="390"/>
        <v/>
      </c>
      <c r="QF94" s="43" t="str">
        <f t="shared" si="391"/>
        <v/>
      </c>
      <c r="QG94" s="43" t="str">
        <f t="shared" si="392"/>
        <v/>
      </c>
      <c r="QH94" s="43" t="str">
        <f t="shared" si="393"/>
        <v/>
      </c>
      <c r="QI94" s="43" t="str">
        <f t="shared" si="394"/>
        <v/>
      </c>
      <c r="QJ94" s="43" t="str">
        <f t="shared" si="395"/>
        <v>SOBREPESO</v>
      </c>
      <c r="QK94" s="43" t="str">
        <f t="shared" si="396"/>
        <v/>
      </c>
      <c r="QL94" s="43" t="str">
        <f t="shared" si="397"/>
        <v/>
      </c>
      <c r="QM94" s="43" t="str">
        <f t="shared" si="398"/>
        <v/>
      </c>
      <c r="QN94" s="43" t="str">
        <f t="shared" si="399"/>
        <v/>
      </c>
      <c r="QO94" s="43" t="str">
        <f t="shared" si="400"/>
        <v/>
      </c>
      <c r="QP94" s="43" t="str">
        <f t="shared" si="401"/>
        <v/>
      </c>
      <c r="QQ94" s="43" t="str">
        <f t="shared" si="402"/>
        <v/>
      </c>
      <c r="QR94" s="43">
        <f t="shared" si="432"/>
        <v>35</v>
      </c>
      <c r="QS94" s="43"/>
      <c r="QT94" s="21" t="str">
        <f t="shared" si="403"/>
        <v/>
      </c>
      <c r="QU94" s="21" t="str">
        <f t="shared" si="404"/>
        <v/>
      </c>
      <c r="QV94" s="21" t="str">
        <f t="shared" si="405"/>
        <v/>
      </c>
      <c r="QW94" s="21" t="str">
        <f t="shared" si="406"/>
        <v/>
      </c>
      <c r="QX94" s="21" t="str">
        <f t="shared" si="407"/>
        <v/>
      </c>
      <c r="QY94" s="21" t="str">
        <f t="shared" si="408"/>
        <v/>
      </c>
      <c r="QZ94" s="21" t="str">
        <f t="shared" si="409"/>
        <v/>
      </c>
      <c r="RA94" s="21" t="str">
        <f t="shared" si="410"/>
        <v/>
      </c>
      <c r="RB94" s="21" t="str">
        <f t="shared" si="411"/>
        <v/>
      </c>
      <c r="RC94" s="21" t="str">
        <f t="shared" si="412"/>
        <v/>
      </c>
      <c r="RD94" s="21" t="str">
        <f t="shared" si="413"/>
        <v/>
      </c>
      <c r="RE94" s="21" t="str">
        <f t="shared" si="414"/>
        <v/>
      </c>
      <c r="RF94" s="21" t="str">
        <f t="shared" si="415"/>
        <v/>
      </c>
      <c r="RG94" s="21" t="str">
        <f t="shared" si="416"/>
        <v/>
      </c>
      <c r="RH94" s="21" t="str">
        <f t="shared" si="417"/>
        <v/>
      </c>
      <c r="RI94" s="21" t="str">
        <f t="shared" si="418"/>
        <v/>
      </c>
      <c r="RJ94" s="21" t="str">
        <f t="shared" si="419"/>
        <v/>
      </c>
      <c r="RK94" s="21" t="str">
        <f t="shared" si="420"/>
        <v/>
      </c>
      <c r="RL94" s="21" t="str">
        <f t="shared" si="421"/>
        <v/>
      </c>
      <c r="RM94" s="21" t="str">
        <f t="shared" si="422"/>
        <v/>
      </c>
      <c r="RN94" s="21" t="str">
        <f t="shared" si="423"/>
        <v/>
      </c>
      <c r="RO94" s="21" t="str">
        <f t="shared" si="424"/>
        <v/>
      </c>
      <c r="RP94" s="21" t="str">
        <f t="shared" si="425"/>
        <v>ADECUADO PARA EDAD GESTACIONAL</v>
      </c>
      <c r="RQ94" s="21" t="str">
        <f t="shared" si="426"/>
        <v/>
      </c>
      <c r="RR94" s="21" t="str">
        <f t="shared" si="427"/>
        <v/>
      </c>
      <c r="RS94" s="21" t="str">
        <f t="shared" si="428"/>
        <v/>
      </c>
      <c r="RT94" s="21" t="str">
        <f t="shared" si="429"/>
        <v/>
      </c>
      <c r="RU94" s="21" t="str">
        <f t="shared" si="430"/>
        <v/>
      </c>
      <c r="RV94" s="21">
        <f t="shared" si="431"/>
        <v>23.54285714285756</v>
      </c>
      <c r="RW94" s="284">
        <f>IF(OR(Tabla1[[#This Row],[FUM FORMULA CONFIABLE]]="",Tabla1[[#This Row],[FUM FORMULA CONFIABLE]]="SD"),"",IF(Tabla1[[#This Row],[FUM FORMULA CONFIABLE]]="CORREGIDA",Tabla1[[#This Row],[FUM X ECO 1]],Tabla1[[#This Row],[FUM x AMENORREA]]))</f>
        <v>44866.2</v>
      </c>
      <c r="RX94" s="21">
        <f>IF(AND(Tabla1[[#This Row],[FUM X ECO 1]]="",Tabla1[[#This Row],[FUM x AMENORREA]]=""),"",IF(AND(Tabla1[[#This Row],[FUM X ECO 1]]="",Tabla1[[#This Row],[FUM x AMENORREA]]&lt;&gt;""),"X",SUM(Tabla1[[#This Row],[FUM X ECO 1]]-Tabla1[[#This Row],[FUM x AMENORREA]])))</f>
        <v>-14.80000000000291</v>
      </c>
      <c r="RY94" s="21">
        <f t="shared" si="433"/>
        <v>1</v>
      </c>
    </row>
    <row r="95" spans="1:493" ht="45" customHeight="1" x14ac:dyDescent="0.25">
      <c r="A95" s="109"/>
      <c r="B95" s="43" t="s">
        <v>1571</v>
      </c>
      <c r="C95" s="43" t="s">
        <v>845</v>
      </c>
      <c r="D95" s="124"/>
      <c r="E95" s="43" t="s">
        <v>914</v>
      </c>
      <c r="F95" s="43" t="s">
        <v>943</v>
      </c>
      <c r="G95" s="43" t="s">
        <v>1289</v>
      </c>
      <c r="H95" s="43"/>
      <c r="I95" s="109" t="s">
        <v>851</v>
      </c>
      <c r="J95" s="110">
        <v>1059596690</v>
      </c>
      <c r="K95" s="43" t="s">
        <v>852</v>
      </c>
      <c r="L95" s="175" t="s">
        <v>853</v>
      </c>
      <c r="M95" s="22">
        <v>34961</v>
      </c>
      <c r="N95" s="213">
        <f t="shared" ca="1" si="252"/>
        <v>28.142465753424659</v>
      </c>
      <c r="O95" s="22">
        <v>44958</v>
      </c>
      <c r="P95" s="214" t="str">
        <f t="shared" si="437"/>
        <v>SI</v>
      </c>
      <c r="Q95" s="26" t="s">
        <v>855</v>
      </c>
      <c r="R95" s="22">
        <v>44958</v>
      </c>
      <c r="S95" s="21" t="s">
        <v>856</v>
      </c>
      <c r="T95" s="24" t="s">
        <v>690</v>
      </c>
      <c r="U95" s="21" t="s">
        <v>857</v>
      </c>
      <c r="V95" s="21" t="s">
        <v>858</v>
      </c>
      <c r="W95" s="21" t="s">
        <v>1200</v>
      </c>
      <c r="X95" s="21" t="s">
        <v>1200</v>
      </c>
      <c r="Y95" s="21" t="s">
        <v>859</v>
      </c>
      <c r="Z95" s="21"/>
      <c r="AA95" s="21" t="s">
        <v>860</v>
      </c>
      <c r="AB95" s="27" t="s">
        <v>861</v>
      </c>
      <c r="AC95" s="26" t="s">
        <v>862</v>
      </c>
      <c r="AD95" s="38" t="s">
        <v>1546</v>
      </c>
      <c r="AE95" s="26" t="s">
        <v>854</v>
      </c>
      <c r="AF95" s="26" t="s">
        <v>854</v>
      </c>
      <c r="AG95" s="23" t="s">
        <v>864</v>
      </c>
      <c r="AH95" s="23" t="s">
        <v>864</v>
      </c>
      <c r="AI95" s="24" t="s">
        <v>863</v>
      </c>
      <c r="AJ95" s="23" t="s">
        <v>864</v>
      </c>
      <c r="AK95" s="220" t="str">
        <f>IF(AND(AD95="",AE95="",AF95="",AG95="",AH95="",AI95="",AJ95=""),"",IF(OR(Tabla1[[#This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EVALUACIÓN",IF(AND(O95="",R95=""),"",IF(AND(OR(O95&gt;0,R95&gt;0),NG95&gt;=0,NG95&lt;2),"SIN RIESGO",IF(AND(OR(O95&gt;0,R95&gt;0),NG95&gt;=2),"CON RIESGO","ASD")))))</f>
        <v>SIN RIESGO</v>
      </c>
      <c r="AL95" s="23" t="s">
        <v>864</v>
      </c>
      <c r="AM95" s="26" t="s">
        <v>864</v>
      </c>
      <c r="AN95" s="26" t="s">
        <v>864</v>
      </c>
      <c r="AO95" s="26" t="s">
        <v>864</v>
      </c>
      <c r="AP95" s="26" t="s">
        <v>864</v>
      </c>
      <c r="AQ95" s="26" t="s">
        <v>864</v>
      </c>
      <c r="AR95" s="26" t="s">
        <v>864</v>
      </c>
      <c r="AS95" s="21">
        <v>6</v>
      </c>
      <c r="AT95" s="21">
        <v>5</v>
      </c>
      <c r="AU95" s="21">
        <v>0</v>
      </c>
      <c r="AV95" s="26" t="s">
        <v>864</v>
      </c>
      <c r="AW95" s="21">
        <v>0</v>
      </c>
      <c r="AX95" s="26" t="s">
        <v>864</v>
      </c>
      <c r="AY95" s="26" t="s">
        <v>864</v>
      </c>
      <c r="AZ95" s="26" t="s">
        <v>864</v>
      </c>
      <c r="BA95" s="26" t="s">
        <v>864</v>
      </c>
      <c r="BB95" s="26" t="s">
        <v>864</v>
      </c>
      <c r="BC95" s="26" t="s">
        <v>864</v>
      </c>
      <c r="BD95" s="26" t="s">
        <v>864</v>
      </c>
      <c r="BE95" s="26" t="s">
        <v>864</v>
      </c>
      <c r="BF95" s="26" t="s">
        <v>864</v>
      </c>
      <c r="BG95" s="26" t="s">
        <v>864</v>
      </c>
      <c r="BH95" s="26" t="s">
        <v>864</v>
      </c>
      <c r="BI95" s="26" t="s">
        <v>864</v>
      </c>
      <c r="BJ95" s="26" t="s">
        <v>864</v>
      </c>
      <c r="BK95" s="26" t="s">
        <v>864</v>
      </c>
      <c r="BL95" s="26" t="s">
        <v>864</v>
      </c>
      <c r="BM95" s="26" t="s">
        <v>864</v>
      </c>
      <c r="BN95" s="22">
        <v>44216</v>
      </c>
      <c r="BO95" s="22">
        <v>44881</v>
      </c>
      <c r="BP95" s="21" t="s">
        <v>864</v>
      </c>
      <c r="BQ95" s="222">
        <f t="shared" si="254"/>
        <v>22.166666666666668</v>
      </c>
      <c r="BR95" s="223">
        <f t="shared" si="255"/>
        <v>44873.2</v>
      </c>
      <c r="BS95" s="224">
        <f t="shared" si="256"/>
        <v>11</v>
      </c>
      <c r="BT95" s="216" t="str">
        <f t="shared" si="257"/>
        <v>DEFINIR CON ECO</v>
      </c>
      <c r="BU95" s="214" t="str">
        <f t="shared" ca="1" si="258"/>
        <v/>
      </c>
      <c r="BV95" s="25" t="s">
        <v>988</v>
      </c>
      <c r="BW95" s="22">
        <v>45121</v>
      </c>
      <c r="BX95" s="28">
        <v>35.4</v>
      </c>
      <c r="BY95" s="28"/>
      <c r="BZ95" s="22"/>
      <c r="CA95" s="21"/>
      <c r="CB95" s="26"/>
      <c r="CC95" s="26"/>
      <c r="CD95" s="26"/>
      <c r="CE95" s="26"/>
      <c r="CF95" s="22" t="s">
        <v>1517</v>
      </c>
      <c r="CG95" s="21">
        <v>1.37</v>
      </c>
      <c r="CH95" s="21">
        <v>50</v>
      </c>
      <c r="CI95" s="214">
        <f t="shared" si="259"/>
        <v>26.63967179924343</v>
      </c>
      <c r="CJ95" s="225" t="e">
        <f>IF(AND(CI95&lt;10,CH95="SD"),"SIN DATO PESO PREGESTACION O I TRIM",IF(AND(OR(R95&gt;0,O95&gt;0),CI95="X"),"INGRESAR DATO DE PESO",IF(CI95="SD","INGRESAR DATO DE TALLA Y PESO",IF(AND(OR(Tabla1[[#This Row],[MOMENTO EN QUE SE REALIZA EL PESO AL INGRESO A CPN]]="PREGESTACIÓN",NZ95="Menor"),CI95&lt;18.5),"BAJO PESO",IF(AND(OR(Tabla1[[#This Row],[MOMENTO EN QUE SE REALIZA EL PESO AL INGRESO A CPN]]="PREGESTACIÓN",NZ95="Menor"),CI95&lt;25),"NORMAL",IF(AND(OR(Tabla1[[#This Row],[MOMENTO EN QUE SE REALIZA EL PESO AL INGRESO A CPN]]="PREGESTACIÓN",NZ95="Menor"),CI95&lt;30),"SOBREPESO",IF(AND(OR(Tabla1[[#This Row],[MOMENTO EN QUE SE REALIZA EL PESO AL INGRESO A CPN]]="PREGESTACIÓN",NZ95="Menor"),CI95&gt;=30,CI95&lt;50),"OBESIDAD",IF(AND(BS95&gt;0,Tabla1[[#This Row],[MOMENTO EN QUE SE REALIZA EL PESO AL INGRESO A CPN]]="GESTACIÓN"),HLOOKUP(NZ95,$OA$2:PH95,NY95),""))))))))</f>
        <v>#REF!</v>
      </c>
      <c r="CK95" s="212">
        <f t="shared" si="260"/>
        <v>45112</v>
      </c>
      <c r="CL95" s="21">
        <v>53.3</v>
      </c>
      <c r="CM95" s="214">
        <f t="shared" si="261"/>
        <v>28.397890137993496</v>
      </c>
      <c r="CN95" s="216">
        <f t="shared" si="262"/>
        <v>33</v>
      </c>
      <c r="CO95" s="216" t="e">
        <f>IF(PI95="","",IF(PI95&gt;0,HLOOKUP(PI95,$PJ$2:QQ95,NY95),""))</f>
        <v>#REF!</v>
      </c>
      <c r="CP95" s="21">
        <v>35</v>
      </c>
      <c r="CQ95" s="216" t="e">
        <f>IF(QR95="Menor","NO APLICA-MENOR 13 SEM",IF(AND(CC95="SI",CN95&gt;23),"NO APLICA- GEMELAR",IF(QR95="","",IF(QR95&gt;0,HLOOKUP(QR95,$QS$2:RU95,NY95),""))))</f>
        <v>#REF!</v>
      </c>
      <c r="CR95" s="21">
        <v>110</v>
      </c>
      <c r="CS95" s="21">
        <v>80</v>
      </c>
      <c r="CT95" s="217" t="str">
        <f>IF(R95="","",IF(AND(BS95&gt;1,BS95&lt;12,Tabla1[[#This Row],[T.A. SISTOLICA - ANTES DE SEMANA 12]]="",Tabla1[[#This Row],[T.A. DIASTOLICA - ANTES DE SEMANA 12]]=""),"REGISTRE DATO TA ANTES SEMANA 12",IF(AND(BS95&gt;11,BS95&lt;43,Tabla1[[#This Row],[T.A. SISTOLICA - ANTES DE SEMANA 12]]="",Tabla1[[#This Row],[T.A. DIASTOLICA - ANTES DE SEMANA 12]]=""),"NO APLICA REGISTRO TA-INGRESO TARDIO",IF(AND(OR(O95&gt;0,R95&gt;0),OR(CR95&gt;=140,CS95&gt;=90)),"DEFINIR ESTADIO HTA",IF(AND(OR(O95&gt;0,R95&gt;0),AND(CR95&gt;120,CR95&lt;=139)),"PRE HTA SEGUIMIENTO",IF(AND(OR(O95&gt;0,R95&gt;0),AND(CS95&gt;80,CS95&lt;=89)),"PRE HTA SEGUIMIENTO",IF(AND(OR(O95&gt;0,R95&gt;0),AND(CR95&gt;=80,CR95&lt;=120)),"APARENTEMENTE NORMAL",IF(AND(OR(O95&gt;0,R95&gt;0),AND(CS95&gt;=50,CS95&lt;=80)),"APARENTEMENTE NORMAL",IF(AND(OR(O95&gt;0,R95&gt;0),AND(CR95&gt;1,CR95&lt;=70),AND(CS95&gt;1,CS95&lt;=40)),"HIPOTENSIÓN","")))))))))</f>
        <v>APARENTEMENTE NORMAL</v>
      </c>
      <c r="CU95" s="21">
        <v>90</v>
      </c>
      <c r="CV95" s="21">
        <v>60</v>
      </c>
      <c r="CW95" s="217" t="str">
        <f ca="1">IF(R95="","",IF(AND(CN95&gt;19,CN95&lt;27,Tabla1[[#This Row],[T.A. SISTOLICA (Entre semana 20 y 26)]]="",Tabla1[[#This Row],[T.A. DIATOLICA (Entre semana 20 y 26)]]=""),"ACUDE A CONTROL SEM 20 A 26 REGISTRE TA AHORA",IF(AND(BS95&gt;1,BS95&lt;27,BU95&gt;19,Tabla1[[#This Row],[T.A. SISTOLICA (Entre semana 20 y 26)]]="",Tabla1[[#This Row],[T.A. DIATOLICA (Entre semana 20 y 26)]]=""),"COMPLETE REGISTRO TA CONTROL SEM 20 A26 ",IF(AND(BS95&gt;26,BS95&lt;43,Tabla1[[#This Row],[T.A. SISTOLICA (Entre semana 20 y 26)]]="",Tabla1[[#This Row],[T.A. DIATOLICA (Entre semana 20 y 26)]]=""),"NO APLICA REGISTRO TA-INGRESO TARDIO",IF(AND(OR(O95&gt;0,R95&gt;0),OR(CU95&gt;=140,CV95&gt;=90)),"ALTO RIESGO PREECLAMPSIA,DEFINIR ESTADIO HTA",IF(AND(OR(O95&gt;0,R95&gt;0),AND(CU95&gt;120,CU95&lt;=139)),"PRE HTA SEGUIMIENTO,RIESGO HIPERTENSION INDUCIDA POR EL EMBARAZO",IF(AND(OR(O95&gt;0,R95&gt;0),AND(CV95&gt;80,CV95&lt;=89)),"PRE HTA SEGUIMIENTO, RIESGO HIPERTENSION INDUCIDA POR EL EMBARAZO",IF(AND(OR(O95&lt;&gt;"",R95&lt;&gt;""),CS95&lt;&gt;"",CV95&lt;&gt;"",CS95&lt;=CV95),"VIGILAR CIFRAS PRESION ARTERIAL",IF(AND(OR(O95&gt;0,R95&gt;0),AND(CU95&gt;120,CU95&lt;=139)),"PRE HTA SEGUIMIENTO",IF(AND(OR(O95&gt;0,R95&gt;0),AND(CU95&gt;1,CU95&lt;=70),AND(CV95&gt;1,CV95&lt;=40)),"HIPOTENSIÓN",IF(AND(OR(O95&lt;&gt;"",R95&lt;&gt;""),CS95&lt;&gt;"",CV95&lt;&gt;"",CS95&gt;CV95),"APARENTEMENTE NORMAL",IF(AND(OR(O95&gt;0,R95&gt;0),AND(CU95&gt;=80,CU95&lt;=120)),"APARENTEMENTE NORMAL",IF(AND(OR(O95&gt;0,R95&gt;0),AND(CV95&gt;=50,CV95&lt;=80)),"APARENTEMENTE NORMAL","")))))))))))))</f>
        <v>APARENTEMENTE NORMAL</v>
      </c>
      <c r="CX95" s="21">
        <v>90</v>
      </c>
      <c r="CY95" s="21">
        <v>60</v>
      </c>
      <c r="CZ95" s="216" t="str">
        <f t="shared" si="263"/>
        <v>APARENTEMENTE NORMAL</v>
      </c>
      <c r="DA95" s="21">
        <v>90</v>
      </c>
      <c r="DB95" s="21">
        <v>60</v>
      </c>
      <c r="DC95" s="217" t="str">
        <f t="shared" si="264"/>
        <v>APARENTEMENTE NORMAL</v>
      </c>
      <c r="DD95" s="22">
        <v>44958</v>
      </c>
      <c r="DE95" s="22">
        <v>44958</v>
      </c>
      <c r="DF95" s="22">
        <v>45016</v>
      </c>
      <c r="DG95" s="22">
        <v>45059</v>
      </c>
      <c r="DH95" s="22">
        <v>45112</v>
      </c>
      <c r="DI95" s="22"/>
      <c r="DJ95" s="22"/>
      <c r="DK95" s="22"/>
      <c r="DL95" s="22"/>
      <c r="DM95" s="22"/>
      <c r="DN95" s="22"/>
      <c r="DO95" s="22"/>
      <c r="DP95" s="22"/>
      <c r="DQ95" s="22"/>
      <c r="DR95" s="28">
        <v>1</v>
      </c>
      <c r="DS95" s="22"/>
      <c r="DT95" s="22"/>
      <c r="DU95" s="216" t="str">
        <f t="shared" ca="1" si="438"/>
        <v>CONCERTAR PLAN DE PARTO INMEDIATO</v>
      </c>
      <c r="DV95" s="226" t="str">
        <f t="shared" si="439"/>
        <v>ACTIVA INGRESO A CPN</v>
      </c>
      <c r="DW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5" s="216" t="e">
        <f t="shared" ca="1" si="266"/>
        <v>#REF!</v>
      </c>
      <c r="DY95" s="212">
        <f>IF(R95="","",IF(R95&gt;0,MAX(Tabla1[[#This Row],[FECHA C2]:[FECHA C13]],Tabla1[[#This Row],[FECHA CONSULTA PRIMERA VEZ PROGRAMA CPN ]])))</f>
        <v>45112</v>
      </c>
      <c r="DZ95" s="216">
        <f t="shared" si="267"/>
        <v>33</v>
      </c>
      <c r="EA95" s="222">
        <f>IF(R95&gt;0,SUM(COUNTA(DF95:DQ95)+COUNTA(Tabla1[[#This Row],[FECHA CONSULTA PRIMERA VEZ PROGRAMA CPN ]])),"")</f>
        <v>4</v>
      </c>
      <c r="EB95" s="222" t="str">
        <f t="shared" si="268"/>
        <v>SI</v>
      </c>
      <c r="EC95" s="214">
        <f t="shared" si="269"/>
        <v>9</v>
      </c>
      <c r="ED95" s="227">
        <f t="shared" si="270"/>
        <v>0.44444444444444442</v>
      </c>
      <c r="EE95" s="22">
        <v>45016</v>
      </c>
      <c r="EF95" s="22">
        <v>44958</v>
      </c>
      <c r="EG95" s="22">
        <v>45016</v>
      </c>
      <c r="EH95" s="22"/>
      <c r="EI95" s="22">
        <v>45016</v>
      </c>
      <c r="EJ95" s="22"/>
      <c r="EK95" s="22"/>
      <c r="EL95" s="21"/>
      <c r="EM95" s="21">
        <v>11.7</v>
      </c>
      <c r="EN95" s="22">
        <v>45059</v>
      </c>
      <c r="EO95" s="222">
        <f t="shared" si="271"/>
        <v>25.428571428571427</v>
      </c>
      <c r="EP95" s="214" t="str">
        <f t="shared" si="272"/>
        <v>NORMAL- SUMINISTRAR SULFATO FERROSO</v>
      </c>
      <c r="EQ95" s="216" t="str">
        <f t="shared" si="273"/>
        <v>II TRIM</v>
      </c>
      <c r="ER95" s="24">
        <v>13.5</v>
      </c>
      <c r="ES95" s="22">
        <v>45121</v>
      </c>
      <c r="ET95" s="29">
        <f t="shared" ca="1" si="440"/>
        <v>34.285714285714285</v>
      </c>
      <c r="EU95" s="25" t="str">
        <f t="shared" si="275"/>
        <v>NORMAL- SUMINISTRAR SULFATO FERROSO</v>
      </c>
      <c r="EV95" s="24" t="s">
        <v>1510</v>
      </c>
      <c r="EW95" s="290"/>
      <c r="EX95" s="22">
        <v>45059</v>
      </c>
      <c r="EY95" s="29">
        <f>IF(AND(BT95="ERROR FUM O INGRESO",EX95&gt;0),"ERROR FUM O INGRESO",IF(AND(EX95="",R95="",O95=""),"",IF(OR(AND(EX95&lt;&gt;"",EX95&lt;RW95),AND(EX95&lt;&gt;"",SUM((EX95-RW95)/7)&gt;40)),"CORREGIR FECHA RESULTADO",IF(AND(EX95="",OR(O95&gt;0,R95&gt;0)),"TOMAR EXAMEN",IF(EX95&gt;0,SUM(EX95-RW95)/7,"")))))</f>
        <v>25.428571428571427</v>
      </c>
      <c r="EZ95" s="25" t="str">
        <f>IF(EV95="RH POSITIVO","SIN RIESGO DE ISOINMUNIZACIÓN",IF(AND(EV95="RH NEGATIVO CON COOMBS NEGATIVO",#REF!="",BU95&lt;=24),"COOMBS C/MES Y APLICAR RHESUMAN SEM 28",IF(AND(EV95="RH NEGATIVO CON COOMBS NEGATIVO",#REF!="",AND(BU95&gt;24,BU95&lt;27)),"FALTAN DE 4 A 2 SEMANAS PARA APLICAR RHESUMAN A SEM 28",IF(AND(EV95="RH NEGATIVO CON COOMBS NEGATIVO",#REF!="",AND(BU95&gt;26.99,BU95&lt;27.99)),"FALTAN 1 SEMANAS PARA APLICAR RHESUMAN A SEM 28",IF(AND(EV95="RH NEGATIVO CON COOMBS NEGATIVO",#REF!="",AND(BU95&gt;27.99,BU95&lt;29)),"SEMANA 28 APLICAR DE INMEDIATO RHESUMAN",IF(AND(EV95="RH NEGATIVO CON COOMBS NEGATIVO",#REF!="",AND(BU95&gt;28.99,BU95&lt;42)),"DEBE APLICAR RHESUMAN, ES NO OPORTUNO &gt; 28 SEMANAS",IF(AND(EV95="RH NEGATIVO CON COOMBS NEGATIVO",#REF!&gt;0),SUM(#REF!-RW95)/7,IF(EV95="RH NEGATIVO SIN COOMBS","TOMAR COOMBS INMEDIATO PARA DEFINIR MANEJO",IF(EV95="RH NEGATIVO CON COOMBS POSITIVO","TOMAR COOMBS CUANTITATIVO Y REMISIÓN","")))))))))</f>
        <v>SIN RIESGO DE ISOINMUNIZACIÓN</v>
      </c>
      <c r="FA95" s="21">
        <v>64</v>
      </c>
      <c r="FB95" s="22">
        <v>45059</v>
      </c>
      <c r="FC95" s="29" t="str">
        <f t="shared" si="276"/>
        <v>NO APLICA &gt; 23 SEM -TOMAR PTOG</v>
      </c>
      <c r="FD95" s="29"/>
      <c r="FE95" s="29"/>
      <c r="FF95" s="29"/>
      <c r="FG95" s="21" t="str">
        <f t="shared" ca="1" si="277"/>
        <v/>
      </c>
      <c r="FH95" s="31"/>
      <c r="FI95" s="29" t="str">
        <f t="shared" si="278"/>
        <v>TOMAR EXAMEN</v>
      </c>
      <c r="FJ95" s="22"/>
      <c r="FK95" s="22"/>
      <c r="FL95" s="29" t="str">
        <f t="shared" ca="1" si="279"/>
        <v>PIERDE TOMA DE TAMIZAJE</v>
      </c>
      <c r="FM95" s="22" t="s">
        <v>867</v>
      </c>
      <c r="FN95" s="32">
        <v>45059</v>
      </c>
      <c r="FO95" s="29">
        <f t="shared" ca="1" si="441"/>
        <v>25.428571428571427</v>
      </c>
      <c r="FP95" s="22" t="s">
        <v>867</v>
      </c>
      <c r="FQ95" s="32">
        <v>45121</v>
      </c>
      <c r="FR95" s="29">
        <f t="shared" ca="1" si="442"/>
        <v>34.285714285714285</v>
      </c>
      <c r="FS95" s="22"/>
      <c r="FT95" s="32"/>
      <c r="FU95" s="29" t="str">
        <f>IF(AND(FJ95="",FM95="",FP95="",FS95=""),"",IF(OR(OR(Tabla1[[#This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5" s="28"/>
      <c r="FW95" s="22"/>
      <c r="FX95" s="29" t="str">
        <f t="shared" si="280"/>
        <v>TOMAR EXAMEN</v>
      </c>
      <c r="FY95" s="22"/>
      <c r="FZ95" s="22"/>
      <c r="GA95" s="29" t="str">
        <f t="shared" ca="1" si="452"/>
        <v>PIERDE TOMA DE TAMIZAJE</v>
      </c>
      <c r="GB95" s="22" t="s">
        <v>868</v>
      </c>
      <c r="GC95" s="22">
        <v>45059</v>
      </c>
      <c r="GD95" s="29">
        <f t="shared" ca="1" si="443"/>
        <v>25.428571428571427</v>
      </c>
      <c r="GE95" s="22" t="s">
        <v>868</v>
      </c>
      <c r="GF95" s="22">
        <v>45121</v>
      </c>
      <c r="GG95" s="29">
        <f t="shared" ca="1" si="444"/>
        <v>34.285714285714285</v>
      </c>
      <c r="GH95" s="22"/>
      <c r="GI95" s="29"/>
      <c r="GJ95" s="22"/>
      <c r="GK95" s="22"/>
      <c r="GL95" s="22"/>
      <c r="GM95" s="22"/>
      <c r="GN95" s="28" t="s">
        <v>869</v>
      </c>
      <c r="GO95" s="22">
        <v>45059</v>
      </c>
      <c r="GP95" s="29">
        <f t="shared" si="283"/>
        <v>25.428571428571427</v>
      </c>
      <c r="GQ95" s="28" t="s">
        <v>869</v>
      </c>
      <c r="GR95" s="28" t="s">
        <v>869</v>
      </c>
      <c r="GS95" s="22" t="str">
        <f t="shared" si="284"/>
        <v>CONTROL Igm</v>
      </c>
      <c r="GT95" s="22">
        <v>45059</v>
      </c>
      <c r="GU95" s="29">
        <f t="shared" si="285"/>
        <v>25.428571428571427</v>
      </c>
      <c r="GV95" s="21" t="str">
        <f t="shared" si="286"/>
        <v>II TRIM</v>
      </c>
      <c r="GW95" s="28"/>
      <c r="GX95" s="30"/>
      <c r="GY95" s="21"/>
      <c r="GZ95" s="21"/>
      <c r="HA95" s="21"/>
      <c r="HB95" s="21"/>
      <c r="HC95" s="21"/>
      <c r="HD95" s="21"/>
      <c r="HE95" s="21"/>
      <c r="HF95" s="22"/>
      <c r="HG95" s="22" t="str">
        <f>IF(OR(O95&gt;0,R95&gt;0),CONCATENATE(IF(Tabla1[[#This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5" s="22" t="e">
        <f t="shared" si="287"/>
        <v>#REF!</v>
      </c>
      <c r="HI95" s="22" t="e">
        <f t="shared" ca="1" si="288"/>
        <v>#REF!</v>
      </c>
      <c r="HJ95" s="21"/>
      <c r="HK95" s="21" t="str">
        <f t="shared" si="289"/>
        <v>SIN ANTECEDENTES DE RIESGO</v>
      </c>
      <c r="HL95" s="24" t="str">
        <f t="shared" si="290"/>
        <v>APARENTEMENTE NORMAL</v>
      </c>
      <c r="HM95" s="21" t="e">
        <f t="shared" ca="1" si="291"/>
        <v>#REF!</v>
      </c>
      <c r="HN95" s="30" t="str">
        <f t="shared" si="445"/>
        <v>ACTIVA INGRESO A CPN</v>
      </c>
      <c r="HO95" s="21"/>
      <c r="HP95" s="21"/>
      <c r="HQ95" s="21"/>
      <c r="HR95" s="21" t="str">
        <f>IF(R95="","",IF(Tabla1[[#This Row],[ALARMA FACTORES DE RIESGO COMPLICACIONES HIPERTENSIVAS3]]="SIN ANTECEDENTES DE RIESGO","No Aplica para suministro de ASA",IF(AND(Tabla1[[#This Row],[FECHA INICIO DE SUMINISTRO DE ASA]]&gt;0,RV95&lt;12),"Inicia ASA ANTES de Sem 12",IF(AND(RV95&gt;11,RV95&lt;17,OR(HK95="RIESGO ALTO DE COMPLICACIONES HIPERTENSIVAS VER MANEJO GUIA SUMINISTRO ASA Y CALCIO",HK95="RIESGO MODERADO (2 O MAS CRITERIOS) VER MANEJO GUIA SUMINISTRO ASA Y CALCIO")),"Inicio oportuno de ASA",IF(AND(RV95&gt;12,OR(HK95="RIESGO ALTO DE COMPLICACIONES HIPERTENSIVAS VER MANEJO GUIA SUMINISTRO ASA Y CALCIO",HK95="RIESGO MODERADO (2 O MAS CRITERIOS) VER MANEJO GUIA SUMINISTRO ASA Y CALCIO")),"Inicio no oportuno mayor a 16 semanas",IF(AND(BU95&lt;12,OR(HK95="RIESGO ALTO DE COMPLICACIONES HIPERTENSIVAS VER MANEJO GUIA SUMINISTRO ASA Y CALCIO",HK95="RIESGO MODERADO (2 O MAS CRITERIOS) VER MANEJO GUIA SUMINISTRO ASA Y CALCIO")),"Pendiente Inicio de ASA a la semana 12",IF(AND(BU95&gt;11,BU95&lt;17,OR(HK95="RIESGO ALTO DE COMPLICACIONES HIPERTENSIVAS VER MANEJO GUIA SUMINISTRO ASA Y CALCIO",HK95="RIESGO MODERADO (2 O MAS CRITERIOS) VER MANEJO GUIA SUMINISTRO ASA Y CALCIO")),"Iniciar de inmediato ASA",IF(AND(BU95&gt;16,OR(HK95="RIESGO ALTO DE COMPLICACIONES HIPERTENSIVAS VER MANEJO GUIA SUMINISTRO ASA Y CALCIO",HK95="RIESGO MODERADO (2 O MAS CRITERIOS) VER MANEJO GUIA SUMINISTRO ASA Y CALCIO")),"Pierde Oportunidad, Inicio tardío de ASA","XXXXX"))))))))</f>
        <v>No Aplica para suministro de ASA</v>
      </c>
      <c r="HS95" s="22">
        <v>44967</v>
      </c>
      <c r="HT95" s="22" t="s">
        <v>1532</v>
      </c>
      <c r="HU95" s="22"/>
      <c r="HV95" s="22"/>
      <c r="HW95" s="22">
        <v>44967</v>
      </c>
      <c r="HX95" s="22" t="s">
        <v>1511</v>
      </c>
      <c r="HY95" s="22">
        <v>44958</v>
      </c>
      <c r="HZ95" s="28">
        <f t="shared" si="292"/>
        <v>11</v>
      </c>
      <c r="IA95" s="26"/>
      <c r="IB95" s="26"/>
      <c r="IC95" s="22">
        <v>45121</v>
      </c>
      <c r="ID95" s="22">
        <v>45121</v>
      </c>
      <c r="IE95" s="22" t="str">
        <f t="shared" ca="1" si="293"/>
        <v>VACUNA APLICADA ENTRE SEMANA 27 Y EL PARTO</v>
      </c>
      <c r="IF95" s="22"/>
      <c r="IG95" s="22">
        <f t="shared" si="294"/>
        <v>45161</v>
      </c>
      <c r="IH95" s="29">
        <f t="shared" ca="1" si="295"/>
        <v>-72</v>
      </c>
      <c r="II95" s="22" t="str">
        <f t="shared" ca="1" si="296"/>
        <v>POSIBLEMENTE NACIO</v>
      </c>
      <c r="IJ95" s="22"/>
      <c r="IK95" s="21"/>
      <c r="IL95" s="21"/>
      <c r="IM95" s="34"/>
      <c r="IN95" s="349"/>
      <c r="IO95" s="21"/>
      <c r="IP95" s="29" t="str">
        <f t="shared" si="435"/>
        <v/>
      </c>
      <c r="IQ95" s="110"/>
      <c r="IR95" s="21"/>
      <c r="IS95" s="21"/>
      <c r="IT95" s="21"/>
      <c r="IU95" s="21"/>
      <c r="IV95" s="21"/>
      <c r="IW95" s="21"/>
      <c r="IX95" s="21"/>
      <c r="IY95" s="21"/>
      <c r="IZ95" s="21"/>
      <c r="JA95" s="21"/>
      <c r="JB95" s="30"/>
      <c r="JC95" s="21"/>
      <c r="JD95" s="36"/>
      <c r="JE95" s="21" t="str">
        <f t="shared" si="446"/>
        <v/>
      </c>
      <c r="JF95" s="30"/>
      <c r="JG95" s="21"/>
      <c r="JH95" s="21"/>
      <c r="JI95" s="21"/>
      <c r="JJ95" s="30"/>
      <c r="JK95" s="22"/>
      <c r="JL95" s="22"/>
      <c r="JM95" s="21"/>
      <c r="JN95" s="36"/>
      <c r="JO95" s="21" t="str">
        <f t="shared" si="447"/>
        <v/>
      </c>
      <c r="JP95" s="22"/>
      <c r="JQ95" s="21"/>
      <c r="JR95" s="21"/>
      <c r="JS95" s="21"/>
      <c r="JT95" s="30"/>
      <c r="JU95" s="22"/>
      <c r="JV95" s="22"/>
      <c r="JW95" s="33"/>
      <c r="JX95" s="28" t="str">
        <f t="shared" si="448"/>
        <v/>
      </c>
      <c r="JY95" s="33"/>
      <c r="JZ95" s="28" t="str">
        <f t="shared" si="449"/>
        <v/>
      </c>
      <c r="KA95" s="21"/>
      <c r="KB95" s="21"/>
      <c r="KC95" s="21"/>
      <c r="KD95" s="37"/>
      <c r="KE95" s="28"/>
      <c r="KF95" s="28"/>
      <c r="KG95" s="28"/>
      <c r="KH95" s="39"/>
      <c r="KI95" s="39"/>
      <c r="KJ95" s="66"/>
      <c r="KK95" s="39"/>
      <c r="KL95" s="39"/>
      <c r="KM95" s="66"/>
      <c r="KN95" s="39"/>
      <c r="KO95" s="39"/>
      <c r="KP95" s="39"/>
      <c r="KQ95" s="39"/>
      <c r="KR95" s="39"/>
      <c r="KS95" s="39"/>
      <c r="KT95" s="39"/>
      <c r="KU95" s="38"/>
      <c r="KV95" s="38"/>
      <c r="KW95" s="38"/>
      <c r="KX95" s="38"/>
      <c r="KY95" s="38"/>
      <c r="KZ95" s="38"/>
      <c r="LA95" s="38"/>
      <c r="LB95" s="38"/>
      <c r="LC95" s="38"/>
      <c r="LD95" s="38"/>
      <c r="LE95" s="38"/>
      <c r="LF95" s="38"/>
      <c r="LG95" s="38"/>
      <c r="LH95" s="38"/>
      <c r="LI95" s="38"/>
      <c r="LJ95" s="38"/>
      <c r="LK95" s="38"/>
      <c r="LL95" s="38"/>
      <c r="LM95" s="38"/>
      <c r="LN95" s="38"/>
      <c r="LO95" s="38"/>
      <c r="LP95" s="38"/>
      <c r="LQ95" s="38"/>
      <c r="LR95" s="38"/>
      <c r="LS95" s="38"/>
      <c r="LT95" s="38"/>
      <c r="LU95" s="38"/>
      <c r="LV95" s="38"/>
      <c r="LW95" s="38"/>
      <c r="LX95" s="38"/>
      <c r="LY95" s="38"/>
      <c r="LZ95" s="38"/>
      <c r="MA95" s="38"/>
      <c r="MB95" s="38"/>
      <c r="MC95" s="38"/>
      <c r="MD95" s="38"/>
      <c r="ME95" s="38"/>
      <c r="MF95" s="38"/>
      <c r="MG95" s="38"/>
      <c r="MH95" s="43">
        <f t="shared" si="302"/>
        <v>0</v>
      </c>
      <c r="MI95" s="43" t="str">
        <f t="shared" si="303"/>
        <v/>
      </c>
      <c r="MJ95" s="43" t="str">
        <f t="shared" si="304"/>
        <v/>
      </c>
      <c r="MK95" s="43">
        <f t="shared" si="305"/>
        <v>0</v>
      </c>
      <c r="ML9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5" s="43">
        <f t="shared" si="306"/>
        <v>11</v>
      </c>
      <c r="MN95" s="43">
        <f t="shared" si="307"/>
        <v>2</v>
      </c>
      <c r="MO95" s="43">
        <f t="shared" si="308"/>
        <v>2023</v>
      </c>
      <c r="MP95" s="43" t="str">
        <f t="shared" si="309"/>
        <v>I TRIMESTRE AÑO</v>
      </c>
      <c r="MQ95" s="43">
        <f t="shared" si="310"/>
        <v>26.971090670170828</v>
      </c>
      <c r="MR95" s="43">
        <f t="shared" si="311"/>
        <v>0</v>
      </c>
      <c r="MS95" s="43" t="str">
        <f t="shared" si="312"/>
        <v xml:space="preserve"> DE 25 A 29 AÑOS</v>
      </c>
      <c r="MT95" s="43">
        <f t="shared" si="313"/>
        <v>0</v>
      </c>
      <c r="MU95" s="43">
        <f t="shared" si="314"/>
        <v>2</v>
      </c>
      <c r="MV95" s="43">
        <f t="shared" si="315"/>
        <v>0</v>
      </c>
      <c r="MW95" s="43">
        <f t="shared" si="316"/>
        <v>0</v>
      </c>
      <c r="MX95" s="43" t="str">
        <f t="shared" si="317"/>
        <v/>
      </c>
      <c r="MY95" s="43" t="str">
        <f t="shared" ca="1" si="450"/>
        <v/>
      </c>
      <c r="MZ95" s="43" t="str">
        <f t="shared" si="318"/>
        <v/>
      </c>
      <c r="NA95" s="43" t="str">
        <f t="shared" si="319"/>
        <v/>
      </c>
      <c r="NB95" s="43" t="str">
        <f t="shared" si="320"/>
        <v/>
      </c>
      <c r="NC95" s="43" t="str">
        <f t="shared" si="321"/>
        <v/>
      </c>
      <c r="ND95" s="43">
        <f t="shared" ca="1" si="322"/>
        <v>2</v>
      </c>
      <c r="NE95" s="43">
        <f>IF(OR(O95&gt;0,R95&gt;0),SUM(COUNTIF(Tabla1[[#This Row],[AÑOS AL INICIO5 CPN]],"&gt;=40"),COUNTIF(AS95,"0"),COUNTIF(AR95,"SI"),COUNTIF(CC95,"SI"),COUNTIF(BQ95,"&gt;119"),COUNTIF(CI95,"&gt;=35")),"")</f>
        <v>0</v>
      </c>
      <c r="NF95" s="43">
        <f t="shared" si="323"/>
        <v>34.285714285714285</v>
      </c>
      <c r="NG95" s="43">
        <f t="shared" si="324"/>
        <v>0</v>
      </c>
      <c r="NH95" s="43">
        <f t="shared" si="325"/>
        <v>247.79999999999998</v>
      </c>
      <c r="NI9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CPN",P95="NO"),"Z",IF(AND(Tabla1[[#This Row],[CITA PROXIMO CONTROL]]="CITA MANUAL",Tabla1[[#This Row],[GESTANTES ACTUALES]]="ACTIVA INGRESO A CPN"),"W",IF(AND(Tabla1[[#This Row],[GESTANTES ACTUALES]]="SALIO PROGRAMA",IN95=""),"S",IF(AND(Tabla1[[#This Row],[CITA PROXIMO CONTROL]]&gt;0,IN95=""),(Tabla1[[#This Row],[CITA PROXIMO CONTROL]]-TODAY()),"SD"))))))))</f>
        <v>#REF!</v>
      </c>
      <c r="NJ95" s="43">
        <f>MONTH(Tabla1[[#This Row],[FECHA DE SALIDA  DEL PROGRAMA]])</f>
        <v>1</v>
      </c>
      <c r="NK95" s="43">
        <f>YEAR(Tabla1[[#This Row],[FECHA DE SALIDA  DEL PROGRAMA]])</f>
        <v>1900</v>
      </c>
      <c r="NL95" s="43" t="str">
        <f t="shared" si="326"/>
        <v>X</v>
      </c>
      <c r="NM95" s="43" t="e">
        <f>IF(AND(O95&gt;0,R95=""),"NO CPN",IF(AND(O95="",R95=""),"",IF(AND(EN95&lt;&gt;"",#REF!&lt;&gt;"",FB95&lt;&gt;"",FK95&lt;&gt;"",FW95&lt;&gt;"",FZ95&lt;&gt;"",GO95&lt;&gt;"",GQ95&lt;&gt;"",GR95&lt;&gt;""),"SI","NO")))</f>
        <v>#REF!</v>
      </c>
      <c r="NN95" s="43" t="str">
        <f ca="1">IF(AND(O95&gt;0,R95=""),"NO CPN",IF(AND(O95="",R95=""),"",IF(AND(R95&gt;0,Tabla1[[#This Row],[SEMANAS DE GESTACION ACTUALIZADAS]]&lt;=12),"NO APLICA",IF(AND(FH95&lt;&gt;"",FN95&lt;&gt;""),"SI","NO"))))</f>
        <v>NO</v>
      </c>
      <c r="NO95" s="43" t="str">
        <f ca="1">IF(AND(O95&gt;0,R95=""),"NO CPN",IF(AND(O95="",R95=""),"",IF(AND(R95&gt;0,Tabla1[[#This Row],[SEMANAS DE GESTACION ACTUALIZADAS]]&lt;=27),"NO APLICA",IF(AND(ES95&lt;&gt;"",FQ95&lt;&gt;"",GF95&lt;&gt;""),"SI","NO"))))</f>
        <v>SI</v>
      </c>
      <c r="NP95" s="204" t="str">
        <f t="shared" si="327"/>
        <v>DEFINIR CON ECO</v>
      </c>
      <c r="NQ95" s="21">
        <f t="shared" si="436"/>
        <v>9</v>
      </c>
      <c r="NR95" s="21" t="str">
        <f t="shared" ca="1" si="451"/>
        <v>REVISAR FUM O FECHA SALIDA PROGRAMA</v>
      </c>
      <c r="NS95" s="205">
        <f t="shared" ca="1" si="328"/>
        <v>2</v>
      </c>
      <c r="NT95" s="21">
        <f t="shared" ca="1" si="329"/>
        <v>2</v>
      </c>
      <c r="NU95" s="21" t="str">
        <f t="shared" ca="1" si="330"/>
        <v>POR DEFINIR</v>
      </c>
      <c r="NV95" s="21" t="str">
        <f t="shared" ca="1" si="331"/>
        <v>POR DEFINIR</v>
      </c>
      <c r="NW95" s="206" t="str">
        <f>IF(AND(O95="",R95=""),"",IF(OR(AND(Tabla1[[#This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5" s="207" t="str">
        <f t="shared" ca="1" si="332"/>
        <v>VACUNADA</v>
      </c>
      <c r="NY95" s="43">
        <f>ROW(Tabla1[[#This Row],['# DE TAMIZAJES SIFILIS TOMADOS ]])</f>
        <v>95</v>
      </c>
      <c r="NZ95" s="43">
        <f t="shared" si="333"/>
        <v>11</v>
      </c>
      <c r="OA95" s="43" t="str">
        <f t="shared" si="334"/>
        <v/>
      </c>
      <c r="OB95" s="43" t="str">
        <f t="shared" si="335"/>
        <v/>
      </c>
      <c r="OC95" s="43" t="str">
        <f t="shared" si="336"/>
        <v>SOBREPESO</v>
      </c>
      <c r="OD95" s="43" t="str">
        <f t="shared" si="337"/>
        <v/>
      </c>
      <c r="OE95" s="43" t="str">
        <f t="shared" si="338"/>
        <v/>
      </c>
      <c r="OF95" s="43" t="str">
        <f t="shared" si="339"/>
        <v/>
      </c>
      <c r="OG95" s="43" t="str">
        <f t="shared" si="340"/>
        <v/>
      </c>
      <c r="OH95" s="43" t="str">
        <f t="shared" si="341"/>
        <v/>
      </c>
      <c r="OI95" s="43" t="str">
        <f t="shared" si="342"/>
        <v/>
      </c>
      <c r="OJ95" s="43" t="str">
        <f t="shared" si="343"/>
        <v/>
      </c>
      <c r="OK95" s="43" t="str">
        <f t="shared" si="344"/>
        <v/>
      </c>
      <c r="OL95" s="43" t="str">
        <f t="shared" si="345"/>
        <v/>
      </c>
      <c r="OM95" s="43" t="str">
        <f t="shared" si="346"/>
        <v/>
      </c>
      <c r="ON95" s="43" t="str">
        <f t="shared" si="347"/>
        <v/>
      </c>
      <c r="OO95" s="43" t="str">
        <f t="shared" si="348"/>
        <v/>
      </c>
      <c r="OP95" s="43" t="str">
        <f t="shared" si="349"/>
        <v/>
      </c>
      <c r="OQ95" s="43" t="str">
        <f t="shared" si="350"/>
        <v/>
      </c>
      <c r="OR95" s="43" t="str">
        <f t="shared" si="351"/>
        <v/>
      </c>
      <c r="OS95" s="43" t="str">
        <f t="shared" si="352"/>
        <v/>
      </c>
      <c r="OT95" s="43" t="str">
        <f t="shared" si="353"/>
        <v/>
      </c>
      <c r="OU95" s="43" t="str">
        <f t="shared" si="354"/>
        <v/>
      </c>
      <c r="OV95" s="110" t="str">
        <f t="shared" si="355"/>
        <v/>
      </c>
      <c r="OW95" s="43" t="str">
        <f t="shared" si="356"/>
        <v/>
      </c>
      <c r="OX95" s="43" t="str">
        <f t="shared" si="357"/>
        <v/>
      </c>
      <c r="OY95" s="43" t="str">
        <f t="shared" si="358"/>
        <v/>
      </c>
      <c r="OZ95" s="43" t="str">
        <f t="shared" si="359"/>
        <v/>
      </c>
      <c r="PA95" s="43" t="str">
        <f t="shared" si="360"/>
        <v/>
      </c>
      <c r="PB95" s="43" t="str">
        <f t="shared" si="361"/>
        <v/>
      </c>
      <c r="PC95" s="43" t="str">
        <f t="shared" si="362"/>
        <v/>
      </c>
      <c r="PD95" s="43" t="str">
        <f t="shared" si="363"/>
        <v/>
      </c>
      <c r="PE95" s="43" t="str">
        <f t="shared" si="364"/>
        <v/>
      </c>
      <c r="PF95" s="43" t="str">
        <f t="shared" si="365"/>
        <v/>
      </c>
      <c r="PG95" s="43" t="str">
        <f t="shared" si="366"/>
        <v/>
      </c>
      <c r="PH95" s="43" t="str">
        <f t="shared" si="367"/>
        <v/>
      </c>
      <c r="PI95" s="43">
        <f t="shared" si="368"/>
        <v>33</v>
      </c>
      <c r="PJ95" s="43" t="str">
        <f t="shared" si="369"/>
        <v/>
      </c>
      <c r="PK95" s="43" t="str">
        <f t="shared" si="370"/>
        <v/>
      </c>
      <c r="PL95" s="43" t="str">
        <f t="shared" si="371"/>
        <v/>
      </c>
      <c r="PM95" s="43" t="str">
        <f t="shared" si="372"/>
        <v/>
      </c>
      <c r="PN95" s="43" t="str">
        <f t="shared" si="373"/>
        <v/>
      </c>
      <c r="PO95" s="43" t="str">
        <f t="shared" si="374"/>
        <v/>
      </c>
      <c r="PP95" s="43" t="str">
        <f t="shared" si="375"/>
        <v/>
      </c>
      <c r="PQ95" s="43" t="str">
        <f t="shared" si="376"/>
        <v/>
      </c>
      <c r="PR95" s="43" t="str">
        <f t="shared" si="377"/>
        <v/>
      </c>
      <c r="PS95" s="43" t="str">
        <f t="shared" si="378"/>
        <v/>
      </c>
      <c r="PT95" s="43" t="str">
        <f t="shared" si="379"/>
        <v/>
      </c>
      <c r="PU95" s="43" t="str">
        <f t="shared" si="380"/>
        <v/>
      </c>
      <c r="PV95" s="43" t="str">
        <f t="shared" si="381"/>
        <v/>
      </c>
      <c r="PW95" s="43" t="str">
        <f t="shared" si="382"/>
        <v/>
      </c>
      <c r="PX95" s="43" t="str">
        <f t="shared" si="383"/>
        <v/>
      </c>
      <c r="PY95" s="43" t="str">
        <f t="shared" si="384"/>
        <v/>
      </c>
      <c r="PZ95" s="43" t="str">
        <f t="shared" si="385"/>
        <v/>
      </c>
      <c r="QA95" s="43" t="str">
        <f t="shared" si="386"/>
        <v/>
      </c>
      <c r="QB95" s="43" t="str">
        <f t="shared" si="387"/>
        <v/>
      </c>
      <c r="QC95" s="43" t="str">
        <f t="shared" si="388"/>
        <v/>
      </c>
      <c r="QD95" s="43" t="str">
        <f t="shared" si="389"/>
        <v/>
      </c>
      <c r="QE95" s="43" t="str">
        <f t="shared" si="390"/>
        <v/>
      </c>
      <c r="QF95" s="43" t="str">
        <f t="shared" si="391"/>
        <v/>
      </c>
      <c r="QG95" s="43" t="str">
        <f t="shared" si="392"/>
        <v/>
      </c>
      <c r="QH95" s="43" t="str">
        <f t="shared" si="393"/>
        <v>SOBREPESO</v>
      </c>
      <c r="QI95" s="43" t="str">
        <f t="shared" si="394"/>
        <v/>
      </c>
      <c r="QJ95" s="43" t="str">
        <f t="shared" si="395"/>
        <v/>
      </c>
      <c r="QK95" s="43" t="str">
        <f t="shared" si="396"/>
        <v/>
      </c>
      <c r="QL95" s="43" t="str">
        <f t="shared" si="397"/>
        <v/>
      </c>
      <c r="QM95" s="43" t="str">
        <f t="shared" si="398"/>
        <v/>
      </c>
      <c r="QN95" s="43" t="str">
        <f t="shared" si="399"/>
        <v/>
      </c>
      <c r="QO95" s="43" t="str">
        <f t="shared" si="400"/>
        <v/>
      </c>
      <c r="QP95" s="43" t="str">
        <f t="shared" si="401"/>
        <v/>
      </c>
      <c r="QQ95" s="43" t="str">
        <f t="shared" si="402"/>
        <v/>
      </c>
      <c r="QR95" s="43">
        <f t="shared" si="432"/>
        <v>33</v>
      </c>
      <c r="QS95" s="43"/>
      <c r="QT95" s="21" t="str">
        <f t="shared" si="403"/>
        <v/>
      </c>
      <c r="QU95" s="21" t="str">
        <f t="shared" si="404"/>
        <v/>
      </c>
      <c r="QV95" s="21" t="str">
        <f t="shared" si="405"/>
        <v/>
      </c>
      <c r="QW95" s="21" t="str">
        <f t="shared" si="406"/>
        <v/>
      </c>
      <c r="QX95" s="21" t="str">
        <f t="shared" si="407"/>
        <v/>
      </c>
      <c r="QY95" s="21" t="str">
        <f t="shared" si="408"/>
        <v/>
      </c>
      <c r="QZ95" s="21" t="str">
        <f t="shared" si="409"/>
        <v/>
      </c>
      <c r="RA95" s="21" t="str">
        <f t="shared" si="410"/>
        <v/>
      </c>
      <c r="RB95" s="21" t="str">
        <f t="shared" si="411"/>
        <v/>
      </c>
      <c r="RC95" s="21" t="str">
        <f t="shared" si="412"/>
        <v/>
      </c>
      <c r="RD95" s="21" t="str">
        <f t="shared" si="413"/>
        <v/>
      </c>
      <c r="RE95" s="21" t="str">
        <f t="shared" si="414"/>
        <v/>
      </c>
      <c r="RF95" s="21" t="str">
        <f t="shared" si="415"/>
        <v/>
      </c>
      <c r="RG95" s="21" t="str">
        <f t="shared" si="416"/>
        <v/>
      </c>
      <c r="RH95" s="21" t="str">
        <f t="shared" si="417"/>
        <v/>
      </c>
      <c r="RI95" s="21" t="str">
        <f t="shared" si="418"/>
        <v/>
      </c>
      <c r="RJ95" s="21" t="str">
        <f t="shared" si="419"/>
        <v/>
      </c>
      <c r="RK95" s="21" t="str">
        <f t="shared" si="420"/>
        <v/>
      </c>
      <c r="RL95" s="21" t="str">
        <f t="shared" si="421"/>
        <v/>
      </c>
      <c r="RM95" s="21" t="str">
        <f t="shared" si="422"/>
        <v/>
      </c>
      <c r="RN95" s="21" t="str">
        <f t="shared" si="423"/>
        <v>ALTO PARA EDAD GESTACIONAL</v>
      </c>
      <c r="RO95" s="21" t="str">
        <f t="shared" si="424"/>
        <v/>
      </c>
      <c r="RP95" s="21" t="str">
        <f t="shared" si="425"/>
        <v/>
      </c>
      <c r="RQ95" s="21" t="str">
        <f t="shared" si="426"/>
        <v/>
      </c>
      <c r="RR95" s="21" t="str">
        <f t="shared" si="427"/>
        <v/>
      </c>
      <c r="RS95" s="21" t="str">
        <f t="shared" si="428"/>
        <v/>
      </c>
      <c r="RT95" s="21" t="str">
        <f t="shared" si="429"/>
        <v/>
      </c>
      <c r="RU95" s="21" t="str">
        <f t="shared" si="430"/>
        <v/>
      </c>
      <c r="RV95" s="21">
        <f t="shared" si="431"/>
        <v>-1</v>
      </c>
      <c r="RW95" s="284">
        <f>IF(OR(Tabla1[[#This Row],[FUM FORMULA CONFIABLE]]="",Tabla1[[#This Row],[FUM FORMULA CONFIABLE]]="SD"),"",IF(Tabla1[[#This Row],[FUM FORMULA CONFIABLE]]="CORREGIDA",Tabla1[[#This Row],[FUM X ECO 1]],Tabla1[[#This Row],[FUM x AMENORREA]]))</f>
        <v>44881</v>
      </c>
      <c r="RX95" s="21">
        <f>IF(AND(Tabla1[[#This Row],[FUM X ECO 1]]="",Tabla1[[#This Row],[FUM x AMENORREA]]=""),"",IF(AND(Tabla1[[#This Row],[FUM X ECO 1]]="",Tabla1[[#This Row],[FUM x AMENORREA]]&lt;&gt;""),"X",SUM(Tabla1[[#This Row],[FUM X ECO 1]]-Tabla1[[#This Row],[FUM x AMENORREA]])))</f>
        <v>-7.8000000000029104</v>
      </c>
      <c r="RY95" s="21">
        <f t="shared" si="433"/>
        <v>1</v>
      </c>
    </row>
    <row r="96" spans="1:493" ht="45" customHeight="1" x14ac:dyDescent="0.25">
      <c r="A96" s="109"/>
      <c r="B96" s="43"/>
      <c r="C96" s="43" t="s">
        <v>845</v>
      </c>
      <c r="D96" s="124" t="s">
        <v>846</v>
      </c>
      <c r="E96" s="43" t="s">
        <v>1290</v>
      </c>
      <c r="F96" s="43" t="s">
        <v>996</v>
      </c>
      <c r="G96" s="43" t="s">
        <v>1291</v>
      </c>
      <c r="H96" s="43"/>
      <c r="I96" s="109" t="s">
        <v>1094</v>
      </c>
      <c r="J96" s="110">
        <v>1059597222</v>
      </c>
      <c r="K96" s="43"/>
      <c r="L96" s="175" t="s">
        <v>886</v>
      </c>
      <c r="M96" s="22">
        <v>39131</v>
      </c>
      <c r="N96" s="213">
        <f t="shared" ca="1" si="252"/>
        <v>16.717808219178082</v>
      </c>
      <c r="O96" s="22">
        <v>44957</v>
      </c>
      <c r="P96" s="214" t="str">
        <f t="shared" si="437"/>
        <v>SI</v>
      </c>
      <c r="Q96" s="26" t="s">
        <v>855</v>
      </c>
      <c r="R96" s="22">
        <v>44957</v>
      </c>
      <c r="S96" s="21" t="s">
        <v>856</v>
      </c>
      <c r="T96" s="24" t="s">
        <v>690</v>
      </c>
      <c r="U96" s="21" t="s">
        <v>857</v>
      </c>
      <c r="V96" s="21" t="s">
        <v>858</v>
      </c>
      <c r="W96" s="21" t="s">
        <v>1292</v>
      </c>
      <c r="X96" s="21" t="s">
        <v>857</v>
      </c>
      <c r="Y96" s="21" t="s">
        <v>859</v>
      </c>
      <c r="Z96" s="21"/>
      <c r="AA96" s="21" t="s">
        <v>860</v>
      </c>
      <c r="AB96" s="27" t="s">
        <v>861</v>
      </c>
      <c r="AC96" s="26" t="s">
        <v>897</v>
      </c>
      <c r="AD96" s="38" t="s">
        <v>846</v>
      </c>
      <c r="AE96" s="26" t="s">
        <v>854</v>
      </c>
      <c r="AF96" s="26" t="s">
        <v>854</v>
      </c>
      <c r="AG96" s="23" t="s">
        <v>864</v>
      </c>
      <c r="AH96" s="23" t="s">
        <v>864</v>
      </c>
      <c r="AI96" s="24" t="s">
        <v>863</v>
      </c>
      <c r="AJ96" s="23" t="s">
        <v>864</v>
      </c>
      <c r="AK96" s="220" t="str">
        <f>IF(AND(AD96="",AE96="",AF96="",AG96="",AH96="",AI96="",AJ96=""),"",IF(OR(Tabla1[[#This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EVALUACIÓN",IF(AND(O96="",R96=""),"",IF(AND(OR(O96&gt;0,R96&gt;0),NG96&gt;=0,NG96&lt;2),"SIN RIESGO",IF(AND(OR(O96&gt;0,R96&gt;0),NG96&gt;=2),"CON RIESGO","ASD")))))</f>
        <v>SIN RIESGO</v>
      </c>
      <c r="AL96" s="23" t="s">
        <v>864</v>
      </c>
      <c r="AM96" s="26" t="s">
        <v>864</v>
      </c>
      <c r="AN96" s="26"/>
      <c r="AO96" s="26" t="s">
        <v>864</v>
      </c>
      <c r="AP96" s="26" t="s">
        <v>864</v>
      </c>
      <c r="AQ96" s="26" t="s">
        <v>864</v>
      </c>
      <c r="AR96" s="26" t="s">
        <v>864</v>
      </c>
      <c r="AS96" s="21">
        <v>1</v>
      </c>
      <c r="AT96" s="21">
        <v>0</v>
      </c>
      <c r="AU96" s="21">
        <v>0</v>
      </c>
      <c r="AV96" s="26" t="s">
        <v>864</v>
      </c>
      <c r="AW96" s="21">
        <v>0</v>
      </c>
      <c r="AX96" s="26" t="s">
        <v>864</v>
      </c>
      <c r="AY96" s="26" t="s">
        <v>864</v>
      </c>
      <c r="AZ96" s="26" t="s">
        <v>864</v>
      </c>
      <c r="BA96" s="26" t="s">
        <v>864</v>
      </c>
      <c r="BB96" s="26" t="s">
        <v>864</v>
      </c>
      <c r="BC96" s="26" t="s">
        <v>864</v>
      </c>
      <c r="BD96" s="26" t="s">
        <v>864</v>
      </c>
      <c r="BE96" s="26" t="s">
        <v>864</v>
      </c>
      <c r="BF96" s="26" t="s">
        <v>864</v>
      </c>
      <c r="BG96" s="26" t="s">
        <v>864</v>
      </c>
      <c r="BH96" s="26" t="s">
        <v>864</v>
      </c>
      <c r="BI96" s="26" t="s">
        <v>864</v>
      </c>
      <c r="BJ96" s="26"/>
      <c r="BK96" s="26"/>
      <c r="BL96" s="26" t="s">
        <v>864</v>
      </c>
      <c r="BM96" s="26" t="s">
        <v>864</v>
      </c>
      <c r="BN96" s="22"/>
      <c r="BO96" s="22">
        <v>44880</v>
      </c>
      <c r="BP96" s="21" t="s">
        <v>1380</v>
      </c>
      <c r="BQ96" s="222">
        <f t="shared" si="254"/>
        <v>0</v>
      </c>
      <c r="BR96" s="223">
        <f t="shared" si="255"/>
        <v>44858.9</v>
      </c>
      <c r="BS96" s="224">
        <f t="shared" si="256"/>
        <v>14.014285714285506</v>
      </c>
      <c r="BT96" s="216" t="str">
        <f t="shared" si="257"/>
        <v>II TRIM</v>
      </c>
      <c r="BU96" s="214" t="str">
        <f t="shared" ca="1" si="258"/>
        <v/>
      </c>
      <c r="BV96" s="25"/>
      <c r="BW96" s="22">
        <v>44966</v>
      </c>
      <c r="BX96" s="28">
        <v>15.3</v>
      </c>
      <c r="BY96" s="28"/>
      <c r="BZ96" s="22"/>
      <c r="CA96" s="21"/>
      <c r="CB96" s="26" t="s">
        <v>864</v>
      </c>
      <c r="CC96" s="26" t="s">
        <v>864</v>
      </c>
      <c r="CD96" s="26" t="s">
        <v>972</v>
      </c>
      <c r="CE96" s="26" t="s">
        <v>864</v>
      </c>
      <c r="CF96" s="22" t="s">
        <v>1517</v>
      </c>
      <c r="CG96" s="21">
        <v>1.56</v>
      </c>
      <c r="CH96" s="21">
        <v>45.5</v>
      </c>
      <c r="CI96" s="214">
        <f t="shared" si="259"/>
        <v>18.696581196581196</v>
      </c>
      <c r="CJ96" s="225" t="e">
        <f>IF(AND(CI96&lt;10,CH96="SD"),"SIN DATO PESO PREGESTACION O I TRIM",IF(AND(OR(R96&gt;0,O96&gt;0),CI96="X"),"INGRESAR DATO DE PESO",IF(CI96="SD","INGRESAR DATO DE TALLA Y PESO",IF(AND(OR(Tabla1[[#This Row],[MOMENTO EN QUE SE REALIZA EL PESO AL INGRESO A CPN]]="PREGESTACIÓN",NZ96="Menor"),CI96&lt;18.5),"BAJO PESO",IF(AND(OR(Tabla1[[#This Row],[MOMENTO EN QUE SE REALIZA EL PESO AL INGRESO A CPN]]="PREGESTACIÓN",NZ96="Menor"),CI96&lt;25),"NORMAL",IF(AND(OR(Tabla1[[#This Row],[MOMENTO EN QUE SE REALIZA EL PESO AL INGRESO A CPN]]="PREGESTACIÓN",NZ96="Menor"),CI96&lt;30),"SOBREPESO",IF(AND(OR(Tabla1[[#This Row],[MOMENTO EN QUE SE REALIZA EL PESO AL INGRESO A CPN]]="PREGESTACIÓN",NZ96="Menor"),CI96&gt;=30,CI96&lt;50),"OBESIDAD",IF(AND(BS96&gt;0,Tabla1[[#This Row],[MOMENTO EN QUE SE REALIZA EL PESO AL INGRESO A CPN]]="GESTACIÓN"),HLOOKUP(NZ96,$OA$2:PH96,NY96),""))))))))</f>
        <v>#REF!</v>
      </c>
      <c r="CK96" s="212">
        <f t="shared" si="260"/>
        <v>45072</v>
      </c>
      <c r="CL96" s="21">
        <v>51.3</v>
      </c>
      <c r="CM96" s="214">
        <f t="shared" si="261"/>
        <v>21.07988165680473</v>
      </c>
      <c r="CN96" s="216">
        <f t="shared" si="262"/>
        <v>30</v>
      </c>
      <c r="CO96" s="216" t="e">
        <f>IF(PI96="","",IF(PI96&gt;0,HLOOKUP(PI96,$PJ$2:QQ96,NY96),""))</f>
        <v>#REF!</v>
      </c>
      <c r="CP96" s="21">
        <v>28</v>
      </c>
      <c r="CQ96" s="216" t="e">
        <f>IF(QR96="Menor","NO APLICA-MENOR 13 SEM",IF(AND(CC96="SI",CN96&gt;23),"NO APLICA- GEMELAR",IF(QR96="","",IF(QR96&gt;0,HLOOKUP(QR96,$QS$2:RU96,NY96),""))))</f>
        <v>#REF!</v>
      </c>
      <c r="CR96" s="21">
        <v>90</v>
      </c>
      <c r="CS96" s="21">
        <v>60</v>
      </c>
      <c r="CT96" s="217" t="str">
        <f>IF(R96="","",IF(AND(BS96&gt;1,BS96&lt;12,Tabla1[[#This Row],[T.A. SISTOLICA - ANTES DE SEMANA 12]]="",Tabla1[[#This Row],[T.A. DIASTOLICA - ANTES DE SEMANA 12]]=""),"REGISTRE DATO TA ANTES SEMANA 12",IF(AND(BS96&gt;11,BS96&lt;43,Tabla1[[#This Row],[T.A. SISTOLICA - ANTES DE SEMANA 12]]="",Tabla1[[#This Row],[T.A. DIASTOLICA - ANTES DE SEMANA 12]]=""),"NO APLICA REGISTRO TA-INGRESO TARDIO",IF(AND(OR(O96&gt;0,R96&gt;0),OR(CR96&gt;=140,CS96&gt;=90)),"DEFINIR ESTADIO HTA",IF(AND(OR(O96&gt;0,R96&gt;0),AND(CR96&gt;120,CR96&lt;=139)),"PRE HTA SEGUIMIENTO",IF(AND(OR(O96&gt;0,R96&gt;0),AND(CS96&gt;80,CS96&lt;=89)),"PRE HTA SEGUIMIENTO",IF(AND(OR(O96&gt;0,R96&gt;0),AND(CR96&gt;=80,CR96&lt;=120)),"APARENTEMENTE NORMAL",IF(AND(OR(O96&gt;0,R96&gt;0),AND(CS96&gt;=50,CS96&lt;=80)),"APARENTEMENTE NORMAL",IF(AND(OR(O96&gt;0,R96&gt;0),AND(CR96&gt;1,CR96&lt;=70),AND(CS96&gt;1,CS96&lt;=40)),"HIPOTENSIÓN","")))))))))</f>
        <v>APARENTEMENTE NORMAL</v>
      </c>
      <c r="CU96" s="21"/>
      <c r="CV96" s="21"/>
      <c r="CW96" s="217" t="str">
        <f ca="1">IF(R96="","",IF(AND(CN96&gt;19,CN96&lt;27,Tabla1[[#This Row],[T.A. SISTOLICA (Entre semana 20 y 26)]]="",Tabla1[[#This Row],[T.A. DIATOLICA (Entre semana 20 y 26)]]=""),"ACUDE A CONTROL SEM 20 A 26 REGISTRE TA AHORA",IF(AND(BS96&gt;1,BS96&lt;27,BU96&gt;19,Tabla1[[#This Row],[T.A. SISTOLICA (Entre semana 20 y 26)]]="",Tabla1[[#This Row],[T.A. DIATOLICA (Entre semana 20 y 26)]]=""),"COMPLETE REGISTRO TA CONTROL SEM 20 A26 ",IF(AND(BS96&gt;26,BS96&lt;43,Tabla1[[#This Row],[T.A. SISTOLICA (Entre semana 20 y 26)]]="",Tabla1[[#This Row],[T.A. DIATOLICA (Entre semana 20 y 26)]]=""),"NO APLICA REGISTRO TA-INGRESO TARDIO",IF(AND(OR(O96&gt;0,R96&gt;0),OR(CU96&gt;=140,CV96&gt;=90)),"ALTO RIESGO PREECLAMPSIA,DEFINIR ESTADIO HTA",IF(AND(OR(O96&gt;0,R96&gt;0),AND(CU96&gt;120,CU96&lt;=139)),"PRE HTA SEGUIMIENTO,RIESGO HIPERTENSION INDUCIDA POR EL EMBARAZO",IF(AND(OR(O96&gt;0,R96&gt;0),AND(CV96&gt;80,CV96&lt;=89)),"PRE HTA SEGUIMIENTO, RIESGO HIPERTENSION INDUCIDA POR EL EMBARAZO",IF(AND(OR(O96&lt;&gt;"",R96&lt;&gt;""),CS96&lt;&gt;"",CV96&lt;&gt;"",CS96&lt;=CV96),"VIGILAR CIFRAS PRESION ARTERIAL",IF(AND(OR(O96&gt;0,R96&gt;0),AND(CU96&gt;120,CU96&lt;=139)),"PRE HTA SEGUIMIENTO",IF(AND(OR(O96&gt;0,R96&gt;0),AND(CU96&gt;1,CU96&lt;=70),AND(CV96&gt;1,CV96&lt;=40)),"HIPOTENSIÓN",IF(AND(OR(O96&lt;&gt;"",R96&lt;&gt;""),CS96&lt;&gt;"",CV96&lt;&gt;"",CS96&gt;CV96),"APARENTEMENTE NORMAL",IF(AND(OR(O96&gt;0,R96&gt;0),AND(CU96&gt;=80,CU96&lt;=120)),"APARENTEMENTE NORMAL",IF(AND(OR(O96&gt;0,R96&gt;0),AND(CV96&gt;=50,CV96&lt;=80)),"APARENTEMENTE NORMAL","")))))))))))))</f>
        <v xml:space="preserve">COMPLETE REGISTRO TA CONTROL SEM 20 A26 </v>
      </c>
      <c r="CX96" s="21">
        <v>100</v>
      </c>
      <c r="CY96" s="21">
        <v>60</v>
      </c>
      <c r="CZ96" s="216" t="str">
        <f t="shared" si="263"/>
        <v>APARENTEMENTE NORMAL</v>
      </c>
      <c r="DA96" s="21">
        <v>100</v>
      </c>
      <c r="DB96" s="21">
        <v>60</v>
      </c>
      <c r="DC96" s="217" t="str">
        <f t="shared" si="264"/>
        <v>APARENTEMENTE NORMAL</v>
      </c>
      <c r="DD96" s="22"/>
      <c r="DE96" s="22">
        <v>44957</v>
      </c>
      <c r="DF96" s="22">
        <v>44985</v>
      </c>
      <c r="DG96" s="22">
        <v>45072</v>
      </c>
      <c r="DH96" s="22"/>
      <c r="DI96" s="22"/>
      <c r="DJ96" s="22"/>
      <c r="DK96" s="22"/>
      <c r="DL96" s="22"/>
      <c r="DM96" s="22"/>
      <c r="DN96" s="22"/>
      <c r="DO96" s="22"/>
      <c r="DP96" s="22"/>
      <c r="DQ96" s="22"/>
      <c r="DR96" s="28"/>
      <c r="DS96" s="22"/>
      <c r="DT96" s="22"/>
      <c r="DU96" s="216" t="str">
        <f t="shared" ca="1" si="438"/>
        <v>CONCERTAR PLAN DE PARTO INMEDIATO</v>
      </c>
      <c r="DV96" s="226" t="str">
        <f t="shared" si="439"/>
        <v>ACTIVA INGRESO A CPN</v>
      </c>
      <c r="DW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6" s="216" t="e">
        <f t="shared" ca="1" si="266"/>
        <v>#REF!</v>
      </c>
      <c r="DY96" s="212">
        <f>IF(R96="","",IF(R96&gt;0,MAX(Tabla1[[#This Row],[FECHA C2]:[FECHA C13]],Tabla1[[#This Row],[FECHA CONSULTA PRIMERA VEZ PROGRAMA CPN ]])))</f>
        <v>45072</v>
      </c>
      <c r="DZ96" s="216">
        <f t="shared" si="267"/>
        <v>30</v>
      </c>
      <c r="EA96" s="222">
        <f>IF(R96&gt;0,SUM(COUNTA(DF96:DQ96)+COUNTA(Tabla1[[#This Row],[FECHA CONSULTA PRIMERA VEZ PROGRAMA CPN ]])),"")</f>
        <v>3</v>
      </c>
      <c r="EB96" s="222" t="str">
        <f t="shared" si="268"/>
        <v>NO</v>
      </c>
      <c r="EC96" s="214">
        <f t="shared" si="269"/>
        <v>8</v>
      </c>
      <c r="ED96" s="227">
        <f t="shared" si="270"/>
        <v>0.375</v>
      </c>
      <c r="EE96" s="22">
        <v>44957</v>
      </c>
      <c r="EF96" s="22">
        <v>44957</v>
      </c>
      <c r="EG96" s="22">
        <v>44957</v>
      </c>
      <c r="EH96" s="22">
        <v>44963</v>
      </c>
      <c r="EI96" s="22">
        <v>44957</v>
      </c>
      <c r="EJ96" s="22">
        <v>44988</v>
      </c>
      <c r="EK96" s="344">
        <v>44963</v>
      </c>
      <c r="EL96" s="21"/>
      <c r="EM96" s="21">
        <v>13.2</v>
      </c>
      <c r="EN96" s="22">
        <v>44960</v>
      </c>
      <c r="EO96" s="222">
        <f t="shared" si="271"/>
        <v>14.442857142856935</v>
      </c>
      <c r="EP96" s="214" t="str">
        <f t="shared" si="272"/>
        <v>NORMAL- SUMINISTRAR SULFATO FERROSO</v>
      </c>
      <c r="EQ96" s="216" t="str">
        <f t="shared" si="273"/>
        <v>II TRIM</v>
      </c>
      <c r="ER96" s="24"/>
      <c r="ES96" s="22"/>
      <c r="ET96" s="29" t="str">
        <f t="shared" ca="1" si="440"/>
        <v>TOMA DE HEMOGLOBINA TARDÍA</v>
      </c>
      <c r="EU96" s="25" t="str">
        <f t="shared" si="275"/>
        <v/>
      </c>
      <c r="EV96" s="24" t="s">
        <v>866</v>
      </c>
      <c r="EW96" s="24">
        <v>44960</v>
      </c>
      <c r="EX96" s="22"/>
      <c r="EY96" s="29">
        <f t="shared" ref="EY96:EY159" si="453">IF(AND(BT96="ERROR FUM O INGRESO",EW96&gt;0),"ERROR FUM O INGRESO",IF(AND(EW96="",R96="",O96=""),"",IF(OR(AND(EW96&lt;&gt;"",EW96&lt;RW96),AND(EW96&lt;&gt;"",SUM((EW96-RW96)/7)&gt;40)),"CORREGIR FECHA RESULTADO",IF(AND(EW96="",OR(O96&gt;0,R96&gt;0)),"TOMAR EXAMEN",IF(EW96&gt;0,SUM(EW96-RW96)/7,"")))))</f>
        <v>14.442857142856935</v>
      </c>
      <c r="EZ96" s="25" t="str">
        <f t="shared" ref="EZ96:EZ159" ca="1" si="454">IF(EV96="RH POSITIVO","SIN RIESGO DE ISOINMUNIZACIÓN",IF(AND(EV96="RH NEGATIVO CON COOMBS NEGATIVO",EX96="",BU96&lt;=24),"COOMBS C/MES Y APLICAR RHESUMAN SEM 28",IF(AND(EV96="RH NEGATIVO CON COOMBS NEGATIVO",EX96="",AND(BU96&gt;24,BU96&lt;27)),"FALTAN DE 4 A 2 SEMANAS PARA APLICAR RHESUMAN A SEM 28",IF(AND(EV96="RH NEGATIVO CON COOMBS NEGATIVO",EX96="",AND(BU96&gt;26.99,BU96&lt;27.99)),"FALTAN 1 SEMANAS PARA APLICAR RHESUMAN A SEM 28",IF(AND(EV96="RH NEGATIVO CON COOMBS NEGATIVO",EX96="",AND(BU96&gt;27.99,BU96&lt;29)),"SEMANA 28 APLICAR DE INMEDIATO RHESUMAN",IF(AND(EV96="RH NEGATIVO CON COOMBS NEGATIVO",EX96="",AND(BU96&gt;28.99,BU96&lt;42)),"DEBE APLICAR RHESUMAN, ES NO OPORTUNO &gt; 28 SEMANAS",IF(AND(EV96="RH NEGATIVO CON COOMBS NEGATIVO",EX96&gt;0),SUM(EX96-RW96)/7,IF(EV96="RH NEGATIVO SIN COOMBS","TOMAR COOMBS INMEDIATO PARA DEFINIR MANEJO",IF(EV96="RH NEGATIVO CON COOMBS POSITIVO","TOMAR COOMBS CUANTITATIVO Y REMISIÓN","")))))))))</f>
        <v/>
      </c>
      <c r="FA96" s="21">
        <v>70</v>
      </c>
      <c r="FB96" s="22">
        <v>44960</v>
      </c>
      <c r="FC96" s="29">
        <f t="shared" si="276"/>
        <v>14.442857142856935</v>
      </c>
      <c r="FD96" s="29"/>
      <c r="FE96" s="29"/>
      <c r="FF96" s="29"/>
      <c r="FG96" s="21" t="str">
        <f t="shared" ca="1" si="277"/>
        <v/>
      </c>
      <c r="FH96" s="31"/>
      <c r="FI96" s="29" t="str">
        <f t="shared" si="278"/>
        <v>TOMAR EXAMEN</v>
      </c>
      <c r="FJ96" s="22" t="s">
        <v>867</v>
      </c>
      <c r="FK96" s="22">
        <v>44960</v>
      </c>
      <c r="FL96" s="29" t="str">
        <f t="shared" si="279"/>
        <v>REGISTRAR EN II TRIMESTRE</v>
      </c>
      <c r="FM96" s="22"/>
      <c r="FN96" s="32"/>
      <c r="FO96" s="29" t="str">
        <f t="shared" ca="1" si="441"/>
        <v>PIERDE TOMA DE TAMIZAJE</v>
      </c>
      <c r="FP96" s="22"/>
      <c r="FQ96" s="32"/>
      <c r="FR96" s="29" t="str">
        <f t="shared" ca="1" si="442"/>
        <v>TOMA INMEDIATA DE TAMIZAJE</v>
      </c>
      <c r="FS96" s="22"/>
      <c r="FT96" s="32"/>
      <c r="FU96" s="29" t="str">
        <f>IF(AND(FJ96="",FM96="",FP96="",FS96=""),"",IF(OR(OR(Tabla1[[#This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6" s="28"/>
      <c r="FW96" s="22"/>
      <c r="FX96" s="29" t="str">
        <f t="shared" si="280"/>
        <v>TOMAR EXAMEN</v>
      </c>
      <c r="FY96" s="22">
        <v>44960</v>
      </c>
      <c r="FZ96" s="22">
        <v>44960</v>
      </c>
      <c r="GA96" s="29" t="str">
        <f t="shared" si="452"/>
        <v>REGISTRAR EN II TRIMESTRE</v>
      </c>
      <c r="GB96" s="22"/>
      <c r="GC96" s="22"/>
      <c r="GD96" s="29" t="str">
        <f t="shared" ca="1" si="443"/>
        <v>PIERDE TOMA DE TAMIZAJE</v>
      </c>
      <c r="GE96" s="22"/>
      <c r="GF96" s="22"/>
      <c r="GG96" s="29" t="str">
        <f t="shared" ca="1" si="444"/>
        <v>TOMA INMEDIATA DE TAMIZAJE</v>
      </c>
      <c r="GH96" s="22"/>
      <c r="GI96" s="29"/>
      <c r="GJ96" s="22"/>
      <c r="GK96" s="22"/>
      <c r="GL96" s="22"/>
      <c r="GM96" s="22"/>
      <c r="GN96" s="28" t="s">
        <v>869</v>
      </c>
      <c r="GO96" s="22">
        <v>44960</v>
      </c>
      <c r="GP96" s="29">
        <f t="shared" si="283"/>
        <v>14.442857142856935</v>
      </c>
      <c r="GQ96" s="28" t="s">
        <v>869</v>
      </c>
      <c r="GR96" s="28" t="s">
        <v>869</v>
      </c>
      <c r="GS96" s="22" t="str">
        <f t="shared" si="284"/>
        <v>CONTROL Igm</v>
      </c>
      <c r="GT96" s="22">
        <v>44960</v>
      </c>
      <c r="GU96" s="29">
        <f t="shared" si="285"/>
        <v>11.428571428571429</v>
      </c>
      <c r="GV96" s="21" t="str">
        <f t="shared" si="286"/>
        <v>I TRIM</v>
      </c>
      <c r="GW96" s="28" t="s">
        <v>869</v>
      </c>
      <c r="GX96" s="30"/>
      <c r="GY96" s="21"/>
      <c r="GZ96" s="21"/>
      <c r="HA96" s="21"/>
      <c r="HB96" s="21"/>
      <c r="HC96" s="21"/>
      <c r="HD96" s="21"/>
      <c r="HE96" s="21"/>
      <c r="HF96" s="22"/>
      <c r="HG96" s="22" t="str">
        <f>IF(OR(O96&gt;0,R96&gt;0),CONCATENATE(IF(Tabla1[[#This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6" s="22" t="e">
        <f t="shared" si="287"/>
        <v>#REF!</v>
      </c>
      <c r="HI96" s="22" t="e">
        <f t="shared" ca="1" si="288"/>
        <v>#REF!</v>
      </c>
      <c r="HJ96" s="21"/>
      <c r="HK96" s="21" t="str">
        <f t="shared" si="289"/>
        <v>SIN ANTECEDENTES DE RIESGO</v>
      </c>
      <c r="HL96" s="24" t="str">
        <f t="shared" si="290"/>
        <v>APARENTEMENTE NORMAL</v>
      </c>
      <c r="HM96" s="21" t="e">
        <f t="shared" ca="1" si="291"/>
        <v>#REF!</v>
      </c>
      <c r="HN96" s="30" t="str">
        <f t="shared" si="445"/>
        <v>ACTIVA INGRESO A CPN</v>
      </c>
      <c r="HO96" s="21"/>
      <c r="HP96" s="21"/>
      <c r="HQ96" s="21">
        <v>44957</v>
      </c>
      <c r="HR96" s="21" t="str">
        <f>IF(R96="","",IF(Tabla1[[#This Row],[ALARMA FACTORES DE RIESGO COMPLICACIONES HIPERTENSIVAS3]]="SIN ANTECEDENTES DE RIESGO","No Aplica para suministro de ASA",IF(AND(Tabla1[[#This Row],[FECHA INICIO DE SUMINISTRO DE ASA]]&gt;0,RV96&lt;12),"Inicia ASA ANTES de Sem 12",IF(AND(RV96&gt;11,RV96&lt;17,OR(HK96="RIESGO ALTO DE COMPLICACIONES HIPERTENSIVAS VER MANEJO GUIA SUMINISTRO ASA Y CALCIO",HK96="RIESGO MODERADO (2 O MAS CRITERIOS) VER MANEJO GUIA SUMINISTRO ASA Y CALCIO")),"Inicio oportuno de ASA",IF(AND(RV96&gt;12,OR(HK96="RIESGO ALTO DE COMPLICACIONES HIPERTENSIVAS VER MANEJO GUIA SUMINISTRO ASA Y CALCIO",HK96="RIESGO MODERADO (2 O MAS CRITERIOS) VER MANEJO GUIA SUMINISTRO ASA Y CALCIO")),"Inicio no oportuno mayor a 16 semanas",IF(AND(BU96&lt;12,OR(HK96="RIESGO ALTO DE COMPLICACIONES HIPERTENSIVAS VER MANEJO GUIA SUMINISTRO ASA Y CALCIO",HK96="RIESGO MODERADO (2 O MAS CRITERIOS) VER MANEJO GUIA SUMINISTRO ASA Y CALCIO")),"Pendiente Inicio de ASA a la semana 12",IF(AND(BU96&gt;11,BU96&lt;17,OR(HK96="RIESGO ALTO DE COMPLICACIONES HIPERTENSIVAS VER MANEJO GUIA SUMINISTRO ASA Y CALCIO",HK96="RIESGO MODERADO (2 O MAS CRITERIOS) VER MANEJO GUIA SUMINISTRO ASA Y CALCIO")),"Iniciar de inmediato ASA",IF(AND(BU96&gt;16,OR(HK96="RIESGO ALTO DE COMPLICACIONES HIPERTENSIVAS VER MANEJO GUIA SUMINISTRO ASA Y CALCIO",HK96="RIESGO MODERADO (2 O MAS CRITERIOS) VER MANEJO GUIA SUMINISTRO ASA Y CALCIO")),"Pierde Oportunidad, Inicio tardío de ASA","XXXXX"))))))))</f>
        <v>No Aplica para suministro de ASA</v>
      </c>
      <c r="HS96" s="22">
        <v>44957</v>
      </c>
      <c r="HT96" s="22" t="s">
        <v>870</v>
      </c>
      <c r="HU96" s="22">
        <v>44957</v>
      </c>
      <c r="HV96" s="22" t="s">
        <v>870</v>
      </c>
      <c r="HW96" s="22">
        <v>44957</v>
      </c>
      <c r="HX96" s="22" t="s">
        <v>870</v>
      </c>
      <c r="HY96" s="22">
        <v>44952</v>
      </c>
      <c r="HZ96" s="28">
        <f t="shared" si="292"/>
        <v>13.299999999999793</v>
      </c>
      <c r="IA96" s="26"/>
      <c r="IB96" s="26"/>
      <c r="IC96" s="111"/>
      <c r="ID96" s="22"/>
      <c r="IE96" s="22" t="str">
        <f t="shared" ca="1" si="293"/>
        <v/>
      </c>
      <c r="IF96" s="22"/>
      <c r="IG96" s="22">
        <f t="shared" si="294"/>
        <v>45138.9</v>
      </c>
      <c r="IH96" s="29">
        <f t="shared" ca="1" si="295"/>
        <v>-94.099999999998545</v>
      </c>
      <c r="II96" s="22" t="str">
        <f t="shared" ca="1" si="296"/>
        <v>POSIBLEMENTE NACIO</v>
      </c>
      <c r="IJ96" s="22"/>
      <c r="IK96" s="21"/>
      <c r="IL96" s="21"/>
      <c r="IM96" s="34"/>
      <c r="IN96" s="349"/>
      <c r="IO96" s="21"/>
      <c r="IP96" s="29" t="str">
        <f t="shared" si="435"/>
        <v/>
      </c>
      <c r="IQ96" s="110"/>
      <c r="IR96" s="21"/>
      <c r="IS96" s="21"/>
      <c r="IT96" s="21"/>
      <c r="IU96" s="21"/>
      <c r="IV96" s="21"/>
      <c r="IW96" s="21"/>
      <c r="IX96" s="21"/>
      <c r="IY96" s="21"/>
      <c r="IZ96" s="21"/>
      <c r="JA96" s="21"/>
      <c r="JB96" s="30"/>
      <c r="JC96" s="21"/>
      <c r="JD96" s="36"/>
      <c r="JE96" s="21" t="str">
        <f t="shared" si="446"/>
        <v/>
      </c>
      <c r="JF96" s="30"/>
      <c r="JG96" s="21"/>
      <c r="JH96" s="21"/>
      <c r="JI96" s="21"/>
      <c r="JJ96" s="30"/>
      <c r="JK96" s="22"/>
      <c r="JL96" s="22"/>
      <c r="JM96" s="21"/>
      <c r="JN96" s="36"/>
      <c r="JO96" s="21" t="str">
        <f t="shared" si="447"/>
        <v/>
      </c>
      <c r="JP96" s="22"/>
      <c r="JQ96" s="21"/>
      <c r="JR96" s="21"/>
      <c r="JS96" s="21"/>
      <c r="JT96" s="30"/>
      <c r="JU96" s="22"/>
      <c r="JV96" s="22"/>
      <c r="JW96" s="33"/>
      <c r="JX96" s="28" t="str">
        <f t="shared" si="448"/>
        <v/>
      </c>
      <c r="JY96" s="33"/>
      <c r="JZ96" s="28" t="str">
        <f t="shared" si="449"/>
        <v/>
      </c>
      <c r="KA96" s="21"/>
      <c r="KB96" s="21"/>
      <c r="KC96" s="21"/>
      <c r="KD96" s="37"/>
      <c r="KE96" s="28"/>
      <c r="KF96" s="28"/>
      <c r="KG96" s="28"/>
      <c r="KH96" s="39"/>
      <c r="KI96" s="39"/>
      <c r="KJ96" s="66"/>
      <c r="KK96" s="39"/>
      <c r="KL96" s="39"/>
      <c r="KM96" s="66"/>
      <c r="KN96" s="39"/>
      <c r="KO96" s="39"/>
      <c r="KP96" s="39"/>
      <c r="KQ96" s="39"/>
      <c r="KR96" s="39"/>
      <c r="KS96" s="39"/>
      <c r="KT96" s="39"/>
      <c r="KU96" s="38"/>
      <c r="KV96" s="38"/>
      <c r="KW96" s="38"/>
      <c r="KX96" s="38"/>
      <c r="KY96" s="38"/>
      <c r="KZ96" s="38"/>
      <c r="LA96" s="38"/>
      <c r="LB96" s="38"/>
      <c r="LC96" s="38"/>
      <c r="LD96" s="38"/>
      <c r="LE96" s="38"/>
      <c r="LF96" s="38"/>
      <c r="LG96" s="38"/>
      <c r="LH96" s="38"/>
      <c r="LI96" s="38"/>
      <c r="LJ96" s="38"/>
      <c r="LK96" s="38"/>
      <c r="LL96" s="38"/>
      <c r="LM96" s="38"/>
      <c r="LN96" s="38"/>
      <c r="LO96" s="38"/>
      <c r="LP96" s="38"/>
      <c r="LQ96" s="38"/>
      <c r="LR96" s="38"/>
      <c r="LS96" s="38"/>
      <c r="LT96" s="38"/>
      <c r="LU96" s="38"/>
      <c r="LV96" s="38"/>
      <c r="LW96" s="38"/>
      <c r="LX96" s="38"/>
      <c r="LY96" s="38"/>
      <c r="LZ96" s="38"/>
      <c r="MA96" s="38"/>
      <c r="MB96" s="38"/>
      <c r="MC96" s="38"/>
      <c r="MD96" s="38"/>
      <c r="ME96" s="38"/>
      <c r="MF96" s="38"/>
      <c r="MG96" s="38"/>
      <c r="MH96" s="43">
        <f t="shared" si="302"/>
        <v>0</v>
      </c>
      <c r="MI96" s="43" t="str">
        <f t="shared" si="303"/>
        <v/>
      </c>
      <c r="MJ96" s="43" t="str">
        <f t="shared" si="304"/>
        <v/>
      </c>
      <c r="MK96" s="43">
        <f t="shared" si="305"/>
        <v>0</v>
      </c>
      <c r="ML9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6" s="43">
        <f t="shared" si="306"/>
        <v>14.014285714285506</v>
      </c>
      <c r="MN96" s="43">
        <f t="shared" si="307"/>
        <v>1</v>
      </c>
      <c r="MO96" s="43">
        <f t="shared" si="308"/>
        <v>2023</v>
      </c>
      <c r="MP96" s="43" t="str">
        <f t="shared" si="309"/>
        <v>I TRIMESTRE AÑO</v>
      </c>
      <c r="MQ96" s="43">
        <f t="shared" si="310"/>
        <v>15.722185720543145</v>
      </c>
      <c r="MR96" s="43">
        <f t="shared" si="311"/>
        <v>1</v>
      </c>
      <c r="MS96" s="43" t="str">
        <f t="shared" si="312"/>
        <v>DE 14 A 19AÑOS</v>
      </c>
      <c r="MT96" s="43">
        <f t="shared" si="313"/>
        <v>0</v>
      </c>
      <c r="MU96" s="43">
        <f t="shared" si="314"/>
        <v>1</v>
      </c>
      <c r="MV96" s="43">
        <f t="shared" si="315"/>
        <v>0</v>
      </c>
      <c r="MW96" s="43">
        <f t="shared" si="316"/>
        <v>0</v>
      </c>
      <c r="MX96" s="43" t="str">
        <f t="shared" si="317"/>
        <v/>
      </c>
      <c r="MY96" s="43" t="str">
        <f t="shared" ca="1" si="450"/>
        <v/>
      </c>
      <c r="MZ96" s="43" t="str">
        <f t="shared" si="318"/>
        <v/>
      </c>
      <c r="NA96" s="43" t="str">
        <f t="shared" si="319"/>
        <v/>
      </c>
      <c r="NB96" s="43" t="str">
        <f t="shared" si="320"/>
        <v/>
      </c>
      <c r="NC96" s="43" t="str">
        <f t="shared" si="321"/>
        <v/>
      </c>
      <c r="ND96" s="43">
        <f t="shared" ca="1" si="322"/>
        <v>2</v>
      </c>
      <c r="NE96" s="43">
        <f>IF(OR(O96&gt;0,R96&gt;0),SUM(COUNTIF(Tabla1[[#This Row],[AÑOS AL INICIO5 CPN]],"&gt;=40"),COUNTIF(AS96,"0"),COUNTIF(AR96,"SI"),COUNTIF(CC96,"SI"),COUNTIF(BQ96,"&gt;119"),COUNTIF(CI96,"&gt;=35")),"")</f>
        <v>0</v>
      </c>
      <c r="NF96" s="43" t="str">
        <f t="shared" si="323"/>
        <v/>
      </c>
      <c r="NG96" s="43">
        <f t="shared" si="324"/>
        <v>0</v>
      </c>
      <c r="NH96" s="43">
        <f t="shared" si="325"/>
        <v>107.10000000000001</v>
      </c>
      <c r="NI9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CPN",P96="NO"),"Z",IF(AND(Tabla1[[#This Row],[CITA PROXIMO CONTROL]]="CITA MANUAL",Tabla1[[#This Row],[GESTANTES ACTUALES]]="ACTIVA INGRESO A CPN"),"W",IF(AND(Tabla1[[#This Row],[GESTANTES ACTUALES]]="SALIO PROGRAMA",IN96=""),"S",IF(AND(Tabla1[[#This Row],[CITA PROXIMO CONTROL]]&gt;0,IN96=""),(Tabla1[[#This Row],[CITA PROXIMO CONTROL]]-TODAY()),"SD"))))))))</f>
        <v>#REF!</v>
      </c>
      <c r="NJ96" s="43">
        <f>MONTH(Tabla1[[#This Row],[FECHA DE SALIDA  DEL PROGRAMA]])</f>
        <v>1</v>
      </c>
      <c r="NK96" s="43">
        <f>YEAR(Tabla1[[#This Row],[FECHA DE SALIDA  DEL PROGRAMA]])</f>
        <v>1900</v>
      </c>
      <c r="NL96" s="43">
        <f t="shared" si="326"/>
        <v>31</v>
      </c>
      <c r="NM96" s="43" t="str">
        <f t="shared" ref="NM96:NM127" si="455">IF(AND(O96&gt;0,R96=""),"NO CPN",IF(AND(O96="",R96=""),"",IF(AND(EN96&lt;&gt;"",EX96&lt;&gt;"",FB96&lt;&gt;"",FK96&lt;&gt;"",FW96&lt;&gt;"",FZ96&lt;&gt;"",GO96&lt;&gt;"",GQ96&lt;&gt;"",GR96&lt;&gt;""),"SI","NO")))</f>
        <v>NO</v>
      </c>
      <c r="NN96" s="43" t="str">
        <f ca="1">IF(AND(O96&gt;0,R96=""),"NO CPN",IF(AND(O96="",R96=""),"",IF(AND(R96&gt;0,Tabla1[[#This Row],[SEMANAS DE GESTACION ACTUALIZADAS]]&lt;=12),"NO APLICA",IF(AND(FH96&lt;&gt;"",FN96&lt;&gt;""),"SI","NO"))))</f>
        <v>NO</v>
      </c>
      <c r="NO96" s="43" t="str">
        <f ca="1">IF(AND(O96&gt;0,R96=""),"NO CPN",IF(AND(O96="",R96=""),"",IF(AND(R96&gt;0,Tabla1[[#This Row],[SEMANAS DE GESTACION ACTUALIZADAS]]&lt;=27),"NO APLICA",IF(AND(ES96&lt;&gt;"",FQ96&lt;&gt;"",GF96&lt;&gt;""),"SI","NO"))))</f>
        <v>NO</v>
      </c>
      <c r="NP96" s="204" t="str">
        <f t="shared" si="327"/>
        <v>II TRIM</v>
      </c>
      <c r="NQ96" s="21">
        <f t="shared" si="436"/>
        <v>1</v>
      </c>
      <c r="NR96" s="21" t="str">
        <f t="shared" ca="1" si="451"/>
        <v>REVISAR FUM O FECHA SALIDA PROGRAMA</v>
      </c>
      <c r="NS96" s="205">
        <f t="shared" ca="1" si="328"/>
        <v>0</v>
      </c>
      <c r="NT96" s="21">
        <f t="shared" ca="1" si="329"/>
        <v>0</v>
      </c>
      <c r="NU96" s="21" t="str">
        <f t="shared" ca="1" si="330"/>
        <v>POR DEFINIR</v>
      </c>
      <c r="NV96" s="21" t="str">
        <f t="shared" ca="1" si="331"/>
        <v>POR DEFINIR</v>
      </c>
      <c r="NW96" s="206" t="str">
        <f>IF(AND(O96="",R96=""),"",IF(OR(AND(Tabla1[[#This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96" s="207" t="str">
        <f t="shared" ca="1" si="332"/>
        <v>SIN VACUNAR</v>
      </c>
      <c r="NY96" s="43">
        <f>ROW(Tabla1[[#This Row],['# DE TAMIZAJES SIFILIS TOMADOS ]])</f>
        <v>96</v>
      </c>
      <c r="NZ96" s="43">
        <f t="shared" si="333"/>
        <v>14</v>
      </c>
      <c r="OA96" s="43" t="str">
        <f t="shared" si="334"/>
        <v/>
      </c>
      <c r="OB96" s="43" t="str">
        <f t="shared" si="335"/>
        <v/>
      </c>
      <c r="OC96" s="43" t="str">
        <f t="shared" si="336"/>
        <v/>
      </c>
      <c r="OD96" s="43" t="str">
        <f t="shared" si="337"/>
        <v/>
      </c>
      <c r="OE96" s="43" t="str">
        <f t="shared" si="338"/>
        <v/>
      </c>
      <c r="OF96" s="43" t="str">
        <f t="shared" si="339"/>
        <v>BAJO PESO</v>
      </c>
      <c r="OG96" s="43" t="str">
        <f t="shared" si="340"/>
        <v/>
      </c>
      <c r="OH96" s="43" t="str">
        <f t="shared" si="341"/>
        <v/>
      </c>
      <c r="OI96" s="43" t="str">
        <f t="shared" si="342"/>
        <v/>
      </c>
      <c r="OJ96" s="43" t="str">
        <f t="shared" si="343"/>
        <v/>
      </c>
      <c r="OK96" s="43" t="str">
        <f t="shared" si="344"/>
        <v/>
      </c>
      <c r="OL96" s="43" t="str">
        <f t="shared" si="345"/>
        <v/>
      </c>
      <c r="OM96" s="43" t="str">
        <f t="shared" si="346"/>
        <v/>
      </c>
      <c r="ON96" s="43" t="str">
        <f t="shared" si="347"/>
        <v/>
      </c>
      <c r="OO96" s="43" t="str">
        <f t="shared" si="348"/>
        <v/>
      </c>
      <c r="OP96" s="43" t="str">
        <f t="shared" si="349"/>
        <v/>
      </c>
      <c r="OQ96" s="43" t="str">
        <f t="shared" si="350"/>
        <v/>
      </c>
      <c r="OR96" s="43" t="str">
        <f t="shared" si="351"/>
        <v/>
      </c>
      <c r="OS96" s="43" t="str">
        <f t="shared" si="352"/>
        <v/>
      </c>
      <c r="OT96" s="43" t="str">
        <f t="shared" si="353"/>
        <v/>
      </c>
      <c r="OU96" s="43" t="str">
        <f t="shared" si="354"/>
        <v/>
      </c>
      <c r="OV96" s="110" t="str">
        <f t="shared" si="355"/>
        <v/>
      </c>
      <c r="OW96" s="43" t="str">
        <f t="shared" si="356"/>
        <v/>
      </c>
      <c r="OX96" s="43" t="str">
        <f t="shared" si="357"/>
        <v/>
      </c>
      <c r="OY96" s="43" t="str">
        <f t="shared" si="358"/>
        <v/>
      </c>
      <c r="OZ96" s="43" t="str">
        <f t="shared" si="359"/>
        <v/>
      </c>
      <c r="PA96" s="43" t="str">
        <f t="shared" si="360"/>
        <v/>
      </c>
      <c r="PB96" s="43" t="str">
        <f t="shared" si="361"/>
        <v/>
      </c>
      <c r="PC96" s="43" t="str">
        <f t="shared" si="362"/>
        <v/>
      </c>
      <c r="PD96" s="43" t="str">
        <f t="shared" si="363"/>
        <v/>
      </c>
      <c r="PE96" s="43" t="str">
        <f t="shared" si="364"/>
        <v/>
      </c>
      <c r="PF96" s="43" t="str">
        <f t="shared" si="365"/>
        <v/>
      </c>
      <c r="PG96" s="43" t="str">
        <f t="shared" si="366"/>
        <v/>
      </c>
      <c r="PH96" s="43" t="str">
        <f t="shared" si="367"/>
        <v/>
      </c>
      <c r="PI96" s="43">
        <f t="shared" si="368"/>
        <v>30</v>
      </c>
      <c r="PJ96" s="43" t="str">
        <f t="shared" si="369"/>
        <v/>
      </c>
      <c r="PK96" s="43" t="str">
        <f t="shared" si="370"/>
        <v/>
      </c>
      <c r="PL96" s="43" t="str">
        <f t="shared" si="371"/>
        <v/>
      </c>
      <c r="PM96" s="43" t="str">
        <f t="shared" si="372"/>
        <v/>
      </c>
      <c r="PN96" s="43" t="str">
        <f t="shared" si="373"/>
        <v/>
      </c>
      <c r="PO96" s="43" t="str">
        <f t="shared" si="374"/>
        <v/>
      </c>
      <c r="PP96" s="43" t="str">
        <f t="shared" si="375"/>
        <v/>
      </c>
      <c r="PQ96" s="43" t="str">
        <f t="shared" si="376"/>
        <v/>
      </c>
      <c r="PR96" s="43" t="str">
        <f t="shared" si="377"/>
        <v/>
      </c>
      <c r="PS96" s="43" t="str">
        <f t="shared" si="378"/>
        <v/>
      </c>
      <c r="PT96" s="43" t="str">
        <f t="shared" si="379"/>
        <v/>
      </c>
      <c r="PU96" s="43" t="str">
        <f t="shared" si="380"/>
        <v/>
      </c>
      <c r="PV96" s="43" t="str">
        <f t="shared" si="381"/>
        <v/>
      </c>
      <c r="PW96" s="43" t="str">
        <f t="shared" si="382"/>
        <v/>
      </c>
      <c r="PX96" s="43" t="str">
        <f t="shared" si="383"/>
        <v/>
      </c>
      <c r="PY96" s="43" t="str">
        <f t="shared" si="384"/>
        <v/>
      </c>
      <c r="PZ96" s="43" t="str">
        <f t="shared" si="385"/>
        <v/>
      </c>
      <c r="QA96" s="43" t="str">
        <f t="shared" si="386"/>
        <v/>
      </c>
      <c r="QB96" s="43" t="str">
        <f t="shared" si="387"/>
        <v/>
      </c>
      <c r="QC96" s="43" t="str">
        <f t="shared" si="388"/>
        <v/>
      </c>
      <c r="QD96" s="43" t="str">
        <f t="shared" si="389"/>
        <v/>
      </c>
      <c r="QE96" s="43" t="str">
        <f t="shared" si="390"/>
        <v>BAJO PESO</v>
      </c>
      <c r="QF96" s="43" t="str">
        <f t="shared" si="391"/>
        <v/>
      </c>
      <c r="QG96" s="43" t="str">
        <f t="shared" si="392"/>
        <v/>
      </c>
      <c r="QH96" s="43" t="str">
        <f t="shared" si="393"/>
        <v/>
      </c>
      <c r="QI96" s="43" t="str">
        <f t="shared" si="394"/>
        <v/>
      </c>
      <c r="QJ96" s="43" t="str">
        <f t="shared" si="395"/>
        <v/>
      </c>
      <c r="QK96" s="43" t="str">
        <f t="shared" si="396"/>
        <v/>
      </c>
      <c r="QL96" s="43" t="str">
        <f t="shared" si="397"/>
        <v/>
      </c>
      <c r="QM96" s="43" t="str">
        <f t="shared" si="398"/>
        <v/>
      </c>
      <c r="QN96" s="43" t="str">
        <f t="shared" si="399"/>
        <v/>
      </c>
      <c r="QO96" s="43" t="str">
        <f t="shared" si="400"/>
        <v/>
      </c>
      <c r="QP96" s="43" t="str">
        <f t="shared" si="401"/>
        <v/>
      </c>
      <c r="QQ96" s="43" t="str">
        <f t="shared" si="402"/>
        <v/>
      </c>
      <c r="QR96" s="43">
        <f t="shared" si="432"/>
        <v>30</v>
      </c>
      <c r="QS96" s="43"/>
      <c r="QT96" s="21" t="str">
        <f t="shared" si="403"/>
        <v/>
      </c>
      <c r="QU96" s="21" t="str">
        <f t="shared" si="404"/>
        <v/>
      </c>
      <c r="QV96" s="21" t="str">
        <f t="shared" si="405"/>
        <v/>
      </c>
      <c r="QW96" s="21" t="str">
        <f t="shared" si="406"/>
        <v/>
      </c>
      <c r="QX96" s="21" t="str">
        <f t="shared" si="407"/>
        <v/>
      </c>
      <c r="QY96" s="21" t="str">
        <f t="shared" si="408"/>
        <v/>
      </c>
      <c r="QZ96" s="21" t="str">
        <f t="shared" si="409"/>
        <v/>
      </c>
      <c r="RA96" s="21" t="str">
        <f t="shared" si="410"/>
        <v/>
      </c>
      <c r="RB96" s="21" t="str">
        <f t="shared" si="411"/>
        <v/>
      </c>
      <c r="RC96" s="21" t="str">
        <f t="shared" si="412"/>
        <v/>
      </c>
      <c r="RD96" s="21" t="str">
        <f t="shared" si="413"/>
        <v/>
      </c>
      <c r="RE96" s="21" t="str">
        <f t="shared" si="414"/>
        <v/>
      </c>
      <c r="RF96" s="21" t="str">
        <f t="shared" si="415"/>
        <v/>
      </c>
      <c r="RG96" s="21" t="str">
        <f t="shared" si="416"/>
        <v/>
      </c>
      <c r="RH96" s="21" t="str">
        <f t="shared" si="417"/>
        <v/>
      </c>
      <c r="RI96" s="21" t="str">
        <f t="shared" si="418"/>
        <v/>
      </c>
      <c r="RJ96" s="21" t="str">
        <f t="shared" si="419"/>
        <v/>
      </c>
      <c r="RK96" s="21" t="str">
        <f t="shared" si="420"/>
        <v>ADECUADO PARA EDAD GESTACIONAL</v>
      </c>
      <c r="RL96" s="21" t="str">
        <f t="shared" si="421"/>
        <v/>
      </c>
      <c r="RM96" s="21" t="str">
        <f t="shared" si="422"/>
        <v/>
      </c>
      <c r="RN96" s="21" t="str">
        <f t="shared" si="423"/>
        <v/>
      </c>
      <c r="RO96" s="21" t="str">
        <f t="shared" si="424"/>
        <v/>
      </c>
      <c r="RP96" s="21" t="str">
        <f t="shared" si="425"/>
        <v/>
      </c>
      <c r="RQ96" s="21" t="str">
        <f t="shared" si="426"/>
        <v/>
      </c>
      <c r="RR96" s="21" t="str">
        <f t="shared" si="427"/>
        <v/>
      </c>
      <c r="RS96" s="21" t="str">
        <f t="shared" si="428"/>
        <v/>
      </c>
      <c r="RT96" s="21" t="str">
        <f t="shared" si="429"/>
        <v/>
      </c>
      <c r="RU96" s="21" t="str">
        <f t="shared" si="430"/>
        <v/>
      </c>
      <c r="RV96" s="21">
        <f t="shared" si="431"/>
        <v>14.014285714285506</v>
      </c>
      <c r="RW96" s="284">
        <f>IF(OR(Tabla1[[#This Row],[FUM FORMULA CONFIABLE]]="",Tabla1[[#This Row],[FUM FORMULA CONFIABLE]]="SD"),"",IF(Tabla1[[#This Row],[FUM FORMULA CONFIABLE]]="CORREGIDA",Tabla1[[#This Row],[FUM X ECO 1]],Tabla1[[#This Row],[FUM x AMENORREA]]))</f>
        <v>44858.9</v>
      </c>
      <c r="RX96" s="21">
        <f>IF(AND(Tabla1[[#This Row],[FUM X ECO 1]]="",Tabla1[[#This Row],[FUM x AMENORREA]]=""),"",IF(AND(Tabla1[[#This Row],[FUM X ECO 1]]="",Tabla1[[#This Row],[FUM x AMENORREA]]&lt;&gt;""),"X",SUM(Tabla1[[#This Row],[FUM X ECO 1]]-Tabla1[[#This Row],[FUM x AMENORREA]])))</f>
        <v>-21.099999999998545</v>
      </c>
      <c r="RY96" s="21">
        <f t="shared" si="433"/>
        <v>1</v>
      </c>
    </row>
    <row r="97" spans="1:493" ht="45" customHeight="1" x14ac:dyDescent="0.25">
      <c r="A97" s="109"/>
      <c r="B97" s="43"/>
      <c r="C97" s="43" t="s">
        <v>845</v>
      </c>
      <c r="D97" s="124" t="s">
        <v>846</v>
      </c>
      <c r="E97" s="43" t="s">
        <v>884</v>
      </c>
      <c r="F97" s="43"/>
      <c r="G97" s="43" t="s">
        <v>1293</v>
      </c>
      <c r="H97" s="43" t="s">
        <v>1294</v>
      </c>
      <c r="I97" s="109" t="s">
        <v>1094</v>
      </c>
      <c r="J97" s="110">
        <v>1059597528</v>
      </c>
      <c r="K97" s="43"/>
      <c r="L97" s="175" t="s">
        <v>1509</v>
      </c>
      <c r="M97" s="22">
        <v>39066</v>
      </c>
      <c r="N97" s="213">
        <f t="shared" ca="1" si="252"/>
        <v>16.895890410958906</v>
      </c>
      <c r="O97" s="22">
        <v>44957</v>
      </c>
      <c r="P97" s="214" t="str">
        <f t="shared" si="437"/>
        <v>SI</v>
      </c>
      <c r="Q97" s="26" t="s">
        <v>855</v>
      </c>
      <c r="R97" s="22">
        <v>44957</v>
      </c>
      <c r="S97" s="21" t="s">
        <v>856</v>
      </c>
      <c r="T97" s="24" t="s">
        <v>690</v>
      </c>
      <c r="U97" s="21" t="s">
        <v>857</v>
      </c>
      <c r="V97" s="21" t="s">
        <v>858</v>
      </c>
      <c r="W97" s="21" t="s">
        <v>1200</v>
      </c>
      <c r="X97" s="21" t="s">
        <v>1200</v>
      </c>
      <c r="Y97" s="21" t="s">
        <v>859</v>
      </c>
      <c r="Z97" s="21">
        <v>3147913407</v>
      </c>
      <c r="AA97" s="21" t="s">
        <v>860</v>
      </c>
      <c r="AB97" s="27" t="s">
        <v>861</v>
      </c>
      <c r="AC97" s="26" t="s">
        <v>897</v>
      </c>
      <c r="AD97" s="38" t="s">
        <v>846</v>
      </c>
      <c r="AE97" s="26" t="s">
        <v>854</v>
      </c>
      <c r="AF97" s="26" t="s">
        <v>854</v>
      </c>
      <c r="AG97" s="23" t="s">
        <v>864</v>
      </c>
      <c r="AH97" s="23" t="s">
        <v>864</v>
      </c>
      <c r="AI97" s="24" t="s">
        <v>863</v>
      </c>
      <c r="AJ97" s="23" t="s">
        <v>864</v>
      </c>
      <c r="AK97" s="220" t="str">
        <f>IF(AND(AD97="",AE97="",AF97="",AG97="",AH97="",AI97="",AJ97=""),"",IF(OR(Tabla1[[#This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EVALUACIÓN",IF(AND(O97="",R97=""),"",IF(AND(OR(O97&gt;0,R97&gt;0),NG97&gt;=0,NG97&lt;2),"SIN RIESGO",IF(AND(OR(O97&gt;0,R97&gt;0),NG97&gt;=2),"CON RIESGO","ASD")))))</f>
        <v>SIN RIESGO</v>
      </c>
      <c r="AL97" s="23" t="s">
        <v>864</v>
      </c>
      <c r="AM97" s="26" t="s">
        <v>864</v>
      </c>
      <c r="AN97" s="26" t="s">
        <v>864</v>
      </c>
      <c r="AO97" s="26" t="s">
        <v>864</v>
      </c>
      <c r="AP97" s="26" t="s">
        <v>864</v>
      </c>
      <c r="AQ97" s="26" t="s">
        <v>864</v>
      </c>
      <c r="AR97" s="26" t="s">
        <v>864</v>
      </c>
      <c r="AS97" s="21">
        <v>1</v>
      </c>
      <c r="AT97" s="21">
        <v>0</v>
      </c>
      <c r="AU97" s="21">
        <v>0</v>
      </c>
      <c r="AV97" s="26" t="s">
        <v>864</v>
      </c>
      <c r="AW97" s="21">
        <v>0</v>
      </c>
      <c r="AX97" s="26" t="s">
        <v>864</v>
      </c>
      <c r="AY97" s="26" t="s">
        <v>864</v>
      </c>
      <c r="AZ97" s="26" t="s">
        <v>864</v>
      </c>
      <c r="BA97" s="26" t="s">
        <v>864</v>
      </c>
      <c r="BB97" s="26" t="s">
        <v>864</v>
      </c>
      <c r="BC97" s="26" t="s">
        <v>864</v>
      </c>
      <c r="BD97" s="26" t="s">
        <v>864</v>
      </c>
      <c r="BE97" s="26" t="s">
        <v>864</v>
      </c>
      <c r="BF97" s="26" t="s">
        <v>864</v>
      </c>
      <c r="BG97" s="26" t="s">
        <v>864</v>
      </c>
      <c r="BH97" s="26" t="s">
        <v>864</v>
      </c>
      <c r="BI97" s="26" t="s">
        <v>864</v>
      </c>
      <c r="BJ97" s="26"/>
      <c r="BK97" s="26"/>
      <c r="BL97" s="26" t="s">
        <v>864</v>
      </c>
      <c r="BM97" s="26" t="s">
        <v>864</v>
      </c>
      <c r="BN97" s="22"/>
      <c r="BO97" s="22">
        <v>44819</v>
      </c>
      <c r="BP97" s="21" t="s">
        <v>854</v>
      </c>
      <c r="BQ97" s="222">
        <f t="shared" si="254"/>
        <v>0</v>
      </c>
      <c r="BR97" s="223">
        <f t="shared" si="255"/>
        <v>44819.3</v>
      </c>
      <c r="BS97" s="224">
        <f t="shared" si="256"/>
        <v>19.714285714285715</v>
      </c>
      <c r="BT97" s="216" t="str">
        <f t="shared" si="257"/>
        <v>II TRIM</v>
      </c>
      <c r="BU97" s="214" t="str">
        <f t="shared" ca="1" si="258"/>
        <v/>
      </c>
      <c r="BV97" s="25"/>
      <c r="BW97" s="22">
        <v>44960</v>
      </c>
      <c r="BX97" s="28">
        <v>20.100000000000001</v>
      </c>
      <c r="BY97" s="28"/>
      <c r="BZ97" s="22">
        <v>44995</v>
      </c>
      <c r="CA97" s="21">
        <v>24.5</v>
      </c>
      <c r="CB97" s="26" t="s">
        <v>864</v>
      </c>
      <c r="CC97" s="26" t="s">
        <v>864</v>
      </c>
      <c r="CD97" s="26" t="s">
        <v>878</v>
      </c>
      <c r="CE97" s="26" t="s">
        <v>864</v>
      </c>
      <c r="CF97" s="22" t="s">
        <v>1517</v>
      </c>
      <c r="CG97" s="21">
        <v>1.58</v>
      </c>
      <c r="CH97" s="21">
        <v>56</v>
      </c>
      <c r="CI97" s="214">
        <f t="shared" si="259"/>
        <v>22.432302515622492</v>
      </c>
      <c r="CJ97" s="225" t="e">
        <f>IF(AND(CI97&lt;10,CH97="SD"),"SIN DATO PESO PREGESTACION O I TRIM",IF(AND(OR(R97&gt;0,O97&gt;0),CI97="X"),"INGRESAR DATO DE PESO",IF(CI97="SD","INGRESAR DATO DE TALLA Y PESO",IF(AND(OR(Tabla1[[#This Row],[MOMENTO EN QUE SE REALIZA EL PESO AL INGRESO A CPN]]="PREGESTACIÓN",NZ97="Menor"),CI97&lt;18.5),"BAJO PESO",IF(AND(OR(Tabla1[[#This Row],[MOMENTO EN QUE SE REALIZA EL PESO AL INGRESO A CPN]]="PREGESTACIÓN",NZ97="Menor"),CI97&lt;25),"NORMAL",IF(AND(OR(Tabla1[[#This Row],[MOMENTO EN QUE SE REALIZA EL PESO AL INGRESO A CPN]]="PREGESTACIÓN",NZ97="Menor"),CI97&lt;30),"SOBREPESO",IF(AND(OR(Tabla1[[#This Row],[MOMENTO EN QUE SE REALIZA EL PESO AL INGRESO A CPN]]="PREGESTACIÓN",NZ97="Menor"),CI97&gt;=30,CI97&lt;50),"OBESIDAD",IF(AND(BS97&gt;0,Tabla1[[#This Row],[MOMENTO EN QUE SE REALIZA EL PESO AL INGRESO A CPN]]="GESTACIÓN"),HLOOKUP(NZ97,$OA$2:PH97,NY97),""))))))))</f>
        <v>#REF!</v>
      </c>
      <c r="CK97" s="212">
        <f t="shared" si="260"/>
        <v>45072</v>
      </c>
      <c r="CL97" s="21">
        <v>59.9</v>
      </c>
      <c r="CM97" s="214">
        <f t="shared" si="261"/>
        <v>23.994552155103346</v>
      </c>
      <c r="CN97" s="216">
        <f t="shared" si="262"/>
        <v>36</v>
      </c>
      <c r="CO97" s="216" t="e">
        <f>IF(PI97="","",IF(PI97&gt;0,HLOOKUP(PI97,$PJ$2:QQ97,NY97),""))</f>
        <v>#REF!</v>
      </c>
      <c r="CP97" s="21">
        <v>31</v>
      </c>
      <c r="CQ97" s="216" t="e">
        <f>IF(QR97="Menor","NO APLICA-MENOR 13 SEM",IF(AND(CC97="SI",CN97&gt;23),"NO APLICA- GEMELAR",IF(QR97="","",IF(QR97&gt;0,HLOOKUP(QR97,$QS$2:RU97,NY97),""))))</f>
        <v>#REF!</v>
      </c>
      <c r="CR97" s="21"/>
      <c r="CS97" s="21"/>
      <c r="CT97" s="217" t="str">
        <f>IF(R97="","",IF(AND(BS97&gt;1,BS97&lt;12,Tabla1[[#This Row],[T.A. SISTOLICA - ANTES DE SEMANA 12]]="",Tabla1[[#This Row],[T.A. DIASTOLICA - ANTES DE SEMANA 12]]=""),"REGISTRE DATO TA ANTES SEMANA 12",IF(AND(BS97&gt;11,BS97&lt;43,Tabla1[[#This Row],[T.A. SISTOLICA - ANTES DE SEMANA 12]]="",Tabla1[[#This Row],[T.A. DIASTOLICA - ANTES DE SEMANA 12]]=""),"NO APLICA REGISTRO TA-INGRESO TARDIO",IF(AND(OR(O97&gt;0,R97&gt;0),OR(CR97&gt;=140,CS97&gt;=90)),"DEFINIR ESTADIO HTA",IF(AND(OR(O97&gt;0,R97&gt;0),AND(CR97&gt;120,CR97&lt;=139)),"PRE HTA SEGUIMIENTO",IF(AND(OR(O97&gt;0,R97&gt;0),AND(CS97&gt;80,CS97&lt;=89)),"PRE HTA SEGUIMIENTO",IF(AND(OR(O97&gt;0,R97&gt;0),AND(CR97&gt;=80,CR97&lt;=120)),"APARENTEMENTE NORMAL",IF(AND(OR(O97&gt;0,R97&gt;0),AND(CS97&gt;=50,CS97&lt;=80)),"APARENTEMENTE NORMAL",IF(AND(OR(O97&gt;0,R97&gt;0),AND(CR97&gt;1,CR97&lt;=70),AND(CS97&gt;1,CS97&lt;=40)),"HIPOTENSIÓN","")))))))))</f>
        <v>NO APLICA REGISTRO TA-INGRESO TARDIO</v>
      </c>
      <c r="CU97" s="21"/>
      <c r="CV97" s="21"/>
      <c r="CW97" s="217" t="str">
        <f ca="1">IF(R97="","",IF(AND(CN97&gt;19,CN97&lt;27,Tabla1[[#This Row],[T.A. SISTOLICA (Entre semana 20 y 26)]]="",Tabla1[[#This Row],[T.A. DIATOLICA (Entre semana 20 y 26)]]=""),"ACUDE A CONTROL SEM 20 A 26 REGISTRE TA AHORA",IF(AND(BS97&gt;1,BS97&lt;27,BU97&gt;19,Tabla1[[#This Row],[T.A. SISTOLICA (Entre semana 20 y 26)]]="",Tabla1[[#This Row],[T.A. DIATOLICA (Entre semana 20 y 26)]]=""),"COMPLETE REGISTRO TA CONTROL SEM 20 A26 ",IF(AND(BS97&gt;26,BS97&lt;43,Tabla1[[#This Row],[T.A. SISTOLICA (Entre semana 20 y 26)]]="",Tabla1[[#This Row],[T.A. DIATOLICA (Entre semana 20 y 26)]]=""),"NO APLICA REGISTRO TA-INGRESO TARDIO",IF(AND(OR(O97&gt;0,R97&gt;0),OR(CU97&gt;=140,CV97&gt;=90)),"ALTO RIESGO PREECLAMPSIA,DEFINIR ESTADIO HTA",IF(AND(OR(O97&gt;0,R97&gt;0),AND(CU97&gt;120,CU97&lt;=139)),"PRE HTA SEGUIMIENTO,RIESGO HIPERTENSION INDUCIDA POR EL EMBARAZO",IF(AND(OR(O97&gt;0,R97&gt;0),AND(CV97&gt;80,CV97&lt;=89)),"PRE HTA SEGUIMIENTO, RIESGO HIPERTENSION INDUCIDA POR EL EMBARAZO",IF(AND(OR(O97&lt;&gt;"",R97&lt;&gt;""),CS97&lt;&gt;"",CV97&lt;&gt;"",CS97&lt;=CV97),"VIGILAR CIFRAS PRESION ARTERIAL",IF(AND(OR(O97&gt;0,R97&gt;0),AND(CU97&gt;120,CU97&lt;=139)),"PRE HTA SEGUIMIENTO",IF(AND(OR(O97&gt;0,R97&gt;0),AND(CU97&gt;1,CU97&lt;=70),AND(CV97&gt;1,CV97&lt;=40)),"HIPOTENSIÓN",IF(AND(OR(O97&lt;&gt;"",R97&lt;&gt;""),CS97&lt;&gt;"",CV97&lt;&gt;"",CS97&gt;CV97),"APARENTEMENTE NORMAL",IF(AND(OR(O97&gt;0,R97&gt;0),AND(CU97&gt;=80,CU97&lt;=120)),"APARENTEMENTE NORMAL",IF(AND(OR(O97&gt;0,R97&gt;0),AND(CV97&gt;=50,CV97&lt;=80)),"APARENTEMENTE NORMAL","")))))))))))))</f>
        <v xml:space="preserve">COMPLETE REGISTRO TA CONTROL SEM 20 A26 </v>
      </c>
      <c r="CX97" s="21">
        <v>90</v>
      </c>
      <c r="CY97" s="21">
        <v>60</v>
      </c>
      <c r="CZ97" s="216" t="str">
        <f t="shared" si="263"/>
        <v>APARENTEMENTE NORMAL</v>
      </c>
      <c r="DA97" s="21">
        <v>90</v>
      </c>
      <c r="DB97" s="21">
        <v>60</v>
      </c>
      <c r="DC97" s="217" t="str">
        <f t="shared" si="264"/>
        <v>APARENTEMENTE NORMAL</v>
      </c>
      <c r="DD97" s="22">
        <v>44957</v>
      </c>
      <c r="DE97" s="22">
        <v>44957</v>
      </c>
      <c r="DF97" s="22">
        <v>44994</v>
      </c>
      <c r="DG97" s="22">
        <v>45029</v>
      </c>
      <c r="DH97" s="22">
        <v>45072</v>
      </c>
      <c r="DI97" s="22"/>
      <c r="DJ97" s="22"/>
      <c r="DK97" s="22"/>
      <c r="DL97" s="22"/>
      <c r="DM97" s="22"/>
      <c r="DN97" s="22"/>
      <c r="DO97" s="22"/>
      <c r="DP97" s="22"/>
      <c r="DQ97" s="22"/>
      <c r="DR97" s="28"/>
      <c r="DS97" s="22"/>
      <c r="DT97" s="22"/>
      <c r="DU97" s="216" t="str">
        <f t="shared" ca="1" si="438"/>
        <v>SALE SIN PLAN DE PARTO</v>
      </c>
      <c r="DV97" s="226" t="str">
        <f t="shared" si="439"/>
        <v>SALIO PROGRAMA</v>
      </c>
      <c r="DW9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7" s="216" t="str">
        <f t="shared" ca="1" si="266"/>
        <v/>
      </c>
      <c r="DY97" s="212">
        <f>IF(R97="","",IF(R97&gt;0,MAX(Tabla1[[#This Row],[FECHA C2]:[FECHA C13]],Tabla1[[#This Row],[FECHA CONSULTA PRIMERA VEZ PROGRAMA CPN ]])))</f>
        <v>45072</v>
      </c>
      <c r="DZ97" s="216">
        <f t="shared" si="267"/>
        <v>36</v>
      </c>
      <c r="EA97" s="222">
        <f>IF(R97&gt;0,SUM(COUNTA(DF97:DQ97)+COUNTA(Tabla1[[#This Row],[FECHA CONSULTA PRIMERA VEZ PROGRAMA CPN ]])),"")</f>
        <v>4</v>
      </c>
      <c r="EB97" s="222" t="str">
        <f t="shared" si="268"/>
        <v>SI</v>
      </c>
      <c r="EC97" s="214">
        <f t="shared" si="269"/>
        <v>7</v>
      </c>
      <c r="ED97" s="227">
        <f t="shared" si="270"/>
        <v>0.5714285714285714</v>
      </c>
      <c r="EE97" s="22">
        <v>44957</v>
      </c>
      <c r="EF97" s="22">
        <v>44960</v>
      </c>
      <c r="EG97" s="22">
        <v>44957</v>
      </c>
      <c r="EH97" s="22"/>
      <c r="EI97" s="22">
        <v>44957</v>
      </c>
      <c r="EJ97" s="22">
        <v>45002</v>
      </c>
      <c r="EK97" s="22">
        <v>45002</v>
      </c>
      <c r="EL97" s="21">
        <v>1</v>
      </c>
      <c r="EM97" s="21">
        <v>12</v>
      </c>
      <c r="EN97" s="22">
        <v>44960</v>
      </c>
      <c r="EO97" s="222">
        <f t="shared" si="271"/>
        <v>20.142857142857142</v>
      </c>
      <c r="EP97" s="214" t="str">
        <f t="shared" si="272"/>
        <v>NORMAL- SUMINISTRAR SULFATO FERROSO</v>
      </c>
      <c r="EQ97" s="216" t="str">
        <f t="shared" si="273"/>
        <v>II TRIM</v>
      </c>
      <c r="ER97" s="24"/>
      <c r="ES97" s="22"/>
      <c r="ET97" s="29" t="str">
        <f t="shared" ca="1" si="440"/>
        <v>SALE SIN TAMIZAJE HEMOGLOBINA SEM 28</v>
      </c>
      <c r="EU97" s="25" t="str">
        <f t="shared" si="275"/>
        <v/>
      </c>
      <c r="EV97" s="24" t="s">
        <v>866</v>
      </c>
      <c r="EW97" s="24">
        <v>44960</v>
      </c>
      <c r="EX97" s="22"/>
      <c r="EY97" s="29">
        <f t="shared" si="453"/>
        <v>20.142857142857142</v>
      </c>
      <c r="EZ97" s="25" t="str">
        <f t="shared" ca="1" si="454"/>
        <v/>
      </c>
      <c r="FA97" s="21">
        <v>75</v>
      </c>
      <c r="FB97" s="22">
        <v>44960</v>
      </c>
      <c r="FC97" s="29">
        <f t="shared" si="276"/>
        <v>20.142857142857142</v>
      </c>
      <c r="FD97" s="29"/>
      <c r="FE97" s="29"/>
      <c r="FF97" s="29"/>
      <c r="FG97" s="21" t="str">
        <f t="shared" ca="1" si="277"/>
        <v/>
      </c>
      <c r="FH97" s="31"/>
      <c r="FI97" s="29" t="str">
        <f t="shared" si="278"/>
        <v>TOMAR EXAMEN</v>
      </c>
      <c r="FJ97" s="22" t="s">
        <v>867</v>
      </c>
      <c r="FK97" s="22">
        <v>44960</v>
      </c>
      <c r="FL97" s="29" t="str">
        <f t="shared" si="279"/>
        <v>REGISTRAR EN II TRIMESTRE</v>
      </c>
      <c r="FM97" s="22"/>
      <c r="FN97" s="32"/>
      <c r="FO97" s="29" t="str">
        <f t="shared" ca="1" si="441"/>
        <v>PIERDE TOMA DE TAMIZAJE</v>
      </c>
      <c r="FP97" s="22" t="s">
        <v>867</v>
      </c>
      <c r="FQ97" s="32">
        <v>45072</v>
      </c>
      <c r="FR97" s="29">
        <f t="shared" ca="1" si="442"/>
        <v>36.142857142857146</v>
      </c>
      <c r="FS97" s="22"/>
      <c r="FT97" s="32"/>
      <c r="FU97" s="29" t="str">
        <f>IF(AND(FJ97="",FM97="",FP97="",FS97=""),"",IF(OR(OR(Tabla1[[#This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7" s="28"/>
      <c r="FW97" s="22"/>
      <c r="FX97" s="29" t="str">
        <f t="shared" si="280"/>
        <v>TOMAR EXAMEN</v>
      </c>
      <c r="FY97" s="22">
        <v>44960</v>
      </c>
      <c r="FZ97" s="22">
        <v>44960</v>
      </c>
      <c r="GA97" s="29" t="str">
        <f t="shared" si="452"/>
        <v>REGISTRAR EN II TRIMESTRE</v>
      </c>
      <c r="GB97" s="22"/>
      <c r="GC97" s="22"/>
      <c r="GD97" s="29" t="str">
        <f t="shared" ca="1" si="443"/>
        <v>PIERDE TOMA DE TAMIZAJE</v>
      </c>
      <c r="GE97" s="22" t="s">
        <v>868</v>
      </c>
      <c r="GF97" s="22">
        <v>45072</v>
      </c>
      <c r="GG97" s="29">
        <f t="shared" ca="1" si="444"/>
        <v>36.142857142857146</v>
      </c>
      <c r="GH97" s="22"/>
      <c r="GI97" s="29"/>
      <c r="GJ97" s="22"/>
      <c r="GK97" s="22"/>
      <c r="GL97" s="22"/>
      <c r="GM97" s="22"/>
      <c r="GN97" s="28" t="s">
        <v>869</v>
      </c>
      <c r="GO97" s="22">
        <v>44960</v>
      </c>
      <c r="GP97" s="29">
        <f t="shared" si="283"/>
        <v>20.142857142857142</v>
      </c>
      <c r="GQ97" s="28" t="s">
        <v>869</v>
      </c>
      <c r="GR97" s="28" t="s">
        <v>869</v>
      </c>
      <c r="GS97" s="22" t="str">
        <f t="shared" si="284"/>
        <v>CONTROL Igm</v>
      </c>
      <c r="GT97" s="22">
        <v>44960</v>
      </c>
      <c r="GU97" s="29">
        <f t="shared" si="285"/>
        <v>20.142857142857142</v>
      </c>
      <c r="GV97" s="21" t="str">
        <f t="shared" si="286"/>
        <v>II TRIM</v>
      </c>
      <c r="GW97" s="28" t="s">
        <v>869</v>
      </c>
      <c r="GX97" s="30"/>
      <c r="GY97" s="21"/>
      <c r="GZ97" s="21"/>
      <c r="HA97" s="21"/>
      <c r="HB97" s="21"/>
      <c r="HC97" s="21"/>
      <c r="HD97" s="21"/>
      <c r="HE97" s="21"/>
      <c r="HF97" s="22"/>
      <c r="HG97" s="22" t="str">
        <f>IF(OR(O97&gt;0,R97&gt;0),CONCATENATE(IF(Tabla1[[#This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7" s="22" t="e">
        <f t="shared" si="287"/>
        <v>#REF!</v>
      </c>
      <c r="HI97" s="22" t="e">
        <f t="shared" ca="1" si="288"/>
        <v>#REF!</v>
      </c>
      <c r="HJ97" s="21"/>
      <c r="HK97" s="21" t="str">
        <f t="shared" si="289"/>
        <v>SIN ANTECEDENTES DE RIESGO</v>
      </c>
      <c r="HL97" s="24" t="str">
        <f t="shared" si="290"/>
        <v>APARENTEMENTE NORMAL</v>
      </c>
      <c r="HM97" s="21" t="str">
        <f t="shared" ca="1" si="291"/>
        <v/>
      </c>
      <c r="HN97" s="30" t="str">
        <f t="shared" si="445"/>
        <v>SALIO PROGRAMA</v>
      </c>
      <c r="HO97" s="21"/>
      <c r="HP97" s="21"/>
      <c r="HQ97" s="21"/>
      <c r="HR97" s="21" t="str">
        <f>IF(R97="","",IF(Tabla1[[#This Row],[ALARMA FACTORES DE RIESGO COMPLICACIONES HIPERTENSIVAS3]]="SIN ANTECEDENTES DE RIESGO","No Aplica para suministro de ASA",IF(AND(Tabla1[[#This Row],[FECHA INICIO DE SUMINISTRO DE ASA]]&gt;0,RV97&lt;12),"Inicia ASA ANTES de Sem 12",IF(AND(RV97&gt;11,RV97&lt;17,OR(HK97="RIESGO ALTO DE COMPLICACIONES HIPERTENSIVAS VER MANEJO GUIA SUMINISTRO ASA Y CALCIO",HK97="RIESGO MODERADO (2 O MAS CRITERIOS) VER MANEJO GUIA SUMINISTRO ASA Y CALCIO")),"Inicio oportuno de ASA",IF(AND(RV97&gt;12,OR(HK97="RIESGO ALTO DE COMPLICACIONES HIPERTENSIVAS VER MANEJO GUIA SUMINISTRO ASA Y CALCIO",HK97="RIESGO MODERADO (2 O MAS CRITERIOS) VER MANEJO GUIA SUMINISTRO ASA Y CALCIO")),"Inicio no oportuno mayor a 16 semanas",IF(AND(BU97&lt;12,OR(HK97="RIESGO ALTO DE COMPLICACIONES HIPERTENSIVAS VER MANEJO GUIA SUMINISTRO ASA Y CALCIO",HK97="RIESGO MODERADO (2 O MAS CRITERIOS) VER MANEJO GUIA SUMINISTRO ASA Y CALCIO")),"Pendiente Inicio de ASA a la semana 12",IF(AND(BU97&gt;11,BU97&lt;17,OR(HK97="RIESGO ALTO DE COMPLICACIONES HIPERTENSIVAS VER MANEJO GUIA SUMINISTRO ASA Y CALCIO",HK97="RIESGO MODERADO (2 O MAS CRITERIOS) VER MANEJO GUIA SUMINISTRO ASA Y CALCIO")),"Iniciar de inmediato ASA",IF(AND(BU97&gt;16,OR(HK97="RIESGO ALTO DE COMPLICACIONES HIPERTENSIVAS VER MANEJO GUIA SUMINISTRO ASA Y CALCIO",HK97="RIESGO MODERADO (2 O MAS CRITERIOS) VER MANEJO GUIA SUMINISTRO ASA Y CALCIO")),"Pierde Oportunidad, Inicio tardío de ASA","XXXXX"))))))))</f>
        <v>No Aplica para suministro de ASA</v>
      </c>
      <c r="HS97" s="22"/>
      <c r="HT97" s="22"/>
      <c r="HU97" s="22">
        <v>44957</v>
      </c>
      <c r="HV97" s="22" t="s">
        <v>870</v>
      </c>
      <c r="HW97" s="22">
        <v>45029</v>
      </c>
      <c r="HX97" s="22" t="s">
        <v>870</v>
      </c>
      <c r="HY97" s="22">
        <v>44957</v>
      </c>
      <c r="HZ97" s="28">
        <f t="shared" si="292"/>
        <v>19.714285714285715</v>
      </c>
      <c r="IA97" s="26"/>
      <c r="IB97" s="26"/>
      <c r="IC97" s="111"/>
      <c r="ID97" s="22"/>
      <c r="IE97" s="22" t="str">
        <f t="shared" ca="1" si="293"/>
        <v>SALE SIN VACUNA</v>
      </c>
      <c r="IF97" s="22"/>
      <c r="IG97" s="22">
        <f t="shared" si="294"/>
        <v>45099</v>
      </c>
      <c r="IH97" s="29">
        <f t="shared" ca="1" si="295"/>
        <v>-134</v>
      </c>
      <c r="II97" s="22" t="str">
        <f t="shared" ca="1" si="296"/>
        <v>POSIBLEMENTE NACIO</v>
      </c>
      <c r="IJ97" s="22"/>
      <c r="IK97" s="21" t="s">
        <v>898</v>
      </c>
      <c r="IL97" s="21"/>
      <c r="IM97" s="34"/>
      <c r="IN97" s="349">
        <v>45103</v>
      </c>
      <c r="IO97" s="21" t="s">
        <v>1640</v>
      </c>
      <c r="IP97" s="29">
        <f t="shared" si="435"/>
        <v>40.571428571428569</v>
      </c>
      <c r="IQ97" s="110"/>
      <c r="IR97" s="21" t="s">
        <v>879</v>
      </c>
      <c r="IS97" s="21" t="s">
        <v>1641</v>
      </c>
      <c r="IT97" s="21" t="s">
        <v>1642</v>
      </c>
      <c r="IU97" s="21"/>
      <c r="IV97" s="21"/>
      <c r="IW97" s="21"/>
      <c r="IX97" s="21"/>
      <c r="IY97" s="21"/>
      <c r="IZ97" s="21"/>
      <c r="JA97" s="21"/>
      <c r="JB97" s="30">
        <v>1</v>
      </c>
      <c r="JC97" s="21" t="s">
        <v>1643</v>
      </c>
      <c r="JD97" s="36">
        <v>3000</v>
      </c>
      <c r="JE97" s="21" t="str">
        <f t="shared" si="446"/>
        <v>PESO ADECUADO EDAD GESTACIONAL</v>
      </c>
      <c r="JF97" s="30"/>
      <c r="JG97" s="21"/>
      <c r="JH97" s="21"/>
      <c r="JI97" s="21"/>
      <c r="JJ97" s="30"/>
      <c r="JK97" s="22"/>
      <c r="JL97" s="22"/>
      <c r="JM97" s="21"/>
      <c r="JN97" s="36"/>
      <c r="JO97" s="21" t="str">
        <f t="shared" si="447"/>
        <v/>
      </c>
      <c r="JP97" s="22"/>
      <c r="JQ97" s="21"/>
      <c r="JR97" s="21"/>
      <c r="JS97" s="21"/>
      <c r="JT97" s="30"/>
      <c r="JU97" s="22"/>
      <c r="JV97" s="22"/>
      <c r="JW97" s="33"/>
      <c r="JX97" s="28" t="str">
        <f t="shared" si="448"/>
        <v>INASISTENTE</v>
      </c>
      <c r="JY97" s="33"/>
      <c r="JZ97" s="28" t="str">
        <f t="shared" si="449"/>
        <v>INASISTENTE</v>
      </c>
      <c r="KA97" s="21"/>
      <c r="KB97" s="21"/>
      <c r="KC97" s="21"/>
      <c r="KD97" s="37"/>
      <c r="KE97" s="28"/>
      <c r="KF97" s="28"/>
      <c r="KG97" s="28"/>
      <c r="KH97" s="39"/>
      <c r="KI97" s="39"/>
      <c r="KJ97" s="66"/>
      <c r="KK97" s="39"/>
      <c r="KL97" s="39"/>
      <c r="KM97" s="66"/>
      <c r="KN97" s="39"/>
      <c r="KO97" s="39"/>
      <c r="KP97" s="39"/>
      <c r="KQ97" s="39"/>
      <c r="KR97" s="39"/>
      <c r="KS97" s="39"/>
      <c r="KT97" s="39"/>
      <c r="KU97" s="38"/>
      <c r="KV97" s="38"/>
      <c r="KW97" s="38"/>
      <c r="KX97" s="38"/>
      <c r="KY97" s="38"/>
      <c r="KZ97" s="38"/>
      <c r="LA97" s="38"/>
      <c r="LB97" s="38"/>
      <c r="LC97" s="38"/>
      <c r="LD97" s="38"/>
      <c r="LE97" s="38"/>
      <c r="LF97" s="38"/>
      <c r="LG97" s="38"/>
      <c r="LH97" s="38"/>
      <c r="LI97" s="38"/>
      <c r="LJ97" s="38"/>
      <c r="LK97" s="38"/>
      <c r="LL97" s="38"/>
      <c r="LM97" s="38"/>
      <c r="LN97" s="38"/>
      <c r="LO97" s="38"/>
      <c r="LP97" s="38"/>
      <c r="LQ97" s="38"/>
      <c r="LR97" s="38"/>
      <c r="LS97" s="38"/>
      <c r="LT97" s="38"/>
      <c r="LU97" s="38"/>
      <c r="LV97" s="38"/>
      <c r="LW97" s="38"/>
      <c r="LX97" s="38"/>
      <c r="LY97" s="38"/>
      <c r="LZ97" s="38"/>
      <c r="MA97" s="38"/>
      <c r="MB97" s="38"/>
      <c r="MC97" s="38"/>
      <c r="MD97" s="38"/>
      <c r="ME97" s="38"/>
      <c r="MF97" s="38"/>
      <c r="MG97" s="38"/>
      <c r="MH97" s="43">
        <f t="shared" si="302"/>
        <v>0</v>
      </c>
      <c r="MI97" s="43" t="str">
        <f t="shared" si="303"/>
        <v/>
      </c>
      <c r="MJ97" s="43" t="str">
        <f t="shared" si="304"/>
        <v/>
      </c>
      <c r="MK97" s="43">
        <f t="shared" si="305"/>
        <v>0</v>
      </c>
      <c r="ML9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7" s="43">
        <f t="shared" si="306"/>
        <v>19.714285714285715</v>
      </c>
      <c r="MN97" s="43">
        <f t="shared" si="307"/>
        <v>1</v>
      </c>
      <c r="MO97" s="43">
        <f t="shared" si="308"/>
        <v>2023</v>
      </c>
      <c r="MP97" s="43" t="str">
        <f t="shared" si="309"/>
        <v>I TRIMESTRE AÑO</v>
      </c>
      <c r="MQ97" s="43">
        <f t="shared" si="310"/>
        <v>15.894656154183091</v>
      </c>
      <c r="MR97" s="43">
        <f t="shared" si="311"/>
        <v>1</v>
      </c>
      <c r="MS97" s="43" t="str">
        <f t="shared" si="312"/>
        <v>DE 14 A 19AÑOS</v>
      </c>
      <c r="MT97" s="43">
        <f t="shared" si="313"/>
        <v>0</v>
      </c>
      <c r="MU97" s="43">
        <f t="shared" si="314"/>
        <v>1</v>
      </c>
      <c r="MV97" s="43">
        <f t="shared" si="315"/>
        <v>0</v>
      </c>
      <c r="MW97" s="43">
        <f t="shared" si="316"/>
        <v>0</v>
      </c>
      <c r="MX97" s="43" t="str">
        <f t="shared" si="317"/>
        <v/>
      </c>
      <c r="MY97" s="43" t="str">
        <f t="shared" ca="1" si="450"/>
        <v/>
      </c>
      <c r="MZ97" s="43" t="str">
        <f t="shared" si="318"/>
        <v/>
      </c>
      <c r="NA97" s="43">
        <f t="shared" si="319"/>
        <v>0</v>
      </c>
      <c r="NB97" s="43" t="str">
        <f t="shared" si="320"/>
        <v/>
      </c>
      <c r="NC97" s="43" t="str">
        <f t="shared" si="321"/>
        <v/>
      </c>
      <c r="ND97" s="43">
        <f t="shared" ca="1" si="322"/>
        <v>2</v>
      </c>
      <c r="NE97" s="43">
        <f>IF(OR(O97&gt;0,R97&gt;0),SUM(COUNTIF(Tabla1[[#This Row],[AÑOS AL INICIO5 CPN]],"&gt;=40"),COUNTIF(AS97,"0"),COUNTIF(AR97,"SI"),COUNTIF(CC97,"SI"),COUNTIF(BQ97,"&gt;119"),COUNTIF(CI97,"&gt;=35")),"")</f>
        <v>0</v>
      </c>
      <c r="NF97" s="43" t="str">
        <f t="shared" si="323"/>
        <v/>
      </c>
      <c r="NG97" s="43">
        <f t="shared" si="324"/>
        <v>0</v>
      </c>
      <c r="NH97" s="43">
        <f t="shared" si="325"/>
        <v>140.70000000000002</v>
      </c>
      <c r="NI9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CPN",P97="NO"),"Z",IF(AND(Tabla1[[#This Row],[CITA PROXIMO CONTROL]]="CITA MANUAL",Tabla1[[#This Row],[GESTANTES ACTUALES]]="ACTIVA INGRESO A CPN"),"W",IF(AND(Tabla1[[#This Row],[GESTANTES ACTUALES]]="SALIO PROGRAMA",IN97=""),"S",IF(AND(Tabla1[[#This Row],[CITA PROXIMO CONTROL]]&gt;0,IN97=""),(Tabla1[[#This Row],[CITA PROXIMO CONTROL]]-TODAY()),"SD"))))))))</f>
        <v>SD</v>
      </c>
      <c r="NJ97" s="43">
        <f>MONTH(Tabla1[[#This Row],[FECHA DE SALIDA  DEL PROGRAMA]])</f>
        <v>6</v>
      </c>
      <c r="NK97" s="43">
        <f>YEAR(Tabla1[[#This Row],[FECHA DE SALIDA  DEL PROGRAMA]])</f>
        <v>2023</v>
      </c>
      <c r="NL97" s="43">
        <f t="shared" si="326"/>
        <v>45</v>
      </c>
      <c r="NM97" s="43" t="str">
        <f t="shared" si="455"/>
        <v>NO</v>
      </c>
      <c r="NN97" s="43" t="str">
        <f ca="1">IF(AND(O97&gt;0,R97=""),"NO CPN",IF(AND(O97="",R97=""),"",IF(AND(R97&gt;0,Tabla1[[#This Row],[SEMANAS DE GESTACION ACTUALIZADAS]]&lt;=12),"NO APLICA",IF(AND(FH97&lt;&gt;"",FN97&lt;&gt;""),"SI","NO"))))</f>
        <v>NO</v>
      </c>
      <c r="NO97" s="43" t="str">
        <f ca="1">IF(AND(O97&gt;0,R97=""),"NO CPN",IF(AND(O97="",R97=""),"",IF(AND(R97&gt;0,Tabla1[[#This Row],[SEMANAS DE GESTACION ACTUALIZADAS]]&lt;=27),"NO APLICA",IF(AND(ES97&lt;&gt;"",FQ97&lt;&gt;"",GF97&lt;&gt;""),"SI","NO"))))</f>
        <v>NO</v>
      </c>
      <c r="NP97" s="204" t="str">
        <f t="shared" si="327"/>
        <v>II TRIM</v>
      </c>
      <c r="NQ97" s="21">
        <f t="shared" si="436"/>
        <v>3</v>
      </c>
      <c r="NR97" s="21">
        <f t="shared" si="451"/>
        <v>2</v>
      </c>
      <c r="NS97" s="205">
        <f t="shared" ca="1" si="328"/>
        <v>1</v>
      </c>
      <c r="NT97" s="21">
        <f t="shared" ca="1" si="329"/>
        <v>1</v>
      </c>
      <c r="NU97" s="21" t="str">
        <f t="shared" ca="1" si="330"/>
        <v>INCOMPLETO</v>
      </c>
      <c r="NV97" s="21" t="str">
        <f t="shared" ca="1" si="331"/>
        <v>INCOMPLETO</v>
      </c>
      <c r="NW97" s="206" t="str">
        <f>IF(AND(O97="",R97=""),"",IF(OR(AND(Tabla1[[#This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7" s="207" t="str">
        <f t="shared" ca="1" si="332"/>
        <v>SIN VACUNAR</v>
      </c>
      <c r="NY97" s="43">
        <f>ROW(Tabla1[[#This Row],['# DE TAMIZAJES SIFILIS TOMADOS ]])</f>
        <v>97</v>
      </c>
      <c r="NZ97" s="43">
        <f t="shared" si="333"/>
        <v>19</v>
      </c>
      <c r="OA97" s="43" t="str">
        <f t="shared" si="334"/>
        <v/>
      </c>
      <c r="OB97" s="43" t="str">
        <f t="shared" si="335"/>
        <v/>
      </c>
      <c r="OC97" s="43" t="str">
        <f t="shared" si="336"/>
        <v/>
      </c>
      <c r="OD97" s="43" t="str">
        <f t="shared" si="337"/>
        <v/>
      </c>
      <c r="OE97" s="43" t="str">
        <f t="shared" si="338"/>
        <v/>
      </c>
      <c r="OF97" s="43" t="str">
        <f t="shared" si="339"/>
        <v/>
      </c>
      <c r="OG97" s="43" t="str">
        <f t="shared" si="340"/>
        <v/>
      </c>
      <c r="OH97" s="43" t="str">
        <f t="shared" si="341"/>
        <v/>
      </c>
      <c r="OI97" s="43" t="str">
        <f t="shared" si="342"/>
        <v/>
      </c>
      <c r="OJ97" s="43" t="str">
        <f t="shared" si="343"/>
        <v/>
      </c>
      <c r="OK97" s="43" t="str">
        <f t="shared" si="344"/>
        <v>NORMAL</v>
      </c>
      <c r="OL97" s="43" t="str">
        <f t="shared" si="345"/>
        <v/>
      </c>
      <c r="OM97" s="43" t="str">
        <f t="shared" si="346"/>
        <v/>
      </c>
      <c r="ON97" s="43" t="str">
        <f t="shared" si="347"/>
        <v/>
      </c>
      <c r="OO97" s="43" t="str">
        <f t="shared" si="348"/>
        <v/>
      </c>
      <c r="OP97" s="43" t="str">
        <f t="shared" si="349"/>
        <v/>
      </c>
      <c r="OQ97" s="43" t="str">
        <f t="shared" si="350"/>
        <v/>
      </c>
      <c r="OR97" s="43" t="str">
        <f t="shared" si="351"/>
        <v/>
      </c>
      <c r="OS97" s="43" t="str">
        <f t="shared" si="352"/>
        <v/>
      </c>
      <c r="OT97" s="43" t="str">
        <f t="shared" si="353"/>
        <v/>
      </c>
      <c r="OU97" s="43" t="str">
        <f t="shared" si="354"/>
        <v/>
      </c>
      <c r="OV97" s="110" t="str">
        <f t="shared" si="355"/>
        <v/>
      </c>
      <c r="OW97" s="43" t="str">
        <f t="shared" si="356"/>
        <v/>
      </c>
      <c r="OX97" s="43" t="str">
        <f t="shared" si="357"/>
        <v/>
      </c>
      <c r="OY97" s="43" t="str">
        <f t="shared" si="358"/>
        <v/>
      </c>
      <c r="OZ97" s="43" t="str">
        <f t="shared" si="359"/>
        <v/>
      </c>
      <c r="PA97" s="43" t="str">
        <f t="shared" si="360"/>
        <v/>
      </c>
      <c r="PB97" s="43" t="str">
        <f t="shared" si="361"/>
        <v/>
      </c>
      <c r="PC97" s="43" t="str">
        <f t="shared" si="362"/>
        <v/>
      </c>
      <c r="PD97" s="43" t="str">
        <f t="shared" si="363"/>
        <v/>
      </c>
      <c r="PE97" s="43" t="str">
        <f t="shared" si="364"/>
        <v/>
      </c>
      <c r="PF97" s="43" t="str">
        <f t="shared" si="365"/>
        <v/>
      </c>
      <c r="PG97" s="43" t="str">
        <f t="shared" si="366"/>
        <v/>
      </c>
      <c r="PH97" s="43" t="str">
        <f t="shared" si="367"/>
        <v/>
      </c>
      <c r="PI97" s="43">
        <f t="shared" si="368"/>
        <v>36</v>
      </c>
      <c r="PJ97" s="43" t="str">
        <f t="shared" si="369"/>
        <v/>
      </c>
      <c r="PK97" s="43" t="str">
        <f t="shared" si="370"/>
        <v/>
      </c>
      <c r="PL97" s="43" t="str">
        <f t="shared" si="371"/>
        <v/>
      </c>
      <c r="PM97" s="43" t="str">
        <f t="shared" si="372"/>
        <v/>
      </c>
      <c r="PN97" s="43" t="str">
        <f t="shared" si="373"/>
        <v/>
      </c>
      <c r="PO97" s="43" t="str">
        <f t="shared" si="374"/>
        <v/>
      </c>
      <c r="PP97" s="43" t="str">
        <f t="shared" si="375"/>
        <v/>
      </c>
      <c r="PQ97" s="43" t="str">
        <f t="shared" si="376"/>
        <v/>
      </c>
      <c r="PR97" s="43" t="str">
        <f t="shared" si="377"/>
        <v/>
      </c>
      <c r="PS97" s="43" t="str">
        <f t="shared" si="378"/>
        <v/>
      </c>
      <c r="PT97" s="43" t="str">
        <f t="shared" si="379"/>
        <v/>
      </c>
      <c r="PU97" s="43" t="str">
        <f t="shared" si="380"/>
        <v/>
      </c>
      <c r="PV97" s="43" t="str">
        <f t="shared" si="381"/>
        <v/>
      </c>
      <c r="PW97" s="43" t="str">
        <f t="shared" si="382"/>
        <v/>
      </c>
      <c r="PX97" s="43" t="str">
        <f t="shared" si="383"/>
        <v/>
      </c>
      <c r="PY97" s="43" t="str">
        <f t="shared" si="384"/>
        <v/>
      </c>
      <c r="PZ97" s="43" t="str">
        <f t="shared" si="385"/>
        <v/>
      </c>
      <c r="QA97" s="43" t="str">
        <f t="shared" si="386"/>
        <v/>
      </c>
      <c r="QB97" s="43" t="str">
        <f t="shared" si="387"/>
        <v/>
      </c>
      <c r="QC97" s="43" t="str">
        <f t="shared" si="388"/>
        <v/>
      </c>
      <c r="QD97" s="43" t="str">
        <f t="shared" si="389"/>
        <v/>
      </c>
      <c r="QE97" s="43" t="str">
        <f t="shared" si="390"/>
        <v/>
      </c>
      <c r="QF97" s="43" t="str">
        <f t="shared" si="391"/>
        <v/>
      </c>
      <c r="QG97" s="43" t="str">
        <f t="shared" si="392"/>
        <v/>
      </c>
      <c r="QH97" s="43" t="str">
        <f t="shared" si="393"/>
        <v/>
      </c>
      <c r="QI97" s="43" t="str">
        <f t="shared" si="394"/>
        <v/>
      </c>
      <c r="QJ97" s="43" t="str">
        <f t="shared" si="395"/>
        <v/>
      </c>
      <c r="QK97" s="43" t="str">
        <f t="shared" si="396"/>
        <v>BAJO PESO</v>
      </c>
      <c r="QL97" s="43" t="str">
        <f t="shared" si="397"/>
        <v/>
      </c>
      <c r="QM97" s="43" t="str">
        <f t="shared" si="398"/>
        <v/>
      </c>
      <c r="QN97" s="43" t="str">
        <f t="shared" si="399"/>
        <v/>
      </c>
      <c r="QO97" s="43" t="str">
        <f t="shared" si="400"/>
        <v/>
      </c>
      <c r="QP97" s="43" t="str">
        <f t="shared" si="401"/>
        <v/>
      </c>
      <c r="QQ97" s="43" t="str">
        <f t="shared" si="402"/>
        <v/>
      </c>
      <c r="QR97" s="43">
        <f t="shared" si="432"/>
        <v>36</v>
      </c>
      <c r="QS97" s="43"/>
      <c r="QT97" s="21" t="str">
        <f t="shared" si="403"/>
        <v/>
      </c>
      <c r="QU97" s="21" t="str">
        <f t="shared" si="404"/>
        <v/>
      </c>
      <c r="QV97" s="21" t="str">
        <f t="shared" si="405"/>
        <v/>
      </c>
      <c r="QW97" s="21" t="str">
        <f t="shared" si="406"/>
        <v/>
      </c>
      <c r="QX97" s="21" t="str">
        <f t="shared" si="407"/>
        <v/>
      </c>
      <c r="QY97" s="21" t="str">
        <f t="shared" si="408"/>
        <v/>
      </c>
      <c r="QZ97" s="21" t="str">
        <f t="shared" si="409"/>
        <v/>
      </c>
      <c r="RA97" s="21" t="str">
        <f t="shared" si="410"/>
        <v/>
      </c>
      <c r="RB97" s="21" t="str">
        <f t="shared" si="411"/>
        <v/>
      </c>
      <c r="RC97" s="21" t="str">
        <f t="shared" si="412"/>
        <v/>
      </c>
      <c r="RD97" s="21" t="str">
        <f t="shared" si="413"/>
        <v/>
      </c>
      <c r="RE97" s="21" t="str">
        <f t="shared" si="414"/>
        <v/>
      </c>
      <c r="RF97" s="21" t="str">
        <f t="shared" si="415"/>
        <v/>
      </c>
      <c r="RG97" s="21" t="str">
        <f t="shared" si="416"/>
        <v/>
      </c>
      <c r="RH97" s="21" t="str">
        <f t="shared" si="417"/>
        <v/>
      </c>
      <c r="RI97" s="21" t="str">
        <f t="shared" si="418"/>
        <v/>
      </c>
      <c r="RJ97" s="21" t="str">
        <f t="shared" si="419"/>
        <v/>
      </c>
      <c r="RK97" s="21" t="str">
        <f t="shared" si="420"/>
        <v/>
      </c>
      <c r="RL97" s="21" t="str">
        <f t="shared" si="421"/>
        <v/>
      </c>
      <c r="RM97" s="21" t="str">
        <f t="shared" si="422"/>
        <v/>
      </c>
      <c r="RN97" s="21" t="str">
        <f t="shared" si="423"/>
        <v/>
      </c>
      <c r="RO97" s="21" t="str">
        <f t="shared" si="424"/>
        <v/>
      </c>
      <c r="RP97" s="21" t="str">
        <f t="shared" si="425"/>
        <v/>
      </c>
      <c r="RQ97" s="21" t="str">
        <f t="shared" si="426"/>
        <v>ADECUADO PARA EDAD GESTACIONAL</v>
      </c>
      <c r="RR97" s="21" t="str">
        <f t="shared" si="427"/>
        <v/>
      </c>
      <c r="RS97" s="21" t="str">
        <f t="shared" si="428"/>
        <v/>
      </c>
      <c r="RT97" s="21" t="str">
        <f t="shared" si="429"/>
        <v/>
      </c>
      <c r="RU97" s="21" t="str">
        <f t="shared" si="430"/>
        <v/>
      </c>
      <c r="RV97" s="21">
        <f t="shared" si="431"/>
        <v>-1</v>
      </c>
      <c r="RW97" s="284">
        <f>IF(OR(Tabla1[[#This Row],[FUM FORMULA CONFIABLE]]="",Tabla1[[#This Row],[FUM FORMULA CONFIABLE]]="SD"),"",IF(Tabla1[[#This Row],[FUM FORMULA CONFIABLE]]="CORREGIDA",Tabla1[[#This Row],[FUM X ECO 1]],Tabla1[[#This Row],[FUM x AMENORREA]]))</f>
        <v>44819</v>
      </c>
      <c r="RX97" s="21">
        <f>IF(AND(Tabla1[[#This Row],[FUM X ECO 1]]="",Tabla1[[#This Row],[FUM x AMENORREA]]=""),"",IF(AND(Tabla1[[#This Row],[FUM X ECO 1]]="",Tabla1[[#This Row],[FUM x AMENORREA]]&lt;&gt;""),"X",SUM(Tabla1[[#This Row],[FUM X ECO 1]]-Tabla1[[#This Row],[FUM x AMENORREA]])))</f>
        <v>0.30000000000291038</v>
      </c>
      <c r="RY97" s="21">
        <f t="shared" si="433"/>
        <v>0</v>
      </c>
    </row>
    <row r="98" spans="1:493" ht="45" customHeight="1" x14ac:dyDescent="0.25">
      <c r="A98" s="109"/>
      <c r="B98" s="43"/>
      <c r="C98" s="43" t="s">
        <v>845</v>
      </c>
      <c r="D98" s="124" t="s">
        <v>846</v>
      </c>
      <c r="E98" s="43" t="s">
        <v>953</v>
      </c>
      <c r="F98" s="43" t="s">
        <v>1091</v>
      </c>
      <c r="G98" s="43" t="s">
        <v>1217</v>
      </c>
      <c r="H98" s="43" t="s">
        <v>1295</v>
      </c>
      <c r="I98" s="109" t="s">
        <v>851</v>
      </c>
      <c r="J98" s="110">
        <v>1002847470</v>
      </c>
      <c r="K98" s="43"/>
      <c r="L98" s="175" t="s">
        <v>1509</v>
      </c>
      <c r="M98" s="22">
        <v>37060</v>
      </c>
      <c r="N98" s="213">
        <f t="shared" ca="1" si="252"/>
        <v>22.391780821917809</v>
      </c>
      <c r="O98" s="22">
        <v>44964</v>
      </c>
      <c r="P98" s="214" t="str">
        <f t="shared" si="437"/>
        <v>SI</v>
      </c>
      <c r="Q98" s="26" t="s">
        <v>855</v>
      </c>
      <c r="R98" s="22">
        <v>44964</v>
      </c>
      <c r="S98" s="21" t="s">
        <v>856</v>
      </c>
      <c r="T98" s="24" t="s">
        <v>690</v>
      </c>
      <c r="U98" s="21" t="s">
        <v>857</v>
      </c>
      <c r="V98" s="21" t="s">
        <v>858</v>
      </c>
      <c r="W98" s="21"/>
      <c r="X98" s="21"/>
      <c r="Y98" s="21" t="s">
        <v>859</v>
      </c>
      <c r="Z98" s="21"/>
      <c r="AA98" s="21" t="s">
        <v>860</v>
      </c>
      <c r="AB98" s="27" t="s">
        <v>861</v>
      </c>
      <c r="AC98" s="26"/>
      <c r="AD98" s="38" t="s">
        <v>846</v>
      </c>
      <c r="AE98" s="26" t="s">
        <v>854</v>
      </c>
      <c r="AF98" s="26" t="s">
        <v>854</v>
      </c>
      <c r="AG98" s="23" t="s">
        <v>864</v>
      </c>
      <c r="AH98" s="23" t="s">
        <v>864</v>
      </c>
      <c r="AI98" s="24" t="s">
        <v>863</v>
      </c>
      <c r="AJ98" s="23" t="s">
        <v>864</v>
      </c>
      <c r="AK98" s="220" t="str">
        <f>IF(AND(AD98="",AE98="",AF98="",AG98="",AH98="",AI98="",AJ98=""),"",IF(OR(Tabla1[[#This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EVALUACIÓN",IF(AND(O98="",R98=""),"",IF(AND(OR(O98&gt;0,R98&gt;0),NG98&gt;=0,NG98&lt;2),"SIN RIESGO",IF(AND(OR(O98&gt;0,R98&gt;0),NG98&gt;=2),"CON RIESGO","ASD")))))</f>
        <v>SIN RIESGO</v>
      </c>
      <c r="AL98" s="23" t="s">
        <v>864</v>
      </c>
      <c r="AM98" s="26" t="s">
        <v>864</v>
      </c>
      <c r="AN98" s="26"/>
      <c r="AO98" s="26" t="s">
        <v>864</v>
      </c>
      <c r="AP98" s="26" t="s">
        <v>864</v>
      </c>
      <c r="AQ98" s="26" t="s">
        <v>864</v>
      </c>
      <c r="AR98" s="26" t="s">
        <v>864</v>
      </c>
      <c r="AS98" s="21">
        <v>2</v>
      </c>
      <c r="AT98" s="21">
        <v>1</v>
      </c>
      <c r="AU98" s="21">
        <v>0</v>
      </c>
      <c r="AV98" s="26" t="s">
        <v>864</v>
      </c>
      <c r="AW98" s="21">
        <v>0</v>
      </c>
      <c r="AX98" s="26" t="s">
        <v>864</v>
      </c>
      <c r="AY98" s="26" t="s">
        <v>864</v>
      </c>
      <c r="AZ98" s="26" t="s">
        <v>864</v>
      </c>
      <c r="BA98" s="26" t="s">
        <v>864</v>
      </c>
      <c r="BB98" s="26" t="s">
        <v>864</v>
      </c>
      <c r="BC98" s="26" t="s">
        <v>864</v>
      </c>
      <c r="BD98" s="26" t="s">
        <v>864</v>
      </c>
      <c r="BE98" s="26" t="s">
        <v>864</v>
      </c>
      <c r="BF98" s="26" t="s">
        <v>864</v>
      </c>
      <c r="BG98" s="26" t="s">
        <v>864</v>
      </c>
      <c r="BH98" s="26" t="s">
        <v>864</v>
      </c>
      <c r="BI98" s="26" t="s">
        <v>864</v>
      </c>
      <c r="BJ98" s="26"/>
      <c r="BK98" s="26"/>
      <c r="BL98" s="26" t="s">
        <v>864</v>
      </c>
      <c r="BM98" s="26" t="s">
        <v>864</v>
      </c>
      <c r="BN98" s="22"/>
      <c r="BO98" s="22">
        <v>44824</v>
      </c>
      <c r="BP98" s="21" t="s">
        <v>854</v>
      </c>
      <c r="BQ98" s="222">
        <f t="shared" si="254"/>
        <v>0</v>
      </c>
      <c r="BR98" s="223">
        <f t="shared" si="255"/>
        <v>44803.9</v>
      </c>
      <c r="BS98" s="224">
        <f t="shared" si="256"/>
        <v>20</v>
      </c>
      <c r="BT98" s="216" t="str">
        <f t="shared" si="257"/>
        <v>II TRIM</v>
      </c>
      <c r="BU98" s="214" t="str">
        <f t="shared" ca="1" si="258"/>
        <v/>
      </c>
      <c r="BV98" s="25"/>
      <c r="BW98" s="22">
        <v>44960</v>
      </c>
      <c r="BX98" s="28">
        <v>22.3</v>
      </c>
      <c r="BY98" s="28"/>
      <c r="BZ98" s="22"/>
      <c r="CA98" s="21"/>
      <c r="CB98" s="26" t="s">
        <v>864</v>
      </c>
      <c r="CC98" s="26" t="s">
        <v>864</v>
      </c>
      <c r="CD98" s="26" t="s">
        <v>878</v>
      </c>
      <c r="CE98" s="26" t="s">
        <v>864</v>
      </c>
      <c r="CF98" s="22" t="s">
        <v>1517</v>
      </c>
      <c r="CG98" s="21">
        <v>1.5</v>
      </c>
      <c r="CH98" s="21">
        <v>50</v>
      </c>
      <c r="CI98" s="214">
        <f t="shared" si="259"/>
        <v>22.222222222222221</v>
      </c>
      <c r="CJ98" s="225" t="e">
        <f>IF(AND(CI98&lt;10,CH98="SD"),"SIN DATO PESO PREGESTACION O I TRIM",IF(AND(OR(R98&gt;0,O98&gt;0),CI98="X"),"INGRESAR DATO DE PESO",IF(CI98="SD","INGRESAR DATO DE TALLA Y PESO",IF(AND(OR(Tabla1[[#This Row],[MOMENTO EN QUE SE REALIZA EL PESO AL INGRESO A CPN]]="PREGESTACIÓN",NZ98="Menor"),CI98&lt;18.5),"BAJO PESO",IF(AND(OR(Tabla1[[#This Row],[MOMENTO EN QUE SE REALIZA EL PESO AL INGRESO A CPN]]="PREGESTACIÓN",NZ98="Menor"),CI98&lt;25),"NORMAL",IF(AND(OR(Tabla1[[#This Row],[MOMENTO EN QUE SE REALIZA EL PESO AL INGRESO A CPN]]="PREGESTACIÓN",NZ98="Menor"),CI98&lt;30),"SOBREPESO",IF(AND(OR(Tabla1[[#This Row],[MOMENTO EN QUE SE REALIZA EL PESO AL INGRESO A CPN]]="PREGESTACIÓN",NZ98="Menor"),CI98&gt;=30,CI98&lt;50),"OBESIDAD",IF(AND(BS98&gt;0,Tabla1[[#This Row],[MOMENTO EN QUE SE REALIZA EL PESO AL INGRESO A CPN]]="GESTACIÓN"),HLOOKUP(NZ98,$OA$2:PH98,NY98),""))))))))</f>
        <v>#REF!</v>
      </c>
      <c r="CK98" s="212">
        <f t="shared" si="260"/>
        <v>45016</v>
      </c>
      <c r="CL98" s="21"/>
      <c r="CM98" s="214">
        <f t="shared" si="261"/>
        <v>0</v>
      </c>
      <c r="CN98" s="216">
        <f t="shared" si="262"/>
        <v>27</v>
      </c>
      <c r="CO98" s="216" t="e">
        <f>IF(PI98="","",IF(PI98&gt;0,HLOOKUP(PI98,$PJ$2:QQ98,NY98),""))</f>
        <v>#REF!</v>
      </c>
      <c r="CP98" s="21"/>
      <c r="CQ98" s="216" t="e">
        <f>IF(QR98="Menor","NO APLICA-MENOR 13 SEM",IF(AND(CC98="SI",CN98&gt;23),"NO APLICA- GEMELAR",IF(QR98="","",IF(QR98&gt;0,HLOOKUP(QR98,$QS$2:RU98,NY98),""))))</f>
        <v>#REF!</v>
      </c>
      <c r="CR98" s="21"/>
      <c r="CS98" s="21"/>
      <c r="CT98" s="217" t="str">
        <f>IF(R98="","",IF(AND(BS98&gt;1,BS98&lt;12,Tabla1[[#This Row],[T.A. SISTOLICA - ANTES DE SEMANA 12]]="",Tabla1[[#This Row],[T.A. DIASTOLICA - ANTES DE SEMANA 12]]=""),"REGISTRE DATO TA ANTES SEMANA 12",IF(AND(BS98&gt;11,BS98&lt;43,Tabla1[[#This Row],[T.A. SISTOLICA - ANTES DE SEMANA 12]]="",Tabla1[[#This Row],[T.A. DIASTOLICA - ANTES DE SEMANA 12]]=""),"NO APLICA REGISTRO TA-INGRESO TARDIO",IF(AND(OR(O98&gt;0,R98&gt;0),OR(CR98&gt;=140,CS98&gt;=90)),"DEFINIR ESTADIO HTA",IF(AND(OR(O98&gt;0,R98&gt;0),AND(CR98&gt;120,CR98&lt;=139)),"PRE HTA SEGUIMIENTO",IF(AND(OR(O98&gt;0,R98&gt;0),AND(CS98&gt;80,CS98&lt;=89)),"PRE HTA SEGUIMIENTO",IF(AND(OR(O98&gt;0,R98&gt;0),AND(CR98&gt;=80,CR98&lt;=120)),"APARENTEMENTE NORMAL",IF(AND(OR(O98&gt;0,R98&gt;0),AND(CS98&gt;=50,CS98&lt;=80)),"APARENTEMENTE NORMAL",IF(AND(OR(O98&gt;0,R98&gt;0),AND(CR98&gt;1,CR98&lt;=70),AND(CS98&gt;1,CS98&lt;=40)),"HIPOTENSIÓN","")))))))))</f>
        <v>NO APLICA REGISTRO TA-INGRESO TARDIO</v>
      </c>
      <c r="CU98" s="21">
        <v>90</v>
      </c>
      <c r="CV98" s="21">
        <v>60</v>
      </c>
      <c r="CW98" s="217" t="str">
        <f ca="1">IF(R98="","",IF(AND(CN98&gt;19,CN98&lt;27,Tabla1[[#This Row],[T.A. SISTOLICA (Entre semana 20 y 26)]]="",Tabla1[[#This Row],[T.A. DIATOLICA (Entre semana 20 y 26)]]=""),"ACUDE A CONTROL SEM 20 A 26 REGISTRE TA AHORA",IF(AND(BS98&gt;1,BS98&lt;27,BU98&gt;19,Tabla1[[#This Row],[T.A. SISTOLICA (Entre semana 20 y 26)]]="",Tabla1[[#This Row],[T.A. DIATOLICA (Entre semana 20 y 26)]]=""),"COMPLETE REGISTRO TA CONTROL SEM 20 A26 ",IF(AND(BS98&gt;26,BS98&lt;43,Tabla1[[#This Row],[T.A. SISTOLICA (Entre semana 20 y 26)]]="",Tabla1[[#This Row],[T.A. DIATOLICA (Entre semana 20 y 26)]]=""),"NO APLICA REGISTRO TA-INGRESO TARDIO",IF(AND(OR(O98&gt;0,R98&gt;0),OR(CU98&gt;=140,CV98&gt;=90)),"ALTO RIESGO PREECLAMPSIA,DEFINIR ESTADIO HTA",IF(AND(OR(O98&gt;0,R98&gt;0),AND(CU98&gt;120,CU98&lt;=139)),"PRE HTA SEGUIMIENTO,RIESGO HIPERTENSION INDUCIDA POR EL EMBARAZO",IF(AND(OR(O98&gt;0,R98&gt;0),AND(CV98&gt;80,CV98&lt;=89)),"PRE HTA SEGUIMIENTO, RIESGO HIPERTENSION INDUCIDA POR EL EMBARAZO",IF(AND(OR(O98&lt;&gt;"",R98&lt;&gt;""),CS98&lt;&gt;"",CV98&lt;&gt;"",CS98&lt;=CV98),"VIGILAR CIFRAS PRESION ARTERIAL",IF(AND(OR(O98&gt;0,R98&gt;0),AND(CU98&gt;120,CU98&lt;=139)),"PRE HTA SEGUIMIENTO",IF(AND(OR(O98&gt;0,R98&gt;0),AND(CU98&gt;1,CU98&lt;=70),AND(CV98&gt;1,CV98&lt;=40)),"HIPOTENSIÓN",IF(AND(OR(O98&lt;&gt;"",R98&lt;&gt;""),CS98&lt;&gt;"",CV98&lt;&gt;"",CS98&gt;CV98),"APARENTEMENTE NORMAL",IF(AND(OR(O98&gt;0,R98&gt;0),AND(CU98&gt;=80,CU98&lt;=120)),"APARENTEMENTE NORMAL",IF(AND(OR(O98&gt;0,R98&gt;0),AND(CV98&gt;=50,CV98&lt;=80)),"APARENTEMENTE NORMAL","")))))))))))))</f>
        <v>APARENTEMENTE NORMAL</v>
      </c>
      <c r="CX98" s="21"/>
      <c r="CY98" s="21"/>
      <c r="CZ98" s="216" t="str">
        <f t="shared" si="263"/>
        <v/>
      </c>
      <c r="DA98" s="21"/>
      <c r="DB98" s="21"/>
      <c r="DC98" s="217" t="str">
        <f t="shared" si="264"/>
        <v>REGISTRE DATO PRESIÓN ARTERIAL MENSUAL</v>
      </c>
      <c r="DD98" s="22">
        <v>45016</v>
      </c>
      <c r="DE98" s="22">
        <v>45016</v>
      </c>
      <c r="DF98" s="22">
        <v>45016</v>
      </c>
      <c r="DG98" s="22"/>
      <c r="DH98" s="22"/>
      <c r="DI98" s="22"/>
      <c r="DJ98" s="22"/>
      <c r="DK98" s="22"/>
      <c r="DL98" s="22"/>
      <c r="DM98" s="22"/>
      <c r="DN98" s="22"/>
      <c r="DO98" s="22"/>
      <c r="DP98" s="22"/>
      <c r="DQ98" s="22"/>
      <c r="DR98" s="28">
        <v>1</v>
      </c>
      <c r="DS98" s="22"/>
      <c r="DT98" s="22"/>
      <c r="DU98" s="216" t="str">
        <f t="shared" ca="1" si="438"/>
        <v>SALE SIN PLAN DE PARTO</v>
      </c>
      <c r="DV98" s="226" t="str">
        <f t="shared" si="439"/>
        <v>SALIO PROGRAMA</v>
      </c>
      <c r="DW9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98" s="216" t="str">
        <f t="shared" ca="1" si="266"/>
        <v/>
      </c>
      <c r="DY98" s="212">
        <f>IF(R98="","",IF(R98&gt;0,MAX(Tabla1[[#This Row],[FECHA C2]:[FECHA C13]],Tabla1[[#This Row],[FECHA CONSULTA PRIMERA VEZ PROGRAMA CPN ]])))</f>
        <v>45016</v>
      </c>
      <c r="DZ98" s="216">
        <f t="shared" si="267"/>
        <v>27</v>
      </c>
      <c r="EA98" s="222">
        <f>IF(R98&gt;0,SUM(COUNTA(DF98:DQ98)+COUNTA(Tabla1[[#This Row],[FECHA CONSULTA PRIMERA VEZ PROGRAMA CPN ]])),"")</f>
        <v>2</v>
      </c>
      <c r="EB98" s="222" t="str">
        <f t="shared" si="268"/>
        <v>NO</v>
      </c>
      <c r="EC98" s="214">
        <f t="shared" si="269"/>
        <v>7</v>
      </c>
      <c r="ED98" s="227">
        <f t="shared" si="270"/>
        <v>0.2857142857142857</v>
      </c>
      <c r="EE98" s="22">
        <v>44964</v>
      </c>
      <c r="EF98" s="22">
        <v>44964</v>
      </c>
      <c r="EG98" s="22">
        <v>44964</v>
      </c>
      <c r="EH98" s="22"/>
      <c r="EI98" s="22">
        <v>44964</v>
      </c>
      <c r="EJ98" s="22"/>
      <c r="EK98" s="22"/>
      <c r="EL98" s="21"/>
      <c r="EM98" s="21"/>
      <c r="EN98" s="22"/>
      <c r="EO98" s="222" t="str">
        <f t="shared" si="271"/>
        <v>TOMAR EXAMEN</v>
      </c>
      <c r="EP98" s="214" t="str">
        <f t="shared" si="272"/>
        <v/>
      </c>
      <c r="EQ98" s="216" t="str">
        <f t="shared" si="273"/>
        <v>POR DEFINIR</v>
      </c>
      <c r="ER98" s="24"/>
      <c r="ES98" s="22"/>
      <c r="ET98" s="29" t="str">
        <f t="shared" ca="1" si="440"/>
        <v>SALE SIN TAMIZAJE HEMOGLOBINA SEM 28</v>
      </c>
      <c r="EU98" s="25" t="str">
        <f t="shared" si="275"/>
        <v/>
      </c>
      <c r="EV98" s="24"/>
      <c r="EW98" s="24"/>
      <c r="EX98" s="22"/>
      <c r="EY98" s="29" t="str">
        <f t="shared" si="453"/>
        <v>TOMAR EXAMEN</v>
      </c>
      <c r="EZ98" s="25" t="str">
        <f t="shared" ca="1" si="454"/>
        <v/>
      </c>
      <c r="FA98" s="21"/>
      <c r="FB98" s="22"/>
      <c r="FC98" s="29" t="str">
        <f t="shared" si="276"/>
        <v>TOMAR EXAMEN</v>
      </c>
      <c r="FD98" s="29"/>
      <c r="FE98" s="29"/>
      <c r="FF98" s="29"/>
      <c r="FG98" s="21" t="str">
        <f t="shared" ca="1" si="277"/>
        <v/>
      </c>
      <c r="FH98" s="31"/>
      <c r="FI98" s="29" t="str">
        <f t="shared" si="278"/>
        <v>TOMAR EXAMEN</v>
      </c>
      <c r="FJ98" s="22"/>
      <c r="FK98" s="22"/>
      <c r="FL98" s="29" t="str">
        <f t="shared" ca="1" si="279"/>
        <v>NO APLICA-INGRESO TARDIO</v>
      </c>
      <c r="FM98" s="22"/>
      <c r="FN98" s="32"/>
      <c r="FO98" s="29" t="str">
        <f t="shared" ca="1" si="441"/>
        <v>PIERDE TOMA DE TAMIZAJE</v>
      </c>
      <c r="FP98" s="22"/>
      <c r="FQ98" s="32"/>
      <c r="FR98" s="29" t="str">
        <f t="shared" ca="1" si="442"/>
        <v>PIERDE TOMA DE TAMIZAJE</v>
      </c>
      <c r="FS98" s="22"/>
      <c r="FT98" s="32"/>
      <c r="FU98" s="29" t="str">
        <f>IF(AND(FJ98="",FM98="",FP98="",FS98=""),"",IF(OR(OR(Tabla1[[#This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8" s="28"/>
      <c r="FW98" s="22"/>
      <c r="FX98" s="29" t="str">
        <f t="shared" si="280"/>
        <v>TOMAR EXAMEN</v>
      </c>
      <c r="FY98" s="22"/>
      <c r="FZ98" s="22"/>
      <c r="GA98" s="29" t="str">
        <f t="shared" ca="1" si="452"/>
        <v>NO APLICA-INGRESO TARDIO</v>
      </c>
      <c r="GB98" s="22"/>
      <c r="GC98" s="22"/>
      <c r="GD98" s="29" t="str">
        <f t="shared" ca="1" si="443"/>
        <v>PIERDE TOMA DE TAMIZAJE</v>
      </c>
      <c r="GE98" s="22"/>
      <c r="GF98" s="22"/>
      <c r="GG98" s="29" t="str">
        <f t="shared" ca="1" si="444"/>
        <v>PIERDE TOMA DE TAMIZAJE</v>
      </c>
      <c r="GH98" s="22"/>
      <c r="GI98" s="29"/>
      <c r="GJ98" s="22"/>
      <c r="GK98" s="22"/>
      <c r="GL98" s="22"/>
      <c r="GM98" s="22"/>
      <c r="GN98" s="28"/>
      <c r="GO98" s="22"/>
      <c r="GP98" s="29" t="str">
        <f t="shared" si="283"/>
        <v>TOMAR EXAMEN</v>
      </c>
      <c r="GQ98" s="28"/>
      <c r="GR98" s="28"/>
      <c r="GS98" s="22" t="str">
        <f t="shared" si="284"/>
        <v/>
      </c>
      <c r="GT98" s="22"/>
      <c r="GU98" s="29" t="str">
        <f t="shared" si="285"/>
        <v>TOMAR EXAMEN</v>
      </c>
      <c r="GV98" s="21" t="str">
        <f t="shared" si="286"/>
        <v>POR DEFINIR</v>
      </c>
      <c r="GW98" s="28"/>
      <c r="GX98" s="30"/>
      <c r="GY98" s="21"/>
      <c r="GZ98" s="21"/>
      <c r="HA98" s="21"/>
      <c r="HB98" s="21"/>
      <c r="HC98" s="21"/>
      <c r="HD98" s="21"/>
      <c r="HE98" s="21"/>
      <c r="HF98" s="22"/>
      <c r="HG98" s="22" t="str">
        <f>IF(OR(O98&gt;0,R98&gt;0),CONCATENATE(IF(Tabla1[[#This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8" s="22" t="e">
        <f t="shared" si="287"/>
        <v>#REF!</v>
      </c>
      <c r="HI98" s="22" t="e">
        <f t="shared" ca="1" si="288"/>
        <v>#REF!</v>
      </c>
      <c r="HJ98" s="21"/>
      <c r="HK98" s="21" t="str">
        <f t="shared" si="289"/>
        <v>SIN ANTECEDENTES DE RIESGO</v>
      </c>
      <c r="HL98" s="24" t="str">
        <f t="shared" si="290"/>
        <v>REGISTRE DATO PRESIÓN ARTERIAL MENSUAL</v>
      </c>
      <c r="HM98" s="21" t="str">
        <f t="shared" ca="1" si="291"/>
        <v/>
      </c>
      <c r="HN98" s="30" t="str">
        <f t="shared" si="445"/>
        <v>SALIO PROGRAMA</v>
      </c>
      <c r="HO98" s="21"/>
      <c r="HP98" s="21"/>
      <c r="HQ98" s="21"/>
      <c r="HR98" s="21" t="str">
        <f>IF(R98="","",IF(Tabla1[[#This Row],[ALARMA FACTORES DE RIESGO COMPLICACIONES HIPERTENSIVAS3]]="SIN ANTECEDENTES DE RIESGO","No Aplica para suministro de ASA",IF(AND(Tabla1[[#This Row],[FECHA INICIO DE SUMINISTRO DE ASA]]&gt;0,RV98&lt;12),"Inicia ASA ANTES de Sem 12",IF(AND(RV98&gt;11,RV98&lt;17,OR(HK98="RIESGO ALTO DE COMPLICACIONES HIPERTENSIVAS VER MANEJO GUIA SUMINISTRO ASA Y CALCIO",HK98="RIESGO MODERADO (2 O MAS CRITERIOS) VER MANEJO GUIA SUMINISTRO ASA Y CALCIO")),"Inicio oportuno de ASA",IF(AND(RV98&gt;12,OR(HK98="RIESGO ALTO DE COMPLICACIONES HIPERTENSIVAS VER MANEJO GUIA SUMINISTRO ASA Y CALCIO",HK98="RIESGO MODERADO (2 O MAS CRITERIOS) VER MANEJO GUIA SUMINISTRO ASA Y CALCIO")),"Inicio no oportuno mayor a 16 semanas",IF(AND(BU98&lt;12,OR(HK98="RIESGO ALTO DE COMPLICACIONES HIPERTENSIVAS VER MANEJO GUIA SUMINISTRO ASA Y CALCIO",HK98="RIESGO MODERADO (2 O MAS CRITERIOS) VER MANEJO GUIA SUMINISTRO ASA Y CALCIO")),"Pendiente Inicio de ASA a la semana 12",IF(AND(BU98&gt;11,BU98&lt;17,OR(HK98="RIESGO ALTO DE COMPLICACIONES HIPERTENSIVAS VER MANEJO GUIA SUMINISTRO ASA Y CALCIO",HK98="RIESGO MODERADO (2 O MAS CRITERIOS) VER MANEJO GUIA SUMINISTRO ASA Y CALCIO")),"Iniciar de inmediato ASA",IF(AND(BU98&gt;16,OR(HK98="RIESGO ALTO DE COMPLICACIONES HIPERTENSIVAS VER MANEJO GUIA SUMINISTRO ASA Y CALCIO",HK98="RIESGO MODERADO (2 O MAS CRITERIOS) VER MANEJO GUIA SUMINISTRO ASA Y CALCIO")),"Pierde Oportunidad, Inicio tardío de ASA","XXXXX"))))))))</f>
        <v>No Aplica para suministro de ASA</v>
      </c>
      <c r="HS98" s="22"/>
      <c r="HT98" s="22"/>
      <c r="HU98" s="22"/>
      <c r="HV98" s="22"/>
      <c r="HW98" s="22"/>
      <c r="HX98" s="22"/>
      <c r="HY98" s="22">
        <v>44964</v>
      </c>
      <c r="HZ98" s="28">
        <f t="shared" si="292"/>
        <v>20</v>
      </c>
      <c r="IA98" s="26"/>
      <c r="IB98" s="26"/>
      <c r="IC98" s="111"/>
      <c r="ID98" s="22"/>
      <c r="IE98" s="22" t="str">
        <f t="shared" ca="1" si="293"/>
        <v>SALE SIN VACUNA</v>
      </c>
      <c r="IF98" s="22"/>
      <c r="IG98" s="22">
        <f t="shared" si="294"/>
        <v>45104</v>
      </c>
      <c r="IH98" s="29">
        <f t="shared" ca="1" si="295"/>
        <v>-129</v>
      </c>
      <c r="II98" s="22" t="str">
        <f t="shared" ca="1" si="296"/>
        <v>POSIBLEMENTE NACIO</v>
      </c>
      <c r="IJ98" s="22"/>
      <c r="IK98" s="21" t="s">
        <v>898</v>
      </c>
      <c r="IL98" s="21"/>
      <c r="IM98" s="34"/>
      <c r="IN98" s="349">
        <v>45090</v>
      </c>
      <c r="IO98" s="21" t="s">
        <v>1640</v>
      </c>
      <c r="IP98" s="29">
        <f t="shared" si="435"/>
        <v>38</v>
      </c>
      <c r="IQ98" s="110"/>
      <c r="IR98" s="21" t="s">
        <v>879</v>
      </c>
      <c r="IS98" s="21" t="s">
        <v>1641</v>
      </c>
      <c r="IT98" s="290" t="s">
        <v>1642</v>
      </c>
      <c r="IU98" s="21"/>
      <c r="IV98" s="21"/>
      <c r="IW98" s="21"/>
      <c r="IX98" s="21"/>
      <c r="IY98" s="21"/>
      <c r="IZ98" s="21"/>
      <c r="JA98" s="21"/>
      <c r="JB98" s="30">
        <v>1</v>
      </c>
      <c r="JC98" s="21" t="s">
        <v>1647</v>
      </c>
      <c r="JD98" s="36">
        <v>2500</v>
      </c>
      <c r="JE98" s="21" t="str">
        <f t="shared" si="446"/>
        <v>PESO ADECUADO EDAD GESTACIONAL</v>
      </c>
      <c r="JF98" s="30"/>
      <c r="JG98" s="21"/>
      <c r="JH98" s="21"/>
      <c r="JI98" s="21"/>
      <c r="JJ98" s="30"/>
      <c r="JK98" s="22"/>
      <c r="JL98" s="22"/>
      <c r="JM98" s="21"/>
      <c r="JN98" s="36"/>
      <c r="JO98" s="21" t="str">
        <f t="shared" si="447"/>
        <v/>
      </c>
      <c r="JP98" s="22"/>
      <c r="JQ98" s="21"/>
      <c r="JR98" s="21"/>
      <c r="JS98" s="21"/>
      <c r="JT98" s="30"/>
      <c r="JU98" s="22"/>
      <c r="JV98" s="22"/>
      <c r="JW98" s="33"/>
      <c r="JX98" s="28" t="str">
        <f t="shared" si="448"/>
        <v>INASISTENTE</v>
      </c>
      <c r="JY98" s="33"/>
      <c r="JZ98" s="28" t="str">
        <f t="shared" si="449"/>
        <v>INASISTENTE</v>
      </c>
      <c r="KA98" s="21"/>
      <c r="KB98" s="21"/>
      <c r="KC98" s="21"/>
      <c r="KD98" s="37"/>
      <c r="KE98" s="28"/>
      <c r="KF98" s="28"/>
      <c r="KG98" s="28"/>
      <c r="KH98" s="39"/>
      <c r="KI98" s="39"/>
      <c r="KJ98" s="66"/>
      <c r="KK98" s="39"/>
      <c r="KL98" s="39"/>
      <c r="KM98" s="66"/>
      <c r="KN98" s="39"/>
      <c r="KO98" s="39"/>
      <c r="KP98" s="39"/>
      <c r="KQ98" s="39"/>
      <c r="KR98" s="39"/>
      <c r="KS98" s="39"/>
      <c r="KT98" s="39"/>
      <c r="KU98" s="38"/>
      <c r="KV98" s="38"/>
      <c r="KW98" s="38"/>
      <c r="KX98" s="38"/>
      <c r="KY98" s="38"/>
      <c r="KZ98" s="38"/>
      <c r="LA98" s="38"/>
      <c r="LB98" s="38"/>
      <c r="LC98" s="38"/>
      <c r="LD98" s="38"/>
      <c r="LE98" s="38"/>
      <c r="LF98" s="38"/>
      <c r="LG98" s="38"/>
      <c r="LH98" s="38"/>
      <c r="LI98" s="38"/>
      <c r="LJ98" s="38"/>
      <c r="LK98" s="38"/>
      <c r="LL98" s="38"/>
      <c r="LM98" s="38"/>
      <c r="LN98" s="38"/>
      <c r="LO98" s="38"/>
      <c r="LP98" s="38"/>
      <c r="LQ98" s="38"/>
      <c r="LR98" s="38"/>
      <c r="LS98" s="38"/>
      <c r="LT98" s="38"/>
      <c r="LU98" s="38"/>
      <c r="LV98" s="38"/>
      <c r="LW98" s="38"/>
      <c r="LX98" s="38"/>
      <c r="LY98" s="38"/>
      <c r="LZ98" s="38"/>
      <c r="MA98" s="38"/>
      <c r="MB98" s="38"/>
      <c r="MC98" s="38"/>
      <c r="MD98" s="38"/>
      <c r="ME98" s="38"/>
      <c r="MF98" s="38"/>
      <c r="MG98" s="38"/>
      <c r="MH98" s="43">
        <f t="shared" si="302"/>
        <v>0</v>
      </c>
      <c r="MI98" s="43" t="str">
        <f t="shared" si="303"/>
        <v/>
      </c>
      <c r="MJ98" s="43" t="str">
        <f t="shared" si="304"/>
        <v/>
      </c>
      <c r="MK98" s="43">
        <f t="shared" si="305"/>
        <v>0</v>
      </c>
      <c r="ML9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8" s="43">
        <f t="shared" si="306"/>
        <v>20</v>
      </c>
      <c r="MN98" s="43">
        <f t="shared" si="307"/>
        <v>2</v>
      </c>
      <c r="MO98" s="43">
        <f t="shared" si="308"/>
        <v>2023</v>
      </c>
      <c r="MP98" s="43" t="str">
        <f t="shared" si="309"/>
        <v>I TRIMESTRE AÑO</v>
      </c>
      <c r="MQ98" s="43">
        <f t="shared" si="310"/>
        <v>21.323368374945247</v>
      </c>
      <c r="MR98" s="43">
        <f t="shared" si="311"/>
        <v>0</v>
      </c>
      <c r="MS98" s="43" t="str">
        <f t="shared" si="312"/>
        <v xml:space="preserve"> DE 20 A 24 AÑOS</v>
      </c>
      <c r="MT98" s="43">
        <f t="shared" si="313"/>
        <v>0</v>
      </c>
      <c r="MU98" s="43">
        <f t="shared" si="314"/>
        <v>0</v>
      </c>
      <c r="MV98" s="43">
        <f t="shared" si="315"/>
        <v>0</v>
      </c>
      <c r="MW98" s="43">
        <f t="shared" si="316"/>
        <v>0</v>
      </c>
      <c r="MX98" s="43" t="str">
        <f t="shared" si="317"/>
        <v/>
      </c>
      <c r="MY98" s="43" t="str">
        <f t="shared" ca="1" si="450"/>
        <v/>
      </c>
      <c r="MZ98" s="43" t="str">
        <f t="shared" si="318"/>
        <v/>
      </c>
      <c r="NA98" s="43">
        <f t="shared" si="319"/>
        <v>0</v>
      </c>
      <c r="NB98" s="43" t="str">
        <f t="shared" si="320"/>
        <v/>
      </c>
      <c r="NC98" s="43" t="str">
        <f t="shared" si="321"/>
        <v/>
      </c>
      <c r="ND98" s="43">
        <f t="shared" ca="1" si="322"/>
        <v>0</v>
      </c>
      <c r="NE98" s="43">
        <f>IF(OR(O98&gt;0,R98&gt;0),SUM(COUNTIF(Tabla1[[#This Row],[AÑOS AL INICIO5 CPN]],"&gt;=40"),COUNTIF(AS98,"0"),COUNTIF(AR98,"SI"),COUNTIF(CC98,"SI"),COUNTIF(BQ98,"&gt;119"),COUNTIF(CI98,"&gt;=35")),"")</f>
        <v>0</v>
      </c>
      <c r="NF98" s="43" t="str">
        <f t="shared" si="323"/>
        <v/>
      </c>
      <c r="NG98" s="43">
        <f t="shared" si="324"/>
        <v>0</v>
      </c>
      <c r="NH98" s="43">
        <f t="shared" si="325"/>
        <v>156.1</v>
      </c>
      <c r="NI9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CPN",P98="NO"),"Z",IF(AND(Tabla1[[#This Row],[CITA PROXIMO CONTROL]]="CITA MANUAL",Tabla1[[#This Row],[GESTANTES ACTUALES]]="ACTIVA INGRESO A CPN"),"W",IF(AND(Tabla1[[#This Row],[GESTANTES ACTUALES]]="SALIO PROGRAMA",IN98=""),"S",IF(AND(Tabla1[[#This Row],[CITA PROXIMO CONTROL]]&gt;0,IN98=""),(Tabla1[[#This Row],[CITA PROXIMO CONTROL]]-TODAY()),"SD"))))))))</f>
        <v>SD</v>
      </c>
      <c r="NJ98" s="43">
        <f>MONTH(Tabla1[[#This Row],[FECHA DE SALIDA  DEL PROGRAMA]])</f>
        <v>6</v>
      </c>
      <c r="NK98" s="43">
        <f>YEAR(Tabla1[[#This Row],[FECHA DE SALIDA  DEL PROGRAMA]])</f>
        <v>2023</v>
      </c>
      <c r="NL98" s="43" t="str">
        <f t="shared" si="326"/>
        <v>X</v>
      </c>
      <c r="NM98" s="43" t="str">
        <f t="shared" si="455"/>
        <v>NO</v>
      </c>
      <c r="NN98" s="43" t="str">
        <f ca="1">IF(AND(O98&gt;0,R98=""),"NO CPN",IF(AND(O98="",R98=""),"",IF(AND(R98&gt;0,Tabla1[[#This Row],[SEMANAS DE GESTACION ACTUALIZADAS]]&lt;=12),"NO APLICA",IF(AND(FH98&lt;&gt;"",FN98&lt;&gt;""),"SI","NO"))))</f>
        <v>NO</v>
      </c>
      <c r="NO98" s="43" t="str">
        <f ca="1">IF(AND(O98&gt;0,R98=""),"NO CPN",IF(AND(O98="",R98=""),"",IF(AND(R98&gt;0,Tabla1[[#This Row],[SEMANAS DE GESTACION ACTUALIZADAS]]&lt;=27),"NO APLICA",IF(AND(ES98&lt;&gt;"",FQ98&lt;&gt;"",GF98&lt;&gt;""),"SI","NO"))))</f>
        <v>NO</v>
      </c>
      <c r="NP98" s="204" t="str">
        <f t="shared" si="327"/>
        <v>II TRIM</v>
      </c>
      <c r="NQ98" s="21" t="str">
        <f t="shared" si="436"/>
        <v/>
      </c>
      <c r="NR98" s="21">
        <f t="shared" si="451"/>
        <v>2</v>
      </c>
      <c r="NS98" s="205">
        <f t="shared" ca="1" si="328"/>
        <v>0</v>
      </c>
      <c r="NT98" s="21">
        <f t="shared" ca="1" si="329"/>
        <v>0</v>
      </c>
      <c r="NU98" s="21" t="str">
        <f t="shared" ca="1" si="330"/>
        <v>INCOMPLETO</v>
      </c>
      <c r="NV98" s="21" t="str">
        <f t="shared" ca="1" si="331"/>
        <v>INCOMPLETO</v>
      </c>
      <c r="NW98" s="206" t="str">
        <f>IF(AND(O98="",R98=""),"",IF(OR(AND(Tabla1[[#This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8" s="207" t="str">
        <f t="shared" ca="1" si="332"/>
        <v>SIN VACUNAR</v>
      </c>
      <c r="NY98" s="43">
        <f>ROW(Tabla1[[#This Row],['# DE TAMIZAJES SIFILIS TOMADOS ]])</f>
        <v>98</v>
      </c>
      <c r="NZ98" s="43">
        <f t="shared" si="333"/>
        <v>20</v>
      </c>
      <c r="OA98" s="43" t="str">
        <f t="shared" si="334"/>
        <v/>
      </c>
      <c r="OB98" s="43" t="str">
        <f t="shared" si="335"/>
        <v/>
      </c>
      <c r="OC98" s="43" t="str">
        <f t="shared" si="336"/>
        <v/>
      </c>
      <c r="OD98" s="43" t="str">
        <f t="shared" si="337"/>
        <v/>
      </c>
      <c r="OE98" s="43" t="str">
        <f t="shared" si="338"/>
        <v/>
      </c>
      <c r="OF98" s="43" t="str">
        <f t="shared" si="339"/>
        <v/>
      </c>
      <c r="OG98" s="43" t="str">
        <f t="shared" si="340"/>
        <v/>
      </c>
      <c r="OH98" s="43" t="str">
        <f t="shared" si="341"/>
        <v/>
      </c>
      <c r="OI98" s="43" t="str">
        <f t="shared" si="342"/>
        <v/>
      </c>
      <c r="OJ98" s="43" t="str">
        <f t="shared" si="343"/>
        <v/>
      </c>
      <c r="OK98" s="43" t="str">
        <f t="shared" si="344"/>
        <v/>
      </c>
      <c r="OL98" s="43" t="str">
        <f t="shared" si="345"/>
        <v>NORMAL</v>
      </c>
      <c r="OM98" s="43" t="str">
        <f t="shared" si="346"/>
        <v/>
      </c>
      <c r="ON98" s="43" t="str">
        <f t="shared" si="347"/>
        <v/>
      </c>
      <c r="OO98" s="43" t="str">
        <f t="shared" si="348"/>
        <v/>
      </c>
      <c r="OP98" s="43" t="str">
        <f t="shared" si="349"/>
        <v/>
      </c>
      <c r="OQ98" s="43" t="str">
        <f t="shared" si="350"/>
        <v/>
      </c>
      <c r="OR98" s="43" t="str">
        <f t="shared" si="351"/>
        <v/>
      </c>
      <c r="OS98" s="43" t="str">
        <f t="shared" si="352"/>
        <v/>
      </c>
      <c r="OT98" s="43" t="str">
        <f t="shared" si="353"/>
        <v/>
      </c>
      <c r="OU98" s="43" t="str">
        <f t="shared" si="354"/>
        <v/>
      </c>
      <c r="OV98" s="110" t="str">
        <f t="shared" si="355"/>
        <v/>
      </c>
      <c r="OW98" s="43" t="str">
        <f t="shared" si="356"/>
        <v/>
      </c>
      <c r="OX98" s="43" t="str">
        <f t="shared" si="357"/>
        <v/>
      </c>
      <c r="OY98" s="43" t="str">
        <f t="shared" si="358"/>
        <v/>
      </c>
      <c r="OZ98" s="43" t="str">
        <f t="shared" si="359"/>
        <v/>
      </c>
      <c r="PA98" s="43" t="str">
        <f t="shared" si="360"/>
        <v/>
      </c>
      <c r="PB98" s="43" t="str">
        <f t="shared" si="361"/>
        <v/>
      </c>
      <c r="PC98" s="43" t="str">
        <f t="shared" si="362"/>
        <v/>
      </c>
      <c r="PD98" s="43" t="str">
        <f t="shared" si="363"/>
        <v/>
      </c>
      <c r="PE98" s="43" t="str">
        <f t="shared" si="364"/>
        <v/>
      </c>
      <c r="PF98" s="43" t="str">
        <f t="shared" si="365"/>
        <v/>
      </c>
      <c r="PG98" s="43" t="str">
        <f t="shared" si="366"/>
        <v/>
      </c>
      <c r="PH98" s="43" t="str">
        <f t="shared" si="367"/>
        <v/>
      </c>
      <c r="PI98" s="43">
        <f t="shared" si="368"/>
        <v>27</v>
      </c>
      <c r="PJ98" s="43" t="str">
        <f t="shared" si="369"/>
        <v/>
      </c>
      <c r="PK98" s="43" t="str">
        <f t="shared" si="370"/>
        <v/>
      </c>
      <c r="PL98" s="43" t="str">
        <f t="shared" si="371"/>
        <v/>
      </c>
      <c r="PM98" s="43" t="str">
        <f t="shared" si="372"/>
        <v/>
      </c>
      <c r="PN98" s="43" t="str">
        <f t="shared" si="373"/>
        <v/>
      </c>
      <c r="PO98" s="43" t="str">
        <f t="shared" si="374"/>
        <v/>
      </c>
      <c r="PP98" s="43" t="str">
        <f t="shared" si="375"/>
        <v/>
      </c>
      <c r="PQ98" s="43" t="str">
        <f t="shared" si="376"/>
        <v/>
      </c>
      <c r="PR98" s="43" t="str">
        <f t="shared" si="377"/>
        <v/>
      </c>
      <c r="PS98" s="43" t="str">
        <f t="shared" si="378"/>
        <v/>
      </c>
      <c r="PT98" s="43" t="str">
        <f t="shared" si="379"/>
        <v/>
      </c>
      <c r="PU98" s="43" t="str">
        <f t="shared" si="380"/>
        <v/>
      </c>
      <c r="PV98" s="43" t="str">
        <f t="shared" si="381"/>
        <v/>
      </c>
      <c r="PW98" s="43" t="str">
        <f t="shared" si="382"/>
        <v/>
      </c>
      <c r="PX98" s="43" t="str">
        <f t="shared" si="383"/>
        <v/>
      </c>
      <c r="PY98" s="43" t="str">
        <f t="shared" si="384"/>
        <v/>
      </c>
      <c r="PZ98" s="43" t="str">
        <f t="shared" si="385"/>
        <v/>
      </c>
      <c r="QA98" s="43" t="str">
        <f t="shared" si="386"/>
        <v/>
      </c>
      <c r="QB98" s="43" t="str">
        <f t="shared" si="387"/>
        <v/>
      </c>
      <c r="QC98" s="43" t="str">
        <f t="shared" si="388"/>
        <v/>
      </c>
      <c r="QD98" s="43" t="str">
        <f t="shared" si="389"/>
        <v/>
      </c>
      <c r="QE98" s="43" t="str">
        <f t="shared" si="390"/>
        <v/>
      </c>
      <c r="QF98" s="43" t="str">
        <f t="shared" si="391"/>
        <v/>
      </c>
      <c r="QG98" s="43" t="str">
        <f t="shared" si="392"/>
        <v/>
      </c>
      <c r="QH98" s="43" t="str">
        <f t="shared" si="393"/>
        <v/>
      </c>
      <c r="QI98" s="43" t="str">
        <f t="shared" si="394"/>
        <v/>
      </c>
      <c r="QJ98" s="43" t="str">
        <f t="shared" si="395"/>
        <v/>
      </c>
      <c r="QK98" s="43" t="str">
        <f t="shared" si="396"/>
        <v/>
      </c>
      <c r="QL98" s="43" t="str">
        <f t="shared" si="397"/>
        <v/>
      </c>
      <c r="QM98" s="43" t="str">
        <f t="shared" si="398"/>
        <v/>
      </c>
      <c r="QN98" s="43" t="str">
        <f t="shared" si="399"/>
        <v/>
      </c>
      <c r="QO98" s="43" t="str">
        <f t="shared" si="400"/>
        <v/>
      </c>
      <c r="QP98" s="43" t="str">
        <f t="shared" si="401"/>
        <v/>
      </c>
      <c r="QQ98" s="43" t="str">
        <f t="shared" si="402"/>
        <v/>
      </c>
      <c r="QR98" s="43">
        <f t="shared" si="432"/>
        <v>27</v>
      </c>
      <c r="QS98" s="43"/>
      <c r="QT98" s="21" t="str">
        <f t="shared" si="403"/>
        <v/>
      </c>
      <c r="QU98" s="21" t="str">
        <f t="shared" si="404"/>
        <v/>
      </c>
      <c r="QV98" s="21" t="str">
        <f t="shared" si="405"/>
        <v/>
      </c>
      <c r="QW98" s="21" t="str">
        <f t="shared" si="406"/>
        <v/>
      </c>
      <c r="QX98" s="21" t="str">
        <f t="shared" si="407"/>
        <v/>
      </c>
      <c r="QY98" s="21" t="str">
        <f t="shared" si="408"/>
        <v/>
      </c>
      <c r="QZ98" s="21" t="str">
        <f t="shared" si="409"/>
        <v/>
      </c>
      <c r="RA98" s="21" t="str">
        <f t="shared" si="410"/>
        <v/>
      </c>
      <c r="RB98" s="21" t="str">
        <f t="shared" si="411"/>
        <v/>
      </c>
      <c r="RC98" s="21" t="str">
        <f t="shared" si="412"/>
        <v/>
      </c>
      <c r="RD98" s="21" t="str">
        <f t="shared" si="413"/>
        <v/>
      </c>
      <c r="RE98" s="21" t="str">
        <f t="shared" si="414"/>
        <v/>
      </c>
      <c r="RF98" s="21" t="str">
        <f t="shared" si="415"/>
        <v/>
      </c>
      <c r="RG98" s="21" t="str">
        <f t="shared" si="416"/>
        <v/>
      </c>
      <c r="RH98" s="21" t="str">
        <f t="shared" si="417"/>
        <v/>
      </c>
      <c r="RI98" s="21" t="str">
        <f t="shared" si="418"/>
        <v/>
      </c>
      <c r="RJ98" s="21" t="str">
        <f t="shared" si="419"/>
        <v/>
      </c>
      <c r="RK98" s="21" t="str">
        <f t="shared" si="420"/>
        <v/>
      </c>
      <c r="RL98" s="21" t="str">
        <f t="shared" si="421"/>
        <v/>
      </c>
      <c r="RM98" s="21" t="str">
        <f t="shared" si="422"/>
        <v/>
      </c>
      <c r="RN98" s="21" t="str">
        <f t="shared" si="423"/>
        <v/>
      </c>
      <c r="RO98" s="21" t="str">
        <f t="shared" si="424"/>
        <v/>
      </c>
      <c r="RP98" s="21" t="str">
        <f t="shared" si="425"/>
        <v/>
      </c>
      <c r="RQ98" s="21" t="str">
        <f t="shared" si="426"/>
        <v/>
      </c>
      <c r="RR98" s="21" t="str">
        <f t="shared" si="427"/>
        <v/>
      </c>
      <c r="RS98" s="21" t="str">
        <f t="shared" si="428"/>
        <v/>
      </c>
      <c r="RT98" s="21" t="str">
        <f t="shared" si="429"/>
        <v/>
      </c>
      <c r="RU98" s="21" t="str">
        <f t="shared" si="430"/>
        <v/>
      </c>
      <c r="RV98" s="21">
        <f t="shared" si="431"/>
        <v>-1</v>
      </c>
      <c r="RW98" s="284">
        <f>IF(OR(Tabla1[[#This Row],[FUM FORMULA CONFIABLE]]="",Tabla1[[#This Row],[FUM FORMULA CONFIABLE]]="SD"),"",IF(Tabla1[[#This Row],[FUM FORMULA CONFIABLE]]="CORREGIDA",Tabla1[[#This Row],[FUM X ECO 1]],Tabla1[[#This Row],[FUM x AMENORREA]]))</f>
        <v>44824</v>
      </c>
      <c r="RX98" s="21">
        <f>IF(AND(Tabla1[[#This Row],[FUM X ECO 1]]="",Tabla1[[#This Row],[FUM x AMENORREA]]=""),"",IF(AND(Tabla1[[#This Row],[FUM X ECO 1]]="",Tabla1[[#This Row],[FUM x AMENORREA]]&lt;&gt;""),"X",SUM(Tabla1[[#This Row],[FUM X ECO 1]]-Tabla1[[#This Row],[FUM x AMENORREA]])))</f>
        <v>-20.099999999998545</v>
      </c>
      <c r="RY98" s="21">
        <f t="shared" si="433"/>
        <v>1</v>
      </c>
    </row>
    <row r="99" spans="1:493" ht="45" customHeight="1" x14ac:dyDescent="0.25">
      <c r="A99" s="300"/>
      <c r="B99" s="301"/>
      <c r="C99" s="301" t="s">
        <v>845</v>
      </c>
      <c r="D99" s="302"/>
      <c r="E99" s="43" t="s">
        <v>914</v>
      </c>
      <c r="F99" s="43" t="s">
        <v>884</v>
      </c>
      <c r="G99" s="43" t="s">
        <v>1296</v>
      </c>
      <c r="H99" s="43" t="s">
        <v>850</v>
      </c>
      <c r="I99" s="109" t="s">
        <v>851</v>
      </c>
      <c r="J99" s="110">
        <v>1060186045</v>
      </c>
      <c r="K99" s="301" t="s">
        <v>852</v>
      </c>
      <c r="L99" s="304" t="s">
        <v>1509</v>
      </c>
      <c r="M99" s="305">
        <v>38193</v>
      </c>
      <c r="N99" s="306">
        <f t="shared" ca="1" si="252"/>
        <v>19.287671232876711</v>
      </c>
      <c r="O99" s="305">
        <v>44971</v>
      </c>
      <c r="P99" s="307" t="str">
        <f t="shared" si="437"/>
        <v>SI</v>
      </c>
      <c r="Q99" s="308" t="s">
        <v>855</v>
      </c>
      <c r="R99" s="305">
        <v>44971</v>
      </c>
      <c r="S99" s="309" t="s">
        <v>856</v>
      </c>
      <c r="T99" s="310" t="s">
        <v>690</v>
      </c>
      <c r="U99" s="309" t="s">
        <v>857</v>
      </c>
      <c r="V99" s="309" t="s">
        <v>858</v>
      </c>
      <c r="W99" s="309" t="s">
        <v>1297</v>
      </c>
      <c r="X99" s="309" t="s">
        <v>1044</v>
      </c>
      <c r="Y99" s="309" t="s">
        <v>859</v>
      </c>
      <c r="Z99" s="309">
        <v>3137616407</v>
      </c>
      <c r="AA99" s="309" t="s">
        <v>860</v>
      </c>
      <c r="AB99" s="311" t="s">
        <v>861</v>
      </c>
      <c r="AC99" s="308" t="s">
        <v>888</v>
      </c>
      <c r="AD99" s="312" t="s">
        <v>846</v>
      </c>
      <c r="AE99" s="308" t="s">
        <v>854</v>
      </c>
      <c r="AF99" s="308" t="s">
        <v>854</v>
      </c>
      <c r="AG99" s="313" t="s">
        <v>864</v>
      </c>
      <c r="AH99" s="313" t="s">
        <v>864</v>
      </c>
      <c r="AI99" s="310" t="s">
        <v>863</v>
      </c>
      <c r="AJ99" s="313" t="s">
        <v>864</v>
      </c>
      <c r="AK99" s="314" t="str">
        <f>IF(AND(AD99="",AE99="",AF99="",AG99="",AH99="",AI99="",AJ99=""),"",IF(OR(Tabla1[[#This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EVALUACIÓN",IF(AND(O99="",R99=""),"",IF(AND(OR(O99&gt;0,R99&gt;0),NG99&gt;=0,NG99&lt;2),"SIN RIESGO",IF(AND(OR(O99&gt;0,R99&gt;0),NG99&gt;=2),"CON RIESGO","ASD")))))</f>
        <v>SIN RIESGO</v>
      </c>
      <c r="AL99" s="313" t="s">
        <v>864</v>
      </c>
      <c r="AM99" s="308" t="s">
        <v>864</v>
      </c>
      <c r="AN99" s="308" t="s">
        <v>864</v>
      </c>
      <c r="AO99" s="308" t="s">
        <v>864</v>
      </c>
      <c r="AP99" s="308" t="s">
        <v>864</v>
      </c>
      <c r="AQ99" s="308" t="s">
        <v>864</v>
      </c>
      <c r="AR99" s="308" t="s">
        <v>864</v>
      </c>
      <c r="AS99" s="309">
        <v>0</v>
      </c>
      <c r="AT99" s="309">
        <v>0</v>
      </c>
      <c r="AU99" s="309">
        <v>0</v>
      </c>
      <c r="AV99" s="308" t="s">
        <v>864</v>
      </c>
      <c r="AW99" s="309">
        <v>0</v>
      </c>
      <c r="AX99" s="308" t="s">
        <v>864</v>
      </c>
      <c r="AY99" s="308" t="s">
        <v>864</v>
      </c>
      <c r="AZ99" s="308" t="s">
        <v>864</v>
      </c>
      <c r="BA99" s="308" t="s">
        <v>864</v>
      </c>
      <c r="BB99" s="308" t="s">
        <v>864</v>
      </c>
      <c r="BC99" s="308" t="s">
        <v>864</v>
      </c>
      <c r="BD99" s="308" t="s">
        <v>864</v>
      </c>
      <c r="BE99" s="308" t="s">
        <v>864</v>
      </c>
      <c r="BF99" s="308" t="s">
        <v>864</v>
      </c>
      <c r="BG99" s="308" t="s">
        <v>864</v>
      </c>
      <c r="BH99" s="308" t="s">
        <v>864</v>
      </c>
      <c r="BI99" s="308" t="s">
        <v>864</v>
      </c>
      <c r="BJ99" s="308"/>
      <c r="BK99" s="308"/>
      <c r="BL99" s="308" t="s">
        <v>864</v>
      </c>
      <c r="BM99" s="308" t="s">
        <v>864</v>
      </c>
      <c r="BN99" s="305"/>
      <c r="BO99" s="305">
        <v>44850</v>
      </c>
      <c r="BP99" s="309" t="s">
        <v>1380</v>
      </c>
      <c r="BQ99" s="315">
        <f t="shared" si="254"/>
        <v>0</v>
      </c>
      <c r="BR99" s="316">
        <f t="shared" si="255"/>
        <v>44920.800000000003</v>
      </c>
      <c r="BS99" s="317">
        <f t="shared" si="256"/>
        <v>7.171428571428156</v>
      </c>
      <c r="BT99" s="318" t="str">
        <f t="shared" si="257"/>
        <v>I TRIM</v>
      </c>
      <c r="BU99" s="307" t="str">
        <f t="shared" ca="1" si="258"/>
        <v/>
      </c>
      <c r="BV99" s="319" t="s">
        <v>1525</v>
      </c>
      <c r="BW99" s="305">
        <v>45016</v>
      </c>
      <c r="BX99" s="320">
        <v>13.6</v>
      </c>
      <c r="BY99" s="320"/>
      <c r="BZ99" s="305"/>
      <c r="CA99" s="309"/>
      <c r="CB99" s="308" t="s">
        <v>864</v>
      </c>
      <c r="CC99" s="308" t="s">
        <v>864</v>
      </c>
      <c r="CD99" s="308"/>
      <c r="CE99" s="308"/>
      <c r="CF99" s="22" t="s">
        <v>1517</v>
      </c>
      <c r="CG99" s="309">
        <v>1.58</v>
      </c>
      <c r="CH99" s="309"/>
      <c r="CI99" s="307" t="str">
        <f t="shared" si="259"/>
        <v>X</v>
      </c>
      <c r="CJ99" s="321" t="str">
        <f>IF(AND(CI99&lt;10,CH99="SD"),"SIN DATO PESO PREGESTACION O I TRIM",IF(AND(OR(R99&gt;0,O99&gt;0),CI99="X"),"INGRESAR DATO DE PESO",IF(CI99="SD","INGRESAR DATO DE TALLA Y PESO",IF(AND(OR(Tabla1[[#This Row],[MOMENTO EN QUE SE REALIZA EL PESO AL INGRESO A CPN]]="PREGESTACIÓN",NZ99="Menor"),CI99&lt;18.5),"BAJO PESO",IF(AND(OR(Tabla1[[#This Row],[MOMENTO EN QUE SE REALIZA EL PESO AL INGRESO A CPN]]="PREGESTACIÓN",NZ99="Menor"),CI99&lt;25),"NORMAL",IF(AND(OR(Tabla1[[#This Row],[MOMENTO EN QUE SE REALIZA EL PESO AL INGRESO A CPN]]="PREGESTACIÓN",NZ99="Menor"),CI99&lt;30),"SOBREPESO",IF(AND(OR(Tabla1[[#This Row],[MOMENTO EN QUE SE REALIZA EL PESO AL INGRESO A CPN]]="PREGESTACIÓN",NZ99="Menor"),CI99&gt;=30,CI99&lt;50),"OBESIDAD",IF(AND(BS99&gt;0,Tabla1[[#This Row],[MOMENTO EN QUE SE REALIZA EL PESO AL INGRESO A CPN]]="GESTACIÓN"),HLOOKUP(NZ99,$OA$2:PH99,NY99),""))))))))</f>
        <v>INGRESAR DATO DE PESO</v>
      </c>
      <c r="CK99" s="322">
        <f t="shared" si="260"/>
        <v>45168</v>
      </c>
      <c r="CL99" s="309">
        <v>50.6</v>
      </c>
      <c r="CM99" s="307">
        <f t="shared" si="261"/>
        <v>20.269187630187467</v>
      </c>
      <c r="CN99" s="318">
        <f t="shared" si="262"/>
        <v>35</v>
      </c>
      <c r="CO99" s="318" t="e">
        <f>IF(PI99="","",IF(PI99&gt;0,HLOOKUP(PI99,$PJ$2:QQ99,NY99),""))</f>
        <v>#REF!</v>
      </c>
      <c r="CP99" s="309">
        <v>28</v>
      </c>
      <c r="CQ99" s="318" t="e">
        <f>IF(QR99="Menor","NO APLICA-MENOR 13 SEM",IF(AND(CC99="SI",CN99&gt;23),"NO APLICA- GEMELAR",IF(QR99="","",IF(QR99&gt;0,HLOOKUP(QR99,$QS$2:RU99,NY99),""))))</f>
        <v>#REF!</v>
      </c>
      <c r="CR99" s="309">
        <v>100</v>
      </c>
      <c r="CS99" s="309">
        <v>60</v>
      </c>
      <c r="CT99" s="323" t="str">
        <f>IF(R99="","",IF(AND(BS99&gt;1,BS99&lt;12,Tabla1[[#This Row],[T.A. SISTOLICA - ANTES DE SEMANA 12]]="",Tabla1[[#This Row],[T.A. DIASTOLICA - ANTES DE SEMANA 12]]=""),"REGISTRE DATO TA ANTES SEMANA 12",IF(AND(BS99&gt;11,BS99&lt;43,Tabla1[[#This Row],[T.A. SISTOLICA - ANTES DE SEMANA 12]]="",Tabla1[[#This Row],[T.A. DIASTOLICA - ANTES DE SEMANA 12]]=""),"NO APLICA REGISTRO TA-INGRESO TARDIO",IF(AND(OR(O99&gt;0,R99&gt;0),OR(CR99&gt;=140,CS99&gt;=90)),"DEFINIR ESTADIO HTA",IF(AND(OR(O99&gt;0,R99&gt;0),AND(CR99&gt;120,CR99&lt;=139)),"PRE HTA SEGUIMIENTO",IF(AND(OR(O99&gt;0,R99&gt;0),AND(CS99&gt;80,CS99&lt;=89)),"PRE HTA SEGUIMIENTO",IF(AND(OR(O99&gt;0,R99&gt;0),AND(CR99&gt;=80,CR99&lt;=120)),"APARENTEMENTE NORMAL",IF(AND(OR(O99&gt;0,R99&gt;0),AND(CS99&gt;=50,CS99&lt;=80)),"APARENTEMENTE NORMAL",IF(AND(OR(O99&gt;0,R99&gt;0),AND(CR99&gt;1,CR99&lt;=70),AND(CS99&gt;1,CS99&lt;=40)),"HIPOTENSIÓN","")))))))))</f>
        <v>APARENTEMENTE NORMAL</v>
      </c>
      <c r="CU99" s="309"/>
      <c r="CV99" s="309"/>
      <c r="CW99" s="323" t="str">
        <f ca="1">IF(R99="","",IF(AND(CN99&gt;19,CN99&lt;27,Tabla1[[#This Row],[T.A. SISTOLICA (Entre semana 20 y 26)]]="",Tabla1[[#This Row],[T.A. DIATOLICA (Entre semana 20 y 26)]]=""),"ACUDE A CONTROL SEM 20 A 26 REGISTRE TA AHORA",IF(AND(BS99&gt;1,BS99&lt;27,BU99&gt;19,Tabla1[[#This Row],[T.A. SISTOLICA (Entre semana 20 y 26)]]="",Tabla1[[#This Row],[T.A. DIATOLICA (Entre semana 20 y 26)]]=""),"COMPLETE REGISTRO TA CONTROL SEM 20 A26 ",IF(AND(BS99&gt;26,BS99&lt;43,Tabla1[[#This Row],[T.A. SISTOLICA (Entre semana 20 y 26)]]="",Tabla1[[#This Row],[T.A. DIATOLICA (Entre semana 20 y 26)]]=""),"NO APLICA REGISTRO TA-INGRESO TARDIO",IF(AND(OR(O99&gt;0,R99&gt;0),OR(CU99&gt;=140,CV99&gt;=90)),"ALTO RIESGO PREECLAMPSIA,DEFINIR ESTADIO HTA",IF(AND(OR(O99&gt;0,R99&gt;0),AND(CU99&gt;120,CU99&lt;=139)),"PRE HTA SEGUIMIENTO,RIESGO HIPERTENSION INDUCIDA POR EL EMBARAZO",IF(AND(OR(O99&gt;0,R99&gt;0),AND(CV99&gt;80,CV99&lt;=89)),"PRE HTA SEGUIMIENTO, RIESGO HIPERTENSION INDUCIDA POR EL EMBARAZO",IF(AND(OR(O99&lt;&gt;"",R99&lt;&gt;""),CS99&lt;&gt;"",CV99&lt;&gt;"",CS99&lt;=CV99),"VIGILAR CIFRAS PRESION ARTERIAL",IF(AND(OR(O99&gt;0,R99&gt;0),AND(CU99&gt;120,CU99&lt;=139)),"PRE HTA SEGUIMIENTO",IF(AND(OR(O99&gt;0,R99&gt;0),AND(CU99&gt;1,CU99&lt;=70),AND(CV99&gt;1,CV99&lt;=40)),"HIPOTENSIÓN",IF(AND(OR(O99&lt;&gt;"",R99&lt;&gt;""),CS99&lt;&gt;"",CV99&lt;&gt;"",CS99&gt;CV99),"APARENTEMENTE NORMAL",IF(AND(OR(O99&gt;0,R99&gt;0),AND(CU99&gt;=80,CU99&lt;=120)),"APARENTEMENTE NORMAL",IF(AND(OR(O99&gt;0,R99&gt;0),AND(CV99&gt;=50,CV99&lt;=80)),"APARENTEMENTE NORMAL","")))))))))))))</f>
        <v xml:space="preserve">COMPLETE REGISTRO TA CONTROL SEM 20 A26 </v>
      </c>
      <c r="CX99" s="309">
        <v>90</v>
      </c>
      <c r="CY99" s="309">
        <v>60</v>
      </c>
      <c r="CZ99" s="318" t="str">
        <f t="shared" ref="CZ99:CZ124" si="456">IF(R99="","",IF(AND(CN99&gt;31,CN99&lt;35,CX99="",CY99=""),"ACUDE A CONTROL SEM 30 A 34- REGISTRE AHORA",IF(AND(BS99&gt;34,BS99&lt;43,CX100="",CY100=""),"NO APLICA-INGRESO TARDIO",IF(AND(OR(O99&gt;0,R99&gt;0),OR(CX99&gt;=140,CY99&gt;=90)),"ESTUDIO INMEDIATO HTA PARA DESCARTAR PREECLAMSIA",IF(AND(OR(O99&gt;0,R99&gt;0),AND(CX99&gt;=130,CX99&lt;=139)),"PRE HTA,RIESGO ALTO PREECLAMPSIA",IF(AND(OR(O99&gt;0,R99&gt;0),AND(CY99&gt;80,CY99&lt;=89)),"PRE HTA,RIESGO ALTO PREECLAMPSIA",IF(AND(OR(O99&gt;0,R99&gt;0),AND(CX99&gt;120,CX99&lt;=129)),"RANGO PREHIPERTENSIVO SEGUIMIENTO HTA",IF(AND(OR(O99&lt;&gt;"",R99&lt;&gt;""),CS99&lt;&gt;"",CY99&lt;&gt;"",CS99&lt;CY99),"VIGILAR CIFRAS PRESION ARTERIAL",IF(AND(OR(O99&lt;&gt;"",R99&lt;&gt;""),CS99&lt;&gt;"",CY99&lt;&gt;"",CS99=CY99),"APARENTEMENTE NORMAL",IF(AND(OR(O99&gt;0,R99&gt;0),CX99&gt;=80,CX99&lt;=120),"APARENTEMENTE NORMAL",IF(AND(OR(O99&gt;0,R99&gt;0),CY99&gt;=50,CY99&lt;=80),"APARENTEMENTE NORMAL","")))))))))))</f>
        <v>APARENTEMENTE NORMAL</v>
      </c>
      <c r="DA99" s="309">
        <v>90</v>
      </c>
      <c r="DB99" s="318">
        <v>60</v>
      </c>
      <c r="DC99" s="323" t="str">
        <f t="shared" si="264"/>
        <v>APARENTEMENTE NORMAL</v>
      </c>
      <c r="DD99" s="305">
        <v>44971</v>
      </c>
      <c r="DE99" s="305">
        <v>44971</v>
      </c>
      <c r="DF99" s="305">
        <v>45020</v>
      </c>
      <c r="DG99" s="305"/>
      <c r="DH99" s="305"/>
      <c r="DI99" s="305">
        <v>45141</v>
      </c>
      <c r="DJ99" s="305">
        <v>45168</v>
      </c>
      <c r="DK99" s="305"/>
      <c r="DL99" s="305"/>
      <c r="DM99" s="305"/>
      <c r="DN99" s="305"/>
      <c r="DO99" s="305"/>
      <c r="DP99" s="305"/>
      <c r="DQ99" s="305"/>
      <c r="DR99" s="320"/>
      <c r="DS99" s="305"/>
      <c r="DT99" s="305"/>
      <c r="DU99" s="318" t="str">
        <f t="shared" ca="1" si="438"/>
        <v>CONCERTAR PLAN DE PARTO INMEDIATO</v>
      </c>
      <c r="DV99" s="324" t="str">
        <f t="shared" si="439"/>
        <v>ACTIVA INGRESO A CPN</v>
      </c>
      <c r="DW99"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99" s="318" t="e">
        <f t="shared" ca="1" si="266"/>
        <v>#REF!</v>
      </c>
      <c r="DY99" s="322">
        <f>IF(R99="","",IF(R99&gt;0,MAX(Tabla1[[#This Row],[FECHA C2]:[FECHA C13]],Tabla1[[#This Row],[FECHA CONSULTA PRIMERA VEZ PROGRAMA CPN ]])))</f>
        <v>45168</v>
      </c>
      <c r="DZ99" s="318">
        <f t="shared" si="267"/>
        <v>35</v>
      </c>
      <c r="EA99" s="315">
        <f>IF(R99&gt;0,SUM(COUNTA(DF99:DQ99)+COUNTA(Tabla1[[#This Row],[FECHA CONSULTA PRIMERA VEZ PROGRAMA CPN ]])),"")</f>
        <v>4</v>
      </c>
      <c r="EB99" s="315" t="str">
        <f t="shared" si="268"/>
        <v>SI</v>
      </c>
      <c r="EC99" s="307">
        <f t="shared" si="269"/>
        <v>10</v>
      </c>
      <c r="ED99" s="325">
        <f t="shared" si="270"/>
        <v>0.4</v>
      </c>
      <c r="EE99" s="305">
        <v>44971</v>
      </c>
      <c r="EF99" s="22">
        <v>44971</v>
      </c>
      <c r="EG99" s="22">
        <v>44971</v>
      </c>
      <c r="EH99" s="22"/>
      <c r="EI99" s="22">
        <v>44971</v>
      </c>
      <c r="EJ99" s="22"/>
      <c r="EK99" s="22"/>
      <c r="EL99" s="309"/>
      <c r="EM99" s="309">
        <v>14</v>
      </c>
      <c r="EN99" s="305">
        <v>45003</v>
      </c>
      <c r="EO99" s="315">
        <f t="shared" si="271"/>
        <v>11.742857142856726</v>
      </c>
      <c r="EP99" s="307" t="str">
        <f t="shared" si="272"/>
        <v>NORMAL- SUMINISTRAR SULFATO FERROSO</v>
      </c>
      <c r="EQ99" s="318" t="str">
        <f t="shared" si="273"/>
        <v>I TRIM</v>
      </c>
      <c r="ER99" s="310"/>
      <c r="ES99" s="305"/>
      <c r="ET99" s="326" t="str">
        <f t="shared" ca="1" si="440"/>
        <v>TOMA DE HEMOGLOBINA TARDÍA</v>
      </c>
      <c r="EU99" s="319" t="str">
        <f t="shared" si="275"/>
        <v/>
      </c>
      <c r="EV99" s="310" t="s">
        <v>1510</v>
      </c>
      <c r="EW99" s="305">
        <v>45003</v>
      </c>
      <c r="EX99" s="305"/>
      <c r="EY99" s="326">
        <f t="shared" si="453"/>
        <v>11.742857142856726</v>
      </c>
      <c r="EZ99" s="319" t="str">
        <f t="shared" si="454"/>
        <v>SIN RIESGO DE ISOINMUNIZACIÓN</v>
      </c>
      <c r="FA99" s="309">
        <v>72</v>
      </c>
      <c r="FB99" s="305">
        <v>45003</v>
      </c>
      <c r="FC99" s="326">
        <f t="shared" si="276"/>
        <v>11.742857142856726</v>
      </c>
      <c r="FD99" s="326"/>
      <c r="FE99" s="326"/>
      <c r="FF99" s="326"/>
      <c r="FG99" s="309" t="str">
        <f t="shared" ca="1" si="277"/>
        <v/>
      </c>
      <c r="FH99" s="327"/>
      <c r="FI99" s="326" t="str">
        <f t="shared" si="278"/>
        <v>TOMAR EXAMEN</v>
      </c>
      <c r="FJ99" s="305" t="s">
        <v>867</v>
      </c>
      <c r="FK99" s="305">
        <v>45003</v>
      </c>
      <c r="FL99" s="326">
        <f t="shared" ca="1" si="279"/>
        <v>11.742857142856726</v>
      </c>
      <c r="FM99" s="305"/>
      <c r="FN99" s="328"/>
      <c r="FO99" s="326" t="str">
        <f t="shared" ca="1" si="441"/>
        <v>PIERDE TOMA DE TAMIZAJE</v>
      </c>
      <c r="FP99" s="305"/>
      <c r="FQ99" s="328"/>
      <c r="FR99" s="326" t="str">
        <f t="shared" ca="1" si="442"/>
        <v>TOMA INMEDIATA DE TAMIZAJE</v>
      </c>
      <c r="FS99" s="305"/>
      <c r="FT99" s="328"/>
      <c r="FU99" s="326" t="str">
        <f>IF(AND(FJ99="",FM99="",FP99="",FS99=""),"",IF(OR(OR(Tabla1[[#This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99" s="320"/>
      <c r="FW99" s="305"/>
      <c r="FX99" s="326" t="str">
        <f t="shared" si="280"/>
        <v>TOMAR EXAMEN</v>
      </c>
      <c r="FY99" s="305" t="s">
        <v>868</v>
      </c>
      <c r="FZ99" s="305">
        <v>45003</v>
      </c>
      <c r="GA99" s="326">
        <f t="shared" ca="1" si="452"/>
        <v>11.742857142856726</v>
      </c>
      <c r="GB99" s="305"/>
      <c r="GC99" s="305"/>
      <c r="GD99" s="326" t="str">
        <f t="shared" ca="1" si="443"/>
        <v>PIERDE TOMA DE TAMIZAJE</v>
      </c>
      <c r="GE99" s="305"/>
      <c r="GF99" s="305"/>
      <c r="GG99" s="326" t="str">
        <f t="shared" ca="1" si="444"/>
        <v>TOMA INMEDIATA DE TAMIZAJE</v>
      </c>
      <c r="GH99" s="305"/>
      <c r="GI99" s="326"/>
      <c r="GJ99" s="305"/>
      <c r="GK99" s="305"/>
      <c r="GL99" s="305"/>
      <c r="GM99" s="305"/>
      <c r="GN99" s="320" t="s">
        <v>869</v>
      </c>
      <c r="GO99" s="305">
        <v>45003</v>
      </c>
      <c r="GP99" s="326">
        <f t="shared" si="283"/>
        <v>11.742857142856726</v>
      </c>
      <c r="GQ99" s="320" t="s">
        <v>846</v>
      </c>
      <c r="GR99" s="305"/>
      <c r="GS99" s="305" t="str">
        <f t="shared" ref="GS99:GS130" si="457">IF(GQ99="NEGATIVO","CONTROL Igm",IF(AND(GQ99="POSITIVO",GR99="NEGATIVO"),"SE EXCLUYE INFECCION",IF(AND(GQ99="POSITIVO",GR99="POSITIVO"),"TOXOPLASMOSIS, REMITIR PARA MANEJO","")))</f>
        <v/>
      </c>
      <c r="GT99" s="305"/>
      <c r="GU99" s="326" t="str">
        <f t="shared" si="285"/>
        <v>TOMAR EXAMEN</v>
      </c>
      <c r="GV99" s="309" t="str">
        <f t="shared" si="286"/>
        <v>POR DEFINIR</v>
      </c>
      <c r="GW99" s="320"/>
      <c r="GX99" s="329"/>
      <c r="GY99" s="309"/>
      <c r="GZ99" s="309"/>
      <c r="HA99" s="309"/>
      <c r="HB99" s="309"/>
      <c r="HC99" s="309"/>
      <c r="HD99" s="309"/>
      <c r="HE99" s="309"/>
      <c r="HF99" s="305"/>
      <c r="HG99" s="305" t="str">
        <f>IF(OR(O99&gt;0,R99&gt;0),CONCATENATE(IF(Tabla1[[#This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99" s="305" t="e">
        <f t="shared" si="287"/>
        <v>#REF!</v>
      </c>
      <c r="HI99" s="305" t="e">
        <f t="shared" ca="1" si="288"/>
        <v>#REF!</v>
      </c>
      <c r="HJ99" s="309"/>
      <c r="HK99" s="309" t="str">
        <f t="shared" si="289"/>
        <v>SIN ANTECEDENTES DE RIESGO</v>
      </c>
      <c r="HL99" s="310" t="str">
        <f t="shared" si="290"/>
        <v>APARENTEMENTE NORMAL</v>
      </c>
      <c r="HM99" s="309" t="e">
        <f t="shared" ca="1" si="291"/>
        <v>#REF!</v>
      </c>
      <c r="HN99" s="329" t="str">
        <f t="shared" si="445"/>
        <v>ACTIVA INGRESO A CPN</v>
      </c>
      <c r="HO99" s="309"/>
      <c r="HP99" s="309"/>
      <c r="HQ99" s="350">
        <v>44971</v>
      </c>
      <c r="HR99" s="309" t="str">
        <f>IF(R99="","",IF(Tabla1[[#This Row],[ALARMA FACTORES DE RIESGO COMPLICACIONES HIPERTENSIVAS3]]="SIN ANTECEDENTES DE RIESGO","No Aplica para suministro de ASA",IF(AND(Tabla1[[#This Row],[FECHA INICIO DE SUMINISTRO DE ASA]]&gt;0,RV99&lt;12),"Inicia ASA ANTES de Sem 12",IF(AND(RV99&gt;11,RV99&lt;17,OR(HK99="RIESGO ALTO DE COMPLICACIONES HIPERTENSIVAS VER MANEJO GUIA SUMINISTRO ASA Y CALCIO",HK99="RIESGO MODERADO (2 O MAS CRITERIOS) VER MANEJO GUIA SUMINISTRO ASA Y CALCIO")),"Inicio oportuno de ASA",IF(AND(RV99&gt;12,OR(HK99="RIESGO ALTO DE COMPLICACIONES HIPERTENSIVAS VER MANEJO GUIA SUMINISTRO ASA Y CALCIO",HK99="RIESGO MODERADO (2 O MAS CRITERIOS) VER MANEJO GUIA SUMINISTRO ASA Y CALCIO")),"Inicio no oportuno mayor a 16 semanas",IF(AND(BU99&lt;12,OR(HK99="RIESGO ALTO DE COMPLICACIONES HIPERTENSIVAS VER MANEJO GUIA SUMINISTRO ASA Y CALCIO",HK99="RIESGO MODERADO (2 O MAS CRITERIOS) VER MANEJO GUIA SUMINISTRO ASA Y CALCIO")),"Pendiente Inicio de ASA a la semana 12",IF(AND(BU99&gt;11,BU99&lt;17,OR(HK99="RIESGO ALTO DE COMPLICACIONES HIPERTENSIVAS VER MANEJO GUIA SUMINISTRO ASA Y CALCIO",HK99="RIESGO MODERADO (2 O MAS CRITERIOS) VER MANEJO GUIA SUMINISTRO ASA Y CALCIO")),"Iniciar de inmediato ASA",IF(AND(BU99&gt;16,OR(HK99="RIESGO ALTO DE COMPLICACIONES HIPERTENSIVAS VER MANEJO GUIA SUMINISTRO ASA Y CALCIO",HK99="RIESGO MODERADO (2 O MAS CRITERIOS) VER MANEJO GUIA SUMINISTRO ASA Y CALCIO")),"Pierde Oportunidad, Inicio tardío de ASA","XXXXX"))))))))</f>
        <v>No Aplica para suministro de ASA</v>
      </c>
      <c r="HS99" s="305">
        <v>44971</v>
      </c>
      <c r="HT99" s="305" t="s">
        <v>870</v>
      </c>
      <c r="HU99" s="305"/>
      <c r="HV99" s="305"/>
      <c r="HW99" s="305">
        <v>44971</v>
      </c>
      <c r="HX99" s="305" t="s">
        <v>870</v>
      </c>
      <c r="HY99" s="305">
        <v>44971</v>
      </c>
      <c r="HZ99" s="320">
        <f t="shared" si="292"/>
        <v>7.171428571428156</v>
      </c>
      <c r="IA99" s="308"/>
      <c r="IB99" s="308"/>
      <c r="IC99" s="330"/>
      <c r="ID99" s="305"/>
      <c r="IE99" s="305" t="str">
        <f t="shared" ca="1" si="293"/>
        <v/>
      </c>
      <c r="IF99" s="305"/>
      <c r="IG99" s="305">
        <f t="shared" si="294"/>
        <v>45200.800000000003</v>
      </c>
      <c r="IH99" s="326">
        <f t="shared" ca="1" si="295"/>
        <v>-32.19999999999709</v>
      </c>
      <c r="II99" s="305" t="str">
        <f t="shared" ca="1" si="296"/>
        <v>POSIBLEMENTE NACIO</v>
      </c>
      <c r="IJ99" s="305"/>
      <c r="IK99" s="309"/>
      <c r="IL99" s="309"/>
      <c r="IM99" s="331"/>
      <c r="IN99" s="305"/>
      <c r="IO99" s="309"/>
      <c r="IP99" s="326" t="str">
        <f t="shared" si="435"/>
        <v/>
      </c>
      <c r="IQ99" s="303"/>
      <c r="IR99" s="309"/>
      <c r="IS99" s="309"/>
      <c r="IT99" s="309"/>
      <c r="IU99" s="309"/>
      <c r="IV99" s="309"/>
      <c r="IW99" s="309"/>
      <c r="IX99" s="309"/>
      <c r="IY99" s="309"/>
      <c r="IZ99" s="309"/>
      <c r="JA99" s="309"/>
      <c r="JB99" s="329"/>
      <c r="JC99" s="309"/>
      <c r="JD99" s="333"/>
      <c r="JE99" s="309" t="str">
        <f t="shared" si="446"/>
        <v/>
      </c>
      <c r="JF99" s="329"/>
      <c r="JG99" s="309"/>
      <c r="JH99" s="309"/>
      <c r="JI99" s="309"/>
      <c r="JJ99" s="329"/>
      <c r="JK99" s="305"/>
      <c r="JL99" s="305"/>
      <c r="JM99" s="309"/>
      <c r="JN99" s="333"/>
      <c r="JO99" s="309" t="str">
        <f t="shared" si="447"/>
        <v/>
      </c>
      <c r="JP99" s="305"/>
      <c r="JQ99" s="309"/>
      <c r="JR99" s="309"/>
      <c r="JS99" s="309"/>
      <c r="JT99" s="329"/>
      <c r="JU99" s="305"/>
      <c r="JV99" s="305"/>
      <c r="JW99" s="334"/>
      <c r="JX99" s="320" t="str">
        <f t="shared" si="448"/>
        <v/>
      </c>
      <c r="JY99" s="334"/>
      <c r="JZ99" s="320" t="str">
        <f t="shared" si="449"/>
        <v/>
      </c>
      <c r="KA99" s="309"/>
      <c r="KB99" s="309"/>
      <c r="KC99" s="309"/>
      <c r="KD99" s="335"/>
      <c r="KE99" s="320"/>
      <c r="KF99" s="320"/>
      <c r="KG99" s="320"/>
      <c r="KH99" s="336"/>
      <c r="KI99" s="336"/>
      <c r="KJ99" s="337"/>
      <c r="KK99" s="336"/>
      <c r="KL99" s="336"/>
      <c r="KM99" s="337"/>
      <c r="KN99" s="336"/>
      <c r="KO99" s="336"/>
      <c r="KP99" s="336"/>
      <c r="KQ99" s="336"/>
      <c r="KR99" s="336"/>
      <c r="KS99" s="336"/>
      <c r="KT99" s="336"/>
      <c r="KU99" s="312"/>
      <c r="KV99" s="312"/>
      <c r="KW99" s="312"/>
      <c r="KX99" s="312"/>
      <c r="KY99" s="312"/>
      <c r="KZ99" s="312"/>
      <c r="LA99" s="312"/>
      <c r="LB99" s="312"/>
      <c r="LC99" s="312"/>
      <c r="LD99" s="312"/>
      <c r="LE99" s="312"/>
      <c r="LF99" s="312"/>
      <c r="LG99" s="312"/>
      <c r="LH99" s="312"/>
      <c r="LI99" s="312"/>
      <c r="LJ99" s="312"/>
      <c r="LK99" s="312"/>
      <c r="LL99" s="312"/>
      <c r="LM99" s="312"/>
      <c r="LN99" s="312"/>
      <c r="LO99" s="312"/>
      <c r="LP99" s="312"/>
      <c r="LQ99" s="312"/>
      <c r="LR99" s="312"/>
      <c r="LS99" s="312"/>
      <c r="LT99" s="312"/>
      <c r="LU99" s="312"/>
      <c r="LV99" s="312"/>
      <c r="LW99" s="312"/>
      <c r="LX99" s="312"/>
      <c r="LY99" s="312"/>
      <c r="LZ99" s="312"/>
      <c r="MA99" s="312"/>
      <c r="MB99" s="312"/>
      <c r="MC99" s="312"/>
      <c r="MD99" s="312"/>
      <c r="ME99" s="312"/>
      <c r="MF99" s="312"/>
      <c r="MG99" s="312"/>
      <c r="MH99" s="43">
        <f t="shared" ref="MH99:MH130" si="458">SUM(COUNTIF(KU99,"PARTERO (A)"),COUNTIF(KY99,"PARTERO (A)"),COUNTIF(LC99,"PARTERO (A)"),COUNTIF(LG99,"PARTERO (A)"),COUNTIF(LK99,"PARTERO (A)"),COUNTIF(LO99,"PARTERO (A)"),COUNTIF(ME99,"PARTERO (A)"))</f>
        <v>0</v>
      </c>
      <c r="MI99" s="43" t="str">
        <f t="shared" ref="MI99:MI130" si="459">IF(AND(R99="",O99=""),"",IF(AND(OR(O99&gt;0,R99&gt;0),KT99&gt;0),SUM(KT99-RW99)/7,""))</f>
        <v/>
      </c>
      <c r="MJ99" s="43" t="str">
        <f t="shared" ref="MJ99:MJ130" si="460">IF(AND(MI99="",BT99=""),"",IF(AND(MI99&lt;&gt;"",BT99="SIN DATO"),"SIN DATO",IF(AND(MI99="",BT99&lt;&gt;""),"",IF(AND(MI99&lt;0,BT99&gt;0),"ERROR FUM O INGRESO",IF(MI99&lt;=13,"I TRIM",IF(MI99&lt;28,"II TRIM",IF(AND(MI99&gt;27,MI99&lt;45),"III TRIM","POR DEFINIR")))))))</f>
        <v/>
      </c>
      <c r="MK99" s="43">
        <f t="shared" ref="MK99:MK130" si="461">SUM(COUNTIF(KU99,"MEDICO (A) TRADICIONAL"),COUNTIF(KY99,"MEDICO (A) TRADICIONAL"),COUNTIF(LC99,"MEDICO (A) TRADICIONAL"),COUNTIF(LG99,"MEDICO (A) TRADICIONAL"),COUNTIF(LK99,"MEDICO (A) TRADICIONAL"),COUNTIF(LO99,"MEDICO (A) TRADICIONAL"),COUNTIF(ME99,"MEDICO (A) TRADICIONAL"))</f>
        <v>0</v>
      </c>
      <c r="ML9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99" s="43">
        <f t="shared" ref="MM99:MM130" si="462">IF(AND(O99&gt;0,RW99&gt;0),SUM(O99-RW99)/7,"")</f>
        <v>7.171428571428156</v>
      </c>
      <c r="MN99" s="43">
        <f t="shared" ref="MN99:MN130" si="463">IF(R99&gt;0,MONTH(R99),"")</f>
        <v>2</v>
      </c>
      <c r="MO99" s="43">
        <f t="shared" ref="MO99:MO130" si="464">IF(R99&gt;0,YEAR(R99),"")</f>
        <v>2023</v>
      </c>
      <c r="MP99" s="43" t="str">
        <f t="shared" ref="MP99:MP130" si="465">IF(AND(MN99&gt;=1,MN99&lt;=3),"I TRIMESTRE AÑO",IF(AND(MN99&gt;=4,MN99&lt;=6),"II TRIMESTRE AÑO",IF(AND(MN99&gt;=7,MN99&lt;=9),"III TRIMESTRE AÑO",IF(AND(MN99&gt;=10,MN99&lt;=12),"IV TRIMESTRE AÑO",""))))</f>
        <v>I TRIMESTRE AÑO</v>
      </c>
      <c r="MQ99" s="43">
        <f t="shared" ref="MQ99:MQ130" si="466">IF(AND(M99&gt;0,R99&gt;0),DAYS360(M99,R99)/30.44/12,IF(AND(M99&gt;0,O99&gt;0,R99=""),DAYS360(M99,O99)/30.44/12,""))</f>
        <v>18.284603591765222</v>
      </c>
      <c r="MR99" s="43">
        <f t="shared" ref="MR99:MR130" si="467">IF(AND(MQ99&gt;7,MQ99&lt;14),2,IF(MQ99&lt;16,1,IF(MQ99&lt;=35,0,IF(AND(MQ99&gt;35,MQ99&lt;50),2,""))))</f>
        <v>0</v>
      </c>
      <c r="MS99" s="43" t="str">
        <f t="shared" ref="MS99:MS130" si="468">+IF(MQ99="","",IF(MQ99&lt;14,"MENOR 14 AÑOS",IF(MQ99&lt;20,"DE 14 A 19AÑOS",IF(MQ99&lt;25," DE 20 A 24 AÑOS",IF(MQ99&lt;30," DE 25 A 29 AÑOS",IF(MQ99&lt;35," DE 30 A 34 AÑOS",IF(MQ99&lt;40," DE 35 A 39 AÑOS"," DE 40 Y MAS")))))))</f>
        <v>DE 14 A 19AÑOS</v>
      </c>
      <c r="MT99" s="43">
        <f t="shared" ref="MT99:MT130" si="469">IF(OR(AX99="SI",BA99="SI"),1,IF(AND(AX99="NO",BA99="NO"),0,""))</f>
        <v>0</v>
      </c>
      <c r="MU99" s="43">
        <f t="shared" ref="MU99:MU130" si="470">IF(AT99="","",IF(AT99=0,1,IF(AND(AT99&gt;=1,AT99&lt;=4),0,IF(AT99&gt;=5,2,"X"))))</f>
        <v>1</v>
      </c>
      <c r="MV99" s="43">
        <f t="shared" ref="MV99:MV130" si="471">IF(AW99="","",IF(AW99=0,0,IF(AW99=1,1,IF(OR(AW99=2,AW99="3 o MAS"),2,"X"))))</f>
        <v>0</v>
      </c>
      <c r="MW99" s="43">
        <f t="shared" ref="MW99:MW130" si="472">IF(AY99="SI",1,IF(AY99="NO",0,""))</f>
        <v>0</v>
      </c>
      <c r="MX99" s="43" t="str">
        <f t="shared" ref="MX99:MX130" si="473">IF(OR(AND(EM99&gt;0,EM99&lt;11),AND(ER99&gt;0,ER99&lt;10.5)),1,"")</f>
        <v/>
      </c>
      <c r="MY99" s="43" t="str">
        <f t="shared" ca="1" si="450"/>
        <v/>
      </c>
      <c r="MZ99" s="43" t="str">
        <f t="shared" ref="MZ99:MZ130" si="474">IF(AND(GJ99="",GL99="",BB99=""),"",IF(OR(OR(GJ99="P.R REACTIVA",GJ99="ELISA REACTIVA"),OR(BB99="SI",GL99="POSITIVA",GL99="NO CONCLUYENTE")),3,""))</f>
        <v/>
      </c>
      <c r="NA99" s="43" t="str">
        <f t="shared" ref="NA99:NA130" si="475">IF(CD99="","",IF(OR(CD99="CEFÁLICA",CD99="SD"),0,IF(OR(CD99="PODÁLICA",CD99="TRANSVERSA O DE FRENTE",CD99="OBLICUA"),3,"")))</f>
        <v/>
      </c>
      <c r="NB99" s="43" t="str">
        <f t="shared" ref="NB99:NB130" si="476">IF(GZ99="","",IF(GZ99="POSITIVO",2,"0"))</f>
        <v/>
      </c>
      <c r="NC99" s="43" t="str">
        <f t="shared" ref="NC99:NC130" si="477">IF(AND(HB99="",HD99=""),"",IF(OR(HB99="POSITIVO",HD99="POSITIVO"),3,0))</f>
        <v/>
      </c>
      <c r="ND99" s="43">
        <f t="shared" ref="ND99:ND130" ca="1" si="478">IF(AND(O99="",R99=""),"",IF(OR(O99&lt;&gt;"",R99&lt;&gt;""),SUM(COUNTIF(AL99:AR99,"SI"),COUNTIF(AV99,"SI"),COUNTIF(BC99,"SI, CONTROLADA"),COUNTIF(BI99,"SI"),COUNTIF(BM99,"SI"),SUM(COUNTIF(BC99,"SI, SIN MANEJO")*3),SUM(COUNTIF(BC99,"SI, NO CONTROLADA")*3),SUM(COUNTIF(BD99:BG99,"SI")*3),SUM(COUNTIF(CB99:CC99,"SI")*3),SUM(COUNTIF(AD99,"Consumo Actual")*3),SUM(COUNTIF(AD99,"Hasta Antes de la Gestación")*2),SUM(COUNTIF(BK99,"SI")*3),SUM(COUNTIF(BL99,"SI")*2),SUM(COUNTIF(CE99,"SI")*2),SUM(COUNTIF(BH99,"SI")*2),SUM(COUNTIF(FG99,"DIABETES, REMITIR")*2),SUM(MT99:NC99),SUM(MR99),SUM(NG99),SUM(COUNTIF(EZ99,"COOMBS C/MES Y RESUMAN SEM 28")*2),SUM(COUNTIF(EZ99,"TOMAR COOMBS CUANTITATIVO Y REMISIÓN")*3),SUM(COUNTIF(FU99,"SIFILIS GESTACIONAL")*3)),""))</f>
        <v>1</v>
      </c>
      <c r="NE99" s="43">
        <f>IF(OR(O99&gt;0,R99&gt;0),SUM(COUNTIF(Tabla1[[#This Row],[AÑOS AL INICIO5 CPN]],"&gt;=40"),COUNTIF(AS99,"0"),COUNTIF(AR99,"SI"),COUNTIF(CC99,"SI"),COUNTIF(BQ99,"&gt;119"),COUNTIF(CI99,"&gt;=35")),"")</f>
        <v>1</v>
      </c>
      <c r="NF99" s="43" t="str">
        <f t="shared" ref="NF99:NF130" si="479">IF(AND(R99="",O99=""),"",IF(AND(OR(O99&gt;0,R99&gt;0),RW99=""),"SD",IF(AND(OR(O99&gt;0,R99&gt;0),ID99&gt;0),SUM(ID99-RW99)/7,"")))</f>
        <v/>
      </c>
      <c r="NG99" s="43">
        <f t="shared" ref="NG99:NG130" si="480">IF(AND(AD99="",AE99="",AF99="",AG99="",AH99="",AI99="",AJ99=""),"",SUM(COUNTIF(AD99,"Hasta Antes de la Gestación")/2,SUM(COUNTIF(AE99,"NO")/2),COUNTIF(AF99,"NO"),SUM(COUNTIF(AG99,"SI")/2),COUNTIF(AH99,"SI"),SUM(COUNTIF(AJ99,"SI")*2),COUNTIF(AD99,"Consumo Actual"),COUNTIF(AI99,"HABITANTE DE CALLE"),COUNTIF(AI99,"DESPLAZADA"),COUNTIF(AI99,"MIGRATORIA"),COUNTIF(AI99,"DISCAPACIDAD FISICA"),COUNTIF(AI99,"DISCAPACIDAD CONDUCTUAL"),COUNTIF(AI99,"DISCAPACIDAD VISUAL"),COUNTIF(AI99,"DISCAPACIDAD AUDITIVA"),COUNTIF(AI99,"DISCAPACIDAD MULTIPLE"),COUNTIF(AI99,"DISCAPACIDAD SISTEMICA")))</f>
        <v>0</v>
      </c>
      <c r="NH99" s="43">
        <f t="shared" ref="NH99:NH130" si="481">IF(BX99&gt;0,BX99*7,"")</f>
        <v>95.2</v>
      </c>
      <c r="NI9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CPN",P99="NO"),"Z",IF(AND(Tabla1[[#This Row],[CITA PROXIMO CONTROL]]="CITA MANUAL",Tabla1[[#This Row],[GESTANTES ACTUALES]]="ACTIVA INGRESO A CPN"),"W",IF(AND(Tabla1[[#This Row],[GESTANTES ACTUALES]]="SALIO PROGRAMA",IN99=""),"S",IF(AND(Tabla1[[#This Row],[CITA PROXIMO CONTROL]]&gt;0,IN99=""),(Tabla1[[#This Row],[CITA PROXIMO CONTROL]]-TODAY()),"SD"))))))))</f>
        <v>#REF!</v>
      </c>
      <c r="NJ99" s="43">
        <f>MONTH(Tabla1[[#This Row],[FECHA DE SALIDA  DEL PROGRAMA]])</f>
        <v>1</v>
      </c>
      <c r="NK99" s="43">
        <f>YEAR(Tabla1[[#This Row],[FECHA DE SALIDA  DEL PROGRAMA]])</f>
        <v>1900</v>
      </c>
      <c r="NL99" s="43" t="str">
        <f t="shared" ref="NL99:NL130" si="482">IF(AND(O99&gt;0,R99=""),"NO CPN",IF(AND(O99="",R99=""),"",IF(AND(R99&gt;0,EJ99&gt;0,EI99&gt;0),_xlfn.DAYS(EJ99,EI99),IF(AND(R99&gt;0,EJ99&gt;0,EI99=""),"NO CITA","X"))))</f>
        <v>X</v>
      </c>
      <c r="NM99" s="43" t="str">
        <f t="shared" si="455"/>
        <v>NO</v>
      </c>
      <c r="NN99" s="43" t="str">
        <f ca="1">IF(AND(O99&gt;0,R99=""),"NO CPN",IF(AND(O99="",R99=""),"",IF(AND(R99&gt;0,Tabla1[[#This Row],[SEMANAS DE GESTACION ACTUALIZADAS]]&lt;=12),"NO APLICA",IF(AND(FH99&lt;&gt;"",FN99&lt;&gt;""),"SI","NO"))))</f>
        <v>NO</v>
      </c>
      <c r="NO99" s="43" t="str">
        <f ca="1">IF(AND(O99&gt;0,R99=""),"NO CPN",IF(AND(O99="",R99=""),"",IF(AND(R99&gt;0,Tabla1[[#This Row],[SEMANAS DE GESTACION ACTUALIZADAS]]&lt;=27),"NO APLICA",IF(AND(ES99&lt;&gt;"",FQ99&lt;&gt;"",GF99&lt;&gt;""),"SI","NO"))))</f>
        <v>NO</v>
      </c>
      <c r="NP99" s="204" t="str">
        <f t="shared" ref="NP99:NP130" si="483">IF(AND(BS99="",IG99=""),"",IF(AND(BS99="",IG99="DEFINIR FPP POR ECO"),"SIN DATO",IF(BS99&lt;0,"ERROR FUM O INGRESO",IF(BP99="NO","DEFINIR CON ECO",IF(BS99&lt;12,"I TRIM",IF(BS99&lt;27,"II TRIM",IF(AND(BS99&gt;26,BS99&lt;45),"III TRIM","ERROR FUM O INGRESO")))))))</f>
        <v>I TRIM</v>
      </c>
      <c r="NQ99" s="21" t="str">
        <f t="shared" si="436"/>
        <v/>
      </c>
      <c r="NR99" s="21" t="str">
        <f t="shared" ca="1" si="451"/>
        <v>REVISAR FUM O FECHA SALIDA PROGRAMA</v>
      </c>
      <c r="NS99" s="205">
        <f t="shared" ref="NS99:NS130" ca="1" si="484">COUNT(FL99,FO99,FR99,FT99)</f>
        <v>1</v>
      </c>
      <c r="NT99" s="21">
        <f t="shared" ref="NT99:NT130" ca="1" si="485">COUNT(GA99,GD99,GG99,GI99)</f>
        <v>1</v>
      </c>
      <c r="NU99" s="21" t="str">
        <f t="shared" ref="NU99:NU130" ca="1" si="486">IF(NR99="","",IF(NR99="REVISAR FUM O FECHA SALIDA PROGRAMA","POR DEFINIR",IF(OR(NR99=NS99,NS99&gt;NR99),"COMPLETO",IF(NS99&lt;NR99,"INCOMPLETO",""))))</f>
        <v>POR DEFINIR</v>
      </c>
      <c r="NV99" s="21" t="str">
        <f t="shared" ref="NV99:NV130" ca="1" si="487">IF(NR99="","",IF(NR99="REVISAR FUM O FECHA SALIDA PROGRAMA","POR DEFINIR",IF(OR(NR99=NT99,NT99&gt;NR99),"COMPLETO",IF(NT99&lt;NR99,"INCOMPLETO",""))))</f>
        <v>POR DEFINIR</v>
      </c>
      <c r="NW99" s="206" t="str">
        <f>IF(AND(O99="",R99=""),"",IF(OR(AND(Tabla1[[#This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99" s="207" t="str">
        <f t="shared" ref="NX99:NX130" ca="1" si="488">IF(AND(O99="",R99=""),"",IF(OR(IE99="VACUNA APLICADA ENTRE SEMANA 20 Y SEMANA 26",IE99="VACUNA APLICADA ENTRE SEMANA 27 Y EL PARTO",IE99="VACUNA APLICADA ANTES SEMANA 20"),"VACUNADA","SIN VACUNAR"))</f>
        <v>SIN VACUNAR</v>
      </c>
      <c r="NY99" s="43">
        <f>ROW(Tabla1[[#This Row],['# DE TAMIZAJES SIFILIS TOMADOS ]])</f>
        <v>99</v>
      </c>
      <c r="NZ99" s="43" t="str">
        <f t="shared" si="333"/>
        <v>Menor</v>
      </c>
      <c r="OA99" s="43" t="str">
        <f t="shared" si="334"/>
        <v/>
      </c>
      <c r="OB99" s="43" t="str">
        <f t="shared" si="335"/>
        <v/>
      </c>
      <c r="OC99" s="43" t="str">
        <f t="shared" si="336"/>
        <v/>
      </c>
      <c r="OD99" s="43" t="str">
        <f t="shared" si="337"/>
        <v/>
      </c>
      <c r="OE99" s="43" t="str">
        <f t="shared" si="338"/>
        <v/>
      </c>
      <c r="OF99" s="43" t="str">
        <f t="shared" si="339"/>
        <v/>
      </c>
      <c r="OG99" s="43" t="str">
        <f t="shared" si="340"/>
        <v/>
      </c>
      <c r="OH99" s="43" t="str">
        <f t="shared" si="341"/>
        <v/>
      </c>
      <c r="OI99" s="43" t="str">
        <f t="shared" si="342"/>
        <v/>
      </c>
      <c r="OJ99" s="43" t="str">
        <f t="shared" si="343"/>
        <v/>
      </c>
      <c r="OK99" s="43" t="str">
        <f t="shared" si="344"/>
        <v/>
      </c>
      <c r="OL99" s="43" t="str">
        <f t="shared" si="345"/>
        <v/>
      </c>
      <c r="OM99" s="43" t="str">
        <f t="shared" si="346"/>
        <v/>
      </c>
      <c r="ON99" s="43" t="str">
        <f t="shared" si="347"/>
        <v/>
      </c>
      <c r="OO99" s="43" t="str">
        <f t="shared" si="348"/>
        <v/>
      </c>
      <c r="OP99" s="43" t="str">
        <f t="shared" si="349"/>
        <v/>
      </c>
      <c r="OQ99" s="43" t="str">
        <f t="shared" si="350"/>
        <v/>
      </c>
      <c r="OR99" s="43" t="str">
        <f t="shared" si="351"/>
        <v/>
      </c>
      <c r="OS99" s="43" t="str">
        <f t="shared" si="352"/>
        <v/>
      </c>
      <c r="OT99" s="43" t="str">
        <f t="shared" si="353"/>
        <v/>
      </c>
      <c r="OU99" s="43" t="str">
        <f t="shared" si="354"/>
        <v/>
      </c>
      <c r="OV99" s="110" t="str">
        <f t="shared" si="355"/>
        <v/>
      </c>
      <c r="OW99" s="43" t="str">
        <f t="shared" si="356"/>
        <v/>
      </c>
      <c r="OX99" s="43" t="str">
        <f t="shared" si="357"/>
        <v/>
      </c>
      <c r="OY99" s="43" t="str">
        <f t="shared" si="358"/>
        <v/>
      </c>
      <c r="OZ99" s="43" t="str">
        <f t="shared" si="359"/>
        <v/>
      </c>
      <c r="PA99" s="43" t="str">
        <f t="shared" si="360"/>
        <v/>
      </c>
      <c r="PB99" s="43" t="str">
        <f t="shared" si="361"/>
        <v/>
      </c>
      <c r="PC99" s="43" t="str">
        <f t="shared" si="362"/>
        <v/>
      </c>
      <c r="PD99" s="43" t="str">
        <f t="shared" si="363"/>
        <v/>
      </c>
      <c r="PE99" s="43" t="str">
        <f t="shared" si="364"/>
        <v/>
      </c>
      <c r="PF99" s="43" t="str">
        <f t="shared" si="365"/>
        <v/>
      </c>
      <c r="PG99" s="43" t="str">
        <f t="shared" si="366"/>
        <v/>
      </c>
      <c r="PH99" s="43" t="str">
        <f t="shared" si="367"/>
        <v/>
      </c>
      <c r="PI99" s="43">
        <f t="shared" si="368"/>
        <v>35</v>
      </c>
      <c r="PJ99" s="43" t="str">
        <f t="shared" si="369"/>
        <v/>
      </c>
      <c r="PK99" s="43" t="str">
        <f t="shared" si="370"/>
        <v/>
      </c>
      <c r="PL99" s="43" t="str">
        <f t="shared" si="371"/>
        <v/>
      </c>
      <c r="PM99" s="43" t="str">
        <f t="shared" si="372"/>
        <v/>
      </c>
      <c r="PN99" s="43" t="str">
        <f t="shared" si="373"/>
        <v/>
      </c>
      <c r="PO99" s="43" t="str">
        <f t="shared" si="374"/>
        <v/>
      </c>
      <c r="PP99" s="43" t="str">
        <f t="shared" si="375"/>
        <v/>
      </c>
      <c r="PQ99" s="43" t="str">
        <f t="shared" si="376"/>
        <v/>
      </c>
      <c r="PR99" s="43" t="str">
        <f t="shared" si="377"/>
        <v/>
      </c>
      <c r="PS99" s="43" t="str">
        <f t="shared" si="378"/>
        <v/>
      </c>
      <c r="PT99" s="43" t="str">
        <f t="shared" si="379"/>
        <v/>
      </c>
      <c r="PU99" s="43" t="str">
        <f t="shared" si="380"/>
        <v/>
      </c>
      <c r="PV99" s="43" t="str">
        <f t="shared" si="381"/>
        <v/>
      </c>
      <c r="PW99" s="43" t="str">
        <f t="shared" si="382"/>
        <v/>
      </c>
      <c r="PX99" s="43" t="str">
        <f t="shared" si="383"/>
        <v/>
      </c>
      <c r="PY99" s="43" t="str">
        <f t="shared" si="384"/>
        <v/>
      </c>
      <c r="PZ99" s="43" t="str">
        <f t="shared" si="385"/>
        <v/>
      </c>
      <c r="QA99" s="43" t="str">
        <f t="shared" si="386"/>
        <v/>
      </c>
      <c r="QB99" s="43" t="str">
        <f t="shared" si="387"/>
        <v/>
      </c>
      <c r="QC99" s="43" t="str">
        <f t="shared" si="388"/>
        <v/>
      </c>
      <c r="QD99" s="43" t="str">
        <f t="shared" si="389"/>
        <v/>
      </c>
      <c r="QE99" s="43" t="str">
        <f t="shared" si="390"/>
        <v/>
      </c>
      <c r="QF99" s="43" t="str">
        <f t="shared" si="391"/>
        <v/>
      </c>
      <c r="QG99" s="43" t="str">
        <f t="shared" si="392"/>
        <v/>
      </c>
      <c r="QH99" s="43" t="str">
        <f t="shared" si="393"/>
        <v/>
      </c>
      <c r="QI99" s="43" t="str">
        <f t="shared" si="394"/>
        <v/>
      </c>
      <c r="QJ99" s="43" t="str">
        <f t="shared" si="395"/>
        <v>BAJO PESO</v>
      </c>
      <c r="QK99" s="43" t="str">
        <f t="shared" si="396"/>
        <v/>
      </c>
      <c r="QL99" s="43" t="str">
        <f t="shared" si="397"/>
        <v/>
      </c>
      <c r="QM99" s="43" t="str">
        <f t="shared" si="398"/>
        <v/>
      </c>
      <c r="QN99" s="43" t="str">
        <f t="shared" si="399"/>
        <v/>
      </c>
      <c r="QO99" s="43" t="str">
        <f t="shared" si="400"/>
        <v/>
      </c>
      <c r="QP99" s="43" t="str">
        <f t="shared" si="401"/>
        <v/>
      </c>
      <c r="QQ99" s="43" t="str">
        <f t="shared" si="402"/>
        <v/>
      </c>
      <c r="QR99" s="43">
        <f t="shared" si="432"/>
        <v>35</v>
      </c>
      <c r="QS99" s="43"/>
      <c r="QT99" s="21" t="str">
        <f t="shared" si="403"/>
        <v/>
      </c>
      <c r="QU99" s="21" t="str">
        <f t="shared" si="404"/>
        <v/>
      </c>
      <c r="QV99" s="21" t="str">
        <f t="shared" si="405"/>
        <v/>
      </c>
      <c r="QW99" s="21" t="str">
        <f t="shared" si="406"/>
        <v/>
      </c>
      <c r="QX99" s="21" t="str">
        <f t="shared" si="407"/>
        <v/>
      </c>
      <c r="QY99" s="21" t="str">
        <f t="shared" si="408"/>
        <v/>
      </c>
      <c r="QZ99" s="21" t="str">
        <f t="shared" si="409"/>
        <v/>
      </c>
      <c r="RA99" s="21" t="str">
        <f t="shared" si="410"/>
        <v/>
      </c>
      <c r="RB99" s="21" t="str">
        <f t="shared" si="411"/>
        <v/>
      </c>
      <c r="RC99" s="21" t="str">
        <f t="shared" si="412"/>
        <v/>
      </c>
      <c r="RD99" s="21" t="str">
        <f t="shared" si="413"/>
        <v/>
      </c>
      <c r="RE99" s="21" t="str">
        <f t="shared" si="414"/>
        <v/>
      </c>
      <c r="RF99" s="21" t="str">
        <f t="shared" si="415"/>
        <v/>
      </c>
      <c r="RG99" s="21" t="str">
        <f t="shared" si="416"/>
        <v/>
      </c>
      <c r="RH99" s="21" t="str">
        <f t="shared" si="417"/>
        <v/>
      </c>
      <c r="RI99" s="21" t="str">
        <f t="shared" si="418"/>
        <v/>
      </c>
      <c r="RJ99" s="21" t="str">
        <f t="shared" si="419"/>
        <v/>
      </c>
      <c r="RK99" s="21" t="str">
        <f t="shared" si="420"/>
        <v/>
      </c>
      <c r="RL99" s="21" t="str">
        <f t="shared" si="421"/>
        <v/>
      </c>
      <c r="RM99" s="21" t="str">
        <f t="shared" si="422"/>
        <v/>
      </c>
      <c r="RN99" s="21" t="str">
        <f t="shared" si="423"/>
        <v/>
      </c>
      <c r="RO99" s="21" t="str">
        <f t="shared" si="424"/>
        <v/>
      </c>
      <c r="RP99" s="21" t="str">
        <f t="shared" si="425"/>
        <v>ADECUADO PARA EDAD GESTACIONAL</v>
      </c>
      <c r="RQ99" s="21" t="str">
        <f t="shared" si="426"/>
        <v/>
      </c>
      <c r="RR99" s="21" t="str">
        <f t="shared" si="427"/>
        <v/>
      </c>
      <c r="RS99" s="21" t="str">
        <f t="shared" si="428"/>
        <v/>
      </c>
      <c r="RT99" s="21" t="str">
        <f t="shared" si="429"/>
        <v/>
      </c>
      <c r="RU99" s="21" t="str">
        <f t="shared" si="430"/>
        <v/>
      </c>
      <c r="RV99" s="21">
        <f t="shared" si="431"/>
        <v>7.171428571428156</v>
      </c>
      <c r="RW99" s="284">
        <f>IF(OR(Tabla1[[#This Row],[FUM FORMULA CONFIABLE]]="",Tabla1[[#This Row],[FUM FORMULA CONFIABLE]]="SD"),"",IF(Tabla1[[#This Row],[FUM FORMULA CONFIABLE]]="CORREGIDA",Tabla1[[#This Row],[FUM X ECO 1]],Tabla1[[#This Row],[FUM x AMENORREA]]))</f>
        <v>44920.800000000003</v>
      </c>
      <c r="RX99" s="21">
        <f>IF(AND(Tabla1[[#This Row],[FUM X ECO 1]]="",Tabla1[[#This Row],[FUM x AMENORREA]]=""),"",IF(AND(Tabla1[[#This Row],[FUM X ECO 1]]="",Tabla1[[#This Row],[FUM x AMENORREA]]&lt;&gt;""),"X",SUM(Tabla1[[#This Row],[FUM X ECO 1]]-Tabla1[[#This Row],[FUM x AMENORREA]])))</f>
        <v>70.80000000000291</v>
      </c>
      <c r="RY99" s="21">
        <f t="shared" si="433"/>
        <v>1</v>
      </c>
    </row>
    <row r="100" spans="1:493" ht="45" customHeight="1" x14ac:dyDescent="0.25">
      <c r="A100" s="109"/>
      <c r="B100" s="43"/>
      <c r="C100" s="43" t="s">
        <v>845</v>
      </c>
      <c r="D100" s="124"/>
      <c r="E100" s="43" t="s">
        <v>1298</v>
      </c>
      <c r="F100" s="43" t="s">
        <v>914</v>
      </c>
      <c r="G100" s="43" t="s">
        <v>1299</v>
      </c>
      <c r="H100" s="43" t="s">
        <v>1300</v>
      </c>
      <c r="I100" s="109" t="s">
        <v>851</v>
      </c>
      <c r="J100" s="110" t="s">
        <v>1301</v>
      </c>
      <c r="K100" s="43" t="s">
        <v>852</v>
      </c>
      <c r="L100" s="175" t="s">
        <v>886</v>
      </c>
      <c r="M100" s="22">
        <v>38269</v>
      </c>
      <c r="N100" s="213">
        <f t="shared" ca="1" si="252"/>
        <v>19.079452054794519</v>
      </c>
      <c r="O100" s="22">
        <v>44971</v>
      </c>
      <c r="P100" s="214" t="str">
        <f t="shared" si="437"/>
        <v>SI</v>
      </c>
      <c r="Q100" s="26" t="s">
        <v>855</v>
      </c>
      <c r="R100" s="22">
        <v>44971</v>
      </c>
      <c r="S100" s="21" t="s">
        <v>856</v>
      </c>
      <c r="T100" s="24" t="s">
        <v>690</v>
      </c>
      <c r="U100" s="21" t="s">
        <v>857</v>
      </c>
      <c r="V100" s="21" t="s">
        <v>858</v>
      </c>
      <c r="W100" s="21" t="s">
        <v>1302</v>
      </c>
      <c r="X100" s="21" t="s">
        <v>1302</v>
      </c>
      <c r="Y100" s="21" t="s">
        <v>859</v>
      </c>
      <c r="Z100" s="21">
        <v>3152343840</v>
      </c>
      <c r="AA100" s="21" t="s">
        <v>860</v>
      </c>
      <c r="AB100" s="27" t="s">
        <v>861</v>
      </c>
      <c r="AC100" s="26" t="s">
        <v>888</v>
      </c>
      <c r="AD100" s="38" t="s">
        <v>1546</v>
      </c>
      <c r="AE100" s="26" t="s">
        <v>854</v>
      </c>
      <c r="AF100" s="26" t="s">
        <v>854</v>
      </c>
      <c r="AG100" s="23" t="s">
        <v>864</v>
      </c>
      <c r="AH100" s="23" t="s">
        <v>864</v>
      </c>
      <c r="AI100" s="24" t="s">
        <v>863</v>
      </c>
      <c r="AJ100" s="23" t="s">
        <v>864</v>
      </c>
      <c r="AK100" s="220" t="str">
        <f>IF(AND(AD100="",AE100="",AF100="",AG100="",AH100="",AI100="",AJ100=""),"",IF(OR(Tabla1[[#This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EVALUACIÓN",IF(AND(O100="",R100=""),"",IF(AND(OR(O100&gt;0,R100&gt;0),NG100&gt;=0,NG100&lt;2),"SIN RIESGO",IF(AND(OR(O100&gt;0,R100&gt;0),NG100&gt;=2),"CON RIESGO","ASD")))))</f>
        <v>SIN RIESGO</v>
      </c>
      <c r="AL100" s="23" t="s">
        <v>864</v>
      </c>
      <c r="AM100" s="26" t="s">
        <v>864</v>
      </c>
      <c r="AN100" s="26" t="s">
        <v>864</v>
      </c>
      <c r="AO100" s="26" t="s">
        <v>864</v>
      </c>
      <c r="AP100" s="26" t="s">
        <v>864</v>
      </c>
      <c r="AQ100" s="26" t="s">
        <v>864</v>
      </c>
      <c r="AR100" s="26" t="s">
        <v>864</v>
      </c>
      <c r="AS100" s="21">
        <v>0</v>
      </c>
      <c r="AT100" s="21">
        <v>0</v>
      </c>
      <c r="AU100" s="21">
        <v>0</v>
      </c>
      <c r="AV100" s="26" t="s">
        <v>864</v>
      </c>
      <c r="AW100" s="21">
        <v>0</v>
      </c>
      <c r="AX100" s="26" t="s">
        <v>864</v>
      </c>
      <c r="AY100" s="26" t="s">
        <v>864</v>
      </c>
      <c r="AZ100" s="26" t="s">
        <v>864</v>
      </c>
      <c r="BA100" s="26" t="s">
        <v>864</v>
      </c>
      <c r="BB100" s="26" t="s">
        <v>864</v>
      </c>
      <c r="BC100" s="26" t="s">
        <v>864</v>
      </c>
      <c r="BD100" s="26" t="s">
        <v>864</v>
      </c>
      <c r="BE100" s="26" t="s">
        <v>864</v>
      </c>
      <c r="BF100" s="26" t="s">
        <v>864</v>
      </c>
      <c r="BG100" s="26" t="s">
        <v>864</v>
      </c>
      <c r="BH100" s="26" t="s">
        <v>864</v>
      </c>
      <c r="BI100" s="26" t="s">
        <v>864</v>
      </c>
      <c r="BJ100" s="26" t="s">
        <v>864</v>
      </c>
      <c r="BK100" s="26" t="s">
        <v>864</v>
      </c>
      <c r="BL100" s="26" t="s">
        <v>864</v>
      </c>
      <c r="BM100" s="26" t="s">
        <v>864</v>
      </c>
      <c r="BN100" s="22"/>
      <c r="BO100" s="22">
        <v>44920</v>
      </c>
      <c r="BP100" s="21" t="s">
        <v>854</v>
      </c>
      <c r="BQ100" s="222">
        <f t="shared" si="254"/>
        <v>0</v>
      </c>
      <c r="BR100" s="223">
        <f t="shared" si="255"/>
        <v>44915.3</v>
      </c>
      <c r="BS100" s="224">
        <f t="shared" si="256"/>
        <v>7.2857142857142856</v>
      </c>
      <c r="BT100" s="216" t="str">
        <f t="shared" si="257"/>
        <v>I TRIM</v>
      </c>
      <c r="BU100" s="214" t="str">
        <f t="shared" ca="1" si="258"/>
        <v/>
      </c>
      <c r="BV100" s="25"/>
      <c r="BW100" s="22">
        <v>45014</v>
      </c>
      <c r="BX100" s="28">
        <v>14.1</v>
      </c>
      <c r="BY100" s="28"/>
      <c r="BZ100" s="22"/>
      <c r="CA100" s="21"/>
      <c r="CB100" s="26" t="s">
        <v>864</v>
      </c>
      <c r="CC100" s="26" t="s">
        <v>864</v>
      </c>
      <c r="CD100" s="26"/>
      <c r="CE100" s="26" t="s">
        <v>864</v>
      </c>
      <c r="CF100" s="22" t="s">
        <v>1517</v>
      </c>
      <c r="CG100" s="21">
        <v>1.65</v>
      </c>
      <c r="CH100" s="21">
        <v>68</v>
      </c>
      <c r="CI100" s="214">
        <f t="shared" si="259"/>
        <v>24.977043158861342</v>
      </c>
      <c r="CJ100" s="225" t="str">
        <f>IF(AND(CI100&lt;10,CH100="SD"),"SIN DATO PESO PREGESTACION O I TRIM",IF(AND(OR(R100&gt;0,O100&gt;0),CI100="X"),"INGRESAR DATO DE PESO",IF(CI100="SD","INGRESAR DATO DE TALLA Y PESO",IF(AND(OR(Tabla1[[#This Row],[MOMENTO EN QUE SE REALIZA EL PESO AL INGRESO A CPN]]="PREGESTACIÓN",NZ100="Menor"),CI100&lt;18.5),"BAJO PESO",IF(AND(OR(Tabla1[[#This Row],[MOMENTO EN QUE SE REALIZA EL PESO AL INGRESO A CPN]]="PREGESTACIÓN",NZ100="Menor"),CI100&lt;25),"NORMAL",IF(AND(OR(Tabla1[[#This Row],[MOMENTO EN QUE SE REALIZA EL PESO AL INGRESO A CPN]]="PREGESTACIÓN",NZ100="Menor"),CI100&lt;30),"SOBREPESO",IF(AND(OR(Tabla1[[#This Row],[MOMENTO EN QUE SE REALIZA EL PESO AL INGRESO A CPN]]="PREGESTACIÓN",NZ100="Menor"),CI100&gt;=30,CI100&lt;50),"OBESIDAD",IF(AND(BS100&gt;0,Tabla1[[#This Row],[MOMENTO EN QUE SE REALIZA EL PESO AL INGRESO A CPN]]="GESTACIÓN"),HLOOKUP(NZ100,$OA$2:PH100,NY100),""))))))))</f>
        <v>NORMAL</v>
      </c>
      <c r="CK100" s="212">
        <f t="shared" si="260"/>
        <v>45128</v>
      </c>
      <c r="CL100" s="21">
        <v>86</v>
      </c>
      <c r="CM100" s="214">
        <f t="shared" si="261"/>
        <v>31.588613406795229</v>
      </c>
      <c r="CN100" s="216">
        <f t="shared" si="262"/>
        <v>29</v>
      </c>
      <c r="CO100" s="216" t="e">
        <f>IF(PI100="","",IF(PI100&gt;0,HLOOKUP(PI100,$PJ$2:QQ100,NY100),""))</f>
        <v>#REF!</v>
      </c>
      <c r="CP100" s="21">
        <v>26</v>
      </c>
      <c r="CQ100" s="216" t="e">
        <f>IF(QR100="Menor","NO APLICA-MENOR 13 SEM",IF(AND(CC100="SI",CN100&gt;23),"NO APLICA- GEMELAR",IF(QR100="","",IF(QR100&gt;0,HLOOKUP(QR100,$QS$2:RU100,NY100),""))))</f>
        <v>#REF!</v>
      </c>
      <c r="CR100" s="21">
        <v>90</v>
      </c>
      <c r="CS100" s="21">
        <v>60</v>
      </c>
      <c r="CT100" s="217" t="str">
        <f>IF(R100="","",IF(AND(BS100&gt;1,BS100&lt;12,Tabla1[[#This Row],[T.A. SISTOLICA - ANTES DE SEMANA 12]]="",Tabla1[[#This Row],[T.A. DIASTOLICA - ANTES DE SEMANA 12]]=""),"REGISTRE DATO TA ANTES SEMANA 12",IF(AND(BS100&gt;11,BS100&lt;43,Tabla1[[#This Row],[T.A. SISTOLICA - ANTES DE SEMANA 12]]="",Tabla1[[#This Row],[T.A. DIASTOLICA - ANTES DE SEMANA 12]]=""),"NO APLICA REGISTRO TA-INGRESO TARDIO",IF(AND(OR(O100&gt;0,R100&gt;0),OR(CR100&gt;=140,CS100&gt;=90)),"DEFINIR ESTADIO HTA",IF(AND(OR(O100&gt;0,R100&gt;0),AND(CR100&gt;120,CR100&lt;=139)),"PRE HTA SEGUIMIENTO",IF(AND(OR(O100&gt;0,R100&gt;0),AND(CS100&gt;80,CS100&lt;=89)),"PRE HTA SEGUIMIENTO",IF(AND(OR(O100&gt;0,R100&gt;0),AND(CR100&gt;=80,CR100&lt;=120)),"APARENTEMENTE NORMAL",IF(AND(OR(O100&gt;0,R100&gt;0),AND(CS100&gt;=50,CS100&lt;=80)),"APARENTEMENTE NORMAL",IF(AND(OR(O100&gt;0,R100&gt;0),AND(CR100&gt;1,CR100&lt;=70),AND(CS100&gt;1,CS100&lt;=40)),"HIPOTENSIÓN","")))))))))</f>
        <v>APARENTEMENTE NORMAL</v>
      </c>
      <c r="CU100" s="21"/>
      <c r="CV100" s="21"/>
      <c r="CW100" s="217" t="str">
        <f ca="1">IF(R100="","",IF(AND(CN100&gt;19,CN100&lt;27,Tabla1[[#This Row],[T.A. SISTOLICA (Entre semana 20 y 26)]]="",Tabla1[[#This Row],[T.A. DIATOLICA (Entre semana 20 y 26)]]=""),"ACUDE A CONTROL SEM 20 A 26 REGISTRE TA AHORA",IF(AND(BS100&gt;1,BS100&lt;27,BU100&gt;19,Tabla1[[#This Row],[T.A. SISTOLICA (Entre semana 20 y 26)]]="",Tabla1[[#This Row],[T.A. DIATOLICA (Entre semana 20 y 26)]]=""),"COMPLETE REGISTRO TA CONTROL SEM 20 A26 ",IF(AND(BS100&gt;26,BS100&lt;43,Tabla1[[#This Row],[T.A. SISTOLICA (Entre semana 20 y 26)]]="",Tabla1[[#This Row],[T.A. DIATOLICA (Entre semana 20 y 26)]]=""),"NO APLICA REGISTRO TA-INGRESO TARDIO",IF(AND(OR(O100&gt;0,R100&gt;0),OR(CU100&gt;=140,CV100&gt;=90)),"ALTO RIESGO PREECLAMPSIA,DEFINIR ESTADIO HTA",IF(AND(OR(O100&gt;0,R100&gt;0),AND(CU100&gt;120,CU100&lt;=139)),"PRE HTA SEGUIMIENTO,RIESGO HIPERTENSION INDUCIDA POR EL EMBARAZO",IF(AND(OR(O100&gt;0,R100&gt;0),AND(CV100&gt;80,CV100&lt;=89)),"PRE HTA SEGUIMIENTO, RIESGO HIPERTENSION INDUCIDA POR EL EMBARAZO",IF(AND(OR(O100&lt;&gt;"",R100&lt;&gt;""),CS100&lt;&gt;"",CV100&lt;&gt;"",CS100&lt;=CV100),"VIGILAR CIFRAS PRESION ARTERIAL",IF(AND(OR(O100&gt;0,R100&gt;0),AND(CU100&gt;120,CU100&lt;=139)),"PRE HTA SEGUIMIENTO",IF(AND(OR(O100&gt;0,R100&gt;0),AND(CU100&gt;1,CU100&lt;=70),AND(CV100&gt;1,CV100&lt;=40)),"HIPOTENSIÓN",IF(AND(OR(O100&lt;&gt;"",R100&lt;&gt;""),CS100&lt;&gt;"",CV100&lt;&gt;"",CS100&gt;CV100),"APARENTEMENTE NORMAL",IF(AND(OR(O100&gt;0,R100&gt;0),AND(CU100&gt;=80,CU100&lt;=120)),"APARENTEMENTE NORMAL",IF(AND(OR(O100&gt;0,R100&gt;0),AND(CV100&gt;=50,CV100&lt;=80)),"APARENTEMENTE NORMAL","")))))))))))))</f>
        <v xml:space="preserve">COMPLETE REGISTRO TA CONTROL SEM 20 A26 </v>
      </c>
      <c r="CX100" s="21"/>
      <c r="CY100" s="21"/>
      <c r="CZ100" s="216" t="str">
        <f t="shared" si="456"/>
        <v/>
      </c>
      <c r="DA100" s="21">
        <v>90</v>
      </c>
      <c r="DB100" s="21">
        <v>60</v>
      </c>
      <c r="DC100" s="217" t="str">
        <f t="shared" si="264"/>
        <v>APARENTEMENTE NORMAL</v>
      </c>
      <c r="DD100" s="22">
        <v>44971</v>
      </c>
      <c r="DE100" s="22">
        <v>44971</v>
      </c>
      <c r="DF100" s="22">
        <v>45030</v>
      </c>
      <c r="DG100" s="22">
        <v>45062</v>
      </c>
      <c r="DH100" s="22">
        <v>45097</v>
      </c>
      <c r="DI100" s="22">
        <v>45128</v>
      </c>
      <c r="DJ100" s="22"/>
      <c r="DK100" s="22"/>
      <c r="DL100" s="22"/>
      <c r="DM100" s="22"/>
      <c r="DN100" s="22"/>
      <c r="DO100" s="22"/>
      <c r="DP100" s="22"/>
      <c r="DQ100" s="22"/>
      <c r="DR100" s="28"/>
      <c r="DS100" s="22"/>
      <c r="DT100" s="22"/>
      <c r="DU100" s="216" t="str">
        <f t="shared" ca="1" si="438"/>
        <v>CONCERTAR PLAN DE PARTO INMEDIATO</v>
      </c>
      <c r="DV100" s="226" t="str">
        <f t="shared" si="439"/>
        <v>ACTIVA INGRESO A CPN</v>
      </c>
      <c r="DW1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0" s="216" t="e">
        <f t="shared" ca="1" si="266"/>
        <v>#REF!</v>
      </c>
      <c r="DY100" s="212">
        <f>IF(R100="","",IF(R100&gt;0,MAX(Tabla1[[#This Row],[FECHA C2]:[FECHA C13]],Tabla1[[#This Row],[FECHA CONSULTA PRIMERA VEZ PROGRAMA CPN ]])))</f>
        <v>45128</v>
      </c>
      <c r="DZ100" s="216">
        <f t="shared" si="267"/>
        <v>29</v>
      </c>
      <c r="EA100" s="222">
        <f>IF(R100&gt;0,SUM(COUNTA(DF100:DQ100)+COUNTA(Tabla1[[#This Row],[FECHA CONSULTA PRIMERA VEZ PROGRAMA CPN ]])),"")</f>
        <v>5</v>
      </c>
      <c r="EB100" s="222" t="str">
        <f t="shared" si="268"/>
        <v>SI</v>
      </c>
      <c r="EC100" s="214">
        <f t="shared" si="269"/>
        <v>10</v>
      </c>
      <c r="ED100" s="227">
        <f t="shared" si="270"/>
        <v>0.5</v>
      </c>
      <c r="EE100" s="22">
        <v>44971</v>
      </c>
      <c r="EF100" s="22">
        <v>44971</v>
      </c>
      <c r="EG100" s="22">
        <v>44971</v>
      </c>
      <c r="EH100" s="22"/>
      <c r="EI100" s="22">
        <v>44971</v>
      </c>
      <c r="EJ100" s="22"/>
      <c r="EK100" s="22"/>
      <c r="EL100" s="21"/>
      <c r="EM100" s="21">
        <v>13.9</v>
      </c>
      <c r="EN100" s="22">
        <v>44981</v>
      </c>
      <c r="EO100" s="222">
        <f t="shared" si="271"/>
        <v>8.7142857142857135</v>
      </c>
      <c r="EP100" s="214" t="str">
        <f t="shared" si="272"/>
        <v>NORMAL- SUMINISTRAR SULFATO FERROSO</v>
      </c>
      <c r="EQ100" s="216" t="str">
        <f t="shared" si="273"/>
        <v>I TRIM</v>
      </c>
      <c r="ER100" s="24">
        <v>12.1</v>
      </c>
      <c r="ES100" s="22">
        <v>45119</v>
      </c>
      <c r="ET100" s="29">
        <f t="shared" ca="1" si="440"/>
        <v>28.428571428571427</v>
      </c>
      <c r="EU100" s="25" t="str">
        <f t="shared" si="275"/>
        <v>NORMAL- SUMINISTRAR SULFATO FERROSO</v>
      </c>
      <c r="EV100" s="24" t="s">
        <v>866</v>
      </c>
      <c r="EW100" s="24">
        <v>44981</v>
      </c>
      <c r="EX100" s="22"/>
      <c r="EY100" s="29">
        <f t="shared" si="453"/>
        <v>8.7142857142857135</v>
      </c>
      <c r="EZ100" s="25" t="str">
        <f t="shared" ca="1" si="454"/>
        <v/>
      </c>
      <c r="FA100" s="21">
        <v>77</v>
      </c>
      <c r="FB100" s="22">
        <v>44981</v>
      </c>
      <c r="FC100" s="29">
        <f t="shared" si="276"/>
        <v>8.7142857142857135</v>
      </c>
      <c r="FD100" s="29">
        <v>69</v>
      </c>
      <c r="FE100" s="29">
        <v>128</v>
      </c>
      <c r="FF100" s="29">
        <v>95</v>
      </c>
      <c r="FG100" s="21" t="str">
        <f t="shared" ca="1" si="277"/>
        <v>NORMAL</v>
      </c>
      <c r="FH100" s="31">
        <v>45119</v>
      </c>
      <c r="FI100" s="29">
        <f t="shared" si="278"/>
        <v>28.428571428571427</v>
      </c>
      <c r="FJ100" s="22" t="s">
        <v>867</v>
      </c>
      <c r="FK100" s="22">
        <v>44981</v>
      </c>
      <c r="FL100" s="29">
        <f t="shared" ca="1" si="279"/>
        <v>8.7142857142857135</v>
      </c>
      <c r="FM100" s="22"/>
      <c r="FN100" s="32"/>
      <c r="FO100" s="29" t="str">
        <f t="shared" ca="1" si="441"/>
        <v>PIERDE TOMA DE TAMIZAJE</v>
      </c>
      <c r="FP100" s="22" t="s">
        <v>867</v>
      </c>
      <c r="FQ100" s="32">
        <v>45119</v>
      </c>
      <c r="FR100" s="29">
        <f t="shared" ca="1" si="442"/>
        <v>28.428571428571427</v>
      </c>
      <c r="FS100" s="22"/>
      <c r="FT100" s="32"/>
      <c r="FU100" s="29" t="str">
        <f>IF(AND(FJ100="",FM100="",FP100="",FS100=""),"",IF(OR(OR(Tabla1[[#This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0" s="28"/>
      <c r="FW100" s="22"/>
      <c r="FX100" s="29" t="str">
        <f t="shared" si="280"/>
        <v>TOMAR EXAMEN</v>
      </c>
      <c r="FY100" s="22">
        <v>44981</v>
      </c>
      <c r="FZ100" s="22">
        <v>44981</v>
      </c>
      <c r="GA100" s="29">
        <f t="shared" ca="1" si="452"/>
        <v>8.7142857142857135</v>
      </c>
      <c r="GB100" s="22"/>
      <c r="GC100" s="22"/>
      <c r="GD100" s="29" t="str">
        <f t="shared" ca="1" si="443"/>
        <v>PIERDE TOMA DE TAMIZAJE</v>
      </c>
      <c r="GE100" s="22"/>
      <c r="GF100" s="22"/>
      <c r="GG100" s="29" t="str">
        <f t="shared" ca="1" si="444"/>
        <v>TOMA INMEDIATA DE TAMIZAJE</v>
      </c>
      <c r="GH100" s="22"/>
      <c r="GI100" s="29"/>
      <c r="GJ100" s="22"/>
      <c r="GK100" s="22"/>
      <c r="GL100" s="22"/>
      <c r="GM100" s="22"/>
      <c r="GN100" s="28" t="s">
        <v>869</v>
      </c>
      <c r="GO100" s="22">
        <v>44981</v>
      </c>
      <c r="GP100" s="29">
        <f t="shared" si="283"/>
        <v>8.7142857142857135</v>
      </c>
      <c r="GQ100" s="28" t="s">
        <v>869</v>
      </c>
      <c r="GR100" s="28" t="s">
        <v>869</v>
      </c>
      <c r="GS100" s="22" t="str">
        <f t="shared" si="457"/>
        <v>CONTROL Igm</v>
      </c>
      <c r="GT100" s="22">
        <v>44981</v>
      </c>
      <c r="GU100" s="29">
        <f t="shared" si="285"/>
        <v>8.7142857142857135</v>
      </c>
      <c r="GV100" s="21" t="str">
        <f t="shared" si="286"/>
        <v>I TRIM</v>
      </c>
      <c r="GW100" s="28" t="s">
        <v>869</v>
      </c>
      <c r="GX100" s="30"/>
      <c r="GY100" s="21"/>
      <c r="GZ100" s="21"/>
      <c r="HA100" s="21"/>
      <c r="HB100" s="21"/>
      <c r="HC100" s="21"/>
      <c r="HD100" s="21"/>
      <c r="HE100" s="21"/>
      <c r="HF100" s="22"/>
      <c r="HG100" s="22" t="str">
        <f>IF(OR(O100&gt;0,R100&gt;0),CONCATENATE(IF(Tabla1[[#This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0" s="22" t="e">
        <f t="shared" si="287"/>
        <v>#REF!</v>
      </c>
      <c r="HI100" s="22" t="e">
        <f t="shared" ca="1" si="288"/>
        <v>#REF!</v>
      </c>
      <c r="HJ100" s="21"/>
      <c r="HK100" s="21" t="str">
        <f t="shared" si="289"/>
        <v>SIN ANTECEDENTES DE RIESGO</v>
      </c>
      <c r="HL100" s="24" t="str">
        <f t="shared" si="290"/>
        <v>APARENTEMENTE NORMAL</v>
      </c>
      <c r="HM100" s="21" t="e">
        <f t="shared" ca="1" si="291"/>
        <v>#REF!</v>
      </c>
      <c r="HN100" s="30" t="str">
        <f t="shared" si="445"/>
        <v>ACTIVA INGRESO A CPN</v>
      </c>
      <c r="HO100" s="21"/>
      <c r="HP100" s="21"/>
      <c r="HQ100" s="349"/>
      <c r="HR100" s="21" t="str">
        <f>IF(R100="","",IF(Tabla1[[#This Row],[ALARMA FACTORES DE RIESGO COMPLICACIONES HIPERTENSIVAS3]]="SIN ANTECEDENTES DE RIESGO","No Aplica para suministro de ASA",IF(AND(Tabla1[[#This Row],[FECHA INICIO DE SUMINISTRO DE ASA]]&gt;0,RV100&lt;12),"Inicia ASA ANTES de Sem 12",IF(AND(RV100&gt;11,RV100&lt;17,OR(HK100="RIESGO ALTO DE COMPLICACIONES HIPERTENSIVAS VER MANEJO GUIA SUMINISTRO ASA Y CALCIO",HK100="RIESGO MODERADO (2 O MAS CRITERIOS) VER MANEJO GUIA SUMINISTRO ASA Y CALCIO")),"Inicio oportuno de ASA",IF(AND(RV100&gt;12,OR(HK100="RIESGO ALTO DE COMPLICACIONES HIPERTENSIVAS VER MANEJO GUIA SUMINISTRO ASA Y CALCIO",HK100="RIESGO MODERADO (2 O MAS CRITERIOS) VER MANEJO GUIA SUMINISTRO ASA Y CALCIO")),"Inicio no oportuno mayor a 16 semanas",IF(AND(BU100&lt;12,OR(HK100="RIESGO ALTO DE COMPLICACIONES HIPERTENSIVAS VER MANEJO GUIA SUMINISTRO ASA Y CALCIO",HK100="RIESGO MODERADO (2 O MAS CRITERIOS) VER MANEJO GUIA SUMINISTRO ASA Y CALCIO")),"Pendiente Inicio de ASA a la semana 12",IF(AND(BU100&gt;11,BU100&lt;17,OR(HK100="RIESGO ALTO DE COMPLICACIONES HIPERTENSIVAS VER MANEJO GUIA SUMINISTRO ASA Y CALCIO",HK100="RIESGO MODERADO (2 O MAS CRITERIOS) VER MANEJO GUIA SUMINISTRO ASA Y CALCIO")),"Iniciar de inmediato ASA",IF(AND(BU100&gt;16,OR(HK100="RIESGO ALTO DE COMPLICACIONES HIPERTENSIVAS VER MANEJO GUIA SUMINISTRO ASA Y CALCIO",HK100="RIESGO MODERADO (2 O MAS CRITERIOS) VER MANEJO GUIA SUMINISTRO ASA Y CALCIO")),"Pierde Oportunidad, Inicio tardío de ASA","XXXXX"))))))))</f>
        <v>No Aplica para suministro de ASA</v>
      </c>
      <c r="HS100" s="22"/>
      <c r="HT100" s="22" t="s">
        <v>870</v>
      </c>
      <c r="HU100" s="22">
        <v>45030</v>
      </c>
      <c r="HV100" s="22" t="s">
        <v>870</v>
      </c>
      <c r="HW100" s="22">
        <v>45030</v>
      </c>
      <c r="HX100" s="22" t="s">
        <v>870</v>
      </c>
      <c r="HY100" s="22">
        <v>44971</v>
      </c>
      <c r="HZ100" s="28">
        <f t="shared" si="292"/>
        <v>7.2857142857142856</v>
      </c>
      <c r="IA100" s="26"/>
      <c r="IB100" s="26"/>
      <c r="IC100" s="111"/>
      <c r="ID100" s="22"/>
      <c r="IE100" s="22" t="str">
        <f t="shared" ca="1" si="293"/>
        <v/>
      </c>
      <c r="IF100" s="22"/>
      <c r="IG100" s="22">
        <f t="shared" si="294"/>
        <v>45200</v>
      </c>
      <c r="IH100" s="29">
        <f t="shared" ca="1" si="295"/>
        <v>-33</v>
      </c>
      <c r="II100" s="22" t="str">
        <f t="shared" ca="1" si="296"/>
        <v>POSIBLEMENTE NACIO</v>
      </c>
      <c r="IJ100" s="22"/>
      <c r="IK100" s="21"/>
      <c r="IL100" s="21"/>
      <c r="IM100" s="34"/>
      <c r="IN100" s="22"/>
      <c r="IO100" s="21"/>
      <c r="IP100" s="29" t="str">
        <f t="shared" si="435"/>
        <v/>
      </c>
      <c r="IQ100" s="110"/>
      <c r="IR100" s="21"/>
      <c r="IS100" s="21"/>
      <c r="IT100" s="21"/>
      <c r="IU100" s="21"/>
      <c r="IV100" s="21"/>
      <c r="IW100" s="21"/>
      <c r="IX100" s="21"/>
      <c r="IY100" s="21"/>
      <c r="IZ100" s="21"/>
      <c r="JA100" s="21"/>
      <c r="JB100" s="30"/>
      <c r="JC100" s="21"/>
      <c r="JD100" s="36"/>
      <c r="JE100" s="21" t="str">
        <f t="shared" si="446"/>
        <v/>
      </c>
      <c r="JF100" s="30"/>
      <c r="JG100" s="21"/>
      <c r="JH100" s="21"/>
      <c r="JI100" s="21"/>
      <c r="JJ100" s="30"/>
      <c r="JK100" s="22"/>
      <c r="JL100" s="22"/>
      <c r="JM100" s="21"/>
      <c r="JN100" s="36"/>
      <c r="JO100" s="21" t="str">
        <f t="shared" si="447"/>
        <v/>
      </c>
      <c r="JP100" s="22"/>
      <c r="JQ100" s="21"/>
      <c r="JR100" s="21"/>
      <c r="JS100" s="21"/>
      <c r="JT100" s="30"/>
      <c r="JU100" s="22"/>
      <c r="JV100" s="22"/>
      <c r="JW100" s="33"/>
      <c r="JX100" s="28" t="str">
        <f t="shared" si="448"/>
        <v/>
      </c>
      <c r="JY100" s="33"/>
      <c r="JZ100" s="28" t="str">
        <f t="shared" si="449"/>
        <v/>
      </c>
      <c r="KA100" s="21"/>
      <c r="KB100" s="21"/>
      <c r="KC100" s="21"/>
      <c r="KD100" s="37"/>
      <c r="KE100" s="28"/>
      <c r="KF100" s="28"/>
      <c r="KG100" s="28"/>
      <c r="KH100" s="39"/>
      <c r="KI100" s="39"/>
      <c r="KJ100" s="66"/>
      <c r="KK100" s="39"/>
      <c r="KL100" s="39"/>
      <c r="KM100" s="66"/>
      <c r="KN100" s="39"/>
      <c r="KO100" s="39"/>
      <c r="KP100" s="39"/>
      <c r="KQ100" s="39"/>
      <c r="KR100" s="39"/>
      <c r="KS100" s="39"/>
      <c r="KT100" s="39"/>
      <c r="KU100" s="38"/>
      <c r="KV100" s="38"/>
      <c r="KW100" s="38"/>
      <c r="KX100" s="38"/>
      <c r="KY100" s="38"/>
      <c r="KZ100" s="38"/>
      <c r="LA100" s="38"/>
      <c r="LB100" s="38"/>
      <c r="LC100" s="38"/>
      <c r="LD100" s="38"/>
      <c r="LE100" s="38"/>
      <c r="LF100" s="38"/>
      <c r="LG100" s="38"/>
      <c r="LH100" s="38"/>
      <c r="LI100" s="38"/>
      <c r="LJ100" s="38"/>
      <c r="LK100" s="38"/>
      <c r="LL100" s="38"/>
      <c r="LM100" s="38"/>
      <c r="LN100" s="38"/>
      <c r="LO100" s="38"/>
      <c r="LP100" s="38"/>
      <c r="LQ100" s="38"/>
      <c r="LR100" s="38"/>
      <c r="LS100" s="38"/>
      <c r="LT100" s="38"/>
      <c r="LU100" s="38"/>
      <c r="LV100" s="38"/>
      <c r="LW100" s="38"/>
      <c r="LX100" s="38"/>
      <c r="LY100" s="38"/>
      <c r="LZ100" s="38"/>
      <c r="MA100" s="38"/>
      <c r="MB100" s="38"/>
      <c r="MC100" s="38"/>
      <c r="MD100" s="38"/>
      <c r="ME100" s="38"/>
      <c r="MF100" s="38"/>
      <c r="MG100" s="38"/>
      <c r="MH100" s="43">
        <f t="shared" si="458"/>
        <v>0</v>
      </c>
      <c r="MI100" s="43" t="str">
        <f t="shared" si="459"/>
        <v/>
      </c>
      <c r="MJ100" s="43" t="str">
        <f t="shared" si="460"/>
        <v/>
      </c>
      <c r="MK100" s="43">
        <f t="shared" si="461"/>
        <v>0</v>
      </c>
      <c r="ML10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0" s="43">
        <f t="shared" si="462"/>
        <v>7.2857142857142856</v>
      </c>
      <c r="MN100" s="43">
        <f t="shared" si="463"/>
        <v>2</v>
      </c>
      <c r="MO100" s="43">
        <f t="shared" si="464"/>
        <v>2023</v>
      </c>
      <c r="MP100" s="43" t="str">
        <f t="shared" si="465"/>
        <v>I TRIMESTRE AÑO</v>
      </c>
      <c r="MQ100" s="43">
        <f t="shared" si="466"/>
        <v>18.082019272886551</v>
      </c>
      <c r="MR100" s="43">
        <f t="shared" si="467"/>
        <v>0</v>
      </c>
      <c r="MS100" s="43" t="str">
        <f t="shared" si="468"/>
        <v>DE 14 A 19AÑOS</v>
      </c>
      <c r="MT100" s="43">
        <f t="shared" si="469"/>
        <v>0</v>
      </c>
      <c r="MU100" s="43">
        <f t="shared" si="470"/>
        <v>1</v>
      </c>
      <c r="MV100" s="43">
        <f t="shared" si="471"/>
        <v>0</v>
      </c>
      <c r="MW100" s="43">
        <f t="shared" si="472"/>
        <v>0</v>
      </c>
      <c r="MX100" s="43" t="str">
        <f t="shared" si="473"/>
        <v/>
      </c>
      <c r="MY100" s="43" t="str">
        <f t="shared" ca="1" si="450"/>
        <v/>
      </c>
      <c r="MZ100" s="43" t="str">
        <f t="shared" si="474"/>
        <v/>
      </c>
      <c r="NA100" s="43" t="str">
        <f t="shared" si="475"/>
        <v/>
      </c>
      <c r="NB100" s="43" t="str">
        <f t="shared" si="476"/>
        <v/>
      </c>
      <c r="NC100" s="43" t="str">
        <f t="shared" si="477"/>
        <v/>
      </c>
      <c r="ND100" s="43">
        <f t="shared" ca="1" si="478"/>
        <v>1</v>
      </c>
      <c r="NE100" s="43">
        <f>IF(OR(O100&gt;0,R100&gt;0),SUM(COUNTIF(Tabla1[[#This Row],[AÑOS AL INICIO5 CPN]],"&gt;=40"),COUNTIF(AS100,"0"),COUNTIF(AR100,"SI"),COUNTIF(CC100,"SI"),COUNTIF(BQ100,"&gt;119"),COUNTIF(CI100,"&gt;=35")),"")</f>
        <v>1</v>
      </c>
      <c r="NF100" s="43" t="str">
        <f t="shared" si="479"/>
        <v/>
      </c>
      <c r="NG100" s="43">
        <f t="shared" si="480"/>
        <v>0</v>
      </c>
      <c r="NH100" s="43">
        <f t="shared" si="481"/>
        <v>98.7</v>
      </c>
      <c r="NI10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CPN",P100="NO"),"Z",IF(AND(Tabla1[[#This Row],[CITA PROXIMO CONTROL]]="CITA MANUAL",Tabla1[[#This Row],[GESTANTES ACTUALES]]="ACTIVA INGRESO A CPN"),"W",IF(AND(Tabla1[[#This Row],[GESTANTES ACTUALES]]="SALIO PROGRAMA",IN100=""),"S",IF(AND(Tabla1[[#This Row],[CITA PROXIMO CONTROL]]&gt;0,IN100=""),(Tabla1[[#This Row],[CITA PROXIMO CONTROL]]-TODAY()),"SD"))))))))</f>
        <v>#REF!</v>
      </c>
      <c r="NJ100" s="43">
        <f>MONTH(Tabla1[[#This Row],[FECHA DE SALIDA  DEL PROGRAMA]])</f>
        <v>1</v>
      </c>
      <c r="NK100" s="43">
        <f>YEAR(Tabla1[[#This Row],[FECHA DE SALIDA  DEL PROGRAMA]])</f>
        <v>1900</v>
      </c>
      <c r="NL100" s="43" t="str">
        <f t="shared" si="482"/>
        <v>X</v>
      </c>
      <c r="NM100" s="43" t="str">
        <f t="shared" si="455"/>
        <v>NO</v>
      </c>
      <c r="NN100" s="43" t="str">
        <f ca="1">IF(AND(O100&gt;0,R100=""),"NO CPN",IF(AND(O100="",R100=""),"",IF(AND(R100&gt;0,Tabla1[[#This Row],[SEMANAS DE GESTACION ACTUALIZADAS]]&lt;=12),"NO APLICA",IF(AND(FH100&lt;&gt;"",FN100&lt;&gt;""),"SI","NO"))))</f>
        <v>NO</v>
      </c>
      <c r="NO100" s="43" t="str">
        <f ca="1">IF(AND(O100&gt;0,R100=""),"NO CPN",IF(AND(O100="",R100=""),"",IF(AND(R100&gt;0,Tabla1[[#This Row],[SEMANAS DE GESTACION ACTUALIZADAS]]&lt;=27),"NO APLICA",IF(AND(ES100&lt;&gt;"",FQ100&lt;&gt;"",GF100&lt;&gt;""),"SI","NO"))))</f>
        <v>NO</v>
      </c>
      <c r="NP100" s="204" t="str">
        <f t="shared" si="483"/>
        <v>I TRIM</v>
      </c>
      <c r="NQ100" s="21" t="str">
        <f t="shared" si="436"/>
        <v/>
      </c>
      <c r="NR100" s="21" t="str">
        <f t="shared" ca="1" si="451"/>
        <v>REVISAR FUM O FECHA SALIDA PROGRAMA</v>
      </c>
      <c r="NS100" s="205">
        <f t="shared" ca="1" si="484"/>
        <v>2</v>
      </c>
      <c r="NT100" s="21">
        <f t="shared" ca="1" si="485"/>
        <v>1</v>
      </c>
      <c r="NU100" s="21" t="str">
        <f t="shared" ca="1" si="486"/>
        <v>POR DEFINIR</v>
      </c>
      <c r="NV100" s="21" t="str">
        <f t="shared" ca="1" si="487"/>
        <v>POR DEFINIR</v>
      </c>
      <c r="NW100" s="206" t="str">
        <f>IF(AND(O100="",R100=""),"",IF(OR(AND(Tabla1[[#This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0" s="207" t="str">
        <f t="shared" ca="1" si="488"/>
        <v>SIN VACUNAR</v>
      </c>
      <c r="NY100" s="43">
        <f>ROW(Tabla1[[#This Row],['# DE TAMIZAJES SIFILIS TOMADOS ]])</f>
        <v>100</v>
      </c>
      <c r="NZ100" s="43" t="str">
        <f t="shared" si="333"/>
        <v>Menor</v>
      </c>
      <c r="OA100" s="43" t="str">
        <f t="shared" si="334"/>
        <v>NORMAL</v>
      </c>
      <c r="OB100" s="43" t="str">
        <f t="shared" si="335"/>
        <v/>
      </c>
      <c r="OC100" s="43" t="str">
        <f t="shared" si="336"/>
        <v/>
      </c>
      <c r="OD100" s="43" t="str">
        <f t="shared" si="337"/>
        <v/>
      </c>
      <c r="OE100" s="43" t="str">
        <f t="shared" si="338"/>
        <v/>
      </c>
      <c r="OF100" s="43" t="str">
        <f t="shared" si="339"/>
        <v/>
      </c>
      <c r="OG100" s="43" t="str">
        <f t="shared" si="340"/>
        <v/>
      </c>
      <c r="OH100" s="43" t="str">
        <f t="shared" si="341"/>
        <v/>
      </c>
      <c r="OI100" s="43" t="str">
        <f t="shared" si="342"/>
        <v/>
      </c>
      <c r="OJ100" s="43" t="str">
        <f t="shared" si="343"/>
        <v/>
      </c>
      <c r="OK100" s="43" t="str">
        <f t="shared" si="344"/>
        <v/>
      </c>
      <c r="OL100" s="43" t="str">
        <f t="shared" si="345"/>
        <v/>
      </c>
      <c r="OM100" s="43" t="str">
        <f t="shared" si="346"/>
        <v/>
      </c>
      <c r="ON100" s="43" t="str">
        <f t="shared" si="347"/>
        <v/>
      </c>
      <c r="OO100" s="43" t="str">
        <f t="shared" si="348"/>
        <v/>
      </c>
      <c r="OP100" s="43" t="str">
        <f t="shared" si="349"/>
        <v/>
      </c>
      <c r="OQ100" s="43" t="str">
        <f t="shared" si="350"/>
        <v/>
      </c>
      <c r="OR100" s="43" t="str">
        <f t="shared" si="351"/>
        <v/>
      </c>
      <c r="OS100" s="43" t="str">
        <f t="shared" si="352"/>
        <v/>
      </c>
      <c r="OT100" s="43" t="str">
        <f t="shared" si="353"/>
        <v/>
      </c>
      <c r="OU100" s="43" t="str">
        <f t="shared" si="354"/>
        <v/>
      </c>
      <c r="OV100" s="110" t="str">
        <f t="shared" si="355"/>
        <v/>
      </c>
      <c r="OW100" s="43" t="str">
        <f t="shared" si="356"/>
        <v/>
      </c>
      <c r="OX100" s="43" t="str">
        <f t="shared" si="357"/>
        <v/>
      </c>
      <c r="OY100" s="43" t="str">
        <f t="shared" si="358"/>
        <v/>
      </c>
      <c r="OZ100" s="43" t="str">
        <f t="shared" si="359"/>
        <v/>
      </c>
      <c r="PA100" s="43" t="str">
        <f t="shared" si="360"/>
        <v/>
      </c>
      <c r="PB100" s="43" t="str">
        <f t="shared" si="361"/>
        <v/>
      </c>
      <c r="PC100" s="43" t="str">
        <f t="shared" si="362"/>
        <v/>
      </c>
      <c r="PD100" s="43" t="str">
        <f t="shared" si="363"/>
        <v/>
      </c>
      <c r="PE100" s="43" t="str">
        <f t="shared" si="364"/>
        <v/>
      </c>
      <c r="PF100" s="43" t="str">
        <f t="shared" si="365"/>
        <v/>
      </c>
      <c r="PG100" s="43" t="str">
        <f t="shared" si="366"/>
        <v/>
      </c>
      <c r="PH100" s="43" t="str">
        <f t="shared" si="367"/>
        <v/>
      </c>
      <c r="PI100" s="43">
        <f t="shared" si="368"/>
        <v>29</v>
      </c>
      <c r="PJ100" s="43" t="str">
        <f t="shared" si="369"/>
        <v/>
      </c>
      <c r="PK100" s="43" t="str">
        <f t="shared" si="370"/>
        <v/>
      </c>
      <c r="PL100" s="43" t="str">
        <f t="shared" si="371"/>
        <v/>
      </c>
      <c r="PM100" s="43" t="str">
        <f t="shared" si="372"/>
        <v/>
      </c>
      <c r="PN100" s="43" t="str">
        <f t="shared" si="373"/>
        <v/>
      </c>
      <c r="PO100" s="43" t="str">
        <f t="shared" si="374"/>
        <v/>
      </c>
      <c r="PP100" s="43" t="str">
        <f t="shared" si="375"/>
        <v/>
      </c>
      <c r="PQ100" s="43" t="str">
        <f t="shared" si="376"/>
        <v/>
      </c>
      <c r="PR100" s="43" t="str">
        <f t="shared" si="377"/>
        <v/>
      </c>
      <c r="PS100" s="43" t="str">
        <f t="shared" si="378"/>
        <v/>
      </c>
      <c r="PT100" s="43" t="str">
        <f t="shared" si="379"/>
        <v/>
      </c>
      <c r="PU100" s="43" t="str">
        <f t="shared" si="380"/>
        <v/>
      </c>
      <c r="PV100" s="43" t="str">
        <f t="shared" si="381"/>
        <v/>
      </c>
      <c r="PW100" s="43" t="str">
        <f t="shared" si="382"/>
        <v/>
      </c>
      <c r="PX100" s="43" t="str">
        <f t="shared" si="383"/>
        <v/>
      </c>
      <c r="PY100" s="43" t="str">
        <f t="shared" si="384"/>
        <v/>
      </c>
      <c r="PZ100" s="43" t="str">
        <f t="shared" si="385"/>
        <v/>
      </c>
      <c r="QA100" s="43" t="str">
        <f t="shared" si="386"/>
        <v/>
      </c>
      <c r="QB100" s="43" t="str">
        <f t="shared" si="387"/>
        <v/>
      </c>
      <c r="QC100" s="43" t="str">
        <f t="shared" si="388"/>
        <v/>
      </c>
      <c r="QD100" s="43" t="str">
        <f t="shared" si="389"/>
        <v>SOBREPESO</v>
      </c>
      <c r="QE100" s="43" t="str">
        <f t="shared" si="390"/>
        <v/>
      </c>
      <c r="QF100" s="43" t="str">
        <f t="shared" si="391"/>
        <v/>
      </c>
      <c r="QG100" s="43" t="str">
        <f t="shared" si="392"/>
        <v/>
      </c>
      <c r="QH100" s="43" t="str">
        <f t="shared" si="393"/>
        <v/>
      </c>
      <c r="QI100" s="43" t="str">
        <f t="shared" si="394"/>
        <v/>
      </c>
      <c r="QJ100" s="43" t="str">
        <f t="shared" si="395"/>
        <v/>
      </c>
      <c r="QK100" s="43" t="str">
        <f t="shared" si="396"/>
        <v/>
      </c>
      <c r="QL100" s="43" t="str">
        <f t="shared" si="397"/>
        <v/>
      </c>
      <c r="QM100" s="43" t="str">
        <f t="shared" si="398"/>
        <v/>
      </c>
      <c r="QN100" s="43" t="str">
        <f t="shared" si="399"/>
        <v/>
      </c>
      <c r="QO100" s="43" t="str">
        <f t="shared" si="400"/>
        <v/>
      </c>
      <c r="QP100" s="43" t="str">
        <f t="shared" si="401"/>
        <v/>
      </c>
      <c r="QQ100" s="43" t="str">
        <f t="shared" si="402"/>
        <v/>
      </c>
      <c r="QR100" s="43">
        <f t="shared" si="432"/>
        <v>29</v>
      </c>
      <c r="QS100" s="43"/>
      <c r="QT100" s="21" t="str">
        <f t="shared" si="403"/>
        <v/>
      </c>
      <c r="QU100" s="21" t="str">
        <f t="shared" si="404"/>
        <v/>
      </c>
      <c r="QV100" s="21" t="str">
        <f t="shared" si="405"/>
        <v/>
      </c>
      <c r="QW100" s="21" t="str">
        <f t="shared" si="406"/>
        <v/>
      </c>
      <c r="QX100" s="21" t="str">
        <f t="shared" si="407"/>
        <v/>
      </c>
      <c r="QY100" s="21" t="str">
        <f t="shared" si="408"/>
        <v/>
      </c>
      <c r="QZ100" s="21" t="str">
        <f t="shared" si="409"/>
        <v/>
      </c>
      <c r="RA100" s="21" t="str">
        <f t="shared" si="410"/>
        <v/>
      </c>
      <c r="RB100" s="21" t="str">
        <f t="shared" si="411"/>
        <v/>
      </c>
      <c r="RC100" s="21" t="str">
        <f t="shared" si="412"/>
        <v/>
      </c>
      <c r="RD100" s="21" t="str">
        <f t="shared" si="413"/>
        <v/>
      </c>
      <c r="RE100" s="21" t="str">
        <f t="shared" si="414"/>
        <v/>
      </c>
      <c r="RF100" s="21" t="str">
        <f t="shared" si="415"/>
        <v/>
      </c>
      <c r="RG100" s="21" t="str">
        <f t="shared" si="416"/>
        <v/>
      </c>
      <c r="RH100" s="21" t="str">
        <f t="shared" si="417"/>
        <v/>
      </c>
      <c r="RI100" s="21" t="str">
        <f t="shared" si="418"/>
        <v/>
      </c>
      <c r="RJ100" s="21" t="str">
        <f t="shared" si="419"/>
        <v>ADECUADO PARA EDAD GESTACIONAL</v>
      </c>
      <c r="RK100" s="21" t="str">
        <f t="shared" si="420"/>
        <v/>
      </c>
      <c r="RL100" s="21" t="str">
        <f t="shared" si="421"/>
        <v/>
      </c>
      <c r="RM100" s="21" t="str">
        <f t="shared" si="422"/>
        <v/>
      </c>
      <c r="RN100" s="21" t="str">
        <f t="shared" si="423"/>
        <v/>
      </c>
      <c r="RO100" s="21" t="str">
        <f t="shared" si="424"/>
        <v/>
      </c>
      <c r="RP100" s="21" t="str">
        <f t="shared" si="425"/>
        <v/>
      </c>
      <c r="RQ100" s="21" t="str">
        <f t="shared" si="426"/>
        <v/>
      </c>
      <c r="RR100" s="21" t="str">
        <f t="shared" si="427"/>
        <v/>
      </c>
      <c r="RS100" s="21" t="str">
        <f t="shared" si="428"/>
        <v/>
      </c>
      <c r="RT100" s="21" t="str">
        <f t="shared" si="429"/>
        <v/>
      </c>
      <c r="RU100" s="21" t="str">
        <f t="shared" si="430"/>
        <v/>
      </c>
      <c r="RV100" s="21">
        <f t="shared" si="431"/>
        <v>-1</v>
      </c>
      <c r="RW100" s="284">
        <f>IF(OR(Tabla1[[#This Row],[FUM FORMULA CONFIABLE]]="",Tabla1[[#This Row],[FUM FORMULA CONFIABLE]]="SD"),"",IF(Tabla1[[#This Row],[FUM FORMULA CONFIABLE]]="CORREGIDA",Tabla1[[#This Row],[FUM X ECO 1]],Tabla1[[#This Row],[FUM x AMENORREA]]))</f>
        <v>44920</v>
      </c>
      <c r="RX100" s="21">
        <f>IF(AND(Tabla1[[#This Row],[FUM X ECO 1]]="",Tabla1[[#This Row],[FUM x AMENORREA]]=""),"",IF(AND(Tabla1[[#This Row],[FUM X ECO 1]]="",Tabla1[[#This Row],[FUM x AMENORREA]]&lt;&gt;""),"X",SUM(Tabla1[[#This Row],[FUM X ECO 1]]-Tabla1[[#This Row],[FUM x AMENORREA]])))</f>
        <v>-4.6999999999970896</v>
      </c>
      <c r="RY100" s="21">
        <f t="shared" si="433"/>
        <v>0</v>
      </c>
    </row>
    <row r="101" spans="1:493" ht="45" customHeight="1" x14ac:dyDescent="0.25">
      <c r="A101" s="109"/>
      <c r="B101" s="43"/>
      <c r="C101" s="43" t="s">
        <v>845</v>
      </c>
      <c r="D101" s="124"/>
      <c r="E101" s="43" t="s">
        <v>1144</v>
      </c>
      <c r="F101" s="43" t="s">
        <v>914</v>
      </c>
      <c r="G101" s="43" t="s">
        <v>1303</v>
      </c>
      <c r="H101" s="43"/>
      <c r="I101" s="109" t="s">
        <v>851</v>
      </c>
      <c r="J101" s="110">
        <v>1059594726</v>
      </c>
      <c r="K101" s="43" t="s">
        <v>852</v>
      </c>
      <c r="L101" s="175" t="s">
        <v>853</v>
      </c>
      <c r="M101" s="22">
        <v>30828</v>
      </c>
      <c r="N101" s="213">
        <f t="shared" ca="1" si="252"/>
        <v>39.465753424657535</v>
      </c>
      <c r="O101" s="22">
        <v>44982</v>
      </c>
      <c r="P101" s="214" t="str">
        <f t="shared" si="437"/>
        <v>SI</v>
      </c>
      <c r="Q101" s="26" t="s">
        <v>855</v>
      </c>
      <c r="R101" s="22">
        <v>44982</v>
      </c>
      <c r="S101" s="21" t="s">
        <v>856</v>
      </c>
      <c r="T101" s="24" t="s">
        <v>690</v>
      </c>
      <c r="U101" s="21" t="s">
        <v>857</v>
      </c>
      <c r="V101" s="21" t="s">
        <v>858</v>
      </c>
      <c r="W101" s="21" t="s">
        <v>1195</v>
      </c>
      <c r="X101" s="21" t="s">
        <v>1195</v>
      </c>
      <c r="Y101" s="21" t="s">
        <v>859</v>
      </c>
      <c r="Z101" s="21">
        <v>3133680711</v>
      </c>
      <c r="AA101" s="21" t="s">
        <v>860</v>
      </c>
      <c r="AB101" s="27" t="s">
        <v>861</v>
      </c>
      <c r="AC101" s="26" t="s">
        <v>877</v>
      </c>
      <c r="AD101" s="38" t="s">
        <v>1546</v>
      </c>
      <c r="AE101" s="26" t="s">
        <v>854</v>
      </c>
      <c r="AF101" s="26" t="s">
        <v>854</v>
      </c>
      <c r="AG101" s="23" t="s">
        <v>864</v>
      </c>
      <c r="AH101" s="23" t="s">
        <v>864</v>
      </c>
      <c r="AI101" s="24" t="s">
        <v>863</v>
      </c>
      <c r="AJ101" s="23" t="s">
        <v>864</v>
      </c>
      <c r="AK101" s="220" t="str">
        <f>IF(AND(AD101="",AE101="",AF101="",AG101="",AH101="",AI101="",AJ101=""),"",IF(OR(Tabla1[[#This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EVALUACIÓN",IF(AND(O101="",R101=""),"",IF(AND(OR(O101&gt;0,R101&gt;0),NG101&gt;=0,NG101&lt;2),"SIN RIESGO",IF(AND(OR(O101&gt;0,R101&gt;0),NG101&gt;=2),"CON RIESGO","ASD")))))</f>
        <v>SIN RIESGO</v>
      </c>
      <c r="AL101" s="23" t="s">
        <v>864</v>
      </c>
      <c r="AM101" s="26" t="s">
        <v>864</v>
      </c>
      <c r="AN101" s="26" t="s">
        <v>864</v>
      </c>
      <c r="AO101" s="26" t="s">
        <v>864</v>
      </c>
      <c r="AP101" s="26" t="s">
        <v>864</v>
      </c>
      <c r="AQ101" s="26" t="s">
        <v>864</v>
      </c>
      <c r="AR101" s="26" t="s">
        <v>864</v>
      </c>
      <c r="AS101" s="21">
        <v>4</v>
      </c>
      <c r="AT101" s="21">
        <v>3</v>
      </c>
      <c r="AU101" s="21">
        <v>0</v>
      </c>
      <c r="AV101" s="26" t="s">
        <v>864</v>
      </c>
      <c r="AW101" s="21">
        <v>0</v>
      </c>
      <c r="AX101" s="26" t="s">
        <v>864</v>
      </c>
      <c r="AY101" s="26" t="s">
        <v>864</v>
      </c>
      <c r="AZ101" s="26" t="s">
        <v>864</v>
      </c>
      <c r="BA101" s="26" t="s">
        <v>864</v>
      </c>
      <c r="BB101" s="26" t="s">
        <v>864</v>
      </c>
      <c r="BC101" s="26" t="s">
        <v>864</v>
      </c>
      <c r="BD101" s="26" t="s">
        <v>864</v>
      </c>
      <c r="BE101" s="26" t="s">
        <v>864</v>
      </c>
      <c r="BF101" s="26" t="s">
        <v>864</v>
      </c>
      <c r="BG101" s="26" t="s">
        <v>864</v>
      </c>
      <c r="BH101" s="26" t="s">
        <v>864</v>
      </c>
      <c r="BI101" s="26" t="s">
        <v>864</v>
      </c>
      <c r="BJ101" s="26" t="s">
        <v>864</v>
      </c>
      <c r="BK101" s="26" t="s">
        <v>864</v>
      </c>
      <c r="BL101" s="26" t="s">
        <v>864</v>
      </c>
      <c r="BM101" s="26" t="s">
        <v>864</v>
      </c>
      <c r="BN101" s="22">
        <v>44262</v>
      </c>
      <c r="BO101" s="22">
        <v>44971</v>
      </c>
      <c r="BP101" s="21" t="s">
        <v>1380</v>
      </c>
      <c r="BQ101" s="222">
        <f t="shared" si="254"/>
        <v>21.366666666666667</v>
      </c>
      <c r="BR101" s="223">
        <f t="shared" si="255"/>
        <v>44903</v>
      </c>
      <c r="BS101" s="224">
        <f t="shared" si="256"/>
        <v>11.285714285714286</v>
      </c>
      <c r="BT101" s="216" t="str">
        <f t="shared" si="257"/>
        <v>II TRIM</v>
      </c>
      <c r="BU101" s="214" t="str">
        <f t="shared" ca="1" si="258"/>
        <v/>
      </c>
      <c r="BV101" s="25"/>
      <c r="BW101" s="22">
        <v>45001</v>
      </c>
      <c r="BX101" s="28">
        <v>14</v>
      </c>
      <c r="BY101" s="28"/>
      <c r="BZ101" s="22"/>
      <c r="CA101" s="21"/>
      <c r="CB101" s="26" t="s">
        <v>864</v>
      </c>
      <c r="CC101" s="26" t="s">
        <v>864</v>
      </c>
      <c r="CD101" s="26"/>
      <c r="CE101" s="26" t="s">
        <v>864</v>
      </c>
      <c r="CF101" s="22" t="s">
        <v>1517</v>
      </c>
      <c r="CG101" s="21">
        <v>1.53</v>
      </c>
      <c r="CH101" s="21">
        <v>64</v>
      </c>
      <c r="CI101" s="214">
        <f t="shared" si="259"/>
        <v>27.339911999658252</v>
      </c>
      <c r="CJ101" s="225" t="e">
        <f>IF(AND(CI101&lt;10,CH101="SD"),"SIN DATO PESO PREGESTACION O I TRIM",IF(AND(OR(R101&gt;0,O101&gt;0),CI101="X"),"INGRESAR DATO DE PESO",IF(CI101="SD","INGRESAR DATO DE TALLA Y PESO",IF(AND(OR(Tabla1[[#This Row],[MOMENTO EN QUE SE REALIZA EL PESO AL INGRESO A CPN]]="PREGESTACIÓN",NZ101="Menor"),CI101&lt;18.5),"BAJO PESO",IF(AND(OR(Tabla1[[#This Row],[MOMENTO EN QUE SE REALIZA EL PESO AL INGRESO A CPN]]="PREGESTACIÓN",NZ101="Menor"),CI101&lt;25),"NORMAL",IF(AND(OR(Tabla1[[#This Row],[MOMENTO EN QUE SE REALIZA EL PESO AL INGRESO A CPN]]="PREGESTACIÓN",NZ101="Menor"),CI101&lt;30),"SOBREPESO",IF(AND(OR(Tabla1[[#This Row],[MOMENTO EN QUE SE REALIZA EL PESO AL INGRESO A CPN]]="PREGESTACIÓN",NZ101="Menor"),CI101&gt;=30,CI101&lt;50),"OBESIDAD",IF(AND(BS101&gt;0,Tabla1[[#This Row],[MOMENTO EN QUE SE REALIZA EL PESO AL INGRESO A CPN]]="GESTACIÓN"),HLOOKUP(NZ101,$OA$2:PH101,NY101),""))))))))</f>
        <v>#REF!</v>
      </c>
      <c r="CK101" s="212">
        <f t="shared" si="260"/>
        <v>45154</v>
      </c>
      <c r="CL101" s="21">
        <v>66.7</v>
      </c>
      <c r="CM101" s="214">
        <f t="shared" si="261"/>
        <v>28.493314537143835</v>
      </c>
      <c r="CN101" s="216">
        <f t="shared" si="262"/>
        <v>35</v>
      </c>
      <c r="CO101" s="216" t="e">
        <f>IF(PI101="","",IF(PI101&gt;0,HLOOKUP(PI101,$PJ$2:QQ101,NY101),""))</f>
        <v>#REF!</v>
      </c>
      <c r="CP101" s="21">
        <v>29</v>
      </c>
      <c r="CQ101" s="216" t="e">
        <f>IF(QR101="Menor","NO APLICA-MENOR 13 SEM",IF(AND(CC101="SI",CN101&gt;23),"NO APLICA- GEMELAR",IF(QR101="","",IF(QR101&gt;0,HLOOKUP(QR101,$QS$2:RU101,NY101),""))))</f>
        <v>#REF!</v>
      </c>
      <c r="CR101" s="21"/>
      <c r="CS101" s="21"/>
      <c r="CT101" s="217" t="str">
        <f>IF(R101="","",IF(AND(BS101&gt;1,BS101&lt;12,Tabla1[[#This Row],[T.A. SISTOLICA - ANTES DE SEMANA 12]]="",Tabla1[[#This Row],[T.A. DIASTOLICA - ANTES DE SEMANA 12]]=""),"REGISTRE DATO TA ANTES SEMANA 12",IF(AND(BS101&gt;11,BS101&lt;43,Tabla1[[#This Row],[T.A. SISTOLICA - ANTES DE SEMANA 12]]="",Tabla1[[#This Row],[T.A. DIASTOLICA - ANTES DE SEMANA 12]]=""),"NO APLICA REGISTRO TA-INGRESO TARDIO",IF(AND(OR(O101&gt;0,R101&gt;0),OR(CR101&gt;=140,CS101&gt;=90)),"DEFINIR ESTADIO HTA",IF(AND(OR(O101&gt;0,R101&gt;0),AND(CR101&gt;120,CR101&lt;=139)),"PRE HTA SEGUIMIENTO",IF(AND(OR(O101&gt;0,R101&gt;0),AND(CS101&gt;80,CS101&lt;=89)),"PRE HTA SEGUIMIENTO",IF(AND(OR(O101&gt;0,R101&gt;0),AND(CR101&gt;=80,CR101&lt;=120)),"APARENTEMENTE NORMAL",IF(AND(OR(O101&gt;0,R101&gt;0),AND(CS101&gt;=50,CS101&lt;=80)),"APARENTEMENTE NORMAL",IF(AND(OR(O101&gt;0,R101&gt;0),AND(CR101&gt;1,CR101&lt;=70),AND(CS101&gt;1,CS101&lt;=40)),"HIPOTENSIÓN","")))))))))</f>
        <v>REGISTRE DATO TA ANTES SEMANA 12</v>
      </c>
      <c r="CU101" s="21"/>
      <c r="CV101" s="21"/>
      <c r="CW101" s="217" t="str">
        <f ca="1">IF(R101="","",IF(AND(CN101&gt;19,CN101&lt;27,Tabla1[[#This Row],[T.A. SISTOLICA (Entre semana 20 y 26)]]="",Tabla1[[#This Row],[T.A. DIATOLICA (Entre semana 20 y 26)]]=""),"ACUDE A CONTROL SEM 20 A 26 REGISTRE TA AHORA",IF(AND(BS101&gt;1,BS101&lt;27,BU101&gt;19,Tabla1[[#This Row],[T.A. SISTOLICA (Entre semana 20 y 26)]]="",Tabla1[[#This Row],[T.A. DIATOLICA (Entre semana 20 y 26)]]=""),"COMPLETE REGISTRO TA CONTROL SEM 20 A26 ",IF(AND(BS101&gt;26,BS101&lt;43,Tabla1[[#This Row],[T.A. SISTOLICA (Entre semana 20 y 26)]]="",Tabla1[[#This Row],[T.A. DIATOLICA (Entre semana 20 y 26)]]=""),"NO APLICA REGISTRO TA-INGRESO TARDIO",IF(AND(OR(O101&gt;0,R101&gt;0),OR(CU101&gt;=140,CV101&gt;=90)),"ALTO RIESGO PREECLAMPSIA,DEFINIR ESTADIO HTA",IF(AND(OR(O101&gt;0,R101&gt;0),AND(CU101&gt;120,CU101&lt;=139)),"PRE HTA SEGUIMIENTO,RIESGO HIPERTENSION INDUCIDA POR EL EMBARAZO",IF(AND(OR(O101&gt;0,R101&gt;0),AND(CV101&gt;80,CV101&lt;=89)),"PRE HTA SEGUIMIENTO, RIESGO HIPERTENSION INDUCIDA POR EL EMBARAZO",IF(AND(OR(O101&lt;&gt;"",R101&lt;&gt;""),CS101&lt;&gt;"",CV101&lt;&gt;"",CS101&lt;=CV101),"VIGILAR CIFRAS PRESION ARTERIAL",IF(AND(OR(O101&gt;0,R101&gt;0),AND(CU101&gt;120,CU101&lt;=139)),"PRE HTA SEGUIMIENTO",IF(AND(OR(O101&gt;0,R101&gt;0),AND(CU101&gt;1,CU101&lt;=70),AND(CV101&gt;1,CV101&lt;=40)),"HIPOTENSIÓN",IF(AND(OR(O101&lt;&gt;"",R101&lt;&gt;""),CS101&lt;&gt;"",CV101&lt;&gt;"",CS101&gt;CV101),"APARENTEMENTE NORMAL",IF(AND(OR(O101&gt;0,R101&gt;0),AND(CU101&gt;=80,CU101&lt;=120)),"APARENTEMENTE NORMAL",IF(AND(OR(O101&gt;0,R101&gt;0),AND(CV101&gt;=50,CV101&lt;=80)),"APARENTEMENTE NORMAL","")))))))))))))</f>
        <v xml:space="preserve">COMPLETE REGISTRO TA CONTROL SEM 20 A26 </v>
      </c>
      <c r="CX101" s="21">
        <v>100</v>
      </c>
      <c r="CY101" s="21">
        <v>60</v>
      </c>
      <c r="CZ101" s="216" t="str">
        <f t="shared" si="456"/>
        <v>APARENTEMENTE NORMAL</v>
      </c>
      <c r="DA101" s="21">
        <v>100</v>
      </c>
      <c r="DB101" s="21">
        <v>70</v>
      </c>
      <c r="DC101" s="217" t="str">
        <f t="shared" si="264"/>
        <v>VIGILAR CIFRAS PRESION ARTERIAL</v>
      </c>
      <c r="DD101" s="22">
        <v>44971</v>
      </c>
      <c r="DE101" s="22">
        <v>44971</v>
      </c>
      <c r="DF101" s="22">
        <v>44999</v>
      </c>
      <c r="DG101" s="22">
        <v>44999</v>
      </c>
      <c r="DH101" s="22">
        <v>45090</v>
      </c>
      <c r="DI101" s="22">
        <v>45120</v>
      </c>
      <c r="DJ101" s="339"/>
      <c r="DK101" s="22">
        <v>45154</v>
      </c>
      <c r="DL101" s="22"/>
      <c r="DM101" s="22"/>
      <c r="DN101" s="22"/>
      <c r="DO101" s="22"/>
      <c r="DP101" s="22"/>
      <c r="DQ101" s="22"/>
      <c r="DR101" s="28">
        <v>0</v>
      </c>
      <c r="DS101" s="22"/>
      <c r="DT101" s="22"/>
      <c r="DU101" s="216" t="str">
        <f t="shared" ca="1" si="438"/>
        <v>CONCERTAR PLAN DE PARTO INMEDIATO</v>
      </c>
      <c r="DV101" s="226" t="str">
        <f t="shared" si="439"/>
        <v>ACTIVA INGRESO A CPN</v>
      </c>
      <c r="DW1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1" s="216" t="e">
        <f t="shared" ca="1" si="266"/>
        <v>#REF!</v>
      </c>
      <c r="DY101" s="212">
        <f>IF(R101="","",IF(R101&gt;0,MAX(Tabla1[[#This Row],[FECHA C2]:[FECHA C13]],Tabla1[[#This Row],[FECHA CONSULTA PRIMERA VEZ PROGRAMA CPN ]])))</f>
        <v>45154</v>
      </c>
      <c r="DZ101" s="216">
        <f t="shared" si="267"/>
        <v>35</v>
      </c>
      <c r="EA101" s="222">
        <f>IF(R101&gt;0,SUM(COUNTA(DF101:DQ101)+COUNTA(Tabla1[[#This Row],[FECHA CONSULTA PRIMERA VEZ PROGRAMA CPN ]])),"")</f>
        <v>6</v>
      </c>
      <c r="EB101" s="222" t="str">
        <f t="shared" si="268"/>
        <v>SI</v>
      </c>
      <c r="EC101" s="214">
        <f t="shared" si="269"/>
        <v>9</v>
      </c>
      <c r="ED101" s="227">
        <f t="shared" si="270"/>
        <v>0.66666666666666663</v>
      </c>
      <c r="EE101" s="22">
        <v>44971</v>
      </c>
      <c r="EF101" s="22">
        <v>44971</v>
      </c>
      <c r="EG101" s="22">
        <v>44971</v>
      </c>
      <c r="EH101" s="22"/>
      <c r="EI101" s="22">
        <v>44971</v>
      </c>
      <c r="EJ101" s="22">
        <v>44987</v>
      </c>
      <c r="EK101" s="344">
        <v>44992</v>
      </c>
      <c r="EL101" s="21"/>
      <c r="EM101" s="21">
        <v>14.3</v>
      </c>
      <c r="EN101" s="22">
        <v>44989</v>
      </c>
      <c r="EO101" s="222">
        <f t="shared" si="271"/>
        <v>12.285714285714286</v>
      </c>
      <c r="EP101" s="214" t="str">
        <f t="shared" si="272"/>
        <v>NO DAR SULFATO FERROSO</v>
      </c>
      <c r="EQ101" s="216" t="str">
        <f t="shared" si="273"/>
        <v>I TRIM</v>
      </c>
      <c r="ER101" s="24">
        <v>13.7</v>
      </c>
      <c r="ES101" s="22">
        <v>45124</v>
      </c>
      <c r="ET101" s="29">
        <f t="shared" ca="1" si="440"/>
        <v>31.571428571428573</v>
      </c>
      <c r="EU101" s="25" t="str">
        <f t="shared" si="275"/>
        <v>NORMAL- SUMINISTRAR SULFATO FERROSO</v>
      </c>
      <c r="EV101" s="24" t="s">
        <v>1510</v>
      </c>
      <c r="EW101" s="24">
        <v>44989</v>
      </c>
      <c r="EX101" s="22"/>
      <c r="EY101" s="29">
        <f t="shared" si="453"/>
        <v>12.285714285714286</v>
      </c>
      <c r="EZ101" s="25" t="str">
        <f t="shared" si="454"/>
        <v>SIN RIESGO DE ISOINMUNIZACIÓN</v>
      </c>
      <c r="FA101" s="21"/>
      <c r="FB101" s="22"/>
      <c r="FC101" s="29" t="str">
        <f t="shared" si="276"/>
        <v>TOMAR EXAMEN</v>
      </c>
      <c r="FD101" s="29">
        <v>77</v>
      </c>
      <c r="FE101" s="29">
        <v>160</v>
      </c>
      <c r="FF101" s="29">
        <v>149</v>
      </c>
      <c r="FG101" s="21" t="str">
        <f t="shared" ca="1" si="277"/>
        <v>NORMAL</v>
      </c>
      <c r="FH101" s="31">
        <v>45097</v>
      </c>
      <c r="FI101" s="29">
        <f t="shared" si="278"/>
        <v>27.714285714285715</v>
      </c>
      <c r="FJ101" s="22" t="s">
        <v>867</v>
      </c>
      <c r="FK101" s="22">
        <v>44989</v>
      </c>
      <c r="FL101" s="29">
        <f t="shared" ca="1" si="279"/>
        <v>12.285714285714286</v>
      </c>
      <c r="FM101" s="22"/>
      <c r="FN101" s="32"/>
      <c r="FO101" s="29" t="str">
        <f t="shared" ca="1" si="441"/>
        <v>PIERDE TOMA DE TAMIZAJE</v>
      </c>
      <c r="FP101" s="22" t="s">
        <v>867</v>
      </c>
      <c r="FQ101" s="32">
        <v>45097</v>
      </c>
      <c r="FR101" s="29">
        <f t="shared" ca="1" si="442"/>
        <v>27.714285714285715</v>
      </c>
      <c r="FS101" s="22"/>
      <c r="FT101" s="32"/>
      <c r="FU101" s="29" t="str">
        <f>IF(AND(FJ101="",FM101="",FP101="",FS101=""),"",IF(OR(OR(Tabla1[[#This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1" s="28"/>
      <c r="FW101" s="22"/>
      <c r="FX101" s="29" t="str">
        <f t="shared" si="280"/>
        <v>TOMAR EXAMEN</v>
      </c>
      <c r="FY101" s="22">
        <v>44989</v>
      </c>
      <c r="FZ101" s="22">
        <v>44989</v>
      </c>
      <c r="GA101" s="29">
        <f t="shared" ca="1" si="452"/>
        <v>12.285714285714286</v>
      </c>
      <c r="GB101" s="22" t="s">
        <v>868</v>
      </c>
      <c r="GC101" s="22">
        <v>45097</v>
      </c>
      <c r="GD101" s="29" t="str">
        <f t="shared" ca="1" si="443"/>
        <v>REGISTRAR EN III TRIMESTRE</v>
      </c>
      <c r="GE101" s="22" t="s">
        <v>868</v>
      </c>
      <c r="GF101" s="22">
        <v>45097</v>
      </c>
      <c r="GG101" s="29">
        <f t="shared" ca="1" si="444"/>
        <v>27.714285714285715</v>
      </c>
      <c r="GH101" s="22"/>
      <c r="GI101" s="29"/>
      <c r="GJ101" s="22"/>
      <c r="GK101" s="22"/>
      <c r="GL101" s="22"/>
      <c r="GM101" s="22"/>
      <c r="GN101" s="28" t="s">
        <v>869</v>
      </c>
      <c r="GO101" s="22">
        <v>44989</v>
      </c>
      <c r="GP101" s="29">
        <f t="shared" si="283"/>
        <v>12.285714285714286</v>
      </c>
      <c r="GQ101" s="28" t="s">
        <v>869</v>
      </c>
      <c r="GR101" s="28" t="s">
        <v>869</v>
      </c>
      <c r="GS101" s="22" t="str">
        <f t="shared" si="457"/>
        <v>CONTROL Igm</v>
      </c>
      <c r="GT101" s="22">
        <v>44989</v>
      </c>
      <c r="GU101" s="29">
        <f t="shared" si="285"/>
        <v>2.5714285714285716</v>
      </c>
      <c r="GV101" s="21" t="str">
        <f t="shared" si="286"/>
        <v>I TRIM</v>
      </c>
      <c r="GW101" s="28" t="s">
        <v>869</v>
      </c>
      <c r="GX101" s="30"/>
      <c r="GY101" s="21"/>
      <c r="GZ101" s="21"/>
      <c r="HA101" s="21"/>
      <c r="HB101" s="21"/>
      <c r="HC101" s="21"/>
      <c r="HD101" s="21"/>
      <c r="HE101" s="21"/>
      <c r="HF101" s="22"/>
      <c r="HG101" s="22" t="str">
        <f>IF(OR(O101&gt;0,R101&gt;0),CONCATENATE(IF(Tabla1[[#This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1" s="22" t="e">
        <f t="shared" si="287"/>
        <v>#REF!</v>
      </c>
      <c r="HI101" s="22" t="e">
        <f t="shared" ca="1" si="288"/>
        <v>#REF!</v>
      </c>
      <c r="HJ101" s="21"/>
      <c r="HK101" s="21" t="str">
        <f t="shared" si="289"/>
        <v>SIN ANTECEDENTES DE RIESGO</v>
      </c>
      <c r="HL101" s="24" t="str">
        <f t="shared" si="290"/>
        <v>VIGILAR CIFRAS PRESION ARTERIAL</v>
      </c>
      <c r="HM101" s="21" t="e">
        <f t="shared" ca="1" si="291"/>
        <v>#REF!</v>
      </c>
      <c r="HN101" s="30" t="str">
        <f t="shared" si="445"/>
        <v>ACTIVA INGRESO A CPN</v>
      </c>
      <c r="HO101" s="21"/>
      <c r="HP101" s="21"/>
      <c r="HQ101" s="21">
        <v>45030</v>
      </c>
      <c r="HR101" s="21" t="str">
        <f>IF(R101="","",IF(Tabla1[[#This Row],[ALARMA FACTORES DE RIESGO COMPLICACIONES HIPERTENSIVAS3]]="SIN ANTECEDENTES DE RIESGO","No Aplica para suministro de ASA",IF(AND(Tabla1[[#This Row],[FECHA INICIO DE SUMINISTRO DE ASA]]&gt;0,RV101&lt;12),"Inicia ASA ANTES de Sem 12",IF(AND(RV101&gt;11,RV101&lt;17,OR(HK101="RIESGO ALTO DE COMPLICACIONES HIPERTENSIVAS VER MANEJO GUIA SUMINISTRO ASA Y CALCIO",HK101="RIESGO MODERADO (2 O MAS CRITERIOS) VER MANEJO GUIA SUMINISTRO ASA Y CALCIO")),"Inicio oportuno de ASA",IF(AND(RV101&gt;12,OR(HK101="RIESGO ALTO DE COMPLICACIONES HIPERTENSIVAS VER MANEJO GUIA SUMINISTRO ASA Y CALCIO",HK101="RIESGO MODERADO (2 O MAS CRITERIOS) VER MANEJO GUIA SUMINISTRO ASA Y CALCIO")),"Inicio no oportuno mayor a 16 semanas",IF(AND(BU101&lt;12,OR(HK101="RIESGO ALTO DE COMPLICACIONES HIPERTENSIVAS VER MANEJO GUIA SUMINISTRO ASA Y CALCIO",HK101="RIESGO MODERADO (2 O MAS CRITERIOS) VER MANEJO GUIA SUMINISTRO ASA Y CALCIO")),"Pendiente Inicio de ASA a la semana 12",IF(AND(BU101&gt;11,BU101&lt;17,OR(HK101="RIESGO ALTO DE COMPLICACIONES HIPERTENSIVAS VER MANEJO GUIA SUMINISTRO ASA Y CALCIO",HK101="RIESGO MODERADO (2 O MAS CRITERIOS) VER MANEJO GUIA SUMINISTRO ASA Y CALCIO")),"Iniciar de inmediato ASA",IF(AND(BU101&gt;16,OR(HK101="RIESGO ALTO DE COMPLICACIONES HIPERTENSIVAS VER MANEJO GUIA SUMINISTRO ASA Y CALCIO",HK101="RIESGO MODERADO (2 O MAS CRITERIOS) VER MANEJO GUIA SUMINISTRO ASA Y CALCIO")),"Pierde Oportunidad, Inicio tardío de ASA","XXXXX"))))))))</f>
        <v>No Aplica para suministro de ASA</v>
      </c>
      <c r="HS101" s="22">
        <v>45030</v>
      </c>
      <c r="HT101" s="22" t="s">
        <v>870</v>
      </c>
      <c r="HU101" s="22"/>
      <c r="HV101" s="22"/>
      <c r="HW101" s="22">
        <v>45030</v>
      </c>
      <c r="HX101" s="22" t="s">
        <v>870</v>
      </c>
      <c r="HY101" s="22"/>
      <c r="HZ101" s="28" t="str">
        <f t="shared" si="292"/>
        <v>PENDIENTE CONSULTA</v>
      </c>
      <c r="IA101" s="26"/>
      <c r="IB101" s="26"/>
      <c r="IC101" s="111"/>
      <c r="ID101" s="22"/>
      <c r="IE101" s="22" t="str">
        <f t="shared" ca="1" si="293"/>
        <v/>
      </c>
      <c r="IF101" s="22"/>
      <c r="IG101" s="22">
        <f t="shared" si="294"/>
        <v>45183</v>
      </c>
      <c r="IH101" s="29">
        <f t="shared" ca="1" si="295"/>
        <v>-50</v>
      </c>
      <c r="II101" s="22" t="str">
        <f t="shared" ca="1" si="296"/>
        <v>POSIBLEMENTE NACIO</v>
      </c>
      <c r="IJ101" s="22"/>
      <c r="IK101" s="21"/>
      <c r="IL101" s="21"/>
      <c r="IM101" s="34"/>
      <c r="IN101" s="349"/>
      <c r="IO101" s="21"/>
      <c r="IP101" s="29" t="str">
        <f t="shared" si="435"/>
        <v/>
      </c>
      <c r="IQ101" s="110"/>
      <c r="IR101" s="21"/>
      <c r="IS101" s="21"/>
      <c r="IT101" s="21"/>
      <c r="IU101" s="21"/>
      <c r="IV101" s="21"/>
      <c r="IW101" s="21"/>
      <c r="IX101" s="21"/>
      <c r="IY101" s="21"/>
      <c r="IZ101" s="21"/>
      <c r="JA101" s="21"/>
      <c r="JB101" s="30"/>
      <c r="JC101" s="21"/>
      <c r="JD101" s="36"/>
      <c r="JE101" s="21" t="str">
        <f t="shared" si="446"/>
        <v/>
      </c>
      <c r="JF101" s="30"/>
      <c r="JG101" s="21"/>
      <c r="JH101" s="21"/>
      <c r="JI101" s="21"/>
      <c r="JJ101" s="30"/>
      <c r="JK101" s="22"/>
      <c r="JL101" s="22"/>
      <c r="JM101" s="21"/>
      <c r="JN101" s="36"/>
      <c r="JO101" s="21" t="str">
        <f t="shared" si="447"/>
        <v/>
      </c>
      <c r="JP101" s="22"/>
      <c r="JQ101" s="21"/>
      <c r="JR101" s="21"/>
      <c r="JS101" s="21"/>
      <c r="JT101" s="30"/>
      <c r="JU101" s="22"/>
      <c r="JV101" s="22"/>
      <c r="JW101" s="33"/>
      <c r="JX101" s="28" t="str">
        <f t="shared" si="448"/>
        <v/>
      </c>
      <c r="JY101" s="33"/>
      <c r="JZ101" s="28" t="str">
        <f t="shared" si="449"/>
        <v/>
      </c>
      <c r="KA101" s="21"/>
      <c r="KB101" s="21"/>
      <c r="KC101" s="21"/>
      <c r="KD101" s="37"/>
      <c r="KE101" s="28"/>
      <c r="KF101" s="28"/>
      <c r="KG101" s="28"/>
      <c r="KH101" s="39"/>
      <c r="KI101" s="39"/>
      <c r="KJ101" s="66"/>
      <c r="KK101" s="39"/>
      <c r="KL101" s="39"/>
      <c r="KM101" s="66"/>
      <c r="KN101" s="39"/>
      <c r="KO101" s="39"/>
      <c r="KP101" s="39"/>
      <c r="KQ101" s="39"/>
      <c r="KR101" s="39"/>
      <c r="KS101" s="39"/>
      <c r="KT101" s="39"/>
      <c r="KU101" s="38"/>
      <c r="KV101" s="38"/>
      <c r="KW101" s="38"/>
      <c r="KX101" s="38"/>
      <c r="KY101" s="38"/>
      <c r="KZ101" s="38"/>
      <c r="LA101" s="38"/>
      <c r="LB101" s="38"/>
      <c r="LC101" s="38"/>
      <c r="LD101" s="38"/>
      <c r="LE101" s="38"/>
      <c r="LF101" s="38"/>
      <c r="LG101" s="38"/>
      <c r="LH101" s="38"/>
      <c r="LI101" s="38"/>
      <c r="LJ101" s="38"/>
      <c r="LK101" s="38"/>
      <c r="LL101" s="38"/>
      <c r="LM101" s="38"/>
      <c r="LN101" s="38"/>
      <c r="LO101" s="38"/>
      <c r="LP101" s="38"/>
      <c r="LQ101" s="38"/>
      <c r="LR101" s="38"/>
      <c r="LS101" s="38"/>
      <c r="LT101" s="38"/>
      <c r="LU101" s="38"/>
      <c r="LV101" s="38"/>
      <c r="LW101" s="38"/>
      <c r="LX101" s="38"/>
      <c r="LY101" s="38"/>
      <c r="LZ101" s="38"/>
      <c r="MA101" s="38"/>
      <c r="MB101" s="38"/>
      <c r="MC101" s="38"/>
      <c r="MD101" s="38"/>
      <c r="ME101" s="38"/>
      <c r="MF101" s="38"/>
      <c r="MG101" s="38"/>
      <c r="MH101" s="43">
        <f t="shared" si="458"/>
        <v>0</v>
      </c>
      <c r="MI101" s="43" t="str">
        <f t="shared" si="459"/>
        <v/>
      </c>
      <c r="MJ101" s="43" t="str">
        <f t="shared" si="460"/>
        <v/>
      </c>
      <c r="MK101" s="43">
        <f t="shared" si="461"/>
        <v>0</v>
      </c>
      <c r="ML10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1" s="43">
        <f t="shared" si="462"/>
        <v>11.285714285714286</v>
      </c>
      <c r="MN101" s="43">
        <f t="shared" si="463"/>
        <v>2</v>
      </c>
      <c r="MO101" s="43">
        <f t="shared" si="464"/>
        <v>2023</v>
      </c>
      <c r="MP101" s="43" t="str">
        <f t="shared" si="465"/>
        <v>I TRIMESTRE AÑO</v>
      </c>
      <c r="MQ101" s="43">
        <f t="shared" si="466"/>
        <v>38.187144108628992</v>
      </c>
      <c r="MR101" s="43">
        <f t="shared" si="467"/>
        <v>2</v>
      </c>
      <c r="MS101" s="43" t="str">
        <f t="shared" si="468"/>
        <v xml:space="preserve"> DE 35 A 39 AÑOS</v>
      </c>
      <c r="MT101" s="43">
        <f t="shared" si="469"/>
        <v>0</v>
      </c>
      <c r="MU101" s="43">
        <f t="shared" si="470"/>
        <v>0</v>
      </c>
      <c r="MV101" s="43">
        <f t="shared" si="471"/>
        <v>0</v>
      </c>
      <c r="MW101" s="43">
        <f t="shared" si="472"/>
        <v>0</v>
      </c>
      <c r="MX101" s="43" t="str">
        <f t="shared" si="473"/>
        <v/>
      </c>
      <c r="MY101" s="43" t="str">
        <f t="shared" ca="1" si="450"/>
        <v/>
      </c>
      <c r="MZ101" s="43" t="str">
        <f t="shared" si="474"/>
        <v/>
      </c>
      <c r="NA101" s="43" t="str">
        <f t="shared" si="475"/>
        <v/>
      </c>
      <c r="NB101" s="43" t="str">
        <f t="shared" si="476"/>
        <v/>
      </c>
      <c r="NC101" s="43" t="str">
        <f t="shared" si="477"/>
        <v/>
      </c>
      <c r="ND101" s="43">
        <f t="shared" ca="1" si="478"/>
        <v>2</v>
      </c>
      <c r="NE101" s="43">
        <f>IF(OR(O101&gt;0,R101&gt;0),SUM(COUNTIF(Tabla1[[#This Row],[AÑOS AL INICIO5 CPN]],"&gt;=40"),COUNTIF(AS101,"0"),COUNTIF(AR101,"SI"),COUNTIF(CC101,"SI"),COUNTIF(BQ101,"&gt;119"),COUNTIF(CI101,"&gt;=35")),"")</f>
        <v>0</v>
      </c>
      <c r="NF101" s="43" t="str">
        <f t="shared" si="479"/>
        <v/>
      </c>
      <c r="NG101" s="43">
        <f t="shared" si="480"/>
        <v>0</v>
      </c>
      <c r="NH101" s="43">
        <f t="shared" si="481"/>
        <v>98</v>
      </c>
      <c r="NI10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CPN",P101="NO"),"Z",IF(AND(Tabla1[[#This Row],[CITA PROXIMO CONTROL]]="CITA MANUAL",Tabla1[[#This Row],[GESTANTES ACTUALES]]="ACTIVA INGRESO A CPN"),"W",IF(AND(Tabla1[[#This Row],[GESTANTES ACTUALES]]="SALIO PROGRAMA",IN101=""),"S",IF(AND(Tabla1[[#This Row],[CITA PROXIMO CONTROL]]&gt;0,IN101=""),(Tabla1[[#This Row],[CITA PROXIMO CONTROL]]-TODAY()),"SD"))))))))</f>
        <v>#REF!</v>
      </c>
      <c r="NJ101" s="43">
        <f>MONTH(Tabla1[[#This Row],[FECHA DE SALIDA  DEL PROGRAMA]])</f>
        <v>1</v>
      </c>
      <c r="NK101" s="43">
        <f>YEAR(Tabla1[[#This Row],[FECHA DE SALIDA  DEL PROGRAMA]])</f>
        <v>1900</v>
      </c>
      <c r="NL101" s="43">
        <f t="shared" si="482"/>
        <v>16</v>
      </c>
      <c r="NM101" s="43" t="str">
        <f t="shared" si="455"/>
        <v>NO</v>
      </c>
      <c r="NN101" s="43" t="str">
        <f ca="1">IF(AND(O101&gt;0,R101=""),"NO CPN",IF(AND(O101="",R101=""),"",IF(AND(R101&gt;0,Tabla1[[#This Row],[SEMANAS DE GESTACION ACTUALIZADAS]]&lt;=12),"NO APLICA",IF(AND(FH101&lt;&gt;"",FN101&lt;&gt;""),"SI","NO"))))</f>
        <v>NO</v>
      </c>
      <c r="NO101" s="43" t="str">
        <f ca="1">IF(AND(O101&gt;0,R101=""),"NO CPN",IF(AND(O101="",R101=""),"",IF(AND(R101&gt;0,Tabla1[[#This Row],[SEMANAS DE GESTACION ACTUALIZADAS]]&lt;=27),"NO APLICA",IF(AND(ES101&lt;&gt;"",FQ101&lt;&gt;"",GF101&lt;&gt;""),"SI","NO"))))</f>
        <v>SI</v>
      </c>
      <c r="NP101" s="204" t="str">
        <f t="shared" si="483"/>
        <v>I TRIM</v>
      </c>
      <c r="NQ101" s="21">
        <f t="shared" si="436"/>
        <v>10</v>
      </c>
      <c r="NR101" s="21" t="str">
        <f t="shared" ca="1" si="451"/>
        <v>REVISAR FUM O FECHA SALIDA PROGRAMA</v>
      </c>
      <c r="NS101" s="205">
        <f t="shared" ca="1" si="484"/>
        <v>2</v>
      </c>
      <c r="NT101" s="21">
        <f t="shared" ca="1" si="485"/>
        <v>2</v>
      </c>
      <c r="NU101" s="21" t="str">
        <f t="shared" ca="1" si="486"/>
        <v>POR DEFINIR</v>
      </c>
      <c r="NV101" s="21" t="str">
        <f t="shared" ca="1" si="487"/>
        <v>POR DEFINIR</v>
      </c>
      <c r="NW101" s="206" t="str">
        <f>IF(AND(O101="",R101=""),"",IF(OR(AND(Tabla1[[#This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1" s="207" t="str">
        <f t="shared" ca="1" si="488"/>
        <v>SIN VACUNAR</v>
      </c>
      <c r="NY101" s="43">
        <f>ROW(Tabla1[[#This Row],['# DE TAMIZAJES SIFILIS TOMADOS ]])</f>
        <v>101</v>
      </c>
      <c r="NZ101" s="43">
        <f t="shared" si="333"/>
        <v>11</v>
      </c>
      <c r="OA101" s="43" t="str">
        <f t="shared" si="334"/>
        <v/>
      </c>
      <c r="OB101" s="43" t="str">
        <f t="shared" si="335"/>
        <v/>
      </c>
      <c r="OC101" s="43" t="str">
        <f t="shared" si="336"/>
        <v>SOBREPESO</v>
      </c>
      <c r="OD101" s="43" t="str">
        <f t="shared" si="337"/>
        <v/>
      </c>
      <c r="OE101" s="43" t="str">
        <f t="shared" si="338"/>
        <v/>
      </c>
      <c r="OF101" s="43" t="str">
        <f t="shared" si="339"/>
        <v/>
      </c>
      <c r="OG101" s="43" t="str">
        <f t="shared" si="340"/>
        <v/>
      </c>
      <c r="OH101" s="43" t="str">
        <f t="shared" si="341"/>
        <v/>
      </c>
      <c r="OI101" s="43" t="str">
        <f t="shared" si="342"/>
        <v/>
      </c>
      <c r="OJ101" s="43" t="str">
        <f t="shared" si="343"/>
        <v/>
      </c>
      <c r="OK101" s="43" t="str">
        <f t="shared" si="344"/>
        <v/>
      </c>
      <c r="OL101" s="43" t="str">
        <f t="shared" si="345"/>
        <v/>
      </c>
      <c r="OM101" s="43" t="str">
        <f t="shared" si="346"/>
        <v/>
      </c>
      <c r="ON101" s="43" t="str">
        <f t="shared" si="347"/>
        <v/>
      </c>
      <c r="OO101" s="43" t="str">
        <f t="shared" si="348"/>
        <v/>
      </c>
      <c r="OP101" s="43" t="str">
        <f t="shared" si="349"/>
        <v/>
      </c>
      <c r="OQ101" s="43" t="str">
        <f t="shared" si="350"/>
        <v/>
      </c>
      <c r="OR101" s="43" t="str">
        <f t="shared" si="351"/>
        <v/>
      </c>
      <c r="OS101" s="43" t="str">
        <f t="shared" si="352"/>
        <v/>
      </c>
      <c r="OT101" s="43" t="str">
        <f t="shared" si="353"/>
        <v/>
      </c>
      <c r="OU101" s="43" t="str">
        <f t="shared" si="354"/>
        <v/>
      </c>
      <c r="OV101" s="110" t="str">
        <f t="shared" si="355"/>
        <v/>
      </c>
      <c r="OW101" s="43" t="str">
        <f t="shared" si="356"/>
        <v/>
      </c>
      <c r="OX101" s="43" t="str">
        <f t="shared" si="357"/>
        <v/>
      </c>
      <c r="OY101" s="43" t="str">
        <f t="shared" si="358"/>
        <v/>
      </c>
      <c r="OZ101" s="43" t="str">
        <f t="shared" si="359"/>
        <v/>
      </c>
      <c r="PA101" s="43" t="str">
        <f t="shared" si="360"/>
        <v/>
      </c>
      <c r="PB101" s="43" t="str">
        <f t="shared" si="361"/>
        <v/>
      </c>
      <c r="PC101" s="43" t="str">
        <f t="shared" si="362"/>
        <v/>
      </c>
      <c r="PD101" s="43" t="str">
        <f t="shared" si="363"/>
        <v/>
      </c>
      <c r="PE101" s="43" t="str">
        <f t="shared" si="364"/>
        <v/>
      </c>
      <c r="PF101" s="43" t="str">
        <f t="shared" si="365"/>
        <v/>
      </c>
      <c r="PG101" s="43" t="str">
        <f t="shared" si="366"/>
        <v/>
      </c>
      <c r="PH101" s="43" t="str">
        <f t="shared" si="367"/>
        <v/>
      </c>
      <c r="PI101" s="43">
        <f t="shared" si="368"/>
        <v>35</v>
      </c>
      <c r="PJ101" s="43" t="str">
        <f t="shared" si="369"/>
        <v/>
      </c>
      <c r="PK101" s="43" t="str">
        <f t="shared" si="370"/>
        <v/>
      </c>
      <c r="PL101" s="43" t="str">
        <f t="shared" si="371"/>
        <v/>
      </c>
      <c r="PM101" s="43" t="str">
        <f t="shared" si="372"/>
        <v/>
      </c>
      <c r="PN101" s="43" t="str">
        <f t="shared" si="373"/>
        <v/>
      </c>
      <c r="PO101" s="43" t="str">
        <f t="shared" si="374"/>
        <v/>
      </c>
      <c r="PP101" s="43" t="str">
        <f t="shared" si="375"/>
        <v/>
      </c>
      <c r="PQ101" s="43" t="str">
        <f t="shared" si="376"/>
        <v/>
      </c>
      <c r="PR101" s="43" t="str">
        <f t="shared" si="377"/>
        <v/>
      </c>
      <c r="PS101" s="43" t="str">
        <f t="shared" si="378"/>
        <v/>
      </c>
      <c r="PT101" s="43" t="str">
        <f t="shared" si="379"/>
        <v/>
      </c>
      <c r="PU101" s="43" t="str">
        <f t="shared" si="380"/>
        <v/>
      </c>
      <c r="PV101" s="43" t="str">
        <f t="shared" si="381"/>
        <v/>
      </c>
      <c r="PW101" s="43" t="str">
        <f t="shared" si="382"/>
        <v/>
      </c>
      <c r="PX101" s="43" t="str">
        <f t="shared" si="383"/>
        <v/>
      </c>
      <c r="PY101" s="43" t="str">
        <f t="shared" si="384"/>
        <v/>
      </c>
      <c r="PZ101" s="43" t="str">
        <f t="shared" si="385"/>
        <v/>
      </c>
      <c r="QA101" s="43" t="str">
        <f t="shared" si="386"/>
        <v/>
      </c>
      <c r="QB101" s="43" t="str">
        <f t="shared" si="387"/>
        <v/>
      </c>
      <c r="QC101" s="43" t="str">
        <f t="shared" si="388"/>
        <v/>
      </c>
      <c r="QD101" s="43" t="str">
        <f t="shared" si="389"/>
        <v/>
      </c>
      <c r="QE101" s="43" t="str">
        <f t="shared" si="390"/>
        <v/>
      </c>
      <c r="QF101" s="43" t="str">
        <f t="shared" si="391"/>
        <v/>
      </c>
      <c r="QG101" s="43" t="str">
        <f t="shared" si="392"/>
        <v/>
      </c>
      <c r="QH101" s="43" t="str">
        <f t="shared" si="393"/>
        <v/>
      </c>
      <c r="QI101" s="43" t="str">
        <f t="shared" si="394"/>
        <v/>
      </c>
      <c r="QJ101" s="43" t="str">
        <f t="shared" si="395"/>
        <v>NORMAL</v>
      </c>
      <c r="QK101" s="43" t="str">
        <f t="shared" si="396"/>
        <v/>
      </c>
      <c r="QL101" s="43" t="str">
        <f t="shared" si="397"/>
        <v/>
      </c>
      <c r="QM101" s="43" t="str">
        <f t="shared" si="398"/>
        <v/>
      </c>
      <c r="QN101" s="43" t="str">
        <f t="shared" si="399"/>
        <v/>
      </c>
      <c r="QO101" s="43" t="str">
        <f t="shared" si="400"/>
        <v/>
      </c>
      <c r="QP101" s="43" t="str">
        <f t="shared" si="401"/>
        <v/>
      </c>
      <c r="QQ101" s="43" t="str">
        <f t="shared" si="402"/>
        <v/>
      </c>
      <c r="QR101" s="43">
        <f t="shared" si="432"/>
        <v>35</v>
      </c>
      <c r="QS101" s="43"/>
      <c r="QT101" s="21" t="str">
        <f t="shared" si="403"/>
        <v/>
      </c>
      <c r="QU101" s="21" t="str">
        <f t="shared" si="404"/>
        <v/>
      </c>
      <c r="QV101" s="21" t="str">
        <f t="shared" si="405"/>
        <v/>
      </c>
      <c r="QW101" s="21" t="str">
        <f t="shared" si="406"/>
        <v/>
      </c>
      <c r="QX101" s="21" t="str">
        <f t="shared" si="407"/>
        <v/>
      </c>
      <c r="QY101" s="21" t="str">
        <f t="shared" si="408"/>
        <v/>
      </c>
      <c r="QZ101" s="21" t="str">
        <f t="shared" si="409"/>
        <v/>
      </c>
      <c r="RA101" s="21" t="str">
        <f t="shared" si="410"/>
        <v/>
      </c>
      <c r="RB101" s="21" t="str">
        <f t="shared" si="411"/>
        <v/>
      </c>
      <c r="RC101" s="21" t="str">
        <f t="shared" si="412"/>
        <v/>
      </c>
      <c r="RD101" s="21" t="str">
        <f t="shared" si="413"/>
        <v/>
      </c>
      <c r="RE101" s="21" t="str">
        <f t="shared" si="414"/>
        <v/>
      </c>
      <c r="RF101" s="21" t="str">
        <f t="shared" si="415"/>
        <v/>
      </c>
      <c r="RG101" s="21" t="str">
        <f t="shared" si="416"/>
        <v/>
      </c>
      <c r="RH101" s="21" t="str">
        <f t="shared" si="417"/>
        <v/>
      </c>
      <c r="RI101" s="21" t="str">
        <f t="shared" si="418"/>
        <v/>
      </c>
      <c r="RJ101" s="21" t="str">
        <f t="shared" si="419"/>
        <v/>
      </c>
      <c r="RK101" s="21" t="str">
        <f t="shared" si="420"/>
        <v/>
      </c>
      <c r="RL101" s="21" t="str">
        <f t="shared" si="421"/>
        <v/>
      </c>
      <c r="RM101" s="21" t="str">
        <f t="shared" si="422"/>
        <v/>
      </c>
      <c r="RN101" s="21" t="str">
        <f t="shared" si="423"/>
        <v/>
      </c>
      <c r="RO101" s="21" t="str">
        <f t="shared" si="424"/>
        <v/>
      </c>
      <c r="RP101" s="21" t="str">
        <f t="shared" si="425"/>
        <v>ADECUADO PARA EDAD GESTACIONAL</v>
      </c>
      <c r="RQ101" s="21" t="str">
        <f t="shared" si="426"/>
        <v/>
      </c>
      <c r="RR101" s="21" t="str">
        <f t="shared" si="427"/>
        <v/>
      </c>
      <c r="RS101" s="21" t="str">
        <f t="shared" si="428"/>
        <v/>
      </c>
      <c r="RT101" s="21" t="str">
        <f t="shared" si="429"/>
        <v/>
      </c>
      <c r="RU101" s="21" t="str">
        <f t="shared" si="430"/>
        <v/>
      </c>
      <c r="RV101" s="21">
        <f t="shared" si="431"/>
        <v>18.142857142857142</v>
      </c>
      <c r="RW101" s="284">
        <f>IF(OR(Tabla1[[#This Row],[FUM FORMULA CONFIABLE]]="",Tabla1[[#This Row],[FUM FORMULA CONFIABLE]]="SD"),"",IF(Tabla1[[#This Row],[FUM FORMULA CONFIABLE]]="CORREGIDA",Tabla1[[#This Row],[FUM X ECO 1]],Tabla1[[#This Row],[FUM x AMENORREA]]))</f>
        <v>44903</v>
      </c>
      <c r="RX101" s="21">
        <f>IF(AND(Tabla1[[#This Row],[FUM X ECO 1]]="",Tabla1[[#This Row],[FUM x AMENORREA]]=""),"",IF(AND(Tabla1[[#This Row],[FUM X ECO 1]]="",Tabla1[[#This Row],[FUM x AMENORREA]]&lt;&gt;""),"X",SUM(Tabla1[[#This Row],[FUM X ECO 1]]-Tabla1[[#This Row],[FUM x AMENORREA]])))</f>
        <v>-68</v>
      </c>
      <c r="RY101" s="21">
        <f t="shared" si="433"/>
        <v>1</v>
      </c>
    </row>
    <row r="102" spans="1:493" ht="45" customHeight="1" x14ac:dyDescent="0.25">
      <c r="A102" s="109"/>
      <c r="B102" s="43"/>
      <c r="C102" s="43" t="s">
        <v>845</v>
      </c>
      <c r="D102" s="124"/>
      <c r="E102" s="43" t="s">
        <v>944</v>
      </c>
      <c r="F102" s="43" t="s">
        <v>1147</v>
      </c>
      <c r="G102" s="43" t="s">
        <v>1304</v>
      </c>
      <c r="H102" s="43"/>
      <c r="I102" s="109" t="s">
        <v>851</v>
      </c>
      <c r="J102" s="110">
        <v>1002848765</v>
      </c>
      <c r="K102" s="43" t="s">
        <v>852</v>
      </c>
      <c r="L102" s="175" t="s">
        <v>853</v>
      </c>
      <c r="M102" s="22">
        <v>36517</v>
      </c>
      <c r="N102" s="213">
        <f t="shared" ca="1" si="252"/>
        <v>23.87945205479452</v>
      </c>
      <c r="O102" s="22">
        <v>44973</v>
      </c>
      <c r="P102" s="214" t="str">
        <f t="shared" si="437"/>
        <v>SI</v>
      </c>
      <c r="Q102" s="26" t="s">
        <v>855</v>
      </c>
      <c r="R102" s="22">
        <v>44973</v>
      </c>
      <c r="S102" s="21" t="s">
        <v>856</v>
      </c>
      <c r="T102" s="24" t="s">
        <v>690</v>
      </c>
      <c r="U102" s="21" t="s">
        <v>857</v>
      </c>
      <c r="V102" s="21" t="s">
        <v>858</v>
      </c>
      <c r="W102" s="21" t="s">
        <v>955</v>
      </c>
      <c r="X102" s="21" t="s">
        <v>955</v>
      </c>
      <c r="Y102" s="21" t="s">
        <v>859</v>
      </c>
      <c r="Z102" s="21" t="s">
        <v>894</v>
      </c>
      <c r="AA102" s="21" t="s">
        <v>860</v>
      </c>
      <c r="AB102" s="27" t="s">
        <v>861</v>
      </c>
      <c r="AC102" s="26" t="s">
        <v>862</v>
      </c>
      <c r="AD102" s="38" t="s">
        <v>846</v>
      </c>
      <c r="AE102" s="26" t="s">
        <v>854</v>
      </c>
      <c r="AF102" s="26" t="s">
        <v>854</v>
      </c>
      <c r="AG102" s="23" t="s">
        <v>864</v>
      </c>
      <c r="AH102" s="23" t="s">
        <v>864</v>
      </c>
      <c r="AI102" s="24" t="s">
        <v>863</v>
      </c>
      <c r="AJ102" s="23" t="s">
        <v>864</v>
      </c>
      <c r="AK102" s="220" t="str">
        <f>IF(AND(AD102="",AE102="",AF102="",AG102="",AH102="",AI102="",AJ102=""),"",IF(OR(Tabla1[[#This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EVALUACIÓN",IF(AND(O102="",R102=""),"",IF(AND(OR(O102&gt;0,R102&gt;0),NG102&gt;=0,NG102&lt;2),"SIN RIESGO",IF(AND(OR(O102&gt;0,R102&gt;0),NG102&gt;=2),"CON RIESGO","ASD")))))</f>
        <v>SIN RIESGO</v>
      </c>
      <c r="AL102" s="23" t="s">
        <v>864</v>
      </c>
      <c r="AM102" s="26" t="s">
        <v>864</v>
      </c>
      <c r="AN102" s="26" t="s">
        <v>864</v>
      </c>
      <c r="AO102" s="26" t="s">
        <v>864</v>
      </c>
      <c r="AP102" s="26" t="s">
        <v>864</v>
      </c>
      <c r="AQ102" s="26" t="s">
        <v>864</v>
      </c>
      <c r="AR102" s="26" t="s">
        <v>864</v>
      </c>
      <c r="AS102" s="21">
        <v>3</v>
      </c>
      <c r="AT102" s="21">
        <v>2</v>
      </c>
      <c r="AU102" s="21">
        <v>0</v>
      </c>
      <c r="AV102" s="26" t="s">
        <v>864</v>
      </c>
      <c r="AW102" s="21">
        <v>0</v>
      </c>
      <c r="AX102" s="26" t="s">
        <v>864</v>
      </c>
      <c r="AY102" s="26" t="s">
        <v>864</v>
      </c>
      <c r="AZ102" s="26" t="s">
        <v>864</v>
      </c>
      <c r="BA102" s="26" t="s">
        <v>864</v>
      </c>
      <c r="BB102" s="26" t="s">
        <v>864</v>
      </c>
      <c r="BC102" s="26" t="s">
        <v>864</v>
      </c>
      <c r="BD102" s="26" t="s">
        <v>864</v>
      </c>
      <c r="BE102" s="26" t="s">
        <v>864</v>
      </c>
      <c r="BF102" s="26" t="s">
        <v>864</v>
      </c>
      <c r="BG102" s="26" t="s">
        <v>864</v>
      </c>
      <c r="BH102" s="26" t="s">
        <v>864</v>
      </c>
      <c r="BI102" s="26" t="s">
        <v>864</v>
      </c>
      <c r="BJ102" s="26" t="s">
        <v>864</v>
      </c>
      <c r="BK102" s="26" t="s">
        <v>864</v>
      </c>
      <c r="BL102" s="26" t="s">
        <v>864</v>
      </c>
      <c r="BM102" s="26" t="s">
        <v>864</v>
      </c>
      <c r="BN102" s="22"/>
      <c r="BO102" s="22">
        <v>44901</v>
      </c>
      <c r="BP102" s="21" t="s">
        <v>854</v>
      </c>
      <c r="BQ102" s="222">
        <f t="shared" si="254"/>
        <v>0</v>
      </c>
      <c r="BR102" s="223">
        <f t="shared" si="255"/>
        <v>44852.2</v>
      </c>
      <c r="BS102" s="224">
        <f t="shared" si="256"/>
        <v>10.285714285714286</v>
      </c>
      <c r="BT102" s="216" t="str">
        <f t="shared" si="257"/>
        <v>II TRIM</v>
      </c>
      <c r="BU102" s="214" t="str">
        <f t="shared" ca="1" si="258"/>
        <v/>
      </c>
      <c r="BV102" s="25" t="s">
        <v>988</v>
      </c>
      <c r="BW102" s="22">
        <v>45016</v>
      </c>
      <c r="BX102" s="28">
        <v>23.4</v>
      </c>
      <c r="BY102" s="28" t="s">
        <v>988</v>
      </c>
      <c r="BZ102" s="22">
        <v>45051</v>
      </c>
      <c r="CA102" s="21">
        <v>28.2</v>
      </c>
      <c r="CB102" s="26" t="s">
        <v>864</v>
      </c>
      <c r="CC102" s="26" t="s">
        <v>864</v>
      </c>
      <c r="CD102" s="26" t="s">
        <v>878</v>
      </c>
      <c r="CE102" s="26" t="s">
        <v>864</v>
      </c>
      <c r="CF102" s="22" t="s">
        <v>1517</v>
      </c>
      <c r="CG102" s="21">
        <v>1.41</v>
      </c>
      <c r="CH102" s="21">
        <v>49.3</v>
      </c>
      <c r="CI102" s="214">
        <f t="shared" si="259"/>
        <v>24.797545395100851</v>
      </c>
      <c r="CJ102" s="225" t="e">
        <f>IF(AND(CI102&lt;10,CH102="SD"),"SIN DATO PESO PREGESTACION O I TRIM",IF(AND(OR(R102&gt;0,O102&gt;0),CI102="X"),"INGRESAR DATO DE PESO",IF(CI102="SD","INGRESAR DATO DE TALLA Y PESO",IF(AND(OR(Tabla1[[#This Row],[MOMENTO EN QUE SE REALIZA EL PESO AL INGRESO A CPN]]="PREGESTACIÓN",NZ102="Menor"),CI102&lt;18.5),"BAJO PESO",IF(AND(OR(Tabla1[[#This Row],[MOMENTO EN QUE SE REALIZA EL PESO AL INGRESO A CPN]]="PREGESTACIÓN",NZ102="Menor"),CI102&lt;25),"NORMAL",IF(AND(OR(Tabla1[[#This Row],[MOMENTO EN QUE SE REALIZA EL PESO AL INGRESO A CPN]]="PREGESTACIÓN",NZ102="Menor"),CI102&lt;30),"SOBREPESO",IF(AND(OR(Tabla1[[#This Row],[MOMENTO EN QUE SE REALIZA EL PESO AL INGRESO A CPN]]="PREGESTACIÓN",NZ102="Menor"),CI102&gt;=30,CI102&lt;50),"OBESIDAD",IF(AND(BS102&gt;0,Tabla1[[#This Row],[MOMENTO EN QUE SE REALIZA EL PESO AL INGRESO A CPN]]="GESTACIÓN"),HLOOKUP(NZ102,$OA$2:PH102,NY102),""))))))))</f>
        <v>#REF!</v>
      </c>
      <c r="CK102" s="212">
        <f t="shared" si="260"/>
        <v>45112</v>
      </c>
      <c r="CL102" s="21">
        <v>56.2</v>
      </c>
      <c r="CM102" s="214">
        <f t="shared" si="261"/>
        <v>28.26819576480057</v>
      </c>
      <c r="CN102" s="216">
        <f t="shared" si="262"/>
        <v>30</v>
      </c>
      <c r="CO102" s="216" t="e">
        <f>IF(PI102="","",IF(PI102&gt;0,HLOOKUP(PI102,$PJ$2:QQ102,NY102),""))</f>
        <v>#REF!</v>
      </c>
      <c r="CP102" s="21">
        <v>35</v>
      </c>
      <c r="CQ102" s="216" t="e">
        <f>IF(QR102="Menor","NO APLICA-MENOR 13 SEM",IF(AND(CC102="SI",CN102&gt;23),"NO APLICA- GEMELAR",IF(QR102="","",IF(QR102&gt;0,HLOOKUP(QR102,$QS$2:RU102,NY102),""))))</f>
        <v>#REF!</v>
      </c>
      <c r="CR102" s="21">
        <v>90</v>
      </c>
      <c r="CS102" s="21">
        <v>60</v>
      </c>
      <c r="CT102" s="217" t="str">
        <f>IF(R102="","",IF(AND(BS102&gt;1,BS102&lt;12,Tabla1[[#This Row],[T.A. SISTOLICA - ANTES DE SEMANA 12]]="",Tabla1[[#This Row],[T.A. DIASTOLICA - ANTES DE SEMANA 12]]=""),"REGISTRE DATO TA ANTES SEMANA 12",IF(AND(BS102&gt;11,BS102&lt;43,Tabla1[[#This Row],[T.A. SISTOLICA - ANTES DE SEMANA 12]]="",Tabla1[[#This Row],[T.A. DIASTOLICA - ANTES DE SEMANA 12]]=""),"NO APLICA REGISTRO TA-INGRESO TARDIO",IF(AND(OR(O102&gt;0,R102&gt;0),OR(CR102&gt;=140,CS102&gt;=90)),"DEFINIR ESTADIO HTA",IF(AND(OR(O102&gt;0,R102&gt;0),AND(CR102&gt;120,CR102&lt;=139)),"PRE HTA SEGUIMIENTO",IF(AND(OR(O102&gt;0,R102&gt;0),AND(CS102&gt;80,CS102&lt;=89)),"PRE HTA SEGUIMIENTO",IF(AND(OR(O102&gt;0,R102&gt;0),AND(CR102&gt;=80,CR102&lt;=120)),"APARENTEMENTE NORMAL",IF(AND(OR(O102&gt;0,R102&gt;0),AND(CS102&gt;=50,CS102&lt;=80)),"APARENTEMENTE NORMAL",IF(AND(OR(O102&gt;0,R102&gt;0),AND(CR102&gt;1,CR102&lt;=70),AND(CS102&gt;1,CS102&lt;=40)),"HIPOTENSIÓN","")))))))))</f>
        <v>APARENTEMENTE NORMAL</v>
      </c>
      <c r="CU102" s="21">
        <v>90</v>
      </c>
      <c r="CV102" s="21">
        <v>60</v>
      </c>
      <c r="CW102" s="217" t="str">
        <f ca="1">IF(R102="","",IF(AND(CN102&gt;19,CN102&lt;27,Tabla1[[#This Row],[T.A. SISTOLICA (Entre semana 20 y 26)]]="",Tabla1[[#This Row],[T.A. DIATOLICA (Entre semana 20 y 26)]]=""),"ACUDE A CONTROL SEM 20 A 26 REGISTRE TA AHORA",IF(AND(BS102&gt;1,BS102&lt;27,BU102&gt;19,Tabla1[[#This Row],[T.A. SISTOLICA (Entre semana 20 y 26)]]="",Tabla1[[#This Row],[T.A. DIATOLICA (Entre semana 20 y 26)]]=""),"COMPLETE REGISTRO TA CONTROL SEM 20 A26 ",IF(AND(BS102&gt;26,BS102&lt;43,Tabla1[[#This Row],[T.A. SISTOLICA (Entre semana 20 y 26)]]="",Tabla1[[#This Row],[T.A. DIATOLICA (Entre semana 20 y 26)]]=""),"NO APLICA REGISTRO TA-INGRESO TARDIO",IF(AND(OR(O102&gt;0,R102&gt;0),OR(CU102&gt;=140,CV102&gt;=90)),"ALTO RIESGO PREECLAMPSIA,DEFINIR ESTADIO HTA",IF(AND(OR(O102&gt;0,R102&gt;0),AND(CU102&gt;120,CU102&lt;=139)),"PRE HTA SEGUIMIENTO,RIESGO HIPERTENSION INDUCIDA POR EL EMBARAZO",IF(AND(OR(O102&gt;0,R102&gt;0),AND(CV102&gt;80,CV102&lt;=89)),"PRE HTA SEGUIMIENTO, RIESGO HIPERTENSION INDUCIDA POR EL EMBARAZO",IF(AND(OR(O102&lt;&gt;"",R102&lt;&gt;""),CS102&lt;&gt;"",CV102&lt;&gt;"",CS102&lt;=CV102),"VIGILAR CIFRAS PRESION ARTERIAL",IF(AND(OR(O102&gt;0,R102&gt;0),AND(CU102&gt;120,CU102&lt;=139)),"PRE HTA SEGUIMIENTO",IF(AND(OR(O102&gt;0,R102&gt;0),AND(CU102&gt;1,CU102&lt;=70),AND(CV102&gt;1,CV102&lt;=40)),"HIPOTENSIÓN",IF(AND(OR(O102&lt;&gt;"",R102&lt;&gt;""),CS102&lt;&gt;"",CV102&lt;&gt;"",CS102&gt;CV102),"APARENTEMENTE NORMAL",IF(AND(OR(O102&gt;0,R102&gt;0),AND(CU102&gt;=80,CU102&lt;=120)),"APARENTEMENTE NORMAL",IF(AND(OR(O102&gt;0,R102&gt;0),AND(CV102&gt;=50,CV102&lt;=80)),"APARENTEMENTE NORMAL","")))))))))))))</f>
        <v>VIGILAR CIFRAS PRESION ARTERIAL</v>
      </c>
      <c r="CX102" s="21"/>
      <c r="CY102" s="21"/>
      <c r="CZ102" s="216" t="str">
        <f t="shared" si="456"/>
        <v/>
      </c>
      <c r="DA102" s="21">
        <v>90</v>
      </c>
      <c r="DB102" s="21">
        <v>60</v>
      </c>
      <c r="DC102" s="217" t="str">
        <f t="shared" si="264"/>
        <v>APARENTEMENTE NORMAL</v>
      </c>
      <c r="DD102" s="22">
        <v>44973</v>
      </c>
      <c r="DE102" s="22">
        <v>44973</v>
      </c>
      <c r="DF102" s="22">
        <v>45016</v>
      </c>
      <c r="DG102" s="22">
        <v>45051</v>
      </c>
      <c r="DH102" s="22">
        <v>45112</v>
      </c>
      <c r="DI102" s="22"/>
      <c r="DJ102" s="22"/>
      <c r="DK102" s="22"/>
      <c r="DL102" s="22"/>
      <c r="DM102" s="22"/>
      <c r="DN102" s="22"/>
      <c r="DO102" s="22"/>
      <c r="DP102" s="22"/>
      <c r="DQ102" s="22"/>
      <c r="DR102" s="28">
        <v>2</v>
      </c>
      <c r="DS102" s="22"/>
      <c r="DT102" s="22"/>
      <c r="DU102" s="216" t="str">
        <f t="shared" ca="1" si="438"/>
        <v>SALE PROGRAMA ANTES SEMANA 35</v>
      </c>
      <c r="DV102" s="226" t="str">
        <f t="shared" si="439"/>
        <v>SALIO PROGRAMA</v>
      </c>
      <c r="DW102"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2" s="216" t="str">
        <f t="shared" ca="1" si="266"/>
        <v/>
      </c>
      <c r="DY102" s="212">
        <f>IF(R102="","",IF(R102&gt;0,MAX(Tabla1[[#This Row],[FECHA C2]:[FECHA C13]],Tabla1[[#This Row],[FECHA CONSULTA PRIMERA VEZ PROGRAMA CPN ]])))</f>
        <v>45112</v>
      </c>
      <c r="DZ102" s="216">
        <f t="shared" si="267"/>
        <v>30</v>
      </c>
      <c r="EA102" s="222">
        <f>IF(R102&gt;0,SUM(COUNTA(DF102:DQ102)+COUNTA(Tabla1[[#This Row],[FECHA CONSULTA PRIMERA VEZ PROGRAMA CPN ]])),"")</f>
        <v>4</v>
      </c>
      <c r="EB102" s="222" t="str">
        <f t="shared" si="268"/>
        <v>SI</v>
      </c>
      <c r="EC102" s="214">
        <f t="shared" si="269"/>
        <v>9</v>
      </c>
      <c r="ED102" s="227">
        <f t="shared" si="270"/>
        <v>0.44444444444444442</v>
      </c>
      <c r="EE102" s="22">
        <v>44973</v>
      </c>
      <c r="EF102" s="22">
        <v>44973</v>
      </c>
      <c r="EG102" s="22">
        <v>44973</v>
      </c>
      <c r="EH102" s="22">
        <v>44993</v>
      </c>
      <c r="EI102" s="22">
        <v>44973</v>
      </c>
      <c r="EJ102" s="22">
        <v>44993</v>
      </c>
      <c r="EK102" s="22">
        <v>44993</v>
      </c>
      <c r="EL102" s="21">
        <v>1</v>
      </c>
      <c r="EM102" s="21">
        <v>13.3</v>
      </c>
      <c r="EN102" s="22">
        <v>44970</v>
      </c>
      <c r="EO102" s="222">
        <f t="shared" si="271"/>
        <v>9.8571428571428577</v>
      </c>
      <c r="EP102" s="214" t="str">
        <f t="shared" si="272"/>
        <v>NORMAL- SUMINISTRAR SULFATO FERROSO</v>
      </c>
      <c r="EQ102" s="216" t="str">
        <f t="shared" si="273"/>
        <v>I TRIM</v>
      </c>
      <c r="ER102" s="24"/>
      <c r="ES102" s="22"/>
      <c r="ET102" s="29" t="str">
        <f t="shared" ca="1" si="440"/>
        <v>SALE SIN TAMIZAJE HEMOGLOBINA SEM 28</v>
      </c>
      <c r="EU102" s="25" t="str">
        <f t="shared" si="275"/>
        <v/>
      </c>
      <c r="EV102" s="24" t="s">
        <v>866</v>
      </c>
      <c r="EW102" s="24">
        <v>44970</v>
      </c>
      <c r="EX102" s="22"/>
      <c r="EY102" s="29">
        <f t="shared" si="453"/>
        <v>9.8571428571428577</v>
      </c>
      <c r="EZ102" s="25" t="str">
        <f t="shared" ca="1" si="454"/>
        <v/>
      </c>
      <c r="FA102" s="21">
        <v>86</v>
      </c>
      <c r="FB102" s="22">
        <v>44970</v>
      </c>
      <c r="FC102" s="29">
        <f t="shared" si="276"/>
        <v>9.8571428571428577</v>
      </c>
      <c r="FD102" s="29">
        <v>85</v>
      </c>
      <c r="FE102" s="29">
        <v>133</v>
      </c>
      <c r="FF102" s="29">
        <v>154</v>
      </c>
      <c r="FG102" s="21" t="str">
        <f t="shared" si="277"/>
        <v>DIABETES, REMITIR</v>
      </c>
      <c r="FH102" s="31">
        <v>45051</v>
      </c>
      <c r="FI102" s="29">
        <f t="shared" si="278"/>
        <v>21.428571428571427</v>
      </c>
      <c r="FJ102" s="22" t="s">
        <v>867</v>
      </c>
      <c r="FK102" s="22">
        <v>44970</v>
      </c>
      <c r="FL102" s="29">
        <f t="shared" ca="1" si="279"/>
        <v>9.8571428571428577</v>
      </c>
      <c r="FM102" s="22" t="s">
        <v>867</v>
      </c>
      <c r="FN102" s="32">
        <v>45051</v>
      </c>
      <c r="FO102" s="29">
        <f t="shared" ca="1" si="441"/>
        <v>21.428571428571427</v>
      </c>
      <c r="FP102" s="22"/>
      <c r="FQ102" s="32"/>
      <c r="FR102" s="29" t="str">
        <f t="shared" ca="1" si="442"/>
        <v>PIERDE TOMA DE TAMIZAJE</v>
      </c>
      <c r="FS102" s="22"/>
      <c r="FT102" s="32"/>
      <c r="FU102" s="29" t="str">
        <f>IF(AND(FJ102="",FM102="",FP102="",FS102=""),"",IF(OR(OR(Tabla1[[#This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2" s="28"/>
      <c r="FW102" s="22"/>
      <c r="FX102" s="29" t="str">
        <f t="shared" si="280"/>
        <v>TOMAR EXAMEN</v>
      </c>
      <c r="FY102" s="22"/>
      <c r="FZ102" s="22"/>
      <c r="GA102" s="29" t="str">
        <f t="shared" ca="1" si="452"/>
        <v>PIERDE TOMA DE TAMIZAJE</v>
      </c>
      <c r="GB102" s="22" t="s">
        <v>868</v>
      </c>
      <c r="GC102" s="22">
        <v>45051</v>
      </c>
      <c r="GD102" s="29">
        <f t="shared" ca="1" si="443"/>
        <v>21.428571428571427</v>
      </c>
      <c r="GE102" s="22"/>
      <c r="GF102" s="22"/>
      <c r="GG102" s="29" t="str">
        <f t="shared" ca="1" si="444"/>
        <v>PIERDE TOMA DE TAMIZAJE</v>
      </c>
      <c r="GH102" s="22"/>
      <c r="GI102" s="29"/>
      <c r="GJ102" s="22"/>
      <c r="GK102" s="22"/>
      <c r="GL102" s="22"/>
      <c r="GM102" s="22"/>
      <c r="GN102" s="28" t="s">
        <v>869</v>
      </c>
      <c r="GO102" s="22">
        <v>44970</v>
      </c>
      <c r="GP102" s="29">
        <f t="shared" si="283"/>
        <v>9.8571428571428577</v>
      </c>
      <c r="GQ102" s="28" t="s">
        <v>869</v>
      </c>
      <c r="GR102" s="28" t="s">
        <v>869</v>
      </c>
      <c r="GS102" s="22" t="str">
        <f t="shared" si="457"/>
        <v>CONTROL Igm</v>
      </c>
      <c r="GT102" s="22">
        <v>44970</v>
      </c>
      <c r="GU102" s="29">
        <f t="shared" si="285"/>
        <v>9.8571428571428577</v>
      </c>
      <c r="GV102" s="21" t="str">
        <f t="shared" si="286"/>
        <v>I TRIM</v>
      </c>
      <c r="GW102" s="28" t="s">
        <v>869</v>
      </c>
      <c r="GX102" s="30"/>
      <c r="GY102" s="21"/>
      <c r="GZ102" s="21"/>
      <c r="HA102" s="21"/>
      <c r="HB102" s="21"/>
      <c r="HC102" s="21"/>
      <c r="HD102" s="21"/>
      <c r="HE102" s="21"/>
      <c r="HF102" s="22"/>
      <c r="HG102" s="22" t="str">
        <f>IF(OR(O102&gt;0,R102&gt;0),CONCATENATE(IF(Tabla1[[#This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2" s="22" t="e">
        <f t="shared" si="287"/>
        <v>#REF!</v>
      </c>
      <c r="HI102" s="22" t="e">
        <f t="shared" ca="1" si="288"/>
        <v>#REF!</v>
      </c>
      <c r="HJ102" s="21"/>
      <c r="HK102" s="21" t="str">
        <f t="shared" si="289"/>
        <v>SIN ANTECEDENTES DE RIESGO</v>
      </c>
      <c r="HL102" s="24" t="str">
        <f t="shared" si="290"/>
        <v>APARENTEMENTE NORMAL</v>
      </c>
      <c r="HM102" s="21" t="str">
        <f t="shared" ca="1" si="291"/>
        <v/>
      </c>
      <c r="HN102" s="30" t="str">
        <f t="shared" si="445"/>
        <v>SALIO PROGRAMA</v>
      </c>
      <c r="HO102" s="21"/>
      <c r="HP102" s="21"/>
      <c r="HQ102" s="21">
        <v>45051</v>
      </c>
      <c r="HR102" s="21" t="str">
        <f>IF(R102="","",IF(Tabla1[[#This Row],[ALARMA FACTORES DE RIESGO COMPLICACIONES HIPERTENSIVAS3]]="SIN ANTECEDENTES DE RIESGO","No Aplica para suministro de ASA",IF(AND(Tabla1[[#This Row],[FECHA INICIO DE SUMINISTRO DE ASA]]&gt;0,RV102&lt;12),"Inicia ASA ANTES de Sem 12",IF(AND(RV102&gt;11,RV102&lt;17,OR(HK102="RIESGO ALTO DE COMPLICACIONES HIPERTENSIVAS VER MANEJO GUIA SUMINISTRO ASA Y CALCIO",HK102="RIESGO MODERADO (2 O MAS CRITERIOS) VER MANEJO GUIA SUMINISTRO ASA Y CALCIO")),"Inicio oportuno de ASA",IF(AND(RV102&gt;12,OR(HK102="RIESGO ALTO DE COMPLICACIONES HIPERTENSIVAS VER MANEJO GUIA SUMINISTRO ASA Y CALCIO",HK102="RIESGO MODERADO (2 O MAS CRITERIOS) VER MANEJO GUIA SUMINISTRO ASA Y CALCIO")),"Inicio no oportuno mayor a 16 semanas",IF(AND(BU102&lt;12,OR(HK102="RIESGO ALTO DE COMPLICACIONES HIPERTENSIVAS VER MANEJO GUIA SUMINISTRO ASA Y CALCIO",HK102="RIESGO MODERADO (2 O MAS CRITERIOS) VER MANEJO GUIA SUMINISTRO ASA Y CALCIO")),"Pendiente Inicio de ASA a la semana 12",IF(AND(BU102&gt;11,BU102&lt;17,OR(HK102="RIESGO ALTO DE COMPLICACIONES HIPERTENSIVAS VER MANEJO GUIA SUMINISTRO ASA Y CALCIO",HK102="RIESGO MODERADO (2 O MAS CRITERIOS) VER MANEJO GUIA SUMINISTRO ASA Y CALCIO")),"Iniciar de inmediato ASA",IF(AND(BU102&gt;16,OR(HK102="RIESGO ALTO DE COMPLICACIONES HIPERTENSIVAS VER MANEJO GUIA SUMINISTRO ASA Y CALCIO",HK102="RIESGO MODERADO (2 O MAS CRITERIOS) VER MANEJO GUIA SUMINISTRO ASA Y CALCIO")),"Pierde Oportunidad, Inicio tardío de ASA","XXXXX"))))))))</f>
        <v>No Aplica para suministro de ASA</v>
      </c>
      <c r="HS102" s="22">
        <v>45051</v>
      </c>
      <c r="HT102" s="22" t="s">
        <v>870</v>
      </c>
      <c r="HU102" s="22">
        <v>45051</v>
      </c>
      <c r="HV102" s="22"/>
      <c r="HW102" s="22">
        <v>45051</v>
      </c>
      <c r="HX102" s="22" t="s">
        <v>870</v>
      </c>
      <c r="HY102" s="22">
        <v>44973</v>
      </c>
      <c r="HZ102" s="28">
        <f t="shared" si="292"/>
        <v>10.285714285714286</v>
      </c>
      <c r="IA102" s="26"/>
      <c r="IB102" s="26"/>
      <c r="IC102" s="111"/>
      <c r="ID102" s="22">
        <v>45016</v>
      </c>
      <c r="IE102" s="22" t="str">
        <f t="shared" ca="1" si="293"/>
        <v>VACUNA APLICADA ANTES SEMANA 20</v>
      </c>
      <c r="IF102" s="22"/>
      <c r="IG102" s="22">
        <f t="shared" si="294"/>
        <v>45181</v>
      </c>
      <c r="IH102" s="29">
        <f t="shared" ca="1" si="295"/>
        <v>-52</v>
      </c>
      <c r="II102" s="22" t="str">
        <f t="shared" ca="1" si="296"/>
        <v>POSIBLEMENTE NACIO</v>
      </c>
      <c r="IJ102" s="22"/>
      <c r="IK102" s="21" t="s">
        <v>898</v>
      </c>
      <c r="IL102" s="21"/>
      <c r="IM102" s="34"/>
      <c r="IN102" s="349">
        <v>45126</v>
      </c>
      <c r="IO102" s="21" t="s">
        <v>1640</v>
      </c>
      <c r="IP102" s="29">
        <f t="shared" si="435"/>
        <v>32.142857142857146</v>
      </c>
      <c r="IQ102" s="110">
        <v>1059604950</v>
      </c>
      <c r="IR102" s="21" t="s">
        <v>879</v>
      </c>
      <c r="IS102" s="21" t="s">
        <v>1641</v>
      </c>
      <c r="IT102" s="21" t="s">
        <v>1642</v>
      </c>
      <c r="IU102" s="21"/>
      <c r="IV102" s="21"/>
      <c r="IW102" s="21"/>
      <c r="IX102" s="21"/>
      <c r="IY102" s="21"/>
      <c r="IZ102" s="21"/>
      <c r="JA102" s="21"/>
      <c r="JB102" s="30">
        <v>1</v>
      </c>
      <c r="JC102" s="21" t="s">
        <v>1643</v>
      </c>
      <c r="JD102" s="36">
        <v>3680</v>
      </c>
      <c r="JE102" s="21" t="str">
        <f t="shared" si="446"/>
        <v>ERROR VERIFICAR DATO EDAD GESTACIONAL VS PESO</v>
      </c>
      <c r="JF102" s="30"/>
      <c r="JG102" s="21"/>
      <c r="JH102" s="21"/>
      <c r="JI102" s="21"/>
      <c r="JJ102" s="30"/>
      <c r="JK102" s="22"/>
      <c r="JL102" s="22"/>
      <c r="JM102" s="21"/>
      <c r="JN102" s="36"/>
      <c r="JO102" s="21" t="str">
        <f t="shared" si="447"/>
        <v/>
      </c>
      <c r="JP102" s="22"/>
      <c r="JQ102" s="21"/>
      <c r="JR102" s="21"/>
      <c r="JS102" s="21"/>
      <c r="JT102" s="30"/>
      <c r="JU102" s="22"/>
      <c r="JV102" s="22"/>
      <c r="JW102" s="33"/>
      <c r="JX102" s="28" t="str">
        <f t="shared" si="448"/>
        <v>INASISTENTE</v>
      </c>
      <c r="JY102" s="33"/>
      <c r="JZ102" s="28" t="str">
        <f t="shared" si="449"/>
        <v>INASISTENTE</v>
      </c>
      <c r="KA102" s="21"/>
      <c r="KB102" s="21"/>
      <c r="KC102" s="21"/>
      <c r="KD102" s="37"/>
      <c r="KE102" s="28"/>
      <c r="KF102" s="28"/>
      <c r="KG102" s="28"/>
      <c r="KH102" s="39"/>
      <c r="KI102" s="39"/>
      <c r="KJ102" s="66"/>
      <c r="KK102" s="39"/>
      <c r="KL102" s="39"/>
      <c r="KM102" s="66"/>
      <c r="KN102" s="39"/>
      <c r="KO102" s="39"/>
      <c r="KP102" s="39"/>
      <c r="KQ102" s="39"/>
      <c r="KR102" s="39"/>
      <c r="KS102" s="39"/>
      <c r="KT102" s="39"/>
      <c r="KU102" s="38"/>
      <c r="KV102" s="38"/>
      <c r="KW102" s="38"/>
      <c r="KX102" s="38"/>
      <c r="KY102" s="38"/>
      <c r="KZ102" s="38"/>
      <c r="LA102" s="38"/>
      <c r="LB102" s="38"/>
      <c r="LC102" s="38"/>
      <c r="LD102" s="38"/>
      <c r="LE102" s="38"/>
      <c r="LF102" s="38"/>
      <c r="LG102" s="38"/>
      <c r="LH102" s="38"/>
      <c r="LI102" s="38"/>
      <c r="LJ102" s="38"/>
      <c r="LK102" s="38"/>
      <c r="LL102" s="38"/>
      <c r="LM102" s="38"/>
      <c r="LN102" s="38"/>
      <c r="LO102" s="38"/>
      <c r="LP102" s="38"/>
      <c r="LQ102" s="38"/>
      <c r="LR102" s="38"/>
      <c r="LS102" s="38"/>
      <c r="LT102" s="38"/>
      <c r="LU102" s="38"/>
      <c r="LV102" s="38"/>
      <c r="LW102" s="38"/>
      <c r="LX102" s="38"/>
      <c r="LY102" s="38"/>
      <c r="LZ102" s="38"/>
      <c r="MA102" s="38"/>
      <c r="MB102" s="38"/>
      <c r="MC102" s="38"/>
      <c r="MD102" s="38"/>
      <c r="ME102" s="38"/>
      <c r="MF102" s="38"/>
      <c r="MG102" s="38"/>
      <c r="MH102" s="43">
        <f t="shared" si="458"/>
        <v>0</v>
      </c>
      <c r="MI102" s="43" t="str">
        <f t="shared" si="459"/>
        <v/>
      </c>
      <c r="MJ102" s="43" t="str">
        <f t="shared" si="460"/>
        <v/>
      </c>
      <c r="MK102" s="43">
        <f t="shared" si="461"/>
        <v>0</v>
      </c>
      <c r="ML1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2" s="43">
        <f t="shared" si="462"/>
        <v>10.285714285714286</v>
      </c>
      <c r="MN102" s="43">
        <f t="shared" si="463"/>
        <v>2</v>
      </c>
      <c r="MO102" s="43">
        <f t="shared" si="464"/>
        <v>2023</v>
      </c>
      <c r="MP102" s="43" t="str">
        <f t="shared" si="465"/>
        <v>I TRIMESTRE AÑO</v>
      </c>
      <c r="MQ102" s="43">
        <f t="shared" si="466"/>
        <v>22.812636881296541</v>
      </c>
      <c r="MR102" s="43">
        <f t="shared" si="467"/>
        <v>0</v>
      </c>
      <c r="MS102" s="43" t="str">
        <f t="shared" si="468"/>
        <v xml:space="preserve"> DE 20 A 24 AÑOS</v>
      </c>
      <c r="MT102" s="43">
        <f t="shared" si="469"/>
        <v>0</v>
      </c>
      <c r="MU102" s="43">
        <f t="shared" si="470"/>
        <v>0</v>
      </c>
      <c r="MV102" s="43">
        <f t="shared" si="471"/>
        <v>0</v>
      </c>
      <c r="MW102" s="43">
        <f t="shared" si="472"/>
        <v>0</v>
      </c>
      <c r="MX102" s="43" t="str">
        <f t="shared" si="473"/>
        <v/>
      </c>
      <c r="MY102" s="43" t="str">
        <f t="shared" ca="1" si="450"/>
        <v/>
      </c>
      <c r="MZ102" s="43" t="str">
        <f t="shared" si="474"/>
        <v/>
      </c>
      <c r="NA102" s="43">
        <f t="shared" si="475"/>
        <v>0</v>
      </c>
      <c r="NB102" s="43" t="str">
        <f t="shared" si="476"/>
        <v/>
      </c>
      <c r="NC102" s="43" t="str">
        <f t="shared" si="477"/>
        <v/>
      </c>
      <c r="ND102" s="43">
        <f t="shared" ca="1" si="478"/>
        <v>2</v>
      </c>
      <c r="NE102" s="43">
        <f>IF(OR(O102&gt;0,R102&gt;0),SUM(COUNTIF(Tabla1[[#This Row],[AÑOS AL INICIO5 CPN]],"&gt;=40"),COUNTIF(AS102,"0"),COUNTIF(AR102,"SI"),COUNTIF(CC102,"SI"),COUNTIF(BQ102,"&gt;119"),COUNTIF(CI102,"&gt;=35")),"")</f>
        <v>0</v>
      </c>
      <c r="NF102" s="43">
        <f t="shared" si="479"/>
        <v>16.428571428571427</v>
      </c>
      <c r="NG102" s="43">
        <f t="shared" si="480"/>
        <v>0</v>
      </c>
      <c r="NH102" s="43">
        <f t="shared" si="481"/>
        <v>163.79999999999998</v>
      </c>
      <c r="NI102"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CPN",P102="NO"),"Z",IF(AND(Tabla1[[#This Row],[CITA PROXIMO CONTROL]]="CITA MANUAL",Tabla1[[#This Row],[GESTANTES ACTUALES]]="ACTIVA INGRESO A CPN"),"W",IF(AND(Tabla1[[#This Row],[GESTANTES ACTUALES]]="SALIO PROGRAMA",IN102=""),"S",IF(AND(Tabla1[[#This Row],[CITA PROXIMO CONTROL]]&gt;0,IN102=""),(Tabla1[[#This Row],[CITA PROXIMO CONTROL]]-TODAY()),"SD"))))))))</f>
        <v>SD</v>
      </c>
      <c r="NJ102" s="43">
        <f>MONTH(Tabla1[[#This Row],[FECHA DE SALIDA  DEL PROGRAMA]])</f>
        <v>7</v>
      </c>
      <c r="NK102" s="43">
        <f>YEAR(Tabla1[[#This Row],[FECHA DE SALIDA  DEL PROGRAMA]])</f>
        <v>2023</v>
      </c>
      <c r="NL102" s="43">
        <f t="shared" si="482"/>
        <v>20</v>
      </c>
      <c r="NM102" s="43" t="str">
        <f t="shared" si="455"/>
        <v>NO</v>
      </c>
      <c r="NN102" s="43" t="str">
        <f ca="1">IF(AND(O102&gt;0,R102=""),"NO CPN",IF(AND(O102="",R102=""),"",IF(AND(R102&gt;0,Tabla1[[#This Row],[SEMANAS DE GESTACION ACTUALIZADAS]]&lt;=12),"NO APLICA",IF(AND(FH102&lt;&gt;"",FN102&lt;&gt;""),"SI","NO"))))</f>
        <v>SI</v>
      </c>
      <c r="NO102" s="43" t="str">
        <f ca="1">IF(AND(O102&gt;0,R102=""),"NO CPN",IF(AND(O102="",R102=""),"",IF(AND(R102&gt;0,Tabla1[[#This Row],[SEMANAS DE GESTACION ACTUALIZADAS]]&lt;=27),"NO APLICA",IF(AND(ES102&lt;&gt;"",FQ102&lt;&gt;"",GF102&lt;&gt;""),"SI","NO"))))</f>
        <v>NO</v>
      </c>
      <c r="NP102" s="204" t="str">
        <f t="shared" si="483"/>
        <v>I TRIM</v>
      </c>
      <c r="NQ102" s="21" t="str">
        <f t="shared" si="436"/>
        <v/>
      </c>
      <c r="NR102" s="21">
        <f t="shared" si="451"/>
        <v>3</v>
      </c>
      <c r="NS102" s="205">
        <f t="shared" ca="1" si="484"/>
        <v>2</v>
      </c>
      <c r="NT102" s="21">
        <f t="shared" ca="1" si="485"/>
        <v>1</v>
      </c>
      <c r="NU102" s="21" t="str">
        <f t="shared" ca="1" si="486"/>
        <v>INCOMPLETO</v>
      </c>
      <c r="NV102" s="21" t="str">
        <f t="shared" ca="1" si="487"/>
        <v>INCOMPLETO</v>
      </c>
      <c r="NW102" s="206" t="str">
        <f>IF(AND(O102="",R102=""),"",IF(OR(AND(Tabla1[[#This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2" s="207" t="str">
        <f t="shared" ca="1" si="488"/>
        <v>VACUNADA</v>
      </c>
      <c r="NY102" s="43">
        <f>ROW(Tabla1[[#This Row],['# DE TAMIZAJES SIFILIS TOMADOS ]])</f>
        <v>102</v>
      </c>
      <c r="NZ102" s="43">
        <f t="shared" si="333"/>
        <v>10</v>
      </c>
      <c r="OA102" s="43" t="str">
        <f t="shared" si="334"/>
        <v/>
      </c>
      <c r="OB102" s="43" t="str">
        <f t="shared" si="335"/>
        <v>NORMAL</v>
      </c>
      <c r="OC102" s="43" t="str">
        <f t="shared" si="336"/>
        <v/>
      </c>
      <c r="OD102" s="43" t="str">
        <f t="shared" si="337"/>
        <v/>
      </c>
      <c r="OE102" s="43" t="str">
        <f t="shared" si="338"/>
        <v/>
      </c>
      <c r="OF102" s="43" t="str">
        <f t="shared" si="339"/>
        <v/>
      </c>
      <c r="OG102" s="43" t="str">
        <f t="shared" si="340"/>
        <v/>
      </c>
      <c r="OH102" s="43" t="str">
        <f t="shared" si="341"/>
        <v/>
      </c>
      <c r="OI102" s="43" t="str">
        <f t="shared" si="342"/>
        <v/>
      </c>
      <c r="OJ102" s="43" t="str">
        <f t="shared" si="343"/>
        <v/>
      </c>
      <c r="OK102" s="43" t="str">
        <f t="shared" si="344"/>
        <v/>
      </c>
      <c r="OL102" s="43" t="str">
        <f t="shared" si="345"/>
        <v/>
      </c>
      <c r="OM102" s="43" t="str">
        <f t="shared" si="346"/>
        <v/>
      </c>
      <c r="ON102" s="43" t="str">
        <f t="shared" si="347"/>
        <v/>
      </c>
      <c r="OO102" s="43" t="str">
        <f t="shared" si="348"/>
        <v/>
      </c>
      <c r="OP102" s="43" t="str">
        <f t="shared" si="349"/>
        <v/>
      </c>
      <c r="OQ102" s="43" t="str">
        <f t="shared" si="350"/>
        <v/>
      </c>
      <c r="OR102" s="43" t="str">
        <f t="shared" si="351"/>
        <v/>
      </c>
      <c r="OS102" s="43" t="str">
        <f t="shared" si="352"/>
        <v/>
      </c>
      <c r="OT102" s="43" t="str">
        <f t="shared" si="353"/>
        <v/>
      </c>
      <c r="OU102" s="43" t="str">
        <f t="shared" si="354"/>
        <v/>
      </c>
      <c r="OV102" s="110" t="str">
        <f t="shared" si="355"/>
        <v/>
      </c>
      <c r="OW102" s="43" t="str">
        <f t="shared" si="356"/>
        <v/>
      </c>
      <c r="OX102" s="43" t="str">
        <f t="shared" si="357"/>
        <v/>
      </c>
      <c r="OY102" s="43" t="str">
        <f t="shared" si="358"/>
        <v/>
      </c>
      <c r="OZ102" s="43" t="str">
        <f t="shared" si="359"/>
        <v/>
      </c>
      <c r="PA102" s="43" t="str">
        <f t="shared" si="360"/>
        <v/>
      </c>
      <c r="PB102" s="43" t="str">
        <f t="shared" si="361"/>
        <v/>
      </c>
      <c r="PC102" s="43" t="str">
        <f t="shared" si="362"/>
        <v/>
      </c>
      <c r="PD102" s="43" t="str">
        <f t="shared" si="363"/>
        <v/>
      </c>
      <c r="PE102" s="43" t="str">
        <f t="shared" si="364"/>
        <v/>
      </c>
      <c r="PF102" s="43" t="str">
        <f t="shared" si="365"/>
        <v/>
      </c>
      <c r="PG102" s="43" t="str">
        <f t="shared" si="366"/>
        <v/>
      </c>
      <c r="PH102" s="43" t="str">
        <f t="shared" si="367"/>
        <v/>
      </c>
      <c r="PI102" s="43">
        <f t="shared" si="368"/>
        <v>30</v>
      </c>
      <c r="PJ102" s="43" t="str">
        <f t="shared" si="369"/>
        <v/>
      </c>
      <c r="PK102" s="43" t="str">
        <f t="shared" si="370"/>
        <v/>
      </c>
      <c r="PL102" s="43" t="str">
        <f t="shared" si="371"/>
        <v/>
      </c>
      <c r="PM102" s="43" t="str">
        <f t="shared" si="372"/>
        <v/>
      </c>
      <c r="PN102" s="43" t="str">
        <f t="shared" si="373"/>
        <v/>
      </c>
      <c r="PO102" s="43" t="str">
        <f t="shared" si="374"/>
        <v/>
      </c>
      <c r="PP102" s="43" t="str">
        <f t="shared" si="375"/>
        <v/>
      </c>
      <c r="PQ102" s="43" t="str">
        <f t="shared" si="376"/>
        <v/>
      </c>
      <c r="PR102" s="43" t="str">
        <f t="shared" si="377"/>
        <v/>
      </c>
      <c r="PS102" s="43" t="str">
        <f t="shared" si="378"/>
        <v/>
      </c>
      <c r="PT102" s="43" t="str">
        <f t="shared" si="379"/>
        <v/>
      </c>
      <c r="PU102" s="43" t="str">
        <f t="shared" si="380"/>
        <v/>
      </c>
      <c r="PV102" s="43" t="str">
        <f t="shared" si="381"/>
        <v/>
      </c>
      <c r="PW102" s="43" t="str">
        <f t="shared" si="382"/>
        <v/>
      </c>
      <c r="PX102" s="43" t="str">
        <f t="shared" si="383"/>
        <v/>
      </c>
      <c r="PY102" s="43" t="str">
        <f t="shared" si="384"/>
        <v/>
      </c>
      <c r="PZ102" s="43" t="str">
        <f t="shared" si="385"/>
        <v/>
      </c>
      <c r="QA102" s="43" t="str">
        <f t="shared" si="386"/>
        <v/>
      </c>
      <c r="QB102" s="43" t="str">
        <f t="shared" si="387"/>
        <v/>
      </c>
      <c r="QC102" s="43" t="str">
        <f t="shared" si="388"/>
        <v/>
      </c>
      <c r="QD102" s="43" t="str">
        <f t="shared" si="389"/>
        <v/>
      </c>
      <c r="QE102" s="43" t="str">
        <f t="shared" si="390"/>
        <v>SOBREPESO</v>
      </c>
      <c r="QF102" s="43" t="str">
        <f t="shared" si="391"/>
        <v/>
      </c>
      <c r="QG102" s="43" t="str">
        <f t="shared" si="392"/>
        <v/>
      </c>
      <c r="QH102" s="43" t="str">
        <f t="shared" si="393"/>
        <v/>
      </c>
      <c r="QI102" s="43" t="str">
        <f t="shared" si="394"/>
        <v/>
      </c>
      <c r="QJ102" s="43" t="str">
        <f t="shared" si="395"/>
        <v/>
      </c>
      <c r="QK102" s="43" t="str">
        <f t="shared" si="396"/>
        <v/>
      </c>
      <c r="QL102" s="43" t="str">
        <f t="shared" si="397"/>
        <v/>
      </c>
      <c r="QM102" s="43" t="str">
        <f t="shared" si="398"/>
        <v/>
      </c>
      <c r="QN102" s="43" t="str">
        <f t="shared" si="399"/>
        <v/>
      </c>
      <c r="QO102" s="43" t="str">
        <f t="shared" si="400"/>
        <v/>
      </c>
      <c r="QP102" s="43" t="str">
        <f t="shared" si="401"/>
        <v/>
      </c>
      <c r="QQ102" s="43" t="str">
        <f t="shared" si="402"/>
        <v/>
      </c>
      <c r="QR102" s="43">
        <f t="shared" si="432"/>
        <v>30</v>
      </c>
      <c r="QS102" s="43"/>
      <c r="QT102" s="21" t="str">
        <f t="shared" si="403"/>
        <v/>
      </c>
      <c r="QU102" s="21" t="str">
        <f t="shared" si="404"/>
        <v/>
      </c>
      <c r="QV102" s="21" t="str">
        <f t="shared" si="405"/>
        <v/>
      </c>
      <c r="QW102" s="21" t="str">
        <f t="shared" si="406"/>
        <v/>
      </c>
      <c r="QX102" s="21" t="str">
        <f t="shared" si="407"/>
        <v/>
      </c>
      <c r="QY102" s="21" t="str">
        <f t="shared" si="408"/>
        <v/>
      </c>
      <c r="QZ102" s="21" t="str">
        <f t="shared" si="409"/>
        <v/>
      </c>
      <c r="RA102" s="21" t="str">
        <f t="shared" si="410"/>
        <v/>
      </c>
      <c r="RB102" s="21" t="str">
        <f t="shared" si="411"/>
        <v/>
      </c>
      <c r="RC102" s="21" t="str">
        <f t="shared" si="412"/>
        <v/>
      </c>
      <c r="RD102" s="21" t="str">
        <f t="shared" si="413"/>
        <v/>
      </c>
      <c r="RE102" s="21" t="str">
        <f t="shared" si="414"/>
        <v/>
      </c>
      <c r="RF102" s="21" t="str">
        <f t="shared" si="415"/>
        <v/>
      </c>
      <c r="RG102" s="21" t="str">
        <f t="shared" si="416"/>
        <v/>
      </c>
      <c r="RH102" s="21" t="str">
        <f t="shared" si="417"/>
        <v/>
      </c>
      <c r="RI102" s="21" t="str">
        <f t="shared" si="418"/>
        <v/>
      </c>
      <c r="RJ102" s="21" t="str">
        <f t="shared" si="419"/>
        <v/>
      </c>
      <c r="RK102" s="21" t="str">
        <f t="shared" si="420"/>
        <v>ALTO PARA EDAD GESTACIONAL</v>
      </c>
      <c r="RL102" s="21" t="str">
        <f t="shared" si="421"/>
        <v/>
      </c>
      <c r="RM102" s="21" t="str">
        <f t="shared" si="422"/>
        <v/>
      </c>
      <c r="RN102" s="21" t="str">
        <f t="shared" si="423"/>
        <v/>
      </c>
      <c r="RO102" s="21" t="str">
        <f t="shared" si="424"/>
        <v/>
      </c>
      <c r="RP102" s="21" t="str">
        <f t="shared" si="425"/>
        <v/>
      </c>
      <c r="RQ102" s="21" t="str">
        <f t="shared" si="426"/>
        <v/>
      </c>
      <c r="RR102" s="21" t="str">
        <f t="shared" si="427"/>
        <v/>
      </c>
      <c r="RS102" s="21" t="str">
        <f t="shared" si="428"/>
        <v/>
      </c>
      <c r="RT102" s="21" t="str">
        <f t="shared" si="429"/>
        <v/>
      </c>
      <c r="RU102" s="21" t="str">
        <f t="shared" si="430"/>
        <v/>
      </c>
      <c r="RV102" s="21">
        <f t="shared" si="431"/>
        <v>21.428571428571427</v>
      </c>
      <c r="RW102" s="284">
        <f>IF(OR(Tabla1[[#This Row],[FUM FORMULA CONFIABLE]]="",Tabla1[[#This Row],[FUM FORMULA CONFIABLE]]="SD"),"",IF(Tabla1[[#This Row],[FUM FORMULA CONFIABLE]]="CORREGIDA",Tabla1[[#This Row],[FUM X ECO 1]],Tabla1[[#This Row],[FUM x AMENORREA]]))</f>
        <v>44901</v>
      </c>
      <c r="RX102" s="21">
        <f>IF(AND(Tabla1[[#This Row],[FUM X ECO 1]]="",Tabla1[[#This Row],[FUM x AMENORREA]]=""),"",IF(AND(Tabla1[[#This Row],[FUM X ECO 1]]="",Tabla1[[#This Row],[FUM x AMENORREA]]&lt;&gt;""),"X",SUM(Tabla1[[#This Row],[FUM X ECO 1]]-Tabla1[[#This Row],[FUM x AMENORREA]])))</f>
        <v>-48.80000000000291</v>
      </c>
      <c r="RY102" s="21">
        <f t="shared" si="433"/>
        <v>1</v>
      </c>
    </row>
    <row r="103" spans="1:493" ht="45" customHeight="1" x14ac:dyDescent="0.25">
      <c r="A103" s="109"/>
      <c r="B103" s="43"/>
      <c r="C103" s="43" t="s">
        <v>845</v>
      </c>
      <c r="D103" s="124"/>
      <c r="E103" s="43" t="s">
        <v>1305</v>
      </c>
      <c r="F103" s="43" t="s">
        <v>884</v>
      </c>
      <c r="G103" s="43" t="s">
        <v>1306</v>
      </c>
      <c r="H103" s="43" t="s">
        <v>1307</v>
      </c>
      <c r="I103" s="109" t="s">
        <v>851</v>
      </c>
      <c r="J103" s="110">
        <v>1059604869</v>
      </c>
      <c r="K103" s="43" t="s">
        <v>852</v>
      </c>
      <c r="L103" s="175" t="s">
        <v>1509</v>
      </c>
      <c r="M103" s="22">
        <v>35395</v>
      </c>
      <c r="N103" s="213">
        <f t="shared" ca="1" si="252"/>
        <v>26.953424657534246</v>
      </c>
      <c r="O103" s="22">
        <v>44973</v>
      </c>
      <c r="P103" s="214" t="str">
        <f t="shared" si="437"/>
        <v>SI</v>
      </c>
      <c r="Q103" s="26" t="s">
        <v>855</v>
      </c>
      <c r="R103" s="22">
        <v>44973</v>
      </c>
      <c r="S103" s="21" t="s">
        <v>856</v>
      </c>
      <c r="T103" s="24" t="s">
        <v>690</v>
      </c>
      <c r="U103" s="21" t="s">
        <v>857</v>
      </c>
      <c r="V103" s="21" t="s">
        <v>1009</v>
      </c>
      <c r="W103" s="21" t="s">
        <v>1308</v>
      </c>
      <c r="X103" s="21" t="s">
        <v>1308</v>
      </c>
      <c r="Y103" s="21" t="s">
        <v>859</v>
      </c>
      <c r="Z103" s="21">
        <v>3173409816</v>
      </c>
      <c r="AA103" s="21" t="s">
        <v>860</v>
      </c>
      <c r="AB103" s="27" t="s">
        <v>861</v>
      </c>
      <c r="AC103" s="26" t="s">
        <v>888</v>
      </c>
      <c r="AD103" s="38" t="s">
        <v>1546</v>
      </c>
      <c r="AE103" s="26" t="s">
        <v>854</v>
      </c>
      <c r="AF103" s="26" t="s">
        <v>854</v>
      </c>
      <c r="AG103" s="23" t="s">
        <v>864</v>
      </c>
      <c r="AH103" s="23" t="s">
        <v>864</v>
      </c>
      <c r="AI103" s="24" t="s">
        <v>863</v>
      </c>
      <c r="AJ103" s="23" t="s">
        <v>864</v>
      </c>
      <c r="AK103" s="220" t="str">
        <f>IF(AND(AD103="",AE103="",AF103="",AG103="",AH103="",AI103="",AJ103=""),"",IF(OR(Tabla1[[#This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EVALUACIÓN",IF(AND(O103="",R103=""),"",IF(AND(OR(O103&gt;0,R103&gt;0),NG103&gt;=0,NG103&lt;2),"SIN RIESGO",IF(AND(OR(O103&gt;0,R103&gt;0),NG103&gt;=2),"CON RIESGO","ASD")))))</f>
        <v>SIN RIESGO</v>
      </c>
      <c r="AL103" s="23" t="s">
        <v>864</v>
      </c>
      <c r="AM103" s="26" t="s">
        <v>864</v>
      </c>
      <c r="AN103" s="26" t="s">
        <v>864</v>
      </c>
      <c r="AO103" s="26" t="s">
        <v>864</v>
      </c>
      <c r="AP103" s="26" t="s">
        <v>864</v>
      </c>
      <c r="AQ103" s="26" t="s">
        <v>864</v>
      </c>
      <c r="AR103" s="26" t="s">
        <v>864</v>
      </c>
      <c r="AS103" s="21">
        <v>2</v>
      </c>
      <c r="AT103" s="21">
        <v>1</v>
      </c>
      <c r="AU103" s="21">
        <v>0</v>
      </c>
      <c r="AV103" s="26" t="s">
        <v>864</v>
      </c>
      <c r="AW103" s="21">
        <v>1</v>
      </c>
      <c r="AX103" s="26" t="s">
        <v>864</v>
      </c>
      <c r="AY103" s="26" t="s">
        <v>864</v>
      </c>
      <c r="AZ103" s="26" t="s">
        <v>864</v>
      </c>
      <c r="BA103" s="26" t="s">
        <v>864</v>
      </c>
      <c r="BB103" s="26" t="s">
        <v>864</v>
      </c>
      <c r="BC103" s="26" t="s">
        <v>864</v>
      </c>
      <c r="BD103" s="26" t="s">
        <v>864</v>
      </c>
      <c r="BE103" s="26" t="s">
        <v>864</v>
      </c>
      <c r="BF103" s="26" t="s">
        <v>864</v>
      </c>
      <c r="BG103" s="26" t="s">
        <v>864</v>
      </c>
      <c r="BH103" s="26" t="s">
        <v>864</v>
      </c>
      <c r="BI103" s="26" t="s">
        <v>864</v>
      </c>
      <c r="BJ103" s="26" t="s">
        <v>864</v>
      </c>
      <c r="BK103" s="26" t="s">
        <v>864</v>
      </c>
      <c r="BL103" s="26" t="s">
        <v>864</v>
      </c>
      <c r="BM103" s="26" t="s">
        <v>864</v>
      </c>
      <c r="BN103" s="22">
        <v>42913</v>
      </c>
      <c r="BO103" s="22">
        <v>44917</v>
      </c>
      <c r="BP103" s="21" t="s">
        <v>854</v>
      </c>
      <c r="BQ103" s="222">
        <f t="shared" si="254"/>
        <v>66.8</v>
      </c>
      <c r="BR103" s="223">
        <f t="shared" si="255"/>
        <v>44921.599999999999</v>
      </c>
      <c r="BS103" s="224">
        <f t="shared" si="256"/>
        <v>8</v>
      </c>
      <c r="BT103" s="216" t="str">
        <f t="shared" si="257"/>
        <v>I TRIM</v>
      </c>
      <c r="BU103" s="214" t="str">
        <f t="shared" ca="1" si="258"/>
        <v/>
      </c>
      <c r="BV103" s="25"/>
      <c r="BW103" s="22">
        <v>45000</v>
      </c>
      <c r="BX103" s="28">
        <v>11.2</v>
      </c>
      <c r="BY103" s="28"/>
      <c r="BZ103" s="22">
        <v>45014</v>
      </c>
      <c r="CA103" s="21">
        <v>13.1</v>
      </c>
      <c r="CB103" s="26" t="s">
        <v>864</v>
      </c>
      <c r="CC103" s="26" t="s">
        <v>864</v>
      </c>
      <c r="CD103" s="26"/>
      <c r="CE103" s="26" t="s">
        <v>864</v>
      </c>
      <c r="CF103" s="22" t="s">
        <v>1517</v>
      </c>
      <c r="CG103" s="21">
        <v>1.58</v>
      </c>
      <c r="CH103" s="21">
        <v>64.8</v>
      </c>
      <c r="CI103" s="214">
        <f t="shared" si="259"/>
        <v>25.957378625220311</v>
      </c>
      <c r="CJ103" s="225" t="str">
        <f>IF(AND(CI103&lt;10,CH103="SD"),"SIN DATO PESO PREGESTACION O I TRIM",IF(AND(OR(R103&gt;0,O103&gt;0),CI103="X"),"INGRESAR DATO DE PESO",IF(CI103="SD","INGRESAR DATO DE TALLA Y PESO",IF(AND(OR(Tabla1[[#This Row],[MOMENTO EN QUE SE REALIZA EL PESO AL INGRESO A CPN]]="PREGESTACIÓN",NZ103="Menor"),CI103&lt;18.5),"BAJO PESO",IF(AND(OR(Tabla1[[#This Row],[MOMENTO EN QUE SE REALIZA EL PESO AL INGRESO A CPN]]="PREGESTACIÓN",NZ103="Menor"),CI103&lt;25),"NORMAL",IF(AND(OR(Tabla1[[#This Row],[MOMENTO EN QUE SE REALIZA EL PESO AL INGRESO A CPN]]="PREGESTACIÓN",NZ103="Menor"),CI103&lt;30),"SOBREPESO",IF(AND(OR(Tabla1[[#This Row],[MOMENTO EN QUE SE REALIZA EL PESO AL INGRESO A CPN]]="PREGESTACIÓN",NZ103="Menor"),CI103&gt;=30,CI103&lt;50),"OBESIDAD",IF(AND(BS103&gt;0,Tabla1[[#This Row],[MOMENTO EN QUE SE REALIZA EL PESO AL INGRESO A CPN]]="GESTACIÓN"),HLOOKUP(NZ103,$OA$2:PH103,NY103),""))))))))</f>
        <v>SOBREPESO</v>
      </c>
      <c r="CK103" s="212">
        <f t="shared" si="260"/>
        <v>45134</v>
      </c>
      <c r="CL103" s="21">
        <v>74.2</v>
      </c>
      <c r="CM103" s="214">
        <f t="shared" si="261"/>
        <v>29.722800833199805</v>
      </c>
      <c r="CN103" s="216">
        <f t="shared" si="262"/>
        <v>31</v>
      </c>
      <c r="CO103" s="216" t="e">
        <f>IF(PI103="","",IF(PI103&gt;0,HLOOKUP(PI103,$PJ$2:QQ103,NY103),""))</f>
        <v>#REF!</v>
      </c>
      <c r="CP103" s="21">
        <v>28</v>
      </c>
      <c r="CQ103" s="216" t="e">
        <f>IF(QR103="Menor","NO APLICA-MENOR 13 SEM",IF(AND(CC103="SI",CN103&gt;23),"NO APLICA- GEMELAR",IF(QR103="","",IF(QR103&gt;0,HLOOKUP(QR103,$QS$2:RU103,NY103),""))))</f>
        <v>#REF!</v>
      </c>
      <c r="CR103" s="21">
        <v>100</v>
      </c>
      <c r="CS103" s="21">
        <v>60</v>
      </c>
      <c r="CT103" s="217" t="str">
        <f>IF(R103="","",IF(AND(BS103&gt;1,BS103&lt;12,Tabla1[[#This Row],[T.A. SISTOLICA - ANTES DE SEMANA 12]]="",Tabla1[[#This Row],[T.A. DIASTOLICA - ANTES DE SEMANA 12]]=""),"REGISTRE DATO TA ANTES SEMANA 12",IF(AND(BS103&gt;11,BS103&lt;43,Tabla1[[#This Row],[T.A. SISTOLICA - ANTES DE SEMANA 12]]="",Tabla1[[#This Row],[T.A. DIASTOLICA - ANTES DE SEMANA 12]]=""),"NO APLICA REGISTRO TA-INGRESO TARDIO",IF(AND(OR(O103&gt;0,R103&gt;0),OR(CR103&gt;=140,CS103&gt;=90)),"DEFINIR ESTADIO HTA",IF(AND(OR(O103&gt;0,R103&gt;0),AND(CR103&gt;120,CR103&lt;=139)),"PRE HTA SEGUIMIENTO",IF(AND(OR(O103&gt;0,R103&gt;0),AND(CS103&gt;80,CS103&lt;=89)),"PRE HTA SEGUIMIENTO",IF(AND(OR(O103&gt;0,R103&gt;0),AND(CR103&gt;=80,CR103&lt;=120)),"APARENTEMENTE NORMAL",IF(AND(OR(O103&gt;0,R103&gt;0),AND(CS103&gt;=50,CS103&lt;=80)),"APARENTEMENTE NORMAL",IF(AND(OR(O103&gt;0,R103&gt;0),AND(CR103&gt;1,CR103&lt;=70),AND(CS103&gt;1,CS103&lt;=40)),"HIPOTENSIÓN","")))))))))</f>
        <v>APARENTEMENTE NORMAL</v>
      </c>
      <c r="CU103" s="21"/>
      <c r="CV103" s="21"/>
      <c r="CW103" s="217" t="str">
        <f ca="1">IF(R103="","",IF(AND(CN103&gt;19,CN103&lt;27,Tabla1[[#This Row],[T.A. SISTOLICA (Entre semana 20 y 26)]]="",Tabla1[[#This Row],[T.A. DIATOLICA (Entre semana 20 y 26)]]=""),"ACUDE A CONTROL SEM 20 A 26 REGISTRE TA AHORA",IF(AND(BS103&gt;1,BS103&lt;27,BU103&gt;19,Tabla1[[#This Row],[T.A. SISTOLICA (Entre semana 20 y 26)]]="",Tabla1[[#This Row],[T.A. DIATOLICA (Entre semana 20 y 26)]]=""),"COMPLETE REGISTRO TA CONTROL SEM 20 A26 ",IF(AND(BS103&gt;26,BS103&lt;43,Tabla1[[#This Row],[T.A. SISTOLICA (Entre semana 20 y 26)]]="",Tabla1[[#This Row],[T.A. DIATOLICA (Entre semana 20 y 26)]]=""),"NO APLICA REGISTRO TA-INGRESO TARDIO",IF(AND(OR(O103&gt;0,R103&gt;0),OR(CU103&gt;=140,CV103&gt;=90)),"ALTO RIESGO PREECLAMPSIA,DEFINIR ESTADIO HTA",IF(AND(OR(O103&gt;0,R103&gt;0),AND(CU103&gt;120,CU103&lt;=139)),"PRE HTA SEGUIMIENTO,RIESGO HIPERTENSION INDUCIDA POR EL EMBARAZO",IF(AND(OR(O103&gt;0,R103&gt;0),AND(CV103&gt;80,CV103&lt;=89)),"PRE HTA SEGUIMIENTO, RIESGO HIPERTENSION INDUCIDA POR EL EMBARAZO",IF(AND(OR(O103&lt;&gt;"",R103&lt;&gt;""),CS103&lt;&gt;"",CV103&lt;&gt;"",CS103&lt;=CV103),"VIGILAR CIFRAS PRESION ARTERIAL",IF(AND(OR(O103&gt;0,R103&gt;0),AND(CU103&gt;120,CU103&lt;=139)),"PRE HTA SEGUIMIENTO",IF(AND(OR(O103&gt;0,R103&gt;0),AND(CU103&gt;1,CU103&lt;=70),AND(CV103&gt;1,CV103&lt;=40)),"HIPOTENSIÓN",IF(AND(OR(O103&lt;&gt;"",R103&lt;&gt;""),CS103&lt;&gt;"",CV103&lt;&gt;"",CS103&gt;CV103),"APARENTEMENTE NORMAL",IF(AND(OR(O103&gt;0,R103&gt;0),AND(CU103&gt;=80,CU103&lt;=120)),"APARENTEMENTE NORMAL",IF(AND(OR(O103&gt;0,R103&gt;0),AND(CV103&gt;=50,CV103&lt;=80)),"APARENTEMENTE NORMAL","")))))))))))))</f>
        <v xml:space="preserve">COMPLETE REGISTRO TA CONTROL SEM 20 A26 </v>
      </c>
      <c r="CX103" s="21">
        <v>90</v>
      </c>
      <c r="CY103" s="21">
        <v>60</v>
      </c>
      <c r="CZ103" s="216" t="str">
        <f t="shared" si="456"/>
        <v>APARENTEMENTE NORMAL</v>
      </c>
      <c r="DA103" s="21">
        <v>90</v>
      </c>
      <c r="DB103" s="21">
        <v>60</v>
      </c>
      <c r="DC103" s="217" t="str">
        <f t="shared" si="264"/>
        <v>APARENTEMENTE NORMAL</v>
      </c>
      <c r="DD103" s="22">
        <v>44973</v>
      </c>
      <c r="DE103" s="22">
        <v>44973</v>
      </c>
      <c r="DF103" s="22">
        <v>45001</v>
      </c>
      <c r="DG103" s="22">
        <v>45036</v>
      </c>
      <c r="DH103" s="22">
        <v>45066</v>
      </c>
      <c r="DI103" s="22">
        <v>45097</v>
      </c>
      <c r="DJ103" s="22">
        <v>45134</v>
      </c>
      <c r="DK103" s="22"/>
      <c r="DL103" s="22"/>
      <c r="DM103" s="22"/>
      <c r="DN103" s="22"/>
      <c r="DO103" s="22"/>
      <c r="DP103" s="22"/>
      <c r="DQ103" s="22"/>
      <c r="DR103" s="28">
        <v>1</v>
      </c>
      <c r="DS103" s="22"/>
      <c r="DT103" s="22"/>
      <c r="DU103" s="216" t="str">
        <f t="shared" ca="1" si="438"/>
        <v>CONCERTAR PLAN DE PARTO INMEDIATO</v>
      </c>
      <c r="DV103" s="226" t="str">
        <f t="shared" si="439"/>
        <v>ACTIVA INGRESO A CPN</v>
      </c>
      <c r="DW1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3" s="216" t="e">
        <f t="shared" ca="1" si="266"/>
        <v>#REF!</v>
      </c>
      <c r="DY103" s="212">
        <f>IF(R103="","",IF(R103&gt;0,MAX(Tabla1[[#This Row],[FECHA C2]:[FECHA C13]],Tabla1[[#This Row],[FECHA CONSULTA PRIMERA VEZ PROGRAMA CPN ]])))</f>
        <v>45134</v>
      </c>
      <c r="DZ103" s="216">
        <f t="shared" si="267"/>
        <v>31</v>
      </c>
      <c r="EA103" s="222">
        <f>IF(R103&gt;0,SUM(COUNTA(DF103:DQ103)+COUNTA(Tabla1[[#This Row],[FECHA CONSULTA PRIMERA VEZ PROGRAMA CPN ]])),"")</f>
        <v>6</v>
      </c>
      <c r="EB103" s="222" t="str">
        <f t="shared" si="268"/>
        <v>SI</v>
      </c>
      <c r="EC103" s="214">
        <f t="shared" si="269"/>
        <v>10</v>
      </c>
      <c r="ED103" s="227">
        <f t="shared" si="270"/>
        <v>0.6</v>
      </c>
      <c r="EE103" s="22">
        <v>44973</v>
      </c>
      <c r="EF103" s="22">
        <v>44973</v>
      </c>
      <c r="EG103" s="22">
        <v>44973</v>
      </c>
      <c r="EH103" s="22"/>
      <c r="EI103" s="22">
        <v>44973</v>
      </c>
      <c r="EJ103" s="22">
        <v>45000</v>
      </c>
      <c r="EK103" s="22">
        <v>45026</v>
      </c>
      <c r="EL103" s="21">
        <v>2</v>
      </c>
      <c r="EM103" s="21">
        <v>12.8</v>
      </c>
      <c r="EN103" s="22">
        <v>44978</v>
      </c>
      <c r="EO103" s="222">
        <f t="shared" si="271"/>
        <v>8.7142857142857135</v>
      </c>
      <c r="EP103" s="214" t="str">
        <f t="shared" si="272"/>
        <v>NORMAL- SUMINISTRAR SULFATO FERROSO</v>
      </c>
      <c r="EQ103" s="216" t="str">
        <f t="shared" si="273"/>
        <v>I TRIM</v>
      </c>
      <c r="ER103" s="24">
        <v>12.1</v>
      </c>
      <c r="ES103" s="22">
        <v>45099</v>
      </c>
      <c r="ET103" s="29">
        <f t="shared" ca="1" si="440"/>
        <v>26</v>
      </c>
      <c r="EU103" s="25" t="str">
        <f t="shared" si="275"/>
        <v>NORMAL- SUMINISTRAR SULFATO FERROSO</v>
      </c>
      <c r="EV103" s="24" t="s">
        <v>1510</v>
      </c>
      <c r="EW103" s="32">
        <v>44973</v>
      </c>
      <c r="EX103" s="22"/>
      <c r="EY103" s="29">
        <f t="shared" si="453"/>
        <v>8</v>
      </c>
      <c r="EZ103" s="25" t="str">
        <f t="shared" si="454"/>
        <v>SIN RIESGO DE ISOINMUNIZACIÓN</v>
      </c>
      <c r="FA103" s="21">
        <v>78</v>
      </c>
      <c r="FB103" s="22">
        <v>44973</v>
      </c>
      <c r="FC103" s="29">
        <f t="shared" si="276"/>
        <v>8</v>
      </c>
      <c r="FD103" s="29">
        <v>76</v>
      </c>
      <c r="FE103" s="29">
        <v>84</v>
      </c>
      <c r="FF103" s="29">
        <v>69</v>
      </c>
      <c r="FG103" s="21" t="str">
        <f t="shared" ca="1" si="277"/>
        <v>NORMAL</v>
      </c>
      <c r="FH103" s="31">
        <v>45098</v>
      </c>
      <c r="FI103" s="29">
        <f t="shared" si="278"/>
        <v>25.857142857142858</v>
      </c>
      <c r="FJ103" s="22" t="s">
        <v>867</v>
      </c>
      <c r="FK103" s="22">
        <v>44973</v>
      </c>
      <c r="FL103" s="29">
        <f t="shared" ca="1" si="279"/>
        <v>8</v>
      </c>
      <c r="FM103" s="22"/>
      <c r="FN103" s="32"/>
      <c r="FO103" s="29" t="str">
        <f t="shared" ca="1" si="441"/>
        <v>PIERDE TOMA DE TAMIZAJE</v>
      </c>
      <c r="FP103" s="22"/>
      <c r="FQ103" s="32"/>
      <c r="FR103" s="29" t="str">
        <f t="shared" ca="1" si="442"/>
        <v>TOMA INMEDIATA DE TAMIZAJE</v>
      </c>
      <c r="FS103" s="22"/>
      <c r="FT103" s="32"/>
      <c r="FU103" s="29" t="str">
        <f>IF(AND(FJ103="",FM103="",FP103="",FS103=""),"",IF(OR(OR(Tabla1[[#This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3" s="28"/>
      <c r="FW103" s="22"/>
      <c r="FX103" s="29" t="str">
        <f t="shared" si="280"/>
        <v>TOMAR EXAMEN</v>
      </c>
      <c r="FY103" s="22"/>
      <c r="FZ103" s="22"/>
      <c r="GA103" s="29" t="str">
        <f t="shared" ca="1" si="452"/>
        <v>PIERDE TOMA DE TAMIZAJE</v>
      </c>
      <c r="GB103" s="22"/>
      <c r="GC103" s="22"/>
      <c r="GD103" s="29" t="str">
        <f t="shared" ca="1" si="443"/>
        <v>PIERDE TOMA DE TAMIZAJE</v>
      </c>
      <c r="GE103" s="22"/>
      <c r="GF103" s="22"/>
      <c r="GG103" s="29" t="str">
        <f t="shared" ca="1" si="444"/>
        <v>TOMA INMEDIATA DE TAMIZAJE</v>
      </c>
      <c r="GH103" s="22"/>
      <c r="GI103" s="29"/>
      <c r="GJ103" s="22"/>
      <c r="GK103" s="22"/>
      <c r="GL103" s="22"/>
      <c r="GM103" s="22"/>
      <c r="GN103" s="28" t="s">
        <v>869</v>
      </c>
      <c r="GO103" s="22">
        <v>44973</v>
      </c>
      <c r="GP103" s="29">
        <f t="shared" si="283"/>
        <v>8</v>
      </c>
      <c r="GQ103" s="28" t="s">
        <v>869</v>
      </c>
      <c r="GR103" s="28" t="s">
        <v>869</v>
      </c>
      <c r="GS103" s="22" t="str">
        <f t="shared" si="457"/>
        <v>CONTROL Igm</v>
      </c>
      <c r="GT103" s="22">
        <v>45003</v>
      </c>
      <c r="GU103" s="29">
        <f t="shared" si="285"/>
        <v>12.285714285714286</v>
      </c>
      <c r="GV103" s="21" t="str">
        <f t="shared" si="286"/>
        <v>I TRIM</v>
      </c>
      <c r="GW103" s="28" t="s">
        <v>869</v>
      </c>
      <c r="GX103" s="30"/>
      <c r="GY103" s="21"/>
      <c r="GZ103" s="21"/>
      <c r="HA103" s="21"/>
      <c r="HB103" s="21"/>
      <c r="HC103" s="21"/>
      <c r="HD103" s="21"/>
      <c r="HE103" s="21"/>
      <c r="HF103" s="22"/>
      <c r="HG103" s="22" t="str">
        <f>IF(OR(O103&gt;0,R103&gt;0),CONCATENATE(IF(Tabla1[[#This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3" s="22" t="e">
        <f t="shared" si="287"/>
        <v>#REF!</v>
      </c>
      <c r="HI103" s="22" t="e">
        <f t="shared" ca="1" si="288"/>
        <v>#REF!</v>
      </c>
      <c r="HJ103" s="21"/>
      <c r="HK103" s="21" t="str">
        <f t="shared" si="289"/>
        <v>SIN ANTECEDENTES DE RIESGO</v>
      </c>
      <c r="HL103" s="24" t="str">
        <f t="shared" si="290"/>
        <v>APARENTEMENTE NORMAL</v>
      </c>
      <c r="HM103" s="21" t="e">
        <f t="shared" ca="1" si="291"/>
        <v>#REF!</v>
      </c>
      <c r="HN103" s="30" t="str">
        <f t="shared" si="445"/>
        <v>ACTIVA INGRESO A CPN</v>
      </c>
      <c r="HO103" s="21"/>
      <c r="HP103" s="21"/>
      <c r="HQ103" s="349">
        <v>44973</v>
      </c>
      <c r="HR103" s="21" t="str">
        <f>IF(R103="","",IF(Tabla1[[#This Row],[ALARMA FACTORES DE RIESGO COMPLICACIONES HIPERTENSIVAS3]]="SIN ANTECEDENTES DE RIESGO","No Aplica para suministro de ASA",IF(AND(Tabla1[[#This Row],[FECHA INICIO DE SUMINISTRO DE ASA]]&gt;0,RV103&lt;12),"Inicia ASA ANTES de Sem 12",IF(AND(RV103&gt;11,RV103&lt;17,OR(HK103="RIESGO ALTO DE COMPLICACIONES HIPERTENSIVAS VER MANEJO GUIA SUMINISTRO ASA Y CALCIO",HK103="RIESGO MODERADO (2 O MAS CRITERIOS) VER MANEJO GUIA SUMINISTRO ASA Y CALCIO")),"Inicio oportuno de ASA",IF(AND(RV103&gt;12,OR(HK103="RIESGO ALTO DE COMPLICACIONES HIPERTENSIVAS VER MANEJO GUIA SUMINISTRO ASA Y CALCIO",HK103="RIESGO MODERADO (2 O MAS CRITERIOS) VER MANEJO GUIA SUMINISTRO ASA Y CALCIO")),"Inicio no oportuno mayor a 16 semanas",IF(AND(BU103&lt;12,OR(HK103="RIESGO ALTO DE COMPLICACIONES HIPERTENSIVAS VER MANEJO GUIA SUMINISTRO ASA Y CALCIO",HK103="RIESGO MODERADO (2 O MAS CRITERIOS) VER MANEJO GUIA SUMINISTRO ASA Y CALCIO")),"Pendiente Inicio de ASA a la semana 12",IF(AND(BU103&gt;11,BU103&lt;17,OR(HK103="RIESGO ALTO DE COMPLICACIONES HIPERTENSIVAS VER MANEJO GUIA SUMINISTRO ASA Y CALCIO",HK103="RIESGO MODERADO (2 O MAS CRITERIOS) VER MANEJO GUIA SUMINISTRO ASA Y CALCIO")),"Iniciar de inmediato ASA",IF(AND(BU103&gt;16,OR(HK103="RIESGO ALTO DE COMPLICACIONES HIPERTENSIVAS VER MANEJO GUIA SUMINISTRO ASA Y CALCIO",HK103="RIESGO MODERADO (2 O MAS CRITERIOS) VER MANEJO GUIA SUMINISTRO ASA Y CALCIO")),"Pierde Oportunidad, Inicio tardío de ASA","XXXXX"))))))))</f>
        <v>No Aplica para suministro de ASA</v>
      </c>
      <c r="HS103" s="22">
        <v>44973</v>
      </c>
      <c r="HT103" s="22" t="s">
        <v>870</v>
      </c>
      <c r="HU103" s="22">
        <v>44973</v>
      </c>
      <c r="HV103" s="22" t="s">
        <v>870</v>
      </c>
      <c r="HW103" s="22">
        <v>44973</v>
      </c>
      <c r="HX103" s="22" t="s">
        <v>870</v>
      </c>
      <c r="HY103" s="22"/>
      <c r="HZ103" s="28" t="str">
        <f t="shared" si="292"/>
        <v>PENDIENTE CONSULTA</v>
      </c>
      <c r="IA103" s="26"/>
      <c r="IB103" s="26"/>
      <c r="IC103" s="111"/>
      <c r="ID103" s="22"/>
      <c r="IE103" s="22" t="str">
        <f t="shared" ca="1" si="293"/>
        <v/>
      </c>
      <c r="IF103" s="22"/>
      <c r="IG103" s="22">
        <f t="shared" si="294"/>
        <v>45197</v>
      </c>
      <c r="IH103" s="29">
        <f t="shared" ca="1" si="295"/>
        <v>-36</v>
      </c>
      <c r="II103" s="22" t="str">
        <f t="shared" ca="1" si="296"/>
        <v>POSIBLEMENTE NACIO</v>
      </c>
      <c r="IJ103" s="22"/>
      <c r="IK103" s="21"/>
      <c r="IL103" s="21"/>
      <c r="IM103" s="34"/>
      <c r="IN103" s="22"/>
      <c r="IO103" s="21"/>
      <c r="IP103" s="29" t="str">
        <f t="shared" si="435"/>
        <v/>
      </c>
      <c r="IQ103" s="110"/>
      <c r="IR103" s="21"/>
      <c r="IS103" s="21"/>
      <c r="IT103" s="21"/>
      <c r="IU103" s="21"/>
      <c r="IV103" s="21"/>
      <c r="IW103" s="21"/>
      <c r="IX103" s="21"/>
      <c r="IY103" s="21"/>
      <c r="IZ103" s="21"/>
      <c r="JA103" s="21"/>
      <c r="JB103" s="30"/>
      <c r="JC103" s="21"/>
      <c r="JD103" s="36"/>
      <c r="JE103" s="21" t="str">
        <f t="shared" si="446"/>
        <v/>
      </c>
      <c r="JF103" s="30"/>
      <c r="JG103" s="21"/>
      <c r="JH103" s="21"/>
      <c r="JI103" s="21"/>
      <c r="JJ103" s="30"/>
      <c r="JK103" s="22"/>
      <c r="JL103" s="22"/>
      <c r="JM103" s="21"/>
      <c r="JN103" s="36"/>
      <c r="JO103" s="21" t="str">
        <f t="shared" si="447"/>
        <v/>
      </c>
      <c r="JP103" s="22"/>
      <c r="JQ103" s="21"/>
      <c r="JR103" s="21"/>
      <c r="JS103" s="21"/>
      <c r="JT103" s="30"/>
      <c r="JU103" s="22"/>
      <c r="JV103" s="22"/>
      <c r="JW103" s="33"/>
      <c r="JX103" s="28" t="str">
        <f t="shared" si="448"/>
        <v/>
      </c>
      <c r="JY103" s="33"/>
      <c r="JZ103" s="28" t="str">
        <f t="shared" si="449"/>
        <v/>
      </c>
      <c r="KA103" s="21"/>
      <c r="KB103" s="21"/>
      <c r="KC103" s="21"/>
      <c r="KD103" s="37"/>
      <c r="KE103" s="28"/>
      <c r="KF103" s="28"/>
      <c r="KG103" s="28"/>
      <c r="KH103" s="39"/>
      <c r="KI103" s="39"/>
      <c r="KJ103" s="66"/>
      <c r="KK103" s="39"/>
      <c r="KL103" s="39"/>
      <c r="KM103" s="66"/>
      <c r="KN103" s="39"/>
      <c r="KO103" s="39"/>
      <c r="KP103" s="39"/>
      <c r="KQ103" s="39"/>
      <c r="KR103" s="39"/>
      <c r="KS103" s="39"/>
      <c r="KT103" s="39"/>
      <c r="KU103" s="38"/>
      <c r="KV103" s="38"/>
      <c r="KW103" s="38"/>
      <c r="KX103" s="38"/>
      <c r="KY103" s="38"/>
      <c r="KZ103" s="38"/>
      <c r="LA103" s="38"/>
      <c r="LB103" s="38"/>
      <c r="LC103" s="38"/>
      <c r="LD103" s="38"/>
      <c r="LE103" s="38"/>
      <c r="LF103" s="38"/>
      <c r="LG103" s="38"/>
      <c r="LH103" s="38"/>
      <c r="LI103" s="38"/>
      <c r="LJ103" s="38"/>
      <c r="LK103" s="38"/>
      <c r="LL103" s="38"/>
      <c r="LM103" s="38"/>
      <c r="LN103" s="38"/>
      <c r="LO103" s="38"/>
      <c r="LP103" s="38"/>
      <c r="LQ103" s="38"/>
      <c r="LR103" s="38"/>
      <c r="LS103" s="38"/>
      <c r="LT103" s="38"/>
      <c r="LU103" s="38"/>
      <c r="LV103" s="38"/>
      <c r="LW103" s="38"/>
      <c r="LX103" s="38"/>
      <c r="LY103" s="38"/>
      <c r="LZ103" s="38"/>
      <c r="MA103" s="38"/>
      <c r="MB103" s="38"/>
      <c r="MC103" s="38"/>
      <c r="MD103" s="38"/>
      <c r="ME103" s="38"/>
      <c r="MF103" s="38"/>
      <c r="MG103" s="38"/>
      <c r="MH103" s="43">
        <f t="shared" si="458"/>
        <v>0</v>
      </c>
      <c r="MI103" s="43" t="str">
        <f t="shared" si="459"/>
        <v/>
      </c>
      <c r="MJ103" s="43" t="str">
        <f t="shared" si="460"/>
        <v/>
      </c>
      <c r="MK103" s="43">
        <f t="shared" si="461"/>
        <v>0</v>
      </c>
      <c r="ML1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3" s="43">
        <f t="shared" si="462"/>
        <v>8</v>
      </c>
      <c r="MN103" s="43">
        <f t="shared" si="463"/>
        <v>2</v>
      </c>
      <c r="MO103" s="43">
        <f t="shared" si="464"/>
        <v>2023</v>
      </c>
      <c r="MP103" s="43" t="str">
        <f t="shared" si="465"/>
        <v>I TRIMESTRE AÑO</v>
      </c>
      <c r="MQ103" s="43">
        <f t="shared" si="466"/>
        <v>25.843188786684184</v>
      </c>
      <c r="MR103" s="43">
        <f t="shared" si="467"/>
        <v>0</v>
      </c>
      <c r="MS103" s="43" t="str">
        <f t="shared" si="468"/>
        <v xml:space="preserve"> DE 25 A 29 AÑOS</v>
      </c>
      <c r="MT103" s="43">
        <f t="shared" si="469"/>
        <v>0</v>
      </c>
      <c r="MU103" s="43">
        <f t="shared" si="470"/>
        <v>0</v>
      </c>
      <c r="MV103" s="43">
        <f t="shared" si="471"/>
        <v>1</v>
      </c>
      <c r="MW103" s="43">
        <f t="shared" si="472"/>
        <v>0</v>
      </c>
      <c r="MX103" s="43" t="str">
        <f t="shared" si="473"/>
        <v/>
      </c>
      <c r="MY103" s="43" t="str">
        <f t="shared" ca="1" si="450"/>
        <v/>
      </c>
      <c r="MZ103" s="43" t="str">
        <f t="shared" si="474"/>
        <v/>
      </c>
      <c r="NA103" s="43" t="str">
        <f t="shared" si="475"/>
        <v/>
      </c>
      <c r="NB103" s="43" t="str">
        <f t="shared" si="476"/>
        <v/>
      </c>
      <c r="NC103" s="43" t="str">
        <f t="shared" si="477"/>
        <v/>
      </c>
      <c r="ND103" s="43">
        <f t="shared" ca="1" si="478"/>
        <v>1</v>
      </c>
      <c r="NE103" s="43">
        <f>IF(OR(O103&gt;0,R103&gt;0),SUM(COUNTIF(Tabla1[[#This Row],[AÑOS AL INICIO5 CPN]],"&gt;=40"),COUNTIF(AS103,"0"),COUNTIF(AR103,"SI"),COUNTIF(CC103,"SI"),COUNTIF(BQ103,"&gt;119"),COUNTIF(CI103,"&gt;=35")),"")</f>
        <v>0</v>
      </c>
      <c r="NF103" s="43" t="str">
        <f t="shared" si="479"/>
        <v/>
      </c>
      <c r="NG103" s="43">
        <f t="shared" si="480"/>
        <v>0</v>
      </c>
      <c r="NH103" s="43">
        <f t="shared" si="481"/>
        <v>78.399999999999991</v>
      </c>
      <c r="NI1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CPN",P103="NO"),"Z",IF(AND(Tabla1[[#This Row],[CITA PROXIMO CONTROL]]="CITA MANUAL",Tabla1[[#This Row],[GESTANTES ACTUALES]]="ACTIVA INGRESO A CPN"),"W",IF(AND(Tabla1[[#This Row],[GESTANTES ACTUALES]]="SALIO PROGRAMA",IN103=""),"S",IF(AND(Tabla1[[#This Row],[CITA PROXIMO CONTROL]]&gt;0,IN103=""),(Tabla1[[#This Row],[CITA PROXIMO CONTROL]]-TODAY()),"SD"))))))))</f>
        <v>#REF!</v>
      </c>
      <c r="NJ103" s="43">
        <f>MONTH(Tabla1[[#This Row],[FECHA DE SALIDA  DEL PROGRAMA]])</f>
        <v>1</v>
      </c>
      <c r="NK103" s="43">
        <f>YEAR(Tabla1[[#This Row],[FECHA DE SALIDA  DEL PROGRAMA]])</f>
        <v>1900</v>
      </c>
      <c r="NL103" s="43">
        <f t="shared" si="482"/>
        <v>27</v>
      </c>
      <c r="NM103" s="43" t="str">
        <f t="shared" si="455"/>
        <v>NO</v>
      </c>
      <c r="NN103" s="43" t="str">
        <f ca="1">IF(AND(O103&gt;0,R103=""),"NO CPN",IF(AND(O103="",R103=""),"",IF(AND(R103&gt;0,Tabla1[[#This Row],[SEMANAS DE GESTACION ACTUALIZADAS]]&lt;=12),"NO APLICA",IF(AND(FH103&lt;&gt;"",FN103&lt;&gt;""),"SI","NO"))))</f>
        <v>NO</v>
      </c>
      <c r="NO103" s="43" t="str">
        <f ca="1">IF(AND(O103&gt;0,R103=""),"NO CPN",IF(AND(O103="",R103=""),"",IF(AND(R103&gt;0,Tabla1[[#This Row],[SEMANAS DE GESTACION ACTUALIZADAS]]&lt;=27),"NO APLICA",IF(AND(ES103&lt;&gt;"",FQ103&lt;&gt;"",GF103&lt;&gt;""),"SI","NO"))))</f>
        <v>NO</v>
      </c>
      <c r="NP103" s="204" t="str">
        <f t="shared" si="483"/>
        <v>I TRIM</v>
      </c>
      <c r="NQ103" s="21">
        <f t="shared" si="436"/>
        <v>10</v>
      </c>
      <c r="NR103" s="21" t="str">
        <f t="shared" ca="1" si="451"/>
        <v>REVISAR FUM O FECHA SALIDA PROGRAMA</v>
      </c>
      <c r="NS103" s="205">
        <f t="shared" ca="1" si="484"/>
        <v>1</v>
      </c>
      <c r="NT103" s="21">
        <f t="shared" ca="1" si="485"/>
        <v>0</v>
      </c>
      <c r="NU103" s="21" t="str">
        <f t="shared" ca="1" si="486"/>
        <v>POR DEFINIR</v>
      </c>
      <c r="NV103" s="21" t="str">
        <f t="shared" ca="1" si="487"/>
        <v>POR DEFINIR</v>
      </c>
      <c r="NW103" s="206" t="str">
        <f>IF(AND(O103="",R103=""),"",IF(OR(AND(Tabla1[[#This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3" s="207" t="str">
        <f t="shared" ca="1" si="488"/>
        <v>SIN VACUNAR</v>
      </c>
      <c r="NY103" s="43">
        <f>ROW(Tabla1[[#This Row],['# DE TAMIZAJES SIFILIS TOMADOS ]])</f>
        <v>103</v>
      </c>
      <c r="NZ103" s="43" t="str">
        <f t="shared" si="333"/>
        <v>Menor</v>
      </c>
      <c r="OA103" s="43" t="str">
        <f t="shared" si="334"/>
        <v>SOBREPESO</v>
      </c>
      <c r="OB103" s="43" t="str">
        <f t="shared" si="335"/>
        <v/>
      </c>
      <c r="OC103" s="43" t="str">
        <f t="shared" si="336"/>
        <v/>
      </c>
      <c r="OD103" s="43" t="str">
        <f t="shared" si="337"/>
        <v/>
      </c>
      <c r="OE103" s="43" t="str">
        <f t="shared" si="338"/>
        <v/>
      </c>
      <c r="OF103" s="43" t="str">
        <f t="shared" si="339"/>
        <v/>
      </c>
      <c r="OG103" s="43" t="str">
        <f t="shared" si="340"/>
        <v/>
      </c>
      <c r="OH103" s="43" t="str">
        <f t="shared" si="341"/>
        <v/>
      </c>
      <c r="OI103" s="43" t="str">
        <f t="shared" si="342"/>
        <v/>
      </c>
      <c r="OJ103" s="43" t="str">
        <f t="shared" si="343"/>
        <v/>
      </c>
      <c r="OK103" s="43" t="str">
        <f t="shared" si="344"/>
        <v/>
      </c>
      <c r="OL103" s="43" t="str">
        <f t="shared" si="345"/>
        <v/>
      </c>
      <c r="OM103" s="43" t="str">
        <f t="shared" si="346"/>
        <v/>
      </c>
      <c r="ON103" s="43" t="str">
        <f t="shared" si="347"/>
        <v/>
      </c>
      <c r="OO103" s="43" t="str">
        <f t="shared" si="348"/>
        <v/>
      </c>
      <c r="OP103" s="43" t="str">
        <f t="shared" si="349"/>
        <v/>
      </c>
      <c r="OQ103" s="43" t="str">
        <f t="shared" si="350"/>
        <v/>
      </c>
      <c r="OR103" s="43" t="str">
        <f t="shared" si="351"/>
        <v/>
      </c>
      <c r="OS103" s="43" t="str">
        <f t="shared" si="352"/>
        <v/>
      </c>
      <c r="OT103" s="43" t="str">
        <f t="shared" si="353"/>
        <v/>
      </c>
      <c r="OU103" s="43" t="str">
        <f t="shared" si="354"/>
        <v/>
      </c>
      <c r="OV103" s="110" t="str">
        <f t="shared" si="355"/>
        <v/>
      </c>
      <c r="OW103" s="43" t="str">
        <f t="shared" si="356"/>
        <v/>
      </c>
      <c r="OX103" s="43" t="str">
        <f t="shared" si="357"/>
        <v/>
      </c>
      <c r="OY103" s="43" t="str">
        <f t="shared" si="358"/>
        <v/>
      </c>
      <c r="OZ103" s="43" t="str">
        <f t="shared" si="359"/>
        <v/>
      </c>
      <c r="PA103" s="43" t="str">
        <f t="shared" si="360"/>
        <v/>
      </c>
      <c r="PB103" s="43" t="str">
        <f t="shared" si="361"/>
        <v/>
      </c>
      <c r="PC103" s="43" t="str">
        <f t="shared" si="362"/>
        <v/>
      </c>
      <c r="PD103" s="43" t="str">
        <f t="shared" si="363"/>
        <v/>
      </c>
      <c r="PE103" s="43" t="str">
        <f t="shared" si="364"/>
        <v/>
      </c>
      <c r="PF103" s="43" t="str">
        <f t="shared" si="365"/>
        <v/>
      </c>
      <c r="PG103" s="43" t="str">
        <f t="shared" si="366"/>
        <v/>
      </c>
      <c r="PH103" s="43" t="str">
        <f t="shared" si="367"/>
        <v/>
      </c>
      <c r="PI103" s="43">
        <f t="shared" si="368"/>
        <v>31</v>
      </c>
      <c r="PJ103" s="43" t="str">
        <f t="shared" si="369"/>
        <v/>
      </c>
      <c r="PK103" s="43" t="str">
        <f t="shared" si="370"/>
        <v/>
      </c>
      <c r="PL103" s="43" t="str">
        <f t="shared" si="371"/>
        <v/>
      </c>
      <c r="PM103" s="43" t="str">
        <f t="shared" si="372"/>
        <v/>
      </c>
      <c r="PN103" s="43" t="str">
        <f t="shared" si="373"/>
        <v/>
      </c>
      <c r="PO103" s="43" t="str">
        <f t="shared" si="374"/>
        <v/>
      </c>
      <c r="PP103" s="43" t="str">
        <f t="shared" si="375"/>
        <v/>
      </c>
      <c r="PQ103" s="43" t="str">
        <f t="shared" si="376"/>
        <v/>
      </c>
      <c r="PR103" s="43" t="str">
        <f t="shared" si="377"/>
        <v/>
      </c>
      <c r="PS103" s="43" t="str">
        <f t="shared" si="378"/>
        <v/>
      </c>
      <c r="PT103" s="43" t="str">
        <f t="shared" si="379"/>
        <v/>
      </c>
      <c r="PU103" s="43" t="str">
        <f t="shared" si="380"/>
        <v/>
      </c>
      <c r="PV103" s="43" t="str">
        <f t="shared" si="381"/>
        <v/>
      </c>
      <c r="PW103" s="43" t="str">
        <f t="shared" si="382"/>
        <v/>
      </c>
      <c r="PX103" s="43" t="str">
        <f t="shared" si="383"/>
        <v/>
      </c>
      <c r="PY103" s="43" t="str">
        <f t="shared" si="384"/>
        <v/>
      </c>
      <c r="PZ103" s="43" t="str">
        <f t="shared" si="385"/>
        <v/>
      </c>
      <c r="QA103" s="43" t="str">
        <f t="shared" si="386"/>
        <v/>
      </c>
      <c r="QB103" s="43" t="str">
        <f t="shared" si="387"/>
        <v/>
      </c>
      <c r="QC103" s="43" t="str">
        <f t="shared" si="388"/>
        <v/>
      </c>
      <c r="QD103" s="43" t="str">
        <f t="shared" si="389"/>
        <v/>
      </c>
      <c r="QE103" s="43" t="str">
        <f t="shared" si="390"/>
        <v/>
      </c>
      <c r="QF103" s="43" t="str">
        <f t="shared" si="391"/>
        <v>SOBREPESO</v>
      </c>
      <c r="QG103" s="43" t="str">
        <f t="shared" si="392"/>
        <v/>
      </c>
      <c r="QH103" s="43" t="str">
        <f t="shared" si="393"/>
        <v/>
      </c>
      <c r="QI103" s="43" t="str">
        <f t="shared" si="394"/>
        <v/>
      </c>
      <c r="QJ103" s="43" t="str">
        <f t="shared" si="395"/>
        <v/>
      </c>
      <c r="QK103" s="43" t="str">
        <f t="shared" si="396"/>
        <v/>
      </c>
      <c r="QL103" s="43" t="str">
        <f t="shared" si="397"/>
        <v/>
      </c>
      <c r="QM103" s="43" t="str">
        <f t="shared" si="398"/>
        <v/>
      </c>
      <c r="QN103" s="43" t="str">
        <f t="shared" si="399"/>
        <v/>
      </c>
      <c r="QO103" s="43" t="str">
        <f t="shared" si="400"/>
        <v/>
      </c>
      <c r="QP103" s="43" t="str">
        <f t="shared" si="401"/>
        <v/>
      </c>
      <c r="QQ103" s="43" t="str">
        <f t="shared" si="402"/>
        <v/>
      </c>
      <c r="QR103" s="43">
        <f t="shared" si="432"/>
        <v>31</v>
      </c>
      <c r="QS103" s="43"/>
      <c r="QT103" s="21" t="str">
        <f t="shared" si="403"/>
        <v/>
      </c>
      <c r="QU103" s="21" t="str">
        <f t="shared" si="404"/>
        <v/>
      </c>
      <c r="QV103" s="21" t="str">
        <f t="shared" si="405"/>
        <v/>
      </c>
      <c r="QW103" s="21" t="str">
        <f t="shared" si="406"/>
        <v/>
      </c>
      <c r="QX103" s="21" t="str">
        <f t="shared" si="407"/>
        <v/>
      </c>
      <c r="QY103" s="21" t="str">
        <f t="shared" si="408"/>
        <v/>
      </c>
      <c r="QZ103" s="21" t="str">
        <f t="shared" si="409"/>
        <v/>
      </c>
      <c r="RA103" s="21" t="str">
        <f t="shared" si="410"/>
        <v/>
      </c>
      <c r="RB103" s="21" t="str">
        <f t="shared" si="411"/>
        <v/>
      </c>
      <c r="RC103" s="21" t="str">
        <f t="shared" si="412"/>
        <v/>
      </c>
      <c r="RD103" s="21" t="str">
        <f t="shared" si="413"/>
        <v/>
      </c>
      <c r="RE103" s="21" t="str">
        <f t="shared" si="414"/>
        <v/>
      </c>
      <c r="RF103" s="21" t="str">
        <f t="shared" si="415"/>
        <v/>
      </c>
      <c r="RG103" s="21" t="str">
        <f t="shared" si="416"/>
        <v/>
      </c>
      <c r="RH103" s="21" t="str">
        <f t="shared" si="417"/>
        <v/>
      </c>
      <c r="RI103" s="21" t="str">
        <f t="shared" si="418"/>
        <v/>
      </c>
      <c r="RJ103" s="21" t="str">
        <f t="shared" si="419"/>
        <v/>
      </c>
      <c r="RK103" s="21" t="str">
        <f t="shared" si="420"/>
        <v/>
      </c>
      <c r="RL103" s="21" t="str">
        <f t="shared" si="421"/>
        <v>ADECUADO PARA EDAD GESTACIONAL</v>
      </c>
      <c r="RM103" s="21" t="str">
        <f t="shared" si="422"/>
        <v/>
      </c>
      <c r="RN103" s="21" t="str">
        <f t="shared" si="423"/>
        <v/>
      </c>
      <c r="RO103" s="21" t="str">
        <f t="shared" si="424"/>
        <v/>
      </c>
      <c r="RP103" s="21" t="str">
        <f t="shared" si="425"/>
        <v/>
      </c>
      <c r="RQ103" s="21" t="str">
        <f t="shared" si="426"/>
        <v/>
      </c>
      <c r="RR103" s="21" t="str">
        <f t="shared" si="427"/>
        <v/>
      </c>
      <c r="RS103" s="21" t="str">
        <f t="shared" si="428"/>
        <v/>
      </c>
      <c r="RT103" s="21" t="str">
        <f t="shared" si="429"/>
        <v/>
      </c>
      <c r="RU103" s="21" t="str">
        <f t="shared" si="430"/>
        <v/>
      </c>
      <c r="RV103" s="21">
        <f t="shared" si="431"/>
        <v>8</v>
      </c>
      <c r="RW103" s="284">
        <f>IF(OR(Tabla1[[#This Row],[FUM FORMULA CONFIABLE]]="",Tabla1[[#This Row],[FUM FORMULA CONFIABLE]]="SD"),"",IF(Tabla1[[#This Row],[FUM FORMULA CONFIABLE]]="CORREGIDA",Tabla1[[#This Row],[FUM X ECO 1]],Tabla1[[#This Row],[FUM x AMENORREA]]))</f>
        <v>44917</v>
      </c>
      <c r="RX103" s="21">
        <f>IF(AND(Tabla1[[#This Row],[FUM X ECO 1]]="",Tabla1[[#This Row],[FUM x AMENORREA]]=""),"",IF(AND(Tabla1[[#This Row],[FUM X ECO 1]]="",Tabla1[[#This Row],[FUM x AMENORREA]]&lt;&gt;""),"X",SUM(Tabla1[[#This Row],[FUM X ECO 1]]-Tabla1[[#This Row],[FUM x AMENORREA]])))</f>
        <v>4.5999999999985448</v>
      </c>
      <c r="RY103" s="21">
        <f t="shared" si="433"/>
        <v>0</v>
      </c>
    </row>
    <row r="104" spans="1:493" ht="45" customHeight="1" x14ac:dyDescent="0.25">
      <c r="A104" s="109"/>
      <c r="B104" s="43"/>
      <c r="C104" s="43" t="s">
        <v>845</v>
      </c>
      <c r="D104" s="124"/>
      <c r="E104" s="43" t="s">
        <v>1309</v>
      </c>
      <c r="F104" s="43" t="s">
        <v>1310</v>
      </c>
      <c r="G104" s="43" t="s">
        <v>1281</v>
      </c>
      <c r="H104" s="43" t="s">
        <v>1277</v>
      </c>
      <c r="I104" s="109" t="s">
        <v>851</v>
      </c>
      <c r="J104" s="110">
        <v>1062088572</v>
      </c>
      <c r="K104" s="43" t="s">
        <v>852</v>
      </c>
      <c r="L104" s="175" t="s">
        <v>1509</v>
      </c>
      <c r="M104" s="22">
        <v>35325</v>
      </c>
      <c r="N104" s="213">
        <f t="shared" ca="1" si="252"/>
        <v>27.145205479452056</v>
      </c>
      <c r="O104" s="22">
        <v>44975</v>
      </c>
      <c r="P104" s="214" t="str">
        <f t="shared" si="437"/>
        <v>SI</v>
      </c>
      <c r="Q104" s="26" t="s">
        <v>855</v>
      </c>
      <c r="R104" s="22">
        <v>44975</v>
      </c>
      <c r="S104" s="21" t="s">
        <v>856</v>
      </c>
      <c r="T104" s="24" t="s">
        <v>690</v>
      </c>
      <c r="U104" s="21" t="s">
        <v>857</v>
      </c>
      <c r="V104" s="21" t="s">
        <v>858</v>
      </c>
      <c r="W104" s="21" t="s">
        <v>999</v>
      </c>
      <c r="X104" s="21" t="s">
        <v>999</v>
      </c>
      <c r="Y104" s="21" t="s">
        <v>859</v>
      </c>
      <c r="Z104" s="21">
        <v>3104351702</v>
      </c>
      <c r="AA104" s="21" t="s">
        <v>860</v>
      </c>
      <c r="AB104" s="27" t="s">
        <v>861</v>
      </c>
      <c r="AC104" s="26" t="s">
        <v>877</v>
      </c>
      <c r="AD104" s="38" t="s">
        <v>846</v>
      </c>
      <c r="AE104" s="26" t="s">
        <v>854</v>
      </c>
      <c r="AF104" s="26" t="s">
        <v>854</v>
      </c>
      <c r="AG104" s="23" t="s">
        <v>864</v>
      </c>
      <c r="AH104" s="23" t="s">
        <v>864</v>
      </c>
      <c r="AI104" s="24" t="s">
        <v>863</v>
      </c>
      <c r="AJ104" s="23" t="s">
        <v>864</v>
      </c>
      <c r="AK104" s="220" t="str">
        <f>IF(AND(AD104="",AE104="",AF104="",AG104="",AH104="",AI104="",AJ104=""),"",IF(OR(Tabla1[[#This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EVALUACIÓN",IF(AND(O104="",R104=""),"",IF(AND(OR(O104&gt;0,R104&gt;0),NG104&gt;=0,NG104&lt;2),"SIN RIESGO",IF(AND(OR(O104&gt;0,R104&gt;0),NG104&gt;=2),"CON RIESGO","ASD")))))</f>
        <v>SIN RIESGO</v>
      </c>
      <c r="AL104" s="23" t="s">
        <v>864</v>
      </c>
      <c r="AM104" s="26" t="s">
        <v>864</v>
      </c>
      <c r="AN104" s="26" t="s">
        <v>864</v>
      </c>
      <c r="AO104" s="26" t="s">
        <v>864</v>
      </c>
      <c r="AP104" s="26" t="s">
        <v>864</v>
      </c>
      <c r="AQ104" s="26" t="s">
        <v>864</v>
      </c>
      <c r="AR104" s="26" t="s">
        <v>864</v>
      </c>
      <c r="AS104" s="21">
        <v>4</v>
      </c>
      <c r="AT104" s="21">
        <v>3</v>
      </c>
      <c r="AU104" s="21">
        <v>0</v>
      </c>
      <c r="AV104" s="26" t="s">
        <v>864</v>
      </c>
      <c r="AW104" s="21">
        <v>0</v>
      </c>
      <c r="AX104" s="26" t="s">
        <v>864</v>
      </c>
      <c r="AY104" s="26" t="s">
        <v>864</v>
      </c>
      <c r="AZ104" s="26" t="s">
        <v>864</v>
      </c>
      <c r="BA104" s="26" t="s">
        <v>864</v>
      </c>
      <c r="BB104" s="26" t="s">
        <v>864</v>
      </c>
      <c r="BC104" s="26" t="s">
        <v>864</v>
      </c>
      <c r="BD104" s="26" t="s">
        <v>864</v>
      </c>
      <c r="BE104" s="26" t="s">
        <v>864</v>
      </c>
      <c r="BF104" s="26" t="s">
        <v>864</v>
      </c>
      <c r="BG104" s="26" t="s">
        <v>864</v>
      </c>
      <c r="BH104" s="26" t="s">
        <v>864</v>
      </c>
      <c r="BI104" s="26" t="s">
        <v>864</v>
      </c>
      <c r="BJ104" s="26"/>
      <c r="BK104" s="26"/>
      <c r="BL104" s="26" t="s">
        <v>864</v>
      </c>
      <c r="BM104" s="26" t="s">
        <v>864</v>
      </c>
      <c r="BN104" s="22"/>
      <c r="BO104" s="22">
        <v>44832</v>
      </c>
      <c r="BP104" s="21" t="s">
        <v>854</v>
      </c>
      <c r="BQ104" s="222">
        <f t="shared" si="254"/>
        <v>0</v>
      </c>
      <c r="BR104" s="223" t="str">
        <f t="shared" si="255"/>
        <v/>
      </c>
      <c r="BS104" s="224">
        <f t="shared" si="256"/>
        <v>20.428571428571427</v>
      </c>
      <c r="BT104" s="216" t="str">
        <f t="shared" si="257"/>
        <v>II TRIM</v>
      </c>
      <c r="BU104" s="214" t="str">
        <f t="shared" ca="1" si="258"/>
        <v/>
      </c>
      <c r="BV104" s="25"/>
      <c r="BW104" s="22"/>
      <c r="BX104" s="28"/>
      <c r="BY104" s="28"/>
      <c r="BZ104" s="22"/>
      <c r="CA104" s="21"/>
      <c r="CB104" s="26"/>
      <c r="CC104" s="26"/>
      <c r="CD104" s="26"/>
      <c r="CE104" s="26"/>
      <c r="CF104" s="22" t="s">
        <v>1517</v>
      </c>
      <c r="CG104" s="21">
        <v>1.58</v>
      </c>
      <c r="CH104" s="21">
        <v>55.5</v>
      </c>
      <c r="CI104" s="214">
        <f t="shared" si="259"/>
        <v>22.232014100304436</v>
      </c>
      <c r="CJ104" s="225" t="e">
        <f>IF(AND(CI104&lt;10,CH104="SD"),"SIN DATO PESO PREGESTACION O I TRIM",IF(AND(OR(R104&gt;0,O104&gt;0),CI104="X"),"INGRESAR DATO DE PESO",IF(CI104="SD","INGRESAR DATO DE TALLA Y PESO",IF(AND(OR(Tabla1[[#This Row],[MOMENTO EN QUE SE REALIZA EL PESO AL INGRESO A CPN]]="PREGESTACIÓN",NZ104="Menor"),CI104&lt;18.5),"BAJO PESO",IF(AND(OR(Tabla1[[#This Row],[MOMENTO EN QUE SE REALIZA EL PESO AL INGRESO A CPN]]="PREGESTACIÓN",NZ104="Menor"),CI104&lt;25),"NORMAL",IF(AND(OR(Tabla1[[#This Row],[MOMENTO EN QUE SE REALIZA EL PESO AL INGRESO A CPN]]="PREGESTACIÓN",NZ104="Menor"),CI104&lt;30),"SOBREPESO",IF(AND(OR(Tabla1[[#This Row],[MOMENTO EN QUE SE REALIZA EL PESO AL INGRESO A CPN]]="PREGESTACIÓN",NZ104="Menor"),CI104&gt;=30,CI104&lt;50),"OBESIDAD",IF(AND(BS104&gt;0,Tabla1[[#This Row],[MOMENTO EN QUE SE REALIZA EL PESO AL INGRESO A CPN]]="GESTACIÓN"),HLOOKUP(NZ104,$OA$2:PH104,NY104),""))))))))</f>
        <v>#REF!</v>
      </c>
      <c r="CK104" s="212">
        <f t="shared" si="260"/>
        <v>45065</v>
      </c>
      <c r="CL104" s="21">
        <v>56.5</v>
      </c>
      <c r="CM104" s="214">
        <f t="shared" si="261"/>
        <v>22.632590930940552</v>
      </c>
      <c r="CN104" s="216">
        <f t="shared" si="262"/>
        <v>33</v>
      </c>
      <c r="CO104" s="216" t="e">
        <f>IF(PI104="","",IF(PI104&gt;0,HLOOKUP(PI104,$PJ$2:QQ104,NY104),""))</f>
        <v>#REF!</v>
      </c>
      <c r="CP104" s="21"/>
      <c r="CQ104" s="216" t="e">
        <f>IF(QR104="Menor","NO APLICA-MENOR 13 SEM",IF(AND(CC104="SI",CN104&gt;23),"NO APLICA- GEMELAR",IF(QR104="","",IF(QR104&gt;0,HLOOKUP(QR104,$QS$2:RU104,NY104),""))))</f>
        <v>#REF!</v>
      </c>
      <c r="CR104" s="21"/>
      <c r="CS104" s="21"/>
      <c r="CT104" s="217" t="str">
        <f>IF(R104="","",IF(AND(BS104&gt;1,BS104&lt;12,Tabla1[[#This Row],[T.A. SISTOLICA - ANTES DE SEMANA 12]]="",Tabla1[[#This Row],[T.A. DIASTOLICA - ANTES DE SEMANA 12]]=""),"REGISTRE DATO TA ANTES SEMANA 12",IF(AND(BS104&gt;11,BS104&lt;43,Tabla1[[#This Row],[T.A. SISTOLICA - ANTES DE SEMANA 12]]="",Tabla1[[#This Row],[T.A. DIASTOLICA - ANTES DE SEMANA 12]]=""),"NO APLICA REGISTRO TA-INGRESO TARDIO",IF(AND(OR(O104&gt;0,R104&gt;0),OR(CR104&gt;=140,CS104&gt;=90)),"DEFINIR ESTADIO HTA",IF(AND(OR(O104&gt;0,R104&gt;0),AND(CR104&gt;120,CR104&lt;=139)),"PRE HTA SEGUIMIENTO",IF(AND(OR(O104&gt;0,R104&gt;0),AND(CS104&gt;80,CS104&lt;=89)),"PRE HTA SEGUIMIENTO",IF(AND(OR(O104&gt;0,R104&gt;0),AND(CR104&gt;=80,CR104&lt;=120)),"APARENTEMENTE NORMAL",IF(AND(OR(O104&gt;0,R104&gt;0),AND(CS104&gt;=50,CS104&lt;=80)),"APARENTEMENTE NORMAL",IF(AND(OR(O104&gt;0,R104&gt;0),AND(CR104&gt;1,CR104&lt;=70),AND(CS104&gt;1,CS104&lt;=40)),"HIPOTENSIÓN","")))))))))</f>
        <v>NO APLICA REGISTRO TA-INGRESO TARDIO</v>
      </c>
      <c r="CU104" s="21">
        <v>100</v>
      </c>
      <c r="CV104" s="21">
        <v>60</v>
      </c>
      <c r="CW104" s="217" t="str">
        <f ca="1">IF(R104="","",IF(AND(CN104&gt;19,CN104&lt;27,Tabla1[[#This Row],[T.A. SISTOLICA (Entre semana 20 y 26)]]="",Tabla1[[#This Row],[T.A. DIATOLICA (Entre semana 20 y 26)]]=""),"ACUDE A CONTROL SEM 20 A 26 REGISTRE TA AHORA",IF(AND(BS104&gt;1,BS104&lt;27,BU104&gt;19,Tabla1[[#This Row],[T.A. SISTOLICA (Entre semana 20 y 26)]]="",Tabla1[[#This Row],[T.A. DIATOLICA (Entre semana 20 y 26)]]=""),"COMPLETE REGISTRO TA CONTROL SEM 20 A26 ",IF(AND(BS104&gt;26,BS104&lt;43,Tabla1[[#This Row],[T.A. SISTOLICA (Entre semana 20 y 26)]]="",Tabla1[[#This Row],[T.A. DIATOLICA (Entre semana 20 y 26)]]=""),"NO APLICA REGISTRO TA-INGRESO TARDIO",IF(AND(OR(O104&gt;0,R104&gt;0),OR(CU104&gt;=140,CV104&gt;=90)),"ALTO RIESGO PREECLAMPSIA,DEFINIR ESTADIO HTA",IF(AND(OR(O104&gt;0,R104&gt;0),AND(CU104&gt;120,CU104&lt;=139)),"PRE HTA SEGUIMIENTO,RIESGO HIPERTENSION INDUCIDA POR EL EMBARAZO",IF(AND(OR(O104&gt;0,R104&gt;0),AND(CV104&gt;80,CV104&lt;=89)),"PRE HTA SEGUIMIENTO, RIESGO HIPERTENSION INDUCIDA POR EL EMBARAZO",IF(AND(OR(O104&lt;&gt;"",R104&lt;&gt;""),CS104&lt;&gt;"",CV104&lt;&gt;"",CS104&lt;=CV104),"VIGILAR CIFRAS PRESION ARTERIAL",IF(AND(OR(O104&gt;0,R104&gt;0),AND(CU104&gt;120,CU104&lt;=139)),"PRE HTA SEGUIMIENTO",IF(AND(OR(O104&gt;0,R104&gt;0),AND(CU104&gt;1,CU104&lt;=70),AND(CV104&gt;1,CV104&lt;=40)),"HIPOTENSIÓN",IF(AND(OR(O104&lt;&gt;"",R104&lt;&gt;""),CS104&lt;&gt;"",CV104&lt;&gt;"",CS104&gt;CV104),"APARENTEMENTE NORMAL",IF(AND(OR(O104&gt;0,R104&gt;0),AND(CU104&gt;=80,CU104&lt;=120)),"APARENTEMENTE NORMAL",IF(AND(OR(O104&gt;0,R104&gt;0),AND(CV104&gt;=50,CV104&lt;=80)),"APARENTEMENTE NORMAL","")))))))))))))</f>
        <v>APARENTEMENTE NORMAL</v>
      </c>
      <c r="CX104" s="21"/>
      <c r="CY104" s="21"/>
      <c r="CZ104" s="216" t="str">
        <f t="shared" si="456"/>
        <v>ACUDE A CONTROL SEM 30 A 34- REGISTRE AHORA</v>
      </c>
      <c r="DA104" s="21">
        <v>90</v>
      </c>
      <c r="DB104" s="21">
        <v>60</v>
      </c>
      <c r="DC104" s="217" t="str">
        <f t="shared" si="264"/>
        <v>APARENTEMENTE NORMAL</v>
      </c>
      <c r="DD104" s="22">
        <v>44975</v>
      </c>
      <c r="DE104" s="22">
        <v>44975</v>
      </c>
      <c r="DF104" s="22">
        <v>45065</v>
      </c>
      <c r="DG104" s="22"/>
      <c r="DH104" s="22"/>
      <c r="DI104" s="22"/>
      <c r="DJ104" s="22"/>
      <c r="DK104" s="22"/>
      <c r="DL104" s="22"/>
      <c r="DM104" s="22"/>
      <c r="DN104" s="22"/>
      <c r="DO104" s="22"/>
      <c r="DP104" s="22"/>
      <c r="DQ104" s="22"/>
      <c r="DR104" s="28"/>
      <c r="DS104" s="22"/>
      <c r="DT104" s="22"/>
      <c r="DU104" s="216" t="str">
        <f t="shared" ca="1" si="438"/>
        <v>SALE PROGRAMA ANTES SEMANA 35</v>
      </c>
      <c r="DV104" s="226" t="str">
        <f t="shared" si="439"/>
        <v>SALIO PROGRAMA</v>
      </c>
      <c r="DW104"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4" s="216" t="str">
        <f t="shared" ca="1" si="266"/>
        <v/>
      </c>
      <c r="DY104" s="212">
        <f>IF(R104="","",IF(R104&gt;0,MAX(Tabla1[[#This Row],[FECHA C2]:[FECHA C13]],Tabla1[[#This Row],[FECHA CONSULTA PRIMERA VEZ PROGRAMA CPN ]])))</f>
        <v>45065</v>
      </c>
      <c r="DZ104" s="216">
        <f t="shared" si="267"/>
        <v>33</v>
      </c>
      <c r="EA104" s="222">
        <f>IF(R104&gt;0,SUM(COUNTA(DF104:DQ104)+COUNTA(Tabla1[[#This Row],[FECHA CONSULTA PRIMERA VEZ PROGRAMA CPN ]])),"")</f>
        <v>2</v>
      </c>
      <c r="EB104" s="222" t="str">
        <f t="shared" si="268"/>
        <v>NO</v>
      </c>
      <c r="EC104" s="214">
        <f t="shared" si="269"/>
        <v>6</v>
      </c>
      <c r="ED104" s="227">
        <f t="shared" si="270"/>
        <v>0.33333333333333331</v>
      </c>
      <c r="EE104" s="22">
        <v>44975</v>
      </c>
      <c r="EF104" s="22">
        <v>44975</v>
      </c>
      <c r="EG104" s="22">
        <v>44975</v>
      </c>
      <c r="EH104" s="22"/>
      <c r="EI104" s="22">
        <v>44975</v>
      </c>
      <c r="EJ104" s="22">
        <v>44987</v>
      </c>
      <c r="EK104" s="344">
        <v>44985</v>
      </c>
      <c r="EL104" s="21"/>
      <c r="EM104" s="21">
        <v>13.8</v>
      </c>
      <c r="EN104" s="22">
        <v>44975</v>
      </c>
      <c r="EO104" s="222">
        <f t="shared" si="271"/>
        <v>20.428571428571427</v>
      </c>
      <c r="EP104" s="214" t="str">
        <f t="shared" si="272"/>
        <v>NORMAL- SUMINISTRAR SULFATO FERROSO</v>
      </c>
      <c r="EQ104" s="216" t="str">
        <f t="shared" si="273"/>
        <v>II TRIM</v>
      </c>
      <c r="ER104" s="24"/>
      <c r="ES104" s="22"/>
      <c r="ET104" s="29" t="str">
        <f t="shared" ca="1" si="440"/>
        <v>SALE SIN TAMIZAJE HEMOGLOBINA SEM 28</v>
      </c>
      <c r="EU104" s="25" t="str">
        <f t="shared" si="275"/>
        <v/>
      </c>
      <c r="EV104" s="24" t="s">
        <v>1510</v>
      </c>
      <c r="EW104" s="24">
        <v>44975</v>
      </c>
      <c r="EX104" s="22"/>
      <c r="EY104" s="29">
        <f t="shared" si="453"/>
        <v>20.428571428571427</v>
      </c>
      <c r="EZ104" s="25" t="str">
        <f t="shared" si="454"/>
        <v>SIN RIESGO DE ISOINMUNIZACIÓN</v>
      </c>
      <c r="FA104" s="21">
        <v>72</v>
      </c>
      <c r="FB104" s="22">
        <v>44975</v>
      </c>
      <c r="FC104" s="29">
        <f t="shared" si="276"/>
        <v>20.428571428571427</v>
      </c>
      <c r="FD104" s="29">
        <v>72</v>
      </c>
      <c r="FE104" s="29">
        <v>154</v>
      </c>
      <c r="FF104" s="29">
        <v>132</v>
      </c>
      <c r="FG104" s="21" t="str">
        <f t="shared" ca="1" si="277"/>
        <v>NORMAL</v>
      </c>
      <c r="FH104" s="31">
        <v>45066</v>
      </c>
      <c r="FI104" s="29">
        <f t="shared" si="278"/>
        <v>33.428571428571431</v>
      </c>
      <c r="FJ104" s="22"/>
      <c r="FK104" s="22"/>
      <c r="FL104" s="29" t="str">
        <f t="shared" ca="1" si="279"/>
        <v>NO APLICA-INGRESO TARDIO</v>
      </c>
      <c r="FM104" s="22" t="s">
        <v>867</v>
      </c>
      <c r="FN104" s="32">
        <v>44975</v>
      </c>
      <c r="FO104" s="29">
        <f t="shared" ca="1" si="441"/>
        <v>20.428571428571427</v>
      </c>
      <c r="FP104" s="22" t="s">
        <v>867</v>
      </c>
      <c r="FQ104" s="32">
        <v>45066</v>
      </c>
      <c r="FR104" s="29">
        <f t="shared" ca="1" si="442"/>
        <v>33.428571428571431</v>
      </c>
      <c r="FS104" s="22"/>
      <c r="FT104" s="32"/>
      <c r="FU104" s="29" t="str">
        <f>IF(AND(FJ104="",FM104="",FP104="",FS104=""),"",IF(OR(OR(Tabla1[[#This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4" s="28"/>
      <c r="FW104" s="22"/>
      <c r="FX104" s="29" t="str">
        <f t="shared" si="280"/>
        <v>TOMAR EXAMEN</v>
      </c>
      <c r="FY104" s="22" t="s">
        <v>1311</v>
      </c>
      <c r="FZ104" s="22" t="s">
        <v>1311</v>
      </c>
      <c r="GA104" s="29" t="e">
        <f t="shared" si="452"/>
        <v>#VALUE!</v>
      </c>
      <c r="GB104" s="22" t="s">
        <v>868</v>
      </c>
      <c r="GC104" s="22">
        <v>44975</v>
      </c>
      <c r="GD104" s="29">
        <f t="shared" ca="1" si="443"/>
        <v>20.428571428571427</v>
      </c>
      <c r="GE104" s="22" t="s">
        <v>868</v>
      </c>
      <c r="GF104" s="32">
        <v>45066</v>
      </c>
      <c r="GG104" s="29">
        <f t="shared" ca="1" si="444"/>
        <v>33.428571428571431</v>
      </c>
      <c r="GH104" s="22"/>
      <c r="GI104" s="29"/>
      <c r="GJ104" s="22"/>
      <c r="GK104" s="22"/>
      <c r="GL104" s="22"/>
      <c r="GM104" s="22"/>
      <c r="GN104" s="28" t="s">
        <v>869</v>
      </c>
      <c r="GO104" s="22">
        <v>44975</v>
      </c>
      <c r="GP104" s="29">
        <f t="shared" si="283"/>
        <v>20.428571428571427</v>
      </c>
      <c r="GQ104" s="28">
        <v>44975</v>
      </c>
      <c r="GR104" s="28" t="s">
        <v>869</v>
      </c>
      <c r="GS104" s="22" t="str">
        <f t="shared" si="457"/>
        <v/>
      </c>
      <c r="GT104" s="22">
        <v>44975</v>
      </c>
      <c r="GU104" s="29">
        <f t="shared" si="285"/>
        <v>20.428571428571427</v>
      </c>
      <c r="GV104" s="21" t="str">
        <f t="shared" si="286"/>
        <v>II TRIM</v>
      </c>
      <c r="GW104" s="28" t="s">
        <v>869</v>
      </c>
      <c r="GX104" s="30"/>
      <c r="GY104" s="21"/>
      <c r="GZ104" s="21"/>
      <c r="HA104" s="21"/>
      <c r="HB104" s="21"/>
      <c r="HC104" s="21"/>
      <c r="HD104" s="21"/>
      <c r="HE104" s="21"/>
      <c r="HF104" s="22"/>
      <c r="HG104" s="22" t="str">
        <f>IF(OR(O104&gt;0,R104&gt;0),CONCATENATE(IF(Tabla1[[#This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4" s="22" t="e">
        <f t="shared" si="287"/>
        <v>#REF!</v>
      </c>
      <c r="HI104" s="22" t="e">
        <f t="shared" ca="1" si="288"/>
        <v>#REF!</v>
      </c>
      <c r="HJ104" s="21"/>
      <c r="HK104" s="21" t="str">
        <f t="shared" si="289"/>
        <v>SIN ANTECEDENTES DE RIESGO</v>
      </c>
      <c r="HL104" s="24" t="str">
        <f t="shared" si="290"/>
        <v>APARENTEMENTE NORMAL</v>
      </c>
      <c r="HM104" s="21" t="str">
        <f t="shared" ca="1" si="291"/>
        <v/>
      </c>
      <c r="HN104" s="30" t="str">
        <f t="shared" si="445"/>
        <v>SALIO PROGRAMA</v>
      </c>
      <c r="HO104" s="21"/>
      <c r="HP104" s="21"/>
      <c r="HQ104" s="21"/>
      <c r="HR104" s="21" t="str">
        <f>IF(R104="","",IF(Tabla1[[#This Row],[ALARMA FACTORES DE RIESGO COMPLICACIONES HIPERTENSIVAS3]]="SIN ANTECEDENTES DE RIESGO","No Aplica para suministro de ASA",IF(AND(Tabla1[[#This Row],[FECHA INICIO DE SUMINISTRO DE ASA]]&gt;0,RV104&lt;12),"Inicia ASA ANTES de Sem 12",IF(AND(RV104&gt;11,RV104&lt;17,OR(HK104="RIESGO ALTO DE COMPLICACIONES HIPERTENSIVAS VER MANEJO GUIA SUMINISTRO ASA Y CALCIO",HK104="RIESGO MODERADO (2 O MAS CRITERIOS) VER MANEJO GUIA SUMINISTRO ASA Y CALCIO")),"Inicio oportuno de ASA",IF(AND(RV104&gt;12,OR(HK104="RIESGO ALTO DE COMPLICACIONES HIPERTENSIVAS VER MANEJO GUIA SUMINISTRO ASA Y CALCIO",HK104="RIESGO MODERADO (2 O MAS CRITERIOS) VER MANEJO GUIA SUMINISTRO ASA Y CALCIO")),"Inicio no oportuno mayor a 16 semanas",IF(AND(BU104&lt;12,OR(HK104="RIESGO ALTO DE COMPLICACIONES HIPERTENSIVAS VER MANEJO GUIA SUMINISTRO ASA Y CALCIO",HK104="RIESGO MODERADO (2 O MAS CRITERIOS) VER MANEJO GUIA SUMINISTRO ASA Y CALCIO")),"Pendiente Inicio de ASA a la semana 12",IF(AND(BU104&gt;11,BU104&lt;17,OR(HK104="RIESGO ALTO DE COMPLICACIONES HIPERTENSIVAS VER MANEJO GUIA SUMINISTRO ASA Y CALCIO",HK104="RIESGO MODERADO (2 O MAS CRITERIOS) VER MANEJO GUIA SUMINISTRO ASA Y CALCIO")),"Iniciar de inmediato ASA",IF(AND(BU104&gt;16,OR(HK104="RIESGO ALTO DE COMPLICACIONES HIPERTENSIVAS VER MANEJO GUIA SUMINISTRO ASA Y CALCIO",HK104="RIESGO MODERADO (2 O MAS CRITERIOS) VER MANEJO GUIA SUMINISTRO ASA Y CALCIO")),"Pierde Oportunidad, Inicio tardío de ASA","XXXXX"))))))))</f>
        <v>No Aplica para suministro de ASA</v>
      </c>
      <c r="HS104" s="22"/>
      <c r="HT104" s="22"/>
      <c r="HU104" s="22"/>
      <c r="HV104" s="22"/>
      <c r="HW104" s="22"/>
      <c r="HX104" s="22"/>
      <c r="HY104" s="22"/>
      <c r="HZ104" s="28" t="str">
        <f t="shared" si="292"/>
        <v>PENDIENTE CONSULTA</v>
      </c>
      <c r="IA104" s="26"/>
      <c r="IB104" s="26"/>
      <c r="IC104" s="111"/>
      <c r="ID104" s="22"/>
      <c r="IE104" s="22" t="str">
        <f t="shared" ca="1" si="293"/>
        <v>SALE SIN VACUNA</v>
      </c>
      <c r="IF104" s="22"/>
      <c r="IG104" s="22">
        <f t="shared" si="294"/>
        <v>45112</v>
      </c>
      <c r="IH104" s="29">
        <f t="shared" ca="1" si="295"/>
        <v>-121</v>
      </c>
      <c r="II104" s="22" t="str">
        <f t="shared" ca="1" si="296"/>
        <v>POSIBLEMENTE NACIO</v>
      </c>
      <c r="IJ104" s="22"/>
      <c r="IK104" s="21" t="s">
        <v>898</v>
      </c>
      <c r="IL104" s="21"/>
      <c r="IM104" s="34"/>
      <c r="IN104" s="349">
        <v>45069</v>
      </c>
      <c r="IO104" s="21" t="s">
        <v>1640</v>
      </c>
      <c r="IP104" s="29">
        <f t="shared" si="435"/>
        <v>33.857142857142854</v>
      </c>
      <c r="IQ104" s="110"/>
      <c r="IR104" s="21" t="s">
        <v>879</v>
      </c>
      <c r="IS104" s="21" t="s">
        <v>1641</v>
      </c>
      <c r="IT104" s="21" t="s">
        <v>1642</v>
      </c>
      <c r="IU104" s="21"/>
      <c r="IV104" s="21"/>
      <c r="IW104" s="21"/>
      <c r="IX104" s="21"/>
      <c r="IY104" s="21"/>
      <c r="IZ104" s="21"/>
      <c r="JA104" s="21"/>
      <c r="JB104" s="30">
        <v>1</v>
      </c>
      <c r="JC104" s="21" t="s">
        <v>1643</v>
      </c>
      <c r="JD104" s="36">
        <v>3300</v>
      </c>
      <c r="JE104" s="21" t="str">
        <f t="shared" si="446"/>
        <v>ERROR VERIFICAR DATO EDAD GESTACIONAL VS PESO</v>
      </c>
      <c r="JF104" s="30"/>
      <c r="JG104" s="21"/>
      <c r="JH104" s="21"/>
      <c r="JI104" s="21"/>
      <c r="JJ104" s="30"/>
      <c r="JK104" s="22"/>
      <c r="JL104" s="22"/>
      <c r="JM104" s="21"/>
      <c r="JN104" s="36"/>
      <c r="JO104" s="21" t="str">
        <f t="shared" si="447"/>
        <v/>
      </c>
      <c r="JP104" s="22"/>
      <c r="JQ104" s="21"/>
      <c r="JR104" s="21"/>
      <c r="JS104" s="21"/>
      <c r="JT104" s="30"/>
      <c r="JU104" s="22"/>
      <c r="JV104" s="22"/>
      <c r="JW104" s="33"/>
      <c r="JX104" s="28" t="str">
        <f t="shared" si="448"/>
        <v>INASISTENTE</v>
      </c>
      <c r="JY104" s="33"/>
      <c r="JZ104" s="28" t="str">
        <f t="shared" si="449"/>
        <v>INASISTENTE</v>
      </c>
      <c r="KA104" s="21"/>
      <c r="KB104" s="21"/>
      <c r="KC104" s="21"/>
      <c r="KD104" s="37"/>
      <c r="KE104" s="28"/>
      <c r="KF104" s="28"/>
      <c r="KG104" s="28"/>
      <c r="KH104" s="39"/>
      <c r="KI104" s="39"/>
      <c r="KJ104" s="66"/>
      <c r="KK104" s="39"/>
      <c r="KL104" s="39"/>
      <c r="KM104" s="66"/>
      <c r="KN104" s="39"/>
      <c r="KO104" s="39"/>
      <c r="KP104" s="39"/>
      <c r="KQ104" s="39"/>
      <c r="KR104" s="39"/>
      <c r="KS104" s="39"/>
      <c r="KT104" s="39"/>
      <c r="KU104" s="38"/>
      <c r="KV104" s="38"/>
      <c r="KW104" s="38"/>
      <c r="KX104" s="38"/>
      <c r="KY104" s="38"/>
      <c r="KZ104" s="38"/>
      <c r="LA104" s="38"/>
      <c r="LB104" s="38"/>
      <c r="LC104" s="38"/>
      <c r="LD104" s="38"/>
      <c r="LE104" s="38"/>
      <c r="LF104" s="38"/>
      <c r="LG104" s="38"/>
      <c r="LH104" s="38"/>
      <c r="LI104" s="38"/>
      <c r="LJ104" s="38"/>
      <c r="LK104" s="38"/>
      <c r="LL104" s="38"/>
      <c r="LM104" s="38"/>
      <c r="LN104" s="38"/>
      <c r="LO104" s="38"/>
      <c r="LP104" s="38"/>
      <c r="LQ104" s="38"/>
      <c r="LR104" s="38"/>
      <c r="LS104" s="38"/>
      <c r="LT104" s="38"/>
      <c r="LU104" s="38"/>
      <c r="LV104" s="38"/>
      <c r="LW104" s="38"/>
      <c r="LX104" s="38"/>
      <c r="LY104" s="38"/>
      <c r="LZ104" s="38"/>
      <c r="MA104" s="38"/>
      <c r="MB104" s="38"/>
      <c r="MC104" s="38"/>
      <c r="MD104" s="38"/>
      <c r="ME104" s="38"/>
      <c r="MF104" s="38"/>
      <c r="MG104" s="38"/>
      <c r="MH104" s="43">
        <f t="shared" si="458"/>
        <v>0</v>
      </c>
      <c r="MI104" s="43" t="str">
        <f t="shared" si="459"/>
        <v/>
      </c>
      <c r="MJ104" s="43" t="str">
        <f t="shared" si="460"/>
        <v/>
      </c>
      <c r="MK104" s="43">
        <f t="shared" si="461"/>
        <v>0</v>
      </c>
      <c r="ML1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4" s="43">
        <f t="shared" si="462"/>
        <v>20.428571428571427</v>
      </c>
      <c r="MN104" s="43">
        <f t="shared" si="463"/>
        <v>2</v>
      </c>
      <c r="MO104" s="43">
        <f t="shared" si="464"/>
        <v>2023</v>
      </c>
      <c r="MP104" s="43" t="str">
        <f t="shared" si="465"/>
        <v>I TRIMESTRE AÑO</v>
      </c>
      <c r="MQ104" s="43">
        <f t="shared" si="466"/>
        <v>26.037560227770474</v>
      </c>
      <c r="MR104" s="43">
        <f t="shared" si="467"/>
        <v>0</v>
      </c>
      <c r="MS104" s="43" t="str">
        <f t="shared" si="468"/>
        <v xml:space="preserve"> DE 25 A 29 AÑOS</v>
      </c>
      <c r="MT104" s="43">
        <f t="shared" si="469"/>
        <v>0</v>
      </c>
      <c r="MU104" s="43">
        <f t="shared" si="470"/>
        <v>0</v>
      </c>
      <c r="MV104" s="43">
        <f t="shared" si="471"/>
        <v>0</v>
      </c>
      <c r="MW104" s="43">
        <f t="shared" si="472"/>
        <v>0</v>
      </c>
      <c r="MX104" s="43" t="str">
        <f t="shared" si="473"/>
        <v/>
      </c>
      <c r="MY104" s="43" t="str">
        <f t="shared" ca="1" si="450"/>
        <v/>
      </c>
      <c r="MZ104" s="43" t="str">
        <f t="shared" si="474"/>
        <v/>
      </c>
      <c r="NA104" s="43" t="str">
        <f t="shared" si="475"/>
        <v/>
      </c>
      <c r="NB104" s="43" t="str">
        <f t="shared" si="476"/>
        <v/>
      </c>
      <c r="NC104" s="43" t="str">
        <f t="shared" si="477"/>
        <v/>
      </c>
      <c r="ND104" s="43">
        <f t="shared" ca="1" si="478"/>
        <v>0</v>
      </c>
      <c r="NE104" s="43">
        <f>IF(OR(O104&gt;0,R104&gt;0),SUM(COUNTIF(Tabla1[[#This Row],[AÑOS AL INICIO5 CPN]],"&gt;=40"),COUNTIF(AS104,"0"),COUNTIF(AR104,"SI"),COUNTIF(CC104,"SI"),COUNTIF(BQ104,"&gt;119"),COUNTIF(CI104,"&gt;=35")),"")</f>
        <v>0</v>
      </c>
      <c r="NF104" s="43" t="str">
        <f t="shared" si="479"/>
        <v/>
      </c>
      <c r="NG104" s="43">
        <f t="shared" si="480"/>
        <v>0</v>
      </c>
      <c r="NH104" s="43" t="str">
        <f t="shared" si="481"/>
        <v/>
      </c>
      <c r="NI104"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CPN",P104="NO"),"Z",IF(AND(Tabla1[[#This Row],[CITA PROXIMO CONTROL]]="CITA MANUAL",Tabla1[[#This Row],[GESTANTES ACTUALES]]="ACTIVA INGRESO A CPN"),"W",IF(AND(Tabla1[[#This Row],[GESTANTES ACTUALES]]="SALIO PROGRAMA",IN104=""),"S",IF(AND(Tabla1[[#This Row],[CITA PROXIMO CONTROL]]&gt;0,IN104=""),(Tabla1[[#This Row],[CITA PROXIMO CONTROL]]-TODAY()),"SD"))))))))</f>
        <v>SD</v>
      </c>
      <c r="NJ104" s="43">
        <f>MONTH(Tabla1[[#This Row],[FECHA DE SALIDA  DEL PROGRAMA]])</f>
        <v>5</v>
      </c>
      <c r="NK104" s="43">
        <f>YEAR(Tabla1[[#This Row],[FECHA DE SALIDA  DEL PROGRAMA]])</f>
        <v>2023</v>
      </c>
      <c r="NL104" s="43">
        <f t="shared" si="482"/>
        <v>12</v>
      </c>
      <c r="NM104" s="43" t="str">
        <f t="shared" si="455"/>
        <v>NO</v>
      </c>
      <c r="NN104" s="43" t="str">
        <f ca="1">IF(AND(O104&gt;0,R104=""),"NO CPN",IF(AND(O104="",R104=""),"",IF(AND(R104&gt;0,Tabla1[[#This Row],[SEMANAS DE GESTACION ACTUALIZADAS]]&lt;=12),"NO APLICA",IF(AND(FH104&lt;&gt;"",FN104&lt;&gt;""),"SI","NO"))))</f>
        <v>SI</v>
      </c>
      <c r="NO104" s="43" t="str">
        <f ca="1">IF(AND(O104&gt;0,R104=""),"NO CPN",IF(AND(O104="",R104=""),"",IF(AND(R104&gt;0,Tabla1[[#This Row],[SEMANAS DE GESTACION ACTUALIZADAS]]&lt;=27),"NO APLICA",IF(AND(ES104&lt;&gt;"",FQ104&lt;&gt;"",GF104&lt;&gt;""),"SI","NO"))))</f>
        <v>NO</v>
      </c>
      <c r="NP104" s="204" t="str">
        <f t="shared" si="483"/>
        <v>II TRIM</v>
      </c>
      <c r="NQ104" s="21" t="str">
        <f t="shared" si="436"/>
        <v/>
      </c>
      <c r="NR104" s="21">
        <f t="shared" si="451"/>
        <v>2</v>
      </c>
      <c r="NS104" s="205">
        <f t="shared" ca="1" si="484"/>
        <v>2</v>
      </c>
      <c r="NT104" s="21">
        <f t="shared" ca="1" si="485"/>
        <v>2</v>
      </c>
      <c r="NU104" s="21" t="str">
        <f t="shared" ca="1" si="486"/>
        <v>COMPLETO</v>
      </c>
      <c r="NV104" s="21" t="str">
        <f t="shared" ca="1" si="487"/>
        <v>COMPLETO</v>
      </c>
      <c r="NW104" s="206" t="str">
        <f>IF(AND(O104="",R104=""),"",IF(OR(AND(Tabla1[[#This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4" s="207" t="str">
        <f t="shared" ca="1" si="488"/>
        <v>SIN VACUNAR</v>
      </c>
      <c r="NY104" s="43">
        <f>ROW(Tabla1[[#This Row],['# DE TAMIZAJES SIFILIS TOMADOS ]])</f>
        <v>104</v>
      </c>
      <c r="NZ104" s="43">
        <f t="shared" si="333"/>
        <v>20</v>
      </c>
      <c r="OA104" s="43" t="str">
        <f t="shared" si="334"/>
        <v/>
      </c>
      <c r="OB104" s="43" t="str">
        <f t="shared" si="335"/>
        <v/>
      </c>
      <c r="OC104" s="43" t="str">
        <f t="shared" si="336"/>
        <v/>
      </c>
      <c r="OD104" s="43" t="str">
        <f t="shared" si="337"/>
        <v/>
      </c>
      <c r="OE104" s="43" t="str">
        <f t="shared" si="338"/>
        <v/>
      </c>
      <c r="OF104" s="43" t="str">
        <f t="shared" si="339"/>
        <v/>
      </c>
      <c r="OG104" s="43" t="str">
        <f t="shared" si="340"/>
        <v/>
      </c>
      <c r="OH104" s="43" t="str">
        <f t="shared" si="341"/>
        <v/>
      </c>
      <c r="OI104" s="43" t="str">
        <f t="shared" si="342"/>
        <v/>
      </c>
      <c r="OJ104" s="43" t="str">
        <f t="shared" si="343"/>
        <v/>
      </c>
      <c r="OK104" s="43" t="str">
        <f t="shared" si="344"/>
        <v/>
      </c>
      <c r="OL104" s="43" t="str">
        <f t="shared" si="345"/>
        <v>NORMAL</v>
      </c>
      <c r="OM104" s="43" t="str">
        <f t="shared" si="346"/>
        <v/>
      </c>
      <c r="ON104" s="43" t="str">
        <f t="shared" si="347"/>
        <v/>
      </c>
      <c r="OO104" s="43" t="str">
        <f t="shared" si="348"/>
        <v/>
      </c>
      <c r="OP104" s="43" t="str">
        <f t="shared" si="349"/>
        <v/>
      </c>
      <c r="OQ104" s="43" t="str">
        <f t="shared" si="350"/>
        <v/>
      </c>
      <c r="OR104" s="43" t="str">
        <f t="shared" si="351"/>
        <v/>
      </c>
      <c r="OS104" s="43" t="str">
        <f t="shared" si="352"/>
        <v/>
      </c>
      <c r="OT104" s="43" t="str">
        <f t="shared" si="353"/>
        <v/>
      </c>
      <c r="OU104" s="43" t="str">
        <f t="shared" si="354"/>
        <v/>
      </c>
      <c r="OV104" s="110" t="str">
        <f t="shared" si="355"/>
        <v/>
      </c>
      <c r="OW104" s="43" t="str">
        <f t="shared" si="356"/>
        <v/>
      </c>
      <c r="OX104" s="43" t="str">
        <f t="shared" si="357"/>
        <v/>
      </c>
      <c r="OY104" s="43" t="str">
        <f t="shared" si="358"/>
        <v/>
      </c>
      <c r="OZ104" s="43" t="str">
        <f t="shared" si="359"/>
        <v/>
      </c>
      <c r="PA104" s="43" t="str">
        <f t="shared" si="360"/>
        <v/>
      </c>
      <c r="PB104" s="43" t="str">
        <f t="shared" si="361"/>
        <v/>
      </c>
      <c r="PC104" s="43" t="str">
        <f t="shared" si="362"/>
        <v/>
      </c>
      <c r="PD104" s="43" t="str">
        <f t="shared" si="363"/>
        <v/>
      </c>
      <c r="PE104" s="43" t="str">
        <f t="shared" si="364"/>
        <v/>
      </c>
      <c r="PF104" s="43" t="str">
        <f t="shared" si="365"/>
        <v/>
      </c>
      <c r="PG104" s="43" t="str">
        <f t="shared" si="366"/>
        <v/>
      </c>
      <c r="PH104" s="43" t="str">
        <f t="shared" si="367"/>
        <v/>
      </c>
      <c r="PI104" s="43">
        <f t="shared" si="368"/>
        <v>33</v>
      </c>
      <c r="PJ104" s="43" t="str">
        <f t="shared" si="369"/>
        <v/>
      </c>
      <c r="PK104" s="43" t="str">
        <f t="shared" si="370"/>
        <v/>
      </c>
      <c r="PL104" s="43" t="str">
        <f t="shared" si="371"/>
        <v/>
      </c>
      <c r="PM104" s="43" t="str">
        <f t="shared" si="372"/>
        <v/>
      </c>
      <c r="PN104" s="43" t="str">
        <f t="shared" si="373"/>
        <v/>
      </c>
      <c r="PO104" s="43" t="str">
        <f t="shared" si="374"/>
        <v/>
      </c>
      <c r="PP104" s="43" t="str">
        <f t="shared" si="375"/>
        <v/>
      </c>
      <c r="PQ104" s="43" t="str">
        <f t="shared" si="376"/>
        <v/>
      </c>
      <c r="PR104" s="43" t="str">
        <f t="shared" si="377"/>
        <v/>
      </c>
      <c r="PS104" s="43" t="str">
        <f t="shared" si="378"/>
        <v/>
      </c>
      <c r="PT104" s="43" t="str">
        <f t="shared" si="379"/>
        <v/>
      </c>
      <c r="PU104" s="43" t="str">
        <f t="shared" si="380"/>
        <v/>
      </c>
      <c r="PV104" s="43" t="str">
        <f t="shared" si="381"/>
        <v/>
      </c>
      <c r="PW104" s="43" t="str">
        <f t="shared" si="382"/>
        <v/>
      </c>
      <c r="PX104" s="43" t="str">
        <f t="shared" si="383"/>
        <v/>
      </c>
      <c r="PY104" s="43" t="str">
        <f t="shared" si="384"/>
        <v/>
      </c>
      <c r="PZ104" s="43" t="str">
        <f t="shared" si="385"/>
        <v/>
      </c>
      <c r="QA104" s="43" t="str">
        <f t="shared" si="386"/>
        <v/>
      </c>
      <c r="QB104" s="43" t="str">
        <f t="shared" si="387"/>
        <v/>
      </c>
      <c r="QC104" s="43" t="str">
        <f t="shared" si="388"/>
        <v/>
      </c>
      <c r="QD104" s="43" t="str">
        <f t="shared" si="389"/>
        <v/>
      </c>
      <c r="QE104" s="43" t="str">
        <f t="shared" si="390"/>
        <v/>
      </c>
      <c r="QF104" s="43" t="str">
        <f t="shared" si="391"/>
        <v/>
      </c>
      <c r="QG104" s="43" t="str">
        <f t="shared" si="392"/>
        <v/>
      </c>
      <c r="QH104" s="43" t="str">
        <f t="shared" si="393"/>
        <v>BAJO PESO</v>
      </c>
      <c r="QI104" s="43" t="str">
        <f t="shared" si="394"/>
        <v/>
      </c>
      <c r="QJ104" s="43" t="str">
        <f t="shared" si="395"/>
        <v/>
      </c>
      <c r="QK104" s="43" t="str">
        <f t="shared" si="396"/>
        <v/>
      </c>
      <c r="QL104" s="43" t="str">
        <f t="shared" si="397"/>
        <v/>
      </c>
      <c r="QM104" s="43" t="str">
        <f t="shared" si="398"/>
        <v/>
      </c>
      <c r="QN104" s="43" t="str">
        <f t="shared" si="399"/>
        <v/>
      </c>
      <c r="QO104" s="43" t="str">
        <f t="shared" si="400"/>
        <v/>
      </c>
      <c r="QP104" s="43" t="str">
        <f t="shared" si="401"/>
        <v/>
      </c>
      <c r="QQ104" s="43" t="str">
        <f t="shared" si="402"/>
        <v/>
      </c>
      <c r="QR104" s="43">
        <f t="shared" si="432"/>
        <v>33</v>
      </c>
      <c r="QS104" s="43"/>
      <c r="QT104" s="21" t="str">
        <f t="shared" si="403"/>
        <v/>
      </c>
      <c r="QU104" s="21" t="str">
        <f t="shared" si="404"/>
        <v/>
      </c>
      <c r="QV104" s="21" t="str">
        <f t="shared" si="405"/>
        <v/>
      </c>
      <c r="QW104" s="21" t="str">
        <f t="shared" si="406"/>
        <v/>
      </c>
      <c r="QX104" s="21" t="str">
        <f t="shared" si="407"/>
        <v/>
      </c>
      <c r="QY104" s="21" t="str">
        <f t="shared" si="408"/>
        <v/>
      </c>
      <c r="QZ104" s="21" t="str">
        <f t="shared" si="409"/>
        <v/>
      </c>
      <c r="RA104" s="21" t="str">
        <f t="shared" si="410"/>
        <v/>
      </c>
      <c r="RB104" s="21" t="str">
        <f t="shared" si="411"/>
        <v/>
      </c>
      <c r="RC104" s="21" t="str">
        <f t="shared" si="412"/>
        <v/>
      </c>
      <c r="RD104" s="21" t="str">
        <f t="shared" si="413"/>
        <v/>
      </c>
      <c r="RE104" s="21" t="str">
        <f t="shared" si="414"/>
        <v/>
      </c>
      <c r="RF104" s="21" t="str">
        <f t="shared" si="415"/>
        <v/>
      </c>
      <c r="RG104" s="21" t="str">
        <f t="shared" si="416"/>
        <v/>
      </c>
      <c r="RH104" s="21" t="str">
        <f t="shared" si="417"/>
        <v/>
      </c>
      <c r="RI104" s="21" t="str">
        <f t="shared" si="418"/>
        <v/>
      </c>
      <c r="RJ104" s="21" t="str">
        <f t="shared" si="419"/>
        <v/>
      </c>
      <c r="RK104" s="21" t="str">
        <f t="shared" si="420"/>
        <v/>
      </c>
      <c r="RL104" s="21" t="str">
        <f t="shared" si="421"/>
        <v/>
      </c>
      <c r="RM104" s="21" t="str">
        <f t="shared" si="422"/>
        <v/>
      </c>
      <c r="RN104" s="21" t="str">
        <f t="shared" si="423"/>
        <v/>
      </c>
      <c r="RO104" s="21" t="str">
        <f t="shared" si="424"/>
        <v/>
      </c>
      <c r="RP104" s="21" t="str">
        <f t="shared" si="425"/>
        <v/>
      </c>
      <c r="RQ104" s="21" t="str">
        <f t="shared" si="426"/>
        <v/>
      </c>
      <c r="RR104" s="21" t="str">
        <f t="shared" si="427"/>
        <v/>
      </c>
      <c r="RS104" s="21" t="str">
        <f t="shared" si="428"/>
        <v/>
      </c>
      <c r="RT104" s="21" t="str">
        <f t="shared" si="429"/>
        <v/>
      </c>
      <c r="RU104" s="21" t="str">
        <f t="shared" si="430"/>
        <v/>
      </c>
      <c r="RV104" s="21">
        <f t="shared" si="431"/>
        <v>-1</v>
      </c>
      <c r="RW104" s="284">
        <f>IF(OR(Tabla1[[#This Row],[FUM FORMULA CONFIABLE]]="",Tabla1[[#This Row],[FUM FORMULA CONFIABLE]]="SD"),"",IF(Tabla1[[#This Row],[FUM FORMULA CONFIABLE]]="CORREGIDA",Tabla1[[#This Row],[FUM X ECO 1]],Tabla1[[#This Row],[FUM x AMENORREA]]))</f>
        <v>44832</v>
      </c>
      <c r="RX104" s="21" t="str">
        <f>IF(AND(Tabla1[[#This Row],[FUM X ECO 1]]="",Tabla1[[#This Row],[FUM x AMENORREA]]=""),"",IF(AND(Tabla1[[#This Row],[FUM X ECO 1]]="",Tabla1[[#This Row],[FUM x AMENORREA]]&lt;&gt;""),"X",SUM(Tabla1[[#This Row],[FUM X ECO 1]]-Tabla1[[#This Row],[FUM x AMENORREA]])))</f>
        <v>X</v>
      </c>
      <c r="RY104" s="21" t="str">
        <f t="shared" si="433"/>
        <v>x</v>
      </c>
    </row>
    <row r="105" spans="1:493" ht="45" customHeight="1" x14ac:dyDescent="0.25">
      <c r="A105" s="109"/>
      <c r="B105" s="43"/>
      <c r="C105" s="43" t="s">
        <v>845</v>
      </c>
      <c r="D105" s="124"/>
      <c r="E105" s="43" t="s">
        <v>1312</v>
      </c>
      <c r="F105" s="43" t="s">
        <v>1313</v>
      </c>
      <c r="G105" s="43" t="s">
        <v>1314</v>
      </c>
      <c r="H105" s="43"/>
      <c r="I105" s="109" t="s">
        <v>851</v>
      </c>
      <c r="J105" s="110">
        <v>1002848080</v>
      </c>
      <c r="K105" s="43" t="s">
        <v>852</v>
      </c>
      <c r="L105" s="175" t="s">
        <v>1509</v>
      </c>
      <c r="M105" s="22">
        <v>37801</v>
      </c>
      <c r="N105" s="213">
        <f t="shared" ca="1" si="252"/>
        <v>20.361643835616437</v>
      </c>
      <c r="O105" s="22">
        <v>44963</v>
      </c>
      <c r="P105" s="214" t="str">
        <f t="shared" si="437"/>
        <v>SI</v>
      </c>
      <c r="Q105" s="26" t="s">
        <v>855</v>
      </c>
      <c r="R105" s="22">
        <v>44963</v>
      </c>
      <c r="S105" s="21" t="s">
        <v>856</v>
      </c>
      <c r="T105" s="24" t="s">
        <v>690</v>
      </c>
      <c r="U105" s="21" t="s">
        <v>857</v>
      </c>
      <c r="V105" s="21" t="s">
        <v>858</v>
      </c>
      <c r="W105" s="21" t="s">
        <v>1163</v>
      </c>
      <c r="X105" s="21" t="s">
        <v>1163</v>
      </c>
      <c r="Y105" s="21" t="s">
        <v>859</v>
      </c>
      <c r="Z105" s="21">
        <v>3137481235</v>
      </c>
      <c r="AA105" s="21" t="s">
        <v>860</v>
      </c>
      <c r="AB105" s="27" t="s">
        <v>861</v>
      </c>
      <c r="AC105" s="26" t="s">
        <v>888</v>
      </c>
      <c r="AD105" s="38" t="s">
        <v>846</v>
      </c>
      <c r="AE105" s="26" t="s">
        <v>854</v>
      </c>
      <c r="AF105" s="26" t="s">
        <v>854</v>
      </c>
      <c r="AG105" s="23" t="s">
        <v>864</v>
      </c>
      <c r="AH105" s="23" t="s">
        <v>864</v>
      </c>
      <c r="AI105" s="24" t="s">
        <v>863</v>
      </c>
      <c r="AJ105" s="23" t="s">
        <v>864</v>
      </c>
      <c r="AK105" s="220" t="str">
        <f>IF(AND(AD105="",AE105="",AF105="",AG105="",AH105="",AI105="",AJ105=""),"",IF(OR(Tabla1[[#This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EVALUACIÓN",IF(AND(O105="",R105=""),"",IF(AND(OR(O105&gt;0,R105&gt;0),NG105&gt;=0,NG105&lt;2),"SIN RIESGO",IF(AND(OR(O105&gt;0,R105&gt;0),NG105&gt;=2),"CON RIESGO","ASD")))))</f>
        <v>SIN RIESGO</v>
      </c>
      <c r="AL105" s="23" t="s">
        <v>864</v>
      </c>
      <c r="AM105" s="26" t="s">
        <v>864</v>
      </c>
      <c r="AN105" s="26" t="s">
        <v>864</v>
      </c>
      <c r="AO105" s="26" t="s">
        <v>864</v>
      </c>
      <c r="AP105" s="26" t="s">
        <v>864</v>
      </c>
      <c r="AQ105" s="26" t="s">
        <v>864</v>
      </c>
      <c r="AR105" s="26" t="s">
        <v>864</v>
      </c>
      <c r="AS105" s="21">
        <v>1</v>
      </c>
      <c r="AT105" s="21">
        <v>0</v>
      </c>
      <c r="AU105" s="21">
        <v>0</v>
      </c>
      <c r="AV105" s="26" t="s">
        <v>864</v>
      </c>
      <c r="AW105" s="21">
        <v>0</v>
      </c>
      <c r="AX105" s="26" t="s">
        <v>864</v>
      </c>
      <c r="AY105" s="26" t="s">
        <v>864</v>
      </c>
      <c r="AZ105" s="26" t="s">
        <v>864</v>
      </c>
      <c r="BA105" s="26" t="s">
        <v>864</v>
      </c>
      <c r="BB105" s="26" t="s">
        <v>864</v>
      </c>
      <c r="BC105" s="26" t="s">
        <v>864</v>
      </c>
      <c r="BD105" s="26" t="s">
        <v>864</v>
      </c>
      <c r="BE105" s="26" t="s">
        <v>864</v>
      </c>
      <c r="BF105" s="26" t="s">
        <v>864</v>
      </c>
      <c r="BG105" s="26" t="s">
        <v>864</v>
      </c>
      <c r="BH105" s="26" t="s">
        <v>864</v>
      </c>
      <c r="BI105" s="26" t="s">
        <v>864</v>
      </c>
      <c r="BJ105" s="26"/>
      <c r="BK105" s="26"/>
      <c r="BL105" s="26" t="s">
        <v>864</v>
      </c>
      <c r="BM105" s="26" t="s">
        <v>864</v>
      </c>
      <c r="BN105" s="22"/>
      <c r="BO105" s="22">
        <v>44777</v>
      </c>
      <c r="BP105" s="21" t="s">
        <v>854</v>
      </c>
      <c r="BQ105" s="222">
        <f t="shared" si="254"/>
        <v>0</v>
      </c>
      <c r="BR105" s="223">
        <f t="shared" si="255"/>
        <v>44565.3</v>
      </c>
      <c r="BS105" s="224">
        <f t="shared" si="256"/>
        <v>26.571428571428573</v>
      </c>
      <c r="BT105" s="216" t="str">
        <f t="shared" si="257"/>
        <v>II TRIM</v>
      </c>
      <c r="BU105" s="214" t="str">
        <f t="shared" ca="1" si="258"/>
        <v/>
      </c>
      <c r="BV105" s="25"/>
      <c r="BW105" s="22">
        <v>44783</v>
      </c>
      <c r="BX105" s="28">
        <v>31.1</v>
      </c>
      <c r="BY105" s="28"/>
      <c r="BZ105" s="22"/>
      <c r="CA105" s="21"/>
      <c r="CB105" s="26" t="s">
        <v>864</v>
      </c>
      <c r="CC105" s="26" t="s">
        <v>864</v>
      </c>
      <c r="CD105" s="26"/>
      <c r="CE105" s="26" t="s">
        <v>854</v>
      </c>
      <c r="CF105" s="22" t="s">
        <v>1517</v>
      </c>
      <c r="CG105" s="21"/>
      <c r="CH105" s="21"/>
      <c r="CI105" s="214" t="str">
        <f t="shared" si="259"/>
        <v>SD</v>
      </c>
      <c r="CJ105" s="225" t="str">
        <f>IF(AND(CI105&lt;10,CH105="SD"),"SIN DATO PESO PREGESTACION O I TRIM",IF(AND(OR(R105&gt;0,O105&gt;0),CI105="X"),"INGRESAR DATO DE PESO",IF(CI105="SD","INGRESAR DATO DE TALLA Y PESO",IF(AND(OR(Tabla1[[#This Row],[MOMENTO EN QUE SE REALIZA EL PESO AL INGRESO A CPN]]="PREGESTACIÓN",NZ105="Menor"),CI105&lt;18.5),"BAJO PESO",IF(AND(OR(Tabla1[[#This Row],[MOMENTO EN QUE SE REALIZA EL PESO AL INGRESO A CPN]]="PREGESTACIÓN",NZ105="Menor"),CI105&lt;25),"NORMAL",IF(AND(OR(Tabla1[[#This Row],[MOMENTO EN QUE SE REALIZA EL PESO AL INGRESO A CPN]]="PREGESTACIÓN",NZ105="Menor"),CI105&lt;30),"SOBREPESO",IF(AND(OR(Tabla1[[#This Row],[MOMENTO EN QUE SE REALIZA EL PESO AL INGRESO A CPN]]="PREGESTACIÓN",NZ105="Menor"),CI105&gt;=30,CI105&lt;50),"OBESIDAD",IF(AND(BS105&gt;0,Tabla1[[#This Row],[MOMENTO EN QUE SE REALIZA EL PESO AL INGRESO A CPN]]="GESTACIÓN"),HLOOKUP(NZ105,$OA$2:PH105,NY105),""))))))))</f>
        <v>INGRESAR DATO DE TALLA Y PESO</v>
      </c>
      <c r="CK105" s="212">
        <f t="shared" si="260"/>
        <v>44992</v>
      </c>
      <c r="CL105" s="21"/>
      <c r="CM105" s="214" t="str">
        <f t="shared" si="261"/>
        <v>SD</v>
      </c>
      <c r="CN105" s="216">
        <f t="shared" si="262"/>
        <v>30</v>
      </c>
      <c r="CO105" s="216" t="e">
        <f>IF(PI105="","",IF(PI105&gt;0,HLOOKUP(PI105,$PJ$2:QQ105,NY105),""))</f>
        <v>#REF!</v>
      </c>
      <c r="CP105" s="21"/>
      <c r="CQ105" s="216" t="e">
        <f>IF(QR105="Menor","NO APLICA-MENOR 13 SEM",IF(AND(CC105="SI",CN105&gt;23),"NO APLICA- GEMELAR",IF(QR105="","",IF(QR105&gt;0,HLOOKUP(QR105,$QS$2:RU105,NY105),""))))</f>
        <v>#REF!</v>
      </c>
      <c r="CR105" s="21"/>
      <c r="CS105" s="21"/>
      <c r="CT105" s="217" t="str">
        <f>IF(R105="","",IF(AND(BS105&gt;1,BS105&lt;12,Tabla1[[#This Row],[T.A. SISTOLICA - ANTES DE SEMANA 12]]="",Tabla1[[#This Row],[T.A. DIASTOLICA - ANTES DE SEMANA 12]]=""),"REGISTRE DATO TA ANTES SEMANA 12",IF(AND(BS105&gt;11,BS105&lt;43,Tabla1[[#This Row],[T.A. SISTOLICA - ANTES DE SEMANA 12]]="",Tabla1[[#This Row],[T.A. DIASTOLICA - ANTES DE SEMANA 12]]=""),"NO APLICA REGISTRO TA-INGRESO TARDIO",IF(AND(OR(O105&gt;0,R105&gt;0),OR(CR105&gt;=140,CS105&gt;=90)),"DEFINIR ESTADIO HTA",IF(AND(OR(O105&gt;0,R105&gt;0),AND(CR105&gt;120,CR105&lt;=139)),"PRE HTA SEGUIMIENTO",IF(AND(OR(O105&gt;0,R105&gt;0),AND(CS105&gt;80,CS105&lt;=89)),"PRE HTA SEGUIMIENTO",IF(AND(OR(O105&gt;0,R105&gt;0),AND(CR105&gt;=80,CR105&lt;=120)),"APARENTEMENTE NORMAL",IF(AND(OR(O105&gt;0,R105&gt;0),AND(CS105&gt;=50,CS105&lt;=80)),"APARENTEMENTE NORMAL",IF(AND(OR(O105&gt;0,R105&gt;0),AND(CR105&gt;1,CR105&lt;=70),AND(CS105&gt;1,CS105&lt;=40)),"HIPOTENSIÓN","")))))))))</f>
        <v>NO APLICA REGISTRO TA-INGRESO TARDIO</v>
      </c>
      <c r="CU105" s="21">
        <v>100</v>
      </c>
      <c r="CV105" s="21">
        <v>60</v>
      </c>
      <c r="CW105" s="217" t="str">
        <f ca="1">IF(R105="","",IF(AND(CN105&gt;19,CN105&lt;27,Tabla1[[#This Row],[T.A. SISTOLICA (Entre semana 20 y 26)]]="",Tabla1[[#This Row],[T.A. DIATOLICA (Entre semana 20 y 26)]]=""),"ACUDE A CONTROL SEM 20 A 26 REGISTRE TA AHORA",IF(AND(BS105&gt;1,BS105&lt;27,BU105&gt;19,Tabla1[[#This Row],[T.A. SISTOLICA (Entre semana 20 y 26)]]="",Tabla1[[#This Row],[T.A. DIATOLICA (Entre semana 20 y 26)]]=""),"COMPLETE REGISTRO TA CONTROL SEM 20 A26 ",IF(AND(BS105&gt;26,BS105&lt;43,Tabla1[[#This Row],[T.A. SISTOLICA (Entre semana 20 y 26)]]="",Tabla1[[#This Row],[T.A. DIATOLICA (Entre semana 20 y 26)]]=""),"NO APLICA REGISTRO TA-INGRESO TARDIO",IF(AND(OR(O105&gt;0,R105&gt;0),OR(CU105&gt;=140,CV105&gt;=90)),"ALTO RIESGO PREECLAMPSIA,DEFINIR ESTADIO HTA",IF(AND(OR(O105&gt;0,R105&gt;0),AND(CU105&gt;120,CU105&lt;=139)),"PRE HTA SEGUIMIENTO,RIESGO HIPERTENSION INDUCIDA POR EL EMBARAZO",IF(AND(OR(O105&gt;0,R105&gt;0),AND(CV105&gt;80,CV105&lt;=89)),"PRE HTA SEGUIMIENTO, RIESGO HIPERTENSION INDUCIDA POR EL EMBARAZO",IF(AND(OR(O105&lt;&gt;"",R105&lt;&gt;""),CS105&lt;&gt;"",CV105&lt;&gt;"",CS105&lt;=CV105),"VIGILAR CIFRAS PRESION ARTERIAL",IF(AND(OR(O105&gt;0,R105&gt;0),AND(CU105&gt;120,CU105&lt;=139)),"PRE HTA SEGUIMIENTO",IF(AND(OR(O105&gt;0,R105&gt;0),AND(CU105&gt;1,CU105&lt;=70),AND(CV105&gt;1,CV105&lt;=40)),"HIPOTENSIÓN",IF(AND(OR(O105&lt;&gt;"",R105&lt;&gt;""),CS105&lt;&gt;"",CV105&lt;&gt;"",CS105&gt;CV105),"APARENTEMENTE NORMAL",IF(AND(OR(O105&gt;0,R105&gt;0),AND(CU105&gt;=80,CU105&lt;=120)),"APARENTEMENTE NORMAL",IF(AND(OR(O105&gt;0,R105&gt;0),AND(CV105&gt;=50,CV105&lt;=80)),"APARENTEMENTE NORMAL","")))))))))))))</f>
        <v>APARENTEMENTE NORMAL</v>
      </c>
      <c r="CX105" s="21"/>
      <c r="CY105" s="21"/>
      <c r="CZ105" s="216" t="str">
        <f t="shared" si="456"/>
        <v/>
      </c>
      <c r="DA105" s="21"/>
      <c r="DB105" s="21"/>
      <c r="DC105" s="217" t="str">
        <f t="shared" si="264"/>
        <v>REGISTRE DATO PRESIÓN ARTERIAL MENSUAL</v>
      </c>
      <c r="DD105" s="22">
        <v>44963</v>
      </c>
      <c r="DE105" s="22">
        <v>44963</v>
      </c>
      <c r="DF105" s="22">
        <v>44992</v>
      </c>
      <c r="DG105" s="22"/>
      <c r="DH105" s="22"/>
      <c r="DI105" s="22"/>
      <c r="DJ105" s="22"/>
      <c r="DK105" s="22"/>
      <c r="DL105" s="22"/>
      <c r="DM105" s="22"/>
      <c r="DN105" s="22"/>
      <c r="DO105" s="22"/>
      <c r="DP105" s="22"/>
      <c r="DQ105" s="22"/>
      <c r="DR105" s="28"/>
      <c r="DS105" s="22"/>
      <c r="DT105" s="22"/>
      <c r="DU105" s="216" t="str">
        <f t="shared" ca="1" si="438"/>
        <v>SALE SIN PLAN DE PARTO</v>
      </c>
      <c r="DV105" s="226" t="str">
        <f t="shared" si="439"/>
        <v>SALIO PROGRAMA</v>
      </c>
      <c r="DW10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5" s="216" t="str">
        <f t="shared" ca="1" si="266"/>
        <v/>
      </c>
      <c r="DY105" s="212">
        <f>IF(R105="","",IF(R105&gt;0,MAX(Tabla1[[#This Row],[FECHA C2]:[FECHA C13]],Tabla1[[#This Row],[FECHA CONSULTA PRIMERA VEZ PROGRAMA CPN ]])))</f>
        <v>44992</v>
      </c>
      <c r="DZ105" s="216">
        <f t="shared" si="267"/>
        <v>30</v>
      </c>
      <c r="EA105" s="222">
        <f>IF(R105&gt;0,SUM(COUNTA(DF105:DQ105)+COUNTA(Tabla1[[#This Row],[FECHA CONSULTA PRIMERA VEZ PROGRAMA CPN ]])),"")</f>
        <v>2</v>
      </c>
      <c r="EB105" s="222" t="str">
        <f t="shared" si="268"/>
        <v>NO</v>
      </c>
      <c r="EC105" s="214">
        <f t="shared" si="269"/>
        <v>5</v>
      </c>
      <c r="ED105" s="227">
        <f t="shared" si="270"/>
        <v>0.4</v>
      </c>
      <c r="EE105" s="22">
        <v>44963</v>
      </c>
      <c r="EF105" s="22">
        <v>44963</v>
      </c>
      <c r="EG105" s="22">
        <v>44963</v>
      </c>
      <c r="EH105" s="22"/>
      <c r="EI105" s="22">
        <v>44963</v>
      </c>
      <c r="EJ105" s="22"/>
      <c r="EK105" s="22"/>
      <c r="EL105" s="21"/>
      <c r="EM105" s="21"/>
      <c r="EN105" s="22"/>
      <c r="EO105" s="222" t="str">
        <f t="shared" si="271"/>
        <v>TOMAR EXAMEN</v>
      </c>
      <c r="EP105" s="214" t="str">
        <f t="shared" si="272"/>
        <v/>
      </c>
      <c r="EQ105" s="216" t="str">
        <f t="shared" si="273"/>
        <v>POR DEFINIR</v>
      </c>
      <c r="ER105" s="24"/>
      <c r="ES105" s="22"/>
      <c r="ET105" s="29" t="str">
        <f t="shared" ca="1" si="440"/>
        <v>SALE SIN TAMIZAJE HEMOGLOBINA SEM 28</v>
      </c>
      <c r="EU105" s="25" t="str">
        <f t="shared" si="275"/>
        <v/>
      </c>
      <c r="EV105" s="24"/>
      <c r="EW105" s="24"/>
      <c r="EX105" s="22"/>
      <c r="EY105" s="29" t="str">
        <f t="shared" si="453"/>
        <v>TOMAR EXAMEN</v>
      </c>
      <c r="EZ105" s="25" t="str">
        <f t="shared" ca="1" si="454"/>
        <v/>
      </c>
      <c r="FA105" s="21"/>
      <c r="FB105" s="22"/>
      <c r="FC105" s="29" t="str">
        <f t="shared" si="276"/>
        <v>PIERDE TOMA TAMIZAJE- INGRESO TARDIO</v>
      </c>
      <c r="FD105" s="29"/>
      <c r="FE105" s="29"/>
      <c r="FF105" s="29"/>
      <c r="FG105" s="21" t="str">
        <f t="shared" ca="1" si="277"/>
        <v/>
      </c>
      <c r="FH105" s="31"/>
      <c r="FI105" s="29" t="str">
        <f t="shared" si="278"/>
        <v>TOMAR EXAMEN</v>
      </c>
      <c r="FJ105" s="22"/>
      <c r="FK105" s="22"/>
      <c r="FL105" s="29" t="str">
        <f t="shared" ca="1" si="279"/>
        <v>NO APLICA-INGRESO TARDIO</v>
      </c>
      <c r="FM105" s="22"/>
      <c r="FN105" s="32"/>
      <c r="FO105" s="29" t="str">
        <f t="shared" ca="1" si="441"/>
        <v>PIERDE TOMA DE TAMIZAJE</v>
      </c>
      <c r="FP105" s="22"/>
      <c r="FQ105" s="32"/>
      <c r="FR105" s="29" t="str">
        <f t="shared" ca="1" si="442"/>
        <v>PIERDE TOMA DE TAMIZAJE</v>
      </c>
      <c r="FS105" s="22"/>
      <c r="FT105" s="32"/>
      <c r="FU105" s="29" t="str">
        <f>IF(AND(FJ105="",FM105="",FP105="",FS105=""),"",IF(OR(OR(Tabla1[[#This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5" s="28"/>
      <c r="FW105" s="22"/>
      <c r="FX105" s="29" t="str">
        <f t="shared" si="280"/>
        <v>TOMAR EXAMEN</v>
      </c>
      <c r="FY105" s="22" t="s">
        <v>1315</v>
      </c>
      <c r="FZ105" s="22" t="s">
        <v>1315</v>
      </c>
      <c r="GA105" s="29" t="e">
        <f t="shared" si="452"/>
        <v>#VALUE!</v>
      </c>
      <c r="GB105" s="22"/>
      <c r="GC105" s="22"/>
      <c r="GD105" s="29" t="str">
        <f t="shared" ca="1" si="443"/>
        <v>PIERDE TOMA DE TAMIZAJE</v>
      </c>
      <c r="GE105" s="22"/>
      <c r="GF105" s="22"/>
      <c r="GG105" s="29" t="str">
        <f t="shared" ca="1" si="444"/>
        <v>PIERDE TOMA DE TAMIZAJE</v>
      </c>
      <c r="GH105" s="22"/>
      <c r="GI105" s="29"/>
      <c r="GJ105" s="22"/>
      <c r="GK105" s="22"/>
      <c r="GL105" s="22"/>
      <c r="GM105" s="22"/>
      <c r="GN105" s="28"/>
      <c r="GO105" s="22"/>
      <c r="GP105" s="29" t="str">
        <f t="shared" si="283"/>
        <v>TOMAR EXAMEN</v>
      </c>
      <c r="GQ105" s="28"/>
      <c r="GR105" s="28"/>
      <c r="GS105" s="22" t="str">
        <f t="shared" si="457"/>
        <v/>
      </c>
      <c r="GT105" s="22"/>
      <c r="GU105" s="29" t="str">
        <f t="shared" si="285"/>
        <v>TOMAR EXAMEN</v>
      </c>
      <c r="GV105" s="21" t="str">
        <f t="shared" si="286"/>
        <v>POR DEFINIR</v>
      </c>
      <c r="GW105" s="28"/>
      <c r="GX105" s="30"/>
      <c r="GY105" s="21"/>
      <c r="GZ105" s="21"/>
      <c r="HA105" s="21"/>
      <c r="HB105" s="21"/>
      <c r="HC105" s="21"/>
      <c r="HD105" s="21"/>
      <c r="HE105" s="21"/>
      <c r="HF105" s="22"/>
      <c r="HG105" s="22" t="str">
        <f>IF(OR(O105&gt;0,R105&gt;0),CONCATENATE(IF(Tabla1[[#This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5" s="22" t="e">
        <f t="shared" si="287"/>
        <v>#REF!</v>
      </c>
      <c r="HI105" s="22" t="e">
        <f t="shared" ca="1" si="288"/>
        <v>#REF!</v>
      </c>
      <c r="HJ105" s="21"/>
      <c r="HK105" s="21" t="str">
        <f t="shared" si="289"/>
        <v>SIN ANTECEDENTES DE RIESGO</v>
      </c>
      <c r="HL105" s="24" t="str">
        <f t="shared" si="290"/>
        <v>REGISTRE DATO PRESIÓN ARTERIAL MENSUAL</v>
      </c>
      <c r="HM105" s="21" t="str">
        <f t="shared" ca="1" si="291"/>
        <v/>
      </c>
      <c r="HN105" s="30" t="str">
        <f t="shared" si="445"/>
        <v>SALIO PROGRAMA</v>
      </c>
      <c r="HO105" s="21"/>
      <c r="HP105" s="21"/>
      <c r="HQ105" s="21"/>
      <c r="HR105" s="21" t="str">
        <f>IF(R105="","",IF(Tabla1[[#This Row],[ALARMA FACTORES DE RIESGO COMPLICACIONES HIPERTENSIVAS3]]="SIN ANTECEDENTES DE RIESGO","No Aplica para suministro de ASA",IF(AND(Tabla1[[#This Row],[FECHA INICIO DE SUMINISTRO DE ASA]]&gt;0,RV105&lt;12),"Inicia ASA ANTES de Sem 12",IF(AND(RV105&gt;11,RV105&lt;17,OR(HK105="RIESGO ALTO DE COMPLICACIONES HIPERTENSIVAS VER MANEJO GUIA SUMINISTRO ASA Y CALCIO",HK105="RIESGO MODERADO (2 O MAS CRITERIOS) VER MANEJO GUIA SUMINISTRO ASA Y CALCIO")),"Inicio oportuno de ASA",IF(AND(RV105&gt;12,OR(HK105="RIESGO ALTO DE COMPLICACIONES HIPERTENSIVAS VER MANEJO GUIA SUMINISTRO ASA Y CALCIO",HK105="RIESGO MODERADO (2 O MAS CRITERIOS) VER MANEJO GUIA SUMINISTRO ASA Y CALCIO")),"Inicio no oportuno mayor a 16 semanas",IF(AND(BU105&lt;12,OR(HK105="RIESGO ALTO DE COMPLICACIONES HIPERTENSIVAS VER MANEJO GUIA SUMINISTRO ASA Y CALCIO",HK105="RIESGO MODERADO (2 O MAS CRITERIOS) VER MANEJO GUIA SUMINISTRO ASA Y CALCIO")),"Pendiente Inicio de ASA a la semana 12",IF(AND(BU105&gt;11,BU105&lt;17,OR(HK105="RIESGO ALTO DE COMPLICACIONES HIPERTENSIVAS VER MANEJO GUIA SUMINISTRO ASA Y CALCIO",HK105="RIESGO MODERADO (2 O MAS CRITERIOS) VER MANEJO GUIA SUMINISTRO ASA Y CALCIO")),"Iniciar de inmediato ASA",IF(AND(BU105&gt;16,OR(HK105="RIESGO ALTO DE COMPLICACIONES HIPERTENSIVAS VER MANEJO GUIA SUMINISTRO ASA Y CALCIO",HK105="RIESGO MODERADO (2 O MAS CRITERIOS) VER MANEJO GUIA SUMINISTRO ASA Y CALCIO")),"Pierde Oportunidad, Inicio tardío de ASA","XXXXX"))))))))</f>
        <v>No Aplica para suministro de ASA</v>
      </c>
      <c r="HS105" s="22"/>
      <c r="HT105" s="22"/>
      <c r="HU105" s="22"/>
      <c r="HV105" s="22"/>
      <c r="HW105" s="22"/>
      <c r="HX105" s="22"/>
      <c r="HY105" s="22"/>
      <c r="HZ105" s="28" t="str">
        <f t="shared" si="292"/>
        <v>PENDIENTE CONSULTA</v>
      </c>
      <c r="IA105" s="26"/>
      <c r="IB105" s="26"/>
      <c r="IC105" s="111"/>
      <c r="ID105" s="22"/>
      <c r="IE105" s="22" t="str">
        <f t="shared" ca="1" si="293"/>
        <v>SALE SIN VACUNA</v>
      </c>
      <c r="IF105" s="22"/>
      <c r="IG105" s="22">
        <f t="shared" si="294"/>
        <v>45057</v>
      </c>
      <c r="IH105" s="29">
        <f t="shared" ca="1" si="295"/>
        <v>-176</v>
      </c>
      <c r="II105" s="22" t="str">
        <f t="shared" ca="1" si="296"/>
        <v>POSIBLEMENTE NACIO</v>
      </c>
      <c r="IJ105" s="22"/>
      <c r="IK105" s="21" t="s">
        <v>898</v>
      </c>
      <c r="IL105" s="21"/>
      <c r="IM105" s="34"/>
      <c r="IN105" s="349">
        <v>45071</v>
      </c>
      <c r="IO105" s="21" t="s">
        <v>1640</v>
      </c>
      <c r="IP105" s="29">
        <f t="shared" si="435"/>
        <v>42</v>
      </c>
      <c r="IQ105" s="110"/>
      <c r="IR105" s="21" t="s">
        <v>879</v>
      </c>
      <c r="IS105" s="21" t="s">
        <v>1641</v>
      </c>
      <c r="IT105" s="21" t="s">
        <v>1642</v>
      </c>
      <c r="IU105" s="21"/>
      <c r="IV105" s="21"/>
      <c r="IW105" s="21"/>
      <c r="IX105" s="21"/>
      <c r="IY105" s="21"/>
      <c r="IZ105" s="21"/>
      <c r="JA105" s="21"/>
      <c r="JB105" s="30">
        <v>1</v>
      </c>
      <c r="JC105" s="21" t="s">
        <v>1647</v>
      </c>
      <c r="JD105" s="36">
        <v>3400</v>
      </c>
      <c r="JE105" s="21" t="str">
        <f t="shared" si="446"/>
        <v>PESO ADECUADO EDAD GESTACIONAL</v>
      </c>
      <c r="JF105" s="30"/>
      <c r="JG105" s="21"/>
      <c r="JH105" s="21"/>
      <c r="JI105" s="21"/>
      <c r="JJ105" s="30"/>
      <c r="JK105" s="22"/>
      <c r="JL105" s="22"/>
      <c r="JM105" s="21"/>
      <c r="JN105" s="36"/>
      <c r="JO105" s="21" t="str">
        <f t="shared" si="447"/>
        <v/>
      </c>
      <c r="JP105" s="22"/>
      <c r="JQ105" s="21"/>
      <c r="JR105" s="21"/>
      <c r="JS105" s="21"/>
      <c r="JT105" s="30"/>
      <c r="JU105" s="22"/>
      <c r="JV105" s="22"/>
      <c r="JW105" s="33"/>
      <c r="JX105" s="28" t="str">
        <f t="shared" si="448"/>
        <v>INASISTENTE</v>
      </c>
      <c r="JY105" s="33"/>
      <c r="JZ105" s="28" t="str">
        <f t="shared" si="449"/>
        <v>INASISTENTE</v>
      </c>
      <c r="KA105" s="21"/>
      <c r="KB105" s="21"/>
      <c r="KC105" s="21"/>
      <c r="KD105" s="37"/>
      <c r="KE105" s="28"/>
      <c r="KF105" s="28"/>
      <c r="KG105" s="28"/>
      <c r="KH105" s="39"/>
      <c r="KI105" s="39"/>
      <c r="KJ105" s="66"/>
      <c r="KK105" s="39"/>
      <c r="KL105" s="39"/>
      <c r="KM105" s="66"/>
      <c r="KN105" s="39"/>
      <c r="KO105" s="39"/>
      <c r="KP105" s="39"/>
      <c r="KQ105" s="39"/>
      <c r="KR105" s="39"/>
      <c r="KS105" s="39"/>
      <c r="KT105" s="39"/>
      <c r="KU105" s="38"/>
      <c r="KV105" s="38"/>
      <c r="KW105" s="38"/>
      <c r="KX105" s="38"/>
      <c r="KY105" s="38"/>
      <c r="KZ105" s="38"/>
      <c r="LA105" s="38"/>
      <c r="LB105" s="38"/>
      <c r="LC105" s="38"/>
      <c r="LD105" s="38"/>
      <c r="LE105" s="38"/>
      <c r="LF105" s="38"/>
      <c r="LG105" s="38"/>
      <c r="LH105" s="38"/>
      <c r="LI105" s="38"/>
      <c r="LJ105" s="38"/>
      <c r="LK105" s="38"/>
      <c r="LL105" s="38"/>
      <c r="LM105" s="38"/>
      <c r="LN105" s="38"/>
      <c r="LO105" s="38"/>
      <c r="LP105" s="38"/>
      <c r="LQ105" s="38"/>
      <c r="LR105" s="38"/>
      <c r="LS105" s="38"/>
      <c r="LT105" s="38"/>
      <c r="LU105" s="38"/>
      <c r="LV105" s="38"/>
      <c r="LW105" s="38"/>
      <c r="LX105" s="38"/>
      <c r="LY105" s="38"/>
      <c r="LZ105" s="38"/>
      <c r="MA105" s="38"/>
      <c r="MB105" s="38"/>
      <c r="MC105" s="38"/>
      <c r="MD105" s="38"/>
      <c r="ME105" s="38"/>
      <c r="MF105" s="38"/>
      <c r="MG105" s="38"/>
      <c r="MH105" s="43">
        <f t="shared" si="458"/>
        <v>0</v>
      </c>
      <c r="MI105" s="43" t="str">
        <f t="shared" si="459"/>
        <v/>
      </c>
      <c r="MJ105" s="43" t="str">
        <f t="shared" si="460"/>
        <v/>
      </c>
      <c r="MK105" s="43">
        <f t="shared" si="461"/>
        <v>0</v>
      </c>
      <c r="ML1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5" s="43">
        <f t="shared" si="462"/>
        <v>26.571428571428573</v>
      </c>
      <c r="MN105" s="43">
        <f t="shared" si="463"/>
        <v>2</v>
      </c>
      <c r="MO105" s="43">
        <f t="shared" si="464"/>
        <v>2023</v>
      </c>
      <c r="MP105" s="43" t="str">
        <f t="shared" si="465"/>
        <v>I TRIMESTRE AÑO</v>
      </c>
      <c r="MQ105" s="43">
        <f t="shared" si="466"/>
        <v>19.319426193604905</v>
      </c>
      <c r="MR105" s="43">
        <f t="shared" si="467"/>
        <v>0</v>
      </c>
      <c r="MS105" s="43" t="str">
        <f t="shared" si="468"/>
        <v>DE 14 A 19AÑOS</v>
      </c>
      <c r="MT105" s="43">
        <f t="shared" si="469"/>
        <v>0</v>
      </c>
      <c r="MU105" s="43">
        <f t="shared" si="470"/>
        <v>1</v>
      </c>
      <c r="MV105" s="43">
        <f t="shared" si="471"/>
        <v>0</v>
      </c>
      <c r="MW105" s="43">
        <f t="shared" si="472"/>
        <v>0</v>
      </c>
      <c r="MX105" s="43" t="str">
        <f t="shared" si="473"/>
        <v/>
      </c>
      <c r="MY105" s="43" t="str">
        <f t="shared" ca="1" si="450"/>
        <v/>
      </c>
      <c r="MZ105" s="43" t="str">
        <f t="shared" si="474"/>
        <v/>
      </c>
      <c r="NA105" s="43" t="str">
        <f t="shared" si="475"/>
        <v/>
      </c>
      <c r="NB105" s="43" t="str">
        <f t="shared" si="476"/>
        <v/>
      </c>
      <c r="NC105" s="43" t="str">
        <f t="shared" si="477"/>
        <v/>
      </c>
      <c r="ND105" s="43">
        <f t="shared" ca="1" si="478"/>
        <v>3</v>
      </c>
      <c r="NE105" s="43">
        <f>IF(OR(O105&gt;0,R105&gt;0),SUM(COUNTIF(Tabla1[[#This Row],[AÑOS AL INICIO5 CPN]],"&gt;=40"),COUNTIF(AS105,"0"),COUNTIF(AR105,"SI"),COUNTIF(CC105,"SI"),COUNTIF(BQ105,"&gt;119"),COUNTIF(CI105,"&gt;=35")),"")</f>
        <v>0</v>
      </c>
      <c r="NF105" s="43" t="str">
        <f t="shared" si="479"/>
        <v/>
      </c>
      <c r="NG105" s="43">
        <f t="shared" si="480"/>
        <v>0</v>
      </c>
      <c r="NH105" s="43">
        <f t="shared" si="481"/>
        <v>217.70000000000002</v>
      </c>
      <c r="NI10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CPN",P105="NO"),"Z",IF(AND(Tabla1[[#This Row],[CITA PROXIMO CONTROL]]="CITA MANUAL",Tabla1[[#This Row],[GESTANTES ACTUALES]]="ACTIVA INGRESO A CPN"),"W",IF(AND(Tabla1[[#This Row],[GESTANTES ACTUALES]]="SALIO PROGRAMA",IN105=""),"S",IF(AND(Tabla1[[#This Row],[CITA PROXIMO CONTROL]]&gt;0,IN105=""),(Tabla1[[#This Row],[CITA PROXIMO CONTROL]]-TODAY()),"SD"))))))))</f>
        <v>SD</v>
      </c>
      <c r="NJ105" s="43">
        <f>MONTH(Tabla1[[#This Row],[FECHA DE SALIDA  DEL PROGRAMA]])</f>
        <v>5</v>
      </c>
      <c r="NK105" s="43">
        <f>YEAR(Tabla1[[#This Row],[FECHA DE SALIDA  DEL PROGRAMA]])</f>
        <v>2023</v>
      </c>
      <c r="NL105" s="43" t="str">
        <f t="shared" si="482"/>
        <v>X</v>
      </c>
      <c r="NM105" s="43" t="str">
        <f t="shared" si="455"/>
        <v>NO</v>
      </c>
      <c r="NN105" s="43" t="str">
        <f ca="1">IF(AND(O105&gt;0,R105=""),"NO CPN",IF(AND(O105="",R105=""),"",IF(AND(R105&gt;0,Tabla1[[#This Row],[SEMANAS DE GESTACION ACTUALIZADAS]]&lt;=12),"NO APLICA",IF(AND(FH105&lt;&gt;"",FN105&lt;&gt;""),"SI","NO"))))</f>
        <v>NO</v>
      </c>
      <c r="NO105" s="43" t="str">
        <f ca="1">IF(AND(O105&gt;0,R105=""),"NO CPN",IF(AND(O105="",R105=""),"",IF(AND(R105&gt;0,Tabla1[[#This Row],[SEMANAS DE GESTACION ACTUALIZADAS]]&lt;=27),"NO APLICA",IF(AND(ES105&lt;&gt;"",FQ105&lt;&gt;"",GF105&lt;&gt;""),"SI","NO"))))</f>
        <v>NO</v>
      </c>
      <c r="NP105" s="204" t="str">
        <f t="shared" si="483"/>
        <v>II TRIM</v>
      </c>
      <c r="NQ105" s="21" t="str">
        <f t="shared" si="436"/>
        <v/>
      </c>
      <c r="NR105" s="21">
        <f t="shared" si="451"/>
        <v>2</v>
      </c>
      <c r="NS105" s="205">
        <f t="shared" ca="1" si="484"/>
        <v>0</v>
      </c>
      <c r="NT105" s="21">
        <f t="shared" ca="1" si="485"/>
        <v>0</v>
      </c>
      <c r="NU105" s="21" t="str">
        <f t="shared" ca="1" si="486"/>
        <v>INCOMPLETO</v>
      </c>
      <c r="NV105" s="21" t="str">
        <f t="shared" ca="1" si="487"/>
        <v>INCOMPLETO</v>
      </c>
      <c r="NW105" s="206" t="str">
        <f>IF(AND(O105="",R105=""),"",IF(OR(AND(Tabla1[[#This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05" s="207" t="str">
        <f t="shared" ca="1" si="488"/>
        <v>SIN VACUNAR</v>
      </c>
      <c r="NY105" s="43">
        <f>ROW(Tabla1[[#This Row],['# DE TAMIZAJES SIFILIS TOMADOS ]])</f>
        <v>105</v>
      </c>
      <c r="NZ105" s="43">
        <f t="shared" si="333"/>
        <v>26</v>
      </c>
      <c r="OA105" s="43" t="str">
        <f t="shared" si="334"/>
        <v/>
      </c>
      <c r="OB105" s="43" t="str">
        <f t="shared" si="335"/>
        <v/>
      </c>
      <c r="OC105" s="43" t="str">
        <f t="shared" si="336"/>
        <v/>
      </c>
      <c r="OD105" s="43" t="str">
        <f t="shared" si="337"/>
        <v/>
      </c>
      <c r="OE105" s="43" t="str">
        <f t="shared" si="338"/>
        <v/>
      </c>
      <c r="OF105" s="43" t="str">
        <f t="shared" si="339"/>
        <v/>
      </c>
      <c r="OG105" s="43" t="str">
        <f t="shared" si="340"/>
        <v/>
      </c>
      <c r="OH105" s="43" t="str">
        <f t="shared" si="341"/>
        <v/>
      </c>
      <c r="OI105" s="43" t="str">
        <f t="shared" si="342"/>
        <v/>
      </c>
      <c r="OJ105" s="43" t="str">
        <f t="shared" si="343"/>
        <v/>
      </c>
      <c r="OK105" s="43" t="str">
        <f t="shared" si="344"/>
        <v/>
      </c>
      <c r="OL105" s="43" t="str">
        <f t="shared" si="345"/>
        <v/>
      </c>
      <c r="OM105" s="43" t="str">
        <f t="shared" si="346"/>
        <v/>
      </c>
      <c r="ON105" s="43" t="str">
        <f t="shared" si="347"/>
        <v/>
      </c>
      <c r="OO105" s="43" t="str">
        <f t="shared" si="348"/>
        <v/>
      </c>
      <c r="OP105" s="43" t="str">
        <f t="shared" si="349"/>
        <v/>
      </c>
      <c r="OQ105" s="43" t="str">
        <f t="shared" si="350"/>
        <v/>
      </c>
      <c r="OR105" s="43" t="str">
        <f t="shared" si="351"/>
        <v/>
      </c>
      <c r="OS105" s="43" t="str">
        <f t="shared" si="352"/>
        <v/>
      </c>
      <c r="OT105" s="43" t="str">
        <f t="shared" si="353"/>
        <v/>
      </c>
      <c r="OU105" s="43" t="str">
        <f t="shared" si="354"/>
        <v/>
      </c>
      <c r="OV105" s="110" t="str">
        <f t="shared" si="355"/>
        <v/>
      </c>
      <c r="OW105" s="43" t="str">
        <f t="shared" si="356"/>
        <v/>
      </c>
      <c r="OX105" s="43" t="str">
        <f t="shared" si="357"/>
        <v/>
      </c>
      <c r="OY105" s="43" t="str">
        <f t="shared" si="358"/>
        <v/>
      </c>
      <c r="OZ105" s="43" t="str">
        <f t="shared" si="359"/>
        <v/>
      </c>
      <c r="PA105" s="43" t="str">
        <f t="shared" si="360"/>
        <v/>
      </c>
      <c r="PB105" s="43" t="str">
        <f t="shared" si="361"/>
        <v/>
      </c>
      <c r="PC105" s="43" t="str">
        <f t="shared" si="362"/>
        <v/>
      </c>
      <c r="PD105" s="43" t="str">
        <f t="shared" si="363"/>
        <v/>
      </c>
      <c r="PE105" s="43" t="str">
        <f t="shared" si="364"/>
        <v/>
      </c>
      <c r="PF105" s="43" t="str">
        <f t="shared" si="365"/>
        <v/>
      </c>
      <c r="PG105" s="43" t="str">
        <f t="shared" si="366"/>
        <v/>
      </c>
      <c r="PH105" s="43" t="str">
        <f t="shared" si="367"/>
        <v/>
      </c>
      <c r="PI105" s="43">
        <f t="shared" si="368"/>
        <v>30</v>
      </c>
      <c r="PJ105" s="43" t="str">
        <f t="shared" si="369"/>
        <v/>
      </c>
      <c r="PK105" s="43" t="str">
        <f t="shared" si="370"/>
        <v/>
      </c>
      <c r="PL105" s="43" t="str">
        <f t="shared" si="371"/>
        <v/>
      </c>
      <c r="PM105" s="43" t="str">
        <f t="shared" si="372"/>
        <v/>
      </c>
      <c r="PN105" s="43" t="str">
        <f t="shared" si="373"/>
        <v/>
      </c>
      <c r="PO105" s="43" t="str">
        <f t="shared" si="374"/>
        <v/>
      </c>
      <c r="PP105" s="43" t="str">
        <f t="shared" si="375"/>
        <v/>
      </c>
      <c r="PQ105" s="43" t="str">
        <f t="shared" si="376"/>
        <v/>
      </c>
      <c r="PR105" s="43" t="str">
        <f t="shared" si="377"/>
        <v/>
      </c>
      <c r="PS105" s="43" t="str">
        <f t="shared" si="378"/>
        <v/>
      </c>
      <c r="PT105" s="43" t="str">
        <f t="shared" si="379"/>
        <v/>
      </c>
      <c r="PU105" s="43" t="str">
        <f t="shared" si="380"/>
        <v/>
      </c>
      <c r="PV105" s="43" t="str">
        <f t="shared" si="381"/>
        <v/>
      </c>
      <c r="PW105" s="43" t="str">
        <f t="shared" si="382"/>
        <v/>
      </c>
      <c r="PX105" s="43" t="str">
        <f t="shared" si="383"/>
        <v/>
      </c>
      <c r="PY105" s="43" t="str">
        <f t="shared" si="384"/>
        <v/>
      </c>
      <c r="PZ105" s="43" t="str">
        <f t="shared" si="385"/>
        <v/>
      </c>
      <c r="QA105" s="43" t="str">
        <f t="shared" si="386"/>
        <v/>
      </c>
      <c r="QB105" s="43" t="str">
        <f t="shared" si="387"/>
        <v/>
      </c>
      <c r="QC105" s="43" t="str">
        <f t="shared" si="388"/>
        <v/>
      </c>
      <c r="QD105" s="43" t="str">
        <f t="shared" si="389"/>
        <v/>
      </c>
      <c r="QE105" s="43" t="str">
        <f t="shared" si="390"/>
        <v/>
      </c>
      <c r="QF105" s="43" t="str">
        <f t="shared" si="391"/>
        <v/>
      </c>
      <c r="QG105" s="43" t="str">
        <f t="shared" si="392"/>
        <v/>
      </c>
      <c r="QH105" s="43" t="str">
        <f t="shared" si="393"/>
        <v/>
      </c>
      <c r="QI105" s="43" t="str">
        <f t="shared" si="394"/>
        <v/>
      </c>
      <c r="QJ105" s="43" t="str">
        <f t="shared" si="395"/>
        <v/>
      </c>
      <c r="QK105" s="43" t="str">
        <f t="shared" si="396"/>
        <v/>
      </c>
      <c r="QL105" s="43" t="str">
        <f t="shared" si="397"/>
        <v/>
      </c>
      <c r="QM105" s="43" t="str">
        <f t="shared" si="398"/>
        <v/>
      </c>
      <c r="QN105" s="43" t="str">
        <f t="shared" si="399"/>
        <v/>
      </c>
      <c r="QO105" s="43" t="str">
        <f t="shared" si="400"/>
        <v/>
      </c>
      <c r="QP105" s="43" t="str">
        <f t="shared" si="401"/>
        <v/>
      </c>
      <c r="QQ105" s="43" t="str">
        <f t="shared" si="402"/>
        <v/>
      </c>
      <c r="QR105" s="43">
        <f t="shared" si="432"/>
        <v>30</v>
      </c>
      <c r="QS105" s="43"/>
      <c r="QT105" s="21" t="str">
        <f t="shared" si="403"/>
        <v/>
      </c>
      <c r="QU105" s="21" t="str">
        <f t="shared" si="404"/>
        <v/>
      </c>
      <c r="QV105" s="21" t="str">
        <f t="shared" si="405"/>
        <v/>
      </c>
      <c r="QW105" s="21" t="str">
        <f t="shared" si="406"/>
        <v/>
      </c>
      <c r="QX105" s="21" t="str">
        <f t="shared" si="407"/>
        <v/>
      </c>
      <c r="QY105" s="21" t="str">
        <f t="shared" si="408"/>
        <v/>
      </c>
      <c r="QZ105" s="21" t="str">
        <f t="shared" si="409"/>
        <v/>
      </c>
      <c r="RA105" s="21" t="str">
        <f t="shared" si="410"/>
        <v/>
      </c>
      <c r="RB105" s="21" t="str">
        <f t="shared" si="411"/>
        <v/>
      </c>
      <c r="RC105" s="21" t="str">
        <f t="shared" si="412"/>
        <v/>
      </c>
      <c r="RD105" s="21" t="str">
        <f t="shared" si="413"/>
        <v/>
      </c>
      <c r="RE105" s="21" t="str">
        <f t="shared" si="414"/>
        <v/>
      </c>
      <c r="RF105" s="21" t="str">
        <f t="shared" si="415"/>
        <v/>
      </c>
      <c r="RG105" s="21" t="str">
        <f t="shared" si="416"/>
        <v/>
      </c>
      <c r="RH105" s="21" t="str">
        <f t="shared" si="417"/>
        <v/>
      </c>
      <c r="RI105" s="21" t="str">
        <f t="shared" si="418"/>
        <v/>
      </c>
      <c r="RJ105" s="21" t="str">
        <f t="shared" si="419"/>
        <v/>
      </c>
      <c r="RK105" s="21" t="str">
        <f t="shared" si="420"/>
        <v/>
      </c>
      <c r="RL105" s="21" t="str">
        <f t="shared" si="421"/>
        <v/>
      </c>
      <c r="RM105" s="21" t="str">
        <f t="shared" si="422"/>
        <v/>
      </c>
      <c r="RN105" s="21" t="str">
        <f t="shared" si="423"/>
        <v/>
      </c>
      <c r="RO105" s="21" t="str">
        <f t="shared" si="424"/>
        <v/>
      </c>
      <c r="RP105" s="21" t="str">
        <f t="shared" si="425"/>
        <v/>
      </c>
      <c r="RQ105" s="21" t="str">
        <f t="shared" si="426"/>
        <v/>
      </c>
      <c r="RR105" s="21" t="str">
        <f t="shared" si="427"/>
        <v/>
      </c>
      <c r="RS105" s="21" t="str">
        <f t="shared" si="428"/>
        <v/>
      </c>
      <c r="RT105" s="21" t="str">
        <f t="shared" si="429"/>
        <v/>
      </c>
      <c r="RU105" s="21" t="str">
        <f t="shared" si="430"/>
        <v/>
      </c>
      <c r="RV105" s="21">
        <f t="shared" si="431"/>
        <v>-1</v>
      </c>
      <c r="RW105" s="284">
        <f>IF(OR(Tabla1[[#This Row],[FUM FORMULA CONFIABLE]]="",Tabla1[[#This Row],[FUM FORMULA CONFIABLE]]="SD"),"",IF(Tabla1[[#This Row],[FUM FORMULA CONFIABLE]]="CORREGIDA",Tabla1[[#This Row],[FUM X ECO 1]],Tabla1[[#This Row],[FUM x AMENORREA]]))</f>
        <v>44777</v>
      </c>
      <c r="RX105" s="21">
        <f>IF(AND(Tabla1[[#This Row],[FUM X ECO 1]]="",Tabla1[[#This Row],[FUM x AMENORREA]]=""),"",IF(AND(Tabla1[[#This Row],[FUM X ECO 1]]="",Tabla1[[#This Row],[FUM x AMENORREA]]&lt;&gt;""),"X",SUM(Tabla1[[#This Row],[FUM X ECO 1]]-Tabla1[[#This Row],[FUM x AMENORREA]])))</f>
        <v>-211.69999999999709</v>
      </c>
      <c r="RY105" s="21">
        <f t="shared" si="433"/>
        <v>1</v>
      </c>
    </row>
    <row r="106" spans="1:493" ht="45" customHeight="1" x14ac:dyDescent="0.25">
      <c r="A106" s="109"/>
      <c r="B106" s="43"/>
      <c r="C106" s="43" t="s">
        <v>845</v>
      </c>
      <c r="D106" s="124"/>
      <c r="E106" s="43" t="s">
        <v>953</v>
      </c>
      <c r="F106" s="43" t="s">
        <v>1316</v>
      </c>
      <c r="G106" s="43" t="s">
        <v>1317</v>
      </c>
      <c r="H106" s="43" t="s">
        <v>1028</v>
      </c>
      <c r="I106" s="109" t="s">
        <v>851</v>
      </c>
      <c r="J106" s="110">
        <v>1059594373</v>
      </c>
      <c r="K106" s="43" t="s">
        <v>852</v>
      </c>
      <c r="L106" s="175" t="s">
        <v>1509</v>
      </c>
      <c r="M106" s="22">
        <v>37960</v>
      </c>
      <c r="N106" s="213">
        <f t="shared" ca="1" si="252"/>
        <v>19.926027397260274</v>
      </c>
      <c r="O106" s="22">
        <v>44966</v>
      </c>
      <c r="P106" s="214" t="str">
        <f t="shared" si="437"/>
        <v>SI</v>
      </c>
      <c r="Q106" s="26" t="s">
        <v>855</v>
      </c>
      <c r="R106" s="22">
        <v>44966</v>
      </c>
      <c r="S106" s="21" t="s">
        <v>856</v>
      </c>
      <c r="T106" s="24" t="s">
        <v>690</v>
      </c>
      <c r="U106" s="21" t="s">
        <v>857</v>
      </c>
      <c r="V106" s="21" t="s">
        <v>858</v>
      </c>
      <c r="W106" s="21" t="s">
        <v>1044</v>
      </c>
      <c r="X106" s="21" t="s">
        <v>1044</v>
      </c>
      <c r="Y106" s="21" t="s">
        <v>859</v>
      </c>
      <c r="Z106" s="21">
        <v>3167373488</v>
      </c>
      <c r="AA106" s="21" t="s">
        <v>860</v>
      </c>
      <c r="AB106" s="27" t="s">
        <v>861</v>
      </c>
      <c r="AC106" s="26" t="s">
        <v>888</v>
      </c>
      <c r="AD106" s="38" t="s">
        <v>1546</v>
      </c>
      <c r="AE106" s="26" t="s">
        <v>854</v>
      </c>
      <c r="AF106" s="26" t="s">
        <v>854</v>
      </c>
      <c r="AG106" s="23" t="s">
        <v>864</v>
      </c>
      <c r="AH106" s="23" t="s">
        <v>864</v>
      </c>
      <c r="AI106" s="24" t="s">
        <v>863</v>
      </c>
      <c r="AJ106" s="23" t="s">
        <v>864</v>
      </c>
      <c r="AK106" s="220" t="str">
        <f>IF(AND(AD106="",AE106="",AF106="",AG106="",AH106="",AI106="",AJ106=""),"",IF(OR(Tabla1[[#This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EVALUACIÓN",IF(AND(O106="",R106=""),"",IF(AND(OR(O106&gt;0,R106&gt;0),NG106&gt;=0,NG106&lt;2),"SIN RIESGO",IF(AND(OR(O106&gt;0,R106&gt;0),NG106&gt;=2),"CON RIESGO","ASD")))))</f>
        <v>SIN RIESGO</v>
      </c>
      <c r="AL106" s="23" t="s">
        <v>864</v>
      </c>
      <c r="AM106" s="26" t="s">
        <v>864</v>
      </c>
      <c r="AN106" s="26" t="s">
        <v>864</v>
      </c>
      <c r="AO106" s="26" t="s">
        <v>864</v>
      </c>
      <c r="AP106" s="26" t="s">
        <v>864</v>
      </c>
      <c r="AQ106" s="26" t="s">
        <v>864</v>
      </c>
      <c r="AR106" s="26" t="s">
        <v>864</v>
      </c>
      <c r="AS106" s="21">
        <v>1</v>
      </c>
      <c r="AT106" s="21">
        <v>0</v>
      </c>
      <c r="AU106" s="21">
        <v>0</v>
      </c>
      <c r="AV106" s="26" t="s">
        <v>864</v>
      </c>
      <c r="AW106" s="21">
        <v>0</v>
      </c>
      <c r="AX106" s="26" t="s">
        <v>864</v>
      </c>
      <c r="AY106" s="26" t="s">
        <v>864</v>
      </c>
      <c r="AZ106" s="26" t="s">
        <v>864</v>
      </c>
      <c r="BA106" s="26" t="s">
        <v>864</v>
      </c>
      <c r="BB106" s="26" t="s">
        <v>864</v>
      </c>
      <c r="BC106" s="26" t="s">
        <v>864</v>
      </c>
      <c r="BD106" s="26" t="s">
        <v>864</v>
      </c>
      <c r="BE106" s="26" t="s">
        <v>864</v>
      </c>
      <c r="BF106" s="26" t="s">
        <v>864</v>
      </c>
      <c r="BG106" s="26" t="s">
        <v>864</v>
      </c>
      <c r="BH106" s="26" t="s">
        <v>864</v>
      </c>
      <c r="BI106" s="26" t="s">
        <v>864</v>
      </c>
      <c r="BJ106" s="26" t="s">
        <v>864</v>
      </c>
      <c r="BK106" s="26" t="s">
        <v>864</v>
      </c>
      <c r="BL106" s="26" t="s">
        <v>864</v>
      </c>
      <c r="BM106" s="26" t="s">
        <v>864</v>
      </c>
      <c r="BN106" s="22"/>
      <c r="BO106" s="22">
        <v>44917</v>
      </c>
      <c r="BP106" s="21" t="s">
        <v>854</v>
      </c>
      <c r="BQ106" s="222">
        <f t="shared" si="254"/>
        <v>0</v>
      </c>
      <c r="BR106" s="223">
        <f t="shared" si="255"/>
        <v>44922.9</v>
      </c>
      <c r="BS106" s="224">
        <f t="shared" si="256"/>
        <v>7</v>
      </c>
      <c r="BT106" s="216" t="str">
        <f t="shared" si="257"/>
        <v>I TRIM</v>
      </c>
      <c r="BU106" s="214" t="str">
        <f t="shared" ca="1" si="258"/>
        <v/>
      </c>
      <c r="BV106" s="25"/>
      <c r="BW106" s="22">
        <v>45016</v>
      </c>
      <c r="BX106" s="28">
        <v>13.3</v>
      </c>
      <c r="BY106" s="28"/>
      <c r="BZ106" s="22"/>
      <c r="CA106" s="21"/>
      <c r="CB106" s="26"/>
      <c r="CC106" s="26"/>
      <c r="CD106" s="26"/>
      <c r="CE106" s="26"/>
      <c r="CF106" s="22" t="s">
        <v>1517</v>
      </c>
      <c r="CG106" s="21">
        <v>1.51</v>
      </c>
      <c r="CH106" s="21">
        <v>50</v>
      </c>
      <c r="CI106" s="214">
        <f t="shared" si="259"/>
        <v>21.928862769176792</v>
      </c>
      <c r="CJ106" s="225" t="str">
        <f>IF(AND(CI106&lt;10,CH106="SD"),"SIN DATO PESO PREGESTACION O I TRIM",IF(AND(OR(R106&gt;0,O106&gt;0),CI106="X"),"INGRESAR DATO DE PESO",IF(CI106="SD","INGRESAR DATO DE TALLA Y PESO",IF(AND(OR(Tabla1[[#This Row],[MOMENTO EN QUE SE REALIZA EL PESO AL INGRESO A CPN]]="PREGESTACIÓN",NZ106="Menor"),CI106&lt;18.5),"BAJO PESO",IF(AND(OR(Tabla1[[#This Row],[MOMENTO EN QUE SE REALIZA EL PESO AL INGRESO A CPN]]="PREGESTACIÓN",NZ106="Menor"),CI106&lt;25),"NORMAL",IF(AND(OR(Tabla1[[#This Row],[MOMENTO EN QUE SE REALIZA EL PESO AL INGRESO A CPN]]="PREGESTACIÓN",NZ106="Menor"),CI106&lt;30),"SOBREPESO",IF(AND(OR(Tabla1[[#This Row],[MOMENTO EN QUE SE REALIZA EL PESO AL INGRESO A CPN]]="PREGESTACIÓN",NZ106="Menor"),CI106&gt;=30,CI106&lt;50),"OBESIDAD",IF(AND(BS106&gt;0,Tabla1[[#This Row],[MOMENTO EN QUE SE REALIZA EL PESO AL INGRESO A CPN]]="GESTACIÓN"),HLOOKUP(NZ106,$OA$2:PH106,NY106),""))))))))</f>
        <v>NORMAL</v>
      </c>
      <c r="CK106" s="212">
        <f t="shared" si="260"/>
        <v>45169</v>
      </c>
      <c r="CL106" s="21">
        <v>56.6</v>
      </c>
      <c r="CM106" s="214">
        <f t="shared" si="261"/>
        <v>24.823472654708127</v>
      </c>
      <c r="CN106" s="216">
        <f t="shared" si="262"/>
        <v>36</v>
      </c>
      <c r="CO106" s="216" t="e">
        <f>IF(PI106="","",IF(PI106&gt;0,HLOOKUP(PI106,$PJ$2:QQ106,NY106),""))</f>
        <v>#REF!</v>
      </c>
      <c r="CP106" s="21">
        <v>28</v>
      </c>
      <c r="CQ106" s="216" t="e">
        <f>IF(QR106="Menor","NO APLICA-MENOR 13 SEM",IF(AND(CC106="SI",CN106&gt;23),"NO APLICA- GEMELAR",IF(QR106="","",IF(QR106&gt;0,HLOOKUP(QR106,$QS$2:RU106,NY106),""))))</f>
        <v>#REF!</v>
      </c>
      <c r="CR106" s="21">
        <v>90</v>
      </c>
      <c r="CS106" s="21">
        <v>60</v>
      </c>
      <c r="CT106" s="217" t="str">
        <f>IF(R106="","",IF(AND(BS106&gt;1,BS106&lt;12,Tabla1[[#This Row],[T.A. SISTOLICA - ANTES DE SEMANA 12]]="",Tabla1[[#This Row],[T.A. DIASTOLICA - ANTES DE SEMANA 12]]=""),"REGISTRE DATO TA ANTES SEMANA 12",IF(AND(BS106&gt;11,BS106&lt;43,Tabla1[[#This Row],[T.A. SISTOLICA - ANTES DE SEMANA 12]]="",Tabla1[[#This Row],[T.A. DIASTOLICA - ANTES DE SEMANA 12]]=""),"NO APLICA REGISTRO TA-INGRESO TARDIO",IF(AND(OR(O106&gt;0,R106&gt;0),OR(CR106&gt;=140,CS106&gt;=90)),"DEFINIR ESTADIO HTA",IF(AND(OR(O106&gt;0,R106&gt;0),AND(CR106&gt;120,CR106&lt;=139)),"PRE HTA SEGUIMIENTO",IF(AND(OR(O106&gt;0,R106&gt;0),AND(CS106&gt;80,CS106&lt;=89)),"PRE HTA SEGUIMIENTO",IF(AND(OR(O106&gt;0,R106&gt;0),AND(CR106&gt;=80,CR106&lt;=120)),"APARENTEMENTE NORMAL",IF(AND(OR(O106&gt;0,R106&gt;0),AND(CS106&gt;=50,CS106&lt;=80)),"APARENTEMENTE NORMAL",IF(AND(OR(O106&gt;0,R106&gt;0),AND(CR106&gt;1,CR106&lt;=70),AND(CS106&gt;1,CS106&lt;=40)),"HIPOTENSIÓN","")))))))))</f>
        <v>APARENTEMENTE NORMAL</v>
      </c>
      <c r="CU106" s="21">
        <v>90</v>
      </c>
      <c r="CV106" s="21">
        <v>70</v>
      </c>
      <c r="CW106" s="217" t="str">
        <f ca="1">IF(R106="","",IF(AND(CN106&gt;19,CN106&lt;27,Tabla1[[#This Row],[T.A. SISTOLICA (Entre semana 20 y 26)]]="",Tabla1[[#This Row],[T.A. DIATOLICA (Entre semana 20 y 26)]]=""),"ACUDE A CONTROL SEM 20 A 26 REGISTRE TA AHORA",IF(AND(BS106&gt;1,BS106&lt;27,BU106&gt;19,Tabla1[[#This Row],[T.A. SISTOLICA (Entre semana 20 y 26)]]="",Tabla1[[#This Row],[T.A. DIATOLICA (Entre semana 20 y 26)]]=""),"COMPLETE REGISTRO TA CONTROL SEM 20 A26 ",IF(AND(BS106&gt;26,BS106&lt;43,Tabla1[[#This Row],[T.A. SISTOLICA (Entre semana 20 y 26)]]="",Tabla1[[#This Row],[T.A. DIATOLICA (Entre semana 20 y 26)]]=""),"NO APLICA REGISTRO TA-INGRESO TARDIO",IF(AND(OR(O106&gt;0,R106&gt;0),OR(CU106&gt;=140,CV106&gt;=90)),"ALTO RIESGO PREECLAMPSIA,DEFINIR ESTADIO HTA",IF(AND(OR(O106&gt;0,R106&gt;0),AND(CU106&gt;120,CU106&lt;=139)),"PRE HTA SEGUIMIENTO,RIESGO HIPERTENSION INDUCIDA POR EL EMBARAZO",IF(AND(OR(O106&gt;0,R106&gt;0),AND(CV106&gt;80,CV106&lt;=89)),"PRE HTA SEGUIMIENTO, RIESGO HIPERTENSION INDUCIDA POR EL EMBARAZO",IF(AND(OR(O106&lt;&gt;"",R106&lt;&gt;""),CS106&lt;&gt;"",CV106&lt;&gt;"",CS106&lt;=CV106),"VIGILAR CIFRAS PRESION ARTERIAL",IF(AND(OR(O106&gt;0,R106&gt;0),AND(CU106&gt;120,CU106&lt;=139)),"PRE HTA SEGUIMIENTO",IF(AND(OR(O106&gt;0,R106&gt;0),AND(CU106&gt;1,CU106&lt;=70),AND(CV106&gt;1,CV106&lt;=40)),"HIPOTENSIÓN",IF(AND(OR(O106&lt;&gt;"",R106&lt;&gt;""),CS106&lt;&gt;"",CV106&lt;&gt;"",CS106&gt;CV106),"APARENTEMENTE NORMAL",IF(AND(OR(O106&gt;0,R106&gt;0),AND(CU106&gt;=80,CU106&lt;=120)),"APARENTEMENTE NORMAL",IF(AND(OR(O106&gt;0,R106&gt;0),AND(CV106&gt;=50,CV106&lt;=80)),"APARENTEMENTE NORMAL","")))))))))))))</f>
        <v>VIGILAR CIFRAS PRESION ARTERIAL</v>
      </c>
      <c r="CX106" s="21">
        <v>90</v>
      </c>
      <c r="CY106" s="21">
        <v>60</v>
      </c>
      <c r="CZ106" s="216" t="str">
        <f t="shared" si="456"/>
        <v>APARENTEMENTE NORMAL</v>
      </c>
      <c r="DA106" s="21">
        <v>90</v>
      </c>
      <c r="DB106" s="21">
        <v>60</v>
      </c>
      <c r="DC106" s="217" t="str">
        <f t="shared" si="264"/>
        <v>APARENTEMENTE NORMAL</v>
      </c>
      <c r="DD106" s="22">
        <v>44966</v>
      </c>
      <c r="DE106" s="22">
        <v>44966</v>
      </c>
      <c r="DF106" s="22">
        <v>44994</v>
      </c>
      <c r="DG106" s="22">
        <v>45029</v>
      </c>
      <c r="DH106" s="22">
        <v>45041</v>
      </c>
      <c r="DI106" s="22">
        <v>45104</v>
      </c>
      <c r="DJ106" s="22">
        <v>45134</v>
      </c>
      <c r="DK106" s="22">
        <v>45169</v>
      </c>
      <c r="DL106" s="22"/>
      <c r="DM106" s="22"/>
      <c r="DN106" s="22"/>
      <c r="DO106" s="22"/>
      <c r="DP106" s="22"/>
      <c r="DQ106" s="22"/>
      <c r="DR106" s="28"/>
      <c r="DS106" s="22"/>
      <c r="DT106" s="22"/>
      <c r="DU106" s="216" t="str">
        <f t="shared" ca="1" si="438"/>
        <v>CONCERTAR PLAN DE PARTO INMEDIATO</v>
      </c>
      <c r="DV106" s="226" t="str">
        <f t="shared" si="439"/>
        <v>ACTIVA INGRESO A CPN</v>
      </c>
      <c r="DW1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6" s="216" t="e">
        <f t="shared" ca="1" si="266"/>
        <v>#REF!</v>
      </c>
      <c r="DY106" s="212">
        <f>IF(R106="","",IF(R106&gt;0,MAX(Tabla1[[#This Row],[FECHA C2]:[FECHA C13]],Tabla1[[#This Row],[FECHA CONSULTA PRIMERA VEZ PROGRAMA CPN ]])))</f>
        <v>45169</v>
      </c>
      <c r="DZ106" s="216">
        <f t="shared" si="267"/>
        <v>36</v>
      </c>
      <c r="EA106" s="222">
        <f>IF(R106&gt;0,SUM(COUNTA(DF106:DQ106)+COUNTA(Tabla1[[#This Row],[FECHA CONSULTA PRIMERA VEZ PROGRAMA CPN ]])),"")</f>
        <v>7</v>
      </c>
      <c r="EB106" s="222" t="str">
        <f t="shared" si="268"/>
        <v>SI</v>
      </c>
      <c r="EC106" s="214">
        <f t="shared" si="269"/>
        <v>10</v>
      </c>
      <c r="ED106" s="227">
        <f t="shared" si="270"/>
        <v>0.7</v>
      </c>
      <c r="EE106" s="22">
        <v>44966</v>
      </c>
      <c r="EF106" s="22">
        <v>44966</v>
      </c>
      <c r="EG106" s="22">
        <v>44966</v>
      </c>
      <c r="EH106" s="22">
        <v>44975</v>
      </c>
      <c r="EI106" s="22">
        <v>44966</v>
      </c>
      <c r="EJ106" s="22">
        <v>44974</v>
      </c>
      <c r="EK106" s="344">
        <v>44985</v>
      </c>
      <c r="EL106" s="21"/>
      <c r="EM106" s="21">
        <v>12.7</v>
      </c>
      <c r="EN106" s="22">
        <v>44967</v>
      </c>
      <c r="EO106" s="222">
        <f t="shared" si="271"/>
        <v>7.1428571428571432</v>
      </c>
      <c r="EP106" s="214" t="str">
        <f t="shared" si="272"/>
        <v>NORMAL- SUMINISTRAR SULFATO FERROSO</v>
      </c>
      <c r="EQ106" s="216" t="str">
        <f t="shared" si="273"/>
        <v>I TRIM</v>
      </c>
      <c r="ER106" s="24">
        <v>10.8</v>
      </c>
      <c r="ES106" s="22">
        <v>45115</v>
      </c>
      <c r="ET106" s="29">
        <f t="shared" ca="1" si="440"/>
        <v>28.285714285714285</v>
      </c>
      <c r="EU106" s="25" t="str">
        <f t="shared" si="275"/>
        <v>NORMAL- SUMINISTRAR SULFATO FERROSO</v>
      </c>
      <c r="EV106" s="24" t="s">
        <v>1510</v>
      </c>
      <c r="EW106" s="32">
        <v>44967</v>
      </c>
      <c r="EX106" s="22"/>
      <c r="EY106" s="29">
        <f t="shared" si="453"/>
        <v>7.1428571428571432</v>
      </c>
      <c r="EZ106" s="25" t="str">
        <f t="shared" si="454"/>
        <v>SIN RIESGO DE ISOINMUNIZACIÓN</v>
      </c>
      <c r="FA106" s="21">
        <v>76</v>
      </c>
      <c r="FB106" s="22">
        <v>44967</v>
      </c>
      <c r="FC106" s="29">
        <f t="shared" si="276"/>
        <v>7.1428571428571432</v>
      </c>
      <c r="FD106" s="29">
        <v>58</v>
      </c>
      <c r="FE106" s="29">
        <v>109</v>
      </c>
      <c r="FF106" s="29">
        <v>101</v>
      </c>
      <c r="FG106" s="21" t="str">
        <f t="shared" ca="1" si="277"/>
        <v>NORMAL</v>
      </c>
      <c r="FH106" s="31">
        <v>45114</v>
      </c>
      <c r="FI106" s="29">
        <f t="shared" si="278"/>
        <v>28.142857142857142</v>
      </c>
      <c r="FJ106" s="22" t="s">
        <v>867</v>
      </c>
      <c r="FK106" s="22">
        <v>44967</v>
      </c>
      <c r="FL106" s="29">
        <f t="shared" ca="1" si="279"/>
        <v>7.1428571428571432</v>
      </c>
      <c r="FM106" s="22"/>
      <c r="FN106" s="32"/>
      <c r="FO106" s="29" t="str">
        <f t="shared" ca="1" si="441"/>
        <v>PIERDE TOMA DE TAMIZAJE</v>
      </c>
      <c r="FP106" s="22" t="s">
        <v>867</v>
      </c>
      <c r="FQ106" s="32">
        <v>45114</v>
      </c>
      <c r="FR106" s="29">
        <f t="shared" ca="1" si="442"/>
        <v>28.142857142857142</v>
      </c>
      <c r="FS106" s="22"/>
      <c r="FT106" s="32"/>
      <c r="FU106" s="29" t="str">
        <f>IF(AND(FJ106="",FM106="",FP106="",FS106=""),"",IF(OR(OR(Tabla1[[#This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6" s="28"/>
      <c r="FW106" s="22"/>
      <c r="FX106" s="29" t="str">
        <f t="shared" si="280"/>
        <v>TOMAR EXAMEN</v>
      </c>
      <c r="FY106" s="22"/>
      <c r="FZ106" s="22"/>
      <c r="GA106" s="29" t="str">
        <f t="shared" ca="1" si="452"/>
        <v>PIERDE TOMA DE TAMIZAJE</v>
      </c>
      <c r="GB106" s="22"/>
      <c r="GC106" s="22"/>
      <c r="GD106" s="29" t="str">
        <f t="shared" ca="1" si="443"/>
        <v>PIERDE TOMA DE TAMIZAJE</v>
      </c>
      <c r="GE106" s="22"/>
      <c r="GF106" s="22"/>
      <c r="GG106" s="29" t="str">
        <f t="shared" ca="1" si="444"/>
        <v>TOMA INMEDIATA DE TAMIZAJE</v>
      </c>
      <c r="GH106" s="22"/>
      <c r="GI106" s="29"/>
      <c r="GJ106" s="22"/>
      <c r="GK106" s="22"/>
      <c r="GL106" s="22"/>
      <c r="GM106" s="22"/>
      <c r="GN106" s="28" t="s">
        <v>869</v>
      </c>
      <c r="GO106" s="22">
        <v>44967</v>
      </c>
      <c r="GP106" s="29">
        <f t="shared" si="283"/>
        <v>7.1428571428571432</v>
      </c>
      <c r="GQ106" s="28"/>
      <c r="GR106" s="28"/>
      <c r="GS106" s="22" t="str">
        <f t="shared" si="457"/>
        <v/>
      </c>
      <c r="GT106" s="22"/>
      <c r="GU106" s="29" t="str">
        <f t="shared" si="285"/>
        <v>TOMAR EXAMEN</v>
      </c>
      <c r="GV106" s="21" t="str">
        <f t="shared" si="286"/>
        <v>POR DEFINIR</v>
      </c>
      <c r="GW106" s="28"/>
      <c r="GX106" s="30"/>
      <c r="GY106" s="21"/>
      <c r="GZ106" s="21"/>
      <c r="HA106" s="21"/>
      <c r="HB106" s="21"/>
      <c r="HC106" s="21"/>
      <c r="HD106" s="21"/>
      <c r="HE106" s="21"/>
      <c r="HF106" s="22"/>
      <c r="HG106" s="22" t="str">
        <f>IF(OR(O106&gt;0,R106&gt;0),CONCATENATE(IF(Tabla1[[#This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6" s="22" t="e">
        <f t="shared" si="287"/>
        <v>#REF!</v>
      </c>
      <c r="HI106" s="22" t="e">
        <f t="shared" ca="1" si="288"/>
        <v>#REF!</v>
      </c>
      <c r="HJ106" s="21"/>
      <c r="HK106" s="21" t="str">
        <f t="shared" si="289"/>
        <v>SIN ANTECEDENTES DE RIESGO</v>
      </c>
      <c r="HL106" s="24" t="str">
        <f t="shared" si="290"/>
        <v>APARENTEMENTE NORMAL</v>
      </c>
      <c r="HM106" s="21" t="e">
        <f t="shared" ca="1" si="291"/>
        <v>#REF!</v>
      </c>
      <c r="HN106" s="30" t="str">
        <f t="shared" si="445"/>
        <v>ACTIVA INGRESO A CPN</v>
      </c>
      <c r="HO106" s="21"/>
      <c r="HP106" s="21"/>
      <c r="HQ106" s="349">
        <v>45029</v>
      </c>
      <c r="HR106" s="21" t="str">
        <f>IF(R106="","",IF(Tabla1[[#This Row],[ALARMA FACTORES DE RIESGO COMPLICACIONES HIPERTENSIVAS3]]="SIN ANTECEDENTES DE RIESGO","No Aplica para suministro de ASA",IF(AND(Tabla1[[#This Row],[FECHA INICIO DE SUMINISTRO DE ASA]]&gt;0,RV106&lt;12),"Inicia ASA ANTES de Sem 12",IF(AND(RV106&gt;11,RV106&lt;17,OR(HK106="RIESGO ALTO DE COMPLICACIONES HIPERTENSIVAS VER MANEJO GUIA SUMINISTRO ASA Y CALCIO",HK106="RIESGO MODERADO (2 O MAS CRITERIOS) VER MANEJO GUIA SUMINISTRO ASA Y CALCIO")),"Inicio oportuno de ASA",IF(AND(RV106&gt;12,OR(HK106="RIESGO ALTO DE COMPLICACIONES HIPERTENSIVAS VER MANEJO GUIA SUMINISTRO ASA Y CALCIO",HK106="RIESGO MODERADO (2 O MAS CRITERIOS) VER MANEJO GUIA SUMINISTRO ASA Y CALCIO")),"Inicio no oportuno mayor a 16 semanas",IF(AND(BU106&lt;12,OR(HK106="RIESGO ALTO DE COMPLICACIONES HIPERTENSIVAS VER MANEJO GUIA SUMINISTRO ASA Y CALCIO",HK106="RIESGO MODERADO (2 O MAS CRITERIOS) VER MANEJO GUIA SUMINISTRO ASA Y CALCIO")),"Pendiente Inicio de ASA a la semana 12",IF(AND(BU106&gt;11,BU106&lt;17,OR(HK106="RIESGO ALTO DE COMPLICACIONES HIPERTENSIVAS VER MANEJO GUIA SUMINISTRO ASA Y CALCIO",HK106="RIESGO MODERADO (2 O MAS CRITERIOS) VER MANEJO GUIA SUMINISTRO ASA Y CALCIO")),"Iniciar de inmediato ASA",IF(AND(BU106&gt;16,OR(HK106="RIESGO ALTO DE COMPLICACIONES HIPERTENSIVAS VER MANEJO GUIA SUMINISTRO ASA Y CALCIO",HK106="RIESGO MODERADO (2 O MAS CRITERIOS) VER MANEJO GUIA SUMINISTRO ASA Y CALCIO")),"Pierde Oportunidad, Inicio tardío de ASA","XXXXX"))))))))</f>
        <v>No Aplica para suministro de ASA</v>
      </c>
      <c r="HS106" s="22">
        <v>45029</v>
      </c>
      <c r="HT106" s="22" t="s">
        <v>870</v>
      </c>
      <c r="HU106" s="22">
        <v>45029</v>
      </c>
      <c r="HV106" s="22" t="s">
        <v>870</v>
      </c>
      <c r="HW106" s="22">
        <v>45029</v>
      </c>
      <c r="HX106" s="22" t="s">
        <v>870</v>
      </c>
      <c r="HY106" s="22"/>
      <c r="HZ106" s="28" t="str">
        <f t="shared" si="292"/>
        <v>PENDIENTE CONSULTA</v>
      </c>
      <c r="IA106" s="26"/>
      <c r="IB106" s="26"/>
      <c r="IC106" s="111"/>
      <c r="ID106" s="22"/>
      <c r="IE106" s="22" t="str">
        <f t="shared" ca="1" si="293"/>
        <v/>
      </c>
      <c r="IF106" s="22"/>
      <c r="IG106" s="22">
        <f t="shared" si="294"/>
        <v>45197</v>
      </c>
      <c r="IH106" s="29">
        <f t="shared" ca="1" si="295"/>
        <v>-36</v>
      </c>
      <c r="II106" s="22" t="str">
        <f t="shared" ca="1" si="296"/>
        <v>POSIBLEMENTE NACIO</v>
      </c>
      <c r="IJ106" s="22"/>
      <c r="IK106" s="21"/>
      <c r="IL106" s="21" t="s">
        <v>1639</v>
      </c>
      <c r="IM106" s="34"/>
      <c r="IN106" s="22"/>
      <c r="IO106" s="21"/>
      <c r="IP106" s="29" t="str">
        <f t="shared" si="435"/>
        <v/>
      </c>
      <c r="IQ106" s="110"/>
      <c r="IR106" s="21"/>
      <c r="IS106" s="21"/>
      <c r="IT106" s="21"/>
      <c r="IU106" s="21"/>
      <c r="IV106" s="21"/>
      <c r="IW106" s="21"/>
      <c r="IX106" s="21"/>
      <c r="IY106" s="21"/>
      <c r="IZ106" s="21"/>
      <c r="JA106" s="21"/>
      <c r="JB106" s="30"/>
      <c r="JC106" s="21"/>
      <c r="JD106" s="36"/>
      <c r="JE106" s="21" t="str">
        <f t="shared" si="446"/>
        <v/>
      </c>
      <c r="JF106" s="30"/>
      <c r="JG106" s="21"/>
      <c r="JH106" s="21"/>
      <c r="JI106" s="21"/>
      <c r="JJ106" s="30"/>
      <c r="JK106" s="22"/>
      <c r="JL106" s="22"/>
      <c r="JM106" s="21"/>
      <c r="JN106" s="36"/>
      <c r="JO106" s="21" t="str">
        <f t="shared" si="447"/>
        <v/>
      </c>
      <c r="JP106" s="22"/>
      <c r="JQ106" s="21"/>
      <c r="JR106" s="21"/>
      <c r="JS106" s="21"/>
      <c r="JT106" s="30"/>
      <c r="JU106" s="22"/>
      <c r="JV106" s="22"/>
      <c r="JW106" s="33"/>
      <c r="JX106" s="28" t="str">
        <f t="shared" si="448"/>
        <v/>
      </c>
      <c r="JY106" s="33"/>
      <c r="JZ106" s="28" t="str">
        <f t="shared" si="449"/>
        <v/>
      </c>
      <c r="KA106" s="21"/>
      <c r="KB106" s="21"/>
      <c r="KC106" s="21"/>
      <c r="KD106" s="37"/>
      <c r="KE106" s="28"/>
      <c r="KF106" s="28"/>
      <c r="KG106" s="28"/>
      <c r="KH106" s="39"/>
      <c r="KI106" s="39"/>
      <c r="KJ106" s="66"/>
      <c r="KK106" s="39"/>
      <c r="KL106" s="39"/>
      <c r="KM106" s="66"/>
      <c r="KN106" s="39"/>
      <c r="KO106" s="39"/>
      <c r="KP106" s="39"/>
      <c r="KQ106" s="39"/>
      <c r="KR106" s="39"/>
      <c r="KS106" s="39"/>
      <c r="KT106" s="39"/>
      <c r="KU106" s="38"/>
      <c r="KV106" s="38"/>
      <c r="KW106" s="38"/>
      <c r="KX106" s="38"/>
      <c r="KY106" s="38"/>
      <c r="KZ106" s="38"/>
      <c r="LA106" s="38"/>
      <c r="LB106" s="38"/>
      <c r="LC106" s="38"/>
      <c r="LD106" s="38"/>
      <c r="LE106" s="38"/>
      <c r="LF106" s="38"/>
      <c r="LG106" s="38"/>
      <c r="LH106" s="38"/>
      <c r="LI106" s="38"/>
      <c r="LJ106" s="38"/>
      <c r="LK106" s="38"/>
      <c r="LL106" s="38"/>
      <c r="LM106" s="38"/>
      <c r="LN106" s="38"/>
      <c r="LO106" s="38"/>
      <c r="LP106" s="38"/>
      <c r="LQ106" s="38"/>
      <c r="LR106" s="38"/>
      <c r="LS106" s="38"/>
      <c r="LT106" s="38"/>
      <c r="LU106" s="38"/>
      <c r="LV106" s="38"/>
      <c r="LW106" s="38"/>
      <c r="LX106" s="38"/>
      <c r="LY106" s="38"/>
      <c r="LZ106" s="38"/>
      <c r="MA106" s="38"/>
      <c r="MB106" s="38"/>
      <c r="MC106" s="38"/>
      <c r="MD106" s="38"/>
      <c r="ME106" s="38"/>
      <c r="MF106" s="38"/>
      <c r="MG106" s="38"/>
      <c r="MH106" s="43">
        <f t="shared" si="458"/>
        <v>0</v>
      </c>
      <c r="MI106" s="43" t="str">
        <f t="shared" si="459"/>
        <v/>
      </c>
      <c r="MJ106" s="43" t="str">
        <f t="shared" si="460"/>
        <v/>
      </c>
      <c r="MK106" s="43">
        <f t="shared" si="461"/>
        <v>0</v>
      </c>
      <c r="ML1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6" s="43">
        <f t="shared" si="462"/>
        <v>7</v>
      </c>
      <c r="MN106" s="43">
        <f t="shared" si="463"/>
        <v>2</v>
      </c>
      <c r="MO106" s="43">
        <f t="shared" si="464"/>
        <v>2023</v>
      </c>
      <c r="MP106" s="43" t="str">
        <f t="shared" si="465"/>
        <v>I TRIMESTRE AÑO</v>
      </c>
      <c r="MQ106" s="43">
        <f t="shared" si="466"/>
        <v>18.900569426193602</v>
      </c>
      <c r="MR106" s="43">
        <f t="shared" si="467"/>
        <v>0</v>
      </c>
      <c r="MS106" s="43" t="str">
        <f t="shared" si="468"/>
        <v>DE 14 A 19AÑOS</v>
      </c>
      <c r="MT106" s="43">
        <f t="shared" si="469"/>
        <v>0</v>
      </c>
      <c r="MU106" s="43">
        <f t="shared" si="470"/>
        <v>1</v>
      </c>
      <c r="MV106" s="43">
        <f t="shared" si="471"/>
        <v>0</v>
      </c>
      <c r="MW106" s="43">
        <f t="shared" si="472"/>
        <v>0</v>
      </c>
      <c r="MX106" s="43" t="str">
        <f t="shared" si="473"/>
        <v/>
      </c>
      <c r="MY106" s="43" t="str">
        <f t="shared" ca="1" si="450"/>
        <v/>
      </c>
      <c r="MZ106" s="43" t="str">
        <f t="shared" si="474"/>
        <v/>
      </c>
      <c r="NA106" s="43" t="str">
        <f t="shared" si="475"/>
        <v/>
      </c>
      <c r="NB106" s="43" t="str">
        <f t="shared" si="476"/>
        <v/>
      </c>
      <c r="NC106" s="43" t="str">
        <f t="shared" si="477"/>
        <v/>
      </c>
      <c r="ND106" s="43">
        <f t="shared" ca="1" si="478"/>
        <v>1</v>
      </c>
      <c r="NE106" s="43">
        <f>IF(OR(O106&gt;0,R106&gt;0),SUM(COUNTIF(Tabla1[[#This Row],[AÑOS AL INICIO5 CPN]],"&gt;=40"),COUNTIF(AS106,"0"),COUNTIF(AR106,"SI"),COUNTIF(CC106,"SI"),COUNTIF(BQ106,"&gt;119"),COUNTIF(CI106,"&gt;=35")),"")</f>
        <v>0</v>
      </c>
      <c r="NF106" s="43" t="str">
        <f t="shared" si="479"/>
        <v/>
      </c>
      <c r="NG106" s="43">
        <f t="shared" si="480"/>
        <v>0</v>
      </c>
      <c r="NH106" s="43">
        <f t="shared" si="481"/>
        <v>93.100000000000009</v>
      </c>
      <c r="NI1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CPN",P106="NO"),"Z",IF(AND(Tabla1[[#This Row],[CITA PROXIMO CONTROL]]="CITA MANUAL",Tabla1[[#This Row],[GESTANTES ACTUALES]]="ACTIVA INGRESO A CPN"),"W",IF(AND(Tabla1[[#This Row],[GESTANTES ACTUALES]]="SALIO PROGRAMA",IN106=""),"S",IF(AND(Tabla1[[#This Row],[CITA PROXIMO CONTROL]]&gt;0,IN106=""),(Tabla1[[#This Row],[CITA PROXIMO CONTROL]]-TODAY()),"SD"))))))))</f>
        <v>#REF!</v>
      </c>
      <c r="NJ106" s="43">
        <f>MONTH(Tabla1[[#This Row],[FECHA DE SALIDA  DEL PROGRAMA]])</f>
        <v>1</v>
      </c>
      <c r="NK106" s="43">
        <f>YEAR(Tabla1[[#This Row],[FECHA DE SALIDA  DEL PROGRAMA]])</f>
        <v>1900</v>
      </c>
      <c r="NL106" s="43">
        <f t="shared" si="482"/>
        <v>8</v>
      </c>
      <c r="NM106" s="43" t="str">
        <f t="shared" si="455"/>
        <v>NO</v>
      </c>
      <c r="NN106" s="43" t="str">
        <f ca="1">IF(AND(O106&gt;0,R106=""),"NO CPN",IF(AND(O106="",R106=""),"",IF(AND(R106&gt;0,Tabla1[[#This Row],[SEMANAS DE GESTACION ACTUALIZADAS]]&lt;=12),"NO APLICA",IF(AND(FH106&lt;&gt;"",FN106&lt;&gt;""),"SI","NO"))))</f>
        <v>NO</v>
      </c>
      <c r="NO106" s="43" t="str">
        <f ca="1">IF(AND(O106&gt;0,R106=""),"NO CPN",IF(AND(O106="",R106=""),"",IF(AND(R106&gt;0,Tabla1[[#This Row],[SEMANAS DE GESTACION ACTUALIZADAS]]&lt;=27),"NO APLICA",IF(AND(ES106&lt;&gt;"",FQ106&lt;&gt;"",GF106&lt;&gt;""),"SI","NO"))))</f>
        <v>NO</v>
      </c>
      <c r="NP106" s="204" t="str">
        <f t="shared" si="483"/>
        <v>I TRIM</v>
      </c>
      <c r="NQ106" s="21" t="str">
        <f t="shared" si="436"/>
        <v/>
      </c>
      <c r="NR106" s="21" t="str">
        <f t="shared" ca="1" si="451"/>
        <v>REVISAR FUM O FECHA SALIDA PROGRAMA</v>
      </c>
      <c r="NS106" s="205">
        <f t="shared" ca="1" si="484"/>
        <v>2</v>
      </c>
      <c r="NT106" s="21">
        <f t="shared" ca="1" si="485"/>
        <v>0</v>
      </c>
      <c r="NU106" s="21" t="str">
        <f t="shared" ca="1" si="486"/>
        <v>POR DEFINIR</v>
      </c>
      <c r="NV106" s="21" t="str">
        <f t="shared" ca="1" si="487"/>
        <v>POR DEFINIR</v>
      </c>
      <c r="NW106" s="206" t="str">
        <f>IF(AND(O106="",R106=""),"",IF(OR(AND(Tabla1[[#This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6" s="207" t="str">
        <f t="shared" ca="1" si="488"/>
        <v>SIN VACUNAR</v>
      </c>
      <c r="NY106" s="43">
        <f>ROW(Tabla1[[#This Row],['# DE TAMIZAJES SIFILIS TOMADOS ]])</f>
        <v>106</v>
      </c>
      <c r="NZ106" s="43" t="str">
        <f t="shared" si="333"/>
        <v>Menor</v>
      </c>
      <c r="OA106" s="43" t="str">
        <f t="shared" si="334"/>
        <v>NORMAL</v>
      </c>
      <c r="OB106" s="43" t="str">
        <f t="shared" si="335"/>
        <v/>
      </c>
      <c r="OC106" s="43" t="str">
        <f t="shared" si="336"/>
        <v/>
      </c>
      <c r="OD106" s="43" t="str">
        <f t="shared" si="337"/>
        <v/>
      </c>
      <c r="OE106" s="43" t="str">
        <f t="shared" si="338"/>
        <v/>
      </c>
      <c r="OF106" s="43" t="str">
        <f t="shared" si="339"/>
        <v/>
      </c>
      <c r="OG106" s="43" t="str">
        <f t="shared" si="340"/>
        <v/>
      </c>
      <c r="OH106" s="43" t="str">
        <f t="shared" si="341"/>
        <v/>
      </c>
      <c r="OI106" s="43" t="str">
        <f t="shared" si="342"/>
        <v/>
      </c>
      <c r="OJ106" s="43" t="str">
        <f t="shared" si="343"/>
        <v/>
      </c>
      <c r="OK106" s="43" t="str">
        <f t="shared" si="344"/>
        <v/>
      </c>
      <c r="OL106" s="43" t="str">
        <f t="shared" si="345"/>
        <v/>
      </c>
      <c r="OM106" s="43" t="str">
        <f t="shared" si="346"/>
        <v/>
      </c>
      <c r="ON106" s="43" t="str">
        <f t="shared" si="347"/>
        <v/>
      </c>
      <c r="OO106" s="43" t="str">
        <f t="shared" si="348"/>
        <v/>
      </c>
      <c r="OP106" s="43" t="str">
        <f t="shared" si="349"/>
        <v/>
      </c>
      <c r="OQ106" s="43" t="str">
        <f t="shared" si="350"/>
        <v/>
      </c>
      <c r="OR106" s="43" t="str">
        <f t="shared" si="351"/>
        <v/>
      </c>
      <c r="OS106" s="43" t="str">
        <f t="shared" si="352"/>
        <v/>
      </c>
      <c r="OT106" s="43" t="str">
        <f t="shared" si="353"/>
        <v/>
      </c>
      <c r="OU106" s="43" t="str">
        <f t="shared" si="354"/>
        <v/>
      </c>
      <c r="OV106" s="110" t="str">
        <f t="shared" si="355"/>
        <v/>
      </c>
      <c r="OW106" s="43" t="str">
        <f t="shared" si="356"/>
        <v/>
      </c>
      <c r="OX106" s="43" t="str">
        <f t="shared" si="357"/>
        <v/>
      </c>
      <c r="OY106" s="43" t="str">
        <f t="shared" si="358"/>
        <v/>
      </c>
      <c r="OZ106" s="43" t="str">
        <f t="shared" si="359"/>
        <v/>
      </c>
      <c r="PA106" s="43" t="str">
        <f t="shared" si="360"/>
        <v/>
      </c>
      <c r="PB106" s="43" t="str">
        <f t="shared" si="361"/>
        <v/>
      </c>
      <c r="PC106" s="43" t="str">
        <f t="shared" si="362"/>
        <v/>
      </c>
      <c r="PD106" s="43" t="str">
        <f t="shared" si="363"/>
        <v/>
      </c>
      <c r="PE106" s="43" t="str">
        <f t="shared" si="364"/>
        <v/>
      </c>
      <c r="PF106" s="43" t="str">
        <f t="shared" si="365"/>
        <v/>
      </c>
      <c r="PG106" s="43" t="str">
        <f t="shared" si="366"/>
        <v/>
      </c>
      <c r="PH106" s="43" t="str">
        <f t="shared" si="367"/>
        <v/>
      </c>
      <c r="PI106" s="43">
        <f t="shared" si="368"/>
        <v>36</v>
      </c>
      <c r="PJ106" s="43" t="str">
        <f t="shared" si="369"/>
        <v/>
      </c>
      <c r="PK106" s="43" t="str">
        <f t="shared" si="370"/>
        <v/>
      </c>
      <c r="PL106" s="43" t="str">
        <f t="shared" si="371"/>
        <v/>
      </c>
      <c r="PM106" s="43" t="str">
        <f t="shared" si="372"/>
        <v/>
      </c>
      <c r="PN106" s="43" t="str">
        <f t="shared" si="373"/>
        <v/>
      </c>
      <c r="PO106" s="43" t="str">
        <f t="shared" si="374"/>
        <v/>
      </c>
      <c r="PP106" s="43" t="str">
        <f t="shared" si="375"/>
        <v/>
      </c>
      <c r="PQ106" s="43" t="str">
        <f t="shared" si="376"/>
        <v/>
      </c>
      <c r="PR106" s="43" t="str">
        <f t="shared" si="377"/>
        <v/>
      </c>
      <c r="PS106" s="43" t="str">
        <f t="shared" si="378"/>
        <v/>
      </c>
      <c r="PT106" s="43" t="str">
        <f t="shared" si="379"/>
        <v/>
      </c>
      <c r="PU106" s="43" t="str">
        <f t="shared" si="380"/>
        <v/>
      </c>
      <c r="PV106" s="43" t="str">
        <f t="shared" si="381"/>
        <v/>
      </c>
      <c r="PW106" s="43" t="str">
        <f t="shared" si="382"/>
        <v/>
      </c>
      <c r="PX106" s="43" t="str">
        <f t="shared" si="383"/>
        <v/>
      </c>
      <c r="PY106" s="43" t="str">
        <f t="shared" si="384"/>
        <v/>
      </c>
      <c r="PZ106" s="43" t="str">
        <f t="shared" si="385"/>
        <v/>
      </c>
      <c r="QA106" s="43" t="str">
        <f t="shared" si="386"/>
        <v/>
      </c>
      <c r="QB106" s="43" t="str">
        <f t="shared" si="387"/>
        <v/>
      </c>
      <c r="QC106" s="43" t="str">
        <f t="shared" si="388"/>
        <v/>
      </c>
      <c r="QD106" s="43" t="str">
        <f t="shared" si="389"/>
        <v/>
      </c>
      <c r="QE106" s="43" t="str">
        <f t="shared" si="390"/>
        <v/>
      </c>
      <c r="QF106" s="43" t="str">
        <f t="shared" si="391"/>
        <v/>
      </c>
      <c r="QG106" s="43" t="str">
        <f t="shared" si="392"/>
        <v/>
      </c>
      <c r="QH106" s="43" t="str">
        <f t="shared" si="393"/>
        <v/>
      </c>
      <c r="QI106" s="43" t="str">
        <f t="shared" si="394"/>
        <v/>
      </c>
      <c r="QJ106" s="43" t="str">
        <f t="shared" si="395"/>
        <v/>
      </c>
      <c r="QK106" s="43" t="str">
        <f t="shared" si="396"/>
        <v>NORMAL</v>
      </c>
      <c r="QL106" s="43" t="str">
        <f t="shared" si="397"/>
        <v/>
      </c>
      <c r="QM106" s="43" t="str">
        <f t="shared" si="398"/>
        <v/>
      </c>
      <c r="QN106" s="43" t="str">
        <f t="shared" si="399"/>
        <v/>
      </c>
      <c r="QO106" s="43" t="str">
        <f t="shared" si="400"/>
        <v/>
      </c>
      <c r="QP106" s="43" t="str">
        <f t="shared" si="401"/>
        <v/>
      </c>
      <c r="QQ106" s="43" t="str">
        <f t="shared" si="402"/>
        <v/>
      </c>
      <c r="QR106" s="43">
        <f t="shared" si="432"/>
        <v>36</v>
      </c>
      <c r="QS106" s="43"/>
      <c r="QT106" s="21" t="str">
        <f t="shared" si="403"/>
        <v/>
      </c>
      <c r="QU106" s="21" t="str">
        <f t="shared" si="404"/>
        <v/>
      </c>
      <c r="QV106" s="21" t="str">
        <f t="shared" si="405"/>
        <v/>
      </c>
      <c r="QW106" s="21" t="str">
        <f t="shared" si="406"/>
        <v/>
      </c>
      <c r="QX106" s="21" t="str">
        <f t="shared" si="407"/>
        <v/>
      </c>
      <c r="QY106" s="21" t="str">
        <f t="shared" si="408"/>
        <v/>
      </c>
      <c r="QZ106" s="21" t="str">
        <f t="shared" si="409"/>
        <v/>
      </c>
      <c r="RA106" s="21" t="str">
        <f t="shared" si="410"/>
        <v/>
      </c>
      <c r="RB106" s="21" t="str">
        <f t="shared" si="411"/>
        <v/>
      </c>
      <c r="RC106" s="21" t="str">
        <f t="shared" si="412"/>
        <v/>
      </c>
      <c r="RD106" s="21" t="str">
        <f t="shared" si="413"/>
        <v/>
      </c>
      <c r="RE106" s="21" t="str">
        <f t="shared" si="414"/>
        <v/>
      </c>
      <c r="RF106" s="21" t="str">
        <f t="shared" si="415"/>
        <v/>
      </c>
      <c r="RG106" s="21" t="str">
        <f t="shared" si="416"/>
        <v/>
      </c>
      <c r="RH106" s="21" t="str">
        <f t="shared" si="417"/>
        <v/>
      </c>
      <c r="RI106" s="21" t="str">
        <f t="shared" si="418"/>
        <v/>
      </c>
      <c r="RJ106" s="21" t="str">
        <f t="shared" si="419"/>
        <v/>
      </c>
      <c r="RK106" s="21" t="str">
        <f t="shared" si="420"/>
        <v/>
      </c>
      <c r="RL106" s="21" t="str">
        <f t="shared" si="421"/>
        <v/>
      </c>
      <c r="RM106" s="21" t="str">
        <f t="shared" si="422"/>
        <v/>
      </c>
      <c r="RN106" s="21" t="str">
        <f t="shared" si="423"/>
        <v/>
      </c>
      <c r="RO106" s="21" t="str">
        <f t="shared" si="424"/>
        <v/>
      </c>
      <c r="RP106" s="21" t="str">
        <f t="shared" si="425"/>
        <v/>
      </c>
      <c r="RQ106" s="21" t="str">
        <f t="shared" si="426"/>
        <v>ADECUADO PARA EDAD GESTACIONAL</v>
      </c>
      <c r="RR106" s="21" t="str">
        <f t="shared" si="427"/>
        <v/>
      </c>
      <c r="RS106" s="21" t="str">
        <f t="shared" si="428"/>
        <v/>
      </c>
      <c r="RT106" s="21" t="str">
        <f t="shared" si="429"/>
        <v/>
      </c>
      <c r="RU106" s="21" t="str">
        <f t="shared" si="430"/>
        <v/>
      </c>
      <c r="RV106" s="21">
        <f t="shared" si="431"/>
        <v>16</v>
      </c>
      <c r="RW106" s="284">
        <f>IF(OR(Tabla1[[#This Row],[FUM FORMULA CONFIABLE]]="",Tabla1[[#This Row],[FUM FORMULA CONFIABLE]]="SD"),"",IF(Tabla1[[#This Row],[FUM FORMULA CONFIABLE]]="CORREGIDA",Tabla1[[#This Row],[FUM X ECO 1]],Tabla1[[#This Row],[FUM x AMENORREA]]))</f>
        <v>44917</v>
      </c>
      <c r="RX106" s="21">
        <f>IF(AND(Tabla1[[#This Row],[FUM X ECO 1]]="",Tabla1[[#This Row],[FUM x AMENORREA]]=""),"",IF(AND(Tabla1[[#This Row],[FUM X ECO 1]]="",Tabla1[[#This Row],[FUM x AMENORREA]]&lt;&gt;""),"X",SUM(Tabla1[[#This Row],[FUM X ECO 1]]-Tabla1[[#This Row],[FUM x AMENORREA]])))</f>
        <v>5.9000000000014552</v>
      </c>
      <c r="RY106" s="21">
        <f t="shared" si="433"/>
        <v>0</v>
      </c>
    </row>
    <row r="107" spans="1:493" ht="45" customHeight="1" x14ac:dyDescent="0.25">
      <c r="A107" s="109"/>
      <c r="B107" s="43"/>
      <c r="C107" s="43" t="s">
        <v>845</v>
      </c>
      <c r="D107" s="124"/>
      <c r="E107" s="43" t="s">
        <v>914</v>
      </c>
      <c r="F107" s="43" t="s">
        <v>1318</v>
      </c>
      <c r="G107" s="43" t="s">
        <v>1319</v>
      </c>
      <c r="H107" s="43"/>
      <c r="I107" s="109" t="s">
        <v>851</v>
      </c>
      <c r="J107" s="110" t="s">
        <v>1320</v>
      </c>
      <c r="K107" s="43" t="s">
        <v>852</v>
      </c>
      <c r="L107" s="175" t="s">
        <v>853</v>
      </c>
      <c r="M107" s="22">
        <v>35924</v>
      </c>
      <c r="N107" s="213">
        <f t="shared" ca="1" si="252"/>
        <v>25.504109589041096</v>
      </c>
      <c r="O107" s="22">
        <v>44966</v>
      </c>
      <c r="P107" s="214" t="str">
        <f t="shared" si="437"/>
        <v>SI</v>
      </c>
      <c r="Q107" s="26" t="s">
        <v>855</v>
      </c>
      <c r="R107" s="22">
        <v>44966</v>
      </c>
      <c r="S107" s="21" t="s">
        <v>856</v>
      </c>
      <c r="T107" s="24" t="s">
        <v>690</v>
      </c>
      <c r="U107" s="21" t="s">
        <v>857</v>
      </c>
      <c r="V107" s="21" t="s">
        <v>858</v>
      </c>
      <c r="W107" s="21" t="s">
        <v>1321</v>
      </c>
      <c r="X107" s="21" t="s">
        <v>1321</v>
      </c>
      <c r="Y107" s="21" t="s">
        <v>859</v>
      </c>
      <c r="Z107" s="21">
        <v>3185483259</v>
      </c>
      <c r="AA107" s="21" t="s">
        <v>860</v>
      </c>
      <c r="AB107" s="27" t="s">
        <v>861</v>
      </c>
      <c r="AC107" s="26" t="s">
        <v>888</v>
      </c>
      <c r="AD107" s="38" t="s">
        <v>1546</v>
      </c>
      <c r="AE107" s="26" t="s">
        <v>854</v>
      </c>
      <c r="AF107" s="26" t="s">
        <v>854</v>
      </c>
      <c r="AG107" s="23" t="s">
        <v>864</v>
      </c>
      <c r="AH107" s="23" t="s">
        <v>864</v>
      </c>
      <c r="AI107" s="24" t="s">
        <v>863</v>
      </c>
      <c r="AJ107" s="23" t="s">
        <v>864</v>
      </c>
      <c r="AK107" s="220" t="str">
        <f>IF(AND(AD107="",AE107="",AF107="",AG107="",AH107="",AI107="",AJ107=""),"",IF(OR(Tabla1[[#This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EVALUACIÓN",IF(AND(O107="",R107=""),"",IF(AND(OR(O107&gt;0,R107&gt;0),NG107&gt;=0,NG107&lt;2),"SIN RIESGO",IF(AND(OR(O107&gt;0,R107&gt;0),NG107&gt;=2),"CON RIESGO","ASD")))))</f>
        <v>SIN RIESGO</v>
      </c>
      <c r="AL107" s="23" t="s">
        <v>864</v>
      </c>
      <c r="AM107" s="26" t="s">
        <v>864</v>
      </c>
      <c r="AN107" s="26" t="s">
        <v>864</v>
      </c>
      <c r="AO107" s="26" t="s">
        <v>864</v>
      </c>
      <c r="AP107" s="26" t="s">
        <v>864</v>
      </c>
      <c r="AQ107" s="26" t="s">
        <v>864</v>
      </c>
      <c r="AR107" s="26" t="s">
        <v>864</v>
      </c>
      <c r="AS107" s="21">
        <v>1</v>
      </c>
      <c r="AT107" s="21">
        <v>0</v>
      </c>
      <c r="AU107" s="21">
        <v>0</v>
      </c>
      <c r="AV107" s="26" t="s">
        <v>864</v>
      </c>
      <c r="AW107" s="21">
        <v>0</v>
      </c>
      <c r="AX107" s="26" t="s">
        <v>864</v>
      </c>
      <c r="AY107" s="26" t="s">
        <v>864</v>
      </c>
      <c r="AZ107" s="26" t="s">
        <v>864</v>
      </c>
      <c r="BA107" s="26" t="s">
        <v>864</v>
      </c>
      <c r="BB107" s="26" t="s">
        <v>864</v>
      </c>
      <c r="BC107" s="26" t="s">
        <v>864</v>
      </c>
      <c r="BD107" s="26" t="s">
        <v>864</v>
      </c>
      <c r="BE107" s="26" t="s">
        <v>864</v>
      </c>
      <c r="BF107" s="26" t="s">
        <v>864</v>
      </c>
      <c r="BG107" s="26" t="s">
        <v>864</v>
      </c>
      <c r="BH107" s="26" t="s">
        <v>864</v>
      </c>
      <c r="BI107" s="26" t="s">
        <v>864</v>
      </c>
      <c r="BJ107" s="26" t="s">
        <v>864</v>
      </c>
      <c r="BK107" s="26" t="s">
        <v>864</v>
      </c>
      <c r="BL107" s="26" t="s">
        <v>864</v>
      </c>
      <c r="BM107" s="26" t="s">
        <v>864</v>
      </c>
      <c r="BN107" s="22"/>
      <c r="BO107" s="22">
        <v>44919</v>
      </c>
      <c r="BP107" s="21" t="s">
        <v>854</v>
      </c>
      <c r="BQ107" s="222">
        <f t="shared" si="254"/>
        <v>0</v>
      </c>
      <c r="BR107" s="223">
        <f t="shared" si="255"/>
        <v>44919.8</v>
      </c>
      <c r="BS107" s="224">
        <f t="shared" si="256"/>
        <v>6.7142857142857144</v>
      </c>
      <c r="BT107" s="216" t="str">
        <f t="shared" si="257"/>
        <v>I TRIM</v>
      </c>
      <c r="BU107" s="214" t="str">
        <f t="shared" ca="1" si="258"/>
        <v/>
      </c>
      <c r="BV107" s="25"/>
      <c r="BW107" s="22">
        <v>45008</v>
      </c>
      <c r="BX107" s="28">
        <v>12.6</v>
      </c>
      <c r="BY107" s="28"/>
      <c r="BZ107" s="22">
        <v>45009</v>
      </c>
      <c r="CA107" s="21">
        <v>12.6</v>
      </c>
      <c r="CB107" s="26" t="s">
        <v>864</v>
      </c>
      <c r="CC107" s="26" t="s">
        <v>864</v>
      </c>
      <c r="CD107" s="26"/>
      <c r="CE107" s="26" t="s">
        <v>864</v>
      </c>
      <c r="CF107" s="22" t="s">
        <v>1517</v>
      </c>
      <c r="CG107" s="21">
        <v>1.52</v>
      </c>
      <c r="CH107" s="21">
        <v>56</v>
      </c>
      <c r="CI107" s="214">
        <f t="shared" si="259"/>
        <v>24.238227146814403</v>
      </c>
      <c r="CJ107" s="225" t="str">
        <f>IF(AND(CI107&lt;10,CH107="SD"),"SIN DATO PESO PREGESTACION O I TRIM",IF(AND(OR(R107&gt;0,O107&gt;0),CI107="X"),"INGRESAR DATO DE PESO",IF(CI107="SD","INGRESAR DATO DE TALLA Y PESO",IF(AND(OR(Tabla1[[#This Row],[MOMENTO EN QUE SE REALIZA EL PESO AL INGRESO A CPN]]="PREGESTACIÓN",NZ107="Menor"),CI107&lt;18.5),"BAJO PESO",IF(AND(OR(Tabla1[[#This Row],[MOMENTO EN QUE SE REALIZA EL PESO AL INGRESO A CPN]]="PREGESTACIÓN",NZ107="Menor"),CI107&lt;25),"NORMAL",IF(AND(OR(Tabla1[[#This Row],[MOMENTO EN QUE SE REALIZA EL PESO AL INGRESO A CPN]]="PREGESTACIÓN",NZ107="Menor"),CI107&lt;30),"SOBREPESO",IF(AND(OR(Tabla1[[#This Row],[MOMENTO EN QUE SE REALIZA EL PESO AL INGRESO A CPN]]="PREGESTACIÓN",NZ107="Menor"),CI107&gt;=30,CI107&lt;50),"OBESIDAD",IF(AND(BS107&gt;0,Tabla1[[#This Row],[MOMENTO EN QUE SE REALIZA EL PESO AL INGRESO A CPN]]="GESTACIÓN"),HLOOKUP(NZ107,$OA$2:PH107,NY107),""))))))))</f>
        <v>NORMAL</v>
      </c>
      <c r="CK107" s="212">
        <f t="shared" si="260"/>
        <v>45127</v>
      </c>
      <c r="CL107" s="21">
        <v>63</v>
      </c>
      <c r="CM107" s="214">
        <f t="shared" si="261"/>
        <v>27.268005540166204</v>
      </c>
      <c r="CN107" s="216">
        <f t="shared" si="262"/>
        <v>29</v>
      </c>
      <c r="CO107" s="216" t="e">
        <f>IF(PI107="","",IF(PI107&gt;0,HLOOKUP(PI107,$PJ$2:QQ107,NY107),""))</f>
        <v>#REF!</v>
      </c>
      <c r="CP107" s="21">
        <v>28</v>
      </c>
      <c r="CQ107" s="216" t="e">
        <f>IF(QR107="Menor","NO APLICA-MENOR 13 SEM",IF(AND(CC107="SI",CN107&gt;23),"NO APLICA- GEMELAR",IF(QR107="","",IF(QR107&gt;0,HLOOKUP(QR107,$QS$2:RU107,NY107),""))))</f>
        <v>#REF!</v>
      </c>
      <c r="CR107" s="21">
        <v>120</v>
      </c>
      <c r="CS107" s="21">
        <v>80</v>
      </c>
      <c r="CT107" s="217" t="str">
        <f>IF(R107="","",IF(AND(BS107&gt;1,BS107&lt;12,Tabla1[[#This Row],[T.A. SISTOLICA - ANTES DE SEMANA 12]]="",Tabla1[[#This Row],[T.A. DIASTOLICA - ANTES DE SEMANA 12]]=""),"REGISTRE DATO TA ANTES SEMANA 12",IF(AND(BS107&gt;11,BS107&lt;43,Tabla1[[#This Row],[T.A. SISTOLICA - ANTES DE SEMANA 12]]="",Tabla1[[#This Row],[T.A. DIASTOLICA - ANTES DE SEMANA 12]]=""),"NO APLICA REGISTRO TA-INGRESO TARDIO",IF(AND(OR(O107&gt;0,R107&gt;0),OR(CR107&gt;=140,CS107&gt;=90)),"DEFINIR ESTADIO HTA",IF(AND(OR(O107&gt;0,R107&gt;0),AND(CR107&gt;120,CR107&lt;=139)),"PRE HTA SEGUIMIENTO",IF(AND(OR(O107&gt;0,R107&gt;0),AND(CS107&gt;80,CS107&lt;=89)),"PRE HTA SEGUIMIENTO",IF(AND(OR(O107&gt;0,R107&gt;0),AND(CR107&gt;=80,CR107&lt;=120)),"APARENTEMENTE NORMAL",IF(AND(OR(O107&gt;0,R107&gt;0),AND(CS107&gt;=50,CS107&lt;=80)),"APARENTEMENTE NORMAL",IF(AND(OR(O107&gt;0,R107&gt;0),AND(CR107&gt;1,CR107&lt;=70),AND(CS107&gt;1,CS107&lt;=40)),"HIPOTENSIÓN","")))))))))</f>
        <v>APARENTEMENTE NORMAL</v>
      </c>
      <c r="CU107" s="21">
        <v>90</v>
      </c>
      <c r="CV107" s="21">
        <v>60</v>
      </c>
      <c r="CW107" s="217" t="str">
        <f ca="1">IF(R107="","",IF(AND(CN107&gt;19,CN107&lt;27,Tabla1[[#This Row],[T.A. SISTOLICA (Entre semana 20 y 26)]]="",Tabla1[[#This Row],[T.A. DIATOLICA (Entre semana 20 y 26)]]=""),"ACUDE A CONTROL SEM 20 A 26 REGISTRE TA AHORA",IF(AND(BS107&gt;1,BS107&lt;27,BU107&gt;19,Tabla1[[#This Row],[T.A. SISTOLICA (Entre semana 20 y 26)]]="",Tabla1[[#This Row],[T.A. DIATOLICA (Entre semana 20 y 26)]]=""),"COMPLETE REGISTRO TA CONTROL SEM 20 A26 ",IF(AND(BS107&gt;26,BS107&lt;43,Tabla1[[#This Row],[T.A. SISTOLICA (Entre semana 20 y 26)]]="",Tabla1[[#This Row],[T.A. DIATOLICA (Entre semana 20 y 26)]]=""),"NO APLICA REGISTRO TA-INGRESO TARDIO",IF(AND(OR(O107&gt;0,R107&gt;0),OR(CU107&gt;=140,CV107&gt;=90)),"ALTO RIESGO PREECLAMPSIA,DEFINIR ESTADIO HTA",IF(AND(OR(O107&gt;0,R107&gt;0),AND(CU107&gt;120,CU107&lt;=139)),"PRE HTA SEGUIMIENTO,RIESGO HIPERTENSION INDUCIDA POR EL EMBARAZO",IF(AND(OR(O107&gt;0,R107&gt;0),AND(CV107&gt;80,CV107&lt;=89)),"PRE HTA SEGUIMIENTO, RIESGO HIPERTENSION INDUCIDA POR EL EMBARAZO",IF(AND(OR(O107&lt;&gt;"",R107&lt;&gt;""),CS107&lt;&gt;"",CV107&lt;&gt;"",CS107&lt;=CV107),"VIGILAR CIFRAS PRESION ARTERIAL",IF(AND(OR(O107&gt;0,R107&gt;0),AND(CU107&gt;120,CU107&lt;=139)),"PRE HTA SEGUIMIENTO",IF(AND(OR(O107&gt;0,R107&gt;0),AND(CU107&gt;1,CU107&lt;=70),AND(CV107&gt;1,CV107&lt;=40)),"HIPOTENSIÓN",IF(AND(OR(O107&lt;&gt;"",R107&lt;&gt;""),CS107&lt;&gt;"",CV107&lt;&gt;"",CS107&gt;CV107),"APARENTEMENTE NORMAL",IF(AND(OR(O107&gt;0,R107&gt;0),AND(CU107&gt;=80,CU107&lt;=120)),"APARENTEMENTE NORMAL",IF(AND(OR(O107&gt;0,R107&gt;0),AND(CV107&gt;=50,CV107&lt;=80)),"APARENTEMENTE NORMAL","")))))))))))))</f>
        <v>APARENTEMENTE NORMAL</v>
      </c>
      <c r="CX107" s="21"/>
      <c r="CY107" s="21"/>
      <c r="CZ107" s="216" t="str">
        <f t="shared" si="456"/>
        <v/>
      </c>
      <c r="DA107" s="21">
        <v>100</v>
      </c>
      <c r="DB107" s="21">
        <v>60</v>
      </c>
      <c r="DC107" s="217" t="str">
        <f t="shared" si="264"/>
        <v>APARENTEMENTE NORMAL</v>
      </c>
      <c r="DD107" s="22">
        <v>44966</v>
      </c>
      <c r="DE107" s="22">
        <v>44966</v>
      </c>
      <c r="DF107" s="22">
        <v>44988</v>
      </c>
      <c r="DG107" s="22">
        <v>45017</v>
      </c>
      <c r="DH107" s="22">
        <v>45048</v>
      </c>
      <c r="DI107" s="22">
        <v>45091</v>
      </c>
      <c r="DJ107" s="22">
        <v>45127</v>
      </c>
      <c r="DK107" s="22"/>
      <c r="DL107" s="22"/>
      <c r="DM107" s="22"/>
      <c r="DN107" s="22"/>
      <c r="DO107" s="22"/>
      <c r="DP107" s="22"/>
      <c r="DQ107" s="22"/>
      <c r="DR107" s="28">
        <v>1</v>
      </c>
      <c r="DS107" s="22"/>
      <c r="DT107" s="22"/>
      <c r="DU107" s="216" t="str">
        <f t="shared" ca="1" si="438"/>
        <v>CONCERTAR PLAN DE PARTO INMEDIATO</v>
      </c>
      <c r="DV107" s="226" t="str">
        <f t="shared" si="439"/>
        <v>ACTIVA INGRESO A CPN</v>
      </c>
      <c r="DW1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7" s="216" t="e">
        <f t="shared" ca="1" si="266"/>
        <v>#REF!</v>
      </c>
      <c r="DY107" s="212">
        <f>IF(R107="","",IF(R107&gt;0,MAX(Tabla1[[#This Row],[FECHA C2]:[FECHA C13]],Tabla1[[#This Row],[FECHA CONSULTA PRIMERA VEZ PROGRAMA CPN ]])))</f>
        <v>45127</v>
      </c>
      <c r="DZ107" s="216">
        <f t="shared" si="267"/>
        <v>29</v>
      </c>
      <c r="EA107" s="222">
        <f>IF(R107&gt;0,SUM(COUNTA(DF107:DQ107)+COUNTA(Tabla1[[#This Row],[FECHA CONSULTA PRIMERA VEZ PROGRAMA CPN ]])),"")</f>
        <v>6</v>
      </c>
      <c r="EB107" s="222" t="str">
        <f t="shared" si="268"/>
        <v>SI</v>
      </c>
      <c r="EC107" s="214">
        <f t="shared" si="269"/>
        <v>10</v>
      </c>
      <c r="ED107" s="227">
        <f t="shared" si="270"/>
        <v>0.6</v>
      </c>
      <c r="EE107" s="22">
        <v>44966</v>
      </c>
      <c r="EF107" s="22">
        <v>44966</v>
      </c>
      <c r="EG107" s="22">
        <v>44966</v>
      </c>
      <c r="EH107" s="22">
        <v>45006</v>
      </c>
      <c r="EI107" s="22">
        <v>44966</v>
      </c>
      <c r="EJ107" s="22">
        <v>45040</v>
      </c>
      <c r="EK107" s="22">
        <v>45040</v>
      </c>
      <c r="EL107" s="21">
        <v>1</v>
      </c>
      <c r="EM107" s="21">
        <v>13.8</v>
      </c>
      <c r="EN107" s="22">
        <v>44967</v>
      </c>
      <c r="EO107" s="222">
        <f t="shared" si="271"/>
        <v>6.8571428571428568</v>
      </c>
      <c r="EP107" s="214" t="str">
        <f t="shared" si="272"/>
        <v>NORMAL- SUMINISTRAR SULFATO FERROSO</v>
      </c>
      <c r="EQ107" s="216" t="str">
        <f t="shared" si="273"/>
        <v>I TRIM</v>
      </c>
      <c r="ER107" s="24"/>
      <c r="ES107" s="22"/>
      <c r="ET107" s="29" t="str">
        <f t="shared" ca="1" si="440"/>
        <v>TOMA DE HEMOGLOBINA TARDÍA</v>
      </c>
      <c r="EU107" s="25" t="str">
        <f t="shared" si="275"/>
        <v/>
      </c>
      <c r="EV107" s="24" t="s">
        <v>1510</v>
      </c>
      <c r="EW107" s="24">
        <v>44967</v>
      </c>
      <c r="EX107" s="22"/>
      <c r="EY107" s="29">
        <f t="shared" si="453"/>
        <v>6.8571428571428568</v>
      </c>
      <c r="EZ107" s="25" t="str">
        <f t="shared" si="454"/>
        <v>SIN RIESGO DE ISOINMUNIZACIÓN</v>
      </c>
      <c r="FA107" s="21">
        <v>77</v>
      </c>
      <c r="FB107" s="22">
        <v>44967</v>
      </c>
      <c r="FC107" s="29">
        <f t="shared" si="276"/>
        <v>6.8571428571428568</v>
      </c>
      <c r="FD107" s="29"/>
      <c r="FE107" s="29"/>
      <c r="FF107" s="29"/>
      <c r="FG107" s="21" t="str">
        <f t="shared" ca="1" si="277"/>
        <v/>
      </c>
      <c r="FH107" s="31"/>
      <c r="FI107" s="29" t="str">
        <f t="shared" si="278"/>
        <v>TOMAR EXAMEN</v>
      </c>
      <c r="FJ107" s="22" t="s">
        <v>867</v>
      </c>
      <c r="FK107" s="22">
        <v>44967</v>
      </c>
      <c r="FL107" s="29">
        <f t="shared" ca="1" si="279"/>
        <v>6.8571428571428568</v>
      </c>
      <c r="FM107" s="22" t="s">
        <v>867</v>
      </c>
      <c r="FN107" s="32">
        <v>45028</v>
      </c>
      <c r="FO107" s="29">
        <f t="shared" ca="1" si="441"/>
        <v>15.571428571428571</v>
      </c>
      <c r="FP107" s="22"/>
      <c r="FQ107" s="32"/>
      <c r="FR107" s="29" t="str">
        <f t="shared" ca="1" si="442"/>
        <v>TOMA INMEDIATA DE TAMIZAJE</v>
      </c>
      <c r="FS107" s="22"/>
      <c r="FT107" s="32"/>
      <c r="FU107" s="29" t="str">
        <f>IF(AND(FJ107="",FM107="",FP107="",FS107=""),"",IF(OR(OR(Tabla1[[#This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7" s="28"/>
      <c r="FW107" s="22"/>
      <c r="FX107" s="29" t="str">
        <f t="shared" si="280"/>
        <v>TOMAR EXAMEN</v>
      </c>
      <c r="FY107" s="22"/>
      <c r="FZ107" s="22"/>
      <c r="GA107" s="29" t="str">
        <f t="shared" ca="1" si="452"/>
        <v>PIERDE TOMA DE TAMIZAJE</v>
      </c>
      <c r="GB107" s="22" t="s">
        <v>868</v>
      </c>
      <c r="GC107" s="22">
        <v>45028</v>
      </c>
      <c r="GD107" s="29">
        <f t="shared" ca="1" si="443"/>
        <v>15.571428571428571</v>
      </c>
      <c r="GE107" s="22"/>
      <c r="GF107" s="22"/>
      <c r="GG107" s="29" t="str">
        <f t="shared" ca="1" si="444"/>
        <v>TOMA INMEDIATA DE TAMIZAJE</v>
      </c>
      <c r="GH107" s="22"/>
      <c r="GI107" s="29"/>
      <c r="GJ107" s="22"/>
      <c r="GK107" s="22"/>
      <c r="GL107" s="22"/>
      <c r="GM107" s="22"/>
      <c r="GN107" s="28" t="s">
        <v>869</v>
      </c>
      <c r="GO107" s="22">
        <v>45028</v>
      </c>
      <c r="GP107" s="29">
        <f t="shared" si="283"/>
        <v>15.571428571428571</v>
      </c>
      <c r="GQ107" s="28" t="s">
        <v>880</v>
      </c>
      <c r="GR107" s="28" t="s">
        <v>869</v>
      </c>
      <c r="GS107" s="22" t="str">
        <f t="shared" si="457"/>
        <v>SE EXCLUYE INFECCION</v>
      </c>
      <c r="GT107" s="22">
        <v>45028</v>
      </c>
      <c r="GU107" s="29">
        <f t="shared" si="285"/>
        <v>15.571428571428571</v>
      </c>
      <c r="GV107" s="21" t="str">
        <f t="shared" si="286"/>
        <v>II TRIM</v>
      </c>
      <c r="GW107" s="28"/>
      <c r="GX107" s="30"/>
      <c r="GY107" s="21"/>
      <c r="GZ107" s="21"/>
      <c r="HA107" s="21"/>
      <c r="HB107" s="21"/>
      <c r="HC107" s="21"/>
      <c r="HD107" s="21"/>
      <c r="HE107" s="21"/>
      <c r="HF107" s="22"/>
      <c r="HG107" s="22" t="str">
        <f>IF(OR(O107&gt;0,R107&gt;0),CONCATENATE(IF(Tabla1[[#This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7" s="22" t="e">
        <f t="shared" si="287"/>
        <v>#REF!</v>
      </c>
      <c r="HI107" s="22" t="e">
        <f t="shared" ca="1" si="288"/>
        <v>#REF!</v>
      </c>
      <c r="HJ107" s="21"/>
      <c r="HK107" s="21" t="str">
        <f t="shared" si="289"/>
        <v>SIN ANTECEDENTES DE RIESGO</v>
      </c>
      <c r="HL107" s="24" t="str">
        <f t="shared" si="290"/>
        <v>APARENTEMENTE NORMAL</v>
      </c>
      <c r="HM107" s="21" t="e">
        <f t="shared" ca="1" si="291"/>
        <v>#REF!</v>
      </c>
      <c r="HN107" s="30" t="str">
        <f t="shared" si="445"/>
        <v>ACTIVA INGRESO A CPN</v>
      </c>
      <c r="HO107" s="21"/>
      <c r="HP107" s="21"/>
      <c r="HQ107" s="349">
        <v>44988</v>
      </c>
      <c r="HR107" s="21" t="str">
        <f>IF(R107="","",IF(Tabla1[[#This Row],[ALARMA FACTORES DE RIESGO COMPLICACIONES HIPERTENSIVAS3]]="SIN ANTECEDENTES DE RIESGO","No Aplica para suministro de ASA",IF(AND(Tabla1[[#This Row],[FECHA INICIO DE SUMINISTRO DE ASA]]&gt;0,RV107&lt;12),"Inicia ASA ANTES de Sem 12",IF(AND(RV107&gt;11,RV107&lt;17,OR(HK107="RIESGO ALTO DE COMPLICACIONES HIPERTENSIVAS VER MANEJO GUIA SUMINISTRO ASA Y CALCIO",HK107="RIESGO MODERADO (2 O MAS CRITERIOS) VER MANEJO GUIA SUMINISTRO ASA Y CALCIO")),"Inicio oportuno de ASA",IF(AND(RV107&gt;12,OR(HK107="RIESGO ALTO DE COMPLICACIONES HIPERTENSIVAS VER MANEJO GUIA SUMINISTRO ASA Y CALCIO",HK107="RIESGO MODERADO (2 O MAS CRITERIOS) VER MANEJO GUIA SUMINISTRO ASA Y CALCIO")),"Inicio no oportuno mayor a 16 semanas",IF(AND(BU107&lt;12,OR(HK107="RIESGO ALTO DE COMPLICACIONES HIPERTENSIVAS VER MANEJO GUIA SUMINISTRO ASA Y CALCIO",HK107="RIESGO MODERADO (2 O MAS CRITERIOS) VER MANEJO GUIA SUMINISTRO ASA Y CALCIO")),"Pendiente Inicio de ASA a la semana 12",IF(AND(BU107&gt;11,BU107&lt;17,OR(HK107="RIESGO ALTO DE COMPLICACIONES HIPERTENSIVAS VER MANEJO GUIA SUMINISTRO ASA Y CALCIO",HK107="RIESGO MODERADO (2 O MAS CRITERIOS) VER MANEJO GUIA SUMINISTRO ASA Y CALCIO")),"Iniciar de inmediato ASA",IF(AND(BU107&gt;16,OR(HK107="RIESGO ALTO DE COMPLICACIONES HIPERTENSIVAS VER MANEJO GUIA SUMINISTRO ASA Y CALCIO",HK107="RIESGO MODERADO (2 O MAS CRITERIOS) VER MANEJO GUIA SUMINISTRO ASA Y CALCIO")),"Pierde Oportunidad, Inicio tardío de ASA","XXXXX"))))))))</f>
        <v>No Aplica para suministro de ASA</v>
      </c>
      <c r="HS107" s="22">
        <v>44988</v>
      </c>
      <c r="HT107" s="22" t="s">
        <v>870</v>
      </c>
      <c r="HU107" s="22">
        <v>44988</v>
      </c>
      <c r="HV107" s="22" t="s">
        <v>870</v>
      </c>
      <c r="HW107" s="22">
        <v>44988</v>
      </c>
      <c r="HX107" s="22" t="s">
        <v>870</v>
      </c>
      <c r="HY107" s="22">
        <v>44979</v>
      </c>
      <c r="HZ107" s="28">
        <f t="shared" si="292"/>
        <v>8.5714285714285712</v>
      </c>
      <c r="IA107" s="26"/>
      <c r="IB107" s="26"/>
      <c r="IC107" s="111"/>
      <c r="ID107" s="22"/>
      <c r="IE107" s="22" t="str">
        <f t="shared" ca="1" si="293"/>
        <v/>
      </c>
      <c r="IF107" s="22"/>
      <c r="IG107" s="22">
        <f t="shared" si="294"/>
        <v>45199</v>
      </c>
      <c r="IH107" s="29">
        <f t="shared" ca="1" si="295"/>
        <v>-34</v>
      </c>
      <c r="II107" s="22" t="str">
        <f t="shared" ca="1" si="296"/>
        <v>POSIBLEMENTE NACIO</v>
      </c>
      <c r="IJ107" s="22"/>
      <c r="IK107" s="21"/>
      <c r="IL107" s="21"/>
      <c r="IM107" s="34"/>
      <c r="IN107" s="22"/>
      <c r="IO107" s="21"/>
      <c r="IP107" s="29" t="str">
        <f t="shared" ref="IP107:IP138" si="489">IF(AND(IN107&gt;0,IK107&lt;&gt;""),SUM(IN107-RW107)/7,"")</f>
        <v/>
      </c>
      <c r="IQ107" s="110"/>
      <c r="IR107" s="21"/>
      <c r="IS107" s="21"/>
      <c r="IT107" s="21"/>
      <c r="IU107" s="21"/>
      <c r="IV107" s="21"/>
      <c r="IW107" s="21"/>
      <c r="IX107" s="21"/>
      <c r="IY107" s="21"/>
      <c r="IZ107" s="21"/>
      <c r="JA107" s="21"/>
      <c r="JB107" s="30"/>
      <c r="JC107" s="21"/>
      <c r="JD107" s="36"/>
      <c r="JE107" s="21" t="str">
        <f t="shared" si="446"/>
        <v/>
      </c>
      <c r="JF107" s="30"/>
      <c r="JG107" s="21"/>
      <c r="JH107" s="21"/>
      <c r="JI107" s="21"/>
      <c r="JJ107" s="30"/>
      <c r="JK107" s="22"/>
      <c r="JL107" s="22"/>
      <c r="JM107" s="21"/>
      <c r="JN107" s="36"/>
      <c r="JO107" s="21" t="str">
        <f t="shared" si="447"/>
        <v/>
      </c>
      <c r="JP107" s="22"/>
      <c r="JQ107" s="21"/>
      <c r="JR107" s="21"/>
      <c r="JS107" s="21"/>
      <c r="JT107" s="30"/>
      <c r="JU107" s="22"/>
      <c r="JV107" s="22"/>
      <c r="JW107" s="33"/>
      <c r="JX107" s="28" t="str">
        <f t="shared" si="448"/>
        <v/>
      </c>
      <c r="JY107" s="33"/>
      <c r="JZ107" s="28" t="str">
        <f t="shared" si="449"/>
        <v/>
      </c>
      <c r="KA107" s="21"/>
      <c r="KB107" s="21"/>
      <c r="KC107" s="21"/>
      <c r="KD107" s="37"/>
      <c r="KE107" s="28"/>
      <c r="KF107" s="28"/>
      <c r="KG107" s="28"/>
      <c r="KH107" s="39"/>
      <c r="KI107" s="39"/>
      <c r="KJ107" s="66"/>
      <c r="KK107" s="39"/>
      <c r="KL107" s="39"/>
      <c r="KM107" s="66"/>
      <c r="KN107" s="39"/>
      <c r="KO107" s="39"/>
      <c r="KP107" s="39"/>
      <c r="KQ107" s="39"/>
      <c r="KR107" s="39"/>
      <c r="KS107" s="39"/>
      <c r="KT107" s="39"/>
      <c r="KU107" s="38"/>
      <c r="KV107" s="38"/>
      <c r="KW107" s="38"/>
      <c r="KX107" s="38"/>
      <c r="KY107" s="38"/>
      <c r="KZ107" s="38"/>
      <c r="LA107" s="38"/>
      <c r="LB107" s="38"/>
      <c r="LC107" s="38"/>
      <c r="LD107" s="38"/>
      <c r="LE107" s="38"/>
      <c r="LF107" s="38"/>
      <c r="LG107" s="38"/>
      <c r="LH107" s="38"/>
      <c r="LI107" s="38"/>
      <c r="LJ107" s="38"/>
      <c r="LK107" s="38"/>
      <c r="LL107" s="38"/>
      <c r="LM107" s="38"/>
      <c r="LN107" s="38"/>
      <c r="LO107" s="38"/>
      <c r="LP107" s="38"/>
      <c r="LQ107" s="38"/>
      <c r="LR107" s="38"/>
      <c r="LS107" s="38"/>
      <c r="LT107" s="38"/>
      <c r="LU107" s="38"/>
      <c r="LV107" s="38"/>
      <c r="LW107" s="38"/>
      <c r="LX107" s="38"/>
      <c r="LY107" s="38"/>
      <c r="LZ107" s="38"/>
      <c r="MA107" s="38"/>
      <c r="MB107" s="38"/>
      <c r="MC107" s="38"/>
      <c r="MD107" s="38"/>
      <c r="ME107" s="38"/>
      <c r="MF107" s="38"/>
      <c r="MG107" s="38"/>
      <c r="MH107" s="43">
        <f t="shared" si="458"/>
        <v>0</v>
      </c>
      <c r="MI107" s="43" t="str">
        <f t="shared" si="459"/>
        <v/>
      </c>
      <c r="MJ107" s="43" t="str">
        <f t="shared" si="460"/>
        <v/>
      </c>
      <c r="MK107" s="43">
        <f t="shared" si="461"/>
        <v>0</v>
      </c>
      <c r="ML1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7" s="43">
        <f t="shared" si="462"/>
        <v>6.7142857142857144</v>
      </c>
      <c r="MN107" s="43">
        <f t="shared" si="463"/>
        <v>2</v>
      </c>
      <c r="MO107" s="43">
        <f t="shared" si="464"/>
        <v>2023</v>
      </c>
      <c r="MP107" s="43" t="str">
        <f t="shared" si="465"/>
        <v>I TRIMESTRE AÑO</v>
      </c>
      <c r="MQ107" s="43">
        <f t="shared" si="466"/>
        <v>24.392247043363994</v>
      </c>
      <c r="MR107" s="43">
        <f t="shared" si="467"/>
        <v>0</v>
      </c>
      <c r="MS107" s="43" t="str">
        <f t="shared" si="468"/>
        <v xml:space="preserve"> DE 20 A 24 AÑOS</v>
      </c>
      <c r="MT107" s="43">
        <f t="shared" si="469"/>
        <v>0</v>
      </c>
      <c r="MU107" s="43">
        <f t="shared" si="470"/>
        <v>1</v>
      </c>
      <c r="MV107" s="43">
        <f t="shared" si="471"/>
        <v>0</v>
      </c>
      <c r="MW107" s="43">
        <f t="shared" si="472"/>
        <v>0</v>
      </c>
      <c r="MX107" s="43" t="str">
        <f t="shared" si="473"/>
        <v/>
      </c>
      <c r="MY107" s="43" t="str">
        <f t="shared" ca="1" si="450"/>
        <v/>
      </c>
      <c r="MZ107" s="43" t="str">
        <f t="shared" si="474"/>
        <v/>
      </c>
      <c r="NA107" s="43" t="str">
        <f t="shared" si="475"/>
        <v/>
      </c>
      <c r="NB107" s="43" t="str">
        <f t="shared" si="476"/>
        <v/>
      </c>
      <c r="NC107" s="43" t="str">
        <f t="shared" si="477"/>
        <v/>
      </c>
      <c r="ND107" s="43">
        <f t="shared" ca="1" si="478"/>
        <v>1</v>
      </c>
      <c r="NE107" s="43">
        <f>IF(OR(O107&gt;0,R107&gt;0),SUM(COUNTIF(Tabla1[[#This Row],[AÑOS AL INICIO5 CPN]],"&gt;=40"),COUNTIF(AS107,"0"),COUNTIF(AR107,"SI"),COUNTIF(CC107,"SI"),COUNTIF(BQ107,"&gt;119"),COUNTIF(CI107,"&gt;=35")),"")</f>
        <v>0</v>
      </c>
      <c r="NF107" s="43" t="str">
        <f t="shared" si="479"/>
        <v/>
      </c>
      <c r="NG107" s="43">
        <f t="shared" si="480"/>
        <v>0</v>
      </c>
      <c r="NH107" s="43">
        <f t="shared" si="481"/>
        <v>88.2</v>
      </c>
      <c r="NI1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CPN",P107="NO"),"Z",IF(AND(Tabla1[[#This Row],[CITA PROXIMO CONTROL]]="CITA MANUAL",Tabla1[[#This Row],[GESTANTES ACTUALES]]="ACTIVA INGRESO A CPN"),"W",IF(AND(Tabla1[[#This Row],[GESTANTES ACTUALES]]="SALIO PROGRAMA",IN107=""),"S",IF(AND(Tabla1[[#This Row],[CITA PROXIMO CONTROL]]&gt;0,IN107=""),(Tabla1[[#This Row],[CITA PROXIMO CONTROL]]-TODAY()),"SD"))))))))</f>
        <v>#REF!</v>
      </c>
      <c r="NJ107" s="43">
        <f>MONTH(Tabla1[[#This Row],[FECHA DE SALIDA  DEL PROGRAMA]])</f>
        <v>1</v>
      </c>
      <c r="NK107" s="43">
        <f>YEAR(Tabla1[[#This Row],[FECHA DE SALIDA  DEL PROGRAMA]])</f>
        <v>1900</v>
      </c>
      <c r="NL107" s="43">
        <f t="shared" si="482"/>
        <v>74</v>
      </c>
      <c r="NM107" s="43" t="str">
        <f t="shared" si="455"/>
        <v>NO</v>
      </c>
      <c r="NN107" s="43" t="str">
        <f ca="1">IF(AND(O107&gt;0,R107=""),"NO CPN",IF(AND(O107="",R107=""),"",IF(AND(R107&gt;0,Tabla1[[#This Row],[SEMANAS DE GESTACION ACTUALIZADAS]]&lt;=12),"NO APLICA",IF(AND(FH107&lt;&gt;"",FN107&lt;&gt;""),"SI","NO"))))</f>
        <v>NO</v>
      </c>
      <c r="NO107" s="43" t="str">
        <f ca="1">IF(AND(O107&gt;0,R107=""),"NO CPN",IF(AND(O107="",R107=""),"",IF(AND(R107&gt;0,Tabla1[[#This Row],[SEMANAS DE GESTACION ACTUALIZADAS]]&lt;=27),"NO APLICA",IF(AND(ES107&lt;&gt;"",FQ107&lt;&gt;"",GF107&lt;&gt;""),"SI","NO"))))</f>
        <v>NO</v>
      </c>
      <c r="NP107" s="204" t="str">
        <f t="shared" si="483"/>
        <v>I TRIM</v>
      </c>
      <c r="NQ107" s="21" t="str">
        <f t="shared" si="436"/>
        <v/>
      </c>
      <c r="NR107" s="21" t="str">
        <f t="shared" ca="1" si="451"/>
        <v>REVISAR FUM O FECHA SALIDA PROGRAMA</v>
      </c>
      <c r="NS107" s="205">
        <f t="shared" ca="1" si="484"/>
        <v>2</v>
      </c>
      <c r="NT107" s="21">
        <f t="shared" ca="1" si="485"/>
        <v>1</v>
      </c>
      <c r="NU107" s="21" t="str">
        <f t="shared" ca="1" si="486"/>
        <v>POR DEFINIR</v>
      </c>
      <c r="NV107" s="21" t="str">
        <f t="shared" ca="1" si="487"/>
        <v>POR DEFINIR</v>
      </c>
      <c r="NW107" s="206" t="str">
        <f>IF(AND(O107="",R107=""),"",IF(OR(AND(Tabla1[[#This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7" s="207" t="str">
        <f t="shared" ca="1" si="488"/>
        <v>SIN VACUNAR</v>
      </c>
      <c r="NY107" s="43">
        <f>ROW(Tabla1[[#This Row],['# DE TAMIZAJES SIFILIS TOMADOS ]])</f>
        <v>107</v>
      </c>
      <c r="NZ107" s="43" t="str">
        <f t="shared" si="333"/>
        <v>Menor</v>
      </c>
      <c r="OA107" s="43" t="str">
        <f t="shared" si="334"/>
        <v>NORMAL</v>
      </c>
      <c r="OB107" s="43" t="str">
        <f t="shared" si="335"/>
        <v/>
      </c>
      <c r="OC107" s="43" t="str">
        <f t="shared" si="336"/>
        <v/>
      </c>
      <c r="OD107" s="43" t="str">
        <f t="shared" si="337"/>
        <v/>
      </c>
      <c r="OE107" s="43" t="str">
        <f t="shared" si="338"/>
        <v/>
      </c>
      <c r="OF107" s="43" t="str">
        <f t="shared" si="339"/>
        <v/>
      </c>
      <c r="OG107" s="43" t="str">
        <f t="shared" si="340"/>
        <v/>
      </c>
      <c r="OH107" s="43" t="str">
        <f t="shared" si="341"/>
        <v/>
      </c>
      <c r="OI107" s="43" t="str">
        <f t="shared" si="342"/>
        <v/>
      </c>
      <c r="OJ107" s="43" t="str">
        <f t="shared" si="343"/>
        <v/>
      </c>
      <c r="OK107" s="43" t="str">
        <f t="shared" si="344"/>
        <v/>
      </c>
      <c r="OL107" s="43" t="str">
        <f t="shared" si="345"/>
        <v/>
      </c>
      <c r="OM107" s="43" t="str">
        <f t="shared" si="346"/>
        <v/>
      </c>
      <c r="ON107" s="43" t="str">
        <f t="shared" si="347"/>
        <v/>
      </c>
      <c r="OO107" s="43" t="str">
        <f t="shared" si="348"/>
        <v/>
      </c>
      <c r="OP107" s="43" t="str">
        <f t="shared" si="349"/>
        <v/>
      </c>
      <c r="OQ107" s="43" t="str">
        <f t="shared" si="350"/>
        <v/>
      </c>
      <c r="OR107" s="43" t="str">
        <f t="shared" si="351"/>
        <v/>
      </c>
      <c r="OS107" s="43" t="str">
        <f t="shared" si="352"/>
        <v/>
      </c>
      <c r="OT107" s="43" t="str">
        <f t="shared" si="353"/>
        <v/>
      </c>
      <c r="OU107" s="43" t="str">
        <f t="shared" si="354"/>
        <v/>
      </c>
      <c r="OV107" s="110" t="str">
        <f t="shared" si="355"/>
        <v/>
      </c>
      <c r="OW107" s="43" t="str">
        <f t="shared" si="356"/>
        <v/>
      </c>
      <c r="OX107" s="43" t="str">
        <f t="shared" si="357"/>
        <v/>
      </c>
      <c r="OY107" s="43" t="str">
        <f t="shared" si="358"/>
        <v/>
      </c>
      <c r="OZ107" s="43" t="str">
        <f t="shared" si="359"/>
        <v/>
      </c>
      <c r="PA107" s="43" t="str">
        <f t="shared" si="360"/>
        <v/>
      </c>
      <c r="PB107" s="43" t="str">
        <f t="shared" si="361"/>
        <v/>
      </c>
      <c r="PC107" s="43" t="str">
        <f t="shared" si="362"/>
        <v/>
      </c>
      <c r="PD107" s="43" t="str">
        <f t="shared" si="363"/>
        <v/>
      </c>
      <c r="PE107" s="43" t="str">
        <f t="shared" si="364"/>
        <v/>
      </c>
      <c r="PF107" s="43" t="str">
        <f t="shared" si="365"/>
        <v/>
      </c>
      <c r="PG107" s="43" t="str">
        <f t="shared" si="366"/>
        <v/>
      </c>
      <c r="PH107" s="43" t="str">
        <f t="shared" si="367"/>
        <v/>
      </c>
      <c r="PI107" s="43">
        <f t="shared" si="368"/>
        <v>29</v>
      </c>
      <c r="PJ107" s="43" t="str">
        <f t="shared" si="369"/>
        <v/>
      </c>
      <c r="PK107" s="43" t="str">
        <f t="shared" si="370"/>
        <v/>
      </c>
      <c r="PL107" s="43" t="str">
        <f t="shared" si="371"/>
        <v/>
      </c>
      <c r="PM107" s="43" t="str">
        <f t="shared" si="372"/>
        <v/>
      </c>
      <c r="PN107" s="43" t="str">
        <f t="shared" si="373"/>
        <v/>
      </c>
      <c r="PO107" s="43" t="str">
        <f t="shared" si="374"/>
        <v/>
      </c>
      <c r="PP107" s="43" t="str">
        <f t="shared" si="375"/>
        <v/>
      </c>
      <c r="PQ107" s="43" t="str">
        <f t="shared" si="376"/>
        <v/>
      </c>
      <c r="PR107" s="43" t="str">
        <f t="shared" si="377"/>
        <v/>
      </c>
      <c r="PS107" s="43" t="str">
        <f t="shared" si="378"/>
        <v/>
      </c>
      <c r="PT107" s="43" t="str">
        <f t="shared" si="379"/>
        <v/>
      </c>
      <c r="PU107" s="43" t="str">
        <f t="shared" si="380"/>
        <v/>
      </c>
      <c r="PV107" s="43" t="str">
        <f t="shared" si="381"/>
        <v/>
      </c>
      <c r="PW107" s="43" t="str">
        <f t="shared" si="382"/>
        <v/>
      </c>
      <c r="PX107" s="43" t="str">
        <f t="shared" si="383"/>
        <v/>
      </c>
      <c r="PY107" s="43" t="str">
        <f t="shared" si="384"/>
        <v/>
      </c>
      <c r="PZ107" s="43" t="str">
        <f t="shared" si="385"/>
        <v/>
      </c>
      <c r="QA107" s="43" t="str">
        <f t="shared" si="386"/>
        <v/>
      </c>
      <c r="QB107" s="43" t="str">
        <f t="shared" si="387"/>
        <v/>
      </c>
      <c r="QC107" s="43" t="str">
        <f t="shared" si="388"/>
        <v/>
      </c>
      <c r="QD107" s="43" t="str">
        <f t="shared" si="389"/>
        <v>NORMAL</v>
      </c>
      <c r="QE107" s="43" t="str">
        <f t="shared" si="390"/>
        <v/>
      </c>
      <c r="QF107" s="43" t="str">
        <f t="shared" si="391"/>
        <v/>
      </c>
      <c r="QG107" s="43" t="str">
        <f t="shared" si="392"/>
        <v/>
      </c>
      <c r="QH107" s="43" t="str">
        <f t="shared" si="393"/>
        <v/>
      </c>
      <c r="QI107" s="43" t="str">
        <f t="shared" si="394"/>
        <v/>
      </c>
      <c r="QJ107" s="43" t="str">
        <f t="shared" si="395"/>
        <v/>
      </c>
      <c r="QK107" s="43" t="str">
        <f t="shared" si="396"/>
        <v/>
      </c>
      <c r="QL107" s="43" t="str">
        <f t="shared" si="397"/>
        <v/>
      </c>
      <c r="QM107" s="43" t="str">
        <f t="shared" si="398"/>
        <v/>
      </c>
      <c r="QN107" s="43" t="str">
        <f t="shared" si="399"/>
        <v/>
      </c>
      <c r="QO107" s="43" t="str">
        <f t="shared" si="400"/>
        <v/>
      </c>
      <c r="QP107" s="43" t="str">
        <f t="shared" si="401"/>
        <v/>
      </c>
      <c r="QQ107" s="43" t="str">
        <f t="shared" si="402"/>
        <v/>
      </c>
      <c r="QR107" s="43">
        <f t="shared" si="432"/>
        <v>29</v>
      </c>
      <c r="QS107" s="43"/>
      <c r="QT107" s="21" t="str">
        <f t="shared" si="403"/>
        <v/>
      </c>
      <c r="QU107" s="21" t="str">
        <f t="shared" si="404"/>
        <v/>
      </c>
      <c r="QV107" s="21" t="str">
        <f t="shared" si="405"/>
        <v/>
      </c>
      <c r="QW107" s="21" t="str">
        <f t="shared" si="406"/>
        <v/>
      </c>
      <c r="QX107" s="21" t="str">
        <f t="shared" si="407"/>
        <v/>
      </c>
      <c r="QY107" s="21" t="str">
        <f t="shared" si="408"/>
        <v/>
      </c>
      <c r="QZ107" s="21" t="str">
        <f t="shared" si="409"/>
        <v/>
      </c>
      <c r="RA107" s="21" t="str">
        <f t="shared" si="410"/>
        <v/>
      </c>
      <c r="RB107" s="21" t="str">
        <f t="shared" si="411"/>
        <v/>
      </c>
      <c r="RC107" s="21" t="str">
        <f t="shared" si="412"/>
        <v/>
      </c>
      <c r="RD107" s="21" t="str">
        <f t="shared" si="413"/>
        <v/>
      </c>
      <c r="RE107" s="21" t="str">
        <f t="shared" si="414"/>
        <v/>
      </c>
      <c r="RF107" s="21" t="str">
        <f t="shared" si="415"/>
        <v/>
      </c>
      <c r="RG107" s="21" t="str">
        <f t="shared" si="416"/>
        <v/>
      </c>
      <c r="RH107" s="21" t="str">
        <f t="shared" si="417"/>
        <v/>
      </c>
      <c r="RI107" s="21" t="str">
        <f t="shared" si="418"/>
        <v/>
      </c>
      <c r="RJ107" s="21" t="str">
        <f t="shared" si="419"/>
        <v>ADECUADO PARA EDAD GESTACIONAL</v>
      </c>
      <c r="RK107" s="21" t="str">
        <f t="shared" si="420"/>
        <v/>
      </c>
      <c r="RL107" s="21" t="str">
        <f t="shared" si="421"/>
        <v/>
      </c>
      <c r="RM107" s="21" t="str">
        <f t="shared" si="422"/>
        <v/>
      </c>
      <c r="RN107" s="21" t="str">
        <f t="shared" si="423"/>
        <v/>
      </c>
      <c r="RO107" s="21" t="str">
        <f t="shared" si="424"/>
        <v/>
      </c>
      <c r="RP107" s="21" t="str">
        <f t="shared" si="425"/>
        <v/>
      </c>
      <c r="RQ107" s="21" t="str">
        <f t="shared" si="426"/>
        <v/>
      </c>
      <c r="RR107" s="21" t="str">
        <f t="shared" si="427"/>
        <v/>
      </c>
      <c r="RS107" s="21" t="str">
        <f t="shared" si="428"/>
        <v/>
      </c>
      <c r="RT107" s="21" t="str">
        <f t="shared" si="429"/>
        <v/>
      </c>
      <c r="RU107" s="21" t="str">
        <f t="shared" si="430"/>
        <v/>
      </c>
      <c r="RV107" s="21">
        <f t="shared" si="431"/>
        <v>9.8571428571428577</v>
      </c>
      <c r="RW107" s="284">
        <f>IF(OR(Tabla1[[#This Row],[FUM FORMULA CONFIABLE]]="",Tabla1[[#This Row],[FUM FORMULA CONFIABLE]]="SD"),"",IF(Tabla1[[#This Row],[FUM FORMULA CONFIABLE]]="CORREGIDA",Tabla1[[#This Row],[FUM X ECO 1]],Tabla1[[#This Row],[FUM x AMENORREA]]))</f>
        <v>44919</v>
      </c>
      <c r="RX107" s="21">
        <f>IF(AND(Tabla1[[#This Row],[FUM X ECO 1]]="",Tabla1[[#This Row],[FUM x AMENORREA]]=""),"",IF(AND(Tabla1[[#This Row],[FUM X ECO 1]]="",Tabla1[[#This Row],[FUM x AMENORREA]]&lt;&gt;""),"X",SUM(Tabla1[[#This Row],[FUM X ECO 1]]-Tabla1[[#This Row],[FUM x AMENORREA]])))</f>
        <v>0.80000000000291038</v>
      </c>
      <c r="RY107" s="21">
        <f t="shared" si="433"/>
        <v>0</v>
      </c>
    </row>
    <row r="108" spans="1:493" ht="45" customHeight="1" x14ac:dyDescent="0.25">
      <c r="A108" s="109"/>
      <c r="B108" s="43"/>
      <c r="C108" s="43" t="s">
        <v>845</v>
      </c>
      <c r="D108" s="124"/>
      <c r="E108" s="43" t="s">
        <v>884</v>
      </c>
      <c r="F108" s="43" t="s">
        <v>1322</v>
      </c>
      <c r="G108" s="43" t="s">
        <v>1323</v>
      </c>
      <c r="H108" s="43" t="s">
        <v>1324</v>
      </c>
      <c r="I108" s="109" t="s">
        <v>851</v>
      </c>
      <c r="J108" s="110" t="s">
        <v>1325</v>
      </c>
      <c r="K108" s="43" t="s">
        <v>852</v>
      </c>
      <c r="L108" s="175" t="s">
        <v>853</v>
      </c>
      <c r="M108" s="22">
        <v>34229</v>
      </c>
      <c r="N108" s="213">
        <f t="shared" ca="1" si="252"/>
        <v>30.147945205479452</v>
      </c>
      <c r="O108" s="22">
        <v>44967</v>
      </c>
      <c r="P108" s="214" t="str">
        <f t="shared" si="437"/>
        <v>SI</v>
      </c>
      <c r="Q108" s="26" t="s">
        <v>855</v>
      </c>
      <c r="R108" s="22">
        <v>44967</v>
      </c>
      <c r="S108" s="21" t="s">
        <v>856</v>
      </c>
      <c r="T108" s="24" t="s">
        <v>690</v>
      </c>
      <c r="U108" s="21" t="s">
        <v>857</v>
      </c>
      <c r="V108" s="21" t="s">
        <v>858</v>
      </c>
      <c r="W108" s="21" t="s">
        <v>970</v>
      </c>
      <c r="X108" s="21" t="s">
        <v>970</v>
      </c>
      <c r="Y108" s="21" t="s">
        <v>859</v>
      </c>
      <c r="Z108" s="21">
        <v>3108265851</v>
      </c>
      <c r="AA108" s="21" t="s">
        <v>860</v>
      </c>
      <c r="AB108" s="27" t="s">
        <v>861</v>
      </c>
      <c r="AC108" s="26" t="s">
        <v>862</v>
      </c>
      <c r="AD108" s="38" t="s">
        <v>1546</v>
      </c>
      <c r="AE108" s="26" t="s">
        <v>854</v>
      </c>
      <c r="AF108" s="26" t="s">
        <v>854</v>
      </c>
      <c r="AG108" s="23" t="s">
        <v>864</v>
      </c>
      <c r="AH108" s="23" t="s">
        <v>864</v>
      </c>
      <c r="AI108" s="24" t="s">
        <v>863</v>
      </c>
      <c r="AJ108" s="23" t="s">
        <v>864</v>
      </c>
      <c r="AK108" s="220" t="str">
        <f>IF(AND(AD108="",AE108="",AF108="",AG108="",AH108="",AI108="",AJ108=""),"",IF(OR(Tabla1[[#This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EVALUACIÓN",IF(AND(O108="",R108=""),"",IF(AND(OR(O108&gt;0,R108&gt;0),NG108&gt;=0,NG108&lt;2),"SIN RIESGO",IF(AND(OR(O108&gt;0,R108&gt;0),NG108&gt;=2),"CON RIESGO","ASD")))))</f>
        <v>SIN RIESGO</v>
      </c>
      <c r="AL108" s="23" t="s">
        <v>864</v>
      </c>
      <c r="AM108" s="26" t="s">
        <v>864</v>
      </c>
      <c r="AN108" s="26" t="s">
        <v>864</v>
      </c>
      <c r="AO108" s="26" t="s">
        <v>864</v>
      </c>
      <c r="AP108" s="26" t="s">
        <v>864</v>
      </c>
      <c r="AQ108" s="26" t="s">
        <v>864</v>
      </c>
      <c r="AR108" s="26" t="s">
        <v>864</v>
      </c>
      <c r="AS108" s="21">
        <v>2</v>
      </c>
      <c r="AT108" s="21">
        <v>2</v>
      </c>
      <c r="AU108" s="21">
        <v>0</v>
      </c>
      <c r="AV108" s="26" t="s">
        <v>864</v>
      </c>
      <c r="AW108" s="21">
        <v>0</v>
      </c>
      <c r="AX108" s="26" t="s">
        <v>864</v>
      </c>
      <c r="AY108" s="26" t="s">
        <v>864</v>
      </c>
      <c r="AZ108" s="26" t="s">
        <v>864</v>
      </c>
      <c r="BA108" s="26" t="s">
        <v>864</v>
      </c>
      <c r="BB108" s="26" t="s">
        <v>864</v>
      </c>
      <c r="BC108" s="26" t="s">
        <v>864</v>
      </c>
      <c r="BD108" s="26" t="s">
        <v>864</v>
      </c>
      <c r="BE108" s="26" t="s">
        <v>864</v>
      </c>
      <c r="BF108" s="26" t="s">
        <v>864</v>
      </c>
      <c r="BG108" s="26" t="s">
        <v>864</v>
      </c>
      <c r="BH108" s="26" t="s">
        <v>864</v>
      </c>
      <c r="BI108" s="26" t="s">
        <v>864</v>
      </c>
      <c r="BJ108" s="26" t="s">
        <v>864</v>
      </c>
      <c r="BK108" s="26" t="s">
        <v>864</v>
      </c>
      <c r="BL108" s="26" t="s">
        <v>864</v>
      </c>
      <c r="BM108" s="26" t="s">
        <v>864</v>
      </c>
      <c r="BN108" s="22">
        <v>43311</v>
      </c>
      <c r="BO108" s="22">
        <v>44933</v>
      </c>
      <c r="BP108" s="21" t="s">
        <v>1380</v>
      </c>
      <c r="BQ108" s="222">
        <f t="shared" si="254"/>
        <v>52.376666666666765</v>
      </c>
      <c r="BR108" s="223">
        <f t="shared" si="255"/>
        <v>44882.3</v>
      </c>
      <c r="BS108" s="224">
        <f t="shared" si="256"/>
        <v>12.099999999999584</v>
      </c>
      <c r="BT108" s="216" t="str">
        <f t="shared" si="257"/>
        <v>II TRIM</v>
      </c>
      <c r="BU108" s="214" t="str">
        <f t="shared" ca="1" si="258"/>
        <v/>
      </c>
      <c r="BV108" s="25" t="s">
        <v>989</v>
      </c>
      <c r="BW108" s="22">
        <v>45016</v>
      </c>
      <c r="BX108" s="28">
        <v>19.100000000000001</v>
      </c>
      <c r="BY108" s="28" t="s">
        <v>988</v>
      </c>
      <c r="BZ108" s="22">
        <v>45051</v>
      </c>
      <c r="CA108" s="21">
        <v>23.2</v>
      </c>
      <c r="CB108" s="26" t="s">
        <v>864</v>
      </c>
      <c r="CC108" s="26" t="s">
        <v>864</v>
      </c>
      <c r="CD108" s="26"/>
      <c r="CE108" s="26" t="s">
        <v>864</v>
      </c>
      <c r="CF108" s="22" t="s">
        <v>1517</v>
      </c>
      <c r="CG108" s="21">
        <v>1.62</v>
      </c>
      <c r="CH108" s="21">
        <v>69.5</v>
      </c>
      <c r="CI108" s="214">
        <f t="shared" si="259"/>
        <v>26.482243560432856</v>
      </c>
      <c r="CJ108" s="225" t="e">
        <f>IF(AND(CI108&lt;10,CH108="SD"),"SIN DATO PESO PREGESTACION O I TRIM",IF(AND(OR(R108&gt;0,O108&gt;0),CI108="X"),"INGRESAR DATO DE PESO",IF(CI108="SD","INGRESAR DATO DE TALLA Y PESO",IF(AND(OR(Tabla1[[#This Row],[MOMENTO EN QUE SE REALIZA EL PESO AL INGRESO A CPN]]="PREGESTACIÓN",NZ108="Menor"),CI108&lt;18.5),"BAJO PESO",IF(AND(OR(Tabla1[[#This Row],[MOMENTO EN QUE SE REALIZA EL PESO AL INGRESO A CPN]]="PREGESTACIÓN",NZ108="Menor"),CI108&lt;25),"NORMAL",IF(AND(OR(Tabla1[[#This Row],[MOMENTO EN QUE SE REALIZA EL PESO AL INGRESO A CPN]]="PREGESTACIÓN",NZ108="Menor"),CI108&lt;30),"SOBREPESO",IF(AND(OR(Tabla1[[#This Row],[MOMENTO EN QUE SE REALIZA EL PESO AL INGRESO A CPN]]="PREGESTACIÓN",NZ108="Menor"),CI108&gt;=30,CI108&lt;50),"OBESIDAD",IF(AND(BS108&gt;0,Tabla1[[#This Row],[MOMENTO EN QUE SE REALIZA EL PESO AL INGRESO A CPN]]="GESTACIÓN"),HLOOKUP(NZ108,$OA$2:PH108,NY108),""))))))))</f>
        <v>#REF!</v>
      </c>
      <c r="CK108" s="212">
        <f t="shared" si="260"/>
        <v>45162</v>
      </c>
      <c r="CL108" s="21">
        <v>74</v>
      </c>
      <c r="CM108" s="214">
        <f t="shared" si="261"/>
        <v>28.196921201036421</v>
      </c>
      <c r="CN108" s="216">
        <f t="shared" si="262"/>
        <v>39</v>
      </c>
      <c r="CO108" s="216" t="e">
        <f>IF(PI108="","",IF(PI108&gt;0,HLOOKUP(PI108,$PJ$2:QQ108,NY108),""))</f>
        <v>#REF!</v>
      </c>
      <c r="CP108" s="21">
        <v>35</v>
      </c>
      <c r="CQ108" s="216" t="e">
        <f>IF(QR108="Menor","NO APLICA-MENOR 13 SEM",IF(AND(CC108="SI",CN108&gt;23),"NO APLICA- GEMELAR",IF(QR108="","",IF(QR108&gt;0,HLOOKUP(QR108,$QS$2:RU108,NY108),""))))</f>
        <v>#REF!</v>
      </c>
      <c r="CR108" s="21">
        <v>100</v>
      </c>
      <c r="CS108" s="21">
        <v>70</v>
      </c>
      <c r="CT108" s="217" t="str">
        <f>IF(R108="","",IF(AND(BS108&gt;1,BS108&lt;12,Tabla1[[#This Row],[T.A. SISTOLICA - ANTES DE SEMANA 12]]="",Tabla1[[#This Row],[T.A. DIASTOLICA - ANTES DE SEMANA 12]]=""),"REGISTRE DATO TA ANTES SEMANA 12",IF(AND(BS108&gt;11,BS108&lt;43,Tabla1[[#This Row],[T.A. SISTOLICA - ANTES DE SEMANA 12]]="",Tabla1[[#This Row],[T.A. DIASTOLICA - ANTES DE SEMANA 12]]=""),"NO APLICA REGISTRO TA-INGRESO TARDIO",IF(AND(OR(O108&gt;0,R108&gt;0),OR(CR108&gt;=140,CS108&gt;=90)),"DEFINIR ESTADIO HTA",IF(AND(OR(O108&gt;0,R108&gt;0),AND(CR108&gt;120,CR108&lt;=139)),"PRE HTA SEGUIMIENTO",IF(AND(OR(O108&gt;0,R108&gt;0),AND(CS108&gt;80,CS108&lt;=89)),"PRE HTA SEGUIMIENTO",IF(AND(OR(O108&gt;0,R108&gt;0),AND(CR108&gt;=80,CR108&lt;=120)),"APARENTEMENTE NORMAL",IF(AND(OR(O108&gt;0,R108&gt;0),AND(CS108&gt;=50,CS108&lt;=80)),"APARENTEMENTE NORMAL",IF(AND(OR(O108&gt;0,R108&gt;0),AND(CR108&gt;1,CR108&lt;=70),AND(CS108&gt;1,CS108&lt;=40)),"HIPOTENSIÓN","")))))))))</f>
        <v>APARENTEMENTE NORMAL</v>
      </c>
      <c r="CU108" s="21">
        <v>100</v>
      </c>
      <c r="CV108" s="21">
        <v>70</v>
      </c>
      <c r="CW108" s="217" t="str">
        <f ca="1">IF(R108="","",IF(AND(CN108&gt;19,CN108&lt;27,Tabla1[[#This Row],[T.A. SISTOLICA (Entre semana 20 y 26)]]="",Tabla1[[#This Row],[T.A. DIATOLICA (Entre semana 20 y 26)]]=""),"ACUDE A CONTROL SEM 20 A 26 REGISTRE TA AHORA",IF(AND(BS108&gt;1,BS108&lt;27,BU108&gt;19,Tabla1[[#This Row],[T.A. SISTOLICA (Entre semana 20 y 26)]]="",Tabla1[[#This Row],[T.A. DIATOLICA (Entre semana 20 y 26)]]=""),"COMPLETE REGISTRO TA CONTROL SEM 20 A26 ",IF(AND(BS108&gt;26,BS108&lt;43,Tabla1[[#This Row],[T.A. SISTOLICA (Entre semana 20 y 26)]]="",Tabla1[[#This Row],[T.A. DIATOLICA (Entre semana 20 y 26)]]=""),"NO APLICA REGISTRO TA-INGRESO TARDIO",IF(AND(OR(O108&gt;0,R108&gt;0),OR(CU108&gt;=140,CV108&gt;=90)),"ALTO RIESGO PREECLAMPSIA,DEFINIR ESTADIO HTA",IF(AND(OR(O108&gt;0,R108&gt;0),AND(CU108&gt;120,CU108&lt;=139)),"PRE HTA SEGUIMIENTO,RIESGO HIPERTENSION INDUCIDA POR EL EMBARAZO",IF(AND(OR(O108&gt;0,R108&gt;0),AND(CV108&gt;80,CV108&lt;=89)),"PRE HTA SEGUIMIENTO, RIESGO HIPERTENSION INDUCIDA POR EL EMBARAZO",IF(AND(OR(O108&lt;&gt;"",R108&lt;&gt;""),CS108&lt;&gt;"",CV108&lt;&gt;"",CS108&lt;=CV108),"VIGILAR CIFRAS PRESION ARTERIAL",IF(AND(OR(O108&gt;0,R108&gt;0),AND(CU108&gt;120,CU108&lt;=139)),"PRE HTA SEGUIMIENTO",IF(AND(OR(O108&gt;0,R108&gt;0),AND(CU108&gt;1,CU108&lt;=70),AND(CV108&gt;1,CV108&lt;=40)),"HIPOTENSIÓN",IF(AND(OR(O108&lt;&gt;"",R108&lt;&gt;""),CS108&lt;&gt;"",CV108&lt;&gt;"",CS108&gt;CV108),"APARENTEMENTE NORMAL",IF(AND(OR(O108&gt;0,R108&gt;0),AND(CU108&gt;=80,CU108&lt;=120)),"APARENTEMENTE NORMAL",IF(AND(OR(O108&gt;0,R108&gt;0),AND(CV108&gt;=50,CV108&lt;=80)),"APARENTEMENTE NORMAL","")))))))))))))</f>
        <v>VIGILAR CIFRAS PRESION ARTERIAL</v>
      </c>
      <c r="CX108" s="21">
        <v>90</v>
      </c>
      <c r="CY108" s="21">
        <v>60</v>
      </c>
      <c r="CZ108" s="216" t="str">
        <f t="shared" si="456"/>
        <v>APARENTEMENTE NORMAL</v>
      </c>
      <c r="DA108" s="21">
        <v>90</v>
      </c>
      <c r="DB108" s="21">
        <v>60</v>
      </c>
      <c r="DC108" s="217" t="str">
        <f t="shared" si="264"/>
        <v>APARENTEMENTE NORMAL</v>
      </c>
      <c r="DD108" s="22">
        <v>44967</v>
      </c>
      <c r="DE108" s="22">
        <v>44967</v>
      </c>
      <c r="DF108" s="22">
        <v>45016</v>
      </c>
      <c r="DG108" s="22">
        <v>45051</v>
      </c>
      <c r="DH108" s="22">
        <v>45087</v>
      </c>
      <c r="DI108" s="22">
        <v>45118</v>
      </c>
      <c r="DJ108" s="22">
        <v>45143</v>
      </c>
      <c r="DK108" s="22">
        <v>45162</v>
      </c>
      <c r="DL108" s="22"/>
      <c r="DM108" s="22"/>
      <c r="DN108" s="22"/>
      <c r="DO108" s="22"/>
      <c r="DP108" s="22"/>
      <c r="DQ108" s="22"/>
      <c r="DR108" s="28">
        <v>1</v>
      </c>
      <c r="DS108" s="22"/>
      <c r="DT108" s="22"/>
      <c r="DU108" s="216" t="str">
        <f t="shared" ca="1" si="438"/>
        <v>CONCERTAR PLAN DE PARTO INMEDIATO</v>
      </c>
      <c r="DV108" s="226" t="str">
        <f t="shared" si="439"/>
        <v>ACTIVA INGRESO A CPN</v>
      </c>
      <c r="DW1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08" s="216" t="e">
        <f t="shared" ca="1" si="266"/>
        <v>#REF!</v>
      </c>
      <c r="DY108" s="212">
        <f>IF(R108="","",IF(R108&gt;0,MAX(Tabla1[[#This Row],[FECHA C2]:[FECHA C13]],Tabla1[[#This Row],[FECHA CONSULTA PRIMERA VEZ PROGRAMA CPN ]])))</f>
        <v>45162</v>
      </c>
      <c r="DZ108" s="216">
        <f t="shared" si="267"/>
        <v>39</v>
      </c>
      <c r="EA108" s="222">
        <f>IF(R108&gt;0,SUM(COUNTA(DF108:DQ108)+COUNTA(Tabla1[[#This Row],[FECHA CONSULTA PRIMERA VEZ PROGRAMA CPN ]])),"")</f>
        <v>7</v>
      </c>
      <c r="EB108" s="222" t="str">
        <f t="shared" si="268"/>
        <v>SI</v>
      </c>
      <c r="EC108" s="214">
        <f t="shared" si="269"/>
        <v>8</v>
      </c>
      <c r="ED108" s="227">
        <f t="shared" si="270"/>
        <v>0.875</v>
      </c>
      <c r="EE108" s="22">
        <v>44967</v>
      </c>
      <c r="EF108" s="22">
        <v>44967</v>
      </c>
      <c r="EG108" s="22">
        <v>44967</v>
      </c>
      <c r="EH108" s="22"/>
      <c r="EI108" s="22">
        <v>44967</v>
      </c>
      <c r="EJ108" s="22">
        <v>45149</v>
      </c>
      <c r="EK108" s="22"/>
      <c r="EL108" s="21"/>
      <c r="EM108" s="21">
        <v>13.7</v>
      </c>
      <c r="EN108" s="22">
        <v>44967</v>
      </c>
      <c r="EO108" s="222">
        <f t="shared" si="271"/>
        <v>12.099999999999584</v>
      </c>
      <c r="EP108" s="214" t="str">
        <f t="shared" si="272"/>
        <v>NORMAL- SUMINISTRAR SULFATO FERROSO</v>
      </c>
      <c r="EQ108" s="216" t="str">
        <f t="shared" si="273"/>
        <v>I TRIM</v>
      </c>
      <c r="ER108" s="24">
        <v>13.3</v>
      </c>
      <c r="ES108" s="22">
        <v>45119</v>
      </c>
      <c r="ET108" s="29">
        <f t="shared" ca="1" si="440"/>
        <v>33.814285714285298</v>
      </c>
      <c r="EU108" s="25" t="str">
        <f t="shared" si="275"/>
        <v>NORMAL- SUMINISTRAR SULFATO FERROSO</v>
      </c>
      <c r="EV108" s="24" t="s">
        <v>1510</v>
      </c>
      <c r="EW108" s="32">
        <v>44967</v>
      </c>
      <c r="EX108" s="22"/>
      <c r="EY108" s="29">
        <f t="shared" si="453"/>
        <v>12.099999999999584</v>
      </c>
      <c r="EZ108" s="25" t="str">
        <f t="shared" si="454"/>
        <v>SIN RIESGO DE ISOINMUNIZACIÓN</v>
      </c>
      <c r="FA108" s="21">
        <v>72</v>
      </c>
      <c r="FB108" s="22">
        <v>44967</v>
      </c>
      <c r="FC108" s="29">
        <f t="shared" si="276"/>
        <v>12.099999999999584</v>
      </c>
      <c r="FD108" s="29">
        <v>70</v>
      </c>
      <c r="FE108" s="29">
        <v>146</v>
      </c>
      <c r="FF108" s="29">
        <v>115</v>
      </c>
      <c r="FG108" s="21" t="str">
        <f t="shared" ca="1" si="277"/>
        <v>NORMAL</v>
      </c>
      <c r="FH108" s="31">
        <v>45118</v>
      </c>
      <c r="FI108" s="29">
        <f t="shared" si="278"/>
        <v>33.671428571428159</v>
      </c>
      <c r="FJ108" s="22" t="s">
        <v>867</v>
      </c>
      <c r="FK108" s="22">
        <v>44967</v>
      </c>
      <c r="FL108" s="29">
        <f t="shared" ca="1" si="279"/>
        <v>12.099999999999584</v>
      </c>
      <c r="FM108" s="22"/>
      <c r="FN108" s="32"/>
      <c r="FO108" s="29" t="str">
        <f t="shared" ca="1" si="441"/>
        <v>PIERDE TOMA DE TAMIZAJE</v>
      </c>
      <c r="FP108" s="22" t="s">
        <v>867</v>
      </c>
      <c r="FQ108" s="32">
        <v>45118</v>
      </c>
      <c r="FR108" s="29">
        <f t="shared" ca="1" si="442"/>
        <v>33.671428571428159</v>
      </c>
      <c r="FS108" s="22"/>
      <c r="FT108" s="32"/>
      <c r="FU108" s="29" t="str">
        <f>IF(AND(FJ108="",FM108="",FP108="",FS108=""),"",IF(OR(OR(Tabla1[[#This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8" s="28"/>
      <c r="FW108" s="22"/>
      <c r="FX108" s="29" t="str">
        <f t="shared" si="280"/>
        <v>TOMAR EXAMEN</v>
      </c>
      <c r="FY108" s="22">
        <v>44967</v>
      </c>
      <c r="FZ108" s="22">
        <v>44967</v>
      </c>
      <c r="GA108" s="29">
        <f t="shared" ca="1" si="452"/>
        <v>12.099999999999584</v>
      </c>
      <c r="GB108" s="22"/>
      <c r="GC108" s="22"/>
      <c r="GD108" s="29" t="str">
        <f t="shared" ca="1" si="443"/>
        <v>PIERDE TOMA DE TAMIZAJE</v>
      </c>
      <c r="GE108" s="22" t="s">
        <v>868</v>
      </c>
      <c r="GF108" s="22">
        <v>45118</v>
      </c>
      <c r="GG108" s="29">
        <f t="shared" ca="1" si="444"/>
        <v>33.671428571428159</v>
      </c>
      <c r="GH108" s="22"/>
      <c r="GI108" s="29"/>
      <c r="GJ108" s="22"/>
      <c r="GK108" s="22"/>
      <c r="GL108" s="22"/>
      <c r="GM108" s="22"/>
      <c r="GN108" s="28" t="s">
        <v>869</v>
      </c>
      <c r="GO108" s="22">
        <v>45118</v>
      </c>
      <c r="GP108" s="29">
        <f t="shared" si="283"/>
        <v>33.671428571428159</v>
      </c>
      <c r="GQ108" s="28" t="s">
        <v>869</v>
      </c>
      <c r="GR108" s="28" t="s">
        <v>869</v>
      </c>
      <c r="GS108" s="22" t="str">
        <f t="shared" si="457"/>
        <v>CONTROL Igm</v>
      </c>
      <c r="GT108" s="22">
        <v>45118</v>
      </c>
      <c r="GU108" s="29">
        <f t="shared" si="285"/>
        <v>26.428571428571427</v>
      </c>
      <c r="GV108" s="21" t="str">
        <f t="shared" si="286"/>
        <v>II TRIM</v>
      </c>
      <c r="GW108" s="28"/>
      <c r="GX108" s="30"/>
      <c r="GY108" s="21"/>
      <c r="GZ108" s="21"/>
      <c r="HA108" s="21"/>
      <c r="HB108" s="21"/>
      <c r="HC108" s="21"/>
      <c r="HD108" s="21"/>
      <c r="HE108" s="21"/>
      <c r="HF108" s="22"/>
      <c r="HG108" s="22" t="str">
        <f>IF(OR(O108&gt;0,R108&gt;0),CONCATENATE(IF(Tabla1[[#This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8" s="22" t="e">
        <f t="shared" si="287"/>
        <v>#REF!</v>
      </c>
      <c r="HI108" s="22" t="e">
        <f t="shared" ca="1" si="288"/>
        <v>#REF!</v>
      </c>
      <c r="HJ108" s="21"/>
      <c r="HK108" s="21" t="str">
        <f t="shared" si="289"/>
        <v>SIN ANTECEDENTES DE RIESGO</v>
      </c>
      <c r="HL108" s="24" t="str">
        <f t="shared" si="290"/>
        <v>APARENTEMENTE NORMAL</v>
      </c>
      <c r="HM108" s="21" t="e">
        <f t="shared" ca="1" si="291"/>
        <v>#REF!</v>
      </c>
      <c r="HN108" s="30" t="str">
        <f t="shared" si="445"/>
        <v>ACTIVA INGRESO A CPN</v>
      </c>
      <c r="HO108" s="21"/>
      <c r="HP108" s="21"/>
      <c r="HQ108" s="21">
        <v>45016</v>
      </c>
      <c r="HR108" s="21" t="str">
        <f>IF(R108="","",IF(Tabla1[[#This Row],[ALARMA FACTORES DE RIESGO COMPLICACIONES HIPERTENSIVAS3]]="SIN ANTECEDENTES DE RIESGO","No Aplica para suministro de ASA",IF(AND(Tabla1[[#This Row],[FECHA INICIO DE SUMINISTRO DE ASA]]&gt;0,RV108&lt;12),"Inicia ASA ANTES de Sem 12",IF(AND(RV108&gt;11,RV108&lt;17,OR(HK108="RIESGO ALTO DE COMPLICACIONES HIPERTENSIVAS VER MANEJO GUIA SUMINISTRO ASA Y CALCIO",HK108="RIESGO MODERADO (2 O MAS CRITERIOS) VER MANEJO GUIA SUMINISTRO ASA Y CALCIO")),"Inicio oportuno de ASA",IF(AND(RV108&gt;12,OR(HK108="RIESGO ALTO DE COMPLICACIONES HIPERTENSIVAS VER MANEJO GUIA SUMINISTRO ASA Y CALCIO",HK108="RIESGO MODERADO (2 O MAS CRITERIOS) VER MANEJO GUIA SUMINISTRO ASA Y CALCIO")),"Inicio no oportuno mayor a 16 semanas",IF(AND(BU108&lt;12,OR(HK108="RIESGO ALTO DE COMPLICACIONES HIPERTENSIVAS VER MANEJO GUIA SUMINISTRO ASA Y CALCIO",HK108="RIESGO MODERADO (2 O MAS CRITERIOS) VER MANEJO GUIA SUMINISTRO ASA Y CALCIO")),"Pendiente Inicio de ASA a la semana 12",IF(AND(BU108&gt;11,BU108&lt;17,OR(HK108="RIESGO ALTO DE COMPLICACIONES HIPERTENSIVAS VER MANEJO GUIA SUMINISTRO ASA Y CALCIO",HK108="RIESGO MODERADO (2 O MAS CRITERIOS) VER MANEJO GUIA SUMINISTRO ASA Y CALCIO")),"Iniciar de inmediato ASA",IF(AND(BU108&gt;16,OR(HK108="RIESGO ALTO DE COMPLICACIONES HIPERTENSIVAS VER MANEJO GUIA SUMINISTRO ASA Y CALCIO",HK108="RIESGO MODERADO (2 O MAS CRITERIOS) VER MANEJO GUIA SUMINISTRO ASA Y CALCIO")),"Pierde Oportunidad, Inicio tardío de ASA","XXXXX"))))))))</f>
        <v>No Aplica para suministro de ASA</v>
      </c>
      <c r="HS108" s="22">
        <v>45016</v>
      </c>
      <c r="HT108" s="22" t="s">
        <v>870</v>
      </c>
      <c r="HU108" s="22">
        <v>45016</v>
      </c>
      <c r="HV108" s="22" t="s">
        <v>870</v>
      </c>
      <c r="HW108" s="22">
        <v>45016</v>
      </c>
      <c r="HX108" s="22" t="s">
        <v>870</v>
      </c>
      <c r="HY108" s="22">
        <v>45016</v>
      </c>
      <c r="HZ108" s="28">
        <f t="shared" si="292"/>
        <v>19.099999999999586</v>
      </c>
      <c r="IA108" s="26" t="s">
        <v>864</v>
      </c>
      <c r="IB108" s="26"/>
      <c r="IC108" s="111"/>
      <c r="ID108" s="22"/>
      <c r="IE108" s="22" t="str">
        <f t="shared" ca="1" si="293"/>
        <v/>
      </c>
      <c r="IF108" s="22"/>
      <c r="IG108" s="22">
        <f t="shared" si="294"/>
        <v>45162.3</v>
      </c>
      <c r="IH108" s="29">
        <f t="shared" ca="1" si="295"/>
        <v>-70.69999999999709</v>
      </c>
      <c r="II108" s="22" t="str">
        <f t="shared" ca="1" si="296"/>
        <v>POSIBLEMENTE NACIO</v>
      </c>
      <c r="IJ108" s="22"/>
      <c r="IK108" s="21"/>
      <c r="IL108" s="21"/>
      <c r="IM108" s="34"/>
      <c r="IN108" s="349"/>
      <c r="IO108" s="21"/>
      <c r="IP108" s="29" t="str">
        <f t="shared" si="489"/>
        <v/>
      </c>
      <c r="IQ108" s="110"/>
      <c r="IR108" s="21"/>
      <c r="IS108" s="21"/>
      <c r="IT108" s="21"/>
      <c r="IU108" s="21"/>
      <c r="IV108" s="21"/>
      <c r="IW108" s="21"/>
      <c r="IX108" s="21"/>
      <c r="IY108" s="21"/>
      <c r="IZ108" s="21"/>
      <c r="JA108" s="21"/>
      <c r="JB108" s="30"/>
      <c r="JC108" s="21"/>
      <c r="JD108" s="36"/>
      <c r="JE108" s="21" t="str">
        <f t="shared" si="446"/>
        <v/>
      </c>
      <c r="JF108" s="30"/>
      <c r="JG108" s="21"/>
      <c r="JH108" s="21"/>
      <c r="JI108" s="21"/>
      <c r="JJ108" s="30"/>
      <c r="JK108" s="22"/>
      <c r="JL108" s="22"/>
      <c r="JM108" s="21"/>
      <c r="JN108" s="36"/>
      <c r="JO108" s="21" t="str">
        <f t="shared" si="447"/>
        <v/>
      </c>
      <c r="JP108" s="22"/>
      <c r="JQ108" s="21"/>
      <c r="JR108" s="21"/>
      <c r="JS108" s="21"/>
      <c r="JT108" s="30"/>
      <c r="JU108" s="22"/>
      <c r="JV108" s="22"/>
      <c r="JW108" s="33"/>
      <c r="JX108" s="28" t="str">
        <f t="shared" si="448"/>
        <v/>
      </c>
      <c r="JY108" s="33"/>
      <c r="JZ108" s="28" t="str">
        <f t="shared" si="449"/>
        <v/>
      </c>
      <c r="KA108" s="21"/>
      <c r="KB108" s="21"/>
      <c r="KC108" s="21"/>
      <c r="KD108" s="37"/>
      <c r="KE108" s="28"/>
      <c r="KF108" s="28"/>
      <c r="KG108" s="28"/>
      <c r="KH108" s="39"/>
      <c r="KI108" s="39"/>
      <c r="KJ108" s="66"/>
      <c r="KK108" s="39"/>
      <c r="KL108" s="39"/>
      <c r="KM108" s="66"/>
      <c r="KN108" s="39"/>
      <c r="KO108" s="39"/>
      <c r="KP108" s="39"/>
      <c r="KQ108" s="39"/>
      <c r="KR108" s="39"/>
      <c r="KS108" s="39"/>
      <c r="KT108" s="39"/>
      <c r="KU108" s="38"/>
      <c r="KV108" s="38"/>
      <c r="KW108" s="38"/>
      <c r="KX108" s="38"/>
      <c r="KY108" s="38"/>
      <c r="KZ108" s="38"/>
      <c r="LA108" s="38"/>
      <c r="LB108" s="38"/>
      <c r="LC108" s="38"/>
      <c r="LD108" s="38"/>
      <c r="LE108" s="38"/>
      <c r="LF108" s="38"/>
      <c r="LG108" s="38"/>
      <c r="LH108" s="38"/>
      <c r="LI108" s="38"/>
      <c r="LJ108" s="38"/>
      <c r="LK108" s="38"/>
      <c r="LL108" s="38"/>
      <c r="LM108" s="38"/>
      <c r="LN108" s="38"/>
      <c r="LO108" s="38"/>
      <c r="LP108" s="38"/>
      <c r="LQ108" s="38"/>
      <c r="LR108" s="38"/>
      <c r="LS108" s="38"/>
      <c r="LT108" s="38"/>
      <c r="LU108" s="38"/>
      <c r="LV108" s="38"/>
      <c r="LW108" s="38"/>
      <c r="LX108" s="38"/>
      <c r="LY108" s="38"/>
      <c r="LZ108" s="38"/>
      <c r="MA108" s="38"/>
      <c r="MB108" s="38"/>
      <c r="MC108" s="38"/>
      <c r="MD108" s="38"/>
      <c r="ME108" s="38"/>
      <c r="MF108" s="38"/>
      <c r="MG108" s="38"/>
      <c r="MH108" s="43">
        <f t="shared" si="458"/>
        <v>0</v>
      </c>
      <c r="MI108" s="43" t="str">
        <f t="shared" si="459"/>
        <v/>
      </c>
      <c r="MJ108" s="43" t="str">
        <f t="shared" si="460"/>
        <v/>
      </c>
      <c r="MK108" s="43">
        <f t="shared" si="461"/>
        <v>0</v>
      </c>
      <c r="ML1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8" s="43">
        <f t="shared" si="462"/>
        <v>12.099999999999584</v>
      </c>
      <c r="MN108" s="43">
        <f t="shared" si="463"/>
        <v>2</v>
      </c>
      <c r="MO108" s="43">
        <f t="shared" si="464"/>
        <v>2023</v>
      </c>
      <c r="MP108" s="43" t="str">
        <f t="shared" si="465"/>
        <v>I TRIMESTRE AÑO</v>
      </c>
      <c r="MQ108" s="43">
        <f t="shared" si="466"/>
        <v>28.972295225580378</v>
      </c>
      <c r="MR108" s="43">
        <f t="shared" si="467"/>
        <v>0</v>
      </c>
      <c r="MS108" s="43" t="str">
        <f t="shared" si="468"/>
        <v xml:space="preserve"> DE 25 A 29 AÑOS</v>
      </c>
      <c r="MT108" s="43">
        <f t="shared" si="469"/>
        <v>0</v>
      </c>
      <c r="MU108" s="43">
        <f t="shared" si="470"/>
        <v>0</v>
      </c>
      <c r="MV108" s="43">
        <f t="shared" si="471"/>
        <v>0</v>
      </c>
      <c r="MW108" s="43">
        <f t="shared" si="472"/>
        <v>0</v>
      </c>
      <c r="MX108" s="43" t="str">
        <f t="shared" si="473"/>
        <v/>
      </c>
      <c r="MY108" s="43" t="str">
        <f t="shared" ca="1" si="450"/>
        <v/>
      </c>
      <c r="MZ108" s="43" t="str">
        <f t="shared" si="474"/>
        <v/>
      </c>
      <c r="NA108" s="43" t="str">
        <f t="shared" si="475"/>
        <v/>
      </c>
      <c r="NB108" s="43" t="str">
        <f t="shared" si="476"/>
        <v/>
      </c>
      <c r="NC108" s="43" t="str">
        <f t="shared" si="477"/>
        <v/>
      </c>
      <c r="ND108" s="43">
        <f t="shared" ca="1" si="478"/>
        <v>0</v>
      </c>
      <c r="NE108" s="43">
        <f>IF(OR(O108&gt;0,R108&gt;0),SUM(COUNTIF(Tabla1[[#This Row],[AÑOS AL INICIO5 CPN]],"&gt;=40"),COUNTIF(AS108,"0"),COUNTIF(AR108,"SI"),COUNTIF(CC108,"SI"),COUNTIF(BQ108,"&gt;119"),COUNTIF(CI108,"&gt;=35")),"")</f>
        <v>0</v>
      </c>
      <c r="NF108" s="43" t="str">
        <f t="shared" si="479"/>
        <v/>
      </c>
      <c r="NG108" s="43">
        <f t="shared" si="480"/>
        <v>0</v>
      </c>
      <c r="NH108" s="43">
        <f t="shared" si="481"/>
        <v>133.70000000000002</v>
      </c>
      <c r="NI1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CPN",P108="NO"),"Z",IF(AND(Tabla1[[#This Row],[CITA PROXIMO CONTROL]]="CITA MANUAL",Tabla1[[#This Row],[GESTANTES ACTUALES]]="ACTIVA INGRESO A CPN"),"W",IF(AND(Tabla1[[#This Row],[GESTANTES ACTUALES]]="SALIO PROGRAMA",IN108=""),"S",IF(AND(Tabla1[[#This Row],[CITA PROXIMO CONTROL]]&gt;0,IN108=""),(Tabla1[[#This Row],[CITA PROXIMO CONTROL]]-TODAY()),"SD"))))))))</f>
        <v>#REF!</v>
      </c>
      <c r="NJ108" s="43">
        <f>MONTH(Tabla1[[#This Row],[FECHA DE SALIDA  DEL PROGRAMA]])</f>
        <v>1</v>
      </c>
      <c r="NK108" s="43">
        <f>YEAR(Tabla1[[#This Row],[FECHA DE SALIDA  DEL PROGRAMA]])</f>
        <v>1900</v>
      </c>
      <c r="NL108" s="43">
        <f t="shared" si="482"/>
        <v>182</v>
      </c>
      <c r="NM108" s="43" t="str">
        <f t="shared" si="455"/>
        <v>NO</v>
      </c>
      <c r="NN108" s="43" t="str">
        <f ca="1">IF(AND(O108&gt;0,R108=""),"NO CPN",IF(AND(O108="",R108=""),"",IF(AND(R108&gt;0,Tabla1[[#This Row],[SEMANAS DE GESTACION ACTUALIZADAS]]&lt;=12),"NO APLICA",IF(AND(FH108&lt;&gt;"",FN108&lt;&gt;""),"SI","NO"))))</f>
        <v>NO</v>
      </c>
      <c r="NO108" s="43" t="str">
        <f ca="1">IF(AND(O108&gt;0,R108=""),"NO CPN",IF(AND(O108="",R108=""),"",IF(AND(R108&gt;0,Tabla1[[#This Row],[SEMANAS DE GESTACION ACTUALIZADAS]]&lt;=27),"NO APLICA",IF(AND(ES108&lt;&gt;"",FQ108&lt;&gt;"",GF108&lt;&gt;""),"SI","NO"))))</f>
        <v>SI</v>
      </c>
      <c r="NP108" s="204" t="str">
        <f t="shared" si="483"/>
        <v>II TRIM</v>
      </c>
      <c r="NQ108" s="21" t="str">
        <f t="shared" si="436"/>
        <v/>
      </c>
      <c r="NR108" s="21" t="str">
        <f t="shared" ca="1" si="451"/>
        <v>REVISAR FUM O FECHA SALIDA PROGRAMA</v>
      </c>
      <c r="NS108" s="205">
        <f t="shared" ca="1" si="484"/>
        <v>2</v>
      </c>
      <c r="NT108" s="21">
        <f t="shared" ca="1" si="485"/>
        <v>2</v>
      </c>
      <c r="NU108" s="21" t="str">
        <f t="shared" ca="1" si="486"/>
        <v>POR DEFINIR</v>
      </c>
      <c r="NV108" s="21" t="str">
        <f t="shared" ca="1" si="487"/>
        <v>POR DEFINIR</v>
      </c>
      <c r="NW108" s="206" t="str">
        <f>IF(AND(O108="",R108=""),"",IF(OR(AND(Tabla1[[#This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8" s="207" t="str">
        <f t="shared" ca="1" si="488"/>
        <v>SIN VACUNAR</v>
      </c>
      <c r="NY108" s="43">
        <f>ROW(Tabla1[[#This Row],['# DE TAMIZAJES SIFILIS TOMADOS ]])</f>
        <v>108</v>
      </c>
      <c r="NZ108" s="43">
        <f t="shared" si="333"/>
        <v>12</v>
      </c>
      <c r="OA108" s="43" t="str">
        <f t="shared" si="334"/>
        <v/>
      </c>
      <c r="OB108" s="43" t="str">
        <f t="shared" si="335"/>
        <v/>
      </c>
      <c r="OC108" s="43" t="str">
        <f t="shared" si="336"/>
        <v/>
      </c>
      <c r="OD108" s="43" t="str">
        <f t="shared" si="337"/>
        <v>SOBREPESO</v>
      </c>
      <c r="OE108" s="43" t="str">
        <f t="shared" si="338"/>
        <v/>
      </c>
      <c r="OF108" s="43" t="str">
        <f t="shared" si="339"/>
        <v/>
      </c>
      <c r="OG108" s="43" t="str">
        <f t="shared" si="340"/>
        <v/>
      </c>
      <c r="OH108" s="43" t="str">
        <f t="shared" si="341"/>
        <v/>
      </c>
      <c r="OI108" s="43" t="str">
        <f t="shared" si="342"/>
        <v/>
      </c>
      <c r="OJ108" s="43" t="str">
        <f t="shared" si="343"/>
        <v/>
      </c>
      <c r="OK108" s="43" t="str">
        <f t="shared" si="344"/>
        <v/>
      </c>
      <c r="OL108" s="43" t="str">
        <f t="shared" si="345"/>
        <v/>
      </c>
      <c r="OM108" s="43" t="str">
        <f t="shared" si="346"/>
        <v/>
      </c>
      <c r="ON108" s="43" t="str">
        <f t="shared" si="347"/>
        <v/>
      </c>
      <c r="OO108" s="43" t="str">
        <f t="shared" si="348"/>
        <v/>
      </c>
      <c r="OP108" s="43" t="str">
        <f t="shared" si="349"/>
        <v/>
      </c>
      <c r="OQ108" s="43" t="str">
        <f t="shared" si="350"/>
        <v/>
      </c>
      <c r="OR108" s="43" t="str">
        <f t="shared" si="351"/>
        <v/>
      </c>
      <c r="OS108" s="43" t="str">
        <f t="shared" si="352"/>
        <v/>
      </c>
      <c r="OT108" s="43" t="str">
        <f t="shared" si="353"/>
        <v/>
      </c>
      <c r="OU108" s="43" t="str">
        <f t="shared" si="354"/>
        <v/>
      </c>
      <c r="OV108" s="110" t="str">
        <f t="shared" si="355"/>
        <v/>
      </c>
      <c r="OW108" s="43" t="str">
        <f t="shared" si="356"/>
        <v/>
      </c>
      <c r="OX108" s="43" t="str">
        <f t="shared" si="357"/>
        <v/>
      </c>
      <c r="OY108" s="43" t="str">
        <f t="shared" si="358"/>
        <v/>
      </c>
      <c r="OZ108" s="43" t="str">
        <f t="shared" si="359"/>
        <v/>
      </c>
      <c r="PA108" s="43" t="str">
        <f t="shared" si="360"/>
        <v/>
      </c>
      <c r="PB108" s="43" t="str">
        <f t="shared" si="361"/>
        <v/>
      </c>
      <c r="PC108" s="43" t="str">
        <f t="shared" si="362"/>
        <v/>
      </c>
      <c r="PD108" s="43" t="str">
        <f t="shared" si="363"/>
        <v/>
      </c>
      <c r="PE108" s="43" t="str">
        <f t="shared" si="364"/>
        <v/>
      </c>
      <c r="PF108" s="43" t="str">
        <f t="shared" si="365"/>
        <v/>
      </c>
      <c r="PG108" s="43" t="str">
        <f t="shared" si="366"/>
        <v/>
      </c>
      <c r="PH108" s="43" t="str">
        <f t="shared" si="367"/>
        <v/>
      </c>
      <c r="PI108" s="43">
        <f t="shared" si="368"/>
        <v>39</v>
      </c>
      <c r="PJ108" s="43" t="str">
        <f t="shared" si="369"/>
        <v/>
      </c>
      <c r="PK108" s="43" t="str">
        <f t="shared" si="370"/>
        <v/>
      </c>
      <c r="PL108" s="43" t="str">
        <f t="shared" si="371"/>
        <v/>
      </c>
      <c r="PM108" s="43" t="str">
        <f t="shared" si="372"/>
        <v/>
      </c>
      <c r="PN108" s="43" t="str">
        <f t="shared" si="373"/>
        <v/>
      </c>
      <c r="PO108" s="43" t="str">
        <f t="shared" si="374"/>
        <v/>
      </c>
      <c r="PP108" s="43" t="str">
        <f t="shared" si="375"/>
        <v/>
      </c>
      <c r="PQ108" s="43" t="str">
        <f t="shared" si="376"/>
        <v/>
      </c>
      <c r="PR108" s="43" t="str">
        <f t="shared" si="377"/>
        <v/>
      </c>
      <c r="PS108" s="43" t="str">
        <f t="shared" si="378"/>
        <v/>
      </c>
      <c r="PT108" s="43" t="str">
        <f t="shared" si="379"/>
        <v/>
      </c>
      <c r="PU108" s="43" t="str">
        <f t="shared" si="380"/>
        <v/>
      </c>
      <c r="PV108" s="43" t="str">
        <f t="shared" si="381"/>
        <v/>
      </c>
      <c r="PW108" s="43" t="str">
        <f t="shared" si="382"/>
        <v/>
      </c>
      <c r="PX108" s="43" t="str">
        <f t="shared" si="383"/>
        <v/>
      </c>
      <c r="PY108" s="43" t="str">
        <f t="shared" si="384"/>
        <v/>
      </c>
      <c r="PZ108" s="43" t="str">
        <f t="shared" si="385"/>
        <v/>
      </c>
      <c r="QA108" s="43" t="str">
        <f t="shared" si="386"/>
        <v/>
      </c>
      <c r="QB108" s="43" t="str">
        <f t="shared" si="387"/>
        <v/>
      </c>
      <c r="QC108" s="43" t="str">
        <f t="shared" si="388"/>
        <v/>
      </c>
      <c r="QD108" s="43" t="str">
        <f t="shared" si="389"/>
        <v/>
      </c>
      <c r="QE108" s="43" t="str">
        <f t="shared" si="390"/>
        <v/>
      </c>
      <c r="QF108" s="43" t="str">
        <f t="shared" si="391"/>
        <v/>
      </c>
      <c r="QG108" s="43" t="str">
        <f t="shared" si="392"/>
        <v/>
      </c>
      <c r="QH108" s="43" t="str">
        <f t="shared" si="393"/>
        <v/>
      </c>
      <c r="QI108" s="43" t="str">
        <f t="shared" si="394"/>
        <v/>
      </c>
      <c r="QJ108" s="43" t="str">
        <f t="shared" si="395"/>
        <v/>
      </c>
      <c r="QK108" s="43" t="str">
        <f t="shared" si="396"/>
        <v/>
      </c>
      <c r="QL108" s="43" t="str">
        <f t="shared" si="397"/>
        <v/>
      </c>
      <c r="QM108" s="43" t="str">
        <f t="shared" si="398"/>
        <v/>
      </c>
      <c r="QN108" s="43" t="str">
        <f t="shared" si="399"/>
        <v>NORMAL</v>
      </c>
      <c r="QO108" s="43" t="str">
        <f t="shared" si="400"/>
        <v/>
      </c>
      <c r="QP108" s="43" t="str">
        <f t="shared" si="401"/>
        <v/>
      </c>
      <c r="QQ108" s="43" t="str">
        <f t="shared" si="402"/>
        <v/>
      </c>
      <c r="QR108" s="43">
        <f t="shared" si="432"/>
        <v>39</v>
      </c>
      <c r="QS108" s="43"/>
      <c r="QT108" s="21" t="str">
        <f t="shared" si="403"/>
        <v/>
      </c>
      <c r="QU108" s="21" t="str">
        <f t="shared" si="404"/>
        <v/>
      </c>
      <c r="QV108" s="21" t="str">
        <f t="shared" si="405"/>
        <v/>
      </c>
      <c r="QW108" s="21" t="str">
        <f t="shared" si="406"/>
        <v/>
      </c>
      <c r="QX108" s="21" t="str">
        <f t="shared" si="407"/>
        <v/>
      </c>
      <c r="QY108" s="21" t="str">
        <f t="shared" si="408"/>
        <v/>
      </c>
      <c r="QZ108" s="21" t="str">
        <f t="shared" si="409"/>
        <v/>
      </c>
      <c r="RA108" s="21" t="str">
        <f t="shared" si="410"/>
        <v/>
      </c>
      <c r="RB108" s="21" t="str">
        <f t="shared" si="411"/>
        <v/>
      </c>
      <c r="RC108" s="21" t="str">
        <f t="shared" si="412"/>
        <v/>
      </c>
      <c r="RD108" s="21" t="str">
        <f t="shared" si="413"/>
        <v/>
      </c>
      <c r="RE108" s="21" t="str">
        <f t="shared" si="414"/>
        <v/>
      </c>
      <c r="RF108" s="21" t="str">
        <f t="shared" si="415"/>
        <v/>
      </c>
      <c r="RG108" s="21" t="str">
        <f t="shared" si="416"/>
        <v/>
      </c>
      <c r="RH108" s="21" t="str">
        <f t="shared" si="417"/>
        <v/>
      </c>
      <c r="RI108" s="21" t="str">
        <f t="shared" si="418"/>
        <v/>
      </c>
      <c r="RJ108" s="21" t="str">
        <f t="shared" si="419"/>
        <v/>
      </c>
      <c r="RK108" s="21" t="str">
        <f t="shared" si="420"/>
        <v/>
      </c>
      <c r="RL108" s="21" t="str">
        <f t="shared" si="421"/>
        <v/>
      </c>
      <c r="RM108" s="21" t="str">
        <f t="shared" si="422"/>
        <v/>
      </c>
      <c r="RN108" s="21" t="str">
        <f t="shared" si="423"/>
        <v/>
      </c>
      <c r="RO108" s="21" t="str">
        <f t="shared" si="424"/>
        <v/>
      </c>
      <c r="RP108" s="21" t="str">
        <f t="shared" si="425"/>
        <v/>
      </c>
      <c r="RQ108" s="21" t="str">
        <f t="shared" si="426"/>
        <v/>
      </c>
      <c r="RR108" s="21" t="str">
        <f t="shared" si="427"/>
        <v/>
      </c>
      <c r="RS108" s="21" t="str">
        <f t="shared" si="428"/>
        <v/>
      </c>
      <c r="RT108" s="21" t="str">
        <f t="shared" si="429"/>
        <v>ALTO PARA EDAD GESTACIONAL</v>
      </c>
      <c r="RU108" s="21" t="str">
        <f t="shared" si="430"/>
        <v/>
      </c>
      <c r="RV108" s="21">
        <f t="shared" si="431"/>
        <v>19.099999999999586</v>
      </c>
      <c r="RW108" s="284">
        <f>IF(OR(Tabla1[[#This Row],[FUM FORMULA CONFIABLE]]="",Tabla1[[#This Row],[FUM FORMULA CONFIABLE]]="SD"),"",IF(Tabla1[[#This Row],[FUM FORMULA CONFIABLE]]="CORREGIDA",Tabla1[[#This Row],[FUM X ECO 1]],Tabla1[[#This Row],[FUM x AMENORREA]]))</f>
        <v>44882.3</v>
      </c>
      <c r="RX108" s="21">
        <f>IF(AND(Tabla1[[#This Row],[FUM X ECO 1]]="",Tabla1[[#This Row],[FUM x AMENORREA]]=""),"",IF(AND(Tabla1[[#This Row],[FUM X ECO 1]]="",Tabla1[[#This Row],[FUM x AMENORREA]]&lt;&gt;""),"X",SUM(Tabla1[[#This Row],[FUM X ECO 1]]-Tabla1[[#This Row],[FUM x AMENORREA]])))</f>
        <v>-50.69999999999709</v>
      </c>
      <c r="RY108" s="21">
        <f t="shared" si="433"/>
        <v>1</v>
      </c>
    </row>
    <row r="109" spans="1:493" ht="45" customHeight="1" x14ac:dyDescent="0.25">
      <c r="A109" s="109"/>
      <c r="B109" s="43"/>
      <c r="C109" s="43" t="s">
        <v>845</v>
      </c>
      <c r="D109" s="124"/>
      <c r="E109" s="43" t="s">
        <v>1326</v>
      </c>
      <c r="F109" s="43" t="s">
        <v>1327</v>
      </c>
      <c r="G109" s="43" t="s">
        <v>1328</v>
      </c>
      <c r="H109" s="43" t="s">
        <v>1329</v>
      </c>
      <c r="I109" s="109" t="s">
        <v>851</v>
      </c>
      <c r="J109" s="110">
        <v>1061499220</v>
      </c>
      <c r="K109" s="43" t="s">
        <v>852</v>
      </c>
      <c r="L109" s="175" t="s">
        <v>1509</v>
      </c>
      <c r="M109" s="22">
        <v>38830</v>
      </c>
      <c r="N109" s="213">
        <f t="shared" ca="1" si="252"/>
        <v>17.542465753424658</v>
      </c>
      <c r="O109" s="22">
        <v>44968</v>
      </c>
      <c r="P109" s="214" t="str">
        <f t="shared" si="437"/>
        <v>SI</v>
      </c>
      <c r="Q109" s="26" t="s">
        <v>855</v>
      </c>
      <c r="R109" s="22">
        <v>44968</v>
      </c>
      <c r="S109" s="21" t="s">
        <v>856</v>
      </c>
      <c r="T109" s="24" t="s">
        <v>690</v>
      </c>
      <c r="U109" s="21" t="s">
        <v>857</v>
      </c>
      <c r="V109" s="21" t="s">
        <v>858</v>
      </c>
      <c r="W109" s="21" t="s">
        <v>1082</v>
      </c>
      <c r="X109" s="21" t="s">
        <v>1082</v>
      </c>
      <c r="Y109" s="21" t="s">
        <v>859</v>
      </c>
      <c r="Z109" s="21" t="s">
        <v>894</v>
      </c>
      <c r="AA109" s="21" t="s">
        <v>860</v>
      </c>
      <c r="AB109" s="27" t="s">
        <v>861</v>
      </c>
      <c r="AC109" s="26" t="s">
        <v>877</v>
      </c>
      <c r="AD109" s="38" t="s">
        <v>846</v>
      </c>
      <c r="AE109" s="26" t="s">
        <v>854</v>
      </c>
      <c r="AF109" s="26" t="s">
        <v>854</v>
      </c>
      <c r="AG109" s="23" t="s">
        <v>864</v>
      </c>
      <c r="AH109" s="23" t="s">
        <v>864</v>
      </c>
      <c r="AI109" s="24" t="s">
        <v>863</v>
      </c>
      <c r="AJ109" s="23" t="s">
        <v>864</v>
      </c>
      <c r="AK109" s="220" t="str">
        <f>IF(AND(AD109="",AE109="",AF109="",AG109="",AH109="",AI109="",AJ109=""),"",IF(OR(Tabla1[[#This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EVALUACIÓN",IF(AND(O109="",R109=""),"",IF(AND(OR(O109&gt;0,R109&gt;0),NG109&gt;=0,NG109&lt;2),"SIN RIESGO",IF(AND(OR(O109&gt;0,R109&gt;0),NG109&gt;=2),"CON RIESGO","ASD")))))</f>
        <v>SIN RIESGO</v>
      </c>
      <c r="AL109" s="23" t="s">
        <v>864</v>
      </c>
      <c r="AM109" s="26" t="s">
        <v>864</v>
      </c>
      <c r="AN109" s="26" t="s">
        <v>864</v>
      </c>
      <c r="AO109" s="26" t="s">
        <v>864</v>
      </c>
      <c r="AP109" s="26" t="s">
        <v>864</v>
      </c>
      <c r="AQ109" s="26" t="s">
        <v>864</v>
      </c>
      <c r="AR109" s="26" t="s">
        <v>864</v>
      </c>
      <c r="AS109" s="21">
        <v>1</v>
      </c>
      <c r="AT109" s="21">
        <v>0</v>
      </c>
      <c r="AU109" s="21">
        <v>0</v>
      </c>
      <c r="AV109" s="26" t="s">
        <v>864</v>
      </c>
      <c r="AW109" s="21">
        <v>0</v>
      </c>
      <c r="AX109" s="26" t="s">
        <v>864</v>
      </c>
      <c r="AY109" s="26" t="s">
        <v>864</v>
      </c>
      <c r="AZ109" s="26" t="s">
        <v>864</v>
      </c>
      <c r="BA109" s="26" t="s">
        <v>864</v>
      </c>
      <c r="BB109" s="26" t="s">
        <v>864</v>
      </c>
      <c r="BC109" s="26" t="s">
        <v>864</v>
      </c>
      <c r="BD109" s="26" t="s">
        <v>864</v>
      </c>
      <c r="BE109" s="26" t="s">
        <v>864</v>
      </c>
      <c r="BF109" s="26" t="s">
        <v>864</v>
      </c>
      <c r="BG109" s="26" t="s">
        <v>864</v>
      </c>
      <c r="BH109" s="26" t="s">
        <v>864</v>
      </c>
      <c r="BI109" s="26" t="s">
        <v>864</v>
      </c>
      <c r="BJ109" s="26"/>
      <c r="BK109" s="26"/>
      <c r="BL109" s="26" t="s">
        <v>864</v>
      </c>
      <c r="BM109" s="26" t="s">
        <v>864</v>
      </c>
      <c r="BN109" s="22"/>
      <c r="BO109" s="22">
        <v>44822</v>
      </c>
      <c r="BP109" s="21" t="s">
        <v>864</v>
      </c>
      <c r="BQ109" s="222">
        <f t="shared" si="254"/>
        <v>0</v>
      </c>
      <c r="BR109" s="223">
        <f t="shared" si="255"/>
        <v>44817.5</v>
      </c>
      <c r="BS109" s="224">
        <f t="shared" si="256"/>
        <v>20.857142857142858</v>
      </c>
      <c r="BT109" s="216" t="str">
        <f t="shared" si="257"/>
        <v>DEFINIR CON ECO</v>
      </c>
      <c r="BU109" s="214" t="str">
        <f t="shared" ca="1" si="258"/>
        <v/>
      </c>
      <c r="BV109" s="25"/>
      <c r="BW109" s="22">
        <v>44975</v>
      </c>
      <c r="BX109" s="28">
        <v>22.5</v>
      </c>
      <c r="BY109" s="28"/>
      <c r="BZ109" s="22"/>
      <c r="CA109" s="21"/>
      <c r="CB109" s="26" t="s">
        <v>864</v>
      </c>
      <c r="CC109" s="26" t="s">
        <v>864</v>
      </c>
      <c r="CD109" s="26"/>
      <c r="CE109" s="26" t="s">
        <v>864</v>
      </c>
      <c r="CF109" s="22" t="s">
        <v>1517</v>
      </c>
      <c r="CG109" s="21"/>
      <c r="CH109" s="21"/>
      <c r="CI109" s="214" t="str">
        <f t="shared" si="259"/>
        <v>SD</v>
      </c>
      <c r="CJ109" s="225" t="str">
        <f>IF(AND(CI109&lt;10,CH109="SD"),"SIN DATO PESO PREGESTACION O I TRIM",IF(AND(OR(R109&gt;0,O109&gt;0),CI109="X"),"INGRESAR DATO DE PESO",IF(CI109="SD","INGRESAR DATO DE TALLA Y PESO",IF(AND(OR(Tabla1[[#This Row],[MOMENTO EN QUE SE REALIZA EL PESO AL INGRESO A CPN]]="PREGESTACIÓN",NZ109="Menor"),CI109&lt;18.5),"BAJO PESO",IF(AND(OR(Tabla1[[#This Row],[MOMENTO EN QUE SE REALIZA EL PESO AL INGRESO A CPN]]="PREGESTACIÓN",NZ109="Menor"),CI109&lt;25),"NORMAL",IF(AND(OR(Tabla1[[#This Row],[MOMENTO EN QUE SE REALIZA EL PESO AL INGRESO A CPN]]="PREGESTACIÓN",NZ109="Menor"),CI109&lt;30),"SOBREPESO",IF(AND(OR(Tabla1[[#This Row],[MOMENTO EN QUE SE REALIZA EL PESO AL INGRESO A CPN]]="PREGESTACIÓN",NZ109="Menor"),CI109&gt;=30,CI109&lt;50),"OBESIDAD",IF(AND(BS109&gt;0,Tabla1[[#This Row],[MOMENTO EN QUE SE REALIZA EL PESO AL INGRESO A CPN]]="GESTACIÓN"),HLOOKUP(NZ109,$OA$2:PH109,NY109),""))))))))</f>
        <v>INGRESAR DATO DE TALLA Y PESO</v>
      </c>
      <c r="CK109" s="212">
        <f t="shared" si="260"/>
        <v>45037</v>
      </c>
      <c r="CL109" s="21"/>
      <c r="CM109" s="214" t="str">
        <f t="shared" si="261"/>
        <v>SD</v>
      </c>
      <c r="CN109" s="216">
        <f t="shared" si="262"/>
        <v>30</v>
      </c>
      <c r="CO109" s="216" t="e">
        <f>IF(PI109="","",IF(PI109&gt;0,HLOOKUP(PI109,$PJ$2:QQ109,NY109),""))</f>
        <v>#REF!</v>
      </c>
      <c r="CP109" s="21"/>
      <c r="CQ109" s="216" t="e">
        <f>IF(QR109="Menor","NO APLICA-MENOR 13 SEM",IF(AND(CC109="SI",CN109&gt;23),"NO APLICA- GEMELAR",IF(QR109="","",IF(QR109&gt;0,HLOOKUP(QR109,$QS$2:RU109,NY109),""))))</f>
        <v>#REF!</v>
      </c>
      <c r="CR109" s="21"/>
      <c r="CS109" s="21"/>
      <c r="CT109" s="217" t="str">
        <f>IF(R109="","",IF(AND(BS109&gt;1,BS109&lt;12,Tabla1[[#This Row],[T.A. SISTOLICA - ANTES DE SEMANA 12]]="",Tabla1[[#This Row],[T.A. DIASTOLICA - ANTES DE SEMANA 12]]=""),"REGISTRE DATO TA ANTES SEMANA 12",IF(AND(BS109&gt;11,BS109&lt;43,Tabla1[[#This Row],[T.A. SISTOLICA - ANTES DE SEMANA 12]]="",Tabla1[[#This Row],[T.A. DIASTOLICA - ANTES DE SEMANA 12]]=""),"NO APLICA REGISTRO TA-INGRESO TARDIO",IF(AND(OR(O109&gt;0,R109&gt;0),OR(CR109&gt;=140,CS109&gt;=90)),"DEFINIR ESTADIO HTA",IF(AND(OR(O109&gt;0,R109&gt;0),AND(CR109&gt;120,CR109&lt;=139)),"PRE HTA SEGUIMIENTO",IF(AND(OR(O109&gt;0,R109&gt;0),AND(CS109&gt;80,CS109&lt;=89)),"PRE HTA SEGUIMIENTO",IF(AND(OR(O109&gt;0,R109&gt;0),AND(CR109&gt;=80,CR109&lt;=120)),"APARENTEMENTE NORMAL",IF(AND(OR(O109&gt;0,R109&gt;0),AND(CS109&gt;=50,CS109&lt;=80)),"APARENTEMENTE NORMAL",IF(AND(OR(O109&gt;0,R109&gt;0),AND(CR109&gt;1,CR109&lt;=70),AND(CS109&gt;1,CS109&lt;=40)),"HIPOTENSIÓN","")))))))))</f>
        <v>NO APLICA REGISTRO TA-INGRESO TARDIO</v>
      </c>
      <c r="CU109" s="21">
        <v>100</v>
      </c>
      <c r="CV109" s="21">
        <v>80</v>
      </c>
      <c r="CW109" s="217" t="str">
        <f ca="1">IF(R109="","",IF(AND(CN109&gt;19,CN109&lt;27,Tabla1[[#This Row],[T.A. SISTOLICA (Entre semana 20 y 26)]]="",Tabla1[[#This Row],[T.A. DIATOLICA (Entre semana 20 y 26)]]=""),"ACUDE A CONTROL SEM 20 A 26 REGISTRE TA AHORA",IF(AND(BS109&gt;1,BS109&lt;27,BU109&gt;19,Tabla1[[#This Row],[T.A. SISTOLICA (Entre semana 20 y 26)]]="",Tabla1[[#This Row],[T.A. DIATOLICA (Entre semana 20 y 26)]]=""),"COMPLETE REGISTRO TA CONTROL SEM 20 A26 ",IF(AND(BS109&gt;26,BS109&lt;43,Tabla1[[#This Row],[T.A. SISTOLICA (Entre semana 20 y 26)]]="",Tabla1[[#This Row],[T.A. DIATOLICA (Entre semana 20 y 26)]]=""),"NO APLICA REGISTRO TA-INGRESO TARDIO",IF(AND(OR(O109&gt;0,R109&gt;0),OR(CU109&gt;=140,CV109&gt;=90)),"ALTO RIESGO PREECLAMPSIA,DEFINIR ESTADIO HTA",IF(AND(OR(O109&gt;0,R109&gt;0),AND(CU109&gt;120,CU109&lt;=139)),"PRE HTA SEGUIMIENTO,RIESGO HIPERTENSION INDUCIDA POR EL EMBARAZO",IF(AND(OR(O109&gt;0,R109&gt;0),AND(CV109&gt;80,CV109&lt;=89)),"PRE HTA SEGUIMIENTO, RIESGO HIPERTENSION INDUCIDA POR EL EMBARAZO",IF(AND(OR(O109&lt;&gt;"",R109&lt;&gt;""),CS109&lt;&gt;"",CV109&lt;&gt;"",CS109&lt;=CV109),"VIGILAR CIFRAS PRESION ARTERIAL",IF(AND(OR(O109&gt;0,R109&gt;0),AND(CU109&gt;120,CU109&lt;=139)),"PRE HTA SEGUIMIENTO",IF(AND(OR(O109&gt;0,R109&gt;0),AND(CU109&gt;1,CU109&lt;=70),AND(CV109&gt;1,CV109&lt;=40)),"HIPOTENSIÓN",IF(AND(OR(O109&lt;&gt;"",R109&lt;&gt;""),CS109&lt;&gt;"",CV109&lt;&gt;"",CS109&gt;CV109),"APARENTEMENTE NORMAL",IF(AND(OR(O109&gt;0,R109&gt;0),AND(CU109&gt;=80,CU109&lt;=120)),"APARENTEMENTE NORMAL",IF(AND(OR(O109&gt;0,R109&gt;0),AND(CV109&gt;=50,CV109&lt;=80)),"APARENTEMENTE NORMAL","")))))))))))))</f>
        <v>APARENTEMENTE NORMAL</v>
      </c>
      <c r="CX109" s="21"/>
      <c r="CY109" s="21"/>
      <c r="CZ109" s="216" t="str">
        <f t="shared" si="456"/>
        <v/>
      </c>
      <c r="DA109" s="21"/>
      <c r="DB109" s="21"/>
      <c r="DC109" s="217" t="str">
        <f t="shared" si="264"/>
        <v>REGISTRE DATO PRESIÓN ARTERIAL MENSUAL</v>
      </c>
      <c r="DD109" s="22">
        <v>44968</v>
      </c>
      <c r="DE109" s="22">
        <v>44968</v>
      </c>
      <c r="DF109" s="22">
        <v>45037</v>
      </c>
      <c r="DG109" s="22"/>
      <c r="DH109" s="22"/>
      <c r="DI109" s="22"/>
      <c r="DJ109" s="22"/>
      <c r="DK109" s="22"/>
      <c r="DL109" s="22"/>
      <c r="DM109" s="22"/>
      <c r="DN109" s="22"/>
      <c r="DO109" s="22"/>
      <c r="DP109" s="22"/>
      <c r="DQ109" s="22"/>
      <c r="DR109" s="28">
        <v>1</v>
      </c>
      <c r="DS109" s="22"/>
      <c r="DT109" s="22"/>
      <c r="DU109" s="216" t="str">
        <f t="shared" ca="1" si="438"/>
        <v>SALE SIN PLAN DE PARTO</v>
      </c>
      <c r="DV109" s="226" t="str">
        <f t="shared" si="439"/>
        <v>SALIO PROGRAMA</v>
      </c>
      <c r="DW10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09" s="216" t="str">
        <f t="shared" ca="1" si="266"/>
        <v/>
      </c>
      <c r="DY109" s="212">
        <f>IF(R109="","",IF(R109&gt;0,MAX(Tabla1[[#This Row],[FECHA C2]:[FECHA C13]],Tabla1[[#This Row],[FECHA CONSULTA PRIMERA VEZ PROGRAMA CPN ]])))</f>
        <v>45037</v>
      </c>
      <c r="DZ109" s="216">
        <f t="shared" si="267"/>
        <v>30</v>
      </c>
      <c r="EA109" s="222">
        <f>IF(R109&gt;0,SUM(COUNTA(DF109:DQ109)+COUNTA(Tabla1[[#This Row],[FECHA CONSULTA PRIMERA VEZ PROGRAMA CPN ]])),"")</f>
        <v>2</v>
      </c>
      <c r="EB109" s="222" t="str">
        <f t="shared" si="268"/>
        <v>NO</v>
      </c>
      <c r="EC109" s="214">
        <f t="shared" si="269"/>
        <v>6</v>
      </c>
      <c r="ED109" s="227">
        <f t="shared" si="270"/>
        <v>0.33333333333333331</v>
      </c>
      <c r="EE109" s="22">
        <v>44968</v>
      </c>
      <c r="EF109" s="22">
        <v>44968</v>
      </c>
      <c r="EG109" s="22">
        <v>44968</v>
      </c>
      <c r="EH109" s="22"/>
      <c r="EI109" s="22">
        <v>44968</v>
      </c>
      <c r="EJ109" s="22">
        <v>44995</v>
      </c>
      <c r="EK109" s="22"/>
      <c r="EL109" s="21"/>
      <c r="EM109" s="21">
        <v>12.7</v>
      </c>
      <c r="EN109" s="22">
        <v>44968</v>
      </c>
      <c r="EO109" s="222">
        <f t="shared" si="271"/>
        <v>20.857142857142858</v>
      </c>
      <c r="EP109" s="214" t="str">
        <f t="shared" si="272"/>
        <v>NORMAL- SUMINISTRAR SULFATO FERROSO</v>
      </c>
      <c r="EQ109" s="216" t="str">
        <f t="shared" si="273"/>
        <v>II TRIM</v>
      </c>
      <c r="ER109" s="24"/>
      <c r="ES109" s="22"/>
      <c r="ET109" s="29" t="str">
        <f t="shared" ca="1" si="440"/>
        <v>SALE SIN TAMIZAJE HEMOGLOBINA SEM 28</v>
      </c>
      <c r="EU109" s="25" t="str">
        <f t="shared" si="275"/>
        <v/>
      </c>
      <c r="EV109" s="24" t="s">
        <v>866</v>
      </c>
      <c r="EW109" s="24">
        <v>44968</v>
      </c>
      <c r="EX109" s="22"/>
      <c r="EY109" s="29">
        <f t="shared" si="453"/>
        <v>20.857142857142858</v>
      </c>
      <c r="EZ109" s="25" t="str">
        <f t="shared" ca="1" si="454"/>
        <v/>
      </c>
      <c r="FA109" s="21"/>
      <c r="FB109" s="22"/>
      <c r="FC109" s="29" t="str">
        <f t="shared" si="276"/>
        <v>TOMAR EXAMEN</v>
      </c>
      <c r="FD109" s="29"/>
      <c r="FE109" s="29"/>
      <c r="FF109" s="29"/>
      <c r="FG109" s="21" t="str">
        <f t="shared" ca="1" si="277"/>
        <v/>
      </c>
      <c r="FH109" s="31"/>
      <c r="FI109" s="29" t="str">
        <f t="shared" si="278"/>
        <v>TOMAR EXAMEN</v>
      </c>
      <c r="FJ109" s="22"/>
      <c r="FK109" s="22"/>
      <c r="FL109" s="29" t="str">
        <f t="shared" ca="1" si="279"/>
        <v>NO APLICA-INGRESO TARDIO</v>
      </c>
      <c r="FM109" s="22" t="s">
        <v>867</v>
      </c>
      <c r="FN109" s="32">
        <v>44968</v>
      </c>
      <c r="FO109" s="29">
        <f t="shared" ca="1" si="441"/>
        <v>20.857142857142858</v>
      </c>
      <c r="FP109" s="22"/>
      <c r="FQ109" s="32"/>
      <c r="FR109" s="29" t="str">
        <f t="shared" ca="1" si="442"/>
        <v>PIERDE TOMA DE TAMIZAJE</v>
      </c>
      <c r="FS109" s="22"/>
      <c r="FT109" s="32"/>
      <c r="FU109" s="29" t="str">
        <f>IF(AND(FJ109="",FM109="",FP109="",FS109=""),"",IF(OR(OR(Tabla1[[#This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09" s="28"/>
      <c r="FW109" s="22"/>
      <c r="FX109" s="29" t="str">
        <f t="shared" si="280"/>
        <v>TOMAR EXAMEN</v>
      </c>
      <c r="FY109" s="22">
        <v>44968</v>
      </c>
      <c r="FZ109" s="22">
        <v>44968</v>
      </c>
      <c r="GA109" s="29" t="str">
        <f t="shared" si="452"/>
        <v>REGISTRAR EN II TRIMESTRE</v>
      </c>
      <c r="GB109" s="22" t="s">
        <v>868</v>
      </c>
      <c r="GC109" s="22">
        <v>44968</v>
      </c>
      <c r="GD109" s="29">
        <f t="shared" ca="1" si="443"/>
        <v>20.857142857142858</v>
      </c>
      <c r="GE109" s="22"/>
      <c r="GF109" s="22"/>
      <c r="GG109" s="29" t="str">
        <f t="shared" ca="1" si="444"/>
        <v>PIERDE TOMA DE TAMIZAJE</v>
      </c>
      <c r="GH109" s="22"/>
      <c r="GI109" s="29"/>
      <c r="GJ109" s="22"/>
      <c r="GK109" s="22"/>
      <c r="GL109" s="22"/>
      <c r="GM109" s="22"/>
      <c r="GN109" s="28" t="s">
        <v>869</v>
      </c>
      <c r="GO109" s="22">
        <v>44968</v>
      </c>
      <c r="GP109" s="29">
        <f t="shared" si="283"/>
        <v>20.857142857142858</v>
      </c>
      <c r="GQ109" s="28"/>
      <c r="GR109" s="28" t="s">
        <v>869</v>
      </c>
      <c r="GS109" s="22" t="str">
        <f t="shared" si="457"/>
        <v/>
      </c>
      <c r="GT109" s="22">
        <v>44968</v>
      </c>
      <c r="GU109" s="29">
        <f t="shared" si="285"/>
        <v>20.857142857142858</v>
      </c>
      <c r="GV109" s="21" t="str">
        <f t="shared" si="286"/>
        <v>II TRIM</v>
      </c>
      <c r="GW109" s="28" t="s">
        <v>869</v>
      </c>
      <c r="GX109" s="30"/>
      <c r="GY109" s="21"/>
      <c r="GZ109" s="21"/>
      <c r="HA109" s="21"/>
      <c r="HB109" s="21"/>
      <c r="HC109" s="21"/>
      <c r="HD109" s="21"/>
      <c r="HE109" s="21"/>
      <c r="HF109" s="22"/>
      <c r="HG109" s="22" t="str">
        <f>IF(OR(O109&gt;0,R109&gt;0),CONCATENATE(IF(Tabla1[[#This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09" s="22" t="e">
        <f t="shared" si="287"/>
        <v>#REF!</v>
      </c>
      <c r="HI109" s="22" t="e">
        <f t="shared" ca="1" si="288"/>
        <v>#REF!</v>
      </c>
      <c r="HJ109" s="21"/>
      <c r="HK109" s="21" t="str">
        <f t="shared" si="289"/>
        <v>SIN ANTECEDENTES DE RIESGO</v>
      </c>
      <c r="HL109" s="24" t="str">
        <f t="shared" si="290"/>
        <v>REGISTRE DATO PRESIÓN ARTERIAL MENSUAL</v>
      </c>
      <c r="HM109" s="21" t="str">
        <f t="shared" ca="1" si="291"/>
        <v/>
      </c>
      <c r="HN109" s="30" t="str">
        <f t="shared" si="445"/>
        <v>SALIO PROGRAMA</v>
      </c>
      <c r="HO109" s="21"/>
      <c r="HP109" s="21"/>
      <c r="HQ109" s="21">
        <v>44968</v>
      </c>
      <c r="HR109" s="21" t="str">
        <f>IF(R109="","",IF(Tabla1[[#This Row],[ALARMA FACTORES DE RIESGO COMPLICACIONES HIPERTENSIVAS3]]="SIN ANTECEDENTES DE RIESGO","No Aplica para suministro de ASA",IF(AND(Tabla1[[#This Row],[FECHA INICIO DE SUMINISTRO DE ASA]]&gt;0,RV109&lt;12),"Inicia ASA ANTES de Sem 12",IF(AND(RV109&gt;11,RV109&lt;17,OR(HK109="RIESGO ALTO DE COMPLICACIONES HIPERTENSIVAS VER MANEJO GUIA SUMINISTRO ASA Y CALCIO",HK109="RIESGO MODERADO (2 O MAS CRITERIOS) VER MANEJO GUIA SUMINISTRO ASA Y CALCIO")),"Inicio oportuno de ASA",IF(AND(RV109&gt;12,OR(HK109="RIESGO ALTO DE COMPLICACIONES HIPERTENSIVAS VER MANEJO GUIA SUMINISTRO ASA Y CALCIO",HK109="RIESGO MODERADO (2 O MAS CRITERIOS) VER MANEJO GUIA SUMINISTRO ASA Y CALCIO")),"Inicio no oportuno mayor a 16 semanas",IF(AND(BU109&lt;12,OR(HK109="RIESGO ALTO DE COMPLICACIONES HIPERTENSIVAS VER MANEJO GUIA SUMINISTRO ASA Y CALCIO",HK109="RIESGO MODERADO (2 O MAS CRITERIOS) VER MANEJO GUIA SUMINISTRO ASA Y CALCIO")),"Pendiente Inicio de ASA a la semana 12",IF(AND(BU109&gt;11,BU109&lt;17,OR(HK109="RIESGO ALTO DE COMPLICACIONES HIPERTENSIVAS VER MANEJO GUIA SUMINISTRO ASA Y CALCIO",HK109="RIESGO MODERADO (2 O MAS CRITERIOS) VER MANEJO GUIA SUMINISTRO ASA Y CALCIO")),"Iniciar de inmediato ASA",IF(AND(BU109&gt;16,OR(HK109="RIESGO ALTO DE COMPLICACIONES HIPERTENSIVAS VER MANEJO GUIA SUMINISTRO ASA Y CALCIO",HK109="RIESGO MODERADO (2 O MAS CRITERIOS) VER MANEJO GUIA SUMINISTRO ASA Y CALCIO")),"Pierde Oportunidad, Inicio tardío de ASA","XXXXX"))))))))</f>
        <v>No Aplica para suministro de ASA</v>
      </c>
      <c r="HS109" s="22">
        <v>44968</v>
      </c>
      <c r="HT109" s="22" t="s">
        <v>870</v>
      </c>
      <c r="HU109" s="22">
        <v>44968</v>
      </c>
      <c r="HV109" s="22" t="s">
        <v>870</v>
      </c>
      <c r="HW109" s="22">
        <v>44968</v>
      </c>
      <c r="HX109" s="22" t="s">
        <v>870</v>
      </c>
      <c r="HY109" s="22">
        <v>44968</v>
      </c>
      <c r="HZ109" s="28">
        <f t="shared" si="292"/>
        <v>20.857142857142858</v>
      </c>
      <c r="IA109" s="26"/>
      <c r="IB109" s="26"/>
      <c r="IC109" s="111"/>
      <c r="ID109" s="22"/>
      <c r="IE109" s="22" t="str">
        <f t="shared" ca="1" si="293"/>
        <v>SALE SIN VACUNA</v>
      </c>
      <c r="IF109" s="22"/>
      <c r="IG109" s="22">
        <f t="shared" si="294"/>
        <v>45102</v>
      </c>
      <c r="IH109" s="29">
        <f t="shared" ca="1" si="295"/>
        <v>-131</v>
      </c>
      <c r="II109" s="22" t="str">
        <f t="shared" ca="1" si="296"/>
        <v>POSIBLEMENTE NACIO</v>
      </c>
      <c r="IJ109" s="22"/>
      <c r="IK109" s="21" t="s">
        <v>898</v>
      </c>
      <c r="IL109" s="21"/>
      <c r="IM109" s="34"/>
      <c r="IN109" s="349">
        <v>45109</v>
      </c>
      <c r="IO109" s="21"/>
      <c r="IP109" s="29">
        <f t="shared" si="489"/>
        <v>41</v>
      </c>
      <c r="IQ109" s="35" t="s">
        <v>1650</v>
      </c>
      <c r="IR109" s="21" t="s">
        <v>1651</v>
      </c>
      <c r="IS109" s="21" t="s">
        <v>1646</v>
      </c>
      <c r="IT109" s="21" t="s">
        <v>1642</v>
      </c>
      <c r="IU109" s="21"/>
      <c r="IV109" s="21"/>
      <c r="IW109" s="21"/>
      <c r="IX109" s="21"/>
      <c r="IY109" s="21"/>
      <c r="IZ109" s="21"/>
      <c r="JA109" s="21"/>
      <c r="JB109" s="30">
        <v>1</v>
      </c>
      <c r="JC109" s="21" t="s">
        <v>1647</v>
      </c>
      <c r="JD109" s="36">
        <v>3580</v>
      </c>
      <c r="JE109" s="21" t="str">
        <f t="shared" si="446"/>
        <v>PESO ADECUADO EDAD GESTACIONAL</v>
      </c>
      <c r="JF109" s="30"/>
      <c r="JG109" s="21"/>
      <c r="JH109" s="21"/>
      <c r="JI109" s="21" t="s">
        <v>854</v>
      </c>
      <c r="JJ109" s="30" t="s">
        <v>866</v>
      </c>
      <c r="JK109" s="22"/>
      <c r="JL109" s="22"/>
      <c r="JM109" s="21"/>
      <c r="JN109" s="36"/>
      <c r="JO109" s="21" t="str">
        <f t="shared" si="447"/>
        <v/>
      </c>
      <c r="JP109" s="22"/>
      <c r="JQ109" s="21"/>
      <c r="JR109" s="21"/>
      <c r="JS109" s="21"/>
      <c r="JT109" s="30"/>
      <c r="JU109" s="22"/>
      <c r="JV109" s="22"/>
      <c r="JW109" s="33"/>
      <c r="JX109" s="28" t="str">
        <f t="shared" si="448"/>
        <v>INASISTENTE</v>
      </c>
      <c r="JY109" s="33"/>
      <c r="JZ109" s="28" t="str">
        <f t="shared" si="449"/>
        <v>INASISTENTE</v>
      </c>
      <c r="KA109" s="21"/>
      <c r="KB109" s="21"/>
      <c r="KC109" s="21"/>
      <c r="KD109" s="37"/>
      <c r="KE109" s="28"/>
      <c r="KF109" s="28"/>
      <c r="KG109" s="28"/>
      <c r="KH109" s="39"/>
      <c r="KI109" s="39"/>
      <c r="KJ109" s="66"/>
      <c r="KK109" s="39"/>
      <c r="KL109" s="39"/>
      <c r="KM109" s="66"/>
      <c r="KN109" s="39"/>
      <c r="KO109" s="39"/>
      <c r="KP109" s="39"/>
      <c r="KQ109" s="39"/>
      <c r="KR109" s="39"/>
      <c r="KS109" s="39"/>
      <c r="KT109" s="39"/>
      <c r="KU109" s="38"/>
      <c r="KV109" s="38"/>
      <c r="KW109" s="38"/>
      <c r="KX109" s="38"/>
      <c r="KY109" s="38"/>
      <c r="KZ109" s="38"/>
      <c r="LA109" s="38"/>
      <c r="LB109" s="38"/>
      <c r="LC109" s="38"/>
      <c r="LD109" s="38"/>
      <c r="LE109" s="38"/>
      <c r="LF109" s="38"/>
      <c r="LG109" s="38"/>
      <c r="LH109" s="38"/>
      <c r="LI109" s="38"/>
      <c r="LJ109" s="38"/>
      <c r="LK109" s="38"/>
      <c r="LL109" s="38"/>
      <c r="LM109" s="38"/>
      <c r="LN109" s="38"/>
      <c r="LO109" s="38"/>
      <c r="LP109" s="38"/>
      <c r="LQ109" s="38"/>
      <c r="LR109" s="38"/>
      <c r="LS109" s="38"/>
      <c r="LT109" s="38"/>
      <c r="LU109" s="38"/>
      <c r="LV109" s="38"/>
      <c r="LW109" s="38"/>
      <c r="LX109" s="38"/>
      <c r="LY109" s="38"/>
      <c r="LZ109" s="38"/>
      <c r="MA109" s="38"/>
      <c r="MB109" s="38"/>
      <c r="MC109" s="38"/>
      <c r="MD109" s="38"/>
      <c r="ME109" s="38"/>
      <c r="MF109" s="38"/>
      <c r="MG109" s="38"/>
      <c r="MH109" s="43">
        <f t="shared" si="458"/>
        <v>0</v>
      </c>
      <c r="MI109" s="43" t="str">
        <f t="shared" si="459"/>
        <v/>
      </c>
      <c r="MJ109" s="43" t="str">
        <f t="shared" si="460"/>
        <v/>
      </c>
      <c r="MK109" s="43">
        <f t="shared" si="461"/>
        <v>0</v>
      </c>
      <c r="ML1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09" s="43">
        <f t="shared" si="462"/>
        <v>20.857142857142858</v>
      </c>
      <c r="MN109" s="43">
        <f t="shared" si="463"/>
        <v>2</v>
      </c>
      <c r="MO109" s="43">
        <f t="shared" si="464"/>
        <v>2023</v>
      </c>
      <c r="MP109" s="43" t="str">
        <f t="shared" si="465"/>
        <v>I TRIMESTRE AÑO</v>
      </c>
      <c r="MQ109" s="43">
        <f t="shared" si="466"/>
        <v>16.557161629434955</v>
      </c>
      <c r="MR109" s="43">
        <f t="shared" si="467"/>
        <v>0</v>
      </c>
      <c r="MS109" s="43" t="str">
        <f t="shared" si="468"/>
        <v>DE 14 A 19AÑOS</v>
      </c>
      <c r="MT109" s="43">
        <f t="shared" si="469"/>
        <v>0</v>
      </c>
      <c r="MU109" s="43">
        <f t="shared" si="470"/>
        <v>1</v>
      </c>
      <c r="MV109" s="43">
        <f t="shared" si="471"/>
        <v>0</v>
      </c>
      <c r="MW109" s="43">
        <f t="shared" si="472"/>
        <v>0</v>
      </c>
      <c r="MX109" s="43" t="str">
        <f t="shared" si="473"/>
        <v/>
      </c>
      <c r="MY109" s="43" t="str">
        <f t="shared" ca="1" si="450"/>
        <v/>
      </c>
      <c r="MZ109" s="43" t="str">
        <f t="shared" si="474"/>
        <v/>
      </c>
      <c r="NA109" s="43" t="str">
        <f t="shared" si="475"/>
        <v/>
      </c>
      <c r="NB109" s="43" t="str">
        <f t="shared" si="476"/>
        <v/>
      </c>
      <c r="NC109" s="43" t="str">
        <f t="shared" si="477"/>
        <v/>
      </c>
      <c r="ND109" s="43">
        <f t="shared" ca="1" si="478"/>
        <v>1</v>
      </c>
      <c r="NE109" s="43">
        <f>IF(OR(O109&gt;0,R109&gt;0),SUM(COUNTIF(Tabla1[[#This Row],[AÑOS AL INICIO5 CPN]],"&gt;=40"),COUNTIF(AS109,"0"),COUNTIF(AR109,"SI"),COUNTIF(CC109,"SI"),COUNTIF(BQ109,"&gt;119"),COUNTIF(CI109,"&gt;=35")),"")</f>
        <v>0</v>
      </c>
      <c r="NF109" s="43" t="str">
        <f t="shared" si="479"/>
        <v/>
      </c>
      <c r="NG109" s="43">
        <f t="shared" si="480"/>
        <v>0</v>
      </c>
      <c r="NH109" s="43">
        <f t="shared" si="481"/>
        <v>157.5</v>
      </c>
      <c r="NI10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CPN",P109="NO"),"Z",IF(AND(Tabla1[[#This Row],[CITA PROXIMO CONTROL]]="CITA MANUAL",Tabla1[[#This Row],[GESTANTES ACTUALES]]="ACTIVA INGRESO A CPN"),"W",IF(AND(Tabla1[[#This Row],[GESTANTES ACTUALES]]="SALIO PROGRAMA",IN109=""),"S",IF(AND(Tabla1[[#This Row],[CITA PROXIMO CONTROL]]&gt;0,IN109=""),(Tabla1[[#This Row],[CITA PROXIMO CONTROL]]-TODAY()),"SD"))))))))</f>
        <v>SD</v>
      </c>
      <c r="NJ109" s="43">
        <f>MONTH(Tabla1[[#This Row],[FECHA DE SALIDA  DEL PROGRAMA]])</f>
        <v>7</v>
      </c>
      <c r="NK109" s="43">
        <f>YEAR(Tabla1[[#This Row],[FECHA DE SALIDA  DEL PROGRAMA]])</f>
        <v>2023</v>
      </c>
      <c r="NL109" s="43">
        <f t="shared" si="482"/>
        <v>27</v>
      </c>
      <c r="NM109" s="43" t="str">
        <f t="shared" si="455"/>
        <v>NO</v>
      </c>
      <c r="NN109" s="43" t="str">
        <f ca="1">IF(AND(O109&gt;0,R109=""),"NO CPN",IF(AND(O109="",R109=""),"",IF(AND(R109&gt;0,Tabla1[[#This Row],[SEMANAS DE GESTACION ACTUALIZADAS]]&lt;=12),"NO APLICA",IF(AND(FH109&lt;&gt;"",FN109&lt;&gt;""),"SI","NO"))))</f>
        <v>NO</v>
      </c>
      <c r="NO109" s="43" t="str">
        <f ca="1">IF(AND(O109&gt;0,R109=""),"NO CPN",IF(AND(O109="",R109=""),"",IF(AND(R109&gt;0,Tabla1[[#This Row],[SEMANAS DE GESTACION ACTUALIZADAS]]&lt;=27),"NO APLICA",IF(AND(ES109&lt;&gt;"",FQ109&lt;&gt;"",GF109&lt;&gt;""),"SI","NO"))))</f>
        <v>NO</v>
      </c>
      <c r="NP109" s="204" t="str">
        <f t="shared" si="483"/>
        <v>DEFINIR CON ECO</v>
      </c>
      <c r="NQ109" s="21">
        <f t="shared" si="436"/>
        <v>10</v>
      </c>
      <c r="NR109" s="21">
        <f t="shared" si="451"/>
        <v>2</v>
      </c>
      <c r="NS109" s="205">
        <f t="shared" ca="1" si="484"/>
        <v>1</v>
      </c>
      <c r="NT109" s="21">
        <f t="shared" ca="1" si="485"/>
        <v>1</v>
      </c>
      <c r="NU109" s="21" t="str">
        <f t="shared" ca="1" si="486"/>
        <v>INCOMPLETO</v>
      </c>
      <c r="NV109" s="21" t="str">
        <f t="shared" ca="1" si="487"/>
        <v>INCOMPLETO</v>
      </c>
      <c r="NW109" s="206" t="str">
        <f>IF(AND(O109="",R109=""),"",IF(OR(AND(Tabla1[[#This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09" s="207" t="str">
        <f t="shared" ca="1" si="488"/>
        <v>SIN VACUNAR</v>
      </c>
      <c r="NY109" s="43">
        <f>ROW(Tabla1[[#This Row],['# DE TAMIZAJES SIFILIS TOMADOS ]])</f>
        <v>109</v>
      </c>
      <c r="NZ109" s="43">
        <f t="shared" si="333"/>
        <v>20</v>
      </c>
      <c r="OA109" s="43" t="str">
        <f t="shared" si="334"/>
        <v/>
      </c>
      <c r="OB109" s="43" t="str">
        <f t="shared" si="335"/>
        <v/>
      </c>
      <c r="OC109" s="43" t="str">
        <f t="shared" si="336"/>
        <v/>
      </c>
      <c r="OD109" s="43" t="str">
        <f t="shared" si="337"/>
        <v/>
      </c>
      <c r="OE109" s="43" t="str">
        <f t="shared" si="338"/>
        <v/>
      </c>
      <c r="OF109" s="43" t="str">
        <f t="shared" si="339"/>
        <v/>
      </c>
      <c r="OG109" s="43" t="str">
        <f t="shared" si="340"/>
        <v/>
      </c>
      <c r="OH109" s="43" t="str">
        <f t="shared" si="341"/>
        <v/>
      </c>
      <c r="OI109" s="43" t="str">
        <f t="shared" si="342"/>
        <v/>
      </c>
      <c r="OJ109" s="43" t="str">
        <f t="shared" si="343"/>
        <v/>
      </c>
      <c r="OK109" s="43" t="str">
        <f t="shared" si="344"/>
        <v/>
      </c>
      <c r="OL109" s="43" t="str">
        <f t="shared" si="345"/>
        <v/>
      </c>
      <c r="OM109" s="43" t="str">
        <f t="shared" si="346"/>
        <v/>
      </c>
      <c r="ON109" s="43" t="str">
        <f t="shared" si="347"/>
        <v/>
      </c>
      <c r="OO109" s="43" t="str">
        <f t="shared" si="348"/>
        <v/>
      </c>
      <c r="OP109" s="43" t="str">
        <f t="shared" si="349"/>
        <v/>
      </c>
      <c r="OQ109" s="43" t="str">
        <f t="shared" si="350"/>
        <v/>
      </c>
      <c r="OR109" s="43" t="str">
        <f t="shared" si="351"/>
        <v/>
      </c>
      <c r="OS109" s="43" t="str">
        <f t="shared" si="352"/>
        <v/>
      </c>
      <c r="OT109" s="43" t="str">
        <f t="shared" si="353"/>
        <v/>
      </c>
      <c r="OU109" s="43" t="str">
        <f t="shared" si="354"/>
        <v/>
      </c>
      <c r="OV109" s="110" t="str">
        <f t="shared" si="355"/>
        <v/>
      </c>
      <c r="OW109" s="43" t="str">
        <f t="shared" si="356"/>
        <v/>
      </c>
      <c r="OX109" s="43" t="str">
        <f t="shared" si="357"/>
        <v/>
      </c>
      <c r="OY109" s="43" t="str">
        <f t="shared" si="358"/>
        <v/>
      </c>
      <c r="OZ109" s="43" t="str">
        <f t="shared" si="359"/>
        <v/>
      </c>
      <c r="PA109" s="43" t="str">
        <f t="shared" si="360"/>
        <v/>
      </c>
      <c r="PB109" s="43" t="str">
        <f t="shared" si="361"/>
        <v/>
      </c>
      <c r="PC109" s="43" t="str">
        <f t="shared" si="362"/>
        <v/>
      </c>
      <c r="PD109" s="43" t="str">
        <f t="shared" si="363"/>
        <v/>
      </c>
      <c r="PE109" s="43" t="str">
        <f t="shared" si="364"/>
        <v/>
      </c>
      <c r="PF109" s="43" t="str">
        <f t="shared" si="365"/>
        <v/>
      </c>
      <c r="PG109" s="43" t="str">
        <f t="shared" si="366"/>
        <v/>
      </c>
      <c r="PH109" s="43" t="str">
        <f t="shared" si="367"/>
        <v/>
      </c>
      <c r="PI109" s="43">
        <f t="shared" si="368"/>
        <v>30</v>
      </c>
      <c r="PJ109" s="43" t="str">
        <f t="shared" si="369"/>
        <v/>
      </c>
      <c r="PK109" s="43" t="str">
        <f t="shared" si="370"/>
        <v/>
      </c>
      <c r="PL109" s="43" t="str">
        <f t="shared" si="371"/>
        <v/>
      </c>
      <c r="PM109" s="43" t="str">
        <f t="shared" si="372"/>
        <v/>
      </c>
      <c r="PN109" s="43" t="str">
        <f t="shared" si="373"/>
        <v/>
      </c>
      <c r="PO109" s="43" t="str">
        <f t="shared" si="374"/>
        <v/>
      </c>
      <c r="PP109" s="43" t="str">
        <f t="shared" si="375"/>
        <v/>
      </c>
      <c r="PQ109" s="43" t="str">
        <f t="shared" si="376"/>
        <v/>
      </c>
      <c r="PR109" s="43" t="str">
        <f t="shared" si="377"/>
        <v/>
      </c>
      <c r="PS109" s="43" t="str">
        <f t="shared" si="378"/>
        <v/>
      </c>
      <c r="PT109" s="43" t="str">
        <f t="shared" si="379"/>
        <v/>
      </c>
      <c r="PU109" s="43" t="str">
        <f t="shared" si="380"/>
        <v/>
      </c>
      <c r="PV109" s="43" t="str">
        <f t="shared" si="381"/>
        <v/>
      </c>
      <c r="PW109" s="43" t="str">
        <f t="shared" si="382"/>
        <v/>
      </c>
      <c r="PX109" s="43" t="str">
        <f t="shared" si="383"/>
        <v/>
      </c>
      <c r="PY109" s="43" t="str">
        <f t="shared" si="384"/>
        <v/>
      </c>
      <c r="PZ109" s="43" t="str">
        <f t="shared" si="385"/>
        <v/>
      </c>
      <c r="QA109" s="43" t="str">
        <f t="shared" si="386"/>
        <v/>
      </c>
      <c r="QB109" s="43" t="str">
        <f t="shared" si="387"/>
        <v/>
      </c>
      <c r="QC109" s="43" t="str">
        <f t="shared" si="388"/>
        <v/>
      </c>
      <c r="QD109" s="43" t="str">
        <f t="shared" si="389"/>
        <v/>
      </c>
      <c r="QE109" s="43" t="str">
        <f t="shared" si="390"/>
        <v/>
      </c>
      <c r="QF109" s="43" t="str">
        <f t="shared" si="391"/>
        <v/>
      </c>
      <c r="QG109" s="43" t="str">
        <f t="shared" si="392"/>
        <v/>
      </c>
      <c r="QH109" s="43" t="str">
        <f t="shared" si="393"/>
        <v/>
      </c>
      <c r="QI109" s="43" t="str">
        <f t="shared" si="394"/>
        <v/>
      </c>
      <c r="QJ109" s="43" t="str">
        <f t="shared" si="395"/>
        <v/>
      </c>
      <c r="QK109" s="43" t="str">
        <f t="shared" si="396"/>
        <v/>
      </c>
      <c r="QL109" s="43" t="str">
        <f t="shared" si="397"/>
        <v/>
      </c>
      <c r="QM109" s="43" t="str">
        <f t="shared" si="398"/>
        <v/>
      </c>
      <c r="QN109" s="43" t="str">
        <f t="shared" si="399"/>
        <v/>
      </c>
      <c r="QO109" s="43" t="str">
        <f t="shared" si="400"/>
        <v/>
      </c>
      <c r="QP109" s="43" t="str">
        <f t="shared" si="401"/>
        <v/>
      </c>
      <c r="QQ109" s="43" t="str">
        <f t="shared" si="402"/>
        <v/>
      </c>
      <c r="QR109" s="43">
        <f t="shared" si="432"/>
        <v>30</v>
      </c>
      <c r="QS109" s="43"/>
      <c r="QT109" s="21" t="str">
        <f t="shared" si="403"/>
        <v/>
      </c>
      <c r="QU109" s="21" t="str">
        <f t="shared" si="404"/>
        <v/>
      </c>
      <c r="QV109" s="21" t="str">
        <f t="shared" si="405"/>
        <v/>
      </c>
      <c r="QW109" s="21" t="str">
        <f t="shared" si="406"/>
        <v/>
      </c>
      <c r="QX109" s="21" t="str">
        <f t="shared" si="407"/>
        <v/>
      </c>
      <c r="QY109" s="21" t="str">
        <f t="shared" si="408"/>
        <v/>
      </c>
      <c r="QZ109" s="21" t="str">
        <f t="shared" si="409"/>
        <v/>
      </c>
      <c r="RA109" s="21" t="str">
        <f t="shared" si="410"/>
        <v/>
      </c>
      <c r="RB109" s="21" t="str">
        <f t="shared" si="411"/>
        <v/>
      </c>
      <c r="RC109" s="21" t="str">
        <f t="shared" si="412"/>
        <v/>
      </c>
      <c r="RD109" s="21" t="str">
        <f t="shared" si="413"/>
        <v/>
      </c>
      <c r="RE109" s="21" t="str">
        <f t="shared" si="414"/>
        <v/>
      </c>
      <c r="RF109" s="21" t="str">
        <f t="shared" si="415"/>
        <v/>
      </c>
      <c r="RG109" s="21" t="str">
        <f t="shared" si="416"/>
        <v/>
      </c>
      <c r="RH109" s="21" t="str">
        <f t="shared" si="417"/>
        <v/>
      </c>
      <c r="RI109" s="21" t="str">
        <f t="shared" si="418"/>
        <v/>
      </c>
      <c r="RJ109" s="21" t="str">
        <f t="shared" si="419"/>
        <v/>
      </c>
      <c r="RK109" s="21" t="str">
        <f t="shared" si="420"/>
        <v/>
      </c>
      <c r="RL109" s="21" t="str">
        <f t="shared" si="421"/>
        <v/>
      </c>
      <c r="RM109" s="21" t="str">
        <f t="shared" si="422"/>
        <v/>
      </c>
      <c r="RN109" s="21" t="str">
        <f t="shared" si="423"/>
        <v/>
      </c>
      <c r="RO109" s="21" t="str">
        <f t="shared" si="424"/>
        <v/>
      </c>
      <c r="RP109" s="21" t="str">
        <f t="shared" si="425"/>
        <v/>
      </c>
      <c r="RQ109" s="21" t="str">
        <f t="shared" si="426"/>
        <v/>
      </c>
      <c r="RR109" s="21" t="str">
        <f t="shared" si="427"/>
        <v/>
      </c>
      <c r="RS109" s="21" t="str">
        <f t="shared" si="428"/>
        <v/>
      </c>
      <c r="RT109" s="21" t="str">
        <f t="shared" si="429"/>
        <v/>
      </c>
      <c r="RU109" s="21" t="str">
        <f t="shared" si="430"/>
        <v/>
      </c>
      <c r="RV109" s="21">
        <f t="shared" si="431"/>
        <v>20.857142857142858</v>
      </c>
      <c r="RW109" s="284">
        <f>IF(OR(Tabla1[[#This Row],[FUM FORMULA CONFIABLE]]="",Tabla1[[#This Row],[FUM FORMULA CONFIABLE]]="SD"),"",IF(Tabla1[[#This Row],[FUM FORMULA CONFIABLE]]="CORREGIDA",Tabla1[[#This Row],[FUM X ECO 1]],Tabla1[[#This Row],[FUM x AMENORREA]]))</f>
        <v>44822</v>
      </c>
      <c r="RX109" s="21">
        <f>IF(AND(Tabla1[[#This Row],[FUM X ECO 1]]="",Tabla1[[#This Row],[FUM x AMENORREA]]=""),"",IF(AND(Tabla1[[#This Row],[FUM X ECO 1]]="",Tabla1[[#This Row],[FUM x AMENORREA]]&lt;&gt;""),"X",SUM(Tabla1[[#This Row],[FUM X ECO 1]]-Tabla1[[#This Row],[FUM x AMENORREA]])))</f>
        <v>-4.5</v>
      </c>
      <c r="RY109" s="21">
        <f t="shared" si="433"/>
        <v>0</v>
      </c>
    </row>
    <row r="110" spans="1:493" ht="45" customHeight="1" x14ac:dyDescent="0.25">
      <c r="A110" s="109"/>
      <c r="B110" s="43"/>
      <c r="C110" s="43" t="s">
        <v>845</v>
      </c>
      <c r="D110" s="124" t="s">
        <v>846</v>
      </c>
      <c r="E110" s="43" t="s">
        <v>884</v>
      </c>
      <c r="F110" s="43" t="s">
        <v>943</v>
      </c>
      <c r="G110" s="43" t="s">
        <v>1330</v>
      </c>
      <c r="H110" s="43"/>
      <c r="I110" s="109" t="s">
        <v>851</v>
      </c>
      <c r="J110" s="110">
        <v>1059598469</v>
      </c>
      <c r="K110" s="43" t="s">
        <v>852</v>
      </c>
      <c r="L110" s="175" t="s">
        <v>853</v>
      </c>
      <c r="M110" s="22">
        <v>33012</v>
      </c>
      <c r="N110" s="213">
        <f t="shared" ca="1" si="252"/>
        <v>33.482191780821921</v>
      </c>
      <c r="O110" s="22">
        <v>44977</v>
      </c>
      <c r="P110" s="214" t="str">
        <f t="shared" si="437"/>
        <v>SI</v>
      </c>
      <c r="Q110" s="26" t="s">
        <v>855</v>
      </c>
      <c r="R110" s="22">
        <v>44977</v>
      </c>
      <c r="S110" s="21" t="s">
        <v>856</v>
      </c>
      <c r="T110" s="24" t="s">
        <v>690</v>
      </c>
      <c r="U110" s="21" t="s">
        <v>857</v>
      </c>
      <c r="V110" s="21" t="s">
        <v>858</v>
      </c>
      <c r="W110" s="21" t="s">
        <v>1331</v>
      </c>
      <c r="X110" s="21" t="s">
        <v>1331</v>
      </c>
      <c r="Y110" s="21" t="s">
        <v>859</v>
      </c>
      <c r="Z110" s="21" t="s">
        <v>894</v>
      </c>
      <c r="AA110" s="21" t="s">
        <v>860</v>
      </c>
      <c r="AB110" s="27" t="s">
        <v>861</v>
      </c>
      <c r="AC110" s="26" t="s">
        <v>846</v>
      </c>
      <c r="AD110" s="38" t="s">
        <v>846</v>
      </c>
      <c r="AE110" s="26" t="s">
        <v>854</v>
      </c>
      <c r="AF110" s="26" t="s">
        <v>854</v>
      </c>
      <c r="AG110" s="23" t="s">
        <v>864</v>
      </c>
      <c r="AH110" s="23" t="s">
        <v>864</v>
      </c>
      <c r="AI110" s="24" t="s">
        <v>863</v>
      </c>
      <c r="AJ110" s="23" t="s">
        <v>864</v>
      </c>
      <c r="AK110" s="220" t="str">
        <f>IF(AND(AD110="",AE110="",AF110="",AG110="",AH110="",AI110="",AJ110=""),"",IF(OR(Tabla1[[#This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EVALUACIÓN",IF(AND(O110="",R110=""),"",IF(AND(OR(O110&gt;0,R110&gt;0),NG110&gt;=0,NG110&lt;2),"SIN RIESGO",IF(AND(OR(O110&gt;0,R110&gt;0),NG110&gt;=2),"CON RIESGO","ASD")))))</f>
        <v>SIN RIESGO</v>
      </c>
      <c r="AL110" s="23" t="s">
        <v>864</v>
      </c>
      <c r="AM110" s="26" t="s">
        <v>864</v>
      </c>
      <c r="AN110" s="26" t="s">
        <v>864</v>
      </c>
      <c r="AO110" s="26" t="s">
        <v>864</v>
      </c>
      <c r="AP110" s="26" t="s">
        <v>864</v>
      </c>
      <c r="AQ110" s="26" t="s">
        <v>864</v>
      </c>
      <c r="AR110" s="26" t="s">
        <v>864</v>
      </c>
      <c r="AS110" s="21">
        <v>6</v>
      </c>
      <c r="AT110" s="21">
        <v>6</v>
      </c>
      <c r="AU110" s="21">
        <v>0</v>
      </c>
      <c r="AV110" s="26" t="s">
        <v>864</v>
      </c>
      <c r="AW110" s="21">
        <v>0</v>
      </c>
      <c r="AX110" s="26" t="s">
        <v>864</v>
      </c>
      <c r="AY110" s="26" t="s">
        <v>864</v>
      </c>
      <c r="AZ110" s="26" t="s">
        <v>864</v>
      </c>
      <c r="BA110" s="26" t="s">
        <v>864</v>
      </c>
      <c r="BB110" s="26" t="s">
        <v>864</v>
      </c>
      <c r="BC110" s="26" t="s">
        <v>864</v>
      </c>
      <c r="BD110" s="26" t="s">
        <v>864</v>
      </c>
      <c r="BE110" s="26" t="s">
        <v>864</v>
      </c>
      <c r="BF110" s="26" t="s">
        <v>864</v>
      </c>
      <c r="BG110" s="26" t="s">
        <v>864</v>
      </c>
      <c r="BH110" s="26" t="s">
        <v>864</v>
      </c>
      <c r="BI110" s="26" t="s">
        <v>864</v>
      </c>
      <c r="BJ110" s="26"/>
      <c r="BK110" s="26"/>
      <c r="BL110" s="26" t="s">
        <v>864</v>
      </c>
      <c r="BM110" s="26" t="s">
        <v>864</v>
      </c>
      <c r="BN110" s="22">
        <v>43967</v>
      </c>
      <c r="BO110" s="22">
        <v>44854</v>
      </c>
      <c r="BP110" s="21" t="s">
        <v>854</v>
      </c>
      <c r="BQ110" s="222">
        <f t="shared" si="254"/>
        <v>29.566666666666666</v>
      </c>
      <c r="BR110" s="223">
        <f t="shared" si="255"/>
        <v>44810.9</v>
      </c>
      <c r="BS110" s="224">
        <f t="shared" si="256"/>
        <v>17.571428571428573</v>
      </c>
      <c r="BT110" s="216" t="str">
        <f t="shared" si="257"/>
        <v>II TRIM</v>
      </c>
      <c r="BU110" s="214" t="str">
        <f t="shared" ca="1" si="258"/>
        <v/>
      </c>
      <c r="BV110" s="25"/>
      <c r="BW110" s="22">
        <v>45016</v>
      </c>
      <c r="BX110" s="28">
        <v>29.3</v>
      </c>
      <c r="BY110" s="28"/>
      <c r="BZ110" s="22"/>
      <c r="CA110" s="21"/>
      <c r="CB110" s="26" t="s">
        <v>864</v>
      </c>
      <c r="CC110" s="26" t="s">
        <v>864</v>
      </c>
      <c r="CD110" s="26"/>
      <c r="CE110" s="26" t="s">
        <v>864</v>
      </c>
      <c r="CF110" s="22" t="s">
        <v>1517</v>
      </c>
      <c r="CG110" s="21">
        <v>1.53</v>
      </c>
      <c r="CH110" s="21">
        <v>66</v>
      </c>
      <c r="CI110" s="214">
        <f t="shared" si="259"/>
        <v>28.194284249647573</v>
      </c>
      <c r="CJ110" s="225" t="e">
        <f>IF(AND(CI110&lt;10,CH110="SD"),"SIN DATO PESO PREGESTACION O I TRIM",IF(AND(OR(R110&gt;0,O110&gt;0),CI110="X"),"INGRESAR DATO DE PESO",IF(CI110="SD","INGRESAR DATO DE TALLA Y PESO",IF(AND(OR(Tabla1[[#This Row],[MOMENTO EN QUE SE REALIZA EL PESO AL INGRESO A CPN]]="PREGESTACIÓN",NZ110="Menor"),CI110&lt;18.5),"BAJO PESO",IF(AND(OR(Tabla1[[#This Row],[MOMENTO EN QUE SE REALIZA EL PESO AL INGRESO A CPN]]="PREGESTACIÓN",NZ110="Menor"),CI110&lt;25),"NORMAL",IF(AND(OR(Tabla1[[#This Row],[MOMENTO EN QUE SE REALIZA EL PESO AL INGRESO A CPN]]="PREGESTACIÓN",NZ110="Menor"),CI110&lt;30),"SOBREPESO",IF(AND(OR(Tabla1[[#This Row],[MOMENTO EN QUE SE REALIZA EL PESO AL INGRESO A CPN]]="PREGESTACIÓN",NZ110="Menor"),CI110&gt;=30,CI110&lt;50),"OBESIDAD",IF(AND(BS110&gt;0,Tabla1[[#This Row],[MOMENTO EN QUE SE REALIZA EL PESO AL INGRESO A CPN]]="GESTACIÓN"),HLOOKUP(NZ110,$OA$2:PH110,NY110),""))))))))</f>
        <v>#REF!</v>
      </c>
      <c r="CK110" s="212">
        <f t="shared" si="260"/>
        <v>45016</v>
      </c>
      <c r="CL110" s="21"/>
      <c r="CM110" s="214">
        <f t="shared" si="261"/>
        <v>0</v>
      </c>
      <c r="CN110" s="216">
        <f t="shared" si="262"/>
        <v>23</v>
      </c>
      <c r="CO110" s="216" t="e">
        <f>IF(PI110="","",IF(PI110&gt;0,HLOOKUP(PI110,$PJ$2:QQ110,NY110),""))</f>
        <v>#REF!</v>
      </c>
      <c r="CP110" s="21"/>
      <c r="CQ110" s="216" t="e">
        <f>IF(QR110="Menor","NO APLICA-MENOR 13 SEM",IF(AND(CC110="SI",CN110&gt;23),"NO APLICA- GEMELAR",IF(QR110="","",IF(QR110&gt;0,HLOOKUP(QR110,$QS$2:RU110,NY110),""))))</f>
        <v>#REF!</v>
      </c>
      <c r="CR110" s="21"/>
      <c r="CS110" s="21"/>
      <c r="CT110" s="217" t="str">
        <f>IF(R110="","",IF(AND(BS110&gt;1,BS110&lt;12,Tabla1[[#This Row],[T.A. SISTOLICA - ANTES DE SEMANA 12]]="",Tabla1[[#This Row],[T.A. DIASTOLICA - ANTES DE SEMANA 12]]=""),"REGISTRE DATO TA ANTES SEMANA 12",IF(AND(BS110&gt;11,BS110&lt;43,Tabla1[[#This Row],[T.A. SISTOLICA - ANTES DE SEMANA 12]]="",Tabla1[[#This Row],[T.A. DIASTOLICA - ANTES DE SEMANA 12]]=""),"NO APLICA REGISTRO TA-INGRESO TARDIO",IF(AND(OR(O110&gt;0,R110&gt;0),OR(CR110&gt;=140,CS110&gt;=90)),"DEFINIR ESTADIO HTA",IF(AND(OR(O110&gt;0,R110&gt;0),AND(CR110&gt;120,CR110&lt;=139)),"PRE HTA SEGUIMIENTO",IF(AND(OR(O110&gt;0,R110&gt;0),AND(CS110&gt;80,CS110&lt;=89)),"PRE HTA SEGUIMIENTO",IF(AND(OR(O110&gt;0,R110&gt;0),AND(CR110&gt;=80,CR110&lt;=120)),"APARENTEMENTE NORMAL",IF(AND(OR(O110&gt;0,R110&gt;0),AND(CS110&gt;=50,CS110&lt;=80)),"APARENTEMENTE NORMAL",IF(AND(OR(O110&gt;0,R110&gt;0),AND(CR110&gt;1,CR110&lt;=70),AND(CS110&gt;1,CS110&lt;=40)),"HIPOTENSIÓN","")))))))))</f>
        <v>NO APLICA REGISTRO TA-INGRESO TARDIO</v>
      </c>
      <c r="CU110" s="21">
        <v>110</v>
      </c>
      <c r="CV110" s="21">
        <v>80</v>
      </c>
      <c r="CW110" s="217" t="str">
        <f ca="1">IF(R110="","",IF(AND(CN110&gt;19,CN110&lt;27,Tabla1[[#This Row],[T.A. SISTOLICA (Entre semana 20 y 26)]]="",Tabla1[[#This Row],[T.A. DIATOLICA (Entre semana 20 y 26)]]=""),"ACUDE A CONTROL SEM 20 A 26 REGISTRE TA AHORA",IF(AND(BS110&gt;1,BS110&lt;27,BU110&gt;19,Tabla1[[#This Row],[T.A. SISTOLICA (Entre semana 20 y 26)]]="",Tabla1[[#This Row],[T.A. DIATOLICA (Entre semana 20 y 26)]]=""),"COMPLETE REGISTRO TA CONTROL SEM 20 A26 ",IF(AND(BS110&gt;26,BS110&lt;43,Tabla1[[#This Row],[T.A. SISTOLICA (Entre semana 20 y 26)]]="",Tabla1[[#This Row],[T.A. DIATOLICA (Entre semana 20 y 26)]]=""),"NO APLICA REGISTRO TA-INGRESO TARDIO",IF(AND(OR(O110&gt;0,R110&gt;0),OR(CU110&gt;=140,CV110&gt;=90)),"ALTO RIESGO PREECLAMPSIA,DEFINIR ESTADIO HTA",IF(AND(OR(O110&gt;0,R110&gt;0),AND(CU110&gt;120,CU110&lt;=139)),"PRE HTA SEGUIMIENTO,RIESGO HIPERTENSION INDUCIDA POR EL EMBARAZO",IF(AND(OR(O110&gt;0,R110&gt;0),AND(CV110&gt;80,CV110&lt;=89)),"PRE HTA SEGUIMIENTO, RIESGO HIPERTENSION INDUCIDA POR EL EMBARAZO",IF(AND(OR(O110&lt;&gt;"",R110&lt;&gt;""),CS110&lt;&gt;"",CV110&lt;&gt;"",CS110&lt;=CV110),"VIGILAR CIFRAS PRESION ARTERIAL",IF(AND(OR(O110&gt;0,R110&gt;0),AND(CU110&gt;120,CU110&lt;=139)),"PRE HTA SEGUIMIENTO",IF(AND(OR(O110&gt;0,R110&gt;0),AND(CU110&gt;1,CU110&lt;=70),AND(CV110&gt;1,CV110&lt;=40)),"HIPOTENSIÓN",IF(AND(OR(O110&lt;&gt;"",R110&lt;&gt;""),CS110&lt;&gt;"",CV110&lt;&gt;"",CS110&gt;CV110),"APARENTEMENTE NORMAL",IF(AND(OR(O110&gt;0,R110&gt;0),AND(CU110&gt;=80,CU110&lt;=120)),"APARENTEMENTE NORMAL",IF(AND(OR(O110&gt;0,R110&gt;0),AND(CV110&gt;=50,CV110&lt;=80)),"APARENTEMENTE NORMAL","")))))))))))))</f>
        <v>APARENTEMENTE NORMAL</v>
      </c>
      <c r="CX110" s="21"/>
      <c r="CY110" s="21"/>
      <c r="CZ110" s="216" t="str">
        <f t="shared" si="456"/>
        <v/>
      </c>
      <c r="DA110" s="21"/>
      <c r="DB110" s="21"/>
      <c r="DC110" s="217" t="str">
        <f t="shared" si="264"/>
        <v>REGISTRE DATO PRESIÓN ARTERIAL MENSUAL</v>
      </c>
      <c r="DD110" s="22">
        <v>44977</v>
      </c>
      <c r="DE110" s="22">
        <v>44977</v>
      </c>
      <c r="DF110" s="22">
        <v>45016</v>
      </c>
      <c r="DG110" s="22"/>
      <c r="DH110" s="22"/>
      <c r="DI110" s="22"/>
      <c r="DJ110" s="22"/>
      <c r="DK110" s="22"/>
      <c r="DL110" s="22"/>
      <c r="DM110" s="22"/>
      <c r="DN110" s="22"/>
      <c r="DO110" s="22"/>
      <c r="DP110" s="22"/>
      <c r="DQ110" s="22"/>
      <c r="DR110" s="28">
        <v>1</v>
      </c>
      <c r="DS110" s="22"/>
      <c r="DT110" s="22"/>
      <c r="DU110" s="216" t="str">
        <f t="shared" ca="1" si="438"/>
        <v>SALE PROGRAMA ANTES SEMANA 35</v>
      </c>
      <c r="DV110" s="226" t="str">
        <f t="shared" si="439"/>
        <v>SALIO PROGRAMA</v>
      </c>
      <c r="DW11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0" s="216" t="str">
        <f t="shared" ca="1" si="266"/>
        <v/>
      </c>
      <c r="DY110" s="212">
        <f>IF(R110="","",IF(R110&gt;0,MAX(Tabla1[[#This Row],[FECHA C2]:[FECHA C13]],Tabla1[[#This Row],[FECHA CONSULTA PRIMERA VEZ PROGRAMA CPN ]])))</f>
        <v>45016</v>
      </c>
      <c r="DZ110" s="216">
        <f t="shared" si="267"/>
        <v>23</v>
      </c>
      <c r="EA110" s="222">
        <f>IF(R110&gt;0,SUM(COUNTA(DF110:DQ110)+COUNTA(Tabla1[[#This Row],[FECHA CONSULTA PRIMERA VEZ PROGRAMA CPN ]])),"")</f>
        <v>2</v>
      </c>
      <c r="EB110" s="222" t="str">
        <f t="shared" si="268"/>
        <v>NO</v>
      </c>
      <c r="EC110" s="214">
        <f t="shared" si="269"/>
        <v>7</v>
      </c>
      <c r="ED110" s="227">
        <f t="shared" si="270"/>
        <v>0.2857142857142857</v>
      </c>
      <c r="EE110" s="22">
        <v>44977</v>
      </c>
      <c r="EF110" s="22">
        <v>45016</v>
      </c>
      <c r="EG110" s="22">
        <v>44977</v>
      </c>
      <c r="EH110" s="22"/>
      <c r="EI110" s="22">
        <v>44977</v>
      </c>
      <c r="EJ110" s="22"/>
      <c r="EK110" s="22"/>
      <c r="EL110" s="21"/>
      <c r="EM110" s="21"/>
      <c r="EN110" s="22"/>
      <c r="EO110" s="222" t="str">
        <f t="shared" si="271"/>
        <v>TOMAR EXAMEN</v>
      </c>
      <c r="EP110" s="214" t="str">
        <f t="shared" si="272"/>
        <v/>
      </c>
      <c r="EQ110" s="216" t="str">
        <f t="shared" si="273"/>
        <v>POR DEFINIR</v>
      </c>
      <c r="ER110" s="24"/>
      <c r="ES110" s="22"/>
      <c r="ET110" s="29" t="str">
        <f t="shared" ca="1" si="440"/>
        <v>SALE SIN TAMIZAJE HEMOGLOBINA SEM 28</v>
      </c>
      <c r="EU110" s="25" t="str">
        <f t="shared" si="275"/>
        <v/>
      </c>
      <c r="EV110" s="24"/>
      <c r="EW110" s="24"/>
      <c r="EX110" s="22"/>
      <c r="EY110" s="29" t="str">
        <f t="shared" si="453"/>
        <v>TOMAR EXAMEN</v>
      </c>
      <c r="EZ110" s="25" t="str">
        <f t="shared" ca="1" si="454"/>
        <v/>
      </c>
      <c r="FA110" s="21"/>
      <c r="FB110" s="22"/>
      <c r="FC110" s="29" t="str">
        <f t="shared" si="276"/>
        <v>TOMAR EXAMEN</v>
      </c>
      <c r="FD110" s="29"/>
      <c r="FE110" s="29"/>
      <c r="FF110" s="29"/>
      <c r="FG110" s="21" t="str">
        <f t="shared" ca="1" si="277"/>
        <v/>
      </c>
      <c r="FH110" s="31"/>
      <c r="FI110" s="29" t="str">
        <f t="shared" si="278"/>
        <v>TOMAR EXAMEN</v>
      </c>
      <c r="FJ110" s="22"/>
      <c r="FK110" s="22"/>
      <c r="FL110" s="29" t="str">
        <f t="shared" ca="1" si="279"/>
        <v>NO APLICA-INGRESO TARDIO</v>
      </c>
      <c r="FM110" s="22"/>
      <c r="FN110" s="32"/>
      <c r="FO110" s="29" t="str">
        <f t="shared" ca="1" si="441"/>
        <v>PIERDE TOMA DE TAMIZAJE</v>
      </c>
      <c r="FP110" s="22"/>
      <c r="FQ110" s="32"/>
      <c r="FR110" s="29" t="str">
        <f t="shared" ca="1" si="442"/>
        <v>PIERDE TOMA DE TAMIZAJE</v>
      </c>
      <c r="FS110" s="22"/>
      <c r="FT110" s="32"/>
      <c r="FU110" s="29" t="str">
        <f>IF(AND(FJ110="",FM110="",FP110="",FS110=""),"",IF(OR(OR(Tabla1[[#This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0" s="28"/>
      <c r="FW110" s="22"/>
      <c r="FX110" s="29" t="str">
        <f t="shared" si="280"/>
        <v>TOMAR EXAMEN</v>
      </c>
      <c r="FY110" s="22">
        <v>44977</v>
      </c>
      <c r="FZ110" s="22">
        <v>44977</v>
      </c>
      <c r="GA110" s="29" t="str">
        <f t="shared" si="452"/>
        <v>REGISTRAR EN II TRIMESTRE</v>
      </c>
      <c r="GB110" s="22"/>
      <c r="GC110" s="22"/>
      <c r="GD110" s="29" t="str">
        <f t="shared" ref="GD110:GD141" ca="1" si="490">IF(AND(BT110="ERROR FUM O INGRESO",GC110&gt;0),"ERROR FUM O INGRESO",IF(AND(GC110="",R110="",O110=""),"",IF(AND(GC110&lt;&gt;"",GC110&lt;RW110), "INCOHERENCIA FUM Y FECHA TAMIZAJE",IF(AND(GC110="",DV110="ACTIVA INGRESO A CPN",AND(BU110&gt;0,BU110&lt;13)),"EN ESPERA-ESTÁ I TRIM", IF(AND(GC110="",AND(BS110&gt;0, BS110&lt;12),OR(O110&gt;0,R110&gt;0),AND(IP110&gt;0,IP110&lt;13)),"NO APLICA-SALIO DEL PROGRAMA I TRIM",IF(AND(GC110&lt;&gt;"",AND(SUM((GC110-RW110)/7)&gt;0,SUM((GC110-RW110)/7)&lt;13)),"REGISTRAR EN I TRIMESTRE",IF(AND(GC110&lt;&gt;"",AND(SUM((GC110-RW110)/7)&gt;=27,SUM((GC110-RW110)/7)&lt;44)),"REGISTRAR EN III TRIMESTRE",IF(AND(GC110="",OR(O110&gt;0,R110&gt;0),AND(BU110&gt;=12,BU110&lt;25),DV110="ACTIVA INGRESO A CPN"),"EN RANGO PARA TOMAR EXAMEN",IF(AND(GC110="",OR(O110&gt;0,R110&gt;0),AND(BU110&gt;=25,BU110&lt;27),DV110="ACTIVA INGRESO A CPN"),"TOMA INMEDIATA DE TAMIZAJE",IF(AND(GC110="",OR(O110&gt;0,R110&gt;0),AND(BS110&gt;=27,BS110&lt;43)),"NO APLICA-INGRESO TARDIO",IF(AND(GC110="",BS110&lt;27),"PIERDE TOMA DE TAMIZAJE",IF(GC110&gt;0,SUM(GC110-RW110)/7,""))))))))))))</f>
        <v>PIERDE TOMA DE TAMIZAJE</v>
      </c>
      <c r="GE110" s="22"/>
      <c r="GF110" s="22"/>
      <c r="GG110" s="29" t="str">
        <f t="shared" ca="1" si="444"/>
        <v>PIERDE TOMA DE TAMIZAJE</v>
      </c>
      <c r="GH110" s="22"/>
      <c r="GI110" s="29"/>
      <c r="GJ110" s="22"/>
      <c r="GK110" s="22"/>
      <c r="GL110" s="22"/>
      <c r="GM110" s="22"/>
      <c r="GN110" s="28"/>
      <c r="GO110" s="22"/>
      <c r="GP110" s="29" t="str">
        <f t="shared" si="283"/>
        <v>TOMAR EXAMEN</v>
      </c>
      <c r="GQ110" s="28"/>
      <c r="GR110" s="28"/>
      <c r="GS110" s="22" t="str">
        <f t="shared" si="457"/>
        <v/>
      </c>
      <c r="GT110" s="22"/>
      <c r="GU110" s="29" t="str">
        <f t="shared" si="285"/>
        <v>TOMAR EXAMEN</v>
      </c>
      <c r="GV110" s="21" t="str">
        <f t="shared" si="286"/>
        <v>POR DEFINIR</v>
      </c>
      <c r="GW110" s="28"/>
      <c r="GX110" s="30"/>
      <c r="GY110" s="21"/>
      <c r="GZ110" s="21"/>
      <c r="HA110" s="21"/>
      <c r="HB110" s="21"/>
      <c r="HC110" s="21"/>
      <c r="HD110" s="21"/>
      <c r="HE110" s="21"/>
      <c r="HF110" s="22"/>
      <c r="HG110" s="22" t="str">
        <f>IF(OR(O110&gt;0,R110&gt;0),CONCATENATE(IF(Tabla1[[#This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0" s="22" t="e">
        <f t="shared" si="287"/>
        <v>#REF!</v>
      </c>
      <c r="HI110" s="22" t="e">
        <f t="shared" ca="1" si="288"/>
        <v>#REF!</v>
      </c>
      <c r="HJ110" s="21"/>
      <c r="HK110" s="21" t="str">
        <f t="shared" si="289"/>
        <v>SIN ANTECEDENTES DE RIESGO</v>
      </c>
      <c r="HL110" s="24" t="str">
        <f t="shared" si="290"/>
        <v>REGISTRE DATO PRESIÓN ARTERIAL MENSUAL</v>
      </c>
      <c r="HM110" s="21" t="str">
        <f t="shared" ca="1" si="291"/>
        <v/>
      </c>
      <c r="HN110" s="30" t="str">
        <f t="shared" si="445"/>
        <v>SALIO PROGRAMA</v>
      </c>
      <c r="HO110" s="21"/>
      <c r="HP110" s="21"/>
      <c r="HQ110" s="21">
        <v>44977</v>
      </c>
      <c r="HR110" s="21" t="str">
        <f>IF(R110="","",IF(Tabla1[[#This Row],[ALARMA FACTORES DE RIESGO COMPLICACIONES HIPERTENSIVAS3]]="SIN ANTECEDENTES DE RIESGO","No Aplica para suministro de ASA",IF(AND(Tabla1[[#This Row],[FECHA INICIO DE SUMINISTRO DE ASA]]&gt;0,RV110&lt;12),"Inicia ASA ANTES de Sem 12",IF(AND(RV110&gt;11,RV110&lt;17,OR(HK110="RIESGO ALTO DE COMPLICACIONES HIPERTENSIVAS VER MANEJO GUIA SUMINISTRO ASA Y CALCIO",HK110="RIESGO MODERADO (2 O MAS CRITERIOS) VER MANEJO GUIA SUMINISTRO ASA Y CALCIO")),"Inicio oportuno de ASA",IF(AND(RV110&gt;12,OR(HK110="RIESGO ALTO DE COMPLICACIONES HIPERTENSIVAS VER MANEJO GUIA SUMINISTRO ASA Y CALCIO",HK110="RIESGO MODERADO (2 O MAS CRITERIOS) VER MANEJO GUIA SUMINISTRO ASA Y CALCIO")),"Inicio no oportuno mayor a 16 semanas",IF(AND(BU110&lt;12,OR(HK110="RIESGO ALTO DE COMPLICACIONES HIPERTENSIVAS VER MANEJO GUIA SUMINISTRO ASA Y CALCIO",HK110="RIESGO MODERADO (2 O MAS CRITERIOS) VER MANEJO GUIA SUMINISTRO ASA Y CALCIO")),"Pendiente Inicio de ASA a la semana 12",IF(AND(BU110&gt;11,BU110&lt;17,OR(HK110="RIESGO ALTO DE COMPLICACIONES HIPERTENSIVAS VER MANEJO GUIA SUMINISTRO ASA Y CALCIO",HK110="RIESGO MODERADO (2 O MAS CRITERIOS) VER MANEJO GUIA SUMINISTRO ASA Y CALCIO")),"Iniciar de inmediato ASA",IF(AND(BU110&gt;16,OR(HK110="RIESGO ALTO DE COMPLICACIONES HIPERTENSIVAS VER MANEJO GUIA SUMINISTRO ASA Y CALCIO",HK110="RIESGO MODERADO (2 O MAS CRITERIOS) VER MANEJO GUIA SUMINISTRO ASA Y CALCIO")),"Pierde Oportunidad, Inicio tardío de ASA","XXXXX"))))))))</f>
        <v>No Aplica para suministro de ASA</v>
      </c>
      <c r="HS110" s="22">
        <v>44977</v>
      </c>
      <c r="HT110" s="22" t="s">
        <v>870</v>
      </c>
      <c r="HU110" s="22"/>
      <c r="HV110" s="22"/>
      <c r="HW110" s="22">
        <v>44977</v>
      </c>
      <c r="HX110" s="22" t="s">
        <v>870</v>
      </c>
      <c r="HY110" s="22">
        <v>44977</v>
      </c>
      <c r="HZ110" s="28">
        <f t="shared" si="292"/>
        <v>17.571428571428573</v>
      </c>
      <c r="IA110" s="26"/>
      <c r="IB110" s="26"/>
      <c r="IC110" s="111"/>
      <c r="ID110" s="22"/>
      <c r="IE110" s="22" t="str">
        <f t="shared" ca="1" si="293"/>
        <v>SALE SIN VACUNA</v>
      </c>
      <c r="IF110" s="22"/>
      <c r="IG110" s="22">
        <f t="shared" si="294"/>
        <v>45134</v>
      </c>
      <c r="IH110" s="29">
        <f t="shared" ca="1" si="295"/>
        <v>-99</v>
      </c>
      <c r="II110" s="22" t="str">
        <f t="shared" ca="1" si="296"/>
        <v>POSIBLEMENTE NACIO</v>
      </c>
      <c r="IJ110" s="22"/>
      <c r="IK110" s="21" t="s">
        <v>898</v>
      </c>
      <c r="IL110" s="21"/>
      <c r="IM110" s="34"/>
      <c r="IN110" s="349">
        <v>45064</v>
      </c>
      <c r="IO110" s="21" t="s">
        <v>1640</v>
      </c>
      <c r="IP110" s="29">
        <f t="shared" si="489"/>
        <v>30</v>
      </c>
      <c r="IQ110" s="110"/>
      <c r="IR110" s="21" t="s">
        <v>879</v>
      </c>
      <c r="IS110" s="21" t="s">
        <v>1641</v>
      </c>
      <c r="IT110" s="21" t="s">
        <v>1642</v>
      </c>
      <c r="IU110" s="21"/>
      <c r="IV110" s="21"/>
      <c r="IW110" s="21"/>
      <c r="IX110" s="21"/>
      <c r="IY110" s="21"/>
      <c r="IZ110" s="21"/>
      <c r="JA110" s="21"/>
      <c r="JB110" s="30">
        <v>1</v>
      </c>
      <c r="JC110" s="21" t="s">
        <v>1643</v>
      </c>
      <c r="JD110" s="36">
        <v>2000</v>
      </c>
      <c r="JE110" s="21" t="str">
        <f t="shared" ref="JE110:JE141" si="491">IF(AND(JD110&gt;700,JD110&lt;2500,IP110&gt;36),"BAJO PESO AL NACER",IF(AND(JD110&gt;500,JD110&lt;2500,IP110&lt;37),"PREMATURO",IF(AND(JD110&gt;2499,JD110&lt;5000,IP110&lt;37),"ERROR VERIFICAR DATO EDAD GESTACIONAL VS PESO",IF(AND(JD110&gt;2499,JD110&lt;4000,IP110&gt;36),"PESO ADECUADO EDAD GESTACIONAL",IF(AND(JD110&gt;3999,JD110&lt;6000,IP110&gt;36),"PESO GRANDE EDAD GESTACIONAL","")))))</f>
        <v>PREMATURO</v>
      </c>
      <c r="JF110" s="30"/>
      <c r="JG110" s="21"/>
      <c r="JH110" s="21"/>
      <c r="JI110" s="21"/>
      <c r="JJ110" s="30"/>
      <c r="JK110" s="22"/>
      <c r="JL110" s="22"/>
      <c r="JM110" s="21"/>
      <c r="JN110" s="36"/>
      <c r="JO110" s="21" t="str">
        <f t="shared" ref="JO110:JO141" si="492">IF(AND(JN110&gt;700,JN110&lt;2500,IP110&gt;36,IP110&lt;43),"BAJO PESO AL NACER",IF(AND(JN110&gt;700,JN110&lt;2500,IP110&lt;37),"PREMATURO",IF(AND(JN110&gt;2499,JN110&lt;5000,IP110&lt;37),"ERROR VERIFICAR DATO EDAD GESTACIONAL VS PESO",IF(AND(JN110&gt;2499,JN110&lt;4000,IP110&gt;36,IP110&lt;43),"PESO ADECUADO EDAD GESTACIONAL",IF(AND(JN110&gt;3999,JN110&lt;6000,IP110&gt;36,IP110&lt;43),"PESO GRANDE EDAD GESTACIONAL","")))))</f>
        <v/>
      </c>
      <c r="JP110" s="22"/>
      <c r="JQ110" s="21"/>
      <c r="JR110" s="21"/>
      <c r="JS110" s="21"/>
      <c r="JT110" s="30"/>
      <c r="JU110" s="22"/>
      <c r="JV110" s="22"/>
      <c r="JW110" s="33"/>
      <c r="JX110" s="28" t="str">
        <f t="shared" ref="JX110:JX141" si="493">IF(AND(JW110&lt;&gt;"",JW110&lt;IN110),"INCONSISTENCIA FECHA CONTROL",IF(AND(OR(IK110="Parto",IK110="Cesarea"),JW110&gt;0,IN110&gt;0),SUM(JW110-IN110),IF(AND(OR(IK110="Parto",IK110="Cesarea"),JW110="",IN110&gt;0),"INASISTENTE","")))</f>
        <v>INASISTENTE</v>
      </c>
      <c r="JY110" s="33"/>
      <c r="JZ110" s="28" t="str">
        <f t="shared" ref="JZ110:JZ141" si="494">IF(AND(JY110&lt;&gt;"",JY110&lt;IN110),"INCONSISTENCIA FECHA CONTROL",IF(AND(OR(IK110="Parto",IK110="Cesarea",IK110="Aborto Espontaneo",IK110="Aborto Inducido",IK110="IVE"),JY110&gt;0,IN110&gt;0),SUM(JY110-IN110),IF(AND(JY110&lt;&gt;"",JY110&lt;IN110),"INCONSISTENCIA FECHA CONTROL",IF(AND(OR(IK110="Parto",IK110="Cesarea",IK110="Aborto Espontaneo",IK110="Aborto Inducido",IK110="IVE"),JY110="",IN110&gt;0),"INASISTENTE",""))))</f>
        <v>INASISTENTE</v>
      </c>
      <c r="KA110" s="21"/>
      <c r="KB110" s="21"/>
      <c r="KC110" s="21"/>
      <c r="KD110" s="37"/>
      <c r="KE110" s="28"/>
      <c r="KF110" s="28"/>
      <c r="KG110" s="28"/>
      <c r="KH110" s="39"/>
      <c r="KI110" s="39"/>
      <c r="KJ110" s="66"/>
      <c r="KK110" s="39"/>
      <c r="KL110" s="39"/>
      <c r="KM110" s="66"/>
      <c r="KN110" s="39"/>
      <c r="KO110" s="39"/>
      <c r="KP110" s="39"/>
      <c r="KQ110" s="39"/>
      <c r="KR110" s="39"/>
      <c r="KS110" s="39"/>
      <c r="KT110" s="39"/>
      <c r="KU110" s="38"/>
      <c r="KV110" s="38"/>
      <c r="KW110" s="38"/>
      <c r="KX110" s="38"/>
      <c r="KY110" s="38"/>
      <c r="KZ110" s="38"/>
      <c r="LA110" s="38"/>
      <c r="LB110" s="38"/>
      <c r="LC110" s="38"/>
      <c r="LD110" s="38"/>
      <c r="LE110" s="38"/>
      <c r="LF110" s="38"/>
      <c r="LG110" s="38"/>
      <c r="LH110" s="38"/>
      <c r="LI110" s="38"/>
      <c r="LJ110" s="38"/>
      <c r="LK110" s="38"/>
      <c r="LL110" s="38"/>
      <c r="LM110" s="38"/>
      <c r="LN110" s="38"/>
      <c r="LO110" s="38"/>
      <c r="LP110" s="38"/>
      <c r="LQ110" s="38"/>
      <c r="LR110" s="38"/>
      <c r="LS110" s="38"/>
      <c r="LT110" s="38"/>
      <c r="LU110" s="38"/>
      <c r="LV110" s="38"/>
      <c r="LW110" s="38"/>
      <c r="LX110" s="38"/>
      <c r="LY110" s="38"/>
      <c r="LZ110" s="38"/>
      <c r="MA110" s="38"/>
      <c r="MB110" s="38"/>
      <c r="MC110" s="38"/>
      <c r="MD110" s="38"/>
      <c r="ME110" s="38"/>
      <c r="MF110" s="38"/>
      <c r="MG110" s="38"/>
      <c r="MH110" s="43">
        <f t="shared" si="458"/>
        <v>0</v>
      </c>
      <c r="MI110" s="43" t="str">
        <f t="shared" si="459"/>
        <v/>
      </c>
      <c r="MJ110" s="43" t="str">
        <f t="shared" si="460"/>
        <v/>
      </c>
      <c r="MK110" s="43">
        <f t="shared" si="461"/>
        <v>0</v>
      </c>
      <c r="ML1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0" s="43">
        <f t="shared" si="462"/>
        <v>17.571428571428573</v>
      </c>
      <c r="MN110" s="43">
        <f t="shared" si="463"/>
        <v>2</v>
      </c>
      <c r="MO110" s="43">
        <f t="shared" si="464"/>
        <v>2023</v>
      </c>
      <c r="MP110" s="43" t="str">
        <f t="shared" si="465"/>
        <v>I TRIMESTRE AÑO</v>
      </c>
      <c r="MQ110" s="43">
        <f t="shared" si="466"/>
        <v>32.279347349978096</v>
      </c>
      <c r="MR110" s="43">
        <f t="shared" si="467"/>
        <v>0</v>
      </c>
      <c r="MS110" s="43" t="str">
        <f t="shared" si="468"/>
        <v xml:space="preserve"> DE 30 A 34 AÑOS</v>
      </c>
      <c r="MT110" s="43">
        <f t="shared" si="469"/>
        <v>0</v>
      </c>
      <c r="MU110" s="43">
        <f t="shared" si="470"/>
        <v>2</v>
      </c>
      <c r="MV110" s="43">
        <f t="shared" si="471"/>
        <v>0</v>
      </c>
      <c r="MW110" s="43">
        <f t="shared" si="472"/>
        <v>0</v>
      </c>
      <c r="MX110" s="43" t="str">
        <f t="shared" si="473"/>
        <v/>
      </c>
      <c r="MY110" s="43" t="str">
        <f t="shared" ref="MY110:MY141" ca="1" si="495">IF(AND(AND(BU110&gt;40.9,BU110&lt;43),IN110=""),1,"")</f>
        <v/>
      </c>
      <c r="MZ110" s="43" t="str">
        <f t="shared" si="474"/>
        <v/>
      </c>
      <c r="NA110" s="43" t="str">
        <f t="shared" si="475"/>
        <v/>
      </c>
      <c r="NB110" s="43" t="str">
        <f t="shared" si="476"/>
        <v/>
      </c>
      <c r="NC110" s="43" t="str">
        <f t="shared" si="477"/>
        <v/>
      </c>
      <c r="ND110" s="43">
        <f t="shared" ca="1" si="478"/>
        <v>2</v>
      </c>
      <c r="NE110" s="43">
        <f>IF(OR(O110&gt;0,R110&gt;0),SUM(COUNTIF(Tabla1[[#This Row],[AÑOS AL INICIO5 CPN]],"&gt;=40"),COUNTIF(AS110,"0"),COUNTIF(AR110,"SI"),COUNTIF(CC110,"SI"),COUNTIF(BQ110,"&gt;119"),COUNTIF(CI110,"&gt;=35")),"")</f>
        <v>0</v>
      </c>
      <c r="NF110" s="43" t="str">
        <f t="shared" si="479"/>
        <v/>
      </c>
      <c r="NG110" s="43">
        <f t="shared" si="480"/>
        <v>0</v>
      </c>
      <c r="NH110" s="43">
        <f t="shared" si="481"/>
        <v>205.1</v>
      </c>
      <c r="NI11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CPN",P110="NO"),"Z",IF(AND(Tabla1[[#This Row],[CITA PROXIMO CONTROL]]="CITA MANUAL",Tabla1[[#This Row],[GESTANTES ACTUALES]]="ACTIVA INGRESO A CPN"),"W",IF(AND(Tabla1[[#This Row],[GESTANTES ACTUALES]]="SALIO PROGRAMA",IN110=""),"S",IF(AND(Tabla1[[#This Row],[CITA PROXIMO CONTROL]]&gt;0,IN110=""),(Tabla1[[#This Row],[CITA PROXIMO CONTROL]]-TODAY()),"SD"))))))))</f>
        <v>SD</v>
      </c>
      <c r="NJ110" s="43">
        <f>MONTH(Tabla1[[#This Row],[FECHA DE SALIDA  DEL PROGRAMA]])</f>
        <v>5</v>
      </c>
      <c r="NK110" s="43">
        <f>YEAR(Tabla1[[#This Row],[FECHA DE SALIDA  DEL PROGRAMA]])</f>
        <v>2023</v>
      </c>
      <c r="NL110" s="43" t="str">
        <f t="shared" si="482"/>
        <v>X</v>
      </c>
      <c r="NM110" s="43" t="str">
        <f t="shared" si="455"/>
        <v>NO</v>
      </c>
      <c r="NN110" s="43" t="str">
        <f ca="1">IF(AND(O110&gt;0,R110=""),"NO CPN",IF(AND(O110="",R110=""),"",IF(AND(R110&gt;0,Tabla1[[#This Row],[SEMANAS DE GESTACION ACTUALIZADAS]]&lt;=12),"NO APLICA",IF(AND(FH110&lt;&gt;"",FN110&lt;&gt;""),"SI","NO"))))</f>
        <v>NO</v>
      </c>
      <c r="NO110" s="43" t="str">
        <f ca="1">IF(AND(O110&gt;0,R110=""),"NO CPN",IF(AND(O110="",R110=""),"",IF(AND(R110&gt;0,Tabla1[[#This Row],[SEMANAS DE GESTACION ACTUALIZADAS]]&lt;=27),"NO APLICA",IF(AND(ES110&lt;&gt;"",FQ110&lt;&gt;"",GF110&lt;&gt;""),"SI","NO"))))</f>
        <v>NO</v>
      </c>
      <c r="NP110" s="204" t="str">
        <f t="shared" si="483"/>
        <v>II TRIM</v>
      </c>
      <c r="NQ110" s="21" t="str">
        <f t="shared" si="436"/>
        <v/>
      </c>
      <c r="NR110" s="21">
        <f t="shared" ref="NR110:NR141" si="496">IF(AND(O110="",R110=""),"",IF(AND(BS110&gt;0,BS110&lt;12,IP110&gt;28,IP110&lt;44),3, IF(OR(AND(BS110&gt;=12,BS110&lt;28,IP110&gt;=28,IP110&lt;44),AND(BS110&gt;0,BS110&lt;12,IP110&gt;=12,IP110&lt;29)),2,IF(OR(AND(BS110&gt;=28,BS110&lt;44),AND(BS110&gt;0,BS110&lt;12,IP110&gt;0,IP110&lt;12),AND(BS110&gt;=12,BS110&lt;28,IP110&gt;=12,IP110&lt;28)),1,IF(AND(BS110&gt;0,BS110&lt;12,BU110&gt;=28,BU110&lt;44,DV110="ACTIVA INGRESO A CPN"),3,IF(OR(AND(BS110&gt;0,BS110&lt;12,BU110&gt;=12,BU110&lt;28,DV110="ACTIVA INGRESO A CPN"),AND(BS110&gt;=12,BS110&lt;28,BU110&gt;=28,BU110&lt;44,DV110="ACTIVA INGRESO A CPN")),2,IF(OR(AND(BS110&gt;0,BS110&lt;12,BU110&gt;0,BU110&lt;12,DV110="ACTIVA INGRESO A CPN"),AND(BS110&gt;=12,BS110&lt;28,BU110&gt;=12,BU110&lt;28,DV110="ACTIVA INGRESO A CPN")),1,"REVISAR FUM O FECHA SALIDA PROGRAMA")))))))</f>
        <v>2</v>
      </c>
      <c r="NS110" s="205">
        <f t="shared" ca="1" si="484"/>
        <v>0</v>
      </c>
      <c r="NT110" s="21">
        <f t="shared" ca="1" si="485"/>
        <v>0</v>
      </c>
      <c r="NU110" s="21" t="str">
        <f t="shared" ca="1" si="486"/>
        <v>INCOMPLETO</v>
      </c>
      <c r="NV110" s="21" t="str">
        <f t="shared" ca="1" si="487"/>
        <v>INCOMPLETO</v>
      </c>
      <c r="NW110" s="206" t="str">
        <f>IF(AND(O110="",R110=""),"",IF(OR(AND(Tabla1[[#This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0" s="207" t="str">
        <f t="shared" ca="1" si="488"/>
        <v>SIN VACUNAR</v>
      </c>
      <c r="NY110" s="43">
        <f>ROW(Tabla1[[#This Row],['# DE TAMIZAJES SIFILIS TOMADOS ]])</f>
        <v>110</v>
      </c>
      <c r="NZ110" s="43">
        <f t="shared" si="333"/>
        <v>17</v>
      </c>
      <c r="OA110" s="43" t="str">
        <f t="shared" si="334"/>
        <v/>
      </c>
      <c r="OB110" s="43" t="str">
        <f t="shared" si="335"/>
        <v/>
      </c>
      <c r="OC110" s="43" t="str">
        <f t="shared" si="336"/>
        <v/>
      </c>
      <c r="OD110" s="43" t="str">
        <f t="shared" si="337"/>
        <v/>
      </c>
      <c r="OE110" s="43" t="str">
        <f t="shared" si="338"/>
        <v/>
      </c>
      <c r="OF110" s="43" t="str">
        <f t="shared" si="339"/>
        <v/>
      </c>
      <c r="OG110" s="43" t="str">
        <f t="shared" si="340"/>
        <v/>
      </c>
      <c r="OH110" s="43" t="str">
        <f t="shared" si="341"/>
        <v/>
      </c>
      <c r="OI110" s="43" t="str">
        <f t="shared" si="342"/>
        <v>SOBREPESO</v>
      </c>
      <c r="OJ110" s="43" t="str">
        <f t="shared" si="343"/>
        <v/>
      </c>
      <c r="OK110" s="43" t="str">
        <f t="shared" si="344"/>
        <v/>
      </c>
      <c r="OL110" s="43" t="str">
        <f t="shared" si="345"/>
        <v/>
      </c>
      <c r="OM110" s="43" t="str">
        <f t="shared" si="346"/>
        <v/>
      </c>
      <c r="ON110" s="43" t="str">
        <f t="shared" si="347"/>
        <v/>
      </c>
      <c r="OO110" s="43" t="str">
        <f t="shared" si="348"/>
        <v/>
      </c>
      <c r="OP110" s="43" t="str">
        <f t="shared" si="349"/>
        <v/>
      </c>
      <c r="OQ110" s="43" t="str">
        <f t="shared" si="350"/>
        <v/>
      </c>
      <c r="OR110" s="43" t="str">
        <f t="shared" si="351"/>
        <v/>
      </c>
      <c r="OS110" s="43" t="str">
        <f t="shared" si="352"/>
        <v/>
      </c>
      <c r="OT110" s="43" t="str">
        <f t="shared" si="353"/>
        <v/>
      </c>
      <c r="OU110" s="43" t="str">
        <f t="shared" si="354"/>
        <v/>
      </c>
      <c r="OV110" s="110" t="str">
        <f t="shared" si="355"/>
        <v/>
      </c>
      <c r="OW110" s="43" t="str">
        <f t="shared" si="356"/>
        <v/>
      </c>
      <c r="OX110" s="43" t="str">
        <f t="shared" si="357"/>
        <v/>
      </c>
      <c r="OY110" s="43" t="str">
        <f t="shared" si="358"/>
        <v/>
      </c>
      <c r="OZ110" s="43" t="str">
        <f t="shared" si="359"/>
        <v/>
      </c>
      <c r="PA110" s="43" t="str">
        <f t="shared" si="360"/>
        <v/>
      </c>
      <c r="PB110" s="43" t="str">
        <f t="shared" si="361"/>
        <v/>
      </c>
      <c r="PC110" s="43" t="str">
        <f t="shared" si="362"/>
        <v/>
      </c>
      <c r="PD110" s="43" t="str">
        <f t="shared" si="363"/>
        <v/>
      </c>
      <c r="PE110" s="43" t="str">
        <f t="shared" si="364"/>
        <v/>
      </c>
      <c r="PF110" s="43" t="str">
        <f t="shared" si="365"/>
        <v/>
      </c>
      <c r="PG110" s="43" t="str">
        <f t="shared" si="366"/>
        <v/>
      </c>
      <c r="PH110" s="43" t="str">
        <f t="shared" si="367"/>
        <v/>
      </c>
      <c r="PI110" s="43">
        <f t="shared" si="368"/>
        <v>23</v>
      </c>
      <c r="PJ110" s="43" t="str">
        <f t="shared" si="369"/>
        <v/>
      </c>
      <c r="PK110" s="43" t="str">
        <f t="shared" si="370"/>
        <v/>
      </c>
      <c r="PL110" s="43" t="str">
        <f t="shared" si="371"/>
        <v/>
      </c>
      <c r="PM110" s="43" t="str">
        <f t="shared" si="372"/>
        <v/>
      </c>
      <c r="PN110" s="43" t="str">
        <f t="shared" si="373"/>
        <v/>
      </c>
      <c r="PO110" s="43" t="str">
        <f t="shared" si="374"/>
        <v/>
      </c>
      <c r="PP110" s="43" t="str">
        <f t="shared" si="375"/>
        <v/>
      </c>
      <c r="PQ110" s="43" t="str">
        <f t="shared" si="376"/>
        <v/>
      </c>
      <c r="PR110" s="43" t="str">
        <f t="shared" si="377"/>
        <v/>
      </c>
      <c r="PS110" s="43" t="str">
        <f t="shared" si="378"/>
        <v/>
      </c>
      <c r="PT110" s="43" t="str">
        <f t="shared" si="379"/>
        <v/>
      </c>
      <c r="PU110" s="43" t="str">
        <f t="shared" si="380"/>
        <v/>
      </c>
      <c r="PV110" s="43" t="str">
        <f t="shared" si="381"/>
        <v/>
      </c>
      <c r="PW110" s="43" t="str">
        <f t="shared" si="382"/>
        <v/>
      </c>
      <c r="PX110" s="43" t="str">
        <f t="shared" si="383"/>
        <v/>
      </c>
      <c r="PY110" s="43" t="str">
        <f t="shared" si="384"/>
        <v/>
      </c>
      <c r="PZ110" s="43" t="str">
        <f t="shared" si="385"/>
        <v/>
      </c>
      <c r="QA110" s="43" t="str">
        <f t="shared" si="386"/>
        <v/>
      </c>
      <c r="QB110" s="43" t="str">
        <f t="shared" si="387"/>
        <v/>
      </c>
      <c r="QC110" s="43" t="str">
        <f t="shared" si="388"/>
        <v/>
      </c>
      <c r="QD110" s="43" t="str">
        <f t="shared" si="389"/>
        <v/>
      </c>
      <c r="QE110" s="43" t="str">
        <f t="shared" si="390"/>
        <v/>
      </c>
      <c r="QF110" s="43" t="str">
        <f t="shared" si="391"/>
        <v/>
      </c>
      <c r="QG110" s="43" t="str">
        <f t="shared" si="392"/>
        <v/>
      </c>
      <c r="QH110" s="43" t="str">
        <f t="shared" si="393"/>
        <v/>
      </c>
      <c r="QI110" s="43" t="str">
        <f t="shared" si="394"/>
        <v/>
      </c>
      <c r="QJ110" s="43" t="str">
        <f t="shared" si="395"/>
        <v/>
      </c>
      <c r="QK110" s="43" t="str">
        <f t="shared" si="396"/>
        <v/>
      </c>
      <c r="QL110" s="43" t="str">
        <f t="shared" si="397"/>
        <v/>
      </c>
      <c r="QM110" s="43" t="str">
        <f t="shared" si="398"/>
        <v/>
      </c>
      <c r="QN110" s="43" t="str">
        <f t="shared" si="399"/>
        <v/>
      </c>
      <c r="QO110" s="43" t="str">
        <f t="shared" si="400"/>
        <v/>
      </c>
      <c r="QP110" s="43" t="str">
        <f t="shared" si="401"/>
        <v/>
      </c>
      <c r="QQ110" s="43" t="str">
        <f t="shared" si="402"/>
        <v/>
      </c>
      <c r="QR110" s="43">
        <f t="shared" si="432"/>
        <v>23</v>
      </c>
      <c r="QS110" s="43"/>
      <c r="QT110" s="21" t="str">
        <f t="shared" si="403"/>
        <v/>
      </c>
      <c r="QU110" s="21" t="str">
        <f t="shared" si="404"/>
        <v/>
      </c>
      <c r="QV110" s="21" t="str">
        <f t="shared" si="405"/>
        <v/>
      </c>
      <c r="QW110" s="21" t="str">
        <f t="shared" si="406"/>
        <v/>
      </c>
      <c r="QX110" s="21" t="str">
        <f t="shared" si="407"/>
        <v/>
      </c>
      <c r="QY110" s="21" t="str">
        <f t="shared" si="408"/>
        <v/>
      </c>
      <c r="QZ110" s="21" t="str">
        <f t="shared" si="409"/>
        <v/>
      </c>
      <c r="RA110" s="21" t="str">
        <f t="shared" si="410"/>
        <v/>
      </c>
      <c r="RB110" s="21" t="str">
        <f t="shared" si="411"/>
        <v/>
      </c>
      <c r="RC110" s="21" t="str">
        <f t="shared" si="412"/>
        <v/>
      </c>
      <c r="RD110" s="21" t="str">
        <f t="shared" si="413"/>
        <v/>
      </c>
      <c r="RE110" s="21" t="str">
        <f t="shared" si="414"/>
        <v/>
      </c>
      <c r="RF110" s="21" t="str">
        <f t="shared" si="415"/>
        <v/>
      </c>
      <c r="RG110" s="21" t="str">
        <f t="shared" si="416"/>
        <v/>
      </c>
      <c r="RH110" s="21" t="str">
        <f t="shared" si="417"/>
        <v/>
      </c>
      <c r="RI110" s="21" t="str">
        <f t="shared" si="418"/>
        <v/>
      </c>
      <c r="RJ110" s="21" t="str">
        <f t="shared" si="419"/>
        <v/>
      </c>
      <c r="RK110" s="21" t="str">
        <f t="shared" si="420"/>
        <v/>
      </c>
      <c r="RL110" s="21" t="str">
        <f t="shared" si="421"/>
        <v/>
      </c>
      <c r="RM110" s="21" t="str">
        <f t="shared" si="422"/>
        <v/>
      </c>
      <c r="RN110" s="21" t="str">
        <f t="shared" si="423"/>
        <v/>
      </c>
      <c r="RO110" s="21" t="str">
        <f t="shared" si="424"/>
        <v/>
      </c>
      <c r="RP110" s="21" t="str">
        <f t="shared" si="425"/>
        <v/>
      </c>
      <c r="RQ110" s="21" t="str">
        <f t="shared" si="426"/>
        <v/>
      </c>
      <c r="RR110" s="21" t="str">
        <f t="shared" si="427"/>
        <v/>
      </c>
      <c r="RS110" s="21" t="str">
        <f t="shared" si="428"/>
        <v/>
      </c>
      <c r="RT110" s="21" t="str">
        <f t="shared" si="429"/>
        <v/>
      </c>
      <c r="RU110" s="21" t="str">
        <f t="shared" si="430"/>
        <v/>
      </c>
      <c r="RV110" s="21">
        <f t="shared" si="431"/>
        <v>17.571428571428573</v>
      </c>
      <c r="RW110" s="284">
        <f>IF(OR(Tabla1[[#This Row],[FUM FORMULA CONFIABLE]]="",Tabla1[[#This Row],[FUM FORMULA CONFIABLE]]="SD"),"",IF(Tabla1[[#This Row],[FUM FORMULA CONFIABLE]]="CORREGIDA",Tabla1[[#This Row],[FUM X ECO 1]],Tabla1[[#This Row],[FUM x AMENORREA]]))</f>
        <v>44854</v>
      </c>
      <c r="RX110" s="21">
        <f>IF(AND(Tabla1[[#This Row],[FUM X ECO 1]]="",Tabla1[[#This Row],[FUM x AMENORREA]]=""),"",IF(AND(Tabla1[[#This Row],[FUM X ECO 1]]="",Tabla1[[#This Row],[FUM x AMENORREA]]&lt;&gt;""),"X",SUM(Tabla1[[#This Row],[FUM X ECO 1]]-Tabla1[[#This Row],[FUM x AMENORREA]])))</f>
        <v>-43.099999999998545</v>
      </c>
      <c r="RY110" s="21">
        <f t="shared" si="433"/>
        <v>1</v>
      </c>
    </row>
    <row r="111" spans="1:493" ht="45" customHeight="1" x14ac:dyDescent="0.25">
      <c r="A111" s="109"/>
      <c r="B111" s="43"/>
      <c r="C111" s="43" t="s">
        <v>845</v>
      </c>
      <c r="D111" s="124"/>
      <c r="E111" s="43" t="s">
        <v>1332</v>
      </c>
      <c r="F111" s="43" t="s">
        <v>1091</v>
      </c>
      <c r="G111" s="43" t="s">
        <v>1333</v>
      </c>
      <c r="H111" s="43"/>
      <c r="I111" s="109" t="s">
        <v>1094</v>
      </c>
      <c r="J111" s="110">
        <v>1059595374</v>
      </c>
      <c r="K111" s="43" t="s">
        <v>852</v>
      </c>
      <c r="L111" s="175" t="s">
        <v>1270</v>
      </c>
      <c r="M111" s="22">
        <v>38436</v>
      </c>
      <c r="N111" s="213">
        <f t="shared" ca="1" si="252"/>
        <v>18.621917808219177</v>
      </c>
      <c r="O111" s="22">
        <v>44979</v>
      </c>
      <c r="P111" s="214" t="str">
        <f t="shared" si="437"/>
        <v>SI</v>
      </c>
      <c r="Q111" s="26" t="s">
        <v>855</v>
      </c>
      <c r="R111" s="22">
        <v>44979</v>
      </c>
      <c r="S111" s="21" t="s">
        <v>856</v>
      </c>
      <c r="T111" s="24" t="s">
        <v>690</v>
      </c>
      <c r="U111" s="21" t="s">
        <v>857</v>
      </c>
      <c r="V111" s="21" t="s">
        <v>858</v>
      </c>
      <c r="W111" s="21" t="s">
        <v>1334</v>
      </c>
      <c r="X111" s="21" t="s">
        <v>1334</v>
      </c>
      <c r="Y111" s="21" t="s">
        <v>859</v>
      </c>
      <c r="Z111" s="21" t="s">
        <v>894</v>
      </c>
      <c r="AA111" s="21" t="s">
        <v>860</v>
      </c>
      <c r="AB111" s="27" t="s">
        <v>861</v>
      </c>
      <c r="AC111" s="26" t="s">
        <v>862</v>
      </c>
      <c r="AD111" s="38" t="s">
        <v>1546</v>
      </c>
      <c r="AE111" s="26" t="s">
        <v>854</v>
      </c>
      <c r="AF111" s="26" t="s">
        <v>854</v>
      </c>
      <c r="AG111" s="23" t="s">
        <v>864</v>
      </c>
      <c r="AH111" s="23" t="s">
        <v>864</v>
      </c>
      <c r="AI111" s="24" t="s">
        <v>863</v>
      </c>
      <c r="AJ111" s="23" t="s">
        <v>864</v>
      </c>
      <c r="AK111" s="220" t="str">
        <f>IF(AND(AD111="",AE111="",AF111="",AG111="",AH111="",AI111="",AJ111=""),"",IF(OR(Tabla1[[#This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EVALUACIÓN",IF(AND(O111="",R111=""),"",IF(AND(OR(O111&gt;0,R111&gt;0),NG111&gt;=0,NG111&lt;2),"SIN RIESGO",IF(AND(OR(O111&gt;0,R111&gt;0),NG111&gt;=2),"CON RIESGO","ASD")))))</f>
        <v>SIN RIESGO</v>
      </c>
      <c r="AL111" s="23" t="s">
        <v>864</v>
      </c>
      <c r="AM111" s="26" t="s">
        <v>864</v>
      </c>
      <c r="AN111" s="26" t="s">
        <v>864</v>
      </c>
      <c r="AO111" s="26" t="s">
        <v>864</v>
      </c>
      <c r="AP111" s="26" t="s">
        <v>864</v>
      </c>
      <c r="AQ111" s="26" t="s">
        <v>864</v>
      </c>
      <c r="AR111" s="26" t="s">
        <v>864</v>
      </c>
      <c r="AS111" s="21">
        <v>0</v>
      </c>
      <c r="AT111" s="21">
        <v>0</v>
      </c>
      <c r="AU111" s="21">
        <v>0</v>
      </c>
      <c r="AV111" s="26" t="s">
        <v>864</v>
      </c>
      <c r="AW111" s="21">
        <v>0</v>
      </c>
      <c r="AX111" s="26" t="s">
        <v>864</v>
      </c>
      <c r="AY111" s="26" t="s">
        <v>864</v>
      </c>
      <c r="AZ111" s="26" t="s">
        <v>864</v>
      </c>
      <c r="BA111" s="26" t="s">
        <v>864</v>
      </c>
      <c r="BB111" s="26" t="s">
        <v>864</v>
      </c>
      <c r="BC111" s="26" t="s">
        <v>864</v>
      </c>
      <c r="BD111" s="26" t="s">
        <v>864</v>
      </c>
      <c r="BE111" s="26" t="s">
        <v>864</v>
      </c>
      <c r="BF111" s="26" t="s">
        <v>864</v>
      </c>
      <c r="BG111" s="26" t="s">
        <v>864</v>
      </c>
      <c r="BH111" s="26" t="s">
        <v>864</v>
      </c>
      <c r="BI111" s="26" t="s">
        <v>864</v>
      </c>
      <c r="BJ111" s="26" t="s">
        <v>864</v>
      </c>
      <c r="BK111" s="26" t="s">
        <v>865</v>
      </c>
      <c r="BL111" s="26" t="s">
        <v>864</v>
      </c>
      <c r="BM111" s="26" t="s">
        <v>864</v>
      </c>
      <c r="BN111" s="22"/>
      <c r="BO111" s="22">
        <v>44910</v>
      </c>
      <c r="BP111" s="21" t="s">
        <v>854</v>
      </c>
      <c r="BQ111" s="222">
        <f t="shared" si="254"/>
        <v>0</v>
      </c>
      <c r="BR111" s="223" t="str">
        <f t="shared" si="255"/>
        <v/>
      </c>
      <c r="BS111" s="224">
        <f t="shared" si="256"/>
        <v>9.8571428571428577</v>
      </c>
      <c r="BT111" s="216" t="str">
        <f t="shared" si="257"/>
        <v>I TRIM</v>
      </c>
      <c r="BU111" s="214" t="str">
        <f t="shared" ca="1" si="258"/>
        <v/>
      </c>
      <c r="BV111" s="25"/>
      <c r="BW111" s="22"/>
      <c r="BX111" s="28"/>
      <c r="BY111" s="28"/>
      <c r="BZ111" s="22"/>
      <c r="CA111" s="21"/>
      <c r="CB111" s="26"/>
      <c r="CC111" s="26"/>
      <c r="CD111" s="26"/>
      <c r="CE111" s="26"/>
      <c r="CF111" s="22" t="s">
        <v>1517</v>
      </c>
      <c r="CG111" s="21">
        <v>1.43</v>
      </c>
      <c r="CH111" s="21">
        <v>51.8</v>
      </c>
      <c r="CI111" s="214">
        <f t="shared" si="259"/>
        <v>25.331312044598761</v>
      </c>
      <c r="CJ111" s="225" t="str">
        <f>IF(AND(CI111&lt;10,CH111="SD"),"SIN DATO PESO PREGESTACION O I TRIM",IF(AND(OR(R111&gt;0,O111&gt;0),CI111="X"),"INGRESAR DATO DE PESO",IF(CI111="SD","INGRESAR DATO DE TALLA Y PESO",IF(AND(OR(Tabla1[[#This Row],[MOMENTO EN QUE SE REALIZA EL PESO AL INGRESO A CPN]]="PREGESTACIÓN",NZ111="Menor"),CI111&lt;18.5),"BAJO PESO",IF(AND(OR(Tabla1[[#This Row],[MOMENTO EN QUE SE REALIZA EL PESO AL INGRESO A CPN]]="PREGESTACIÓN",NZ111="Menor"),CI111&lt;25),"NORMAL",IF(AND(OR(Tabla1[[#This Row],[MOMENTO EN QUE SE REALIZA EL PESO AL INGRESO A CPN]]="PREGESTACIÓN",NZ111="Menor"),CI111&lt;30),"SOBREPESO",IF(AND(OR(Tabla1[[#This Row],[MOMENTO EN QUE SE REALIZA EL PESO AL INGRESO A CPN]]="PREGESTACIÓN",NZ111="Menor"),CI111&gt;=30,CI111&lt;50),"OBESIDAD",IF(AND(BS111&gt;0,Tabla1[[#This Row],[MOMENTO EN QUE SE REALIZA EL PESO AL INGRESO A CPN]]="GESTACIÓN"),HLOOKUP(NZ111,$OA$2:PH111,NY111),""))))))))</f>
        <v>SOBREPESO</v>
      </c>
      <c r="CK111" s="212">
        <f t="shared" si="260"/>
        <v>44979</v>
      </c>
      <c r="CL111" s="21">
        <v>51.8</v>
      </c>
      <c r="CM111" s="214">
        <f t="shared" si="261"/>
        <v>25.331312044598761</v>
      </c>
      <c r="CN111" s="216">
        <f t="shared" si="262"/>
        <v>9</v>
      </c>
      <c r="CO111" s="216" t="e">
        <f>IF(PI111="","",IF(PI111&gt;0,HLOOKUP(PI111,$PJ$2:QQ111,NY111),""))</f>
        <v>#REF!</v>
      </c>
      <c r="CP111" s="21"/>
      <c r="CQ111" s="216" t="str">
        <f>IF(QR111="Menor","NO APLICA-MENOR 13 SEM",IF(AND(CC111="SI",CN111&gt;23),"NO APLICA- GEMELAR",IF(QR111="","",IF(QR111&gt;0,HLOOKUP(QR111,$QS$2:RU111,NY111),""))))</f>
        <v>NO APLICA-MENOR 13 SEM</v>
      </c>
      <c r="CR111" s="21"/>
      <c r="CS111" s="21"/>
      <c r="CT111" s="217" t="str">
        <f>IF(R111="","",IF(AND(BS111&gt;1,BS111&lt;12,Tabla1[[#This Row],[T.A. SISTOLICA - ANTES DE SEMANA 12]]="",Tabla1[[#This Row],[T.A. DIASTOLICA - ANTES DE SEMANA 12]]=""),"REGISTRE DATO TA ANTES SEMANA 12",IF(AND(BS111&gt;11,BS111&lt;43,Tabla1[[#This Row],[T.A. SISTOLICA - ANTES DE SEMANA 12]]="",Tabla1[[#This Row],[T.A. DIASTOLICA - ANTES DE SEMANA 12]]=""),"NO APLICA REGISTRO TA-INGRESO TARDIO",IF(AND(OR(O111&gt;0,R111&gt;0),OR(CR111&gt;=140,CS111&gt;=90)),"DEFINIR ESTADIO HTA",IF(AND(OR(O111&gt;0,R111&gt;0),AND(CR111&gt;120,CR111&lt;=139)),"PRE HTA SEGUIMIENTO",IF(AND(OR(O111&gt;0,R111&gt;0),AND(CS111&gt;80,CS111&lt;=89)),"PRE HTA SEGUIMIENTO",IF(AND(OR(O111&gt;0,R111&gt;0),AND(CR111&gt;=80,CR111&lt;=120)),"APARENTEMENTE NORMAL",IF(AND(OR(O111&gt;0,R111&gt;0),AND(CS111&gt;=50,CS111&lt;=80)),"APARENTEMENTE NORMAL",IF(AND(OR(O111&gt;0,R111&gt;0),AND(CR111&gt;1,CR111&lt;=70),AND(CS111&gt;1,CS111&lt;=40)),"HIPOTENSIÓN","")))))))))</f>
        <v>REGISTRE DATO TA ANTES SEMANA 12</v>
      </c>
      <c r="CU111" s="21"/>
      <c r="CV111" s="21"/>
      <c r="CW111" s="217" t="str">
        <f ca="1">IF(R111="","",IF(AND(CN111&gt;19,CN111&lt;27,Tabla1[[#This Row],[T.A. SISTOLICA (Entre semana 20 y 26)]]="",Tabla1[[#This Row],[T.A. DIATOLICA (Entre semana 20 y 26)]]=""),"ACUDE A CONTROL SEM 20 A 26 REGISTRE TA AHORA",IF(AND(BS111&gt;1,BS111&lt;27,BU111&gt;19,Tabla1[[#This Row],[T.A. SISTOLICA (Entre semana 20 y 26)]]="",Tabla1[[#This Row],[T.A. DIATOLICA (Entre semana 20 y 26)]]=""),"COMPLETE REGISTRO TA CONTROL SEM 20 A26 ",IF(AND(BS111&gt;26,BS111&lt;43,Tabla1[[#This Row],[T.A. SISTOLICA (Entre semana 20 y 26)]]="",Tabla1[[#This Row],[T.A. DIATOLICA (Entre semana 20 y 26)]]=""),"NO APLICA REGISTRO TA-INGRESO TARDIO",IF(AND(OR(O111&gt;0,R111&gt;0),OR(CU111&gt;=140,CV111&gt;=90)),"ALTO RIESGO PREECLAMPSIA,DEFINIR ESTADIO HTA",IF(AND(OR(O111&gt;0,R111&gt;0),AND(CU111&gt;120,CU111&lt;=139)),"PRE HTA SEGUIMIENTO,RIESGO HIPERTENSION INDUCIDA POR EL EMBARAZO",IF(AND(OR(O111&gt;0,R111&gt;0),AND(CV111&gt;80,CV111&lt;=89)),"PRE HTA SEGUIMIENTO, RIESGO HIPERTENSION INDUCIDA POR EL EMBARAZO",IF(AND(OR(O111&lt;&gt;"",R111&lt;&gt;""),CS111&lt;&gt;"",CV111&lt;&gt;"",CS111&lt;=CV111),"VIGILAR CIFRAS PRESION ARTERIAL",IF(AND(OR(O111&gt;0,R111&gt;0),AND(CU111&gt;120,CU111&lt;=139)),"PRE HTA SEGUIMIENTO",IF(AND(OR(O111&gt;0,R111&gt;0),AND(CU111&gt;1,CU111&lt;=70),AND(CV111&gt;1,CV111&lt;=40)),"HIPOTENSIÓN",IF(AND(OR(O111&lt;&gt;"",R111&lt;&gt;""),CS111&lt;&gt;"",CV111&lt;&gt;"",CS111&gt;CV111),"APARENTEMENTE NORMAL",IF(AND(OR(O111&gt;0,R111&gt;0),AND(CU111&gt;=80,CU111&lt;=120)),"APARENTEMENTE NORMAL",IF(AND(OR(O111&gt;0,R111&gt;0),AND(CV111&gt;=50,CV111&lt;=80)),"APARENTEMENTE NORMAL","")))))))))))))</f>
        <v xml:space="preserve">COMPLETE REGISTRO TA CONTROL SEM 20 A26 </v>
      </c>
      <c r="CX111" s="21"/>
      <c r="CY111" s="21"/>
      <c r="CZ111" s="216" t="str">
        <f t="shared" si="456"/>
        <v/>
      </c>
      <c r="DA111" s="21"/>
      <c r="DB111" s="21"/>
      <c r="DC111" s="217" t="str">
        <f t="shared" si="264"/>
        <v>REGISTRE DATO PRESIÓN ARTERIAL MENSUAL</v>
      </c>
      <c r="DD111" s="22">
        <v>44614</v>
      </c>
      <c r="DE111" s="22">
        <v>44614</v>
      </c>
      <c r="DF111" s="22"/>
      <c r="DG111" s="22"/>
      <c r="DH111" s="22"/>
      <c r="DI111" s="22"/>
      <c r="DJ111" s="22"/>
      <c r="DK111" s="22"/>
      <c r="DL111" s="22"/>
      <c r="DM111" s="22"/>
      <c r="DN111" s="22"/>
      <c r="DO111" s="22"/>
      <c r="DP111" s="22"/>
      <c r="DQ111" s="22"/>
      <c r="DR111" s="28">
        <v>1</v>
      </c>
      <c r="DS111" s="22"/>
      <c r="DT111" s="22"/>
      <c r="DU111" s="216" t="str">
        <f t="shared" ca="1" si="438"/>
        <v>CONCERTAR PLAN DE PARTO INMEDIATO</v>
      </c>
      <c r="DV111" s="226" t="str">
        <f t="shared" si="439"/>
        <v>ACTIVA INGRESO A CPN</v>
      </c>
      <c r="DW1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1" s="216" t="e">
        <f t="shared" ca="1" si="266"/>
        <v>#REF!</v>
      </c>
      <c r="DY111" s="212">
        <f>IF(R111="","",IF(R111&gt;0,MAX(Tabla1[[#This Row],[FECHA C2]:[FECHA C13]],Tabla1[[#This Row],[FECHA CONSULTA PRIMERA VEZ PROGRAMA CPN ]])))</f>
        <v>44979</v>
      </c>
      <c r="DZ111" s="216">
        <f t="shared" si="267"/>
        <v>9</v>
      </c>
      <c r="EA111" s="222">
        <f>IF(R111&gt;0,SUM(COUNTA(DF111:DQ111)+COUNTA(Tabla1[[#This Row],[FECHA CONSULTA PRIMERA VEZ PROGRAMA CPN ]])),"")</f>
        <v>1</v>
      </c>
      <c r="EB111" s="222" t="str">
        <f t="shared" si="268"/>
        <v>NO</v>
      </c>
      <c r="EC111" s="214">
        <f t="shared" si="269"/>
        <v>9</v>
      </c>
      <c r="ED111" s="227">
        <f t="shared" si="270"/>
        <v>0.1111111111111111</v>
      </c>
      <c r="EE111" s="22"/>
      <c r="EF111" s="22"/>
      <c r="EG111" s="22">
        <v>44979</v>
      </c>
      <c r="EH111" s="22"/>
      <c r="EI111" s="22">
        <v>44979</v>
      </c>
      <c r="EJ111" s="22"/>
      <c r="EK111" s="22"/>
      <c r="EL111" s="21"/>
      <c r="EM111" s="21">
        <v>13</v>
      </c>
      <c r="EN111" s="22">
        <v>44979</v>
      </c>
      <c r="EO111" s="222">
        <f t="shared" si="271"/>
        <v>9.8571428571428577</v>
      </c>
      <c r="EP111" s="214" t="str">
        <f t="shared" si="272"/>
        <v>NORMAL- SUMINISTRAR SULFATO FERROSO</v>
      </c>
      <c r="EQ111" s="216" t="str">
        <f t="shared" si="273"/>
        <v>I TRIM</v>
      </c>
      <c r="ER111" s="24"/>
      <c r="ES111" s="22"/>
      <c r="ET111" s="29" t="str">
        <f t="shared" ca="1" si="440"/>
        <v>TOMA DE HEMOGLOBINA TARDÍA</v>
      </c>
      <c r="EU111" s="25" t="str">
        <f t="shared" si="275"/>
        <v/>
      </c>
      <c r="EV111" s="24" t="s">
        <v>866</v>
      </c>
      <c r="EW111" s="24">
        <v>44979</v>
      </c>
      <c r="EX111" s="22"/>
      <c r="EY111" s="29">
        <f t="shared" si="453"/>
        <v>9.8571428571428577</v>
      </c>
      <c r="EZ111" s="25" t="str">
        <f t="shared" ca="1" si="454"/>
        <v/>
      </c>
      <c r="FA111" s="21">
        <v>80</v>
      </c>
      <c r="FB111" s="22">
        <v>44979</v>
      </c>
      <c r="FC111" s="29">
        <f t="shared" si="276"/>
        <v>9.8571428571428577</v>
      </c>
      <c r="FD111" s="29"/>
      <c r="FE111" s="29"/>
      <c r="FF111" s="29"/>
      <c r="FG111" s="21" t="str">
        <f t="shared" ca="1" si="277"/>
        <v/>
      </c>
      <c r="FH111" s="31"/>
      <c r="FI111" s="29" t="str">
        <f t="shared" si="278"/>
        <v>TOMAR EXAMEN</v>
      </c>
      <c r="FJ111" s="22" t="s">
        <v>867</v>
      </c>
      <c r="FK111" s="22">
        <v>44979</v>
      </c>
      <c r="FL111" s="29">
        <f t="shared" ca="1" si="279"/>
        <v>9.8571428571428577</v>
      </c>
      <c r="FM111" s="22"/>
      <c r="FN111" s="32"/>
      <c r="FO111" s="29" t="str">
        <f t="shared" ca="1" si="441"/>
        <v>PIERDE TOMA DE TAMIZAJE</v>
      </c>
      <c r="FP111" s="22"/>
      <c r="FQ111" s="32"/>
      <c r="FR111" s="29" t="str">
        <f t="shared" ca="1" si="442"/>
        <v>TOMA INMEDIATA DE TAMIZAJE</v>
      </c>
      <c r="FS111" s="22"/>
      <c r="FT111" s="32"/>
      <c r="FU111" s="29" t="str">
        <f>IF(AND(FJ111="",FM111="",FP111="",FS111=""),"",IF(OR(OR(Tabla1[[#This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1" s="28"/>
      <c r="FW111" s="22"/>
      <c r="FX111" s="29" t="str">
        <f t="shared" si="280"/>
        <v>TOMAR EXAMEN</v>
      </c>
      <c r="FY111" s="22">
        <v>44979</v>
      </c>
      <c r="FZ111" s="22">
        <v>44979</v>
      </c>
      <c r="GA111" s="29">
        <f t="shared" ca="1" si="452"/>
        <v>9.8571428571428577</v>
      </c>
      <c r="GB111" s="22"/>
      <c r="GC111" s="22"/>
      <c r="GD111" s="29" t="str">
        <f t="shared" ca="1" si="490"/>
        <v>PIERDE TOMA DE TAMIZAJE</v>
      </c>
      <c r="GE111" s="22"/>
      <c r="GF111" s="22"/>
      <c r="GG111" s="29" t="str">
        <f t="shared" ca="1" si="444"/>
        <v>TOMA INMEDIATA DE TAMIZAJE</v>
      </c>
      <c r="GH111" s="22"/>
      <c r="GI111" s="29"/>
      <c r="GJ111" s="22"/>
      <c r="GK111" s="22"/>
      <c r="GL111" s="22"/>
      <c r="GM111" s="22"/>
      <c r="GN111" s="28" t="s">
        <v>869</v>
      </c>
      <c r="GO111" s="22">
        <v>44979</v>
      </c>
      <c r="GP111" s="29">
        <f t="shared" si="283"/>
        <v>9.8571428571428577</v>
      </c>
      <c r="GQ111" s="28"/>
      <c r="GR111" s="28"/>
      <c r="GS111" s="22" t="str">
        <f t="shared" si="457"/>
        <v/>
      </c>
      <c r="GT111" s="22"/>
      <c r="GU111" s="29" t="str">
        <f t="shared" si="285"/>
        <v>TOMAR EXAMEN</v>
      </c>
      <c r="GV111" s="21" t="str">
        <f t="shared" si="286"/>
        <v>POR DEFINIR</v>
      </c>
      <c r="GW111" s="28"/>
      <c r="GX111" s="30"/>
      <c r="GY111" s="21"/>
      <c r="GZ111" s="21"/>
      <c r="HA111" s="21"/>
      <c r="HB111" s="21"/>
      <c r="HC111" s="21"/>
      <c r="HD111" s="21"/>
      <c r="HE111" s="21"/>
      <c r="HF111" s="22"/>
      <c r="HG111" s="22" t="str">
        <f>IF(OR(O111&gt;0,R111&gt;0),CONCATENATE(IF(Tabla1[[#This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1" s="22" t="e">
        <f t="shared" si="287"/>
        <v>#REF!</v>
      </c>
      <c r="HI111" s="22" t="e">
        <f t="shared" ca="1" si="288"/>
        <v>#REF!</v>
      </c>
      <c r="HJ111" s="21"/>
      <c r="HK111" s="21" t="str">
        <f t="shared" si="289"/>
        <v>SIN ANTECEDENTES DE RIESGO</v>
      </c>
      <c r="HL111" s="24" t="str">
        <f t="shared" si="290"/>
        <v>REGISTRE DATO PRESIÓN ARTERIAL MENSUAL</v>
      </c>
      <c r="HM111" s="21" t="e">
        <f t="shared" ca="1" si="291"/>
        <v>#REF!</v>
      </c>
      <c r="HN111" s="30" t="str">
        <f t="shared" si="445"/>
        <v>ACTIVA INGRESO A CPN</v>
      </c>
      <c r="HO111" s="21"/>
      <c r="HP111" s="21"/>
      <c r="HQ111" s="349">
        <v>44979</v>
      </c>
      <c r="HR111" s="21" t="str">
        <f>IF(R111="","",IF(Tabla1[[#This Row],[ALARMA FACTORES DE RIESGO COMPLICACIONES HIPERTENSIVAS3]]="SIN ANTECEDENTES DE RIESGO","No Aplica para suministro de ASA",IF(AND(Tabla1[[#This Row],[FECHA INICIO DE SUMINISTRO DE ASA]]&gt;0,RV111&lt;12),"Inicia ASA ANTES de Sem 12",IF(AND(RV111&gt;11,RV111&lt;17,OR(HK111="RIESGO ALTO DE COMPLICACIONES HIPERTENSIVAS VER MANEJO GUIA SUMINISTRO ASA Y CALCIO",HK111="RIESGO MODERADO (2 O MAS CRITERIOS) VER MANEJO GUIA SUMINISTRO ASA Y CALCIO")),"Inicio oportuno de ASA",IF(AND(RV111&gt;12,OR(HK111="RIESGO ALTO DE COMPLICACIONES HIPERTENSIVAS VER MANEJO GUIA SUMINISTRO ASA Y CALCIO",HK111="RIESGO MODERADO (2 O MAS CRITERIOS) VER MANEJO GUIA SUMINISTRO ASA Y CALCIO")),"Inicio no oportuno mayor a 16 semanas",IF(AND(BU111&lt;12,OR(HK111="RIESGO ALTO DE COMPLICACIONES HIPERTENSIVAS VER MANEJO GUIA SUMINISTRO ASA Y CALCIO",HK111="RIESGO MODERADO (2 O MAS CRITERIOS) VER MANEJO GUIA SUMINISTRO ASA Y CALCIO")),"Pendiente Inicio de ASA a la semana 12",IF(AND(BU111&gt;11,BU111&lt;17,OR(HK111="RIESGO ALTO DE COMPLICACIONES HIPERTENSIVAS VER MANEJO GUIA SUMINISTRO ASA Y CALCIO",HK111="RIESGO MODERADO (2 O MAS CRITERIOS) VER MANEJO GUIA SUMINISTRO ASA Y CALCIO")),"Iniciar de inmediato ASA",IF(AND(BU111&gt;16,OR(HK111="RIESGO ALTO DE COMPLICACIONES HIPERTENSIVAS VER MANEJO GUIA SUMINISTRO ASA Y CALCIO",HK111="RIESGO MODERADO (2 O MAS CRITERIOS) VER MANEJO GUIA SUMINISTRO ASA Y CALCIO")),"Pierde Oportunidad, Inicio tardío de ASA","XXXXX"))))))))</f>
        <v>No Aplica para suministro de ASA</v>
      </c>
      <c r="HS111" s="22">
        <v>44979</v>
      </c>
      <c r="HT111" s="22" t="s">
        <v>870</v>
      </c>
      <c r="HU111" s="22">
        <v>44979</v>
      </c>
      <c r="HV111" s="22" t="s">
        <v>870</v>
      </c>
      <c r="HW111" s="22">
        <v>44979</v>
      </c>
      <c r="HX111" s="22" t="s">
        <v>870</v>
      </c>
      <c r="HY111" s="22">
        <v>44979</v>
      </c>
      <c r="HZ111" s="28">
        <f t="shared" si="292"/>
        <v>9.8571428571428577</v>
      </c>
      <c r="IA111" s="26"/>
      <c r="IB111" s="26"/>
      <c r="IC111" s="111"/>
      <c r="ID111" s="22"/>
      <c r="IE111" s="22" t="str">
        <f t="shared" ca="1" si="293"/>
        <v/>
      </c>
      <c r="IF111" s="22"/>
      <c r="IG111" s="22">
        <f t="shared" si="294"/>
        <v>45190</v>
      </c>
      <c r="IH111" s="29">
        <f t="shared" ca="1" si="295"/>
        <v>-43</v>
      </c>
      <c r="II111" s="22" t="str">
        <f t="shared" ca="1" si="296"/>
        <v>POSIBLEMENTE NACIO</v>
      </c>
      <c r="IJ111" s="22"/>
      <c r="IK111" s="21"/>
      <c r="IL111" s="21"/>
      <c r="IM111" s="34"/>
      <c r="IN111" s="22"/>
      <c r="IO111" s="21"/>
      <c r="IP111" s="29" t="str">
        <f t="shared" si="489"/>
        <v/>
      </c>
      <c r="IQ111" s="110"/>
      <c r="IR111" s="21"/>
      <c r="IS111" s="21"/>
      <c r="IT111" s="21"/>
      <c r="IU111" s="21"/>
      <c r="IV111" s="21"/>
      <c r="IW111" s="21"/>
      <c r="IX111" s="21"/>
      <c r="IY111" s="21"/>
      <c r="IZ111" s="21"/>
      <c r="JA111" s="21"/>
      <c r="JB111" s="30"/>
      <c r="JC111" s="21"/>
      <c r="JD111" s="36"/>
      <c r="JE111" s="21" t="str">
        <f t="shared" si="491"/>
        <v/>
      </c>
      <c r="JF111" s="30"/>
      <c r="JG111" s="21"/>
      <c r="JH111" s="21"/>
      <c r="JI111" s="21"/>
      <c r="JJ111" s="30"/>
      <c r="JK111" s="22"/>
      <c r="JL111" s="22"/>
      <c r="JM111" s="21"/>
      <c r="JN111" s="36"/>
      <c r="JO111" s="21" t="str">
        <f t="shared" si="492"/>
        <v/>
      </c>
      <c r="JP111" s="22"/>
      <c r="JQ111" s="21"/>
      <c r="JR111" s="21"/>
      <c r="JS111" s="21"/>
      <c r="JT111" s="30"/>
      <c r="JU111" s="22"/>
      <c r="JV111" s="22"/>
      <c r="JW111" s="33"/>
      <c r="JX111" s="28" t="str">
        <f t="shared" si="493"/>
        <v/>
      </c>
      <c r="JY111" s="33"/>
      <c r="JZ111" s="28" t="str">
        <f t="shared" si="494"/>
        <v/>
      </c>
      <c r="KA111" s="21"/>
      <c r="KB111" s="21"/>
      <c r="KC111" s="21"/>
      <c r="KD111" s="37"/>
      <c r="KE111" s="28"/>
      <c r="KF111" s="28"/>
      <c r="KG111" s="28"/>
      <c r="KH111" s="39"/>
      <c r="KI111" s="39"/>
      <c r="KJ111" s="66"/>
      <c r="KK111" s="39"/>
      <c r="KL111" s="39"/>
      <c r="KM111" s="66"/>
      <c r="KN111" s="39"/>
      <c r="KO111" s="39"/>
      <c r="KP111" s="39"/>
      <c r="KQ111" s="39"/>
      <c r="KR111" s="39"/>
      <c r="KS111" s="39"/>
      <c r="KT111" s="39"/>
      <c r="KU111" s="38"/>
      <c r="KV111" s="38"/>
      <c r="KW111" s="38"/>
      <c r="KX111" s="38"/>
      <c r="KY111" s="38"/>
      <c r="KZ111" s="38"/>
      <c r="LA111" s="38"/>
      <c r="LB111" s="38"/>
      <c r="LC111" s="38"/>
      <c r="LD111" s="38"/>
      <c r="LE111" s="38"/>
      <c r="LF111" s="38"/>
      <c r="LG111" s="38"/>
      <c r="LH111" s="38"/>
      <c r="LI111" s="38"/>
      <c r="LJ111" s="38"/>
      <c r="LK111" s="38"/>
      <c r="LL111" s="38"/>
      <c r="LM111" s="38"/>
      <c r="LN111" s="38"/>
      <c r="LO111" s="38"/>
      <c r="LP111" s="38"/>
      <c r="LQ111" s="38"/>
      <c r="LR111" s="38"/>
      <c r="LS111" s="38"/>
      <c r="LT111" s="38"/>
      <c r="LU111" s="38"/>
      <c r="LV111" s="38"/>
      <c r="LW111" s="38"/>
      <c r="LX111" s="38"/>
      <c r="LY111" s="38"/>
      <c r="LZ111" s="38"/>
      <c r="MA111" s="38"/>
      <c r="MB111" s="38"/>
      <c r="MC111" s="38"/>
      <c r="MD111" s="38"/>
      <c r="ME111" s="38"/>
      <c r="MF111" s="38"/>
      <c r="MG111" s="38"/>
      <c r="MH111" s="43">
        <f t="shared" si="458"/>
        <v>0</v>
      </c>
      <c r="MI111" s="43" t="str">
        <f t="shared" si="459"/>
        <v/>
      </c>
      <c r="MJ111" s="43" t="str">
        <f t="shared" si="460"/>
        <v/>
      </c>
      <c r="MK111" s="43">
        <f t="shared" si="461"/>
        <v>0</v>
      </c>
      <c r="ML1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1" s="43">
        <f t="shared" si="462"/>
        <v>9.8571428571428577</v>
      </c>
      <c r="MN111" s="43">
        <f t="shared" si="463"/>
        <v>2</v>
      </c>
      <c r="MO111" s="43">
        <f t="shared" si="464"/>
        <v>2023</v>
      </c>
      <c r="MP111" s="43" t="str">
        <f t="shared" si="465"/>
        <v>I TRIMESTRE AÑO</v>
      </c>
      <c r="MQ111" s="43">
        <f t="shared" si="466"/>
        <v>17.649474375821288</v>
      </c>
      <c r="MR111" s="43">
        <f t="shared" si="467"/>
        <v>0</v>
      </c>
      <c r="MS111" s="43" t="str">
        <f t="shared" si="468"/>
        <v>DE 14 A 19AÑOS</v>
      </c>
      <c r="MT111" s="43">
        <f t="shared" si="469"/>
        <v>0</v>
      </c>
      <c r="MU111" s="43">
        <f t="shared" si="470"/>
        <v>1</v>
      </c>
      <c r="MV111" s="43">
        <f t="shared" si="471"/>
        <v>0</v>
      </c>
      <c r="MW111" s="43">
        <f t="shared" si="472"/>
        <v>0</v>
      </c>
      <c r="MX111" s="43" t="str">
        <f t="shared" si="473"/>
        <v/>
      </c>
      <c r="MY111" s="43" t="str">
        <f t="shared" ca="1" si="495"/>
        <v/>
      </c>
      <c r="MZ111" s="43" t="str">
        <f t="shared" si="474"/>
        <v/>
      </c>
      <c r="NA111" s="43" t="str">
        <f t="shared" si="475"/>
        <v/>
      </c>
      <c r="NB111" s="43" t="str">
        <f t="shared" si="476"/>
        <v/>
      </c>
      <c r="NC111" s="43" t="str">
        <f t="shared" si="477"/>
        <v/>
      </c>
      <c r="ND111" s="43">
        <f t="shared" ca="1" si="478"/>
        <v>1</v>
      </c>
      <c r="NE111" s="43">
        <f>IF(OR(O111&gt;0,R111&gt;0),SUM(COUNTIF(Tabla1[[#This Row],[AÑOS AL INICIO5 CPN]],"&gt;=40"),COUNTIF(AS111,"0"),COUNTIF(AR111,"SI"),COUNTIF(CC111,"SI"),COUNTIF(BQ111,"&gt;119"),COUNTIF(CI111,"&gt;=35")),"")</f>
        <v>1</v>
      </c>
      <c r="NF111" s="43" t="str">
        <f t="shared" si="479"/>
        <v/>
      </c>
      <c r="NG111" s="43">
        <f t="shared" si="480"/>
        <v>0</v>
      </c>
      <c r="NH111" s="43" t="str">
        <f t="shared" si="481"/>
        <v/>
      </c>
      <c r="NI1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CPN",P111="NO"),"Z",IF(AND(Tabla1[[#This Row],[CITA PROXIMO CONTROL]]="CITA MANUAL",Tabla1[[#This Row],[GESTANTES ACTUALES]]="ACTIVA INGRESO A CPN"),"W",IF(AND(Tabla1[[#This Row],[GESTANTES ACTUALES]]="SALIO PROGRAMA",IN111=""),"S",IF(AND(Tabla1[[#This Row],[CITA PROXIMO CONTROL]]&gt;0,IN111=""),(Tabla1[[#This Row],[CITA PROXIMO CONTROL]]-TODAY()),"SD"))))))))</f>
        <v>#REF!</v>
      </c>
      <c r="NJ111" s="43">
        <f>MONTH(Tabla1[[#This Row],[FECHA DE SALIDA  DEL PROGRAMA]])</f>
        <v>1</v>
      </c>
      <c r="NK111" s="43">
        <f>YEAR(Tabla1[[#This Row],[FECHA DE SALIDA  DEL PROGRAMA]])</f>
        <v>1900</v>
      </c>
      <c r="NL111" s="43" t="str">
        <f t="shared" si="482"/>
        <v>X</v>
      </c>
      <c r="NM111" s="43" t="str">
        <f t="shared" si="455"/>
        <v>NO</v>
      </c>
      <c r="NN111" s="43" t="str">
        <f ca="1">IF(AND(O111&gt;0,R111=""),"NO CPN",IF(AND(O111="",R111=""),"",IF(AND(R111&gt;0,Tabla1[[#This Row],[SEMANAS DE GESTACION ACTUALIZADAS]]&lt;=12),"NO APLICA",IF(AND(FH111&lt;&gt;"",FN111&lt;&gt;""),"SI","NO"))))</f>
        <v>NO</v>
      </c>
      <c r="NO111" s="43" t="str">
        <f ca="1">IF(AND(O111&gt;0,R111=""),"NO CPN",IF(AND(O111="",R111=""),"",IF(AND(R111&gt;0,Tabla1[[#This Row],[SEMANAS DE GESTACION ACTUALIZADAS]]&lt;=27),"NO APLICA",IF(AND(ES111&lt;&gt;"",FQ111&lt;&gt;"",GF111&lt;&gt;""),"SI","NO"))))</f>
        <v>NO</v>
      </c>
      <c r="NP111" s="204" t="str">
        <f t="shared" si="483"/>
        <v>I TRIM</v>
      </c>
      <c r="NQ111" s="21" t="str">
        <f t="shared" si="436"/>
        <v/>
      </c>
      <c r="NR111" s="21" t="str">
        <f t="shared" ca="1" si="496"/>
        <v>REVISAR FUM O FECHA SALIDA PROGRAMA</v>
      </c>
      <c r="NS111" s="205">
        <f t="shared" ca="1" si="484"/>
        <v>1</v>
      </c>
      <c r="NT111" s="21">
        <f t="shared" ca="1" si="485"/>
        <v>1</v>
      </c>
      <c r="NU111" s="21" t="str">
        <f t="shared" ca="1" si="486"/>
        <v>POR DEFINIR</v>
      </c>
      <c r="NV111" s="21" t="str">
        <f t="shared" ca="1" si="487"/>
        <v>POR DEFINIR</v>
      </c>
      <c r="NW111" s="206" t="str">
        <f>IF(AND(O111="",R111=""),"",IF(OR(AND(Tabla1[[#This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1" s="207" t="str">
        <f t="shared" ca="1" si="488"/>
        <v>SIN VACUNAR</v>
      </c>
      <c r="NY111" s="43">
        <f>ROW(Tabla1[[#This Row],['# DE TAMIZAJES SIFILIS TOMADOS ]])</f>
        <v>111</v>
      </c>
      <c r="NZ111" s="43" t="str">
        <f t="shared" si="333"/>
        <v>Menor</v>
      </c>
      <c r="OA111" s="43" t="str">
        <f t="shared" si="334"/>
        <v>SOBREPESO</v>
      </c>
      <c r="OB111" s="43" t="str">
        <f t="shared" si="335"/>
        <v/>
      </c>
      <c r="OC111" s="43" t="str">
        <f t="shared" si="336"/>
        <v/>
      </c>
      <c r="OD111" s="43" t="str">
        <f t="shared" si="337"/>
        <v/>
      </c>
      <c r="OE111" s="43" t="str">
        <f t="shared" si="338"/>
        <v/>
      </c>
      <c r="OF111" s="43" t="str">
        <f t="shared" si="339"/>
        <v/>
      </c>
      <c r="OG111" s="43" t="str">
        <f t="shared" si="340"/>
        <v/>
      </c>
      <c r="OH111" s="43" t="str">
        <f t="shared" si="341"/>
        <v/>
      </c>
      <c r="OI111" s="43" t="str">
        <f t="shared" si="342"/>
        <v/>
      </c>
      <c r="OJ111" s="43" t="str">
        <f t="shared" si="343"/>
        <v/>
      </c>
      <c r="OK111" s="43" t="str">
        <f t="shared" si="344"/>
        <v/>
      </c>
      <c r="OL111" s="43" t="str">
        <f t="shared" si="345"/>
        <v/>
      </c>
      <c r="OM111" s="43" t="str">
        <f t="shared" si="346"/>
        <v/>
      </c>
      <c r="ON111" s="43" t="str">
        <f t="shared" si="347"/>
        <v/>
      </c>
      <c r="OO111" s="43" t="str">
        <f t="shared" si="348"/>
        <v/>
      </c>
      <c r="OP111" s="43" t="str">
        <f t="shared" si="349"/>
        <v/>
      </c>
      <c r="OQ111" s="43" t="str">
        <f t="shared" si="350"/>
        <v/>
      </c>
      <c r="OR111" s="43" t="str">
        <f t="shared" si="351"/>
        <v/>
      </c>
      <c r="OS111" s="43" t="str">
        <f t="shared" si="352"/>
        <v/>
      </c>
      <c r="OT111" s="43" t="str">
        <f t="shared" si="353"/>
        <v/>
      </c>
      <c r="OU111" s="43" t="str">
        <f t="shared" si="354"/>
        <v/>
      </c>
      <c r="OV111" s="110" t="str">
        <f t="shared" si="355"/>
        <v/>
      </c>
      <c r="OW111" s="43" t="str">
        <f t="shared" si="356"/>
        <v/>
      </c>
      <c r="OX111" s="43" t="str">
        <f t="shared" si="357"/>
        <v/>
      </c>
      <c r="OY111" s="43" t="str">
        <f t="shared" si="358"/>
        <v/>
      </c>
      <c r="OZ111" s="43" t="str">
        <f t="shared" si="359"/>
        <v/>
      </c>
      <c r="PA111" s="43" t="str">
        <f t="shared" si="360"/>
        <v/>
      </c>
      <c r="PB111" s="43" t="str">
        <f t="shared" si="361"/>
        <v/>
      </c>
      <c r="PC111" s="43" t="str">
        <f t="shared" si="362"/>
        <v/>
      </c>
      <c r="PD111" s="43" t="str">
        <f t="shared" si="363"/>
        <v/>
      </c>
      <c r="PE111" s="43" t="str">
        <f t="shared" si="364"/>
        <v/>
      </c>
      <c r="PF111" s="43" t="str">
        <f t="shared" si="365"/>
        <v/>
      </c>
      <c r="PG111" s="43" t="str">
        <f t="shared" si="366"/>
        <v/>
      </c>
      <c r="PH111" s="43" t="str">
        <f t="shared" si="367"/>
        <v/>
      </c>
      <c r="PI111" s="43" t="str">
        <f t="shared" si="368"/>
        <v>Menor</v>
      </c>
      <c r="PJ111" s="43" t="str">
        <f t="shared" si="369"/>
        <v>SOBREPESO</v>
      </c>
      <c r="PK111" s="43" t="str">
        <f t="shared" si="370"/>
        <v/>
      </c>
      <c r="PL111" s="43" t="str">
        <f t="shared" si="371"/>
        <v/>
      </c>
      <c r="PM111" s="43" t="str">
        <f t="shared" si="372"/>
        <v/>
      </c>
      <c r="PN111" s="43" t="str">
        <f t="shared" si="373"/>
        <v/>
      </c>
      <c r="PO111" s="43" t="str">
        <f t="shared" si="374"/>
        <v/>
      </c>
      <c r="PP111" s="43" t="str">
        <f t="shared" si="375"/>
        <v/>
      </c>
      <c r="PQ111" s="43" t="str">
        <f t="shared" si="376"/>
        <v/>
      </c>
      <c r="PR111" s="43" t="str">
        <f t="shared" si="377"/>
        <v/>
      </c>
      <c r="PS111" s="43" t="str">
        <f t="shared" si="378"/>
        <v/>
      </c>
      <c r="PT111" s="43" t="str">
        <f t="shared" si="379"/>
        <v/>
      </c>
      <c r="PU111" s="43" t="str">
        <f t="shared" si="380"/>
        <v/>
      </c>
      <c r="PV111" s="43" t="str">
        <f t="shared" si="381"/>
        <v/>
      </c>
      <c r="PW111" s="43" t="str">
        <f t="shared" si="382"/>
        <v/>
      </c>
      <c r="PX111" s="43" t="str">
        <f t="shared" si="383"/>
        <v/>
      </c>
      <c r="PY111" s="43" t="str">
        <f t="shared" si="384"/>
        <v/>
      </c>
      <c r="PZ111" s="43" t="str">
        <f t="shared" si="385"/>
        <v/>
      </c>
      <c r="QA111" s="43" t="str">
        <f t="shared" si="386"/>
        <v/>
      </c>
      <c r="QB111" s="43" t="str">
        <f t="shared" si="387"/>
        <v/>
      </c>
      <c r="QC111" s="43" t="str">
        <f t="shared" si="388"/>
        <v/>
      </c>
      <c r="QD111" s="43" t="str">
        <f t="shared" si="389"/>
        <v/>
      </c>
      <c r="QE111" s="43" t="str">
        <f t="shared" si="390"/>
        <v/>
      </c>
      <c r="QF111" s="43" t="str">
        <f t="shared" si="391"/>
        <v/>
      </c>
      <c r="QG111" s="43" t="str">
        <f t="shared" si="392"/>
        <v/>
      </c>
      <c r="QH111" s="43" t="str">
        <f t="shared" si="393"/>
        <v/>
      </c>
      <c r="QI111" s="43" t="str">
        <f t="shared" si="394"/>
        <v/>
      </c>
      <c r="QJ111" s="43" t="str">
        <f t="shared" si="395"/>
        <v/>
      </c>
      <c r="QK111" s="43" t="str">
        <f t="shared" si="396"/>
        <v/>
      </c>
      <c r="QL111" s="43" t="str">
        <f t="shared" si="397"/>
        <v/>
      </c>
      <c r="QM111" s="43" t="str">
        <f t="shared" si="398"/>
        <v/>
      </c>
      <c r="QN111" s="43" t="str">
        <f t="shared" si="399"/>
        <v/>
      </c>
      <c r="QO111" s="43" t="str">
        <f t="shared" si="400"/>
        <v/>
      </c>
      <c r="QP111" s="43" t="str">
        <f t="shared" si="401"/>
        <v/>
      </c>
      <c r="QQ111" s="43" t="str">
        <f t="shared" si="402"/>
        <v/>
      </c>
      <c r="QR111" s="43" t="str">
        <f t="shared" si="432"/>
        <v>Menor</v>
      </c>
      <c r="QS111" s="43"/>
      <c r="QT111" s="21" t="str">
        <f t="shared" si="403"/>
        <v/>
      </c>
      <c r="QU111" s="21" t="str">
        <f t="shared" si="404"/>
        <v/>
      </c>
      <c r="QV111" s="21" t="str">
        <f t="shared" si="405"/>
        <v/>
      </c>
      <c r="QW111" s="21" t="str">
        <f t="shared" si="406"/>
        <v/>
      </c>
      <c r="QX111" s="21" t="str">
        <f t="shared" si="407"/>
        <v/>
      </c>
      <c r="QY111" s="21" t="str">
        <f t="shared" si="408"/>
        <v/>
      </c>
      <c r="QZ111" s="21" t="str">
        <f t="shared" si="409"/>
        <v/>
      </c>
      <c r="RA111" s="21" t="str">
        <f t="shared" si="410"/>
        <v/>
      </c>
      <c r="RB111" s="21" t="str">
        <f t="shared" si="411"/>
        <v/>
      </c>
      <c r="RC111" s="21" t="str">
        <f t="shared" si="412"/>
        <v/>
      </c>
      <c r="RD111" s="21" t="str">
        <f t="shared" si="413"/>
        <v/>
      </c>
      <c r="RE111" s="21" t="str">
        <f t="shared" si="414"/>
        <v/>
      </c>
      <c r="RF111" s="21" t="str">
        <f t="shared" si="415"/>
        <v/>
      </c>
      <c r="RG111" s="21" t="str">
        <f t="shared" si="416"/>
        <v/>
      </c>
      <c r="RH111" s="21" t="str">
        <f t="shared" si="417"/>
        <v/>
      </c>
      <c r="RI111" s="21" t="str">
        <f t="shared" si="418"/>
        <v/>
      </c>
      <c r="RJ111" s="21" t="str">
        <f t="shared" si="419"/>
        <v/>
      </c>
      <c r="RK111" s="21" t="str">
        <f t="shared" si="420"/>
        <v/>
      </c>
      <c r="RL111" s="21" t="str">
        <f t="shared" si="421"/>
        <v/>
      </c>
      <c r="RM111" s="21" t="str">
        <f t="shared" si="422"/>
        <v/>
      </c>
      <c r="RN111" s="21" t="str">
        <f t="shared" si="423"/>
        <v/>
      </c>
      <c r="RO111" s="21" t="str">
        <f t="shared" si="424"/>
        <v/>
      </c>
      <c r="RP111" s="21" t="str">
        <f t="shared" si="425"/>
        <v/>
      </c>
      <c r="RQ111" s="21" t="str">
        <f t="shared" si="426"/>
        <v/>
      </c>
      <c r="RR111" s="21" t="str">
        <f t="shared" si="427"/>
        <v/>
      </c>
      <c r="RS111" s="21" t="str">
        <f t="shared" si="428"/>
        <v/>
      </c>
      <c r="RT111" s="21" t="str">
        <f t="shared" si="429"/>
        <v/>
      </c>
      <c r="RU111" s="21" t="str">
        <f t="shared" si="430"/>
        <v/>
      </c>
      <c r="RV111" s="21">
        <f t="shared" si="431"/>
        <v>9.8571428571428577</v>
      </c>
      <c r="RW111" s="284">
        <f>IF(OR(Tabla1[[#This Row],[FUM FORMULA CONFIABLE]]="",Tabla1[[#This Row],[FUM FORMULA CONFIABLE]]="SD"),"",IF(Tabla1[[#This Row],[FUM FORMULA CONFIABLE]]="CORREGIDA",Tabla1[[#This Row],[FUM X ECO 1]],Tabla1[[#This Row],[FUM x AMENORREA]]))</f>
        <v>44910</v>
      </c>
      <c r="RX111" s="21" t="str">
        <f>IF(AND(Tabla1[[#This Row],[FUM X ECO 1]]="",Tabla1[[#This Row],[FUM x AMENORREA]]=""),"",IF(AND(Tabla1[[#This Row],[FUM X ECO 1]]="",Tabla1[[#This Row],[FUM x AMENORREA]]&lt;&gt;""),"X",SUM(Tabla1[[#This Row],[FUM X ECO 1]]-Tabla1[[#This Row],[FUM x AMENORREA]])))</f>
        <v>X</v>
      </c>
      <c r="RY111" s="21" t="str">
        <f t="shared" si="433"/>
        <v>x</v>
      </c>
    </row>
    <row r="112" spans="1:493" ht="45" customHeight="1" x14ac:dyDescent="0.25">
      <c r="A112" s="109"/>
      <c r="B112" s="43"/>
      <c r="C112" s="43" t="s">
        <v>845</v>
      </c>
      <c r="D112" s="124"/>
      <c r="E112" s="43" t="s">
        <v>909</v>
      </c>
      <c r="F112" s="43" t="s">
        <v>928</v>
      </c>
      <c r="G112" s="43" t="s">
        <v>1047</v>
      </c>
      <c r="H112" s="43"/>
      <c r="I112" s="109" t="s">
        <v>851</v>
      </c>
      <c r="J112" s="110" t="s">
        <v>1335</v>
      </c>
      <c r="K112" s="43" t="s">
        <v>852</v>
      </c>
      <c r="L112" s="175" t="s">
        <v>853</v>
      </c>
      <c r="M112" s="22">
        <v>32527</v>
      </c>
      <c r="N112" s="213">
        <f t="shared" ca="1" si="252"/>
        <v>34.81095890410959</v>
      </c>
      <c r="O112" s="22">
        <v>44979</v>
      </c>
      <c r="P112" s="214" t="str">
        <f t="shared" si="437"/>
        <v>SI</v>
      </c>
      <c r="Q112" s="26" t="s">
        <v>855</v>
      </c>
      <c r="R112" s="22">
        <v>44979</v>
      </c>
      <c r="S112" s="21" t="s">
        <v>856</v>
      </c>
      <c r="T112" s="24" t="s">
        <v>690</v>
      </c>
      <c r="U112" s="21" t="s">
        <v>857</v>
      </c>
      <c r="V112" s="21" t="s">
        <v>858</v>
      </c>
      <c r="W112" s="21"/>
      <c r="X112" s="21"/>
      <c r="Y112" s="21"/>
      <c r="Z112" s="21">
        <v>3174711395</v>
      </c>
      <c r="AA112" s="21" t="s">
        <v>860</v>
      </c>
      <c r="AB112" s="27" t="s">
        <v>861</v>
      </c>
      <c r="AC112" s="26" t="s">
        <v>877</v>
      </c>
      <c r="AD112" s="38" t="s">
        <v>1546</v>
      </c>
      <c r="AE112" s="26" t="s">
        <v>854</v>
      </c>
      <c r="AF112" s="26" t="s">
        <v>854</v>
      </c>
      <c r="AG112" s="23" t="s">
        <v>864</v>
      </c>
      <c r="AH112" s="23" t="s">
        <v>864</v>
      </c>
      <c r="AI112" s="24" t="s">
        <v>863</v>
      </c>
      <c r="AJ112" s="23" t="s">
        <v>864</v>
      </c>
      <c r="AK112" s="220" t="str">
        <f>IF(AND(AD112="",AE112="",AF112="",AG112="",AH112="",AI112="",AJ112=""),"",IF(OR(Tabla1[[#This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EVALUACIÓN",IF(AND(O112="",R112=""),"",IF(AND(OR(O112&gt;0,R112&gt;0),NG112&gt;=0,NG112&lt;2),"SIN RIESGO",IF(AND(OR(O112&gt;0,R112&gt;0),NG112&gt;=2),"CON RIESGO","ASD")))))</f>
        <v>SIN RIESGO</v>
      </c>
      <c r="AL112" s="23" t="s">
        <v>854</v>
      </c>
      <c r="AM112" s="26" t="s">
        <v>864</v>
      </c>
      <c r="AN112" s="26" t="s">
        <v>864</v>
      </c>
      <c r="AO112" s="26" t="s">
        <v>864</v>
      </c>
      <c r="AP112" s="26" t="s">
        <v>864</v>
      </c>
      <c r="AQ112" s="26" t="s">
        <v>864</v>
      </c>
      <c r="AR112" s="26" t="s">
        <v>864</v>
      </c>
      <c r="AS112" s="21">
        <v>4</v>
      </c>
      <c r="AT112" s="21">
        <v>1</v>
      </c>
      <c r="AU112" s="21">
        <v>2</v>
      </c>
      <c r="AV112" s="26" t="s">
        <v>864</v>
      </c>
      <c r="AW112" s="21">
        <v>1</v>
      </c>
      <c r="AX112" s="26" t="s">
        <v>864</v>
      </c>
      <c r="AY112" s="26" t="s">
        <v>864</v>
      </c>
      <c r="AZ112" s="26" t="s">
        <v>854</v>
      </c>
      <c r="BA112" s="26" t="s">
        <v>864</v>
      </c>
      <c r="BB112" s="26" t="s">
        <v>864</v>
      </c>
      <c r="BC112" s="26" t="s">
        <v>864</v>
      </c>
      <c r="BD112" s="26" t="s">
        <v>864</v>
      </c>
      <c r="BE112" s="26" t="s">
        <v>864</v>
      </c>
      <c r="BF112" s="26" t="s">
        <v>864</v>
      </c>
      <c r="BG112" s="26" t="s">
        <v>864</v>
      </c>
      <c r="BH112" s="26" t="s">
        <v>864</v>
      </c>
      <c r="BI112" s="26" t="s">
        <v>864</v>
      </c>
      <c r="BJ112" s="26" t="s">
        <v>864</v>
      </c>
      <c r="BK112" s="26" t="s">
        <v>865</v>
      </c>
      <c r="BL112" s="26" t="s">
        <v>864</v>
      </c>
      <c r="BM112" s="26" t="s">
        <v>864</v>
      </c>
      <c r="BN112" s="22"/>
      <c r="BO112" s="22">
        <v>44898</v>
      </c>
      <c r="BP112" s="21" t="s">
        <v>854</v>
      </c>
      <c r="BQ112" s="222">
        <f t="shared" si="254"/>
        <v>0</v>
      </c>
      <c r="BR112" s="223">
        <f t="shared" si="255"/>
        <v>44867.3</v>
      </c>
      <c r="BS112" s="224">
        <f t="shared" si="256"/>
        <v>11.571428571428571</v>
      </c>
      <c r="BT112" s="216" t="str">
        <f t="shared" si="257"/>
        <v>II TRIM</v>
      </c>
      <c r="BU112" s="214" t="str">
        <f t="shared" ca="1" si="258"/>
        <v/>
      </c>
      <c r="BV112" s="25" t="s">
        <v>989</v>
      </c>
      <c r="BW112" s="22">
        <v>45029</v>
      </c>
      <c r="BX112" s="28">
        <v>23.1</v>
      </c>
      <c r="BY112" s="28"/>
      <c r="BZ112" s="22"/>
      <c r="CA112" s="21"/>
      <c r="CB112" s="26" t="s">
        <v>864</v>
      </c>
      <c r="CC112" s="26" t="s">
        <v>864</v>
      </c>
      <c r="CD112" s="26"/>
      <c r="CE112" s="26" t="s">
        <v>864</v>
      </c>
      <c r="CF112" s="22" t="s">
        <v>1517</v>
      </c>
      <c r="CG112" s="21">
        <v>1.65</v>
      </c>
      <c r="CH112" s="21">
        <v>64</v>
      </c>
      <c r="CI112" s="214">
        <f t="shared" si="259"/>
        <v>23.507805325987146</v>
      </c>
      <c r="CJ112" s="225" t="e">
        <f>IF(AND(CI112&lt;10,CH112="SD"),"SIN DATO PESO PREGESTACION O I TRIM",IF(AND(OR(R112&gt;0,O112&gt;0),CI112="X"),"INGRESAR DATO DE PESO",IF(CI112="SD","INGRESAR DATO DE TALLA Y PESO",IF(AND(OR(Tabla1[[#This Row],[MOMENTO EN QUE SE REALIZA EL PESO AL INGRESO A CPN]]="PREGESTACIÓN",NZ112="Menor"),CI112&lt;18.5),"BAJO PESO",IF(AND(OR(Tabla1[[#This Row],[MOMENTO EN QUE SE REALIZA EL PESO AL INGRESO A CPN]]="PREGESTACIÓN",NZ112="Menor"),CI112&lt;25),"NORMAL",IF(AND(OR(Tabla1[[#This Row],[MOMENTO EN QUE SE REALIZA EL PESO AL INGRESO A CPN]]="PREGESTACIÓN",NZ112="Menor"),CI112&lt;30),"SOBREPESO",IF(AND(OR(Tabla1[[#This Row],[MOMENTO EN QUE SE REALIZA EL PESO AL INGRESO A CPN]]="PREGESTACIÓN",NZ112="Menor"),CI112&gt;=30,CI112&lt;50),"OBESIDAD",IF(AND(BS112&gt;0,Tabla1[[#This Row],[MOMENTO EN QUE SE REALIZA EL PESO AL INGRESO A CPN]]="GESTACIÓN"),HLOOKUP(NZ112,$OA$2:PH112,NY112),""))))))))</f>
        <v>#REF!</v>
      </c>
      <c r="CK112" s="212">
        <f t="shared" si="260"/>
        <v>45058</v>
      </c>
      <c r="CL112" s="21">
        <v>71.2</v>
      </c>
      <c r="CM112" s="214">
        <f t="shared" si="261"/>
        <v>26.152433425160702</v>
      </c>
      <c r="CN112" s="216">
        <f t="shared" si="262"/>
        <v>22</v>
      </c>
      <c r="CO112" s="216" t="e">
        <f>IF(PI112="","",IF(PI112&gt;0,HLOOKUP(PI112,$PJ$2:QQ112,NY112),""))</f>
        <v>#REF!</v>
      </c>
      <c r="CP112" s="21">
        <v>27</v>
      </c>
      <c r="CQ112" s="216" t="e">
        <f>IF(QR112="Menor","NO APLICA-MENOR 13 SEM",IF(AND(CC112="SI",CN112&gt;23),"NO APLICA- GEMELAR",IF(QR112="","",IF(QR112&gt;0,HLOOKUP(QR112,$QS$2:RU112,NY112),""))))</f>
        <v>#REF!</v>
      </c>
      <c r="CR112" s="21">
        <v>100</v>
      </c>
      <c r="CS112" s="21">
        <v>60</v>
      </c>
      <c r="CT112" s="217" t="str">
        <f>IF(R112="","",IF(AND(BS112&gt;1,BS112&lt;12,Tabla1[[#This Row],[T.A. SISTOLICA - ANTES DE SEMANA 12]]="",Tabla1[[#This Row],[T.A. DIASTOLICA - ANTES DE SEMANA 12]]=""),"REGISTRE DATO TA ANTES SEMANA 12",IF(AND(BS112&gt;11,BS112&lt;43,Tabla1[[#This Row],[T.A. SISTOLICA - ANTES DE SEMANA 12]]="",Tabla1[[#This Row],[T.A. DIASTOLICA - ANTES DE SEMANA 12]]=""),"NO APLICA REGISTRO TA-INGRESO TARDIO",IF(AND(OR(O112&gt;0,R112&gt;0),OR(CR112&gt;=140,CS112&gt;=90)),"DEFINIR ESTADIO HTA",IF(AND(OR(O112&gt;0,R112&gt;0),AND(CR112&gt;120,CR112&lt;=139)),"PRE HTA SEGUIMIENTO",IF(AND(OR(O112&gt;0,R112&gt;0),AND(CS112&gt;80,CS112&lt;=89)),"PRE HTA SEGUIMIENTO",IF(AND(OR(O112&gt;0,R112&gt;0),AND(CR112&gt;=80,CR112&lt;=120)),"APARENTEMENTE NORMAL",IF(AND(OR(O112&gt;0,R112&gt;0),AND(CS112&gt;=50,CS112&lt;=80)),"APARENTEMENTE NORMAL",IF(AND(OR(O112&gt;0,R112&gt;0),AND(CR112&gt;1,CR112&lt;=70),AND(CS112&gt;1,CS112&lt;=40)),"HIPOTENSIÓN","")))))))))</f>
        <v>APARENTEMENTE NORMAL</v>
      </c>
      <c r="CU112" s="21"/>
      <c r="CV112" s="21"/>
      <c r="CW112" s="217" t="str">
        <f>IF(R112="","",IF(AND(CN112&gt;19,CN112&lt;27,Tabla1[[#This Row],[T.A. SISTOLICA (Entre semana 20 y 26)]]="",Tabla1[[#This Row],[T.A. DIATOLICA (Entre semana 20 y 26)]]=""),"ACUDE A CONTROL SEM 20 A 26 REGISTRE TA AHORA",IF(AND(BS112&gt;1,BS112&lt;27,BU112&gt;19,Tabla1[[#This Row],[T.A. SISTOLICA (Entre semana 20 y 26)]]="",Tabla1[[#This Row],[T.A. DIATOLICA (Entre semana 20 y 26)]]=""),"COMPLETE REGISTRO TA CONTROL SEM 20 A26 ",IF(AND(BS112&gt;26,BS112&lt;43,Tabla1[[#This Row],[T.A. SISTOLICA (Entre semana 20 y 26)]]="",Tabla1[[#This Row],[T.A. DIATOLICA (Entre semana 20 y 26)]]=""),"NO APLICA REGISTRO TA-INGRESO TARDIO",IF(AND(OR(O112&gt;0,R112&gt;0),OR(CU112&gt;=140,CV112&gt;=90)),"ALTO RIESGO PREECLAMPSIA,DEFINIR ESTADIO HTA",IF(AND(OR(O112&gt;0,R112&gt;0),AND(CU112&gt;120,CU112&lt;=139)),"PRE HTA SEGUIMIENTO,RIESGO HIPERTENSION INDUCIDA POR EL EMBARAZO",IF(AND(OR(O112&gt;0,R112&gt;0),AND(CV112&gt;80,CV112&lt;=89)),"PRE HTA SEGUIMIENTO, RIESGO HIPERTENSION INDUCIDA POR EL EMBARAZO",IF(AND(OR(O112&lt;&gt;"",R112&lt;&gt;""),CS112&lt;&gt;"",CV112&lt;&gt;"",CS112&lt;=CV112),"VIGILAR CIFRAS PRESION ARTERIAL",IF(AND(OR(O112&gt;0,R112&gt;0),AND(CU112&gt;120,CU112&lt;=139)),"PRE HTA SEGUIMIENTO",IF(AND(OR(O112&gt;0,R112&gt;0),AND(CU112&gt;1,CU112&lt;=70),AND(CV112&gt;1,CV112&lt;=40)),"HIPOTENSIÓN",IF(AND(OR(O112&lt;&gt;"",R112&lt;&gt;""),CS112&lt;&gt;"",CV112&lt;&gt;"",CS112&gt;CV112),"APARENTEMENTE NORMAL",IF(AND(OR(O112&gt;0,R112&gt;0),AND(CU112&gt;=80,CU112&lt;=120)),"APARENTEMENTE NORMAL",IF(AND(OR(O112&gt;0,R112&gt;0),AND(CV112&gt;=50,CV112&lt;=80)),"APARENTEMENTE NORMAL","")))))))))))))</f>
        <v>ACUDE A CONTROL SEM 20 A 26 REGISTRE TA AHORA</v>
      </c>
      <c r="CX112" s="21"/>
      <c r="CY112" s="21"/>
      <c r="CZ112" s="216" t="str">
        <f t="shared" si="456"/>
        <v/>
      </c>
      <c r="DA112" s="21">
        <v>100</v>
      </c>
      <c r="DB112" s="21">
        <v>60</v>
      </c>
      <c r="DC112" s="217" t="str">
        <f t="shared" si="264"/>
        <v>APARENTEMENTE NORMAL</v>
      </c>
      <c r="DD112" s="22">
        <v>44614</v>
      </c>
      <c r="DE112" s="22">
        <v>44614</v>
      </c>
      <c r="DF112" s="22">
        <v>45017</v>
      </c>
      <c r="DG112" s="22">
        <v>45058</v>
      </c>
      <c r="DH112" s="22"/>
      <c r="DI112" s="22"/>
      <c r="DJ112" s="22"/>
      <c r="DK112" s="22"/>
      <c r="DL112" s="22"/>
      <c r="DM112" s="22"/>
      <c r="DN112" s="22"/>
      <c r="DO112" s="22"/>
      <c r="DP112" s="22"/>
      <c r="DQ112" s="22"/>
      <c r="DR112" s="28">
        <v>1</v>
      </c>
      <c r="DS112" s="22"/>
      <c r="DT112" s="22"/>
      <c r="DU112" s="216" t="str">
        <f t="shared" ca="1" si="438"/>
        <v>CONCERTAR PLAN DE PARTO INMEDIATO</v>
      </c>
      <c r="DV112" s="226" t="str">
        <f t="shared" si="439"/>
        <v>ACTIVA INGRESO A CPN</v>
      </c>
      <c r="DW1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2" s="216" t="e">
        <f t="shared" ca="1" si="266"/>
        <v>#REF!</v>
      </c>
      <c r="DY112" s="212">
        <f>IF(R112="","",IF(R112&gt;0,MAX(Tabla1[[#This Row],[FECHA C2]:[FECHA C13]],Tabla1[[#This Row],[FECHA CONSULTA PRIMERA VEZ PROGRAMA CPN ]])))</f>
        <v>45058</v>
      </c>
      <c r="DZ112" s="216">
        <f t="shared" si="267"/>
        <v>22</v>
      </c>
      <c r="EA112" s="222">
        <f>IF(R112&gt;0,SUM(COUNTA(DF112:DQ112)+COUNTA(Tabla1[[#This Row],[FECHA CONSULTA PRIMERA VEZ PROGRAMA CPN ]])),"")</f>
        <v>3</v>
      </c>
      <c r="EB112" s="222" t="str">
        <f t="shared" si="268"/>
        <v>NO</v>
      </c>
      <c r="EC112" s="214">
        <f t="shared" si="269"/>
        <v>9</v>
      </c>
      <c r="ED112" s="227">
        <f t="shared" si="270"/>
        <v>0.33333333333333331</v>
      </c>
      <c r="EE112" s="22">
        <v>44614</v>
      </c>
      <c r="EF112" s="22">
        <v>44614</v>
      </c>
      <c r="EG112" s="22">
        <v>44614</v>
      </c>
      <c r="EH112" s="22"/>
      <c r="EI112" s="22">
        <v>44614</v>
      </c>
      <c r="EJ112" s="22">
        <v>45016</v>
      </c>
      <c r="EK112" s="22">
        <v>45016</v>
      </c>
      <c r="EL112" s="21">
        <v>1</v>
      </c>
      <c r="EM112" s="21">
        <v>13</v>
      </c>
      <c r="EN112" s="22">
        <v>44979</v>
      </c>
      <c r="EO112" s="222">
        <f t="shared" si="271"/>
        <v>11.571428571428571</v>
      </c>
      <c r="EP112" s="214" t="str">
        <f t="shared" si="272"/>
        <v>NORMAL- SUMINISTRAR SULFATO FERROSO</v>
      </c>
      <c r="EQ112" s="216" t="str">
        <f t="shared" si="273"/>
        <v>I TRIM</v>
      </c>
      <c r="ER112" s="24"/>
      <c r="ES112" s="22"/>
      <c r="ET112" s="29" t="str">
        <f t="shared" ca="1" si="440"/>
        <v>TOMA DE HEMOGLOBINA TARDÍA</v>
      </c>
      <c r="EU112" s="25" t="str">
        <f t="shared" si="275"/>
        <v/>
      </c>
      <c r="EV112" s="24" t="s">
        <v>926</v>
      </c>
      <c r="EW112" s="24">
        <v>44979</v>
      </c>
      <c r="EX112" s="22"/>
      <c r="EY112" s="29">
        <f t="shared" si="453"/>
        <v>11.571428571428571</v>
      </c>
      <c r="EZ112" s="25" t="str">
        <f t="shared" ca="1" si="454"/>
        <v/>
      </c>
      <c r="FA112" s="21">
        <v>76</v>
      </c>
      <c r="FB112" s="22">
        <v>44979</v>
      </c>
      <c r="FC112" s="29">
        <f t="shared" si="276"/>
        <v>11.571428571428571</v>
      </c>
      <c r="FD112" s="29">
        <v>75</v>
      </c>
      <c r="FE112" s="29">
        <v>120</v>
      </c>
      <c r="FF112" s="29">
        <v>102</v>
      </c>
      <c r="FG112" s="21" t="str">
        <f t="shared" si="277"/>
        <v xml:space="preserve">NORMAL, NO DESCARTA DIABETES POR REALIZARLO ANTES DE  SEMANA 24, </v>
      </c>
      <c r="FH112" s="31">
        <v>45059</v>
      </c>
      <c r="FI112" s="29">
        <f t="shared" si="278"/>
        <v>23</v>
      </c>
      <c r="FJ112" s="22" t="s">
        <v>867</v>
      </c>
      <c r="FK112" s="22">
        <v>44979</v>
      </c>
      <c r="FL112" s="29">
        <f t="shared" ca="1" si="279"/>
        <v>11.571428571428571</v>
      </c>
      <c r="FM112" s="22" t="s">
        <v>867</v>
      </c>
      <c r="FN112" s="32">
        <v>45059</v>
      </c>
      <c r="FO112" s="29">
        <f t="shared" ca="1" si="441"/>
        <v>23</v>
      </c>
      <c r="FP112" s="22"/>
      <c r="FQ112" s="32"/>
      <c r="FR112" s="29" t="str">
        <f t="shared" ca="1" si="442"/>
        <v>TOMA INMEDIATA DE TAMIZAJE</v>
      </c>
      <c r="FS112" s="22"/>
      <c r="FT112" s="32"/>
      <c r="FU112" s="29" t="str">
        <f>IF(AND(FJ112="",FM112="",FP112="",FS112=""),"",IF(OR(OR(Tabla1[[#This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2" s="28"/>
      <c r="FW112" s="22"/>
      <c r="FX112" s="29" t="str">
        <f t="shared" si="280"/>
        <v>TOMAR EXAMEN</v>
      </c>
      <c r="FY112" s="22">
        <v>44979</v>
      </c>
      <c r="FZ112" s="22">
        <v>44979</v>
      </c>
      <c r="GA112" s="29">
        <f t="shared" ca="1" si="452"/>
        <v>11.571428571428571</v>
      </c>
      <c r="GB112" s="22"/>
      <c r="GC112" s="22"/>
      <c r="GD112" s="29" t="str">
        <f t="shared" ca="1" si="490"/>
        <v>PIERDE TOMA DE TAMIZAJE</v>
      </c>
      <c r="GE112" s="22"/>
      <c r="GF112" s="22"/>
      <c r="GG112" s="29" t="str">
        <f t="shared" ca="1" si="444"/>
        <v>TOMA INMEDIATA DE TAMIZAJE</v>
      </c>
      <c r="GH112" s="22"/>
      <c r="GI112" s="29"/>
      <c r="GJ112" s="22"/>
      <c r="GK112" s="22"/>
      <c r="GL112" s="22"/>
      <c r="GM112" s="22"/>
      <c r="GN112" s="28" t="s">
        <v>869</v>
      </c>
      <c r="GO112" s="22">
        <v>44979</v>
      </c>
      <c r="GP112" s="29">
        <f t="shared" si="283"/>
        <v>11.571428571428571</v>
      </c>
      <c r="GQ112" s="28"/>
      <c r="GR112" s="28"/>
      <c r="GS112" s="22" t="str">
        <f t="shared" si="457"/>
        <v/>
      </c>
      <c r="GT112" s="22"/>
      <c r="GU112" s="29" t="str">
        <f t="shared" si="285"/>
        <v>TOMAR EXAMEN</v>
      </c>
      <c r="GV112" s="21" t="str">
        <f t="shared" si="286"/>
        <v>POR DEFINIR</v>
      </c>
      <c r="GW112" s="28"/>
      <c r="GX112" s="30"/>
      <c r="GY112" s="21"/>
      <c r="GZ112" s="21"/>
      <c r="HA112" s="21"/>
      <c r="HB112" s="21"/>
      <c r="HC112" s="21"/>
      <c r="HD112" s="21"/>
      <c r="HE112" s="21"/>
      <c r="HF112" s="22"/>
      <c r="HG112" s="22" t="str">
        <f>IF(OR(O112&gt;0,R112&gt;0),CONCATENATE(IF(Tabla1[[#This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2" s="22" t="e">
        <f t="shared" si="287"/>
        <v>#REF!</v>
      </c>
      <c r="HI112" s="22" t="str">
        <f t="shared" si="288"/>
        <v>ALTO RIESGO</v>
      </c>
      <c r="HJ112" s="21"/>
      <c r="HK112" s="21" t="str">
        <f t="shared" si="289"/>
        <v>RIESGO ALTO DE COMPLICACIONES HIPERTENSIVAS VER MANEJO GUIA SUMINISTRO ASA Y CALCIO</v>
      </c>
      <c r="HL112" s="24" t="str">
        <f t="shared" si="290"/>
        <v>APARENTEMENTE NORMAL</v>
      </c>
      <c r="HM112" s="21" t="e">
        <f t="shared" ca="1" si="291"/>
        <v>#REF!</v>
      </c>
      <c r="HN112" s="30" t="str">
        <f t="shared" si="445"/>
        <v>ACTIVA INGRESO A CPN</v>
      </c>
      <c r="HO112" s="21"/>
      <c r="HP112" s="21"/>
      <c r="HQ112" s="21">
        <v>44979</v>
      </c>
      <c r="HR112" s="21" t="str">
        <f>IF(R112="","",IF(Tabla1[[#This Row],[ALARMA FACTORES DE RIESGO COMPLICACIONES HIPERTENSIVAS3]]="SIN ANTECEDENTES DE RIESGO","No Aplica para suministro de ASA",IF(AND(Tabla1[[#This Row],[FECHA INICIO DE SUMINISTRO DE ASA]]&gt;0,RV112&lt;12),"Inicia ASA ANTES de Sem 12",IF(AND(RV112&gt;11,RV112&lt;17,OR(HK112="RIESGO ALTO DE COMPLICACIONES HIPERTENSIVAS VER MANEJO GUIA SUMINISTRO ASA Y CALCIO",HK112="RIESGO MODERADO (2 O MAS CRITERIOS) VER MANEJO GUIA SUMINISTRO ASA Y CALCIO")),"Inicio oportuno de ASA",IF(AND(RV112&gt;12,OR(HK112="RIESGO ALTO DE COMPLICACIONES HIPERTENSIVAS VER MANEJO GUIA SUMINISTRO ASA Y CALCIO",HK112="RIESGO MODERADO (2 O MAS CRITERIOS) VER MANEJO GUIA SUMINISTRO ASA Y CALCIO")),"Inicio no oportuno mayor a 16 semanas",IF(AND(BU112&lt;12,OR(HK112="RIESGO ALTO DE COMPLICACIONES HIPERTENSIVAS VER MANEJO GUIA SUMINISTRO ASA Y CALCIO",HK112="RIESGO MODERADO (2 O MAS CRITERIOS) VER MANEJO GUIA SUMINISTRO ASA Y CALCIO")),"Pendiente Inicio de ASA a la semana 12",IF(AND(BU112&gt;11,BU112&lt;17,OR(HK112="RIESGO ALTO DE COMPLICACIONES HIPERTENSIVAS VER MANEJO GUIA SUMINISTRO ASA Y CALCIO",HK112="RIESGO MODERADO (2 O MAS CRITERIOS) VER MANEJO GUIA SUMINISTRO ASA Y CALCIO")),"Iniciar de inmediato ASA",IF(AND(BU112&gt;16,OR(HK112="RIESGO ALTO DE COMPLICACIONES HIPERTENSIVAS VER MANEJO GUIA SUMINISTRO ASA Y CALCIO",HK112="RIESGO MODERADO (2 O MAS CRITERIOS) VER MANEJO GUIA SUMINISTRO ASA Y CALCIO")),"Pierde Oportunidad, Inicio tardío de ASA","XXXXX"))))))))</f>
        <v>Inicia ASA ANTES de Sem 12</v>
      </c>
      <c r="HS112" s="22">
        <v>44979</v>
      </c>
      <c r="HT112" s="22" t="s">
        <v>1532</v>
      </c>
      <c r="HU112" s="22">
        <v>44979</v>
      </c>
      <c r="HV112" s="22" t="s">
        <v>1523</v>
      </c>
      <c r="HW112" s="22">
        <v>44979</v>
      </c>
      <c r="HX112" s="22" t="s">
        <v>1529</v>
      </c>
      <c r="HY112" s="22">
        <v>44979</v>
      </c>
      <c r="HZ112" s="28">
        <f t="shared" si="292"/>
        <v>11.571428571428571</v>
      </c>
      <c r="IA112" s="26"/>
      <c r="IB112" s="26"/>
      <c r="IC112" s="111"/>
      <c r="ID112" s="22"/>
      <c r="IE112" s="22" t="str">
        <f t="shared" ca="1" si="293"/>
        <v/>
      </c>
      <c r="IF112" s="22"/>
      <c r="IG112" s="22">
        <f t="shared" si="294"/>
        <v>45178</v>
      </c>
      <c r="IH112" s="29">
        <f t="shared" ca="1" si="295"/>
        <v>-55</v>
      </c>
      <c r="II112" s="22" t="str">
        <f t="shared" ca="1" si="296"/>
        <v>POSIBLEMENTE NACIO</v>
      </c>
      <c r="IJ112" s="22"/>
      <c r="IK112" s="21"/>
      <c r="IL112" s="21"/>
      <c r="IM112" s="34"/>
      <c r="IN112" s="349"/>
      <c r="IO112" s="21"/>
      <c r="IP112" s="29" t="str">
        <f t="shared" si="489"/>
        <v/>
      </c>
      <c r="IQ112" s="110"/>
      <c r="IR112" s="21"/>
      <c r="IS112" s="21"/>
      <c r="IT112" s="21"/>
      <c r="IU112" s="21"/>
      <c r="IV112" s="21"/>
      <c r="IW112" s="21"/>
      <c r="IX112" s="21"/>
      <c r="IY112" s="21"/>
      <c r="IZ112" s="21"/>
      <c r="JA112" s="21"/>
      <c r="JB112" s="30"/>
      <c r="JC112" s="21"/>
      <c r="JD112" s="36"/>
      <c r="JE112" s="21" t="str">
        <f t="shared" si="491"/>
        <v/>
      </c>
      <c r="JF112" s="30"/>
      <c r="JG112" s="21"/>
      <c r="JH112" s="21"/>
      <c r="JI112" s="21"/>
      <c r="JJ112" s="30"/>
      <c r="JK112" s="22"/>
      <c r="JL112" s="22"/>
      <c r="JM112" s="21"/>
      <c r="JN112" s="36"/>
      <c r="JO112" s="21" t="str">
        <f t="shared" si="492"/>
        <v/>
      </c>
      <c r="JP112" s="22"/>
      <c r="JQ112" s="21"/>
      <c r="JR112" s="21"/>
      <c r="JS112" s="21"/>
      <c r="JT112" s="30"/>
      <c r="JU112" s="22"/>
      <c r="JV112" s="22"/>
      <c r="JW112" s="33"/>
      <c r="JX112" s="28" t="str">
        <f t="shared" si="493"/>
        <v/>
      </c>
      <c r="JY112" s="33"/>
      <c r="JZ112" s="28" t="str">
        <f t="shared" si="494"/>
        <v/>
      </c>
      <c r="KA112" s="21"/>
      <c r="KB112" s="21"/>
      <c r="KC112" s="21"/>
      <c r="KD112" s="37"/>
      <c r="KE112" s="28"/>
      <c r="KF112" s="28"/>
      <c r="KG112" s="28"/>
      <c r="KH112" s="39"/>
      <c r="KI112" s="39"/>
      <c r="KJ112" s="66"/>
      <c r="KK112" s="39"/>
      <c r="KL112" s="39"/>
      <c r="KM112" s="66"/>
      <c r="KN112" s="39"/>
      <c r="KO112" s="39"/>
      <c r="KP112" s="39"/>
      <c r="KQ112" s="39"/>
      <c r="KR112" s="39"/>
      <c r="KS112" s="39"/>
      <c r="KT112" s="39"/>
      <c r="KU112" s="38"/>
      <c r="KV112" s="38"/>
      <c r="KW112" s="38"/>
      <c r="KX112" s="38"/>
      <c r="KY112" s="38"/>
      <c r="KZ112" s="38"/>
      <c r="LA112" s="38"/>
      <c r="LB112" s="38"/>
      <c r="LC112" s="38"/>
      <c r="LD112" s="38"/>
      <c r="LE112" s="38"/>
      <c r="LF112" s="38"/>
      <c r="LG112" s="38"/>
      <c r="LH112" s="38"/>
      <c r="LI112" s="38"/>
      <c r="LJ112" s="38"/>
      <c r="LK112" s="38"/>
      <c r="LL112" s="38"/>
      <c r="LM112" s="38"/>
      <c r="LN112" s="38"/>
      <c r="LO112" s="38"/>
      <c r="LP112" s="38"/>
      <c r="LQ112" s="38"/>
      <c r="LR112" s="38"/>
      <c r="LS112" s="38"/>
      <c r="LT112" s="38"/>
      <c r="LU112" s="38"/>
      <c r="LV112" s="38"/>
      <c r="LW112" s="38"/>
      <c r="LX112" s="38"/>
      <c r="LY112" s="38"/>
      <c r="LZ112" s="38"/>
      <c r="MA112" s="38"/>
      <c r="MB112" s="38"/>
      <c r="MC112" s="38"/>
      <c r="MD112" s="38"/>
      <c r="ME112" s="38"/>
      <c r="MF112" s="38"/>
      <c r="MG112" s="38"/>
      <c r="MH112" s="43">
        <f t="shared" si="458"/>
        <v>0</v>
      </c>
      <c r="MI112" s="43" t="str">
        <f t="shared" si="459"/>
        <v/>
      </c>
      <c r="MJ112" s="43" t="str">
        <f t="shared" si="460"/>
        <v/>
      </c>
      <c r="MK112" s="43">
        <f t="shared" si="461"/>
        <v>0</v>
      </c>
      <c r="ML1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2" s="43">
        <f t="shared" si="462"/>
        <v>11.571428571428571</v>
      </c>
      <c r="MN112" s="43">
        <f t="shared" si="463"/>
        <v>2</v>
      </c>
      <c r="MO112" s="43">
        <f t="shared" si="464"/>
        <v>2023</v>
      </c>
      <c r="MP112" s="43" t="str">
        <f t="shared" si="465"/>
        <v>I TRIMESTRE AÑO</v>
      </c>
      <c r="MQ112" s="43">
        <f t="shared" si="466"/>
        <v>33.598883048620237</v>
      </c>
      <c r="MR112" s="43">
        <f t="shared" si="467"/>
        <v>0</v>
      </c>
      <c r="MS112" s="43" t="str">
        <f t="shared" si="468"/>
        <v xml:space="preserve"> DE 30 A 34 AÑOS</v>
      </c>
      <c r="MT112" s="43">
        <f t="shared" si="469"/>
        <v>0</v>
      </c>
      <c r="MU112" s="43">
        <f t="shared" si="470"/>
        <v>0</v>
      </c>
      <c r="MV112" s="43">
        <f t="shared" si="471"/>
        <v>1</v>
      </c>
      <c r="MW112" s="43">
        <f t="shared" si="472"/>
        <v>0</v>
      </c>
      <c r="MX112" s="43" t="str">
        <f t="shared" si="473"/>
        <v/>
      </c>
      <c r="MY112" s="43" t="str">
        <f t="shared" ca="1" si="495"/>
        <v/>
      </c>
      <c r="MZ112" s="43" t="str">
        <f t="shared" si="474"/>
        <v/>
      </c>
      <c r="NA112" s="43" t="str">
        <f t="shared" si="475"/>
        <v/>
      </c>
      <c r="NB112" s="43" t="str">
        <f t="shared" si="476"/>
        <v/>
      </c>
      <c r="NC112" s="43" t="str">
        <f t="shared" si="477"/>
        <v/>
      </c>
      <c r="ND112" s="43">
        <f t="shared" ca="1" si="478"/>
        <v>2</v>
      </c>
      <c r="NE112" s="43">
        <f>IF(OR(O112&gt;0,R112&gt;0),SUM(COUNTIF(Tabla1[[#This Row],[AÑOS AL INICIO5 CPN]],"&gt;=40"),COUNTIF(AS112,"0"),COUNTIF(AR112,"SI"),COUNTIF(CC112,"SI"),COUNTIF(BQ112,"&gt;119"),COUNTIF(CI112,"&gt;=35")),"")</f>
        <v>0</v>
      </c>
      <c r="NF112" s="43" t="str">
        <f t="shared" si="479"/>
        <v/>
      </c>
      <c r="NG112" s="43">
        <f t="shared" si="480"/>
        <v>0</v>
      </c>
      <c r="NH112" s="43">
        <f t="shared" si="481"/>
        <v>161.70000000000002</v>
      </c>
      <c r="NI1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CPN",P112="NO"),"Z",IF(AND(Tabla1[[#This Row],[CITA PROXIMO CONTROL]]="CITA MANUAL",Tabla1[[#This Row],[GESTANTES ACTUALES]]="ACTIVA INGRESO A CPN"),"W",IF(AND(Tabla1[[#This Row],[GESTANTES ACTUALES]]="SALIO PROGRAMA",IN112=""),"S",IF(AND(Tabla1[[#This Row],[CITA PROXIMO CONTROL]]&gt;0,IN112=""),(Tabla1[[#This Row],[CITA PROXIMO CONTROL]]-TODAY()),"SD"))))))))</f>
        <v>#REF!</v>
      </c>
      <c r="NJ112" s="43">
        <f>MONTH(Tabla1[[#This Row],[FECHA DE SALIDA  DEL PROGRAMA]])</f>
        <v>1</v>
      </c>
      <c r="NK112" s="43">
        <f>YEAR(Tabla1[[#This Row],[FECHA DE SALIDA  DEL PROGRAMA]])</f>
        <v>1900</v>
      </c>
      <c r="NL112" s="43">
        <f t="shared" si="482"/>
        <v>402</v>
      </c>
      <c r="NM112" s="43" t="str">
        <f t="shared" si="455"/>
        <v>NO</v>
      </c>
      <c r="NN112" s="43" t="str">
        <f ca="1">IF(AND(O112&gt;0,R112=""),"NO CPN",IF(AND(O112="",R112=""),"",IF(AND(R112&gt;0,Tabla1[[#This Row],[SEMANAS DE GESTACION ACTUALIZADAS]]&lt;=12),"NO APLICA",IF(AND(FH112&lt;&gt;"",FN112&lt;&gt;""),"SI","NO"))))</f>
        <v>SI</v>
      </c>
      <c r="NO112" s="43" t="str">
        <f ca="1">IF(AND(O112&gt;0,R112=""),"NO CPN",IF(AND(O112="",R112=""),"",IF(AND(R112&gt;0,Tabla1[[#This Row],[SEMANAS DE GESTACION ACTUALIZADAS]]&lt;=27),"NO APLICA",IF(AND(ES112&lt;&gt;"",FQ112&lt;&gt;"",GF112&lt;&gt;""),"SI","NO"))))</f>
        <v>NO</v>
      </c>
      <c r="NP112" s="204" t="str">
        <f t="shared" si="483"/>
        <v>I TRIM</v>
      </c>
      <c r="NQ112" s="21" t="str">
        <f t="shared" si="436"/>
        <v/>
      </c>
      <c r="NR112" s="21" t="str">
        <f t="shared" ca="1" si="496"/>
        <v>REVISAR FUM O FECHA SALIDA PROGRAMA</v>
      </c>
      <c r="NS112" s="205">
        <f t="shared" ca="1" si="484"/>
        <v>2</v>
      </c>
      <c r="NT112" s="21">
        <f t="shared" ca="1" si="485"/>
        <v>1</v>
      </c>
      <c r="NU112" s="21" t="str">
        <f t="shared" ca="1" si="486"/>
        <v>POR DEFINIR</v>
      </c>
      <c r="NV112" s="21" t="str">
        <f t="shared" ca="1" si="487"/>
        <v>POR DEFINIR</v>
      </c>
      <c r="NW112" s="206" t="str">
        <f>IF(AND(O112="",R112=""),"",IF(OR(AND(Tabla1[[#This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2" s="207" t="str">
        <f t="shared" ca="1" si="488"/>
        <v>SIN VACUNAR</v>
      </c>
      <c r="NY112" s="43">
        <f>ROW(Tabla1[[#This Row],['# DE TAMIZAJES SIFILIS TOMADOS ]])</f>
        <v>112</v>
      </c>
      <c r="NZ112" s="43">
        <f t="shared" si="333"/>
        <v>11</v>
      </c>
      <c r="OA112" s="43" t="str">
        <f t="shared" si="334"/>
        <v/>
      </c>
      <c r="OB112" s="43" t="str">
        <f t="shared" si="335"/>
        <v/>
      </c>
      <c r="OC112" s="43" t="str">
        <f t="shared" si="336"/>
        <v>NORMAL</v>
      </c>
      <c r="OD112" s="43" t="str">
        <f t="shared" si="337"/>
        <v/>
      </c>
      <c r="OE112" s="43" t="str">
        <f t="shared" si="338"/>
        <v/>
      </c>
      <c r="OF112" s="43" t="str">
        <f t="shared" si="339"/>
        <v/>
      </c>
      <c r="OG112" s="43" t="str">
        <f t="shared" si="340"/>
        <v/>
      </c>
      <c r="OH112" s="43" t="str">
        <f t="shared" si="341"/>
        <v/>
      </c>
      <c r="OI112" s="43" t="str">
        <f t="shared" si="342"/>
        <v/>
      </c>
      <c r="OJ112" s="43" t="str">
        <f t="shared" si="343"/>
        <v/>
      </c>
      <c r="OK112" s="43" t="str">
        <f t="shared" si="344"/>
        <v/>
      </c>
      <c r="OL112" s="43" t="str">
        <f t="shared" si="345"/>
        <v/>
      </c>
      <c r="OM112" s="43" t="str">
        <f t="shared" si="346"/>
        <v/>
      </c>
      <c r="ON112" s="43" t="str">
        <f t="shared" si="347"/>
        <v/>
      </c>
      <c r="OO112" s="43" t="str">
        <f t="shared" si="348"/>
        <v/>
      </c>
      <c r="OP112" s="43" t="str">
        <f t="shared" si="349"/>
        <v/>
      </c>
      <c r="OQ112" s="43" t="str">
        <f t="shared" si="350"/>
        <v/>
      </c>
      <c r="OR112" s="43" t="str">
        <f t="shared" si="351"/>
        <v/>
      </c>
      <c r="OS112" s="43" t="str">
        <f t="shared" si="352"/>
        <v/>
      </c>
      <c r="OT112" s="43" t="str">
        <f t="shared" si="353"/>
        <v/>
      </c>
      <c r="OU112" s="43" t="str">
        <f t="shared" si="354"/>
        <v/>
      </c>
      <c r="OV112" s="110" t="str">
        <f t="shared" si="355"/>
        <v/>
      </c>
      <c r="OW112" s="43" t="str">
        <f t="shared" si="356"/>
        <v/>
      </c>
      <c r="OX112" s="43" t="str">
        <f t="shared" si="357"/>
        <v/>
      </c>
      <c r="OY112" s="43" t="str">
        <f t="shared" si="358"/>
        <v/>
      </c>
      <c r="OZ112" s="43" t="str">
        <f t="shared" si="359"/>
        <v/>
      </c>
      <c r="PA112" s="43" t="str">
        <f t="shared" si="360"/>
        <v/>
      </c>
      <c r="PB112" s="43" t="str">
        <f t="shared" si="361"/>
        <v/>
      </c>
      <c r="PC112" s="43" t="str">
        <f t="shared" si="362"/>
        <v/>
      </c>
      <c r="PD112" s="43" t="str">
        <f t="shared" si="363"/>
        <v/>
      </c>
      <c r="PE112" s="43" t="str">
        <f t="shared" si="364"/>
        <v/>
      </c>
      <c r="PF112" s="43" t="str">
        <f t="shared" si="365"/>
        <v/>
      </c>
      <c r="PG112" s="43" t="str">
        <f t="shared" si="366"/>
        <v/>
      </c>
      <c r="PH112" s="43" t="str">
        <f t="shared" si="367"/>
        <v/>
      </c>
      <c r="PI112" s="43">
        <f t="shared" si="368"/>
        <v>22</v>
      </c>
      <c r="PJ112" s="43" t="str">
        <f t="shared" si="369"/>
        <v/>
      </c>
      <c r="PK112" s="43" t="str">
        <f t="shared" si="370"/>
        <v/>
      </c>
      <c r="PL112" s="43" t="str">
        <f t="shared" si="371"/>
        <v/>
      </c>
      <c r="PM112" s="43" t="str">
        <f t="shared" si="372"/>
        <v/>
      </c>
      <c r="PN112" s="43" t="str">
        <f t="shared" si="373"/>
        <v/>
      </c>
      <c r="PO112" s="43" t="str">
        <f t="shared" si="374"/>
        <v/>
      </c>
      <c r="PP112" s="43" t="str">
        <f t="shared" si="375"/>
        <v/>
      </c>
      <c r="PQ112" s="43" t="str">
        <f t="shared" si="376"/>
        <v/>
      </c>
      <c r="PR112" s="43" t="str">
        <f t="shared" si="377"/>
        <v/>
      </c>
      <c r="PS112" s="43" t="str">
        <f t="shared" si="378"/>
        <v/>
      </c>
      <c r="PT112" s="43" t="str">
        <f t="shared" si="379"/>
        <v/>
      </c>
      <c r="PU112" s="43" t="str">
        <f t="shared" si="380"/>
        <v/>
      </c>
      <c r="PV112" s="43" t="str">
        <f t="shared" si="381"/>
        <v/>
      </c>
      <c r="PW112" s="43" t="str">
        <f t="shared" si="382"/>
        <v>NORMAL</v>
      </c>
      <c r="PX112" s="43" t="str">
        <f t="shared" si="383"/>
        <v/>
      </c>
      <c r="PY112" s="43" t="str">
        <f t="shared" si="384"/>
        <v/>
      </c>
      <c r="PZ112" s="43" t="str">
        <f t="shared" si="385"/>
        <v/>
      </c>
      <c r="QA112" s="43" t="str">
        <f t="shared" si="386"/>
        <v/>
      </c>
      <c r="QB112" s="43" t="str">
        <f t="shared" si="387"/>
        <v/>
      </c>
      <c r="QC112" s="43" t="str">
        <f t="shared" si="388"/>
        <v/>
      </c>
      <c r="QD112" s="43" t="str">
        <f t="shared" si="389"/>
        <v/>
      </c>
      <c r="QE112" s="43" t="str">
        <f t="shared" si="390"/>
        <v/>
      </c>
      <c r="QF112" s="43" t="str">
        <f t="shared" si="391"/>
        <v/>
      </c>
      <c r="QG112" s="43" t="str">
        <f t="shared" si="392"/>
        <v/>
      </c>
      <c r="QH112" s="43" t="str">
        <f t="shared" si="393"/>
        <v/>
      </c>
      <c r="QI112" s="43" t="str">
        <f t="shared" si="394"/>
        <v/>
      </c>
      <c r="QJ112" s="43" t="str">
        <f t="shared" si="395"/>
        <v/>
      </c>
      <c r="QK112" s="43" t="str">
        <f t="shared" si="396"/>
        <v/>
      </c>
      <c r="QL112" s="43" t="str">
        <f t="shared" si="397"/>
        <v/>
      </c>
      <c r="QM112" s="43" t="str">
        <f t="shared" si="398"/>
        <v/>
      </c>
      <c r="QN112" s="43" t="str">
        <f t="shared" si="399"/>
        <v/>
      </c>
      <c r="QO112" s="43" t="str">
        <f t="shared" si="400"/>
        <v/>
      </c>
      <c r="QP112" s="43" t="str">
        <f t="shared" si="401"/>
        <v/>
      </c>
      <c r="QQ112" s="43" t="str">
        <f t="shared" si="402"/>
        <v/>
      </c>
      <c r="QR112" s="43">
        <f t="shared" si="432"/>
        <v>22</v>
      </c>
      <c r="QS112" s="43"/>
      <c r="QT112" s="21" t="str">
        <f t="shared" si="403"/>
        <v/>
      </c>
      <c r="QU112" s="21" t="str">
        <f t="shared" si="404"/>
        <v/>
      </c>
      <c r="QV112" s="21" t="str">
        <f t="shared" si="405"/>
        <v/>
      </c>
      <c r="QW112" s="21" t="str">
        <f t="shared" si="406"/>
        <v/>
      </c>
      <c r="QX112" s="21" t="str">
        <f t="shared" si="407"/>
        <v/>
      </c>
      <c r="QY112" s="21" t="str">
        <f t="shared" si="408"/>
        <v/>
      </c>
      <c r="QZ112" s="21" t="str">
        <f t="shared" si="409"/>
        <v/>
      </c>
      <c r="RA112" s="21" t="str">
        <f t="shared" si="410"/>
        <v/>
      </c>
      <c r="RB112" s="21" t="str">
        <f t="shared" si="411"/>
        <v/>
      </c>
      <c r="RC112" s="21" t="str">
        <f t="shared" si="412"/>
        <v>ALTO PARA EDAD GESTACIONAL</v>
      </c>
      <c r="RD112" s="21" t="str">
        <f t="shared" si="413"/>
        <v/>
      </c>
      <c r="RE112" s="21" t="str">
        <f t="shared" si="414"/>
        <v/>
      </c>
      <c r="RF112" s="21" t="str">
        <f t="shared" si="415"/>
        <v/>
      </c>
      <c r="RG112" s="21" t="str">
        <f t="shared" si="416"/>
        <v/>
      </c>
      <c r="RH112" s="21" t="str">
        <f t="shared" si="417"/>
        <v/>
      </c>
      <c r="RI112" s="21" t="str">
        <f t="shared" si="418"/>
        <v/>
      </c>
      <c r="RJ112" s="21" t="str">
        <f t="shared" si="419"/>
        <v/>
      </c>
      <c r="RK112" s="21" t="str">
        <f t="shared" si="420"/>
        <v/>
      </c>
      <c r="RL112" s="21" t="str">
        <f t="shared" si="421"/>
        <v/>
      </c>
      <c r="RM112" s="21" t="str">
        <f t="shared" si="422"/>
        <v/>
      </c>
      <c r="RN112" s="21" t="str">
        <f t="shared" si="423"/>
        <v/>
      </c>
      <c r="RO112" s="21" t="str">
        <f t="shared" si="424"/>
        <v/>
      </c>
      <c r="RP112" s="21" t="str">
        <f t="shared" si="425"/>
        <v/>
      </c>
      <c r="RQ112" s="21" t="str">
        <f t="shared" si="426"/>
        <v/>
      </c>
      <c r="RR112" s="21" t="str">
        <f t="shared" si="427"/>
        <v/>
      </c>
      <c r="RS112" s="21" t="str">
        <f t="shared" si="428"/>
        <v/>
      </c>
      <c r="RT112" s="21" t="str">
        <f t="shared" si="429"/>
        <v/>
      </c>
      <c r="RU112" s="21" t="str">
        <f t="shared" si="430"/>
        <v/>
      </c>
      <c r="RV112" s="21">
        <f t="shared" si="431"/>
        <v>11.571428571428571</v>
      </c>
      <c r="RW112" s="284">
        <f>IF(OR(Tabla1[[#This Row],[FUM FORMULA CONFIABLE]]="",Tabla1[[#This Row],[FUM FORMULA CONFIABLE]]="SD"),"",IF(Tabla1[[#This Row],[FUM FORMULA CONFIABLE]]="CORREGIDA",Tabla1[[#This Row],[FUM X ECO 1]],Tabla1[[#This Row],[FUM x AMENORREA]]))</f>
        <v>44898</v>
      </c>
      <c r="RX112" s="21">
        <f>IF(AND(Tabla1[[#This Row],[FUM X ECO 1]]="",Tabla1[[#This Row],[FUM x AMENORREA]]=""),"",IF(AND(Tabla1[[#This Row],[FUM X ECO 1]]="",Tabla1[[#This Row],[FUM x AMENORREA]]&lt;&gt;""),"X",SUM(Tabla1[[#This Row],[FUM X ECO 1]]-Tabla1[[#This Row],[FUM x AMENORREA]])))</f>
        <v>-30.69999999999709</v>
      </c>
      <c r="RY112" s="21">
        <f t="shared" si="433"/>
        <v>1</v>
      </c>
    </row>
    <row r="113" spans="1:493" ht="45" customHeight="1" x14ac:dyDescent="0.25">
      <c r="A113" s="109"/>
      <c r="B113" s="43"/>
      <c r="C113" s="43" t="s">
        <v>845</v>
      </c>
      <c r="D113" s="124"/>
      <c r="E113" s="43" t="s">
        <v>1336</v>
      </c>
      <c r="F113" s="43" t="s">
        <v>1336</v>
      </c>
      <c r="G113" s="43" t="s">
        <v>938</v>
      </c>
      <c r="H113" s="43" t="s">
        <v>1337</v>
      </c>
      <c r="I113" s="109" t="s">
        <v>851</v>
      </c>
      <c r="J113" s="110">
        <v>1062326726</v>
      </c>
      <c r="K113" s="43" t="s">
        <v>852</v>
      </c>
      <c r="L113" s="175" t="s">
        <v>853</v>
      </c>
      <c r="M113" s="22">
        <v>35427</v>
      </c>
      <c r="N113" s="213">
        <f t="shared" ca="1" si="252"/>
        <v>26.865753424657534</v>
      </c>
      <c r="O113" s="22">
        <v>44980</v>
      </c>
      <c r="P113" s="214" t="str">
        <f t="shared" si="437"/>
        <v>SI</v>
      </c>
      <c r="Q113" s="26" t="s">
        <v>855</v>
      </c>
      <c r="R113" s="22">
        <v>44980</v>
      </c>
      <c r="S113" s="21" t="s">
        <v>856</v>
      </c>
      <c r="T113" s="24" t="s">
        <v>690</v>
      </c>
      <c r="U113" s="21" t="s">
        <v>857</v>
      </c>
      <c r="V113" s="21" t="s">
        <v>858</v>
      </c>
      <c r="W113" s="21" t="s">
        <v>1431</v>
      </c>
      <c r="X113" s="21"/>
      <c r="Y113" s="21"/>
      <c r="Z113" s="21" t="s">
        <v>894</v>
      </c>
      <c r="AA113" s="21" t="s">
        <v>860</v>
      </c>
      <c r="AB113" s="27" t="s">
        <v>861</v>
      </c>
      <c r="AC113" s="26" t="s">
        <v>897</v>
      </c>
      <c r="AD113" s="38" t="s">
        <v>846</v>
      </c>
      <c r="AE113" s="26" t="s">
        <v>854</v>
      </c>
      <c r="AF113" s="26" t="s">
        <v>854</v>
      </c>
      <c r="AG113" s="23" t="s">
        <v>864</v>
      </c>
      <c r="AH113" s="23" t="s">
        <v>864</v>
      </c>
      <c r="AI113" s="24" t="s">
        <v>863</v>
      </c>
      <c r="AJ113" s="23" t="s">
        <v>864</v>
      </c>
      <c r="AK113" s="220" t="str">
        <f>IF(AND(AD113="",AE113="",AF113="",AG113="",AH113="",AI113="",AJ113=""),"",IF(OR(Tabla1[[#This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EVALUACIÓN",IF(AND(O113="",R113=""),"",IF(AND(OR(O113&gt;0,R113&gt;0),NG113&gt;=0,NG113&lt;2),"SIN RIESGO",IF(AND(OR(O113&gt;0,R113&gt;0),NG113&gt;=2),"CON RIESGO","ASD")))))</f>
        <v>SIN RIESGO</v>
      </c>
      <c r="AL113" s="23" t="s">
        <v>864</v>
      </c>
      <c r="AM113" s="26" t="s">
        <v>864</v>
      </c>
      <c r="AN113" s="26" t="s">
        <v>864</v>
      </c>
      <c r="AO113" s="26" t="s">
        <v>864</v>
      </c>
      <c r="AP113" s="26" t="s">
        <v>864</v>
      </c>
      <c r="AQ113" s="26" t="s">
        <v>864</v>
      </c>
      <c r="AR113" s="26" t="s">
        <v>864</v>
      </c>
      <c r="AS113" s="21">
        <v>1</v>
      </c>
      <c r="AT113" s="21">
        <v>1</v>
      </c>
      <c r="AU113" s="21">
        <v>0</v>
      </c>
      <c r="AV113" s="26" t="s">
        <v>864</v>
      </c>
      <c r="AW113" s="21">
        <v>0</v>
      </c>
      <c r="AX113" s="26" t="s">
        <v>864</v>
      </c>
      <c r="AY113" s="26" t="s">
        <v>864</v>
      </c>
      <c r="AZ113" s="26" t="s">
        <v>864</v>
      </c>
      <c r="BA113" s="26" t="s">
        <v>864</v>
      </c>
      <c r="BB113" s="26" t="s">
        <v>864</v>
      </c>
      <c r="BC113" s="26" t="s">
        <v>864</v>
      </c>
      <c r="BD113" s="26" t="s">
        <v>864</v>
      </c>
      <c r="BE113" s="26" t="s">
        <v>864</v>
      </c>
      <c r="BF113" s="26" t="s">
        <v>864</v>
      </c>
      <c r="BG113" s="26" t="s">
        <v>864</v>
      </c>
      <c r="BH113" s="26" t="s">
        <v>864</v>
      </c>
      <c r="BI113" s="26" t="s">
        <v>864</v>
      </c>
      <c r="BJ113" s="26" t="s">
        <v>864</v>
      </c>
      <c r="BK113" s="26" t="s">
        <v>864</v>
      </c>
      <c r="BL113" s="26" t="s">
        <v>864</v>
      </c>
      <c r="BM113" s="26" t="s">
        <v>864</v>
      </c>
      <c r="BN113" s="22"/>
      <c r="BO113" s="22">
        <v>44863</v>
      </c>
      <c r="BP113" s="21" t="s">
        <v>854</v>
      </c>
      <c r="BQ113" s="222">
        <f t="shared" si="254"/>
        <v>0</v>
      </c>
      <c r="BR113" s="223">
        <f t="shared" si="255"/>
        <v>44864.800000000003</v>
      </c>
      <c r="BS113" s="224">
        <f t="shared" si="256"/>
        <v>16.714285714285715</v>
      </c>
      <c r="BT113" s="216" t="str">
        <f t="shared" si="257"/>
        <v>II TRIM</v>
      </c>
      <c r="BU113" s="214" t="str">
        <f t="shared" ca="1" si="258"/>
        <v/>
      </c>
      <c r="BV113" s="25"/>
      <c r="BW113" s="22">
        <v>45002</v>
      </c>
      <c r="BX113" s="28">
        <v>19.600000000000001</v>
      </c>
      <c r="BY113" s="28"/>
      <c r="BZ113" s="22"/>
      <c r="CA113" s="21"/>
      <c r="CB113" s="26" t="s">
        <v>864</v>
      </c>
      <c r="CC113" s="26" t="s">
        <v>864</v>
      </c>
      <c r="CD113" s="26"/>
      <c r="CE113" s="26" t="s">
        <v>864</v>
      </c>
      <c r="CF113" s="22" t="s">
        <v>1517</v>
      </c>
      <c r="CG113" s="21">
        <v>1.44</v>
      </c>
      <c r="CH113" s="21">
        <v>51</v>
      </c>
      <c r="CI113" s="214">
        <f t="shared" si="259"/>
        <v>24.594907407407408</v>
      </c>
      <c r="CJ113" s="225" t="e">
        <f>IF(AND(CI113&lt;10,CH113="SD"),"SIN DATO PESO PREGESTACION O I TRIM",IF(AND(OR(R113&gt;0,O113&gt;0),CI113="X"),"INGRESAR DATO DE PESO",IF(CI113="SD","INGRESAR DATO DE TALLA Y PESO",IF(AND(OR(Tabla1[[#This Row],[MOMENTO EN QUE SE REALIZA EL PESO AL INGRESO A CPN]]="PREGESTACIÓN",NZ113="Menor"),CI113&lt;18.5),"BAJO PESO",IF(AND(OR(Tabla1[[#This Row],[MOMENTO EN QUE SE REALIZA EL PESO AL INGRESO A CPN]]="PREGESTACIÓN",NZ113="Menor"),CI113&lt;25),"NORMAL",IF(AND(OR(Tabla1[[#This Row],[MOMENTO EN QUE SE REALIZA EL PESO AL INGRESO A CPN]]="PREGESTACIÓN",NZ113="Menor"),CI113&lt;30),"SOBREPESO",IF(AND(OR(Tabla1[[#This Row],[MOMENTO EN QUE SE REALIZA EL PESO AL INGRESO A CPN]]="PREGESTACIÓN",NZ113="Menor"),CI113&gt;=30,CI113&lt;50),"OBESIDAD",IF(AND(BS113&gt;0,Tabla1[[#This Row],[MOMENTO EN QUE SE REALIZA EL PESO AL INGRESO A CPN]]="GESTACIÓN"),HLOOKUP(NZ113,$OA$2:PH113,NY113),""))))))))</f>
        <v>#REF!</v>
      </c>
      <c r="CK113" s="212">
        <f t="shared" si="260"/>
        <v>45112</v>
      </c>
      <c r="CL113" s="21">
        <v>56.8</v>
      </c>
      <c r="CM113" s="214">
        <f t="shared" si="261"/>
        <v>27.391975308641975</v>
      </c>
      <c r="CN113" s="216">
        <f t="shared" si="262"/>
        <v>35</v>
      </c>
      <c r="CO113" s="216" t="e">
        <f>IF(PI113="","",IF(PI113&gt;0,HLOOKUP(PI113,$PJ$2:QQ113,NY113),""))</f>
        <v>#REF!</v>
      </c>
      <c r="CP113" s="21">
        <v>30</v>
      </c>
      <c r="CQ113" s="216" t="e">
        <f>IF(QR113="Menor","NO APLICA-MENOR 13 SEM",IF(AND(CC113="SI",CN113&gt;23),"NO APLICA- GEMELAR",IF(QR113="","",IF(QR113&gt;0,HLOOKUP(QR113,$QS$2:RU113,NY113),""))))</f>
        <v>#REF!</v>
      </c>
      <c r="CR113" s="21"/>
      <c r="CS113" s="21"/>
      <c r="CT113" s="217" t="str">
        <f>IF(R113="","",IF(AND(BS113&gt;1,BS113&lt;12,Tabla1[[#This Row],[T.A. SISTOLICA - ANTES DE SEMANA 12]]="",Tabla1[[#This Row],[T.A. DIASTOLICA - ANTES DE SEMANA 12]]=""),"REGISTRE DATO TA ANTES SEMANA 12",IF(AND(BS113&gt;11,BS113&lt;43,Tabla1[[#This Row],[T.A. SISTOLICA - ANTES DE SEMANA 12]]="",Tabla1[[#This Row],[T.A. DIASTOLICA - ANTES DE SEMANA 12]]=""),"NO APLICA REGISTRO TA-INGRESO TARDIO",IF(AND(OR(O113&gt;0,R113&gt;0),OR(CR113&gt;=140,CS113&gt;=90)),"DEFINIR ESTADIO HTA",IF(AND(OR(O113&gt;0,R113&gt;0),AND(CR113&gt;120,CR113&lt;=139)),"PRE HTA SEGUIMIENTO",IF(AND(OR(O113&gt;0,R113&gt;0),AND(CS113&gt;80,CS113&lt;=89)),"PRE HTA SEGUIMIENTO",IF(AND(OR(O113&gt;0,R113&gt;0),AND(CR113&gt;=80,CR113&lt;=120)),"APARENTEMENTE NORMAL",IF(AND(OR(O113&gt;0,R113&gt;0),AND(CS113&gt;=50,CS113&lt;=80)),"APARENTEMENTE NORMAL",IF(AND(OR(O113&gt;0,R113&gt;0),AND(CR113&gt;1,CR113&lt;=70),AND(CS113&gt;1,CS113&lt;=40)),"HIPOTENSIÓN","")))))))))</f>
        <v>NO APLICA REGISTRO TA-INGRESO TARDIO</v>
      </c>
      <c r="CU113" s="21">
        <v>100</v>
      </c>
      <c r="CV113" s="21">
        <v>60</v>
      </c>
      <c r="CW113" s="217" t="str">
        <f ca="1">IF(R113="","",IF(AND(CN113&gt;19,CN113&lt;27,Tabla1[[#This Row],[T.A. SISTOLICA (Entre semana 20 y 26)]]="",Tabla1[[#This Row],[T.A. DIATOLICA (Entre semana 20 y 26)]]=""),"ACUDE A CONTROL SEM 20 A 26 REGISTRE TA AHORA",IF(AND(BS113&gt;1,BS113&lt;27,BU113&gt;19,Tabla1[[#This Row],[T.A. SISTOLICA (Entre semana 20 y 26)]]="",Tabla1[[#This Row],[T.A. DIATOLICA (Entre semana 20 y 26)]]=""),"COMPLETE REGISTRO TA CONTROL SEM 20 A26 ",IF(AND(BS113&gt;26,BS113&lt;43,Tabla1[[#This Row],[T.A. SISTOLICA (Entre semana 20 y 26)]]="",Tabla1[[#This Row],[T.A. DIATOLICA (Entre semana 20 y 26)]]=""),"NO APLICA REGISTRO TA-INGRESO TARDIO",IF(AND(OR(O113&gt;0,R113&gt;0),OR(CU113&gt;=140,CV113&gt;=90)),"ALTO RIESGO PREECLAMPSIA,DEFINIR ESTADIO HTA",IF(AND(OR(O113&gt;0,R113&gt;0),AND(CU113&gt;120,CU113&lt;=139)),"PRE HTA SEGUIMIENTO,RIESGO HIPERTENSION INDUCIDA POR EL EMBARAZO",IF(AND(OR(O113&gt;0,R113&gt;0),AND(CV113&gt;80,CV113&lt;=89)),"PRE HTA SEGUIMIENTO, RIESGO HIPERTENSION INDUCIDA POR EL EMBARAZO",IF(AND(OR(O113&lt;&gt;"",R113&lt;&gt;""),CS113&lt;&gt;"",CV113&lt;&gt;"",CS113&lt;=CV113),"VIGILAR CIFRAS PRESION ARTERIAL",IF(AND(OR(O113&gt;0,R113&gt;0),AND(CU113&gt;120,CU113&lt;=139)),"PRE HTA SEGUIMIENTO",IF(AND(OR(O113&gt;0,R113&gt;0),AND(CU113&gt;1,CU113&lt;=70),AND(CV113&gt;1,CV113&lt;=40)),"HIPOTENSIÓN",IF(AND(OR(O113&lt;&gt;"",R113&lt;&gt;""),CS113&lt;&gt;"",CV113&lt;&gt;"",CS113&gt;CV113),"APARENTEMENTE NORMAL",IF(AND(OR(O113&gt;0,R113&gt;0),AND(CU113&gt;=80,CU113&lt;=120)),"APARENTEMENTE NORMAL",IF(AND(OR(O113&gt;0,R113&gt;0),AND(CV113&gt;=50,CV113&lt;=80)),"APARENTEMENTE NORMAL","")))))))))))))</f>
        <v>APARENTEMENTE NORMAL</v>
      </c>
      <c r="CX113" s="21"/>
      <c r="CY113" s="21"/>
      <c r="CZ113" s="216" t="str">
        <f t="shared" si="456"/>
        <v/>
      </c>
      <c r="DA113" s="21">
        <v>90</v>
      </c>
      <c r="DB113" s="21">
        <v>70</v>
      </c>
      <c r="DC113" s="217" t="str">
        <f t="shared" si="264"/>
        <v>VIGILAR CIFRAS PRESION ARTERIAL</v>
      </c>
      <c r="DD113" s="22">
        <v>44980</v>
      </c>
      <c r="DE113" s="22">
        <v>44980</v>
      </c>
      <c r="DF113" s="22">
        <v>45043</v>
      </c>
      <c r="DG113" s="22">
        <v>45077</v>
      </c>
      <c r="DH113" s="22">
        <v>45112</v>
      </c>
      <c r="DI113" s="22"/>
      <c r="DJ113" s="22"/>
      <c r="DK113" s="22"/>
      <c r="DL113" s="22"/>
      <c r="DM113" s="22"/>
      <c r="DN113" s="22"/>
      <c r="DO113" s="22"/>
      <c r="DP113" s="22"/>
      <c r="DQ113" s="22"/>
      <c r="DR113" s="28">
        <v>1</v>
      </c>
      <c r="DS113" s="22"/>
      <c r="DT113" s="22"/>
      <c r="DU113" s="216" t="str">
        <f t="shared" ca="1" si="438"/>
        <v>SALE SIN PLAN DE PARTO</v>
      </c>
      <c r="DV113" s="226" t="str">
        <f t="shared" si="439"/>
        <v>SALIO PROGRAMA</v>
      </c>
      <c r="DW11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3" s="216" t="str">
        <f t="shared" ca="1" si="266"/>
        <v/>
      </c>
      <c r="DY113" s="212">
        <f>IF(R113="","",IF(R113&gt;0,MAX(Tabla1[[#This Row],[FECHA C2]:[FECHA C13]],Tabla1[[#This Row],[FECHA CONSULTA PRIMERA VEZ PROGRAMA CPN ]])))</f>
        <v>45112</v>
      </c>
      <c r="DZ113" s="216">
        <f t="shared" si="267"/>
        <v>35</v>
      </c>
      <c r="EA113" s="222">
        <f>IF(R113&gt;0,SUM(COUNTA(DF113:DQ113)+COUNTA(Tabla1[[#This Row],[FECHA CONSULTA PRIMERA VEZ PROGRAMA CPN ]])),"")</f>
        <v>4</v>
      </c>
      <c r="EB113" s="222" t="str">
        <f t="shared" si="268"/>
        <v>SI</v>
      </c>
      <c r="EC113" s="214">
        <f t="shared" si="269"/>
        <v>7</v>
      </c>
      <c r="ED113" s="227">
        <f t="shared" si="270"/>
        <v>0.5714285714285714</v>
      </c>
      <c r="EE113" s="22">
        <v>44980</v>
      </c>
      <c r="EF113" s="22">
        <v>44980</v>
      </c>
      <c r="EG113" s="22">
        <v>44980</v>
      </c>
      <c r="EH113" s="22">
        <v>45002</v>
      </c>
      <c r="EI113" s="22">
        <v>44980</v>
      </c>
      <c r="EJ113" s="22">
        <v>45002</v>
      </c>
      <c r="EK113" s="22">
        <v>45002</v>
      </c>
      <c r="EL113" s="21">
        <v>1</v>
      </c>
      <c r="EM113" s="21">
        <v>11.2</v>
      </c>
      <c r="EN113" s="22">
        <v>44989</v>
      </c>
      <c r="EO113" s="222">
        <f t="shared" si="271"/>
        <v>18</v>
      </c>
      <c r="EP113" s="214" t="str">
        <f t="shared" si="272"/>
        <v>NORMAL- SUMINISTRAR SULFATO FERROSO</v>
      </c>
      <c r="EQ113" s="216" t="str">
        <f t="shared" si="273"/>
        <v>II TRIM</v>
      </c>
      <c r="ER113" s="24"/>
      <c r="ES113" s="22"/>
      <c r="ET113" s="29" t="str">
        <f t="shared" ca="1" si="440"/>
        <v>SALE SIN TAMIZAJE HEMOGLOBINA SEM 28</v>
      </c>
      <c r="EU113" s="25" t="str">
        <f t="shared" si="275"/>
        <v/>
      </c>
      <c r="EV113" s="24" t="s">
        <v>866</v>
      </c>
      <c r="EW113" s="24">
        <v>44989</v>
      </c>
      <c r="EX113" s="22"/>
      <c r="EY113" s="29">
        <f t="shared" si="453"/>
        <v>18</v>
      </c>
      <c r="EZ113" s="25" t="str">
        <f t="shared" ca="1" si="454"/>
        <v/>
      </c>
      <c r="FA113" s="21">
        <v>68</v>
      </c>
      <c r="FB113" s="22">
        <v>44989</v>
      </c>
      <c r="FC113" s="29">
        <f t="shared" si="276"/>
        <v>18</v>
      </c>
      <c r="FD113" s="29">
        <v>60</v>
      </c>
      <c r="FE113" s="29">
        <v>90</v>
      </c>
      <c r="FF113" s="29">
        <v>107</v>
      </c>
      <c r="FG113" s="21" t="str">
        <f t="shared" ca="1" si="277"/>
        <v>NORMAL</v>
      </c>
      <c r="FH113" s="31">
        <v>45078</v>
      </c>
      <c r="FI113" s="29">
        <f t="shared" si="278"/>
        <v>30.714285714285715</v>
      </c>
      <c r="FJ113" s="22"/>
      <c r="FK113" s="22"/>
      <c r="FL113" s="29" t="str">
        <f t="shared" ca="1" si="279"/>
        <v>NO APLICA-INGRESO TARDIO</v>
      </c>
      <c r="FM113" s="22" t="s">
        <v>867</v>
      </c>
      <c r="FN113" s="32">
        <v>44989</v>
      </c>
      <c r="FO113" s="29">
        <f t="shared" ca="1" si="441"/>
        <v>18</v>
      </c>
      <c r="FP113" s="22"/>
      <c r="FQ113" s="32"/>
      <c r="FR113" s="29" t="str">
        <f t="shared" ca="1" si="442"/>
        <v>PIERDE TOMA DE TAMIZAJE</v>
      </c>
      <c r="FS113" s="22"/>
      <c r="FT113" s="32"/>
      <c r="FU113" s="29" t="str">
        <f>IF(AND(FJ113="",FM113="",FP113="",FS113=""),"",IF(OR(OR(Tabla1[[#This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3" s="28"/>
      <c r="FW113" s="22"/>
      <c r="FX113" s="29" t="str">
        <f t="shared" si="280"/>
        <v>TOMAR EXAMEN</v>
      </c>
      <c r="FY113" s="22"/>
      <c r="FZ113" s="22"/>
      <c r="GA113" s="29" t="str">
        <f t="shared" ca="1" si="452"/>
        <v>NO APLICA-INGRESO TARDIO</v>
      </c>
      <c r="GB113" s="22" t="s">
        <v>868</v>
      </c>
      <c r="GC113" s="22">
        <v>44989</v>
      </c>
      <c r="GD113" s="29">
        <f t="shared" ca="1" si="490"/>
        <v>18</v>
      </c>
      <c r="GE113" s="22" t="s">
        <v>868</v>
      </c>
      <c r="GF113" s="22">
        <v>45078</v>
      </c>
      <c r="GG113" s="29">
        <f t="shared" ca="1" si="444"/>
        <v>30.714285714285715</v>
      </c>
      <c r="GH113" s="22"/>
      <c r="GI113" s="29"/>
      <c r="GJ113" s="22"/>
      <c r="GK113" s="22"/>
      <c r="GL113" s="22"/>
      <c r="GM113" s="22"/>
      <c r="GN113" s="28" t="s">
        <v>869</v>
      </c>
      <c r="GO113" s="22">
        <v>44989</v>
      </c>
      <c r="GP113" s="29">
        <f t="shared" si="283"/>
        <v>18</v>
      </c>
      <c r="GQ113" s="28" t="s">
        <v>846</v>
      </c>
      <c r="GR113" s="28" t="s">
        <v>869</v>
      </c>
      <c r="GS113" s="22" t="str">
        <f t="shared" si="457"/>
        <v/>
      </c>
      <c r="GT113" s="22">
        <v>44989</v>
      </c>
      <c r="GU113" s="29">
        <f t="shared" si="285"/>
        <v>18</v>
      </c>
      <c r="GV113" s="21" t="str">
        <f t="shared" si="286"/>
        <v>II TRIM</v>
      </c>
      <c r="GW113" s="28"/>
      <c r="GX113" s="30"/>
      <c r="GY113" s="21"/>
      <c r="GZ113" s="21"/>
      <c r="HA113" s="21"/>
      <c r="HB113" s="21"/>
      <c r="HC113" s="21"/>
      <c r="HD113" s="21"/>
      <c r="HE113" s="21"/>
      <c r="HF113" s="22"/>
      <c r="HG113" s="22" t="str">
        <f>IF(OR(O113&gt;0,R113&gt;0),CONCATENATE(IF(Tabla1[[#This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3" s="22" t="e">
        <f t="shared" si="287"/>
        <v>#REF!</v>
      </c>
      <c r="HI113" s="22" t="e">
        <f t="shared" ca="1" si="288"/>
        <v>#REF!</v>
      </c>
      <c r="HJ113" s="21"/>
      <c r="HK113" s="21" t="str">
        <f t="shared" si="289"/>
        <v>SIN ANTECEDENTES DE RIESGO</v>
      </c>
      <c r="HL113" s="24" t="str">
        <f t="shared" si="290"/>
        <v>VIGILAR CIFRAS PRESION ARTERIAL</v>
      </c>
      <c r="HM113" s="21" t="str">
        <f t="shared" ca="1" si="291"/>
        <v/>
      </c>
      <c r="HN113" s="30" t="str">
        <f t="shared" si="445"/>
        <v>SALIO PROGRAMA</v>
      </c>
      <c r="HO113" s="21"/>
      <c r="HP113" s="21"/>
      <c r="HQ113" s="21">
        <v>45008</v>
      </c>
      <c r="HR113" s="21" t="str">
        <f>IF(R113="","",IF(Tabla1[[#This Row],[ALARMA FACTORES DE RIESGO COMPLICACIONES HIPERTENSIVAS3]]="SIN ANTECEDENTES DE RIESGO","No Aplica para suministro de ASA",IF(AND(Tabla1[[#This Row],[FECHA INICIO DE SUMINISTRO DE ASA]]&gt;0,RV113&lt;12),"Inicia ASA ANTES de Sem 12",IF(AND(RV113&gt;11,RV113&lt;17,OR(HK113="RIESGO ALTO DE COMPLICACIONES HIPERTENSIVAS VER MANEJO GUIA SUMINISTRO ASA Y CALCIO",HK113="RIESGO MODERADO (2 O MAS CRITERIOS) VER MANEJO GUIA SUMINISTRO ASA Y CALCIO")),"Inicio oportuno de ASA",IF(AND(RV113&gt;12,OR(HK113="RIESGO ALTO DE COMPLICACIONES HIPERTENSIVAS VER MANEJO GUIA SUMINISTRO ASA Y CALCIO",HK113="RIESGO MODERADO (2 O MAS CRITERIOS) VER MANEJO GUIA SUMINISTRO ASA Y CALCIO")),"Inicio no oportuno mayor a 16 semanas",IF(AND(BU113&lt;12,OR(HK113="RIESGO ALTO DE COMPLICACIONES HIPERTENSIVAS VER MANEJO GUIA SUMINISTRO ASA Y CALCIO",HK113="RIESGO MODERADO (2 O MAS CRITERIOS) VER MANEJO GUIA SUMINISTRO ASA Y CALCIO")),"Pendiente Inicio de ASA a la semana 12",IF(AND(BU113&gt;11,BU113&lt;17,OR(HK113="RIESGO ALTO DE COMPLICACIONES HIPERTENSIVAS VER MANEJO GUIA SUMINISTRO ASA Y CALCIO",HK113="RIESGO MODERADO (2 O MAS CRITERIOS) VER MANEJO GUIA SUMINISTRO ASA Y CALCIO")),"Iniciar de inmediato ASA",IF(AND(BU113&gt;16,OR(HK113="RIESGO ALTO DE COMPLICACIONES HIPERTENSIVAS VER MANEJO GUIA SUMINISTRO ASA Y CALCIO",HK113="RIESGO MODERADO (2 O MAS CRITERIOS) VER MANEJO GUIA SUMINISTRO ASA Y CALCIO")),"Pierde Oportunidad, Inicio tardío de ASA","XXXXX"))))))))</f>
        <v>No Aplica para suministro de ASA</v>
      </c>
      <c r="HS113" s="22">
        <v>45008</v>
      </c>
      <c r="HT113" s="22" t="s">
        <v>870</v>
      </c>
      <c r="HU113" s="22"/>
      <c r="HV113" s="22"/>
      <c r="HW113" s="22">
        <v>44980</v>
      </c>
      <c r="HX113" s="22" t="s">
        <v>870</v>
      </c>
      <c r="HY113" s="22">
        <v>44980</v>
      </c>
      <c r="HZ113" s="28">
        <f t="shared" si="292"/>
        <v>16.714285714285715</v>
      </c>
      <c r="IA113" s="26"/>
      <c r="IB113" s="26"/>
      <c r="IC113" s="111"/>
      <c r="ID113" s="22"/>
      <c r="IE113" s="22" t="str">
        <f t="shared" ca="1" si="293"/>
        <v>SALE SIN VACUNA</v>
      </c>
      <c r="IF113" s="22"/>
      <c r="IG113" s="22">
        <f t="shared" si="294"/>
        <v>45143</v>
      </c>
      <c r="IH113" s="29">
        <f t="shared" ca="1" si="295"/>
        <v>-90</v>
      </c>
      <c r="II113" s="22" t="str">
        <f t="shared" ca="1" si="296"/>
        <v>POSIBLEMENTE NACIO</v>
      </c>
      <c r="IJ113" s="22"/>
      <c r="IK113" s="21" t="s">
        <v>898</v>
      </c>
      <c r="IL113" s="21"/>
      <c r="IM113" s="34"/>
      <c r="IN113" s="349">
        <v>45134</v>
      </c>
      <c r="IO113" s="21" t="s">
        <v>1186</v>
      </c>
      <c r="IP113" s="29">
        <f t="shared" si="489"/>
        <v>38.714285714285715</v>
      </c>
      <c r="IQ113" s="110" t="s">
        <v>1644</v>
      </c>
      <c r="IR113" s="21" t="s">
        <v>1645</v>
      </c>
      <c r="IS113" s="21" t="s">
        <v>1646</v>
      </c>
      <c r="IT113" s="21" t="s">
        <v>1642</v>
      </c>
      <c r="IU113" s="21"/>
      <c r="IV113" s="21"/>
      <c r="IW113" s="21"/>
      <c r="IX113" s="21"/>
      <c r="IY113" s="21"/>
      <c r="IZ113" s="21"/>
      <c r="JA113" s="21"/>
      <c r="JB113" s="30">
        <v>1</v>
      </c>
      <c r="JC113" s="21" t="s">
        <v>1647</v>
      </c>
      <c r="JD113" s="36">
        <v>3090</v>
      </c>
      <c r="JE113" s="21" t="str">
        <f t="shared" si="491"/>
        <v>PESO ADECUADO EDAD GESTACIONAL</v>
      </c>
      <c r="JF113" s="30"/>
      <c r="JG113" s="21"/>
      <c r="JH113" s="21"/>
      <c r="JI113" s="21" t="s">
        <v>854</v>
      </c>
      <c r="JJ113" s="30" t="s">
        <v>866</v>
      </c>
      <c r="JK113" s="21"/>
      <c r="JL113" s="21"/>
      <c r="JM113" s="21"/>
      <c r="JN113" s="36"/>
      <c r="JO113" s="21" t="str">
        <f t="shared" si="492"/>
        <v/>
      </c>
      <c r="JP113" s="22"/>
      <c r="JQ113" s="21"/>
      <c r="JR113" s="21"/>
      <c r="JS113" s="21"/>
      <c r="JT113" s="30"/>
      <c r="JU113" s="22"/>
      <c r="JV113" s="22"/>
      <c r="JW113" s="33"/>
      <c r="JX113" s="28" t="str">
        <f t="shared" si="493"/>
        <v>INASISTENTE</v>
      </c>
      <c r="JY113" s="33"/>
      <c r="JZ113" s="28" t="str">
        <f t="shared" si="494"/>
        <v>INASISTENTE</v>
      </c>
      <c r="KA113" s="21"/>
      <c r="KB113" s="21"/>
      <c r="KC113" s="21"/>
      <c r="KD113" s="37"/>
      <c r="KE113" s="28"/>
      <c r="KF113" s="28"/>
      <c r="KG113" s="28"/>
      <c r="KH113" s="39"/>
      <c r="KI113" s="39"/>
      <c r="KJ113" s="66"/>
      <c r="KK113" s="39"/>
      <c r="KL113" s="39"/>
      <c r="KM113" s="66"/>
      <c r="KN113" s="39"/>
      <c r="KO113" s="39"/>
      <c r="KP113" s="39"/>
      <c r="KQ113" s="39"/>
      <c r="KR113" s="39"/>
      <c r="KS113" s="39"/>
      <c r="KT113" s="39"/>
      <c r="KU113" s="38"/>
      <c r="KV113" s="38"/>
      <c r="KW113" s="38"/>
      <c r="KX113" s="38"/>
      <c r="KY113" s="38"/>
      <c r="KZ113" s="38"/>
      <c r="LA113" s="38"/>
      <c r="LB113" s="38"/>
      <c r="LC113" s="38"/>
      <c r="LD113" s="38"/>
      <c r="LE113" s="38"/>
      <c r="LF113" s="38"/>
      <c r="LG113" s="38"/>
      <c r="LH113" s="38"/>
      <c r="LI113" s="38"/>
      <c r="LJ113" s="38"/>
      <c r="LK113" s="38"/>
      <c r="LL113" s="38"/>
      <c r="LM113" s="38"/>
      <c r="LN113" s="38"/>
      <c r="LO113" s="38"/>
      <c r="LP113" s="38"/>
      <c r="LQ113" s="38"/>
      <c r="LR113" s="38"/>
      <c r="LS113" s="38"/>
      <c r="LT113" s="38"/>
      <c r="LU113" s="38"/>
      <c r="LV113" s="38"/>
      <c r="LW113" s="38"/>
      <c r="LX113" s="38"/>
      <c r="LY113" s="38"/>
      <c r="LZ113" s="38"/>
      <c r="MA113" s="38"/>
      <c r="MB113" s="38"/>
      <c r="MC113" s="38"/>
      <c r="MD113" s="38"/>
      <c r="ME113" s="38"/>
      <c r="MF113" s="38"/>
      <c r="MG113" s="38"/>
      <c r="MH113" s="43">
        <f t="shared" si="458"/>
        <v>0</v>
      </c>
      <c r="MI113" s="43" t="str">
        <f t="shared" si="459"/>
        <v/>
      </c>
      <c r="MJ113" s="43" t="str">
        <f t="shared" si="460"/>
        <v/>
      </c>
      <c r="MK113" s="43">
        <f t="shared" si="461"/>
        <v>0</v>
      </c>
      <c r="ML1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3" s="43">
        <f t="shared" si="462"/>
        <v>16.714285714285715</v>
      </c>
      <c r="MN113" s="43">
        <f t="shared" si="463"/>
        <v>2</v>
      </c>
      <c r="MO113" s="43">
        <f t="shared" si="464"/>
        <v>2023</v>
      </c>
      <c r="MP113" s="43" t="str">
        <f t="shared" si="465"/>
        <v>I TRIMESTRE AÑO</v>
      </c>
      <c r="MQ113" s="43">
        <f t="shared" si="466"/>
        <v>25.774748138414367</v>
      </c>
      <c r="MR113" s="43">
        <f t="shared" si="467"/>
        <v>0</v>
      </c>
      <c r="MS113" s="43" t="str">
        <f t="shared" si="468"/>
        <v xml:space="preserve"> DE 25 A 29 AÑOS</v>
      </c>
      <c r="MT113" s="43">
        <f t="shared" si="469"/>
        <v>0</v>
      </c>
      <c r="MU113" s="43">
        <f t="shared" si="470"/>
        <v>0</v>
      </c>
      <c r="MV113" s="43">
        <f t="shared" si="471"/>
        <v>0</v>
      </c>
      <c r="MW113" s="43">
        <f t="shared" si="472"/>
        <v>0</v>
      </c>
      <c r="MX113" s="43" t="str">
        <f t="shared" si="473"/>
        <v/>
      </c>
      <c r="MY113" s="43" t="str">
        <f t="shared" ca="1" si="495"/>
        <v/>
      </c>
      <c r="MZ113" s="43" t="str">
        <f t="shared" si="474"/>
        <v/>
      </c>
      <c r="NA113" s="43" t="str">
        <f t="shared" si="475"/>
        <v/>
      </c>
      <c r="NB113" s="43" t="str">
        <f t="shared" si="476"/>
        <v/>
      </c>
      <c r="NC113" s="43" t="str">
        <f t="shared" si="477"/>
        <v/>
      </c>
      <c r="ND113" s="43">
        <f t="shared" ca="1" si="478"/>
        <v>0</v>
      </c>
      <c r="NE113" s="43">
        <f>IF(OR(O113&gt;0,R113&gt;0),SUM(COUNTIF(Tabla1[[#This Row],[AÑOS AL INICIO5 CPN]],"&gt;=40"),COUNTIF(AS113,"0"),COUNTIF(AR113,"SI"),COUNTIF(CC113,"SI"),COUNTIF(BQ113,"&gt;119"),COUNTIF(CI113,"&gt;=35")),"")</f>
        <v>0</v>
      </c>
      <c r="NF113" s="43" t="str">
        <f t="shared" si="479"/>
        <v/>
      </c>
      <c r="NG113" s="43">
        <f t="shared" si="480"/>
        <v>0</v>
      </c>
      <c r="NH113" s="43">
        <f t="shared" si="481"/>
        <v>137.20000000000002</v>
      </c>
      <c r="NI113"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CPN",P113="NO"),"Z",IF(AND(Tabla1[[#This Row],[CITA PROXIMO CONTROL]]="CITA MANUAL",Tabla1[[#This Row],[GESTANTES ACTUALES]]="ACTIVA INGRESO A CPN"),"W",IF(AND(Tabla1[[#This Row],[GESTANTES ACTUALES]]="SALIO PROGRAMA",IN113=""),"S",IF(AND(Tabla1[[#This Row],[CITA PROXIMO CONTROL]]&gt;0,IN113=""),(Tabla1[[#This Row],[CITA PROXIMO CONTROL]]-TODAY()),"SD"))))))))</f>
        <v>SD</v>
      </c>
      <c r="NJ113" s="43">
        <f>MONTH(Tabla1[[#This Row],[FECHA DE SALIDA  DEL PROGRAMA]])</f>
        <v>7</v>
      </c>
      <c r="NK113" s="43">
        <f>YEAR(Tabla1[[#This Row],[FECHA DE SALIDA  DEL PROGRAMA]])</f>
        <v>2023</v>
      </c>
      <c r="NL113" s="43">
        <f t="shared" si="482"/>
        <v>22</v>
      </c>
      <c r="NM113" s="43" t="str">
        <f t="shared" si="455"/>
        <v>NO</v>
      </c>
      <c r="NN113" s="43" t="str">
        <f ca="1">IF(AND(O113&gt;0,R113=""),"NO CPN",IF(AND(O113="",R113=""),"",IF(AND(R113&gt;0,Tabla1[[#This Row],[SEMANAS DE GESTACION ACTUALIZADAS]]&lt;=12),"NO APLICA",IF(AND(FH113&lt;&gt;"",FN113&lt;&gt;""),"SI","NO"))))</f>
        <v>SI</v>
      </c>
      <c r="NO113" s="43" t="str">
        <f ca="1">IF(AND(O113&gt;0,R113=""),"NO CPN",IF(AND(O113="",R113=""),"",IF(AND(R113&gt;0,Tabla1[[#This Row],[SEMANAS DE GESTACION ACTUALIZADAS]]&lt;=27),"NO APLICA",IF(AND(ES113&lt;&gt;"",FQ113&lt;&gt;"",GF113&lt;&gt;""),"SI","NO"))))</f>
        <v>NO</v>
      </c>
      <c r="NP113" s="204" t="str">
        <f t="shared" si="483"/>
        <v>II TRIM</v>
      </c>
      <c r="NQ113" s="21" t="str">
        <f t="shared" si="436"/>
        <v/>
      </c>
      <c r="NR113" s="21">
        <f t="shared" si="496"/>
        <v>2</v>
      </c>
      <c r="NS113" s="205">
        <f t="shared" ca="1" si="484"/>
        <v>1</v>
      </c>
      <c r="NT113" s="21">
        <f t="shared" ca="1" si="485"/>
        <v>2</v>
      </c>
      <c r="NU113" s="21" t="str">
        <f t="shared" ca="1" si="486"/>
        <v>INCOMPLETO</v>
      </c>
      <c r="NV113" s="21" t="str">
        <f t="shared" ca="1" si="487"/>
        <v>COMPLETO</v>
      </c>
      <c r="NW113" s="206" t="str">
        <f>IF(AND(O113="",R113=""),"",IF(OR(AND(Tabla1[[#This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3" s="207" t="str">
        <f t="shared" ca="1" si="488"/>
        <v>SIN VACUNAR</v>
      </c>
      <c r="NY113" s="43">
        <f>ROW(Tabla1[[#This Row],['# DE TAMIZAJES SIFILIS TOMADOS ]])</f>
        <v>113</v>
      </c>
      <c r="NZ113" s="43">
        <f t="shared" si="333"/>
        <v>16</v>
      </c>
      <c r="OA113" s="43" t="str">
        <f t="shared" si="334"/>
        <v/>
      </c>
      <c r="OB113" s="43" t="str">
        <f t="shared" si="335"/>
        <v/>
      </c>
      <c r="OC113" s="43" t="str">
        <f t="shared" si="336"/>
        <v/>
      </c>
      <c r="OD113" s="43" t="str">
        <f t="shared" si="337"/>
        <v/>
      </c>
      <c r="OE113" s="43" t="str">
        <f t="shared" si="338"/>
        <v/>
      </c>
      <c r="OF113" s="43" t="str">
        <f t="shared" si="339"/>
        <v/>
      </c>
      <c r="OG113" s="43" t="str">
        <f t="shared" si="340"/>
        <v/>
      </c>
      <c r="OH113" s="43" t="str">
        <f t="shared" si="341"/>
        <v>NORMAL</v>
      </c>
      <c r="OI113" s="43" t="str">
        <f t="shared" si="342"/>
        <v/>
      </c>
      <c r="OJ113" s="43" t="str">
        <f t="shared" si="343"/>
        <v/>
      </c>
      <c r="OK113" s="43" t="str">
        <f t="shared" si="344"/>
        <v/>
      </c>
      <c r="OL113" s="43" t="str">
        <f t="shared" si="345"/>
        <v/>
      </c>
      <c r="OM113" s="43" t="str">
        <f t="shared" si="346"/>
        <v/>
      </c>
      <c r="ON113" s="43" t="str">
        <f t="shared" si="347"/>
        <v/>
      </c>
      <c r="OO113" s="43" t="str">
        <f t="shared" si="348"/>
        <v/>
      </c>
      <c r="OP113" s="43" t="str">
        <f t="shared" si="349"/>
        <v/>
      </c>
      <c r="OQ113" s="43" t="str">
        <f t="shared" si="350"/>
        <v/>
      </c>
      <c r="OR113" s="43" t="str">
        <f t="shared" si="351"/>
        <v/>
      </c>
      <c r="OS113" s="43" t="str">
        <f t="shared" si="352"/>
        <v/>
      </c>
      <c r="OT113" s="43" t="str">
        <f t="shared" si="353"/>
        <v/>
      </c>
      <c r="OU113" s="43" t="str">
        <f t="shared" si="354"/>
        <v/>
      </c>
      <c r="OV113" s="110" t="str">
        <f t="shared" si="355"/>
        <v/>
      </c>
      <c r="OW113" s="43" t="str">
        <f t="shared" si="356"/>
        <v/>
      </c>
      <c r="OX113" s="43" t="str">
        <f t="shared" si="357"/>
        <v/>
      </c>
      <c r="OY113" s="43" t="str">
        <f t="shared" si="358"/>
        <v/>
      </c>
      <c r="OZ113" s="43" t="str">
        <f t="shared" si="359"/>
        <v/>
      </c>
      <c r="PA113" s="43" t="str">
        <f t="shared" si="360"/>
        <v/>
      </c>
      <c r="PB113" s="43" t="str">
        <f t="shared" si="361"/>
        <v/>
      </c>
      <c r="PC113" s="43" t="str">
        <f t="shared" si="362"/>
        <v/>
      </c>
      <c r="PD113" s="43" t="str">
        <f t="shared" si="363"/>
        <v/>
      </c>
      <c r="PE113" s="43" t="str">
        <f t="shared" si="364"/>
        <v/>
      </c>
      <c r="PF113" s="43" t="str">
        <f t="shared" si="365"/>
        <v/>
      </c>
      <c r="PG113" s="43" t="str">
        <f t="shared" si="366"/>
        <v/>
      </c>
      <c r="PH113" s="43" t="str">
        <f t="shared" si="367"/>
        <v/>
      </c>
      <c r="PI113" s="43">
        <f t="shared" si="368"/>
        <v>35</v>
      </c>
      <c r="PJ113" s="43" t="str">
        <f t="shared" si="369"/>
        <v/>
      </c>
      <c r="PK113" s="43" t="str">
        <f t="shared" si="370"/>
        <v/>
      </c>
      <c r="PL113" s="43" t="str">
        <f t="shared" si="371"/>
        <v/>
      </c>
      <c r="PM113" s="43" t="str">
        <f t="shared" si="372"/>
        <v/>
      </c>
      <c r="PN113" s="43" t="str">
        <f t="shared" si="373"/>
        <v/>
      </c>
      <c r="PO113" s="43" t="str">
        <f t="shared" si="374"/>
        <v/>
      </c>
      <c r="PP113" s="43" t="str">
        <f t="shared" si="375"/>
        <v/>
      </c>
      <c r="PQ113" s="43" t="str">
        <f t="shared" si="376"/>
        <v/>
      </c>
      <c r="PR113" s="43" t="str">
        <f t="shared" si="377"/>
        <v/>
      </c>
      <c r="PS113" s="43" t="str">
        <f t="shared" si="378"/>
        <v/>
      </c>
      <c r="PT113" s="43" t="str">
        <f t="shared" si="379"/>
        <v/>
      </c>
      <c r="PU113" s="43" t="str">
        <f t="shared" si="380"/>
        <v/>
      </c>
      <c r="PV113" s="43" t="str">
        <f t="shared" si="381"/>
        <v/>
      </c>
      <c r="PW113" s="43" t="str">
        <f t="shared" si="382"/>
        <v/>
      </c>
      <c r="PX113" s="43" t="str">
        <f t="shared" si="383"/>
        <v/>
      </c>
      <c r="PY113" s="43" t="str">
        <f t="shared" si="384"/>
        <v/>
      </c>
      <c r="PZ113" s="43" t="str">
        <f t="shared" si="385"/>
        <v/>
      </c>
      <c r="QA113" s="43" t="str">
        <f t="shared" si="386"/>
        <v/>
      </c>
      <c r="QB113" s="43" t="str">
        <f t="shared" si="387"/>
        <v/>
      </c>
      <c r="QC113" s="43" t="str">
        <f t="shared" si="388"/>
        <v/>
      </c>
      <c r="QD113" s="43" t="str">
        <f t="shared" si="389"/>
        <v/>
      </c>
      <c r="QE113" s="43" t="str">
        <f t="shared" si="390"/>
        <v/>
      </c>
      <c r="QF113" s="43" t="str">
        <f t="shared" si="391"/>
        <v/>
      </c>
      <c r="QG113" s="43" t="str">
        <f t="shared" si="392"/>
        <v/>
      </c>
      <c r="QH113" s="43" t="str">
        <f t="shared" si="393"/>
        <v/>
      </c>
      <c r="QI113" s="43" t="str">
        <f t="shared" si="394"/>
        <v/>
      </c>
      <c r="QJ113" s="43" t="str">
        <f t="shared" si="395"/>
        <v>NORMAL</v>
      </c>
      <c r="QK113" s="43" t="str">
        <f t="shared" si="396"/>
        <v/>
      </c>
      <c r="QL113" s="43" t="str">
        <f t="shared" si="397"/>
        <v/>
      </c>
      <c r="QM113" s="43" t="str">
        <f t="shared" si="398"/>
        <v/>
      </c>
      <c r="QN113" s="43" t="str">
        <f t="shared" si="399"/>
        <v/>
      </c>
      <c r="QO113" s="43" t="str">
        <f t="shared" si="400"/>
        <v/>
      </c>
      <c r="QP113" s="43" t="str">
        <f t="shared" si="401"/>
        <v/>
      </c>
      <c r="QQ113" s="43" t="str">
        <f t="shared" si="402"/>
        <v/>
      </c>
      <c r="QR113" s="43">
        <f t="shared" si="432"/>
        <v>35</v>
      </c>
      <c r="QS113" s="43"/>
      <c r="QT113" s="21" t="str">
        <f t="shared" si="403"/>
        <v/>
      </c>
      <c r="QU113" s="21" t="str">
        <f t="shared" si="404"/>
        <v/>
      </c>
      <c r="QV113" s="21" t="str">
        <f t="shared" si="405"/>
        <v/>
      </c>
      <c r="QW113" s="21" t="str">
        <f t="shared" si="406"/>
        <v/>
      </c>
      <c r="QX113" s="21" t="str">
        <f t="shared" si="407"/>
        <v/>
      </c>
      <c r="QY113" s="21" t="str">
        <f t="shared" si="408"/>
        <v/>
      </c>
      <c r="QZ113" s="21" t="str">
        <f t="shared" si="409"/>
        <v/>
      </c>
      <c r="RA113" s="21" t="str">
        <f t="shared" si="410"/>
        <v/>
      </c>
      <c r="RB113" s="21" t="str">
        <f t="shared" si="411"/>
        <v/>
      </c>
      <c r="RC113" s="21" t="str">
        <f t="shared" si="412"/>
        <v/>
      </c>
      <c r="RD113" s="21" t="str">
        <f t="shared" si="413"/>
        <v/>
      </c>
      <c r="RE113" s="21" t="str">
        <f t="shared" si="414"/>
        <v/>
      </c>
      <c r="RF113" s="21" t="str">
        <f t="shared" si="415"/>
        <v/>
      </c>
      <c r="RG113" s="21" t="str">
        <f t="shared" si="416"/>
        <v/>
      </c>
      <c r="RH113" s="21" t="str">
        <f t="shared" si="417"/>
        <v/>
      </c>
      <c r="RI113" s="21" t="str">
        <f t="shared" si="418"/>
        <v/>
      </c>
      <c r="RJ113" s="21" t="str">
        <f t="shared" si="419"/>
        <v/>
      </c>
      <c r="RK113" s="21" t="str">
        <f t="shared" si="420"/>
        <v/>
      </c>
      <c r="RL113" s="21" t="str">
        <f t="shared" si="421"/>
        <v/>
      </c>
      <c r="RM113" s="21" t="str">
        <f t="shared" si="422"/>
        <v/>
      </c>
      <c r="RN113" s="21" t="str">
        <f t="shared" si="423"/>
        <v/>
      </c>
      <c r="RO113" s="21" t="str">
        <f t="shared" si="424"/>
        <v/>
      </c>
      <c r="RP113" s="21" t="str">
        <f t="shared" si="425"/>
        <v>ADECUADO PARA EDAD GESTACIONAL</v>
      </c>
      <c r="RQ113" s="21" t="str">
        <f t="shared" si="426"/>
        <v/>
      </c>
      <c r="RR113" s="21" t="str">
        <f t="shared" si="427"/>
        <v/>
      </c>
      <c r="RS113" s="21" t="str">
        <f t="shared" si="428"/>
        <v/>
      </c>
      <c r="RT113" s="21" t="str">
        <f t="shared" si="429"/>
        <v/>
      </c>
      <c r="RU113" s="21" t="str">
        <f t="shared" si="430"/>
        <v/>
      </c>
      <c r="RV113" s="21">
        <f t="shared" si="431"/>
        <v>20.714285714285715</v>
      </c>
      <c r="RW113" s="284">
        <f>IF(OR(Tabla1[[#This Row],[FUM FORMULA CONFIABLE]]="",Tabla1[[#This Row],[FUM FORMULA CONFIABLE]]="SD"),"",IF(Tabla1[[#This Row],[FUM FORMULA CONFIABLE]]="CORREGIDA",Tabla1[[#This Row],[FUM X ECO 1]],Tabla1[[#This Row],[FUM x AMENORREA]]))</f>
        <v>44863</v>
      </c>
      <c r="RX113" s="21">
        <f>IF(AND(Tabla1[[#This Row],[FUM X ECO 1]]="",Tabla1[[#This Row],[FUM x AMENORREA]]=""),"",IF(AND(Tabla1[[#This Row],[FUM X ECO 1]]="",Tabla1[[#This Row],[FUM x AMENORREA]]&lt;&gt;""),"X",SUM(Tabla1[[#This Row],[FUM X ECO 1]]-Tabla1[[#This Row],[FUM x AMENORREA]])))</f>
        <v>1.8000000000029104</v>
      </c>
      <c r="RY113" s="21">
        <f t="shared" si="433"/>
        <v>0</v>
      </c>
    </row>
    <row r="114" spans="1:493" ht="45" customHeight="1" x14ac:dyDescent="0.25">
      <c r="A114" s="109" t="s">
        <v>1339</v>
      </c>
      <c r="B114" s="43"/>
      <c r="C114" s="43" t="s">
        <v>845</v>
      </c>
      <c r="D114" s="124"/>
      <c r="E114" s="43" t="s">
        <v>874</v>
      </c>
      <c r="F114" s="43" t="s">
        <v>943</v>
      </c>
      <c r="G114" s="43" t="s">
        <v>1340</v>
      </c>
      <c r="H114" s="43"/>
      <c r="I114" s="109" t="s">
        <v>1094</v>
      </c>
      <c r="J114" s="110">
        <v>1059597393</v>
      </c>
      <c r="K114" s="43" t="s">
        <v>852</v>
      </c>
      <c r="L114" s="175" t="s">
        <v>886</v>
      </c>
      <c r="M114" s="22">
        <v>39085</v>
      </c>
      <c r="N114" s="213">
        <f t="shared" ca="1" si="252"/>
        <v>16.843835616438355</v>
      </c>
      <c r="O114" s="22">
        <v>44981</v>
      </c>
      <c r="P114" s="214" t="str">
        <f t="shared" si="437"/>
        <v>SI</v>
      </c>
      <c r="Q114" s="26" t="s">
        <v>855</v>
      </c>
      <c r="R114" s="22">
        <v>44981</v>
      </c>
      <c r="S114" s="21" t="s">
        <v>856</v>
      </c>
      <c r="T114" s="24" t="s">
        <v>690</v>
      </c>
      <c r="U114" s="21" t="s">
        <v>857</v>
      </c>
      <c r="V114" s="21" t="s">
        <v>858</v>
      </c>
      <c r="W114" s="21" t="s">
        <v>1341</v>
      </c>
      <c r="X114" s="21" t="s">
        <v>1341</v>
      </c>
      <c r="Y114" s="21" t="s">
        <v>859</v>
      </c>
      <c r="Z114" s="21">
        <v>3205101328</v>
      </c>
      <c r="AA114" s="21" t="s">
        <v>860</v>
      </c>
      <c r="AB114" s="27" t="s">
        <v>861</v>
      </c>
      <c r="AC114" s="26" t="s">
        <v>862</v>
      </c>
      <c r="AD114" s="38" t="s">
        <v>1546</v>
      </c>
      <c r="AE114" s="26" t="s">
        <v>854</v>
      </c>
      <c r="AF114" s="26" t="s">
        <v>854</v>
      </c>
      <c r="AG114" s="23" t="s">
        <v>864</v>
      </c>
      <c r="AH114" s="23" t="s">
        <v>864</v>
      </c>
      <c r="AI114" s="24" t="s">
        <v>863</v>
      </c>
      <c r="AJ114" s="23" t="s">
        <v>864</v>
      </c>
      <c r="AK114" s="220" t="str">
        <f>IF(AND(AD114="",AE114="",AF114="",AG114="",AH114="",AI114="",AJ114=""),"",IF(OR(Tabla1[[#This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EVALUACIÓN",IF(AND(O114="",R114=""),"",IF(AND(OR(O114&gt;0,R114&gt;0),NG114&gt;=0,NG114&lt;2),"SIN RIESGO",IF(AND(OR(O114&gt;0,R114&gt;0),NG114&gt;=2),"CON RIESGO","ASD")))))</f>
        <v>SIN RIESGO</v>
      </c>
      <c r="AL114" s="23" t="s">
        <v>864</v>
      </c>
      <c r="AM114" s="26" t="s">
        <v>864</v>
      </c>
      <c r="AN114" s="26" t="s">
        <v>864</v>
      </c>
      <c r="AO114" s="26" t="s">
        <v>864</v>
      </c>
      <c r="AP114" s="26" t="s">
        <v>864</v>
      </c>
      <c r="AQ114" s="26" t="s">
        <v>864</v>
      </c>
      <c r="AR114" s="26" t="s">
        <v>864</v>
      </c>
      <c r="AS114" s="21">
        <v>0</v>
      </c>
      <c r="AT114" s="21">
        <v>0</v>
      </c>
      <c r="AU114" s="21">
        <v>0</v>
      </c>
      <c r="AV114" s="26" t="s">
        <v>864</v>
      </c>
      <c r="AW114" s="21">
        <v>0</v>
      </c>
      <c r="AX114" s="26" t="s">
        <v>864</v>
      </c>
      <c r="AY114" s="26" t="s">
        <v>864</v>
      </c>
      <c r="AZ114" s="26" t="s">
        <v>864</v>
      </c>
      <c r="BA114" s="26" t="s">
        <v>864</v>
      </c>
      <c r="BB114" s="26" t="s">
        <v>864</v>
      </c>
      <c r="BC114" s="26" t="s">
        <v>864</v>
      </c>
      <c r="BD114" s="26" t="s">
        <v>864</v>
      </c>
      <c r="BE114" s="26" t="s">
        <v>864</v>
      </c>
      <c r="BF114" s="26" t="s">
        <v>864</v>
      </c>
      <c r="BG114" s="26" t="s">
        <v>864</v>
      </c>
      <c r="BH114" s="26" t="s">
        <v>864</v>
      </c>
      <c r="BI114" s="26" t="s">
        <v>864</v>
      </c>
      <c r="BJ114" s="26" t="s">
        <v>864</v>
      </c>
      <c r="BK114" s="26" t="s">
        <v>864</v>
      </c>
      <c r="BL114" s="26" t="s">
        <v>864</v>
      </c>
      <c r="BM114" s="26" t="s">
        <v>864</v>
      </c>
      <c r="BN114" s="22"/>
      <c r="BO114" s="22">
        <v>44941</v>
      </c>
      <c r="BP114" s="21" t="s">
        <v>854</v>
      </c>
      <c r="BQ114" s="222">
        <f t="shared" si="254"/>
        <v>0</v>
      </c>
      <c r="BR114" s="223">
        <f t="shared" si="255"/>
        <v>44943.199999999997</v>
      </c>
      <c r="BS114" s="224">
        <f t="shared" si="256"/>
        <v>5.7142857142857144</v>
      </c>
      <c r="BT114" s="216" t="str">
        <f t="shared" si="257"/>
        <v>I TRIM</v>
      </c>
      <c r="BU114" s="214">
        <f t="shared" ca="1" si="258"/>
        <v>41.714285714285715</v>
      </c>
      <c r="BV114" s="25"/>
      <c r="BW114" s="22">
        <v>44995</v>
      </c>
      <c r="BX114" s="28">
        <v>7.4</v>
      </c>
      <c r="BY114" s="28"/>
      <c r="BZ114" s="22">
        <v>45051</v>
      </c>
      <c r="CA114" s="21">
        <v>15</v>
      </c>
      <c r="CB114" s="26" t="s">
        <v>864</v>
      </c>
      <c r="CC114" s="26" t="s">
        <v>864</v>
      </c>
      <c r="CD114" s="26"/>
      <c r="CE114" s="26" t="s">
        <v>864</v>
      </c>
      <c r="CF114" s="22" t="s">
        <v>1517</v>
      </c>
      <c r="CG114" s="21">
        <v>1.56</v>
      </c>
      <c r="CH114" s="21">
        <v>53</v>
      </c>
      <c r="CI114" s="214">
        <f t="shared" si="259"/>
        <v>21.7784352399737</v>
      </c>
      <c r="CJ114" s="225" t="str">
        <f>IF(AND(CI114&lt;10,CH114="SD"),"SIN DATO PESO PREGESTACION O I TRIM",IF(AND(OR(R114&gt;0,O114&gt;0),CI114="X"),"INGRESAR DATO DE PESO",IF(CI114="SD","INGRESAR DATO DE TALLA Y PESO",IF(AND(OR(Tabla1[[#This Row],[MOMENTO EN QUE SE REALIZA EL PESO AL INGRESO A CPN]]="PREGESTACIÓN",NZ114="Menor"),CI114&lt;18.5),"BAJO PESO",IF(AND(OR(Tabla1[[#This Row],[MOMENTO EN QUE SE REALIZA EL PESO AL INGRESO A CPN]]="PREGESTACIÓN",NZ114="Menor"),CI114&lt;25),"NORMAL",IF(AND(OR(Tabla1[[#This Row],[MOMENTO EN QUE SE REALIZA EL PESO AL INGRESO A CPN]]="PREGESTACIÓN",NZ114="Menor"),CI114&lt;30),"SOBREPESO",IF(AND(OR(Tabla1[[#This Row],[MOMENTO EN QUE SE REALIZA EL PESO AL INGRESO A CPN]]="PREGESTACIÓN",NZ114="Menor"),CI114&gt;=30,CI114&lt;50),"OBESIDAD",IF(AND(BS114&gt;0,Tabla1[[#This Row],[MOMENTO EN QUE SE REALIZA EL PESO AL INGRESO A CPN]]="GESTACIÓN"),HLOOKUP(NZ114,$OA$2:PH114,NY114),""))))))))</f>
        <v>NORMAL</v>
      </c>
      <c r="CK114" s="212">
        <f t="shared" si="260"/>
        <v>45164</v>
      </c>
      <c r="CL114" s="21">
        <v>62.2</v>
      </c>
      <c r="CM114" s="214">
        <f t="shared" si="261"/>
        <v>25.558842866535173</v>
      </c>
      <c r="CN114" s="216">
        <f t="shared" si="262"/>
        <v>31</v>
      </c>
      <c r="CO114" s="216" t="e">
        <f>IF(PI114="","",IF(PI114&gt;0,HLOOKUP(PI114,$PJ$2:QQ114,NY114),""))</f>
        <v>#REF!</v>
      </c>
      <c r="CP114" s="21">
        <v>28</v>
      </c>
      <c r="CQ114" s="216" t="e">
        <f>IF(QR114="Menor","NO APLICA-MENOR 13 SEM",IF(AND(CC114="SI",CN114&gt;23),"NO APLICA- GEMELAR",IF(QR114="","",IF(QR114&gt;0,HLOOKUP(QR114,$QS$2:RU114,NY114),""))))</f>
        <v>#REF!</v>
      </c>
      <c r="CR114" s="21">
        <v>90</v>
      </c>
      <c r="CS114" s="21">
        <v>60</v>
      </c>
      <c r="CT114" s="217" t="str">
        <f>IF(R114="","",IF(AND(BS114&gt;1,BS114&lt;12,Tabla1[[#This Row],[T.A. SISTOLICA - ANTES DE SEMANA 12]]="",Tabla1[[#This Row],[T.A. DIASTOLICA - ANTES DE SEMANA 12]]=""),"REGISTRE DATO TA ANTES SEMANA 12",IF(AND(BS114&gt;11,BS114&lt;43,Tabla1[[#This Row],[T.A. SISTOLICA - ANTES DE SEMANA 12]]="",Tabla1[[#This Row],[T.A. DIASTOLICA - ANTES DE SEMANA 12]]=""),"NO APLICA REGISTRO TA-INGRESO TARDIO",IF(AND(OR(O114&gt;0,R114&gt;0),OR(CR114&gt;=140,CS114&gt;=90)),"DEFINIR ESTADIO HTA",IF(AND(OR(O114&gt;0,R114&gt;0),AND(CR114&gt;120,CR114&lt;=139)),"PRE HTA SEGUIMIENTO",IF(AND(OR(O114&gt;0,R114&gt;0),AND(CS114&gt;80,CS114&lt;=89)),"PRE HTA SEGUIMIENTO",IF(AND(OR(O114&gt;0,R114&gt;0),AND(CR114&gt;=80,CR114&lt;=120)),"APARENTEMENTE NORMAL",IF(AND(OR(O114&gt;0,R114&gt;0),AND(CS114&gt;=50,CS114&lt;=80)),"APARENTEMENTE NORMAL",IF(AND(OR(O114&gt;0,R114&gt;0),AND(CR114&gt;1,CR114&lt;=70),AND(CS114&gt;1,CS114&lt;=40)),"HIPOTENSIÓN","")))))))))</f>
        <v>APARENTEMENTE NORMAL</v>
      </c>
      <c r="CU114" s="21"/>
      <c r="CV114" s="21"/>
      <c r="CW114" s="217" t="str">
        <f ca="1">IF(R114="","",IF(AND(CN114&gt;19,CN114&lt;27,Tabla1[[#This Row],[T.A. SISTOLICA (Entre semana 20 y 26)]]="",Tabla1[[#This Row],[T.A. DIATOLICA (Entre semana 20 y 26)]]=""),"ACUDE A CONTROL SEM 20 A 26 REGISTRE TA AHORA",IF(AND(BS114&gt;1,BS114&lt;27,BU114&gt;19,Tabla1[[#This Row],[T.A. SISTOLICA (Entre semana 20 y 26)]]="",Tabla1[[#This Row],[T.A. DIATOLICA (Entre semana 20 y 26)]]=""),"COMPLETE REGISTRO TA CONTROL SEM 20 A26 ",IF(AND(BS114&gt;26,BS114&lt;43,Tabla1[[#This Row],[T.A. SISTOLICA (Entre semana 20 y 26)]]="",Tabla1[[#This Row],[T.A. DIATOLICA (Entre semana 20 y 26)]]=""),"NO APLICA REGISTRO TA-INGRESO TARDIO",IF(AND(OR(O114&gt;0,R114&gt;0),OR(CU114&gt;=140,CV114&gt;=90)),"ALTO RIESGO PREECLAMPSIA,DEFINIR ESTADIO HTA",IF(AND(OR(O114&gt;0,R114&gt;0),AND(CU114&gt;120,CU114&lt;=139)),"PRE HTA SEGUIMIENTO,RIESGO HIPERTENSION INDUCIDA POR EL EMBARAZO",IF(AND(OR(O114&gt;0,R114&gt;0),AND(CV114&gt;80,CV114&lt;=89)),"PRE HTA SEGUIMIENTO, RIESGO HIPERTENSION INDUCIDA POR EL EMBARAZO",IF(AND(OR(O114&lt;&gt;"",R114&lt;&gt;""),CS114&lt;&gt;"",CV114&lt;&gt;"",CS114&lt;=CV114),"VIGILAR CIFRAS PRESION ARTERIAL",IF(AND(OR(O114&gt;0,R114&gt;0),AND(CU114&gt;120,CU114&lt;=139)),"PRE HTA SEGUIMIENTO",IF(AND(OR(O114&gt;0,R114&gt;0),AND(CU114&gt;1,CU114&lt;=70),AND(CV114&gt;1,CV114&lt;=40)),"HIPOTENSIÓN",IF(AND(OR(O114&lt;&gt;"",R114&lt;&gt;""),CS114&lt;&gt;"",CV114&lt;&gt;"",CS114&gt;CV114),"APARENTEMENTE NORMAL",IF(AND(OR(O114&gt;0,R114&gt;0),AND(CU114&gt;=80,CU114&lt;=120)),"APARENTEMENTE NORMAL",IF(AND(OR(O114&gt;0,R114&gt;0),AND(CV114&gt;=50,CV114&lt;=80)),"APARENTEMENTE NORMAL","")))))))))))))</f>
        <v xml:space="preserve">COMPLETE REGISTRO TA CONTROL SEM 20 A26 </v>
      </c>
      <c r="CX114" s="21">
        <v>90</v>
      </c>
      <c r="CY114" s="21">
        <v>60</v>
      </c>
      <c r="CZ114" s="216" t="str">
        <f t="shared" si="456"/>
        <v>APARENTEMENTE NORMAL</v>
      </c>
      <c r="DA114" s="21">
        <v>90</v>
      </c>
      <c r="DB114" s="21">
        <v>60</v>
      </c>
      <c r="DC114" s="217" t="str">
        <f t="shared" si="264"/>
        <v>APARENTEMENTE NORMAL</v>
      </c>
      <c r="DD114" s="22">
        <v>44981</v>
      </c>
      <c r="DE114" s="22">
        <v>44981</v>
      </c>
      <c r="DF114" s="22">
        <v>45014</v>
      </c>
      <c r="DG114" s="22">
        <v>45045</v>
      </c>
      <c r="DH114" s="22">
        <v>45068</v>
      </c>
      <c r="DI114" s="22">
        <v>45101</v>
      </c>
      <c r="DJ114" s="22">
        <v>45129</v>
      </c>
      <c r="DK114" s="22">
        <v>45164</v>
      </c>
      <c r="DL114" s="22"/>
      <c r="DM114" s="22"/>
      <c r="DN114" s="22"/>
      <c r="DO114" s="22"/>
      <c r="DP114" s="22"/>
      <c r="DQ114" s="22"/>
      <c r="DR114" s="28">
        <v>2</v>
      </c>
      <c r="DS114" s="22"/>
      <c r="DT114" s="22"/>
      <c r="DU114" s="216" t="str">
        <f t="shared" ca="1" si="438"/>
        <v>CONCERTAR PLAN DE PARTO INMEDIATO</v>
      </c>
      <c r="DV114" s="226" t="str">
        <f t="shared" si="439"/>
        <v>ACTIVA INGRESO A CPN</v>
      </c>
      <c r="DW1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4" s="216" t="e">
        <f t="shared" ca="1" si="266"/>
        <v>#REF!</v>
      </c>
      <c r="DY114" s="212">
        <f>IF(R114="","",IF(R114&gt;0,MAX(Tabla1[[#This Row],[FECHA C2]:[FECHA C13]],Tabla1[[#This Row],[FECHA CONSULTA PRIMERA VEZ PROGRAMA CPN ]])))</f>
        <v>45164</v>
      </c>
      <c r="DZ114" s="216">
        <f t="shared" si="267"/>
        <v>31</v>
      </c>
      <c r="EA114" s="222">
        <f>IF(R114&gt;0,SUM(COUNTA(DF114:DQ114)+COUNTA(Tabla1[[#This Row],[FECHA CONSULTA PRIMERA VEZ PROGRAMA CPN ]])),"")</f>
        <v>7</v>
      </c>
      <c r="EB114" s="222" t="str">
        <f t="shared" si="268"/>
        <v>SI</v>
      </c>
      <c r="EC114" s="214">
        <f t="shared" si="269"/>
        <v>10</v>
      </c>
      <c r="ED114" s="227">
        <f t="shared" si="270"/>
        <v>0.7</v>
      </c>
      <c r="EE114" s="22">
        <v>44981</v>
      </c>
      <c r="EF114" s="22">
        <v>44981</v>
      </c>
      <c r="EG114" s="22">
        <v>44981</v>
      </c>
      <c r="EH114" s="22"/>
      <c r="EI114" s="22">
        <v>44981</v>
      </c>
      <c r="EJ114" s="22"/>
      <c r="EK114" s="22"/>
      <c r="EL114" s="21"/>
      <c r="EM114" s="21">
        <v>14.5</v>
      </c>
      <c r="EN114" s="22">
        <v>44981</v>
      </c>
      <c r="EO114" s="222">
        <f t="shared" si="271"/>
        <v>5.7142857142857144</v>
      </c>
      <c r="EP114" s="214" t="str">
        <f t="shared" si="272"/>
        <v>NO DAR SULFATO FERROSO</v>
      </c>
      <c r="EQ114" s="216" t="str">
        <f t="shared" si="273"/>
        <v>I TRIM</v>
      </c>
      <c r="ER114" s="24"/>
      <c r="ES114" s="22"/>
      <c r="ET114" s="29" t="str">
        <f t="shared" ca="1" si="440"/>
        <v>TOMA DE HEMOGLOBINA TARDÍA</v>
      </c>
      <c r="EU114" s="25" t="str">
        <f t="shared" si="275"/>
        <v/>
      </c>
      <c r="EV114" s="24" t="s">
        <v>1510</v>
      </c>
      <c r="EW114" s="24">
        <v>44981</v>
      </c>
      <c r="EX114" s="22"/>
      <c r="EY114" s="29">
        <f t="shared" si="453"/>
        <v>5.7142857142857144</v>
      </c>
      <c r="EZ114" s="25" t="str">
        <f t="shared" si="454"/>
        <v>SIN RIESGO DE ISOINMUNIZACIÓN</v>
      </c>
      <c r="FA114" s="21"/>
      <c r="FB114" s="22"/>
      <c r="FC114" s="29" t="str">
        <f t="shared" si="276"/>
        <v>TOMAR EXAMEN</v>
      </c>
      <c r="FD114" s="29"/>
      <c r="FE114" s="29"/>
      <c r="FF114" s="29"/>
      <c r="FG114" s="21" t="str">
        <f t="shared" ca="1" si="277"/>
        <v>TOMAR PTOG</v>
      </c>
      <c r="FH114" s="31"/>
      <c r="FI114" s="29" t="str">
        <f t="shared" si="278"/>
        <v>TOMAR EXAMEN</v>
      </c>
      <c r="FJ114" s="22" t="s">
        <v>867</v>
      </c>
      <c r="FK114" s="22">
        <v>44981</v>
      </c>
      <c r="FL114" s="29">
        <f t="shared" ca="1" si="279"/>
        <v>5.7142857142857144</v>
      </c>
      <c r="FM114" s="22"/>
      <c r="FN114" s="32"/>
      <c r="FO114" s="29" t="str">
        <f t="shared" ca="1" si="441"/>
        <v>PIERDE TOMA DE TAMIZAJE</v>
      </c>
      <c r="FP114" s="22"/>
      <c r="FQ114" s="32"/>
      <c r="FR114" s="29" t="str">
        <f t="shared" ca="1" si="442"/>
        <v>TOMA INMEDIATA DE TAMIZAJE</v>
      </c>
      <c r="FS114" s="22"/>
      <c r="FT114" s="32"/>
      <c r="FU114" s="29" t="str">
        <f>IF(AND(FJ114="",FM114="",FP114="",FS114=""),"",IF(OR(OR(Tabla1[[#This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4" s="28"/>
      <c r="FW114" s="22"/>
      <c r="FX114" s="29" t="str">
        <f t="shared" si="280"/>
        <v>TOMAR EXAMEN</v>
      </c>
      <c r="FY114" s="22">
        <v>44981</v>
      </c>
      <c r="FZ114" s="22">
        <v>44981</v>
      </c>
      <c r="GA114" s="29">
        <f t="shared" ca="1" si="452"/>
        <v>5.7142857142857144</v>
      </c>
      <c r="GB114" s="22"/>
      <c r="GC114" s="22"/>
      <c r="GD114" s="29" t="str">
        <f t="shared" ca="1" si="490"/>
        <v>PIERDE TOMA DE TAMIZAJE</v>
      </c>
      <c r="GE114" s="22"/>
      <c r="GF114" s="22"/>
      <c r="GG114" s="29" t="str">
        <f t="shared" ca="1" si="444"/>
        <v>TOMA INMEDIATA DE TAMIZAJE</v>
      </c>
      <c r="GH114" s="22"/>
      <c r="GI114" s="29"/>
      <c r="GJ114" s="22"/>
      <c r="GK114" s="22"/>
      <c r="GL114" s="22"/>
      <c r="GM114" s="22"/>
      <c r="GN114" s="28" t="s">
        <v>869</v>
      </c>
      <c r="GO114" s="22">
        <v>44981</v>
      </c>
      <c r="GP114" s="29">
        <f t="shared" si="283"/>
        <v>5.7142857142857144</v>
      </c>
      <c r="GQ114" s="28" t="s">
        <v>869</v>
      </c>
      <c r="GR114" s="28" t="s">
        <v>869</v>
      </c>
      <c r="GS114" s="22" t="str">
        <f t="shared" si="457"/>
        <v>CONTROL Igm</v>
      </c>
      <c r="GT114" s="22">
        <v>44981</v>
      </c>
      <c r="GU114" s="29">
        <f t="shared" si="285"/>
        <v>5.7142857142857144</v>
      </c>
      <c r="GV114" s="21" t="str">
        <f t="shared" si="286"/>
        <v>I TRIM</v>
      </c>
      <c r="GW114" s="28" t="s">
        <v>869</v>
      </c>
      <c r="GX114" s="30"/>
      <c r="GY114" s="21"/>
      <c r="GZ114" s="21"/>
      <c r="HA114" s="21"/>
      <c r="HB114" s="21"/>
      <c r="HC114" s="21"/>
      <c r="HD114" s="21"/>
      <c r="HE114" s="21"/>
      <c r="HF114" s="22"/>
      <c r="HG114" s="22" t="str">
        <f>IF(OR(O114&gt;0,R114&gt;0),CONCATENATE(IF(Tabla1[[#This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4" s="22" t="e">
        <f t="shared" si="287"/>
        <v>#REF!</v>
      </c>
      <c r="HI114" s="22" t="e">
        <f t="shared" ca="1" si="288"/>
        <v>#REF!</v>
      </c>
      <c r="HJ114" s="21"/>
      <c r="HK114" s="21" t="str">
        <f t="shared" si="289"/>
        <v>SIN ANTECEDENTES DE RIESGO</v>
      </c>
      <c r="HL114" s="24" t="str">
        <f t="shared" si="290"/>
        <v>APARENTEMENTE NORMAL</v>
      </c>
      <c r="HM114" s="21" t="e">
        <f t="shared" ca="1" si="291"/>
        <v>#REF!</v>
      </c>
      <c r="HN114" s="30" t="str">
        <f t="shared" si="445"/>
        <v>ACTIVA INGRESO A CPN</v>
      </c>
      <c r="HO114" s="21"/>
      <c r="HP114" s="21"/>
      <c r="HQ114" s="349">
        <v>44981</v>
      </c>
      <c r="HR114" s="21" t="str">
        <f>IF(R114="","",IF(Tabla1[[#This Row],[ALARMA FACTORES DE RIESGO COMPLICACIONES HIPERTENSIVAS3]]="SIN ANTECEDENTES DE RIESGO","No Aplica para suministro de ASA",IF(AND(Tabla1[[#This Row],[FECHA INICIO DE SUMINISTRO DE ASA]]&gt;0,RV114&lt;12),"Inicia ASA ANTES de Sem 12",IF(AND(RV114&gt;11,RV114&lt;17,OR(HK114="RIESGO ALTO DE COMPLICACIONES HIPERTENSIVAS VER MANEJO GUIA SUMINISTRO ASA Y CALCIO",HK114="RIESGO MODERADO (2 O MAS CRITERIOS) VER MANEJO GUIA SUMINISTRO ASA Y CALCIO")),"Inicio oportuno de ASA",IF(AND(RV114&gt;12,OR(HK114="RIESGO ALTO DE COMPLICACIONES HIPERTENSIVAS VER MANEJO GUIA SUMINISTRO ASA Y CALCIO",HK114="RIESGO MODERADO (2 O MAS CRITERIOS) VER MANEJO GUIA SUMINISTRO ASA Y CALCIO")),"Inicio no oportuno mayor a 16 semanas",IF(AND(BU114&lt;12,OR(HK114="RIESGO ALTO DE COMPLICACIONES HIPERTENSIVAS VER MANEJO GUIA SUMINISTRO ASA Y CALCIO",HK114="RIESGO MODERADO (2 O MAS CRITERIOS) VER MANEJO GUIA SUMINISTRO ASA Y CALCIO")),"Pendiente Inicio de ASA a la semana 12",IF(AND(BU114&gt;11,BU114&lt;17,OR(HK114="RIESGO ALTO DE COMPLICACIONES HIPERTENSIVAS VER MANEJO GUIA SUMINISTRO ASA Y CALCIO",HK114="RIESGO MODERADO (2 O MAS CRITERIOS) VER MANEJO GUIA SUMINISTRO ASA Y CALCIO")),"Iniciar de inmediato ASA",IF(AND(BU114&gt;16,OR(HK114="RIESGO ALTO DE COMPLICACIONES HIPERTENSIVAS VER MANEJO GUIA SUMINISTRO ASA Y CALCIO",HK114="RIESGO MODERADO (2 O MAS CRITERIOS) VER MANEJO GUIA SUMINISTRO ASA Y CALCIO")),"Pierde Oportunidad, Inicio tardío de ASA","XXXXX"))))))))</f>
        <v>No Aplica para suministro de ASA</v>
      </c>
      <c r="HS114" s="22">
        <v>44981</v>
      </c>
      <c r="HT114" s="22" t="s">
        <v>870</v>
      </c>
      <c r="HU114" s="22">
        <v>44981</v>
      </c>
      <c r="HV114" s="22" t="s">
        <v>870</v>
      </c>
      <c r="HW114" s="22">
        <v>44981</v>
      </c>
      <c r="HX114" s="22" t="s">
        <v>870</v>
      </c>
      <c r="HY114" s="22">
        <v>44981</v>
      </c>
      <c r="HZ114" s="28">
        <f t="shared" si="292"/>
        <v>5.7142857142857144</v>
      </c>
      <c r="IA114" s="26"/>
      <c r="IB114" s="26"/>
      <c r="IC114" s="111"/>
      <c r="ID114" s="22"/>
      <c r="IE114" s="22" t="str">
        <f t="shared" ca="1" si="293"/>
        <v>INASISTENTE</v>
      </c>
      <c r="IF114" s="22"/>
      <c r="IG114" s="22">
        <f t="shared" si="294"/>
        <v>45221</v>
      </c>
      <c r="IH114" s="29">
        <f t="shared" ca="1" si="295"/>
        <v>-12</v>
      </c>
      <c r="II114" s="22" t="str">
        <f t="shared" ca="1" si="296"/>
        <v>POSIBLEMENTE NACIO</v>
      </c>
      <c r="IJ114" s="22"/>
      <c r="IK114" s="21"/>
      <c r="IL114" s="21"/>
      <c r="IM114" s="34"/>
      <c r="IN114" s="22"/>
      <c r="IO114" s="21"/>
      <c r="IP114" s="29" t="str">
        <f t="shared" si="489"/>
        <v/>
      </c>
      <c r="IQ114" s="110"/>
      <c r="IR114" s="21"/>
      <c r="IS114" s="21"/>
      <c r="IT114" s="21"/>
      <c r="IU114" s="21"/>
      <c r="IV114" s="21"/>
      <c r="IW114" s="21"/>
      <c r="IX114" s="21"/>
      <c r="IY114" s="21"/>
      <c r="IZ114" s="21"/>
      <c r="JA114" s="21"/>
      <c r="JB114" s="30"/>
      <c r="JC114" s="21"/>
      <c r="JD114" s="36"/>
      <c r="JE114" s="21" t="str">
        <f t="shared" si="491"/>
        <v/>
      </c>
      <c r="JF114" s="30"/>
      <c r="JG114" s="21"/>
      <c r="JH114" s="21"/>
      <c r="JI114" s="21"/>
      <c r="JJ114" s="30"/>
      <c r="JK114" s="22"/>
      <c r="JL114" s="22"/>
      <c r="JM114" s="21"/>
      <c r="JN114" s="36"/>
      <c r="JO114" s="21" t="str">
        <f t="shared" si="492"/>
        <v/>
      </c>
      <c r="JP114" s="22"/>
      <c r="JQ114" s="21"/>
      <c r="JR114" s="21"/>
      <c r="JS114" s="21"/>
      <c r="JT114" s="30"/>
      <c r="JU114" s="22"/>
      <c r="JV114" s="22"/>
      <c r="JW114" s="33"/>
      <c r="JX114" s="28" t="str">
        <f t="shared" si="493"/>
        <v/>
      </c>
      <c r="JY114" s="33"/>
      <c r="JZ114" s="28" t="str">
        <f t="shared" si="494"/>
        <v/>
      </c>
      <c r="KA114" s="21"/>
      <c r="KB114" s="21"/>
      <c r="KC114" s="21"/>
      <c r="KD114" s="37"/>
      <c r="KE114" s="28"/>
      <c r="KF114" s="28"/>
      <c r="KG114" s="28"/>
      <c r="KH114" s="39"/>
      <c r="KI114" s="39"/>
      <c r="KJ114" s="66"/>
      <c r="KK114" s="39"/>
      <c r="KL114" s="39"/>
      <c r="KM114" s="66"/>
      <c r="KN114" s="39"/>
      <c r="KO114" s="39"/>
      <c r="KP114" s="39"/>
      <c r="KQ114" s="39"/>
      <c r="KR114" s="39"/>
      <c r="KS114" s="39"/>
      <c r="KT114" s="39"/>
      <c r="KU114" s="38"/>
      <c r="KV114" s="38"/>
      <c r="KW114" s="38"/>
      <c r="KX114" s="38"/>
      <c r="KY114" s="38"/>
      <c r="KZ114" s="38"/>
      <c r="LA114" s="38"/>
      <c r="LB114" s="38"/>
      <c r="LC114" s="38"/>
      <c r="LD114" s="38"/>
      <c r="LE114" s="38"/>
      <c r="LF114" s="38"/>
      <c r="LG114" s="38"/>
      <c r="LH114" s="38"/>
      <c r="LI114" s="38"/>
      <c r="LJ114" s="38"/>
      <c r="LK114" s="38"/>
      <c r="LL114" s="38"/>
      <c r="LM114" s="38"/>
      <c r="LN114" s="38"/>
      <c r="LO114" s="38"/>
      <c r="LP114" s="38"/>
      <c r="LQ114" s="38"/>
      <c r="LR114" s="38"/>
      <c r="LS114" s="38"/>
      <c r="LT114" s="38"/>
      <c r="LU114" s="38"/>
      <c r="LV114" s="38"/>
      <c r="LW114" s="38"/>
      <c r="LX114" s="38"/>
      <c r="LY114" s="38"/>
      <c r="LZ114" s="38"/>
      <c r="MA114" s="38"/>
      <c r="MB114" s="38"/>
      <c r="MC114" s="38"/>
      <c r="MD114" s="38"/>
      <c r="ME114" s="38"/>
      <c r="MF114" s="38"/>
      <c r="MG114" s="38"/>
      <c r="MH114" s="43">
        <f t="shared" si="458"/>
        <v>0</v>
      </c>
      <c r="MI114" s="43" t="str">
        <f t="shared" si="459"/>
        <v/>
      </c>
      <c r="MJ114" s="43" t="str">
        <f t="shared" si="460"/>
        <v/>
      </c>
      <c r="MK114" s="43">
        <f t="shared" si="461"/>
        <v>0</v>
      </c>
      <c r="ML1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4" s="43">
        <f t="shared" si="462"/>
        <v>5.7142857142857144</v>
      </c>
      <c r="MN114" s="43">
        <f t="shared" si="463"/>
        <v>2</v>
      </c>
      <c r="MO114" s="43">
        <f t="shared" si="464"/>
        <v>2023</v>
      </c>
      <c r="MP114" s="43" t="str">
        <f t="shared" si="465"/>
        <v>I TRIMESTRE AÑO</v>
      </c>
      <c r="MQ114" s="43">
        <f t="shared" si="466"/>
        <v>15.908344283837055</v>
      </c>
      <c r="MR114" s="43">
        <f t="shared" si="467"/>
        <v>1</v>
      </c>
      <c r="MS114" s="43" t="str">
        <f t="shared" si="468"/>
        <v>DE 14 A 19AÑOS</v>
      </c>
      <c r="MT114" s="43">
        <f t="shared" si="469"/>
        <v>0</v>
      </c>
      <c r="MU114" s="43">
        <f t="shared" si="470"/>
        <v>1</v>
      </c>
      <c r="MV114" s="43">
        <f t="shared" si="471"/>
        <v>0</v>
      </c>
      <c r="MW114" s="43">
        <f t="shared" si="472"/>
        <v>0</v>
      </c>
      <c r="MX114" s="43" t="str">
        <f t="shared" si="473"/>
        <v/>
      </c>
      <c r="MY114" s="43">
        <f t="shared" ca="1" si="495"/>
        <v>1</v>
      </c>
      <c r="MZ114" s="43" t="str">
        <f t="shared" si="474"/>
        <v/>
      </c>
      <c r="NA114" s="43" t="str">
        <f t="shared" si="475"/>
        <v/>
      </c>
      <c r="NB114" s="43" t="str">
        <f t="shared" si="476"/>
        <v/>
      </c>
      <c r="NC114" s="43" t="str">
        <f t="shared" si="477"/>
        <v/>
      </c>
      <c r="ND114" s="43">
        <f t="shared" ca="1" si="478"/>
        <v>3</v>
      </c>
      <c r="NE114" s="43">
        <f>IF(OR(O114&gt;0,R114&gt;0),SUM(COUNTIF(Tabla1[[#This Row],[AÑOS AL INICIO5 CPN]],"&gt;=40"),COUNTIF(AS114,"0"),COUNTIF(AR114,"SI"),COUNTIF(CC114,"SI"),COUNTIF(BQ114,"&gt;119"),COUNTIF(CI114,"&gt;=35")),"")</f>
        <v>1</v>
      </c>
      <c r="NF114" s="43" t="str">
        <f t="shared" si="479"/>
        <v/>
      </c>
      <c r="NG114" s="43">
        <f t="shared" si="480"/>
        <v>0</v>
      </c>
      <c r="NH114" s="43">
        <f t="shared" si="481"/>
        <v>51.800000000000004</v>
      </c>
      <c r="NI1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CPN",P114="NO"),"Z",IF(AND(Tabla1[[#This Row],[CITA PROXIMO CONTROL]]="CITA MANUAL",Tabla1[[#This Row],[GESTANTES ACTUALES]]="ACTIVA INGRESO A CPN"),"W",IF(AND(Tabla1[[#This Row],[GESTANTES ACTUALES]]="SALIO PROGRAMA",IN114=""),"S",IF(AND(Tabla1[[#This Row],[CITA PROXIMO CONTROL]]&gt;0,IN114=""),(Tabla1[[#This Row],[CITA PROXIMO CONTROL]]-TODAY()),"SD"))))))))</f>
        <v>#REF!</v>
      </c>
      <c r="NJ114" s="43">
        <f>MONTH(Tabla1[[#This Row],[FECHA DE SALIDA  DEL PROGRAMA]])</f>
        <v>1</v>
      </c>
      <c r="NK114" s="43">
        <f>YEAR(Tabla1[[#This Row],[FECHA DE SALIDA  DEL PROGRAMA]])</f>
        <v>1900</v>
      </c>
      <c r="NL114" s="43" t="str">
        <f t="shared" si="482"/>
        <v>X</v>
      </c>
      <c r="NM114" s="43" t="str">
        <f t="shared" si="455"/>
        <v>NO</v>
      </c>
      <c r="NN114" s="43" t="str">
        <f ca="1">IF(AND(O114&gt;0,R114=""),"NO CPN",IF(AND(O114="",R114=""),"",IF(AND(R114&gt;0,Tabla1[[#This Row],[SEMANAS DE GESTACION ACTUALIZADAS]]&lt;=12),"NO APLICA",IF(AND(FH114&lt;&gt;"",FN114&lt;&gt;""),"SI","NO"))))</f>
        <v>NO</v>
      </c>
      <c r="NO114" s="43" t="str">
        <f ca="1">IF(AND(O114&gt;0,R114=""),"NO CPN",IF(AND(O114="",R114=""),"",IF(AND(R114&gt;0,Tabla1[[#This Row],[SEMANAS DE GESTACION ACTUALIZADAS]]&lt;=27),"NO APLICA",IF(AND(ES114&lt;&gt;"",FQ114&lt;&gt;"",GF114&lt;&gt;""),"SI","NO"))))</f>
        <v>NO</v>
      </c>
      <c r="NP114" s="204" t="str">
        <f t="shared" si="483"/>
        <v>I TRIM</v>
      </c>
      <c r="NQ114" s="21" t="str">
        <f t="shared" si="436"/>
        <v/>
      </c>
      <c r="NR114" s="21">
        <f t="shared" ca="1" si="496"/>
        <v>3</v>
      </c>
      <c r="NS114" s="205">
        <f t="shared" ca="1" si="484"/>
        <v>1</v>
      </c>
      <c r="NT114" s="21">
        <f t="shared" ca="1" si="485"/>
        <v>1</v>
      </c>
      <c r="NU114" s="21" t="str">
        <f t="shared" ca="1" si="486"/>
        <v>INCOMPLETO</v>
      </c>
      <c r="NV114" s="21" t="str">
        <f t="shared" ca="1" si="487"/>
        <v>INCOMPLETO</v>
      </c>
      <c r="NW114" s="206" t="str">
        <f>IF(AND(O114="",R114=""),"",IF(OR(AND(Tabla1[[#This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4" s="207" t="str">
        <f t="shared" ca="1" si="488"/>
        <v>SIN VACUNAR</v>
      </c>
      <c r="NY114" s="43">
        <f>ROW(Tabla1[[#This Row],['# DE TAMIZAJES SIFILIS TOMADOS ]])</f>
        <v>114</v>
      </c>
      <c r="NZ114" s="43" t="str">
        <f t="shared" si="333"/>
        <v>Menor</v>
      </c>
      <c r="OA114" s="43" t="str">
        <f t="shared" si="334"/>
        <v>NORMAL</v>
      </c>
      <c r="OB114" s="43" t="str">
        <f t="shared" si="335"/>
        <v/>
      </c>
      <c r="OC114" s="43" t="str">
        <f t="shared" si="336"/>
        <v/>
      </c>
      <c r="OD114" s="43" t="str">
        <f t="shared" si="337"/>
        <v/>
      </c>
      <c r="OE114" s="43" t="str">
        <f t="shared" si="338"/>
        <v/>
      </c>
      <c r="OF114" s="43" t="str">
        <f t="shared" si="339"/>
        <v/>
      </c>
      <c r="OG114" s="43" t="str">
        <f t="shared" si="340"/>
        <v/>
      </c>
      <c r="OH114" s="43" t="str">
        <f t="shared" si="341"/>
        <v/>
      </c>
      <c r="OI114" s="43" t="str">
        <f t="shared" si="342"/>
        <v/>
      </c>
      <c r="OJ114" s="43" t="str">
        <f t="shared" si="343"/>
        <v/>
      </c>
      <c r="OK114" s="43" t="str">
        <f t="shared" si="344"/>
        <v/>
      </c>
      <c r="OL114" s="43" t="str">
        <f t="shared" si="345"/>
        <v/>
      </c>
      <c r="OM114" s="43" t="str">
        <f t="shared" si="346"/>
        <v/>
      </c>
      <c r="ON114" s="43" t="str">
        <f t="shared" si="347"/>
        <v/>
      </c>
      <c r="OO114" s="43" t="str">
        <f t="shared" si="348"/>
        <v/>
      </c>
      <c r="OP114" s="43" t="str">
        <f t="shared" si="349"/>
        <v/>
      </c>
      <c r="OQ114" s="43" t="str">
        <f t="shared" si="350"/>
        <v/>
      </c>
      <c r="OR114" s="43" t="str">
        <f t="shared" si="351"/>
        <v/>
      </c>
      <c r="OS114" s="43" t="str">
        <f t="shared" si="352"/>
        <v/>
      </c>
      <c r="OT114" s="43" t="str">
        <f t="shared" si="353"/>
        <v/>
      </c>
      <c r="OU114" s="43" t="str">
        <f t="shared" si="354"/>
        <v/>
      </c>
      <c r="OV114" s="110" t="str">
        <f t="shared" si="355"/>
        <v/>
      </c>
      <c r="OW114" s="43" t="str">
        <f t="shared" si="356"/>
        <v/>
      </c>
      <c r="OX114" s="43" t="str">
        <f t="shared" si="357"/>
        <v/>
      </c>
      <c r="OY114" s="43" t="str">
        <f t="shared" si="358"/>
        <v/>
      </c>
      <c r="OZ114" s="43" t="str">
        <f t="shared" si="359"/>
        <v/>
      </c>
      <c r="PA114" s="43" t="str">
        <f t="shared" si="360"/>
        <v/>
      </c>
      <c r="PB114" s="43" t="str">
        <f t="shared" si="361"/>
        <v/>
      </c>
      <c r="PC114" s="43" t="str">
        <f t="shared" si="362"/>
        <v/>
      </c>
      <c r="PD114" s="43" t="str">
        <f t="shared" si="363"/>
        <v/>
      </c>
      <c r="PE114" s="43" t="str">
        <f t="shared" si="364"/>
        <v/>
      </c>
      <c r="PF114" s="43" t="str">
        <f t="shared" si="365"/>
        <v/>
      </c>
      <c r="PG114" s="43" t="str">
        <f t="shared" si="366"/>
        <v/>
      </c>
      <c r="PH114" s="43" t="str">
        <f t="shared" si="367"/>
        <v/>
      </c>
      <c r="PI114" s="43">
        <f t="shared" si="368"/>
        <v>31</v>
      </c>
      <c r="PJ114" s="43" t="str">
        <f t="shared" si="369"/>
        <v/>
      </c>
      <c r="PK114" s="43" t="str">
        <f t="shared" si="370"/>
        <v/>
      </c>
      <c r="PL114" s="43" t="str">
        <f t="shared" si="371"/>
        <v/>
      </c>
      <c r="PM114" s="43" t="str">
        <f t="shared" si="372"/>
        <v/>
      </c>
      <c r="PN114" s="43" t="str">
        <f t="shared" si="373"/>
        <v/>
      </c>
      <c r="PO114" s="43" t="str">
        <f t="shared" si="374"/>
        <v/>
      </c>
      <c r="PP114" s="43" t="str">
        <f t="shared" si="375"/>
        <v/>
      </c>
      <c r="PQ114" s="43" t="str">
        <f t="shared" si="376"/>
        <v/>
      </c>
      <c r="PR114" s="43" t="str">
        <f t="shared" si="377"/>
        <v/>
      </c>
      <c r="PS114" s="43" t="str">
        <f t="shared" si="378"/>
        <v/>
      </c>
      <c r="PT114" s="43" t="str">
        <f t="shared" si="379"/>
        <v/>
      </c>
      <c r="PU114" s="43" t="str">
        <f t="shared" si="380"/>
        <v/>
      </c>
      <c r="PV114" s="43" t="str">
        <f t="shared" si="381"/>
        <v/>
      </c>
      <c r="PW114" s="43" t="str">
        <f t="shared" si="382"/>
        <v/>
      </c>
      <c r="PX114" s="43" t="str">
        <f t="shared" si="383"/>
        <v/>
      </c>
      <c r="PY114" s="43" t="str">
        <f t="shared" si="384"/>
        <v/>
      </c>
      <c r="PZ114" s="43" t="str">
        <f t="shared" si="385"/>
        <v/>
      </c>
      <c r="QA114" s="43" t="str">
        <f t="shared" si="386"/>
        <v/>
      </c>
      <c r="QB114" s="43" t="str">
        <f t="shared" si="387"/>
        <v/>
      </c>
      <c r="QC114" s="43" t="str">
        <f t="shared" si="388"/>
        <v/>
      </c>
      <c r="QD114" s="43" t="str">
        <f t="shared" si="389"/>
        <v/>
      </c>
      <c r="QE114" s="43" t="str">
        <f t="shared" si="390"/>
        <v/>
      </c>
      <c r="QF114" s="43" t="str">
        <f t="shared" si="391"/>
        <v>NORMAL</v>
      </c>
      <c r="QG114" s="43" t="str">
        <f t="shared" si="392"/>
        <v/>
      </c>
      <c r="QH114" s="43" t="str">
        <f t="shared" si="393"/>
        <v/>
      </c>
      <c r="QI114" s="43" t="str">
        <f t="shared" si="394"/>
        <v/>
      </c>
      <c r="QJ114" s="43" t="str">
        <f t="shared" si="395"/>
        <v/>
      </c>
      <c r="QK114" s="43" t="str">
        <f t="shared" si="396"/>
        <v/>
      </c>
      <c r="QL114" s="43" t="str">
        <f t="shared" si="397"/>
        <v/>
      </c>
      <c r="QM114" s="43" t="str">
        <f t="shared" si="398"/>
        <v/>
      </c>
      <c r="QN114" s="43" t="str">
        <f t="shared" si="399"/>
        <v/>
      </c>
      <c r="QO114" s="43" t="str">
        <f t="shared" si="400"/>
        <v/>
      </c>
      <c r="QP114" s="43" t="str">
        <f t="shared" si="401"/>
        <v/>
      </c>
      <c r="QQ114" s="43" t="str">
        <f t="shared" si="402"/>
        <v/>
      </c>
      <c r="QR114" s="43">
        <f t="shared" si="432"/>
        <v>31</v>
      </c>
      <c r="QS114" s="43"/>
      <c r="QT114" s="21" t="str">
        <f t="shared" si="403"/>
        <v/>
      </c>
      <c r="QU114" s="21" t="str">
        <f t="shared" si="404"/>
        <v/>
      </c>
      <c r="QV114" s="21" t="str">
        <f t="shared" si="405"/>
        <v/>
      </c>
      <c r="QW114" s="21" t="str">
        <f t="shared" si="406"/>
        <v/>
      </c>
      <c r="QX114" s="21" t="str">
        <f t="shared" si="407"/>
        <v/>
      </c>
      <c r="QY114" s="21" t="str">
        <f t="shared" si="408"/>
        <v/>
      </c>
      <c r="QZ114" s="21" t="str">
        <f t="shared" si="409"/>
        <v/>
      </c>
      <c r="RA114" s="21" t="str">
        <f t="shared" si="410"/>
        <v/>
      </c>
      <c r="RB114" s="21" t="str">
        <f t="shared" si="411"/>
        <v/>
      </c>
      <c r="RC114" s="21" t="str">
        <f t="shared" si="412"/>
        <v/>
      </c>
      <c r="RD114" s="21" t="str">
        <f t="shared" si="413"/>
        <v/>
      </c>
      <c r="RE114" s="21" t="str">
        <f t="shared" si="414"/>
        <v/>
      </c>
      <c r="RF114" s="21" t="str">
        <f t="shared" si="415"/>
        <v/>
      </c>
      <c r="RG114" s="21" t="str">
        <f t="shared" si="416"/>
        <v/>
      </c>
      <c r="RH114" s="21" t="str">
        <f t="shared" si="417"/>
        <v/>
      </c>
      <c r="RI114" s="21" t="str">
        <f t="shared" si="418"/>
        <v/>
      </c>
      <c r="RJ114" s="21" t="str">
        <f t="shared" si="419"/>
        <v/>
      </c>
      <c r="RK114" s="21" t="str">
        <f t="shared" si="420"/>
        <v/>
      </c>
      <c r="RL114" s="21" t="str">
        <f t="shared" si="421"/>
        <v>ADECUADO PARA EDAD GESTACIONAL</v>
      </c>
      <c r="RM114" s="21" t="str">
        <f t="shared" si="422"/>
        <v/>
      </c>
      <c r="RN114" s="21" t="str">
        <f t="shared" si="423"/>
        <v/>
      </c>
      <c r="RO114" s="21" t="str">
        <f t="shared" si="424"/>
        <v/>
      </c>
      <c r="RP114" s="21" t="str">
        <f t="shared" si="425"/>
        <v/>
      </c>
      <c r="RQ114" s="21" t="str">
        <f t="shared" si="426"/>
        <v/>
      </c>
      <c r="RR114" s="21" t="str">
        <f t="shared" si="427"/>
        <v/>
      </c>
      <c r="RS114" s="21" t="str">
        <f t="shared" si="428"/>
        <v/>
      </c>
      <c r="RT114" s="21" t="str">
        <f t="shared" si="429"/>
        <v/>
      </c>
      <c r="RU114" s="21" t="str">
        <f t="shared" si="430"/>
        <v/>
      </c>
      <c r="RV114" s="21">
        <f t="shared" si="431"/>
        <v>5.7142857142857144</v>
      </c>
      <c r="RW114" s="284">
        <f>IF(OR(Tabla1[[#This Row],[FUM FORMULA CONFIABLE]]="",Tabla1[[#This Row],[FUM FORMULA CONFIABLE]]="SD"),"",IF(Tabla1[[#This Row],[FUM FORMULA CONFIABLE]]="CORREGIDA",Tabla1[[#This Row],[FUM X ECO 1]],Tabla1[[#This Row],[FUM x AMENORREA]]))</f>
        <v>44941</v>
      </c>
      <c r="RX114" s="21">
        <f>IF(AND(Tabla1[[#This Row],[FUM X ECO 1]]="",Tabla1[[#This Row],[FUM x AMENORREA]]=""),"",IF(AND(Tabla1[[#This Row],[FUM X ECO 1]]="",Tabla1[[#This Row],[FUM x AMENORREA]]&lt;&gt;""),"X",SUM(Tabla1[[#This Row],[FUM X ECO 1]]-Tabla1[[#This Row],[FUM x AMENORREA]])))</f>
        <v>2.1999999999970896</v>
      </c>
      <c r="RY114" s="21">
        <f t="shared" si="433"/>
        <v>0</v>
      </c>
    </row>
    <row r="115" spans="1:493" ht="45" customHeight="1" x14ac:dyDescent="0.25">
      <c r="A115" s="109"/>
      <c r="B115" s="43"/>
      <c r="C115" s="43" t="s">
        <v>845</v>
      </c>
      <c r="D115" s="124"/>
      <c r="E115" s="43" t="s">
        <v>1342</v>
      </c>
      <c r="F115" s="43" t="s">
        <v>1343</v>
      </c>
      <c r="G115" s="43" t="s">
        <v>938</v>
      </c>
      <c r="H115" s="43" t="s">
        <v>1344</v>
      </c>
      <c r="I115" s="109" t="s">
        <v>851</v>
      </c>
      <c r="J115" s="110">
        <v>1113541820</v>
      </c>
      <c r="K115" s="43" t="s">
        <v>852</v>
      </c>
      <c r="L115" s="175" t="s">
        <v>853</v>
      </c>
      <c r="M115" s="22">
        <v>36355</v>
      </c>
      <c r="N115" s="213">
        <f t="shared" ca="1" si="252"/>
        <v>24.323287671232876</v>
      </c>
      <c r="O115" s="22">
        <v>44982</v>
      </c>
      <c r="P115" s="214" t="str">
        <f t="shared" si="437"/>
        <v>SI</v>
      </c>
      <c r="Q115" s="26" t="s">
        <v>855</v>
      </c>
      <c r="R115" s="22">
        <v>44982</v>
      </c>
      <c r="S115" s="21" t="s">
        <v>856</v>
      </c>
      <c r="T115" s="24" t="s">
        <v>690</v>
      </c>
      <c r="U115" s="21" t="s">
        <v>857</v>
      </c>
      <c r="V115" s="21" t="s">
        <v>858</v>
      </c>
      <c r="W115" s="21" t="s">
        <v>1259</v>
      </c>
      <c r="X115" s="21" t="s">
        <v>1259</v>
      </c>
      <c r="Y115" s="21" t="s">
        <v>859</v>
      </c>
      <c r="Z115" s="21">
        <v>3245399898</v>
      </c>
      <c r="AA115" s="21" t="s">
        <v>860</v>
      </c>
      <c r="AB115" s="27" t="s">
        <v>861</v>
      </c>
      <c r="AC115" s="26" t="s">
        <v>862</v>
      </c>
      <c r="AD115" s="38" t="s">
        <v>1546</v>
      </c>
      <c r="AE115" s="26" t="s">
        <v>854</v>
      </c>
      <c r="AF115" s="26" t="s">
        <v>854</v>
      </c>
      <c r="AG115" s="23" t="s">
        <v>864</v>
      </c>
      <c r="AH115" s="23" t="s">
        <v>864</v>
      </c>
      <c r="AI115" s="24" t="s">
        <v>863</v>
      </c>
      <c r="AJ115" s="23" t="s">
        <v>864</v>
      </c>
      <c r="AK115" s="220" t="str">
        <f>IF(AND(AD115="",AE115="",AF115="",AG115="",AH115="",AI115="",AJ115=""),"",IF(OR(Tabla1[[#This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EVALUACIÓN",IF(AND(O115="",R115=""),"",IF(AND(OR(O115&gt;0,R115&gt;0),NG115&gt;=0,NG115&lt;2),"SIN RIESGO",IF(AND(OR(O115&gt;0,R115&gt;0),NG115&gt;=2),"CON RIESGO","ASD")))))</f>
        <v>SIN RIESGO</v>
      </c>
      <c r="AL115" s="23" t="s">
        <v>864</v>
      </c>
      <c r="AM115" s="26" t="s">
        <v>864</v>
      </c>
      <c r="AN115" s="26" t="s">
        <v>864</v>
      </c>
      <c r="AO115" s="26" t="s">
        <v>864</v>
      </c>
      <c r="AP115" s="26" t="s">
        <v>864</v>
      </c>
      <c r="AQ115" s="26" t="s">
        <v>864</v>
      </c>
      <c r="AR115" s="26" t="s">
        <v>864</v>
      </c>
      <c r="AS115" s="21">
        <v>3</v>
      </c>
      <c r="AT115" s="21">
        <v>2</v>
      </c>
      <c r="AU115" s="21">
        <v>1</v>
      </c>
      <c r="AV115" s="26" t="s">
        <v>864</v>
      </c>
      <c r="AW115" s="21">
        <v>0</v>
      </c>
      <c r="AX115" s="26" t="s">
        <v>864</v>
      </c>
      <c r="AY115" s="26" t="s">
        <v>864</v>
      </c>
      <c r="AZ115" s="26" t="s">
        <v>854</v>
      </c>
      <c r="BA115" s="26" t="s">
        <v>864</v>
      </c>
      <c r="BB115" s="26" t="s">
        <v>864</v>
      </c>
      <c r="BC115" s="26" t="s">
        <v>864</v>
      </c>
      <c r="BD115" s="26" t="s">
        <v>864</v>
      </c>
      <c r="BE115" s="26" t="s">
        <v>864</v>
      </c>
      <c r="BF115" s="26" t="s">
        <v>864</v>
      </c>
      <c r="BG115" s="26" t="s">
        <v>864</v>
      </c>
      <c r="BH115" s="26" t="s">
        <v>864</v>
      </c>
      <c r="BI115" s="26" t="s">
        <v>864</v>
      </c>
      <c r="BJ115" s="26" t="s">
        <v>864</v>
      </c>
      <c r="BK115" s="26" t="s">
        <v>864</v>
      </c>
      <c r="BL115" s="26" t="s">
        <v>864</v>
      </c>
      <c r="BM115" s="26" t="s">
        <v>864</v>
      </c>
      <c r="BN115" s="22">
        <v>43661</v>
      </c>
      <c r="BO115" s="22">
        <v>44892</v>
      </c>
      <c r="BP115" s="21" t="s">
        <v>854</v>
      </c>
      <c r="BQ115" s="222">
        <f t="shared" si="254"/>
        <v>41.033333333333331</v>
      </c>
      <c r="BR115" s="223">
        <f t="shared" si="255"/>
        <v>44889.3</v>
      </c>
      <c r="BS115" s="224">
        <f t="shared" si="256"/>
        <v>12.857142857142858</v>
      </c>
      <c r="BT115" s="216" t="str">
        <f t="shared" si="257"/>
        <v>II TRIM</v>
      </c>
      <c r="BU115" s="214" t="str">
        <f t="shared" ca="1" si="258"/>
        <v/>
      </c>
      <c r="BV115" s="25"/>
      <c r="BW115" s="22">
        <v>44995</v>
      </c>
      <c r="BX115" s="28">
        <v>15.1</v>
      </c>
      <c r="BY115" s="28" t="s">
        <v>988</v>
      </c>
      <c r="BZ115" s="22">
        <v>45121</v>
      </c>
      <c r="CA115" s="21">
        <v>33.299999999999997</v>
      </c>
      <c r="CB115" s="26" t="s">
        <v>864</v>
      </c>
      <c r="CC115" s="26" t="s">
        <v>864</v>
      </c>
      <c r="CD115" s="26" t="s">
        <v>878</v>
      </c>
      <c r="CE115" s="26" t="s">
        <v>864</v>
      </c>
      <c r="CF115" s="22" t="s">
        <v>1517</v>
      </c>
      <c r="CG115" s="21">
        <v>1.68</v>
      </c>
      <c r="CH115" s="21">
        <v>47.1</v>
      </c>
      <c r="CI115" s="214">
        <f t="shared" si="259"/>
        <v>16.687925170068031</v>
      </c>
      <c r="CJ115" s="225" t="e">
        <f>IF(AND(CI115&lt;10,CH115="SD"),"SIN DATO PESO PREGESTACION O I TRIM",IF(AND(OR(R115&gt;0,O115&gt;0),CI115="X"),"INGRESAR DATO DE PESO",IF(CI115="SD","INGRESAR DATO DE TALLA Y PESO",IF(AND(OR(Tabla1[[#This Row],[MOMENTO EN QUE SE REALIZA EL PESO AL INGRESO A CPN]]="PREGESTACIÓN",NZ115="Menor"),CI115&lt;18.5),"BAJO PESO",IF(AND(OR(Tabla1[[#This Row],[MOMENTO EN QUE SE REALIZA EL PESO AL INGRESO A CPN]]="PREGESTACIÓN",NZ115="Menor"),CI115&lt;25),"NORMAL",IF(AND(OR(Tabla1[[#This Row],[MOMENTO EN QUE SE REALIZA EL PESO AL INGRESO A CPN]]="PREGESTACIÓN",NZ115="Menor"),CI115&lt;30),"SOBREPESO",IF(AND(OR(Tabla1[[#This Row],[MOMENTO EN QUE SE REALIZA EL PESO AL INGRESO A CPN]]="PREGESTACIÓN",NZ115="Menor"),CI115&gt;=30,CI115&lt;50),"OBESIDAD",IF(AND(BS115&gt;0,Tabla1[[#This Row],[MOMENTO EN QUE SE REALIZA EL PESO AL INGRESO A CPN]]="GESTACIÓN"),HLOOKUP(NZ115,$OA$2:PH115,NY115),""))))))))</f>
        <v>#REF!</v>
      </c>
      <c r="CK115" s="212">
        <f t="shared" si="260"/>
        <v>45121</v>
      </c>
      <c r="CL115" s="21">
        <v>52</v>
      </c>
      <c r="CM115" s="214">
        <f t="shared" si="261"/>
        <v>18.424036281179141</v>
      </c>
      <c r="CN115" s="216">
        <f t="shared" si="262"/>
        <v>32</v>
      </c>
      <c r="CO115" s="216" t="e">
        <f>IF(PI115="","",IF(PI115&gt;0,HLOOKUP(PI115,$PJ$2:QQ115,NY115),""))</f>
        <v>#REF!</v>
      </c>
      <c r="CP115" s="21">
        <v>30</v>
      </c>
      <c r="CQ115" s="216" t="e">
        <f>IF(QR115="Menor","NO APLICA-MENOR 13 SEM",IF(AND(CC115="SI",CN115&gt;23),"NO APLICA- GEMELAR",IF(QR115="","",IF(QR115&gt;0,HLOOKUP(QR115,$QS$2:RU115,NY115),""))))</f>
        <v>#REF!</v>
      </c>
      <c r="CR115" s="21">
        <v>90</v>
      </c>
      <c r="CS115" s="21">
        <v>60</v>
      </c>
      <c r="CT115" s="217" t="str">
        <f>IF(R115="","",IF(AND(BS115&gt;1,BS115&lt;12,Tabla1[[#This Row],[T.A. SISTOLICA - ANTES DE SEMANA 12]]="",Tabla1[[#This Row],[T.A. DIASTOLICA - ANTES DE SEMANA 12]]=""),"REGISTRE DATO TA ANTES SEMANA 12",IF(AND(BS115&gt;11,BS115&lt;43,Tabla1[[#This Row],[T.A. SISTOLICA - ANTES DE SEMANA 12]]="",Tabla1[[#This Row],[T.A. DIASTOLICA - ANTES DE SEMANA 12]]=""),"NO APLICA REGISTRO TA-INGRESO TARDIO",IF(AND(OR(O115&gt;0,R115&gt;0),OR(CR115&gt;=140,CS115&gt;=90)),"DEFINIR ESTADIO HTA",IF(AND(OR(O115&gt;0,R115&gt;0),AND(CR115&gt;120,CR115&lt;=139)),"PRE HTA SEGUIMIENTO",IF(AND(OR(O115&gt;0,R115&gt;0),AND(CS115&gt;80,CS115&lt;=89)),"PRE HTA SEGUIMIENTO",IF(AND(OR(O115&gt;0,R115&gt;0),AND(CR115&gt;=80,CR115&lt;=120)),"APARENTEMENTE NORMAL",IF(AND(OR(O115&gt;0,R115&gt;0),AND(CS115&gt;=50,CS115&lt;=80)),"APARENTEMENTE NORMAL",IF(AND(OR(O115&gt;0,R115&gt;0),AND(CR115&gt;1,CR115&lt;=70),AND(CS115&gt;1,CS115&lt;=40)),"HIPOTENSIÓN","")))))))))</f>
        <v>APARENTEMENTE NORMAL</v>
      </c>
      <c r="CU115" s="21"/>
      <c r="CV115" s="21"/>
      <c r="CW115" s="217" t="str">
        <f ca="1">IF(R115="","",IF(AND(CN115&gt;19,CN115&lt;27,Tabla1[[#This Row],[T.A. SISTOLICA (Entre semana 20 y 26)]]="",Tabla1[[#This Row],[T.A. DIATOLICA (Entre semana 20 y 26)]]=""),"ACUDE A CONTROL SEM 20 A 26 REGISTRE TA AHORA",IF(AND(BS115&gt;1,BS115&lt;27,BU115&gt;19,Tabla1[[#This Row],[T.A. SISTOLICA (Entre semana 20 y 26)]]="",Tabla1[[#This Row],[T.A. DIATOLICA (Entre semana 20 y 26)]]=""),"COMPLETE REGISTRO TA CONTROL SEM 20 A26 ",IF(AND(BS115&gt;26,BS115&lt;43,Tabla1[[#This Row],[T.A. SISTOLICA (Entre semana 20 y 26)]]="",Tabla1[[#This Row],[T.A. DIATOLICA (Entre semana 20 y 26)]]=""),"NO APLICA REGISTRO TA-INGRESO TARDIO",IF(AND(OR(O115&gt;0,R115&gt;0),OR(CU115&gt;=140,CV115&gt;=90)),"ALTO RIESGO PREECLAMPSIA,DEFINIR ESTADIO HTA",IF(AND(OR(O115&gt;0,R115&gt;0),AND(CU115&gt;120,CU115&lt;=139)),"PRE HTA SEGUIMIENTO,RIESGO HIPERTENSION INDUCIDA POR EL EMBARAZO",IF(AND(OR(O115&gt;0,R115&gt;0),AND(CV115&gt;80,CV115&lt;=89)),"PRE HTA SEGUIMIENTO, RIESGO HIPERTENSION INDUCIDA POR EL EMBARAZO",IF(AND(OR(O115&lt;&gt;"",R115&lt;&gt;""),CS115&lt;&gt;"",CV115&lt;&gt;"",CS115&lt;=CV115),"VIGILAR CIFRAS PRESION ARTERIAL",IF(AND(OR(O115&gt;0,R115&gt;0),AND(CU115&gt;120,CU115&lt;=139)),"PRE HTA SEGUIMIENTO",IF(AND(OR(O115&gt;0,R115&gt;0),AND(CU115&gt;1,CU115&lt;=70),AND(CV115&gt;1,CV115&lt;=40)),"HIPOTENSIÓN",IF(AND(OR(O115&lt;&gt;"",R115&lt;&gt;""),CS115&lt;&gt;"",CV115&lt;&gt;"",CS115&gt;CV115),"APARENTEMENTE NORMAL",IF(AND(OR(O115&gt;0,R115&gt;0),AND(CU115&gt;=80,CU115&lt;=120)),"APARENTEMENTE NORMAL",IF(AND(OR(O115&gt;0,R115&gt;0),AND(CV115&gt;=50,CV115&lt;=80)),"APARENTEMENTE NORMAL","")))))))))))))</f>
        <v xml:space="preserve">COMPLETE REGISTRO TA CONTROL SEM 20 A26 </v>
      </c>
      <c r="CX115" s="21">
        <v>90</v>
      </c>
      <c r="CY115" s="21">
        <v>60</v>
      </c>
      <c r="CZ115" s="216" t="str">
        <f t="shared" si="456"/>
        <v>APARENTEMENTE NORMAL</v>
      </c>
      <c r="DA115" s="21">
        <v>90</v>
      </c>
      <c r="DB115" s="21">
        <v>60</v>
      </c>
      <c r="DC115" s="217" t="str">
        <f t="shared" si="264"/>
        <v>APARENTEMENTE NORMAL</v>
      </c>
      <c r="DD115" s="22">
        <v>44982</v>
      </c>
      <c r="DE115" s="22">
        <v>44982</v>
      </c>
      <c r="DF115" s="22">
        <v>45010</v>
      </c>
      <c r="DG115" s="22">
        <v>45121</v>
      </c>
      <c r="DH115" s="22"/>
      <c r="DI115" s="22"/>
      <c r="DJ115" s="22"/>
      <c r="DK115" s="22"/>
      <c r="DL115" s="22"/>
      <c r="DM115" s="22"/>
      <c r="DN115" s="22"/>
      <c r="DO115" s="22"/>
      <c r="DP115" s="22"/>
      <c r="DQ115" s="22"/>
      <c r="DR115" s="28">
        <v>2</v>
      </c>
      <c r="DS115" s="22"/>
      <c r="DT115" s="22"/>
      <c r="DU115" s="216" t="str">
        <f t="shared" ca="1" si="438"/>
        <v>CONCERTAR PLAN DE PARTO INMEDIATO</v>
      </c>
      <c r="DV115" s="226" t="str">
        <f t="shared" si="439"/>
        <v>ACTIVA INGRESO A CPN</v>
      </c>
      <c r="DW1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5" s="216" t="e">
        <f t="shared" ca="1" si="266"/>
        <v>#REF!</v>
      </c>
      <c r="DY115" s="212">
        <f>IF(R115="","",IF(R115&gt;0,MAX(Tabla1[[#This Row],[FECHA C2]:[FECHA C13]],Tabla1[[#This Row],[FECHA CONSULTA PRIMERA VEZ PROGRAMA CPN ]])))</f>
        <v>45121</v>
      </c>
      <c r="DZ115" s="216">
        <f t="shared" si="267"/>
        <v>32</v>
      </c>
      <c r="EA115" s="222">
        <f>IF(R115&gt;0,SUM(COUNTA(DF115:DQ115)+COUNTA(Tabla1[[#This Row],[FECHA CONSULTA PRIMERA VEZ PROGRAMA CPN ]])),"")</f>
        <v>3</v>
      </c>
      <c r="EB115" s="222" t="str">
        <f t="shared" si="268"/>
        <v>NO</v>
      </c>
      <c r="EC115" s="214">
        <f t="shared" si="269"/>
        <v>8</v>
      </c>
      <c r="ED115" s="227">
        <f t="shared" si="270"/>
        <v>0.375</v>
      </c>
      <c r="EE115" s="22">
        <v>44982</v>
      </c>
      <c r="EF115" s="22">
        <v>44982</v>
      </c>
      <c r="EG115" s="22">
        <v>44982</v>
      </c>
      <c r="EH115" s="22"/>
      <c r="EI115" s="22">
        <v>44982</v>
      </c>
      <c r="EJ115" s="22"/>
      <c r="EK115" s="22"/>
      <c r="EL115" s="21"/>
      <c r="EM115" s="21"/>
      <c r="EN115" s="22"/>
      <c r="EO115" s="222" t="str">
        <f t="shared" si="271"/>
        <v>TOMAR EXAMEN</v>
      </c>
      <c r="EP115" s="214" t="str">
        <f t="shared" si="272"/>
        <v/>
      </c>
      <c r="EQ115" s="216" t="str">
        <f t="shared" si="273"/>
        <v>POR DEFINIR</v>
      </c>
      <c r="ER115" s="24">
        <v>9.4</v>
      </c>
      <c r="ES115" s="22">
        <v>45013</v>
      </c>
      <c r="ET115" s="29">
        <f t="shared" ca="1" si="440"/>
        <v>17.285714285714285</v>
      </c>
      <c r="EU115" s="25" t="str">
        <f t="shared" si="275"/>
        <v>MANEJO MD POR ANEMIA FERROPENICA</v>
      </c>
      <c r="EV115" s="24" t="s">
        <v>1510</v>
      </c>
      <c r="EW115" s="22">
        <v>45013</v>
      </c>
      <c r="EX115" s="22"/>
      <c r="EY115" s="29">
        <f t="shared" si="453"/>
        <v>17.285714285714285</v>
      </c>
      <c r="EZ115" s="25" t="str">
        <f t="shared" si="454"/>
        <v>SIN RIESGO DE ISOINMUNIZACIÓN</v>
      </c>
      <c r="FA115" s="21">
        <v>81</v>
      </c>
      <c r="FB115" s="22">
        <v>45013</v>
      </c>
      <c r="FC115" s="29">
        <f t="shared" si="276"/>
        <v>17.285714285714285</v>
      </c>
      <c r="FD115" s="29"/>
      <c r="FE115" s="29"/>
      <c r="FF115" s="29"/>
      <c r="FG115" s="21" t="str">
        <f t="shared" ca="1" si="277"/>
        <v/>
      </c>
      <c r="FH115" s="31"/>
      <c r="FI115" s="29" t="str">
        <f t="shared" si="278"/>
        <v>TOMAR EXAMEN</v>
      </c>
      <c r="FJ115" s="22"/>
      <c r="FK115" s="22"/>
      <c r="FL115" s="29" t="str">
        <f t="shared" ca="1" si="279"/>
        <v>PIERDE TOMA DE TAMIZAJE</v>
      </c>
      <c r="FM115" s="22" t="s">
        <v>867</v>
      </c>
      <c r="FN115" s="22">
        <v>45013</v>
      </c>
      <c r="FO115" s="29">
        <f t="shared" ca="1" si="441"/>
        <v>17.285714285714285</v>
      </c>
      <c r="FP115" s="22"/>
      <c r="FQ115" s="32"/>
      <c r="FR115" s="29" t="str">
        <f t="shared" ca="1" si="442"/>
        <v>TOMA INMEDIATA DE TAMIZAJE</v>
      </c>
      <c r="FS115" s="22"/>
      <c r="FT115" s="32"/>
      <c r="FU115" s="29" t="str">
        <f>IF(AND(FJ115="",FM115="",FP115="",FS115=""),"",IF(OR(OR(Tabla1[[#This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5" s="28"/>
      <c r="FW115" s="22"/>
      <c r="FX115" s="29" t="str">
        <f t="shared" si="280"/>
        <v>TOMAR EXAMEN</v>
      </c>
      <c r="FY115" s="22"/>
      <c r="FZ115" s="22"/>
      <c r="GA115" s="29" t="str">
        <f t="shared" ca="1" si="452"/>
        <v/>
      </c>
      <c r="GB115" s="22" t="s">
        <v>868</v>
      </c>
      <c r="GC115" s="22">
        <v>45013</v>
      </c>
      <c r="GD115" s="29">
        <f t="shared" ca="1" si="490"/>
        <v>17.285714285714285</v>
      </c>
      <c r="GE115" s="22"/>
      <c r="GF115" s="22"/>
      <c r="GG115" s="29" t="str">
        <f t="shared" ca="1" si="444"/>
        <v>TOMA INMEDIATA DE TAMIZAJE</v>
      </c>
      <c r="GH115" s="22"/>
      <c r="GI115" s="29"/>
      <c r="GJ115" s="22"/>
      <c r="GK115" s="22"/>
      <c r="GL115" s="22"/>
      <c r="GM115" s="22"/>
      <c r="GN115" s="28" t="s">
        <v>869</v>
      </c>
      <c r="GO115" s="22">
        <v>45013</v>
      </c>
      <c r="GP115" s="29">
        <f t="shared" si="283"/>
        <v>17.285714285714285</v>
      </c>
      <c r="GQ115" s="28"/>
      <c r="GR115" s="28" t="s">
        <v>869</v>
      </c>
      <c r="GS115" s="22" t="str">
        <f t="shared" si="457"/>
        <v/>
      </c>
      <c r="GT115" s="22">
        <v>45013</v>
      </c>
      <c r="GU115" s="29">
        <f t="shared" si="285"/>
        <v>17.285714285714285</v>
      </c>
      <c r="GV115" s="21" t="str">
        <f t="shared" si="286"/>
        <v>II TRIM</v>
      </c>
      <c r="GW115" s="28"/>
      <c r="GX115" s="30"/>
      <c r="GY115" s="21"/>
      <c r="GZ115" s="21"/>
      <c r="HA115" s="21"/>
      <c r="HB115" s="21"/>
      <c r="HC115" s="21"/>
      <c r="HD115" s="21"/>
      <c r="HE115" s="21"/>
      <c r="HF115" s="22"/>
      <c r="HG115" s="22" t="str">
        <f>IF(OR(O115&gt;0,R115&gt;0),CONCATENATE(IF(Tabla1[[#This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5" s="22" t="e">
        <f t="shared" si="287"/>
        <v>#REF!</v>
      </c>
      <c r="HI115" s="22" t="e">
        <f t="shared" ca="1" si="288"/>
        <v>#REF!</v>
      </c>
      <c r="HJ115" s="21"/>
      <c r="HK115" s="21" t="str">
        <f t="shared" si="289"/>
        <v>SIN ANTECEDENTES DE RIESGO</v>
      </c>
      <c r="HL115" s="24" t="str">
        <f t="shared" si="290"/>
        <v>APARENTEMENTE NORMAL</v>
      </c>
      <c r="HM115" s="21" t="e">
        <f t="shared" ca="1" si="291"/>
        <v>#REF!</v>
      </c>
      <c r="HN115" s="30" t="str">
        <f t="shared" si="445"/>
        <v>ACTIVA INGRESO A CPN</v>
      </c>
      <c r="HO115" s="21"/>
      <c r="HP115" s="21"/>
      <c r="HQ115" s="21">
        <v>44982</v>
      </c>
      <c r="HR115" s="21" t="str">
        <f>IF(R115="","",IF(Tabla1[[#This Row],[ALARMA FACTORES DE RIESGO COMPLICACIONES HIPERTENSIVAS3]]="SIN ANTECEDENTES DE RIESGO","No Aplica para suministro de ASA",IF(AND(Tabla1[[#This Row],[FECHA INICIO DE SUMINISTRO DE ASA]]&gt;0,RV115&lt;12),"Inicia ASA ANTES de Sem 12",IF(AND(RV115&gt;11,RV115&lt;17,OR(HK115="RIESGO ALTO DE COMPLICACIONES HIPERTENSIVAS VER MANEJO GUIA SUMINISTRO ASA Y CALCIO",HK115="RIESGO MODERADO (2 O MAS CRITERIOS) VER MANEJO GUIA SUMINISTRO ASA Y CALCIO")),"Inicio oportuno de ASA",IF(AND(RV115&gt;12,OR(HK115="RIESGO ALTO DE COMPLICACIONES HIPERTENSIVAS VER MANEJO GUIA SUMINISTRO ASA Y CALCIO",HK115="RIESGO MODERADO (2 O MAS CRITERIOS) VER MANEJO GUIA SUMINISTRO ASA Y CALCIO")),"Inicio no oportuno mayor a 16 semanas",IF(AND(BU115&lt;12,OR(HK115="RIESGO ALTO DE COMPLICACIONES HIPERTENSIVAS VER MANEJO GUIA SUMINISTRO ASA Y CALCIO",HK115="RIESGO MODERADO (2 O MAS CRITERIOS) VER MANEJO GUIA SUMINISTRO ASA Y CALCIO")),"Pendiente Inicio de ASA a la semana 12",IF(AND(BU115&gt;11,BU115&lt;17,OR(HK115="RIESGO ALTO DE COMPLICACIONES HIPERTENSIVAS VER MANEJO GUIA SUMINISTRO ASA Y CALCIO",HK115="RIESGO MODERADO (2 O MAS CRITERIOS) VER MANEJO GUIA SUMINISTRO ASA Y CALCIO")),"Iniciar de inmediato ASA",IF(AND(BU115&gt;16,OR(HK115="RIESGO ALTO DE COMPLICACIONES HIPERTENSIVAS VER MANEJO GUIA SUMINISTRO ASA Y CALCIO",HK115="RIESGO MODERADO (2 O MAS CRITERIOS) VER MANEJO GUIA SUMINISTRO ASA Y CALCIO")),"Pierde Oportunidad, Inicio tardío de ASA","XXXXX"))))))))</f>
        <v>No Aplica para suministro de ASA</v>
      </c>
      <c r="HS115" s="22">
        <v>44982</v>
      </c>
      <c r="HT115" s="22" t="s">
        <v>870</v>
      </c>
      <c r="HU115" s="22">
        <v>44982</v>
      </c>
      <c r="HV115" s="22" t="s">
        <v>870</v>
      </c>
      <c r="HW115" s="22">
        <v>44982</v>
      </c>
      <c r="HX115" s="22" t="s">
        <v>870</v>
      </c>
      <c r="HY115" s="22">
        <v>44982</v>
      </c>
      <c r="HZ115" s="28">
        <f t="shared" si="292"/>
        <v>12.857142857142858</v>
      </c>
      <c r="IA115" s="26"/>
      <c r="IB115" s="26"/>
      <c r="IC115" s="111"/>
      <c r="ID115" s="22"/>
      <c r="IE115" s="22" t="str">
        <f t="shared" ca="1" si="293"/>
        <v/>
      </c>
      <c r="IF115" s="22"/>
      <c r="IG115" s="22">
        <f t="shared" si="294"/>
        <v>45172</v>
      </c>
      <c r="IH115" s="29">
        <f t="shared" ca="1" si="295"/>
        <v>-61</v>
      </c>
      <c r="II115" s="22" t="str">
        <f t="shared" ca="1" si="296"/>
        <v>POSIBLEMENTE NACIO</v>
      </c>
      <c r="IJ115" s="22"/>
      <c r="IK115" s="21"/>
      <c r="IL115" s="21"/>
      <c r="IM115" s="34"/>
      <c r="IN115" s="349"/>
      <c r="IO115" s="21"/>
      <c r="IP115" s="29" t="str">
        <f t="shared" si="489"/>
        <v/>
      </c>
      <c r="IQ115" s="288"/>
      <c r="IR115" s="21"/>
      <c r="IS115" s="21"/>
      <c r="IT115" s="21"/>
      <c r="IU115" s="21"/>
      <c r="IV115" s="21"/>
      <c r="IW115" s="21"/>
      <c r="IX115" s="21"/>
      <c r="IY115" s="21"/>
      <c r="IZ115" s="21"/>
      <c r="JA115" s="21"/>
      <c r="JB115" s="30"/>
      <c r="JC115" s="21"/>
      <c r="JD115" s="36"/>
      <c r="JE115" s="21" t="str">
        <f t="shared" si="491"/>
        <v/>
      </c>
      <c r="JF115" s="30"/>
      <c r="JG115" s="21"/>
      <c r="JH115" s="21"/>
      <c r="JI115" s="21"/>
      <c r="JJ115" s="30"/>
      <c r="JK115" s="22"/>
      <c r="JL115" s="22"/>
      <c r="JM115" s="21"/>
      <c r="JN115" s="36"/>
      <c r="JO115" s="21" t="str">
        <f t="shared" si="492"/>
        <v/>
      </c>
      <c r="JP115" s="22"/>
      <c r="JQ115" s="21"/>
      <c r="JR115" s="21"/>
      <c r="JS115" s="21"/>
      <c r="JT115" s="30"/>
      <c r="JU115" s="22"/>
      <c r="JV115" s="22"/>
      <c r="JW115" s="33"/>
      <c r="JX115" s="28" t="str">
        <f t="shared" si="493"/>
        <v/>
      </c>
      <c r="JY115" s="33"/>
      <c r="JZ115" s="28" t="str">
        <f t="shared" si="494"/>
        <v/>
      </c>
      <c r="KA115" s="21"/>
      <c r="KB115" s="21"/>
      <c r="KC115" s="21"/>
      <c r="KD115" s="37"/>
      <c r="KE115" s="28"/>
      <c r="KF115" s="28"/>
      <c r="KG115" s="28"/>
      <c r="KH115" s="39"/>
      <c r="KI115" s="39"/>
      <c r="KJ115" s="66"/>
      <c r="KK115" s="39"/>
      <c r="KL115" s="39"/>
      <c r="KM115" s="66"/>
      <c r="KN115" s="39"/>
      <c r="KO115" s="39"/>
      <c r="KP115" s="39"/>
      <c r="KQ115" s="39"/>
      <c r="KR115" s="39"/>
      <c r="KS115" s="39"/>
      <c r="KT115" s="39"/>
      <c r="KU115" s="38"/>
      <c r="KV115" s="38"/>
      <c r="KW115" s="38"/>
      <c r="KX115" s="38"/>
      <c r="KY115" s="38"/>
      <c r="KZ115" s="38"/>
      <c r="LA115" s="38"/>
      <c r="LB115" s="38"/>
      <c r="LC115" s="38"/>
      <c r="LD115" s="38"/>
      <c r="LE115" s="38"/>
      <c r="LF115" s="38"/>
      <c r="LG115" s="38"/>
      <c r="LH115" s="38"/>
      <c r="LI115" s="38"/>
      <c r="LJ115" s="38"/>
      <c r="LK115" s="38"/>
      <c r="LL115" s="38"/>
      <c r="LM115" s="38"/>
      <c r="LN115" s="38"/>
      <c r="LO115" s="38"/>
      <c r="LP115" s="38"/>
      <c r="LQ115" s="38"/>
      <c r="LR115" s="38"/>
      <c r="LS115" s="38"/>
      <c r="LT115" s="38"/>
      <c r="LU115" s="38"/>
      <c r="LV115" s="38"/>
      <c r="LW115" s="38"/>
      <c r="LX115" s="38"/>
      <c r="LY115" s="38"/>
      <c r="LZ115" s="38"/>
      <c r="MA115" s="38"/>
      <c r="MB115" s="38"/>
      <c r="MC115" s="38"/>
      <c r="MD115" s="38"/>
      <c r="ME115" s="38"/>
      <c r="MF115" s="38"/>
      <c r="MG115" s="38"/>
      <c r="MH115" s="43">
        <f t="shared" si="458"/>
        <v>0</v>
      </c>
      <c r="MI115" s="43" t="str">
        <f t="shared" si="459"/>
        <v/>
      </c>
      <c r="MJ115" s="43" t="str">
        <f t="shared" si="460"/>
        <v/>
      </c>
      <c r="MK115" s="43">
        <f t="shared" si="461"/>
        <v>0</v>
      </c>
      <c r="ML1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5" s="43">
        <f t="shared" si="462"/>
        <v>12.857142857142858</v>
      </c>
      <c r="MN115" s="43">
        <f t="shared" si="463"/>
        <v>2</v>
      </c>
      <c r="MO115" s="43">
        <f t="shared" si="464"/>
        <v>2023</v>
      </c>
      <c r="MP115" s="43" t="str">
        <f t="shared" si="465"/>
        <v>I TRIMESTRE AÑO</v>
      </c>
      <c r="MQ115" s="43">
        <f t="shared" si="466"/>
        <v>23.272558037669729</v>
      </c>
      <c r="MR115" s="43">
        <f t="shared" si="467"/>
        <v>0</v>
      </c>
      <c r="MS115" s="43" t="str">
        <f t="shared" si="468"/>
        <v xml:space="preserve"> DE 20 A 24 AÑOS</v>
      </c>
      <c r="MT115" s="43">
        <f t="shared" si="469"/>
        <v>0</v>
      </c>
      <c r="MU115" s="43">
        <f t="shared" si="470"/>
        <v>0</v>
      </c>
      <c r="MV115" s="43">
        <f t="shared" si="471"/>
        <v>0</v>
      </c>
      <c r="MW115" s="43">
        <f t="shared" si="472"/>
        <v>0</v>
      </c>
      <c r="MX115" s="43">
        <f t="shared" si="473"/>
        <v>1</v>
      </c>
      <c r="MY115" s="43" t="str">
        <f t="shared" ca="1" si="495"/>
        <v/>
      </c>
      <c r="MZ115" s="43" t="str">
        <f t="shared" si="474"/>
        <v/>
      </c>
      <c r="NA115" s="43">
        <f t="shared" si="475"/>
        <v>0</v>
      </c>
      <c r="NB115" s="43" t="str">
        <f t="shared" si="476"/>
        <v/>
      </c>
      <c r="NC115" s="43" t="str">
        <f t="shared" si="477"/>
        <v/>
      </c>
      <c r="ND115" s="43">
        <f t="shared" ca="1" si="478"/>
        <v>1</v>
      </c>
      <c r="NE115" s="43">
        <f>IF(OR(O115&gt;0,R115&gt;0),SUM(COUNTIF(Tabla1[[#This Row],[AÑOS AL INICIO5 CPN]],"&gt;=40"),COUNTIF(AS115,"0"),COUNTIF(AR115,"SI"),COUNTIF(CC115,"SI"),COUNTIF(BQ115,"&gt;119"),COUNTIF(CI115,"&gt;=35")),"")</f>
        <v>0</v>
      </c>
      <c r="NF115" s="43" t="str">
        <f t="shared" si="479"/>
        <v/>
      </c>
      <c r="NG115" s="43">
        <f t="shared" si="480"/>
        <v>0</v>
      </c>
      <c r="NH115" s="43">
        <f t="shared" si="481"/>
        <v>105.7</v>
      </c>
      <c r="NI1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CPN",P115="NO"),"Z",IF(AND(Tabla1[[#This Row],[CITA PROXIMO CONTROL]]="CITA MANUAL",Tabla1[[#This Row],[GESTANTES ACTUALES]]="ACTIVA INGRESO A CPN"),"W",IF(AND(Tabla1[[#This Row],[GESTANTES ACTUALES]]="SALIO PROGRAMA",IN115=""),"S",IF(AND(Tabla1[[#This Row],[CITA PROXIMO CONTROL]]&gt;0,IN115=""),(Tabla1[[#This Row],[CITA PROXIMO CONTROL]]-TODAY()),"SD"))))))))</f>
        <v>#REF!</v>
      </c>
      <c r="NJ115" s="43">
        <f>MONTH(Tabla1[[#This Row],[FECHA DE SALIDA  DEL PROGRAMA]])</f>
        <v>1</v>
      </c>
      <c r="NK115" s="43">
        <f>YEAR(Tabla1[[#This Row],[FECHA DE SALIDA  DEL PROGRAMA]])</f>
        <v>1900</v>
      </c>
      <c r="NL115" s="43" t="str">
        <f t="shared" si="482"/>
        <v>X</v>
      </c>
      <c r="NM115" s="43" t="str">
        <f t="shared" si="455"/>
        <v>NO</v>
      </c>
      <c r="NN115" s="43" t="str">
        <f ca="1">IF(AND(O115&gt;0,R115=""),"NO CPN",IF(AND(O115="",R115=""),"",IF(AND(R115&gt;0,Tabla1[[#This Row],[SEMANAS DE GESTACION ACTUALIZADAS]]&lt;=12),"NO APLICA",IF(AND(FH115&lt;&gt;"",FN115&lt;&gt;""),"SI","NO"))))</f>
        <v>NO</v>
      </c>
      <c r="NO115" s="43" t="str">
        <f ca="1">IF(AND(O115&gt;0,R115=""),"NO CPN",IF(AND(O115="",R115=""),"",IF(AND(R115&gt;0,Tabla1[[#This Row],[SEMANAS DE GESTACION ACTUALIZADAS]]&lt;=27),"NO APLICA",IF(AND(ES115&lt;&gt;"",FQ115&lt;&gt;"",GF115&lt;&gt;""),"SI","NO"))))</f>
        <v>NO</v>
      </c>
      <c r="NP115" s="204" t="str">
        <f t="shared" si="483"/>
        <v>II TRIM</v>
      </c>
      <c r="NQ115" s="21" t="str">
        <f t="shared" si="436"/>
        <v/>
      </c>
      <c r="NR115" s="21" t="str">
        <f t="shared" ca="1" si="496"/>
        <v>REVISAR FUM O FECHA SALIDA PROGRAMA</v>
      </c>
      <c r="NS115" s="205">
        <f t="shared" ca="1" si="484"/>
        <v>1</v>
      </c>
      <c r="NT115" s="21">
        <f t="shared" ca="1" si="485"/>
        <v>1</v>
      </c>
      <c r="NU115" s="21" t="str">
        <f t="shared" ca="1" si="486"/>
        <v>POR DEFINIR</v>
      </c>
      <c r="NV115" s="21" t="str">
        <f t="shared" ca="1" si="487"/>
        <v>POR DEFINIR</v>
      </c>
      <c r="NW115" s="206" t="str">
        <f>IF(AND(O115="",R115=""),"",IF(OR(AND(Tabla1[[#This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5" s="207" t="str">
        <f t="shared" ca="1" si="488"/>
        <v>SIN VACUNAR</v>
      </c>
      <c r="NY115" s="43">
        <f>ROW(Tabla1[[#This Row],['# DE TAMIZAJES SIFILIS TOMADOS ]])</f>
        <v>115</v>
      </c>
      <c r="NZ115" s="43">
        <f t="shared" si="333"/>
        <v>12</v>
      </c>
      <c r="OA115" s="43" t="str">
        <f t="shared" si="334"/>
        <v/>
      </c>
      <c r="OB115" s="43" t="str">
        <f t="shared" si="335"/>
        <v/>
      </c>
      <c r="OC115" s="43" t="str">
        <f t="shared" si="336"/>
        <v/>
      </c>
      <c r="OD115" s="43" t="str">
        <f t="shared" si="337"/>
        <v>BAJO PESO</v>
      </c>
      <c r="OE115" s="43" t="str">
        <f t="shared" si="338"/>
        <v/>
      </c>
      <c r="OF115" s="43" t="str">
        <f t="shared" si="339"/>
        <v/>
      </c>
      <c r="OG115" s="43" t="str">
        <f t="shared" si="340"/>
        <v/>
      </c>
      <c r="OH115" s="43" t="str">
        <f t="shared" si="341"/>
        <v/>
      </c>
      <c r="OI115" s="43" t="str">
        <f t="shared" si="342"/>
        <v/>
      </c>
      <c r="OJ115" s="43" t="str">
        <f t="shared" si="343"/>
        <v/>
      </c>
      <c r="OK115" s="43" t="str">
        <f t="shared" si="344"/>
        <v/>
      </c>
      <c r="OL115" s="43" t="str">
        <f t="shared" si="345"/>
        <v/>
      </c>
      <c r="OM115" s="43" t="str">
        <f t="shared" si="346"/>
        <v/>
      </c>
      <c r="ON115" s="43" t="str">
        <f t="shared" si="347"/>
        <v/>
      </c>
      <c r="OO115" s="43" t="str">
        <f t="shared" si="348"/>
        <v/>
      </c>
      <c r="OP115" s="43" t="str">
        <f t="shared" si="349"/>
        <v/>
      </c>
      <c r="OQ115" s="43" t="str">
        <f t="shared" si="350"/>
        <v/>
      </c>
      <c r="OR115" s="43" t="str">
        <f t="shared" si="351"/>
        <v/>
      </c>
      <c r="OS115" s="43" t="str">
        <f t="shared" si="352"/>
        <v/>
      </c>
      <c r="OT115" s="43" t="str">
        <f t="shared" si="353"/>
        <v/>
      </c>
      <c r="OU115" s="43" t="str">
        <f t="shared" si="354"/>
        <v/>
      </c>
      <c r="OV115" s="110" t="str">
        <f t="shared" si="355"/>
        <v/>
      </c>
      <c r="OW115" s="43" t="str">
        <f t="shared" si="356"/>
        <v/>
      </c>
      <c r="OX115" s="43" t="str">
        <f t="shared" si="357"/>
        <v/>
      </c>
      <c r="OY115" s="43" t="str">
        <f t="shared" si="358"/>
        <v/>
      </c>
      <c r="OZ115" s="43" t="str">
        <f t="shared" si="359"/>
        <v/>
      </c>
      <c r="PA115" s="43" t="str">
        <f t="shared" si="360"/>
        <v/>
      </c>
      <c r="PB115" s="43" t="str">
        <f t="shared" si="361"/>
        <v/>
      </c>
      <c r="PC115" s="43" t="str">
        <f t="shared" si="362"/>
        <v/>
      </c>
      <c r="PD115" s="43" t="str">
        <f t="shared" si="363"/>
        <v/>
      </c>
      <c r="PE115" s="43" t="str">
        <f t="shared" si="364"/>
        <v/>
      </c>
      <c r="PF115" s="43" t="str">
        <f t="shared" si="365"/>
        <v/>
      </c>
      <c r="PG115" s="43" t="str">
        <f t="shared" si="366"/>
        <v/>
      </c>
      <c r="PH115" s="43" t="str">
        <f t="shared" si="367"/>
        <v/>
      </c>
      <c r="PI115" s="43">
        <f t="shared" si="368"/>
        <v>32</v>
      </c>
      <c r="PJ115" s="43" t="str">
        <f t="shared" si="369"/>
        <v/>
      </c>
      <c r="PK115" s="43" t="str">
        <f t="shared" si="370"/>
        <v/>
      </c>
      <c r="PL115" s="43" t="str">
        <f t="shared" si="371"/>
        <v/>
      </c>
      <c r="PM115" s="43" t="str">
        <f t="shared" si="372"/>
        <v/>
      </c>
      <c r="PN115" s="43" t="str">
        <f t="shared" si="373"/>
        <v/>
      </c>
      <c r="PO115" s="43" t="str">
        <f t="shared" si="374"/>
        <v/>
      </c>
      <c r="PP115" s="43" t="str">
        <f t="shared" si="375"/>
        <v/>
      </c>
      <c r="PQ115" s="43" t="str">
        <f t="shared" si="376"/>
        <v/>
      </c>
      <c r="PR115" s="43" t="str">
        <f t="shared" si="377"/>
        <v/>
      </c>
      <c r="PS115" s="43" t="str">
        <f t="shared" si="378"/>
        <v/>
      </c>
      <c r="PT115" s="43" t="str">
        <f t="shared" si="379"/>
        <v/>
      </c>
      <c r="PU115" s="43" t="str">
        <f t="shared" si="380"/>
        <v/>
      </c>
      <c r="PV115" s="43" t="str">
        <f t="shared" si="381"/>
        <v/>
      </c>
      <c r="PW115" s="43" t="str">
        <f t="shared" si="382"/>
        <v/>
      </c>
      <c r="PX115" s="43" t="str">
        <f t="shared" si="383"/>
        <v/>
      </c>
      <c r="PY115" s="43" t="str">
        <f t="shared" si="384"/>
        <v/>
      </c>
      <c r="PZ115" s="43" t="str">
        <f t="shared" si="385"/>
        <v/>
      </c>
      <c r="QA115" s="43" t="str">
        <f t="shared" si="386"/>
        <v/>
      </c>
      <c r="QB115" s="43" t="str">
        <f t="shared" si="387"/>
        <v/>
      </c>
      <c r="QC115" s="43" t="str">
        <f t="shared" si="388"/>
        <v/>
      </c>
      <c r="QD115" s="43" t="str">
        <f t="shared" si="389"/>
        <v/>
      </c>
      <c r="QE115" s="43" t="str">
        <f t="shared" si="390"/>
        <v/>
      </c>
      <c r="QF115" s="43" t="str">
        <f t="shared" si="391"/>
        <v/>
      </c>
      <c r="QG115" s="43" t="str">
        <f t="shared" si="392"/>
        <v>BAJO PESO</v>
      </c>
      <c r="QH115" s="43" t="str">
        <f t="shared" si="393"/>
        <v/>
      </c>
      <c r="QI115" s="43" t="str">
        <f t="shared" si="394"/>
        <v/>
      </c>
      <c r="QJ115" s="43" t="str">
        <f t="shared" si="395"/>
        <v/>
      </c>
      <c r="QK115" s="43" t="str">
        <f t="shared" si="396"/>
        <v/>
      </c>
      <c r="QL115" s="43" t="str">
        <f t="shared" si="397"/>
        <v/>
      </c>
      <c r="QM115" s="43" t="str">
        <f t="shared" si="398"/>
        <v/>
      </c>
      <c r="QN115" s="43" t="str">
        <f t="shared" si="399"/>
        <v/>
      </c>
      <c r="QO115" s="43" t="str">
        <f t="shared" si="400"/>
        <v/>
      </c>
      <c r="QP115" s="43" t="str">
        <f t="shared" si="401"/>
        <v/>
      </c>
      <c r="QQ115" s="43" t="str">
        <f t="shared" si="402"/>
        <v/>
      </c>
      <c r="QR115" s="43">
        <f t="shared" si="432"/>
        <v>32</v>
      </c>
      <c r="QS115" s="43"/>
      <c r="QT115" s="21" t="str">
        <f t="shared" si="403"/>
        <v/>
      </c>
      <c r="QU115" s="21" t="str">
        <f t="shared" si="404"/>
        <v/>
      </c>
      <c r="QV115" s="21" t="str">
        <f t="shared" si="405"/>
        <v/>
      </c>
      <c r="QW115" s="21" t="str">
        <f t="shared" si="406"/>
        <v/>
      </c>
      <c r="QX115" s="21" t="str">
        <f t="shared" si="407"/>
        <v/>
      </c>
      <c r="QY115" s="21" t="str">
        <f t="shared" si="408"/>
        <v/>
      </c>
      <c r="QZ115" s="21" t="str">
        <f t="shared" si="409"/>
        <v/>
      </c>
      <c r="RA115" s="21" t="str">
        <f t="shared" si="410"/>
        <v/>
      </c>
      <c r="RB115" s="21" t="str">
        <f t="shared" si="411"/>
        <v/>
      </c>
      <c r="RC115" s="21" t="str">
        <f t="shared" si="412"/>
        <v/>
      </c>
      <c r="RD115" s="21" t="str">
        <f t="shared" si="413"/>
        <v/>
      </c>
      <c r="RE115" s="21" t="str">
        <f t="shared" si="414"/>
        <v/>
      </c>
      <c r="RF115" s="21" t="str">
        <f t="shared" si="415"/>
        <v/>
      </c>
      <c r="RG115" s="21" t="str">
        <f t="shared" si="416"/>
        <v/>
      </c>
      <c r="RH115" s="21" t="str">
        <f t="shared" si="417"/>
        <v/>
      </c>
      <c r="RI115" s="21" t="str">
        <f t="shared" si="418"/>
        <v/>
      </c>
      <c r="RJ115" s="21" t="str">
        <f t="shared" si="419"/>
        <v/>
      </c>
      <c r="RK115" s="21" t="str">
        <f t="shared" si="420"/>
        <v/>
      </c>
      <c r="RL115" s="21" t="str">
        <f t="shared" si="421"/>
        <v/>
      </c>
      <c r="RM115" s="21" t="str">
        <f t="shared" si="422"/>
        <v>ADECUADO PARA EDAD GESTACIONAL</v>
      </c>
      <c r="RN115" s="21" t="str">
        <f t="shared" si="423"/>
        <v/>
      </c>
      <c r="RO115" s="21" t="str">
        <f t="shared" si="424"/>
        <v/>
      </c>
      <c r="RP115" s="21" t="str">
        <f t="shared" si="425"/>
        <v/>
      </c>
      <c r="RQ115" s="21" t="str">
        <f t="shared" si="426"/>
        <v/>
      </c>
      <c r="RR115" s="21" t="str">
        <f t="shared" si="427"/>
        <v/>
      </c>
      <c r="RS115" s="21" t="str">
        <f t="shared" si="428"/>
        <v/>
      </c>
      <c r="RT115" s="21" t="str">
        <f t="shared" si="429"/>
        <v/>
      </c>
      <c r="RU115" s="21" t="str">
        <f t="shared" si="430"/>
        <v/>
      </c>
      <c r="RV115" s="21">
        <f t="shared" si="431"/>
        <v>12.857142857142858</v>
      </c>
      <c r="RW115" s="284">
        <f>IF(OR(Tabla1[[#This Row],[FUM FORMULA CONFIABLE]]="",Tabla1[[#This Row],[FUM FORMULA CONFIABLE]]="SD"),"",IF(Tabla1[[#This Row],[FUM FORMULA CONFIABLE]]="CORREGIDA",Tabla1[[#This Row],[FUM X ECO 1]],Tabla1[[#This Row],[FUM x AMENORREA]]))</f>
        <v>44892</v>
      </c>
      <c r="RX115" s="21">
        <f>IF(AND(Tabla1[[#This Row],[FUM X ECO 1]]="",Tabla1[[#This Row],[FUM x AMENORREA]]=""),"",IF(AND(Tabla1[[#This Row],[FUM X ECO 1]]="",Tabla1[[#This Row],[FUM x AMENORREA]]&lt;&gt;""),"X",SUM(Tabla1[[#This Row],[FUM X ECO 1]]-Tabla1[[#This Row],[FUM x AMENORREA]])))</f>
        <v>-2.6999999999970896</v>
      </c>
      <c r="RY115" s="21">
        <f t="shared" si="433"/>
        <v>0</v>
      </c>
    </row>
    <row r="116" spans="1:493" ht="45" customHeight="1" x14ac:dyDescent="0.25">
      <c r="A116" s="109"/>
      <c r="B116" s="43"/>
      <c r="C116" s="43" t="s">
        <v>845</v>
      </c>
      <c r="D116" s="124"/>
      <c r="E116" s="43" t="s">
        <v>953</v>
      </c>
      <c r="F116" s="43" t="s">
        <v>1345</v>
      </c>
      <c r="G116" s="43" t="s">
        <v>1346</v>
      </c>
      <c r="H116" s="43"/>
      <c r="I116" s="109" t="s">
        <v>851</v>
      </c>
      <c r="J116" s="110" t="s">
        <v>1347</v>
      </c>
      <c r="K116" s="43" t="s">
        <v>852</v>
      </c>
      <c r="L116" s="175" t="s">
        <v>853</v>
      </c>
      <c r="M116" s="22">
        <v>35034</v>
      </c>
      <c r="N116" s="213">
        <f t="shared" ca="1" si="252"/>
        <v>27.942465753424656</v>
      </c>
      <c r="O116" s="22">
        <v>44982</v>
      </c>
      <c r="P116" s="214" t="str">
        <f t="shared" si="437"/>
        <v>SI</v>
      </c>
      <c r="Q116" s="26" t="s">
        <v>855</v>
      </c>
      <c r="R116" s="22">
        <v>44982</v>
      </c>
      <c r="S116" s="21" t="s">
        <v>856</v>
      </c>
      <c r="T116" s="24" t="s">
        <v>690</v>
      </c>
      <c r="U116" s="21" t="s">
        <v>857</v>
      </c>
      <c r="V116" s="21" t="s">
        <v>858</v>
      </c>
      <c r="W116" s="21" t="s">
        <v>1302</v>
      </c>
      <c r="X116" s="21" t="s">
        <v>1302</v>
      </c>
      <c r="Y116" s="21" t="s">
        <v>859</v>
      </c>
      <c r="Z116" s="21">
        <v>3154361773</v>
      </c>
      <c r="AA116" s="21" t="s">
        <v>860</v>
      </c>
      <c r="AB116" s="27" t="s">
        <v>861</v>
      </c>
      <c r="AC116" s="26" t="s">
        <v>846</v>
      </c>
      <c r="AD116" s="38" t="s">
        <v>1546</v>
      </c>
      <c r="AE116" s="26" t="s">
        <v>854</v>
      </c>
      <c r="AF116" s="26" t="s">
        <v>854</v>
      </c>
      <c r="AG116" s="23" t="s">
        <v>864</v>
      </c>
      <c r="AH116" s="23" t="s">
        <v>864</v>
      </c>
      <c r="AI116" s="24" t="s">
        <v>863</v>
      </c>
      <c r="AJ116" s="23" t="s">
        <v>864</v>
      </c>
      <c r="AK116" s="220" t="str">
        <f>IF(AND(AD116="",AE116="",AF116="",AG116="",AH116="",AI116="",AJ116=""),"",IF(OR(Tabla1[[#This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EVALUACIÓN",IF(AND(O116="",R116=""),"",IF(AND(OR(O116&gt;0,R116&gt;0),NG116&gt;=0,NG116&lt;2),"SIN RIESGO",IF(AND(OR(O116&gt;0,R116&gt;0),NG116&gt;=2),"CON RIESGO","ASD")))))</f>
        <v>SIN RIESGO</v>
      </c>
      <c r="AL116" s="23" t="s">
        <v>864</v>
      </c>
      <c r="AM116" s="26" t="s">
        <v>864</v>
      </c>
      <c r="AN116" s="26" t="s">
        <v>864</v>
      </c>
      <c r="AO116" s="26" t="s">
        <v>864</v>
      </c>
      <c r="AP116" s="26" t="s">
        <v>864</v>
      </c>
      <c r="AQ116" s="26" t="s">
        <v>864</v>
      </c>
      <c r="AR116" s="26" t="s">
        <v>864</v>
      </c>
      <c r="AS116" s="21">
        <v>2</v>
      </c>
      <c r="AT116" s="21">
        <v>2</v>
      </c>
      <c r="AU116" s="21">
        <v>0</v>
      </c>
      <c r="AV116" s="26" t="s">
        <v>864</v>
      </c>
      <c r="AW116" s="21">
        <v>0</v>
      </c>
      <c r="AX116" s="26" t="s">
        <v>864</v>
      </c>
      <c r="AY116" s="26" t="s">
        <v>864</v>
      </c>
      <c r="AZ116" s="26" t="s">
        <v>864</v>
      </c>
      <c r="BA116" s="26" t="s">
        <v>864</v>
      </c>
      <c r="BB116" s="26" t="s">
        <v>864</v>
      </c>
      <c r="BC116" s="26" t="s">
        <v>864</v>
      </c>
      <c r="BD116" s="26" t="s">
        <v>864</v>
      </c>
      <c r="BE116" s="26" t="s">
        <v>864</v>
      </c>
      <c r="BF116" s="26" t="s">
        <v>864</v>
      </c>
      <c r="BG116" s="26" t="s">
        <v>864</v>
      </c>
      <c r="BH116" s="26" t="s">
        <v>864</v>
      </c>
      <c r="BI116" s="26" t="s">
        <v>864</v>
      </c>
      <c r="BJ116" s="26" t="s">
        <v>864</v>
      </c>
      <c r="BK116" s="26" t="s">
        <v>865</v>
      </c>
      <c r="BL116" s="26" t="s">
        <v>864</v>
      </c>
      <c r="BM116" s="26" t="s">
        <v>864</v>
      </c>
      <c r="BN116" s="22">
        <v>43332</v>
      </c>
      <c r="BO116" s="22">
        <v>44880</v>
      </c>
      <c r="BP116" s="21" t="s">
        <v>854</v>
      </c>
      <c r="BQ116" s="222">
        <f t="shared" si="254"/>
        <v>51.6</v>
      </c>
      <c r="BR116" s="223">
        <f t="shared" si="255"/>
        <v>44885.8</v>
      </c>
      <c r="BS116" s="224">
        <f t="shared" si="256"/>
        <v>14.571428571428571</v>
      </c>
      <c r="BT116" s="216" t="str">
        <f t="shared" si="257"/>
        <v>II TRIM</v>
      </c>
      <c r="BU116" s="214" t="str">
        <f t="shared" ca="1" si="258"/>
        <v/>
      </c>
      <c r="BV116" s="25"/>
      <c r="BW116" s="22">
        <v>45016</v>
      </c>
      <c r="BX116" s="28">
        <v>18.600000000000001</v>
      </c>
      <c r="BY116" s="28"/>
      <c r="BZ116" s="22">
        <v>45051</v>
      </c>
      <c r="CA116" s="21">
        <v>23.1</v>
      </c>
      <c r="CB116" s="26" t="s">
        <v>864</v>
      </c>
      <c r="CC116" s="26" t="s">
        <v>864</v>
      </c>
      <c r="CD116" s="26" t="s">
        <v>878</v>
      </c>
      <c r="CE116" s="26" t="s">
        <v>864</v>
      </c>
      <c r="CF116" s="22" t="s">
        <v>1517</v>
      </c>
      <c r="CG116" s="21">
        <v>1.55</v>
      </c>
      <c r="CH116" s="21">
        <v>61</v>
      </c>
      <c r="CI116" s="214">
        <f t="shared" si="259"/>
        <v>25.390218522372525</v>
      </c>
      <c r="CJ116" s="225" t="e">
        <f>IF(AND(CI116&lt;10,CH116="SD"),"SIN DATO PESO PREGESTACION O I TRIM",IF(AND(OR(R116&gt;0,O116&gt;0),CI116="X"),"INGRESAR DATO DE PESO",IF(CI116="SD","INGRESAR DATO DE TALLA Y PESO",IF(AND(OR(Tabla1[[#This Row],[MOMENTO EN QUE SE REALIZA EL PESO AL INGRESO A CPN]]="PREGESTACIÓN",NZ116="Menor"),CI116&lt;18.5),"BAJO PESO",IF(AND(OR(Tabla1[[#This Row],[MOMENTO EN QUE SE REALIZA EL PESO AL INGRESO A CPN]]="PREGESTACIÓN",NZ116="Menor"),CI116&lt;25),"NORMAL",IF(AND(OR(Tabla1[[#This Row],[MOMENTO EN QUE SE REALIZA EL PESO AL INGRESO A CPN]]="PREGESTACIÓN",NZ116="Menor"),CI116&lt;30),"SOBREPESO",IF(AND(OR(Tabla1[[#This Row],[MOMENTO EN QUE SE REALIZA EL PESO AL INGRESO A CPN]]="PREGESTACIÓN",NZ116="Menor"),CI116&gt;=30,CI116&lt;50),"OBESIDAD",IF(AND(BS116&gt;0,Tabla1[[#This Row],[MOMENTO EN QUE SE REALIZA EL PESO AL INGRESO A CPN]]="GESTACIÓN"),HLOOKUP(NZ116,$OA$2:PH116,NY116),""))))))))</f>
        <v>#REF!</v>
      </c>
      <c r="CK116" s="212">
        <f t="shared" si="260"/>
        <v>45139</v>
      </c>
      <c r="CL116" s="21">
        <v>67.400000000000006</v>
      </c>
      <c r="CM116" s="214">
        <f t="shared" si="261"/>
        <v>28.05411030176899</v>
      </c>
      <c r="CN116" s="216">
        <f t="shared" si="262"/>
        <v>37</v>
      </c>
      <c r="CO116" s="216" t="e">
        <f>IF(PI116="","",IF(PI116&gt;0,HLOOKUP(PI116,$PJ$2:QQ116,NY116),""))</f>
        <v>#REF!</v>
      </c>
      <c r="CP116" s="21">
        <v>31</v>
      </c>
      <c r="CQ116" s="216" t="e">
        <f>IF(QR116="Menor","NO APLICA-MENOR 13 SEM",IF(AND(CC116="SI",CN116&gt;23),"NO APLICA- GEMELAR",IF(QR116="","",IF(QR116&gt;0,HLOOKUP(QR116,$QS$2:RU116,NY116),""))))</f>
        <v>#REF!</v>
      </c>
      <c r="CR116" s="21">
        <v>100</v>
      </c>
      <c r="CS116" s="21">
        <v>60</v>
      </c>
      <c r="CT116" s="217" t="str">
        <f>IF(R116="","",IF(AND(BS116&gt;1,BS116&lt;12,Tabla1[[#This Row],[T.A. SISTOLICA - ANTES DE SEMANA 12]]="",Tabla1[[#This Row],[T.A. DIASTOLICA - ANTES DE SEMANA 12]]=""),"REGISTRE DATO TA ANTES SEMANA 12",IF(AND(BS116&gt;11,BS116&lt;43,Tabla1[[#This Row],[T.A. SISTOLICA - ANTES DE SEMANA 12]]="",Tabla1[[#This Row],[T.A. DIASTOLICA - ANTES DE SEMANA 12]]=""),"NO APLICA REGISTRO TA-INGRESO TARDIO",IF(AND(OR(O116&gt;0,R116&gt;0),OR(CR116&gt;=140,CS116&gt;=90)),"DEFINIR ESTADIO HTA",IF(AND(OR(O116&gt;0,R116&gt;0),AND(CR116&gt;120,CR116&lt;=139)),"PRE HTA SEGUIMIENTO",IF(AND(OR(O116&gt;0,R116&gt;0),AND(CS116&gt;80,CS116&lt;=89)),"PRE HTA SEGUIMIENTO",IF(AND(OR(O116&gt;0,R116&gt;0),AND(CR116&gt;=80,CR116&lt;=120)),"APARENTEMENTE NORMAL",IF(AND(OR(O116&gt;0,R116&gt;0),AND(CS116&gt;=50,CS116&lt;=80)),"APARENTEMENTE NORMAL",IF(AND(OR(O116&gt;0,R116&gt;0),AND(CR116&gt;1,CR116&lt;=70),AND(CS116&gt;1,CS116&lt;=40)),"HIPOTENSIÓN","")))))))))</f>
        <v>APARENTEMENTE NORMAL</v>
      </c>
      <c r="CU116" s="21">
        <v>90</v>
      </c>
      <c r="CV116" s="21">
        <v>60</v>
      </c>
      <c r="CW116" s="217" t="str">
        <f ca="1">IF(R116="","",IF(AND(CN116&gt;19,CN116&lt;27,Tabla1[[#This Row],[T.A. SISTOLICA (Entre semana 20 y 26)]]="",Tabla1[[#This Row],[T.A. DIATOLICA (Entre semana 20 y 26)]]=""),"ACUDE A CONTROL SEM 20 A 26 REGISTRE TA AHORA",IF(AND(BS116&gt;1,BS116&lt;27,BU116&gt;19,Tabla1[[#This Row],[T.A. SISTOLICA (Entre semana 20 y 26)]]="",Tabla1[[#This Row],[T.A. DIATOLICA (Entre semana 20 y 26)]]=""),"COMPLETE REGISTRO TA CONTROL SEM 20 A26 ",IF(AND(BS116&gt;26,BS116&lt;43,Tabla1[[#This Row],[T.A. SISTOLICA (Entre semana 20 y 26)]]="",Tabla1[[#This Row],[T.A. DIATOLICA (Entre semana 20 y 26)]]=""),"NO APLICA REGISTRO TA-INGRESO TARDIO",IF(AND(OR(O116&gt;0,R116&gt;0),OR(CU116&gt;=140,CV116&gt;=90)),"ALTO RIESGO PREECLAMPSIA,DEFINIR ESTADIO HTA",IF(AND(OR(O116&gt;0,R116&gt;0),AND(CU116&gt;120,CU116&lt;=139)),"PRE HTA SEGUIMIENTO,RIESGO HIPERTENSION INDUCIDA POR EL EMBARAZO",IF(AND(OR(O116&gt;0,R116&gt;0),AND(CV116&gt;80,CV116&lt;=89)),"PRE HTA SEGUIMIENTO, RIESGO HIPERTENSION INDUCIDA POR EL EMBARAZO",IF(AND(OR(O116&lt;&gt;"",R116&lt;&gt;""),CS116&lt;&gt;"",CV116&lt;&gt;"",CS116&lt;=CV116),"VIGILAR CIFRAS PRESION ARTERIAL",IF(AND(OR(O116&gt;0,R116&gt;0),AND(CU116&gt;120,CU116&lt;=139)),"PRE HTA SEGUIMIENTO",IF(AND(OR(O116&gt;0,R116&gt;0),AND(CU116&gt;1,CU116&lt;=70),AND(CV116&gt;1,CV116&lt;=40)),"HIPOTENSIÓN",IF(AND(OR(O116&lt;&gt;"",R116&lt;&gt;""),CS116&lt;&gt;"",CV116&lt;&gt;"",CS116&gt;CV116),"APARENTEMENTE NORMAL",IF(AND(OR(O116&gt;0,R116&gt;0),AND(CU116&gt;=80,CU116&lt;=120)),"APARENTEMENTE NORMAL",IF(AND(OR(O116&gt;0,R116&gt;0),AND(CV116&gt;=50,CV116&lt;=80)),"APARENTEMENTE NORMAL","")))))))))))))</f>
        <v>VIGILAR CIFRAS PRESION ARTERIAL</v>
      </c>
      <c r="CX116" s="21"/>
      <c r="CY116" s="21"/>
      <c r="CZ116" s="216" t="str">
        <f t="shared" si="456"/>
        <v/>
      </c>
      <c r="DA116" s="21">
        <v>90</v>
      </c>
      <c r="DB116" s="21">
        <v>60</v>
      </c>
      <c r="DC116" s="217" t="str">
        <f t="shared" si="264"/>
        <v>APARENTEMENTE NORMAL</v>
      </c>
      <c r="DD116" s="22">
        <v>44982</v>
      </c>
      <c r="DE116" s="22">
        <v>44982</v>
      </c>
      <c r="DF116" s="22">
        <v>45008</v>
      </c>
      <c r="DG116" s="22">
        <v>45042</v>
      </c>
      <c r="DH116" s="22">
        <v>45071</v>
      </c>
      <c r="DI116" s="22">
        <v>45139</v>
      </c>
      <c r="DJ116" s="22"/>
      <c r="DK116" s="22"/>
      <c r="DL116" s="22"/>
      <c r="DM116" s="22"/>
      <c r="DN116" s="22"/>
      <c r="DO116" s="22"/>
      <c r="DP116" s="22"/>
      <c r="DQ116" s="22"/>
      <c r="DR116" s="28">
        <v>2</v>
      </c>
      <c r="DS116" s="22"/>
      <c r="DT116" s="22"/>
      <c r="DU116" s="216" t="str">
        <f t="shared" ca="1" si="438"/>
        <v>CONCERTAR PLAN DE PARTO INMEDIATO</v>
      </c>
      <c r="DV116" s="226" t="str">
        <f t="shared" si="439"/>
        <v>ACTIVA INGRESO A CPN</v>
      </c>
      <c r="DW1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6" s="216" t="e">
        <f t="shared" ca="1" si="266"/>
        <v>#REF!</v>
      </c>
      <c r="DY116" s="212">
        <f>IF(R116="","",IF(R116&gt;0,MAX(Tabla1[[#This Row],[FECHA C2]:[FECHA C13]],Tabla1[[#This Row],[FECHA CONSULTA PRIMERA VEZ PROGRAMA CPN ]])))</f>
        <v>45139</v>
      </c>
      <c r="DZ116" s="216">
        <f t="shared" si="267"/>
        <v>37</v>
      </c>
      <c r="EA116" s="222">
        <f>IF(R116&gt;0,SUM(COUNTA(DF116:DQ116)+COUNTA(Tabla1[[#This Row],[FECHA CONSULTA PRIMERA VEZ PROGRAMA CPN ]])),"")</f>
        <v>5</v>
      </c>
      <c r="EB116" s="222" t="str">
        <f t="shared" si="268"/>
        <v>SI</v>
      </c>
      <c r="EC116" s="214">
        <f t="shared" si="269"/>
        <v>8</v>
      </c>
      <c r="ED116" s="227">
        <f t="shared" si="270"/>
        <v>0.625</v>
      </c>
      <c r="EE116" s="22">
        <v>44982</v>
      </c>
      <c r="EF116" s="22">
        <v>44982</v>
      </c>
      <c r="EG116" s="22">
        <v>44982</v>
      </c>
      <c r="EH116" s="22">
        <v>45014</v>
      </c>
      <c r="EI116" s="22">
        <v>44982</v>
      </c>
      <c r="EJ116" s="22">
        <v>45014</v>
      </c>
      <c r="EK116" s="22">
        <v>45014</v>
      </c>
      <c r="EL116" s="21">
        <v>1</v>
      </c>
      <c r="EM116" s="21">
        <v>13</v>
      </c>
      <c r="EN116" s="22">
        <v>45003</v>
      </c>
      <c r="EO116" s="222">
        <f t="shared" si="271"/>
        <v>17.571428571428573</v>
      </c>
      <c r="EP116" s="214" t="str">
        <f t="shared" si="272"/>
        <v>NORMAL- SUMINISTRAR SULFATO FERROSO</v>
      </c>
      <c r="EQ116" s="216" t="str">
        <f t="shared" si="273"/>
        <v>II TRIM</v>
      </c>
      <c r="ER116" s="24"/>
      <c r="ES116" s="22"/>
      <c r="ET116" s="29" t="str">
        <f t="shared" ca="1" si="440"/>
        <v>TOMA DE HEMOGLOBINA TARDÍA</v>
      </c>
      <c r="EU116" s="25" t="str">
        <f t="shared" si="275"/>
        <v/>
      </c>
      <c r="EV116" s="24" t="s">
        <v>1510</v>
      </c>
      <c r="EW116" s="32">
        <v>45003</v>
      </c>
      <c r="EX116" s="22"/>
      <c r="EY116" s="29">
        <f t="shared" si="453"/>
        <v>17.571428571428573</v>
      </c>
      <c r="EZ116" s="25" t="str">
        <f t="shared" si="454"/>
        <v>SIN RIESGO DE ISOINMUNIZACIÓN</v>
      </c>
      <c r="FA116" s="21">
        <v>64</v>
      </c>
      <c r="FB116" s="22">
        <v>45003</v>
      </c>
      <c r="FC116" s="29">
        <f t="shared" si="276"/>
        <v>17.571428571428573</v>
      </c>
      <c r="FD116" s="29">
        <v>65</v>
      </c>
      <c r="FE116" s="29">
        <v>100</v>
      </c>
      <c r="FF116" s="29">
        <v>114</v>
      </c>
      <c r="FG116" s="21" t="str">
        <f t="shared" ca="1" si="277"/>
        <v>NORMAL</v>
      </c>
      <c r="FH116" s="31">
        <v>45051</v>
      </c>
      <c r="FI116" s="29">
        <f t="shared" si="278"/>
        <v>24.428571428571427</v>
      </c>
      <c r="FJ116" s="22"/>
      <c r="FK116" s="22"/>
      <c r="FL116" s="29" t="str">
        <f t="shared" ca="1" si="279"/>
        <v>NO APLICA-INGRESO TARDIO</v>
      </c>
      <c r="FM116" s="22" t="s">
        <v>867</v>
      </c>
      <c r="FN116" s="32">
        <v>45003</v>
      </c>
      <c r="FO116" s="29">
        <f t="shared" ca="1" si="441"/>
        <v>17.571428571428573</v>
      </c>
      <c r="FP116" s="22"/>
      <c r="FQ116" s="32"/>
      <c r="FR116" s="29" t="str">
        <f t="shared" ca="1" si="442"/>
        <v>TOMA INMEDIATA DE TAMIZAJE</v>
      </c>
      <c r="FS116" s="22"/>
      <c r="FT116" s="32"/>
      <c r="FU116" s="29" t="str">
        <f>IF(AND(FJ116="",FM116="",FP116="",FS116=""),"",IF(OR(OR(Tabla1[[#This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6" s="28"/>
      <c r="FW116" s="22"/>
      <c r="FX116" s="29" t="str">
        <f t="shared" si="280"/>
        <v>TOMAR EXAMEN</v>
      </c>
      <c r="FY116" s="22">
        <v>44982</v>
      </c>
      <c r="FZ116" s="22">
        <v>44982</v>
      </c>
      <c r="GA116" s="29" t="str">
        <f t="shared" si="452"/>
        <v>REGISTRAR EN II TRIMESTRE</v>
      </c>
      <c r="GB116" s="22" t="s">
        <v>868</v>
      </c>
      <c r="GC116" s="22">
        <v>45003</v>
      </c>
      <c r="GD116" s="29">
        <f t="shared" ca="1" si="490"/>
        <v>17.571428571428573</v>
      </c>
      <c r="GE116" s="22"/>
      <c r="GF116" s="22"/>
      <c r="GG116" s="29" t="str">
        <f t="shared" ca="1" si="444"/>
        <v>TOMA INMEDIATA DE TAMIZAJE</v>
      </c>
      <c r="GH116" s="22"/>
      <c r="GI116" s="29"/>
      <c r="GJ116" s="22"/>
      <c r="GK116" s="22"/>
      <c r="GL116" s="22"/>
      <c r="GM116" s="22"/>
      <c r="GN116" s="28" t="s">
        <v>869</v>
      </c>
      <c r="GO116" s="22">
        <v>45003</v>
      </c>
      <c r="GP116" s="29">
        <f t="shared" si="283"/>
        <v>17.571428571428573</v>
      </c>
      <c r="GQ116" s="28"/>
      <c r="GR116" s="28"/>
      <c r="GS116" s="22" t="str">
        <f t="shared" si="457"/>
        <v/>
      </c>
      <c r="GT116" s="22"/>
      <c r="GU116" s="29" t="str">
        <f t="shared" si="285"/>
        <v>TOMAR EXAMEN</v>
      </c>
      <c r="GV116" s="21" t="str">
        <f t="shared" si="286"/>
        <v>POR DEFINIR</v>
      </c>
      <c r="GW116" s="28"/>
      <c r="GX116" s="30"/>
      <c r="GY116" s="21"/>
      <c r="GZ116" s="21"/>
      <c r="HA116" s="21"/>
      <c r="HB116" s="21"/>
      <c r="HC116" s="21"/>
      <c r="HD116" s="21"/>
      <c r="HE116" s="21"/>
      <c r="HF116" s="22"/>
      <c r="HG116" s="22" t="str">
        <f>IF(OR(O116&gt;0,R116&gt;0),CONCATENATE(IF(Tabla1[[#This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6" s="22" t="e">
        <f t="shared" si="287"/>
        <v>#REF!</v>
      </c>
      <c r="HI116" s="22" t="e">
        <f t="shared" ca="1" si="288"/>
        <v>#REF!</v>
      </c>
      <c r="HJ116" s="21"/>
      <c r="HK116" s="21" t="str">
        <f t="shared" si="289"/>
        <v>SIN ANTECEDENTES DE RIESGO</v>
      </c>
      <c r="HL116" s="24" t="str">
        <f t="shared" si="290"/>
        <v>APARENTEMENTE NORMAL</v>
      </c>
      <c r="HM116" s="21" t="e">
        <f t="shared" ca="1" si="291"/>
        <v>#REF!</v>
      </c>
      <c r="HN116" s="30" t="str">
        <f t="shared" si="445"/>
        <v>ACTIVA INGRESO A CPN</v>
      </c>
      <c r="HO116" s="21"/>
      <c r="HP116" s="21"/>
      <c r="HQ116" s="21">
        <v>44982</v>
      </c>
      <c r="HR116" s="21" t="str">
        <f>IF(R116="","",IF(Tabla1[[#This Row],[ALARMA FACTORES DE RIESGO COMPLICACIONES HIPERTENSIVAS3]]="SIN ANTECEDENTES DE RIESGO","No Aplica para suministro de ASA",IF(AND(Tabla1[[#This Row],[FECHA INICIO DE SUMINISTRO DE ASA]]&gt;0,RV116&lt;12),"Inicia ASA ANTES de Sem 12",IF(AND(RV116&gt;11,RV116&lt;17,OR(HK116="RIESGO ALTO DE COMPLICACIONES HIPERTENSIVAS VER MANEJO GUIA SUMINISTRO ASA Y CALCIO",HK116="RIESGO MODERADO (2 O MAS CRITERIOS) VER MANEJO GUIA SUMINISTRO ASA Y CALCIO")),"Inicio oportuno de ASA",IF(AND(RV116&gt;12,OR(HK116="RIESGO ALTO DE COMPLICACIONES HIPERTENSIVAS VER MANEJO GUIA SUMINISTRO ASA Y CALCIO",HK116="RIESGO MODERADO (2 O MAS CRITERIOS) VER MANEJO GUIA SUMINISTRO ASA Y CALCIO")),"Inicio no oportuno mayor a 16 semanas",IF(AND(BU116&lt;12,OR(HK116="RIESGO ALTO DE COMPLICACIONES HIPERTENSIVAS VER MANEJO GUIA SUMINISTRO ASA Y CALCIO",HK116="RIESGO MODERADO (2 O MAS CRITERIOS) VER MANEJO GUIA SUMINISTRO ASA Y CALCIO")),"Pendiente Inicio de ASA a la semana 12",IF(AND(BU116&gt;11,BU116&lt;17,OR(HK116="RIESGO ALTO DE COMPLICACIONES HIPERTENSIVAS VER MANEJO GUIA SUMINISTRO ASA Y CALCIO",HK116="RIESGO MODERADO (2 O MAS CRITERIOS) VER MANEJO GUIA SUMINISTRO ASA Y CALCIO")),"Iniciar de inmediato ASA",IF(AND(BU116&gt;16,OR(HK116="RIESGO ALTO DE COMPLICACIONES HIPERTENSIVAS VER MANEJO GUIA SUMINISTRO ASA Y CALCIO",HK116="RIESGO MODERADO (2 O MAS CRITERIOS) VER MANEJO GUIA SUMINISTRO ASA Y CALCIO")),"Pierde Oportunidad, Inicio tardío de ASA","XXXXX"))))))))</f>
        <v>No Aplica para suministro de ASA</v>
      </c>
      <c r="HS116" s="22">
        <v>44982</v>
      </c>
      <c r="HT116" s="22" t="s">
        <v>870</v>
      </c>
      <c r="HU116" s="22">
        <v>44982</v>
      </c>
      <c r="HV116" s="22" t="s">
        <v>870</v>
      </c>
      <c r="HW116" s="22">
        <v>44982</v>
      </c>
      <c r="HX116" s="22" t="s">
        <v>870</v>
      </c>
      <c r="HY116" s="22">
        <v>44982</v>
      </c>
      <c r="HZ116" s="28">
        <f t="shared" si="292"/>
        <v>14.571428571428571</v>
      </c>
      <c r="IA116" s="26"/>
      <c r="IB116" s="26"/>
      <c r="IC116" s="111"/>
      <c r="ID116" s="22"/>
      <c r="IE116" s="22" t="str">
        <f t="shared" ca="1" si="293"/>
        <v/>
      </c>
      <c r="IF116" s="22"/>
      <c r="IG116" s="22">
        <f t="shared" si="294"/>
        <v>45160</v>
      </c>
      <c r="IH116" s="29">
        <f t="shared" ca="1" si="295"/>
        <v>-73</v>
      </c>
      <c r="II116" s="22" t="str">
        <f t="shared" ca="1" si="296"/>
        <v>POSIBLEMENTE NACIO</v>
      </c>
      <c r="IJ116" s="22"/>
      <c r="IK116" s="21"/>
      <c r="IL116" s="21"/>
      <c r="IM116" s="34"/>
      <c r="IN116" s="349"/>
      <c r="IO116" s="21"/>
      <c r="IP116" s="29" t="str">
        <f t="shared" si="489"/>
        <v/>
      </c>
      <c r="IQ116" s="292"/>
      <c r="IR116" s="21"/>
      <c r="IS116" s="21"/>
      <c r="IT116" s="21"/>
      <c r="IU116" s="21"/>
      <c r="IV116" s="21"/>
      <c r="IW116" s="21"/>
      <c r="IX116" s="21"/>
      <c r="IY116" s="21"/>
      <c r="IZ116" s="21"/>
      <c r="JA116" s="21"/>
      <c r="JB116" s="30"/>
      <c r="JC116" s="21"/>
      <c r="JD116" s="36"/>
      <c r="JE116" s="21" t="str">
        <f t="shared" si="491"/>
        <v/>
      </c>
      <c r="JF116" s="30"/>
      <c r="JG116" s="21"/>
      <c r="JH116" s="21"/>
      <c r="JI116" s="21"/>
      <c r="JJ116" s="30"/>
      <c r="JK116" s="22"/>
      <c r="JL116" s="22"/>
      <c r="JM116" s="21"/>
      <c r="JN116" s="36"/>
      <c r="JO116" s="21" t="str">
        <f t="shared" si="492"/>
        <v/>
      </c>
      <c r="JP116" s="22"/>
      <c r="JQ116" s="21"/>
      <c r="JR116" s="21"/>
      <c r="JS116" s="21"/>
      <c r="JT116" s="30"/>
      <c r="JU116" s="22"/>
      <c r="JV116" s="22"/>
      <c r="JW116" s="33"/>
      <c r="JX116" s="28" t="str">
        <f t="shared" si="493"/>
        <v/>
      </c>
      <c r="JY116" s="33"/>
      <c r="JZ116" s="28" t="str">
        <f t="shared" si="494"/>
        <v/>
      </c>
      <c r="KA116" s="21"/>
      <c r="KB116" s="21"/>
      <c r="KC116" s="21"/>
      <c r="KD116" s="37"/>
      <c r="KE116" s="28"/>
      <c r="KF116" s="28"/>
      <c r="KG116" s="28"/>
      <c r="KH116" s="39"/>
      <c r="KI116" s="39"/>
      <c r="KJ116" s="66"/>
      <c r="KK116" s="39"/>
      <c r="KL116" s="39"/>
      <c r="KM116" s="66"/>
      <c r="KN116" s="39"/>
      <c r="KO116" s="39"/>
      <c r="KP116" s="39"/>
      <c r="KQ116" s="39"/>
      <c r="KR116" s="39"/>
      <c r="KS116" s="39"/>
      <c r="KT116" s="39"/>
      <c r="KU116" s="38"/>
      <c r="KV116" s="38"/>
      <c r="KW116" s="38"/>
      <c r="KX116" s="38"/>
      <c r="KY116" s="38"/>
      <c r="KZ116" s="38"/>
      <c r="LA116" s="38"/>
      <c r="LB116" s="38"/>
      <c r="LC116" s="38"/>
      <c r="LD116" s="38"/>
      <c r="LE116" s="38"/>
      <c r="LF116" s="38"/>
      <c r="LG116" s="38"/>
      <c r="LH116" s="38"/>
      <c r="LI116" s="38"/>
      <c r="LJ116" s="38"/>
      <c r="LK116" s="38"/>
      <c r="LL116" s="38"/>
      <c r="LM116" s="38"/>
      <c r="LN116" s="38"/>
      <c r="LO116" s="38"/>
      <c r="LP116" s="38"/>
      <c r="LQ116" s="38"/>
      <c r="LR116" s="38"/>
      <c r="LS116" s="38"/>
      <c r="LT116" s="38"/>
      <c r="LU116" s="38"/>
      <c r="LV116" s="38"/>
      <c r="LW116" s="38"/>
      <c r="LX116" s="38"/>
      <c r="LY116" s="38"/>
      <c r="LZ116" s="38"/>
      <c r="MA116" s="38"/>
      <c r="MB116" s="38"/>
      <c r="MC116" s="38"/>
      <c r="MD116" s="38"/>
      <c r="ME116" s="38"/>
      <c r="MF116" s="38"/>
      <c r="MG116" s="38"/>
      <c r="MH116" s="43">
        <f t="shared" si="458"/>
        <v>0</v>
      </c>
      <c r="MI116" s="43" t="str">
        <f t="shared" si="459"/>
        <v/>
      </c>
      <c r="MJ116" s="43" t="str">
        <f t="shared" si="460"/>
        <v/>
      </c>
      <c r="MK116" s="43">
        <f t="shared" si="461"/>
        <v>0</v>
      </c>
      <c r="ML1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6" s="43">
        <f t="shared" si="462"/>
        <v>14.571428571428571</v>
      </c>
      <c r="MN116" s="43">
        <f t="shared" si="463"/>
        <v>2</v>
      </c>
      <c r="MO116" s="43">
        <f t="shared" si="464"/>
        <v>2023</v>
      </c>
      <c r="MP116" s="43" t="str">
        <f t="shared" si="465"/>
        <v>I TRIMESTRE AÑO</v>
      </c>
      <c r="MQ116" s="43">
        <f t="shared" si="466"/>
        <v>26.839684625492769</v>
      </c>
      <c r="MR116" s="43">
        <f t="shared" si="467"/>
        <v>0</v>
      </c>
      <c r="MS116" s="43" t="str">
        <f t="shared" si="468"/>
        <v xml:space="preserve"> DE 25 A 29 AÑOS</v>
      </c>
      <c r="MT116" s="43">
        <f t="shared" si="469"/>
        <v>0</v>
      </c>
      <c r="MU116" s="43">
        <f t="shared" si="470"/>
        <v>0</v>
      </c>
      <c r="MV116" s="43">
        <f t="shared" si="471"/>
        <v>0</v>
      </c>
      <c r="MW116" s="43">
        <f t="shared" si="472"/>
        <v>0</v>
      </c>
      <c r="MX116" s="43" t="str">
        <f t="shared" si="473"/>
        <v/>
      </c>
      <c r="MY116" s="43" t="str">
        <f t="shared" ca="1" si="495"/>
        <v/>
      </c>
      <c r="MZ116" s="43" t="str">
        <f t="shared" si="474"/>
        <v/>
      </c>
      <c r="NA116" s="43">
        <f t="shared" si="475"/>
        <v>0</v>
      </c>
      <c r="NB116" s="43" t="str">
        <f t="shared" si="476"/>
        <v/>
      </c>
      <c r="NC116" s="43" t="str">
        <f t="shared" si="477"/>
        <v/>
      </c>
      <c r="ND116" s="43">
        <f t="shared" ca="1" si="478"/>
        <v>0</v>
      </c>
      <c r="NE116" s="43">
        <f>IF(OR(O116&gt;0,R116&gt;0),SUM(COUNTIF(Tabla1[[#This Row],[AÑOS AL INICIO5 CPN]],"&gt;=40"),COUNTIF(AS116,"0"),COUNTIF(AR116,"SI"),COUNTIF(CC116,"SI"),COUNTIF(BQ116,"&gt;119"),COUNTIF(CI116,"&gt;=35")),"")</f>
        <v>0</v>
      </c>
      <c r="NF116" s="43" t="str">
        <f t="shared" si="479"/>
        <v/>
      </c>
      <c r="NG116" s="43">
        <f t="shared" si="480"/>
        <v>0</v>
      </c>
      <c r="NH116" s="43">
        <f t="shared" si="481"/>
        <v>130.20000000000002</v>
      </c>
      <c r="NI1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CPN",P116="NO"),"Z",IF(AND(Tabla1[[#This Row],[CITA PROXIMO CONTROL]]="CITA MANUAL",Tabla1[[#This Row],[GESTANTES ACTUALES]]="ACTIVA INGRESO A CPN"),"W",IF(AND(Tabla1[[#This Row],[GESTANTES ACTUALES]]="SALIO PROGRAMA",IN116=""),"S",IF(AND(Tabla1[[#This Row],[CITA PROXIMO CONTROL]]&gt;0,IN116=""),(Tabla1[[#This Row],[CITA PROXIMO CONTROL]]-TODAY()),"SD"))))))))</f>
        <v>#REF!</v>
      </c>
      <c r="NJ116" s="43">
        <f>MONTH(Tabla1[[#This Row],[FECHA DE SALIDA  DEL PROGRAMA]])</f>
        <v>1</v>
      </c>
      <c r="NK116" s="43">
        <f>YEAR(Tabla1[[#This Row],[FECHA DE SALIDA  DEL PROGRAMA]])</f>
        <v>1900</v>
      </c>
      <c r="NL116" s="43">
        <f t="shared" si="482"/>
        <v>32</v>
      </c>
      <c r="NM116" s="43" t="str">
        <f t="shared" si="455"/>
        <v>NO</v>
      </c>
      <c r="NN116" s="43" t="str">
        <f ca="1">IF(AND(O116&gt;0,R116=""),"NO CPN",IF(AND(O116="",R116=""),"",IF(AND(R116&gt;0,Tabla1[[#This Row],[SEMANAS DE GESTACION ACTUALIZADAS]]&lt;=12),"NO APLICA",IF(AND(FH116&lt;&gt;"",FN116&lt;&gt;""),"SI","NO"))))</f>
        <v>SI</v>
      </c>
      <c r="NO116" s="43" t="str">
        <f ca="1">IF(AND(O116&gt;0,R116=""),"NO CPN",IF(AND(O116="",R116=""),"",IF(AND(R116&gt;0,Tabla1[[#This Row],[SEMANAS DE GESTACION ACTUALIZADAS]]&lt;=27),"NO APLICA",IF(AND(ES116&lt;&gt;"",FQ116&lt;&gt;"",GF116&lt;&gt;""),"SI","NO"))))</f>
        <v>NO</v>
      </c>
      <c r="NP116" s="204" t="str">
        <f t="shared" si="483"/>
        <v>II TRIM</v>
      </c>
      <c r="NQ116" s="21" t="str">
        <f t="shared" si="436"/>
        <v/>
      </c>
      <c r="NR116" s="21" t="str">
        <f t="shared" ca="1" si="496"/>
        <v>REVISAR FUM O FECHA SALIDA PROGRAMA</v>
      </c>
      <c r="NS116" s="205">
        <f t="shared" ca="1" si="484"/>
        <v>1</v>
      </c>
      <c r="NT116" s="21">
        <f t="shared" ca="1" si="485"/>
        <v>1</v>
      </c>
      <c r="NU116" s="21" t="str">
        <f t="shared" ca="1" si="486"/>
        <v>POR DEFINIR</v>
      </c>
      <c r="NV116" s="21" t="str">
        <f t="shared" ca="1" si="487"/>
        <v>POR DEFINIR</v>
      </c>
      <c r="NW116" s="206" t="str">
        <f>IF(AND(O116="",R116=""),"",IF(OR(AND(Tabla1[[#This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16" s="207" t="str">
        <f t="shared" ca="1" si="488"/>
        <v>SIN VACUNAR</v>
      </c>
      <c r="NY116" s="43">
        <f>ROW(Tabla1[[#This Row],['# DE TAMIZAJES SIFILIS TOMADOS ]])</f>
        <v>116</v>
      </c>
      <c r="NZ116" s="43">
        <f t="shared" si="333"/>
        <v>14</v>
      </c>
      <c r="OA116" s="43" t="str">
        <f t="shared" si="334"/>
        <v/>
      </c>
      <c r="OB116" s="43" t="str">
        <f t="shared" si="335"/>
        <v/>
      </c>
      <c r="OC116" s="43" t="str">
        <f t="shared" si="336"/>
        <v/>
      </c>
      <c r="OD116" s="43" t="str">
        <f t="shared" si="337"/>
        <v/>
      </c>
      <c r="OE116" s="43" t="str">
        <f t="shared" si="338"/>
        <v/>
      </c>
      <c r="OF116" s="43" t="str">
        <f t="shared" si="339"/>
        <v>NORMAL</v>
      </c>
      <c r="OG116" s="43" t="str">
        <f t="shared" si="340"/>
        <v/>
      </c>
      <c r="OH116" s="43" t="str">
        <f t="shared" si="341"/>
        <v/>
      </c>
      <c r="OI116" s="43" t="str">
        <f t="shared" si="342"/>
        <v/>
      </c>
      <c r="OJ116" s="43" t="str">
        <f t="shared" si="343"/>
        <v/>
      </c>
      <c r="OK116" s="43" t="str">
        <f t="shared" si="344"/>
        <v/>
      </c>
      <c r="OL116" s="43" t="str">
        <f t="shared" si="345"/>
        <v/>
      </c>
      <c r="OM116" s="43" t="str">
        <f t="shared" si="346"/>
        <v/>
      </c>
      <c r="ON116" s="43" t="str">
        <f t="shared" si="347"/>
        <v/>
      </c>
      <c r="OO116" s="43" t="str">
        <f t="shared" si="348"/>
        <v/>
      </c>
      <c r="OP116" s="43" t="str">
        <f t="shared" si="349"/>
        <v/>
      </c>
      <c r="OQ116" s="43" t="str">
        <f t="shared" si="350"/>
        <v/>
      </c>
      <c r="OR116" s="43" t="str">
        <f t="shared" si="351"/>
        <v/>
      </c>
      <c r="OS116" s="43" t="str">
        <f t="shared" si="352"/>
        <v/>
      </c>
      <c r="OT116" s="43" t="str">
        <f t="shared" si="353"/>
        <v/>
      </c>
      <c r="OU116" s="43" t="str">
        <f t="shared" si="354"/>
        <v/>
      </c>
      <c r="OV116" s="110" t="str">
        <f t="shared" si="355"/>
        <v/>
      </c>
      <c r="OW116" s="43" t="str">
        <f t="shared" si="356"/>
        <v/>
      </c>
      <c r="OX116" s="43" t="str">
        <f t="shared" si="357"/>
        <v/>
      </c>
      <c r="OY116" s="43" t="str">
        <f t="shared" si="358"/>
        <v/>
      </c>
      <c r="OZ116" s="43" t="str">
        <f t="shared" si="359"/>
        <v/>
      </c>
      <c r="PA116" s="43" t="str">
        <f t="shared" si="360"/>
        <v/>
      </c>
      <c r="PB116" s="43" t="str">
        <f t="shared" si="361"/>
        <v/>
      </c>
      <c r="PC116" s="43" t="str">
        <f t="shared" si="362"/>
        <v/>
      </c>
      <c r="PD116" s="43" t="str">
        <f t="shared" si="363"/>
        <v/>
      </c>
      <c r="PE116" s="43" t="str">
        <f t="shared" si="364"/>
        <v/>
      </c>
      <c r="PF116" s="43" t="str">
        <f t="shared" si="365"/>
        <v/>
      </c>
      <c r="PG116" s="43" t="str">
        <f t="shared" si="366"/>
        <v/>
      </c>
      <c r="PH116" s="43" t="str">
        <f t="shared" si="367"/>
        <v/>
      </c>
      <c r="PI116" s="43">
        <f t="shared" si="368"/>
        <v>37</v>
      </c>
      <c r="PJ116" s="43" t="str">
        <f t="shared" si="369"/>
        <v/>
      </c>
      <c r="PK116" s="43" t="str">
        <f t="shared" si="370"/>
        <v/>
      </c>
      <c r="PL116" s="43" t="str">
        <f t="shared" si="371"/>
        <v/>
      </c>
      <c r="PM116" s="43" t="str">
        <f t="shared" si="372"/>
        <v/>
      </c>
      <c r="PN116" s="43" t="str">
        <f t="shared" si="373"/>
        <v/>
      </c>
      <c r="PO116" s="43" t="str">
        <f t="shared" si="374"/>
        <v/>
      </c>
      <c r="PP116" s="43" t="str">
        <f t="shared" si="375"/>
        <v/>
      </c>
      <c r="PQ116" s="43" t="str">
        <f t="shared" si="376"/>
        <v/>
      </c>
      <c r="PR116" s="43" t="str">
        <f t="shared" si="377"/>
        <v/>
      </c>
      <c r="PS116" s="43" t="str">
        <f t="shared" si="378"/>
        <v/>
      </c>
      <c r="PT116" s="43" t="str">
        <f t="shared" si="379"/>
        <v/>
      </c>
      <c r="PU116" s="43" t="str">
        <f t="shared" si="380"/>
        <v/>
      </c>
      <c r="PV116" s="43" t="str">
        <f t="shared" si="381"/>
        <v/>
      </c>
      <c r="PW116" s="43" t="str">
        <f t="shared" si="382"/>
        <v/>
      </c>
      <c r="PX116" s="43" t="str">
        <f t="shared" si="383"/>
        <v/>
      </c>
      <c r="PY116" s="43" t="str">
        <f t="shared" si="384"/>
        <v/>
      </c>
      <c r="PZ116" s="43" t="str">
        <f t="shared" si="385"/>
        <v/>
      </c>
      <c r="QA116" s="43" t="str">
        <f t="shared" si="386"/>
        <v/>
      </c>
      <c r="QB116" s="43" t="str">
        <f t="shared" si="387"/>
        <v/>
      </c>
      <c r="QC116" s="43" t="str">
        <f t="shared" si="388"/>
        <v/>
      </c>
      <c r="QD116" s="43" t="str">
        <f t="shared" si="389"/>
        <v/>
      </c>
      <c r="QE116" s="43" t="str">
        <f t="shared" si="390"/>
        <v/>
      </c>
      <c r="QF116" s="43" t="str">
        <f t="shared" si="391"/>
        <v/>
      </c>
      <c r="QG116" s="43" t="str">
        <f t="shared" si="392"/>
        <v/>
      </c>
      <c r="QH116" s="43" t="str">
        <f t="shared" si="393"/>
        <v/>
      </c>
      <c r="QI116" s="43" t="str">
        <f t="shared" si="394"/>
        <v/>
      </c>
      <c r="QJ116" s="43" t="str">
        <f t="shared" si="395"/>
        <v/>
      </c>
      <c r="QK116" s="43" t="str">
        <f t="shared" si="396"/>
        <v/>
      </c>
      <c r="QL116" s="43" t="str">
        <f t="shared" si="397"/>
        <v>NORMAL</v>
      </c>
      <c r="QM116" s="43" t="str">
        <f t="shared" si="398"/>
        <v/>
      </c>
      <c r="QN116" s="43" t="str">
        <f t="shared" si="399"/>
        <v/>
      </c>
      <c r="QO116" s="43" t="str">
        <f t="shared" si="400"/>
        <v/>
      </c>
      <c r="QP116" s="43" t="str">
        <f t="shared" si="401"/>
        <v/>
      </c>
      <c r="QQ116" s="43" t="str">
        <f t="shared" si="402"/>
        <v/>
      </c>
      <c r="QR116" s="43">
        <f t="shared" si="432"/>
        <v>37</v>
      </c>
      <c r="QS116" s="43"/>
      <c r="QT116" s="21" t="str">
        <f t="shared" si="403"/>
        <v/>
      </c>
      <c r="QU116" s="21" t="str">
        <f t="shared" si="404"/>
        <v/>
      </c>
      <c r="QV116" s="21" t="str">
        <f t="shared" si="405"/>
        <v/>
      </c>
      <c r="QW116" s="21" t="str">
        <f t="shared" si="406"/>
        <v/>
      </c>
      <c r="QX116" s="21" t="str">
        <f t="shared" si="407"/>
        <v/>
      </c>
      <c r="QY116" s="21" t="str">
        <f t="shared" si="408"/>
        <v/>
      </c>
      <c r="QZ116" s="21" t="str">
        <f t="shared" si="409"/>
        <v/>
      </c>
      <c r="RA116" s="21" t="str">
        <f t="shared" si="410"/>
        <v/>
      </c>
      <c r="RB116" s="21" t="str">
        <f t="shared" si="411"/>
        <v/>
      </c>
      <c r="RC116" s="21" t="str">
        <f t="shared" si="412"/>
        <v/>
      </c>
      <c r="RD116" s="21" t="str">
        <f t="shared" si="413"/>
        <v/>
      </c>
      <c r="RE116" s="21" t="str">
        <f t="shared" si="414"/>
        <v/>
      </c>
      <c r="RF116" s="21" t="str">
        <f t="shared" si="415"/>
        <v/>
      </c>
      <c r="RG116" s="21" t="str">
        <f t="shared" si="416"/>
        <v/>
      </c>
      <c r="RH116" s="21" t="str">
        <f t="shared" si="417"/>
        <v/>
      </c>
      <c r="RI116" s="21" t="str">
        <f t="shared" si="418"/>
        <v/>
      </c>
      <c r="RJ116" s="21" t="str">
        <f t="shared" si="419"/>
        <v/>
      </c>
      <c r="RK116" s="21" t="str">
        <f t="shared" si="420"/>
        <v/>
      </c>
      <c r="RL116" s="21" t="str">
        <f t="shared" si="421"/>
        <v/>
      </c>
      <c r="RM116" s="21" t="str">
        <f t="shared" si="422"/>
        <v/>
      </c>
      <c r="RN116" s="21" t="str">
        <f t="shared" si="423"/>
        <v/>
      </c>
      <c r="RO116" s="21" t="str">
        <f t="shared" si="424"/>
        <v/>
      </c>
      <c r="RP116" s="21" t="str">
        <f t="shared" si="425"/>
        <v/>
      </c>
      <c r="RQ116" s="21" t="str">
        <f t="shared" si="426"/>
        <v/>
      </c>
      <c r="RR116" s="21" t="str">
        <f t="shared" si="427"/>
        <v>ADECUADO PARA EDAD GESTACIONAL</v>
      </c>
      <c r="RS116" s="21" t="str">
        <f t="shared" si="428"/>
        <v/>
      </c>
      <c r="RT116" s="21" t="str">
        <f t="shared" si="429"/>
        <v/>
      </c>
      <c r="RU116" s="21" t="str">
        <f t="shared" si="430"/>
        <v/>
      </c>
      <c r="RV116" s="21">
        <f t="shared" si="431"/>
        <v>14.571428571428571</v>
      </c>
      <c r="RW116" s="284">
        <f>IF(OR(Tabla1[[#This Row],[FUM FORMULA CONFIABLE]]="",Tabla1[[#This Row],[FUM FORMULA CONFIABLE]]="SD"),"",IF(Tabla1[[#This Row],[FUM FORMULA CONFIABLE]]="CORREGIDA",Tabla1[[#This Row],[FUM X ECO 1]],Tabla1[[#This Row],[FUM x AMENORREA]]))</f>
        <v>44880</v>
      </c>
      <c r="RX116" s="21">
        <f>IF(AND(Tabla1[[#This Row],[FUM X ECO 1]]="",Tabla1[[#This Row],[FUM x AMENORREA]]=""),"",IF(AND(Tabla1[[#This Row],[FUM X ECO 1]]="",Tabla1[[#This Row],[FUM x AMENORREA]]&lt;&gt;""),"X",SUM(Tabla1[[#This Row],[FUM X ECO 1]]-Tabla1[[#This Row],[FUM x AMENORREA]])))</f>
        <v>5.8000000000029104</v>
      </c>
      <c r="RY116" s="21">
        <f t="shared" si="433"/>
        <v>0</v>
      </c>
    </row>
    <row r="117" spans="1:493" ht="45" customHeight="1" x14ac:dyDescent="0.25">
      <c r="A117" s="109"/>
      <c r="B117" s="43"/>
      <c r="C117" s="43" t="s">
        <v>845</v>
      </c>
      <c r="D117" s="124"/>
      <c r="E117" s="43" t="s">
        <v>914</v>
      </c>
      <c r="F117" s="43" t="s">
        <v>915</v>
      </c>
      <c r="G117" s="43" t="s">
        <v>916</v>
      </c>
      <c r="H117" s="43"/>
      <c r="I117" s="109" t="s">
        <v>1094</v>
      </c>
      <c r="J117" s="110">
        <v>1059598169</v>
      </c>
      <c r="K117" s="43" t="s">
        <v>852</v>
      </c>
      <c r="L117" s="175" t="s">
        <v>886</v>
      </c>
      <c r="M117" s="22">
        <v>39463</v>
      </c>
      <c r="N117" s="213">
        <f t="shared" ca="1" si="252"/>
        <v>15.808219178082192</v>
      </c>
      <c r="O117" s="22">
        <v>44985</v>
      </c>
      <c r="P117" s="214" t="str">
        <f t="shared" si="437"/>
        <v>SI</v>
      </c>
      <c r="Q117" s="26" t="s">
        <v>855</v>
      </c>
      <c r="R117" s="22">
        <v>44985</v>
      </c>
      <c r="S117" s="21" t="s">
        <v>856</v>
      </c>
      <c r="T117" s="24" t="s">
        <v>690</v>
      </c>
      <c r="U117" s="21" t="s">
        <v>857</v>
      </c>
      <c r="V117" s="21" t="s">
        <v>858</v>
      </c>
      <c r="W117" s="21" t="s">
        <v>999</v>
      </c>
      <c r="X117" s="21" t="s">
        <v>999</v>
      </c>
      <c r="Y117" s="21"/>
      <c r="Z117" s="21"/>
      <c r="AA117" s="21" t="s">
        <v>860</v>
      </c>
      <c r="AB117" s="27" t="s">
        <v>861</v>
      </c>
      <c r="AC117" s="26" t="s">
        <v>846</v>
      </c>
      <c r="AD117" s="38" t="s">
        <v>1546</v>
      </c>
      <c r="AE117" s="26" t="s">
        <v>854</v>
      </c>
      <c r="AF117" s="26" t="s">
        <v>854</v>
      </c>
      <c r="AG117" s="23" t="s">
        <v>864</v>
      </c>
      <c r="AH117" s="23" t="s">
        <v>864</v>
      </c>
      <c r="AI117" s="24" t="s">
        <v>863</v>
      </c>
      <c r="AJ117" s="23" t="s">
        <v>864</v>
      </c>
      <c r="AK117" s="220" t="str">
        <f>IF(AND(AD117="",AE117="",AF117="",AG117="",AH117="",AI117="",AJ117=""),"",IF(OR(Tabla1[[#This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EVALUACIÓN",IF(AND(O117="",R117=""),"",IF(AND(OR(O117&gt;0,R117&gt;0),NG117&gt;=0,NG117&lt;2),"SIN RIESGO",IF(AND(OR(O117&gt;0,R117&gt;0),NG117&gt;=2),"CON RIESGO","ASD")))))</f>
        <v>SIN RIESGO</v>
      </c>
      <c r="AL117" s="23" t="s">
        <v>864</v>
      </c>
      <c r="AM117" s="26" t="s">
        <v>864</v>
      </c>
      <c r="AN117" s="26" t="s">
        <v>864</v>
      </c>
      <c r="AO117" s="26" t="s">
        <v>864</v>
      </c>
      <c r="AP117" s="26" t="s">
        <v>864</v>
      </c>
      <c r="AQ117" s="26" t="s">
        <v>864</v>
      </c>
      <c r="AR117" s="26" t="s">
        <v>864</v>
      </c>
      <c r="AS117" s="21">
        <v>0</v>
      </c>
      <c r="AT117" s="21">
        <v>0</v>
      </c>
      <c r="AU117" s="21">
        <v>0</v>
      </c>
      <c r="AV117" s="26" t="s">
        <v>864</v>
      </c>
      <c r="AW117" s="21">
        <v>1</v>
      </c>
      <c r="AX117" s="26" t="s">
        <v>864</v>
      </c>
      <c r="AY117" s="26" t="s">
        <v>864</v>
      </c>
      <c r="AZ117" s="26" t="s">
        <v>864</v>
      </c>
      <c r="BA117" s="26" t="s">
        <v>864</v>
      </c>
      <c r="BB117" s="26" t="s">
        <v>864</v>
      </c>
      <c r="BC117" s="26" t="s">
        <v>864</v>
      </c>
      <c r="BD117" s="26" t="s">
        <v>864</v>
      </c>
      <c r="BE117" s="26" t="s">
        <v>864</v>
      </c>
      <c r="BF117" s="26" t="s">
        <v>864</v>
      </c>
      <c r="BG117" s="26" t="s">
        <v>864</v>
      </c>
      <c r="BH117" s="26" t="s">
        <v>864</v>
      </c>
      <c r="BI117" s="26" t="s">
        <v>864</v>
      </c>
      <c r="BJ117" s="26" t="s">
        <v>864</v>
      </c>
      <c r="BK117" s="26" t="s">
        <v>865</v>
      </c>
      <c r="BL117" s="26" t="s">
        <v>864</v>
      </c>
      <c r="BM117" s="26" t="s">
        <v>864</v>
      </c>
      <c r="BN117" s="22"/>
      <c r="BO117" s="22">
        <v>44923</v>
      </c>
      <c r="BP117" s="21" t="s">
        <v>854</v>
      </c>
      <c r="BQ117" s="222">
        <f t="shared" si="254"/>
        <v>0</v>
      </c>
      <c r="BR117" s="223" t="str">
        <f t="shared" si="255"/>
        <v/>
      </c>
      <c r="BS117" s="224">
        <f t="shared" si="256"/>
        <v>8.8571428571428577</v>
      </c>
      <c r="BT117" s="216" t="str">
        <f t="shared" si="257"/>
        <v>I TRIM</v>
      </c>
      <c r="BU117" s="214" t="str">
        <f t="shared" ca="1" si="258"/>
        <v/>
      </c>
      <c r="BV117" s="25"/>
      <c r="BW117" s="22"/>
      <c r="BX117" s="28"/>
      <c r="BY117" s="28"/>
      <c r="BZ117" s="22"/>
      <c r="CA117" s="21"/>
      <c r="CB117" s="26"/>
      <c r="CC117" s="26"/>
      <c r="CD117" s="26"/>
      <c r="CE117" s="26"/>
      <c r="CF117" s="22" t="s">
        <v>1517</v>
      </c>
      <c r="CG117" s="21">
        <v>1.52</v>
      </c>
      <c r="CH117" s="21">
        <v>54</v>
      </c>
      <c r="CI117" s="214">
        <f t="shared" si="259"/>
        <v>23.372576177285318</v>
      </c>
      <c r="CJ117" s="225" t="str">
        <f>IF(AND(CI117&lt;10,CH117="SD"),"SIN DATO PESO PREGESTACION O I TRIM",IF(AND(OR(R117&gt;0,O117&gt;0),CI117="X"),"INGRESAR DATO DE PESO",IF(CI117="SD","INGRESAR DATO DE TALLA Y PESO",IF(AND(OR(Tabla1[[#This Row],[MOMENTO EN QUE SE REALIZA EL PESO AL INGRESO A CPN]]="PREGESTACIÓN",NZ117="Menor"),CI117&lt;18.5),"BAJO PESO",IF(AND(OR(Tabla1[[#This Row],[MOMENTO EN QUE SE REALIZA EL PESO AL INGRESO A CPN]]="PREGESTACIÓN",NZ117="Menor"),CI117&lt;25),"NORMAL",IF(AND(OR(Tabla1[[#This Row],[MOMENTO EN QUE SE REALIZA EL PESO AL INGRESO A CPN]]="PREGESTACIÓN",NZ117="Menor"),CI117&lt;30),"SOBREPESO",IF(AND(OR(Tabla1[[#This Row],[MOMENTO EN QUE SE REALIZA EL PESO AL INGRESO A CPN]]="PREGESTACIÓN",NZ117="Menor"),CI117&gt;=30,CI117&lt;50),"OBESIDAD",IF(AND(BS117&gt;0,Tabla1[[#This Row],[MOMENTO EN QUE SE REALIZA EL PESO AL INGRESO A CPN]]="GESTACIÓN"),HLOOKUP(NZ117,$OA$2:PH117,NY117),""))))))))</f>
        <v>NORMAL</v>
      </c>
      <c r="CK117" s="212">
        <f t="shared" si="260"/>
        <v>44985</v>
      </c>
      <c r="CL117" s="21">
        <v>54</v>
      </c>
      <c r="CM117" s="214">
        <f t="shared" si="261"/>
        <v>23.372576177285318</v>
      </c>
      <c r="CN117" s="216">
        <f t="shared" si="262"/>
        <v>8</v>
      </c>
      <c r="CO117" s="216" t="e">
        <f>IF(PI117="","",IF(PI117&gt;0,HLOOKUP(PI117,$PJ$2:QQ117,NY117),""))</f>
        <v>#REF!</v>
      </c>
      <c r="CP117" s="21"/>
      <c r="CQ117" s="216" t="str">
        <f>IF(QR117="Menor","NO APLICA-MENOR 13 SEM",IF(AND(CC117="SI",CN117&gt;23),"NO APLICA- GEMELAR",IF(QR117="","",IF(QR117&gt;0,HLOOKUP(QR117,$QS$2:RU117,NY117),""))))</f>
        <v>NO APLICA-MENOR 13 SEM</v>
      </c>
      <c r="CR117" s="21">
        <v>90</v>
      </c>
      <c r="CS117" s="21">
        <v>60</v>
      </c>
      <c r="CT117" s="217" t="str">
        <f>IF(R117="","",IF(AND(BS117&gt;1,BS117&lt;12,Tabla1[[#This Row],[T.A. SISTOLICA - ANTES DE SEMANA 12]]="",Tabla1[[#This Row],[T.A. DIASTOLICA - ANTES DE SEMANA 12]]=""),"REGISTRE DATO TA ANTES SEMANA 12",IF(AND(BS117&gt;11,BS117&lt;43,Tabla1[[#This Row],[T.A. SISTOLICA - ANTES DE SEMANA 12]]="",Tabla1[[#This Row],[T.A. DIASTOLICA - ANTES DE SEMANA 12]]=""),"NO APLICA REGISTRO TA-INGRESO TARDIO",IF(AND(OR(O117&gt;0,R117&gt;0),OR(CR117&gt;=140,CS117&gt;=90)),"DEFINIR ESTADIO HTA",IF(AND(OR(O117&gt;0,R117&gt;0),AND(CR117&gt;120,CR117&lt;=139)),"PRE HTA SEGUIMIENTO",IF(AND(OR(O117&gt;0,R117&gt;0),AND(CS117&gt;80,CS117&lt;=89)),"PRE HTA SEGUIMIENTO",IF(AND(OR(O117&gt;0,R117&gt;0),AND(CR117&gt;=80,CR117&lt;=120)),"APARENTEMENTE NORMAL",IF(AND(OR(O117&gt;0,R117&gt;0),AND(CS117&gt;=50,CS117&lt;=80)),"APARENTEMENTE NORMAL",IF(AND(OR(O117&gt;0,R117&gt;0),AND(CR117&gt;1,CR117&lt;=70),AND(CS117&gt;1,CS117&lt;=40)),"HIPOTENSIÓN","")))))))))</f>
        <v>APARENTEMENTE NORMAL</v>
      </c>
      <c r="CU117" s="21"/>
      <c r="CV117" s="21"/>
      <c r="CW117" s="217" t="str">
        <f ca="1">IF(R117="","",IF(AND(CN117&gt;19,CN117&lt;27,Tabla1[[#This Row],[T.A. SISTOLICA (Entre semana 20 y 26)]]="",Tabla1[[#This Row],[T.A. DIATOLICA (Entre semana 20 y 26)]]=""),"ACUDE A CONTROL SEM 20 A 26 REGISTRE TA AHORA",IF(AND(BS117&gt;1,BS117&lt;27,BU117&gt;19,Tabla1[[#This Row],[T.A. SISTOLICA (Entre semana 20 y 26)]]="",Tabla1[[#This Row],[T.A. DIATOLICA (Entre semana 20 y 26)]]=""),"COMPLETE REGISTRO TA CONTROL SEM 20 A26 ",IF(AND(BS117&gt;26,BS117&lt;43,Tabla1[[#This Row],[T.A. SISTOLICA (Entre semana 20 y 26)]]="",Tabla1[[#This Row],[T.A. DIATOLICA (Entre semana 20 y 26)]]=""),"NO APLICA REGISTRO TA-INGRESO TARDIO",IF(AND(OR(O117&gt;0,R117&gt;0),OR(CU117&gt;=140,CV117&gt;=90)),"ALTO RIESGO PREECLAMPSIA,DEFINIR ESTADIO HTA",IF(AND(OR(O117&gt;0,R117&gt;0),AND(CU117&gt;120,CU117&lt;=139)),"PRE HTA SEGUIMIENTO,RIESGO HIPERTENSION INDUCIDA POR EL EMBARAZO",IF(AND(OR(O117&gt;0,R117&gt;0),AND(CV117&gt;80,CV117&lt;=89)),"PRE HTA SEGUIMIENTO, RIESGO HIPERTENSION INDUCIDA POR EL EMBARAZO",IF(AND(OR(O117&lt;&gt;"",R117&lt;&gt;""),CS117&lt;&gt;"",CV117&lt;&gt;"",CS117&lt;=CV117),"VIGILAR CIFRAS PRESION ARTERIAL",IF(AND(OR(O117&gt;0,R117&gt;0),AND(CU117&gt;120,CU117&lt;=139)),"PRE HTA SEGUIMIENTO",IF(AND(OR(O117&gt;0,R117&gt;0),AND(CU117&gt;1,CU117&lt;=70),AND(CV117&gt;1,CV117&lt;=40)),"HIPOTENSIÓN",IF(AND(OR(O117&lt;&gt;"",R117&lt;&gt;""),CS117&lt;&gt;"",CV117&lt;&gt;"",CS117&gt;CV117),"APARENTEMENTE NORMAL",IF(AND(OR(O117&gt;0,R117&gt;0),AND(CU117&gt;=80,CU117&lt;=120)),"APARENTEMENTE NORMAL",IF(AND(OR(O117&gt;0,R117&gt;0),AND(CV117&gt;=50,CV117&lt;=80)),"APARENTEMENTE NORMAL","")))))))))))))</f>
        <v xml:space="preserve">COMPLETE REGISTRO TA CONTROL SEM 20 A26 </v>
      </c>
      <c r="CX117" s="21"/>
      <c r="CY117" s="21"/>
      <c r="CZ117" s="216" t="str">
        <f t="shared" si="456"/>
        <v/>
      </c>
      <c r="DA117" s="21"/>
      <c r="DB117" s="21"/>
      <c r="DC117" s="217" t="str">
        <f t="shared" si="264"/>
        <v>REGISTRE DATO PRESIÓN ARTERIAL MENSUAL</v>
      </c>
      <c r="DD117" s="22">
        <v>44985</v>
      </c>
      <c r="DE117" s="22">
        <v>44985</v>
      </c>
      <c r="DF117" s="22"/>
      <c r="DG117" s="22"/>
      <c r="DH117" s="22"/>
      <c r="DI117" s="22"/>
      <c r="DJ117" s="22"/>
      <c r="DK117" s="22"/>
      <c r="DL117" s="22"/>
      <c r="DM117" s="22"/>
      <c r="DN117" s="22"/>
      <c r="DO117" s="22"/>
      <c r="DP117" s="22"/>
      <c r="DQ117" s="22"/>
      <c r="DR117" s="28"/>
      <c r="DS117" s="22"/>
      <c r="DT117" s="22"/>
      <c r="DU117" s="216" t="str">
        <f t="shared" ca="1" si="438"/>
        <v>CONCERTAR PLAN DE PARTO INMEDIATO</v>
      </c>
      <c r="DV117" s="226" t="str">
        <f t="shared" si="439"/>
        <v>ACTIVA INGRESO A CPN</v>
      </c>
      <c r="DW1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7" s="216" t="e">
        <f t="shared" ca="1" si="266"/>
        <v>#REF!</v>
      </c>
      <c r="DY117" s="212">
        <f>IF(R117="","",IF(R117&gt;0,MAX(Tabla1[[#This Row],[FECHA C2]:[FECHA C13]],Tabla1[[#This Row],[FECHA CONSULTA PRIMERA VEZ PROGRAMA CPN ]])))</f>
        <v>44985</v>
      </c>
      <c r="DZ117" s="216">
        <f t="shared" si="267"/>
        <v>8</v>
      </c>
      <c r="EA117" s="222">
        <f>IF(R117&gt;0,SUM(COUNTA(DF117:DQ117)+COUNTA(Tabla1[[#This Row],[FECHA CONSULTA PRIMERA VEZ PROGRAMA CPN ]])),"")</f>
        <v>1</v>
      </c>
      <c r="EB117" s="222" t="str">
        <f t="shared" si="268"/>
        <v>NO</v>
      </c>
      <c r="EC117" s="214">
        <f t="shared" si="269"/>
        <v>9</v>
      </c>
      <c r="ED117" s="227">
        <f t="shared" si="270"/>
        <v>0.1111111111111111</v>
      </c>
      <c r="EE117" s="22">
        <v>44985</v>
      </c>
      <c r="EF117" s="22">
        <v>44985</v>
      </c>
      <c r="EG117" s="22">
        <v>44985</v>
      </c>
      <c r="EH117" s="22"/>
      <c r="EI117" s="22">
        <v>44985</v>
      </c>
      <c r="EJ117" s="22"/>
      <c r="EK117" s="22"/>
      <c r="EL117" s="21"/>
      <c r="EM117" s="21"/>
      <c r="EN117" s="22"/>
      <c r="EO117" s="222" t="str">
        <f t="shared" si="271"/>
        <v>TOMAR EXAMEN</v>
      </c>
      <c r="EP117" s="214" t="str">
        <f t="shared" si="272"/>
        <v/>
      </c>
      <c r="EQ117" s="216" t="str">
        <f t="shared" si="273"/>
        <v>POR DEFINIR</v>
      </c>
      <c r="ER117" s="24"/>
      <c r="ES117" s="22"/>
      <c r="ET117" s="29" t="str">
        <f t="shared" ca="1" si="440"/>
        <v>TOMA DE HEMOGLOBINA TARDÍA</v>
      </c>
      <c r="EU117" s="25" t="str">
        <f t="shared" si="275"/>
        <v/>
      </c>
      <c r="EV117" s="24"/>
      <c r="EW117" s="24"/>
      <c r="EX117" s="22"/>
      <c r="EY117" s="29" t="str">
        <f t="shared" si="453"/>
        <v>TOMAR EXAMEN</v>
      </c>
      <c r="EZ117" s="25" t="str">
        <f t="shared" ca="1" si="454"/>
        <v/>
      </c>
      <c r="FA117" s="21"/>
      <c r="FB117" s="22"/>
      <c r="FC117" s="29" t="str">
        <f t="shared" si="276"/>
        <v>TOMAR EXAMEN</v>
      </c>
      <c r="FD117" s="29"/>
      <c r="FE117" s="29"/>
      <c r="FF117" s="29"/>
      <c r="FG117" s="21" t="str">
        <f t="shared" ca="1" si="277"/>
        <v/>
      </c>
      <c r="FH117" s="31"/>
      <c r="FI117" s="29" t="str">
        <f t="shared" si="278"/>
        <v>TOMAR EXAMEN</v>
      </c>
      <c r="FJ117" s="22"/>
      <c r="FK117" s="22"/>
      <c r="FL117" s="29" t="str">
        <f t="shared" ca="1" si="279"/>
        <v>PIERDE TOMA DE TAMIZAJE</v>
      </c>
      <c r="FM117" s="22"/>
      <c r="FN117" s="32"/>
      <c r="FO117" s="29" t="str">
        <f t="shared" ca="1" si="441"/>
        <v>PIERDE TOMA DE TAMIZAJE</v>
      </c>
      <c r="FP117" s="22"/>
      <c r="FQ117" s="32"/>
      <c r="FR117" s="29" t="str">
        <f t="shared" ca="1" si="442"/>
        <v>TOMA INMEDIATA DE TAMIZAJE</v>
      </c>
      <c r="FS117" s="22"/>
      <c r="FT117" s="32"/>
      <c r="FU117" s="29" t="str">
        <f>IF(AND(FJ117="",FM117="",FP117="",FS117=""),"",IF(OR(OR(Tabla1[[#This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7" s="28"/>
      <c r="FW117" s="22"/>
      <c r="FX117" s="29" t="str">
        <f t="shared" si="280"/>
        <v>TOMAR EXAMEN</v>
      </c>
      <c r="FY117" s="22">
        <v>44985</v>
      </c>
      <c r="FZ117" s="22">
        <v>44985</v>
      </c>
      <c r="GA117" s="29">
        <f t="shared" ca="1" si="452"/>
        <v>8.8571428571428577</v>
      </c>
      <c r="GB117" s="22"/>
      <c r="GC117" s="22"/>
      <c r="GD117" s="29" t="str">
        <f t="shared" ca="1" si="490"/>
        <v>PIERDE TOMA DE TAMIZAJE</v>
      </c>
      <c r="GE117" s="22"/>
      <c r="GF117" s="22"/>
      <c r="GG117" s="29" t="str">
        <f t="shared" ca="1" si="444"/>
        <v>TOMA INMEDIATA DE TAMIZAJE</v>
      </c>
      <c r="GH117" s="22"/>
      <c r="GI117" s="29"/>
      <c r="GJ117" s="22"/>
      <c r="GK117" s="22"/>
      <c r="GL117" s="22"/>
      <c r="GM117" s="22"/>
      <c r="GN117" s="28"/>
      <c r="GO117" s="22"/>
      <c r="GP117" s="29" t="str">
        <f t="shared" si="283"/>
        <v>TOMAR EXAMEN</v>
      </c>
      <c r="GQ117" s="28"/>
      <c r="GR117" s="28"/>
      <c r="GS117" s="22" t="str">
        <f t="shared" si="457"/>
        <v/>
      </c>
      <c r="GT117" s="22"/>
      <c r="GU117" s="29" t="str">
        <f t="shared" si="285"/>
        <v>TOMAR EXAMEN</v>
      </c>
      <c r="GV117" s="21" t="str">
        <f t="shared" si="286"/>
        <v>POR DEFINIR</v>
      </c>
      <c r="GW117" s="28"/>
      <c r="GX117" s="30"/>
      <c r="GY117" s="21"/>
      <c r="GZ117" s="21"/>
      <c r="HA117" s="21"/>
      <c r="HB117" s="21"/>
      <c r="HC117" s="21"/>
      <c r="HD117" s="21"/>
      <c r="HE117" s="21"/>
      <c r="HF117" s="22"/>
      <c r="HG117" s="22" t="str">
        <f>IF(OR(O117&gt;0,R117&gt;0),CONCATENATE(IF(Tabla1[[#This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7" s="22" t="e">
        <f t="shared" si="287"/>
        <v>#REF!</v>
      </c>
      <c r="HI117" s="22" t="e">
        <f t="shared" ca="1" si="288"/>
        <v>#REF!</v>
      </c>
      <c r="HJ117" s="21"/>
      <c r="HK117" s="21" t="str">
        <f t="shared" si="289"/>
        <v>SIN ANTECEDENTES DE RIESGO</v>
      </c>
      <c r="HL117" s="24" t="str">
        <f t="shared" si="290"/>
        <v>REGISTRE DATO PRESIÓN ARTERIAL MENSUAL</v>
      </c>
      <c r="HM117" s="21" t="e">
        <f t="shared" ca="1" si="291"/>
        <v>#REF!</v>
      </c>
      <c r="HN117" s="30" t="str">
        <f t="shared" si="445"/>
        <v>ACTIVA INGRESO A CPN</v>
      </c>
      <c r="HO117" s="21"/>
      <c r="HP117" s="21"/>
      <c r="HQ117" s="349">
        <v>44985</v>
      </c>
      <c r="HR117" s="21" t="str">
        <f>IF(R117="","",IF(Tabla1[[#This Row],[ALARMA FACTORES DE RIESGO COMPLICACIONES HIPERTENSIVAS3]]="SIN ANTECEDENTES DE RIESGO","No Aplica para suministro de ASA",IF(AND(Tabla1[[#This Row],[FECHA INICIO DE SUMINISTRO DE ASA]]&gt;0,RV117&lt;12),"Inicia ASA ANTES de Sem 12",IF(AND(RV117&gt;11,RV117&lt;17,OR(HK117="RIESGO ALTO DE COMPLICACIONES HIPERTENSIVAS VER MANEJO GUIA SUMINISTRO ASA Y CALCIO",HK117="RIESGO MODERADO (2 O MAS CRITERIOS) VER MANEJO GUIA SUMINISTRO ASA Y CALCIO")),"Inicio oportuno de ASA",IF(AND(RV117&gt;12,OR(HK117="RIESGO ALTO DE COMPLICACIONES HIPERTENSIVAS VER MANEJO GUIA SUMINISTRO ASA Y CALCIO",HK117="RIESGO MODERADO (2 O MAS CRITERIOS) VER MANEJO GUIA SUMINISTRO ASA Y CALCIO")),"Inicio no oportuno mayor a 16 semanas",IF(AND(BU117&lt;12,OR(HK117="RIESGO ALTO DE COMPLICACIONES HIPERTENSIVAS VER MANEJO GUIA SUMINISTRO ASA Y CALCIO",HK117="RIESGO MODERADO (2 O MAS CRITERIOS) VER MANEJO GUIA SUMINISTRO ASA Y CALCIO")),"Pendiente Inicio de ASA a la semana 12",IF(AND(BU117&gt;11,BU117&lt;17,OR(HK117="RIESGO ALTO DE COMPLICACIONES HIPERTENSIVAS VER MANEJO GUIA SUMINISTRO ASA Y CALCIO",HK117="RIESGO MODERADO (2 O MAS CRITERIOS) VER MANEJO GUIA SUMINISTRO ASA Y CALCIO")),"Iniciar de inmediato ASA",IF(AND(BU117&gt;16,OR(HK117="RIESGO ALTO DE COMPLICACIONES HIPERTENSIVAS VER MANEJO GUIA SUMINISTRO ASA Y CALCIO",HK117="RIESGO MODERADO (2 O MAS CRITERIOS) VER MANEJO GUIA SUMINISTRO ASA Y CALCIO")),"Pierde Oportunidad, Inicio tardío de ASA","XXXXX"))))))))</f>
        <v>No Aplica para suministro de ASA</v>
      </c>
      <c r="HS117" s="22">
        <v>44985</v>
      </c>
      <c r="HT117" s="22" t="s">
        <v>870</v>
      </c>
      <c r="HU117" s="22">
        <v>44985</v>
      </c>
      <c r="HV117" s="22" t="s">
        <v>870</v>
      </c>
      <c r="HW117" s="22"/>
      <c r="HX117" s="22"/>
      <c r="HY117" s="22">
        <v>44985</v>
      </c>
      <c r="HZ117" s="28">
        <f t="shared" si="292"/>
        <v>8.8571428571428577</v>
      </c>
      <c r="IA117" s="26"/>
      <c r="IB117" s="26"/>
      <c r="IC117" s="111"/>
      <c r="ID117" s="22"/>
      <c r="IE117" s="22" t="str">
        <f t="shared" ca="1" si="293"/>
        <v/>
      </c>
      <c r="IF117" s="22"/>
      <c r="IG117" s="22">
        <f t="shared" si="294"/>
        <v>45203</v>
      </c>
      <c r="IH117" s="29">
        <f t="shared" ca="1" si="295"/>
        <v>-30</v>
      </c>
      <c r="II117" s="22" t="str">
        <f t="shared" ca="1" si="296"/>
        <v>POSIBLEMENTE NACIO</v>
      </c>
      <c r="IJ117" s="22"/>
      <c r="IK117" s="21"/>
      <c r="IL117" s="21"/>
      <c r="IM117" s="34"/>
      <c r="IN117" s="22"/>
      <c r="IO117" s="21"/>
      <c r="IP117" s="29" t="str">
        <f t="shared" si="489"/>
        <v/>
      </c>
      <c r="IQ117" s="35"/>
      <c r="IR117" s="21"/>
      <c r="IS117" s="21"/>
      <c r="IT117" s="21"/>
      <c r="IU117" s="21"/>
      <c r="IV117" s="21"/>
      <c r="IW117" s="21"/>
      <c r="IX117" s="21"/>
      <c r="IY117" s="21"/>
      <c r="IZ117" s="21"/>
      <c r="JA117" s="21"/>
      <c r="JB117" s="30"/>
      <c r="JC117" s="21"/>
      <c r="JD117" s="36"/>
      <c r="JE117" s="21" t="str">
        <f t="shared" si="491"/>
        <v/>
      </c>
      <c r="JF117" s="30"/>
      <c r="JG117" s="21"/>
      <c r="JH117" s="21"/>
      <c r="JI117" s="21"/>
      <c r="JJ117" s="30"/>
      <c r="JK117" s="22"/>
      <c r="JL117" s="22"/>
      <c r="JM117" s="21"/>
      <c r="JN117" s="36"/>
      <c r="JO117" s="21" t="str">
        <f t="shared" si="492"/>
        <v/>
      </c>
      <c r="JP117" s="22"/>
      <c r="JQ117" s="21"/>
      <c r="JR117" s="21"/>
      <c r="JS117" s="21"/>
      <c r="JT117" s="30"/>
      <c r="JU117" s="22"/>
      <c r="JV117" s="22"/>
      <c r="JW117" s="33"/>
      <c r="JX117" s="28" t="str">
        <f t="shared" si="493"/>
        <v/>
      </c>
      <c r="JY117" s="33"/>
      <c r="JZ117" s="28" t="str">
        <f t="shared" si="494"/>
        <v/>
      </c>
      <c r="KA117" s="21"/>
      <c r="KB117" s="21"/>
      <c r="KC117" s="21"/>
      <c r="KD117" s="37"/>
      <c r="KE117" s="28"/>
      <c r="KF117" s="28"/>
      <c r="KG117" s="28"/>
      <c r="KH117" s="39"/>
      <c r="KI117" s="39"/>
      <c r="KJ117" s="66"/>
      <c r="KK117" s="39"/>
      <c r="KL117" s="39"/>
      <c r="KM117" s="66"/>
      <c r="KN117" s="39"/>
      <c r="KO117" s="39"/>
      <c r="KP117" s="39"/>
      <c r="KQ117" s="39"/>
      <c r="KR117" s="39"/>
      <c r="KS117" s="39"/>
      <c r="KT117" s="39"/>
      <c r="KU117" s="38"/>
      <c r="KV117" s="38"/>
      <c r="KW117" s="38"/>
      <c r="KX117" s="38"/>
      <c r="KY117" s="38"/>
      <c r="KZ117" s="38"/>
      <c r="LA117" s="38"/>
      <c r="LB117" s="38"/>
      <c r="LC117" s="38"/>
      <c r="LD117" s="38"/>
      <c r="LE117" s="38"/>
      <c r="LF117" s="38"/>
      <c r="LG117" s="38"/>
      <c r="LH117" s="38"/>
      <c r="LI117" s="38"/>
      <c r="LJ117" s="38"/>
      <c r="LK117" s="38"/>
      <c r="LL117" s="38"/>
      <c r="LM117" s="38"/>
      <c r="LN117" s="38"/>
      <c r="LO117" s="38"/>
      <c r="LP117" s="38"/>
      <c r="LQ117" s="38"/>
      <c r="LR117" s="38"/>
      <c r="LS117" s="38"/>
      <c r="LT117" s="38"/>
      <c r="LU117" s="38"/>
      <c r="LV117" s="38"/>
      <c r="LW117" s="38"/>
      <c r="LX117" s="38"/>
      <c r="LY117" s="38"/>
      <c r="LZ117" s="38"/>
      <c r="MA117" s="38"/>
      <c r="MB117" s="38"/>
      <c r="MC117" s="38"/>
      <c r="MD117" s="38"/>
      <c r="ME117" s="38"/>
      <c r="MF117" s="38"/>
      <c r="MG117" s="38"/>
      <c r="MH117" s="43">
        <f t="shared" si="458"/>
        <v>0</v>
      </c>
      <c r="MI117" s="43" t="str">
        <f t="shared" si="459"/>
        <v/>
      </c>
      <c r="MJ117" s="43" t="str">
        <f t="shared" si="460"/>
        <v/>
      </c>
      <c r="MK117" s="43">
        <f t="shared" si="461"/>
        <v>0</v>
      </c>
      <c r="ML1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7" s="43">
        <f t="shared" si="462"/>
        <v>8.8571428571428577</v>
      </c>
      <c r="MN117" s="43">
        <f t="shared" si="463"/>
        <v>2</v>
      </c>
      <c r="MO117" s="43">
        <f t="shared" si="464"/>
        <v>2023</v>
      </c>
      <c r="MP117" s="43" t="str">
        <f t="shared" si="465"/>
        <v>I TRIMESTRE AÑO</v>
      </c>
      <c r="MQ117" s="43">
        <f t="shared" si="466"/>
        <v>14.898160315374506</v>
      </c>
      <c r="MR117" s="43">
        <f t="shared" si="467"/>
        <v>1</v>
      </c>
      <c r="MS117" s="43" t="str">
        <f t="shared" si="468"/>
        <v>DE 14 A 19AÑOS</v>
      </c>
      <c r="MT117" s="43">
        <f t="shared" si="469"/>
        <v>0</v>
      </c>
      <c r="MU117" s="43">
        <f t="shared" si="470"/>
        <v>1</v>
      </c>
      <c r="MV117" s="43">
        <f t="shared" si="471"/>
        <v>1</v>
      </c>
      <c r="MW117" s="43">
        <f t="shared" si="472"/>
        <v>0</v>
      </c>
      <c r="MX117" s="43" t="str">
        <f t="shared" si="473"/>
        <v/>
      </c>
      <c r="MY117" s="43" t="str">
        <f t="shared" ca="1" si="495"/>
        <v/>
      </c>
      <c r="MZ117" s="43" t="str">
        <f t="shared" si="474"/>
        <v/>
      </c>
      <c r="NA117" s="43" t="str">
        <f t="shared" si="475"/>
        <v/>
      </c>
      <c r="NB117" s="43" t="str">
        <f t="shared" si="476"/>
        <v/>
      </c>
      <c r="NC117" s="43" t="str">
        <f t="shared" si="477"/>
        <v/>
      </c>
      <c r="ND117" s="43">
        <f t="shared" ca="1" si="478"/>
        <v>3</v>
      </c>
      <c r="NE117" s="43">
        <f>IF(OR(O117&gt;0,R117&gt;0),SUM(COUNTIF(Tabla1[[#This Row],[AÑOS AL INICIO5 CPN]],"&gt;=40"),COUNTIF(AS117,"0"),COUNTIF(AR117,"SI"),COUNTIF(CC117,"SI"),COUNTIF(BQ117,"&gt;119"),COUNTIF(CI117,"&gt;=35")),"")</f>
        <v>1</v>
      </c>
      <c r="NF117" s="43" t="str">
        <f t="shared" si="479"/>
        <v/>
      </c>
      <c r="NG117" s="43">
        <f t="shared" si="480"/>
        <v>0</v>
      </c>
      <c r="NH117" s="43" t="str">
        <f t="shared" si="481"/>
        <v/>
      </c>
      <c r="NI1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CPN",P117="NO"),"Z",IF(AND(Tabla1[[#This Row],[CITA PROXIMO CONTROL]]="CITA MANUAL",Tabla1[[#This Row],[GESTANTES ACTUALES]]="ACTIVA INGRESO A CPN"),"W",IF(AND(Tabla1[[#This Row],[GESTANTES ACTUALES]]="SALIO PROGRAMA",IN117=""),"S",IF(AND(Tabla1[[#This Row],[CITA PROXIMO CONTROL]]&gt;0,IN117=""),(Tabla1[[#This Row],[CITA PROXIMO CONTROL]]-TODAY()),"SD"))))))))</f>
        <v>#REF!</v>
      </c>
      <c r="NJ117" s="43">
        <f>MONTH(Tabla1[[#This Row],[FECHA DE SALIDA  DEL PROGRAMA]])</f>
        <v>1</v>
      </c>
      <c r="NK117" s="43">
        <f>YEAR(Tabla1[[#This Row],[FECHA DE SALIDA  DEL PROGRAMA]])</f>
        <v>1900</v>
      </c>
      <c r="NL117" s="43" t="str">
        <f t="shared" si="482"/>
        <v>X</v>
      </c>
      <c r="NM117" s="43" t="str">
        <f t="shared" si="455"/>
        <v>NO</v>
      </c>
      <c r="NN117" s="43" t="str">
        <f ca="1">IF(AND(O117&gt;0,R117=""),"NO CPN",IF(AND(O117="",R117=""),"",IF(AND(R117&gt;0,Tabla1[[#This Row],[SEMANAS DE GESTACION ACTUALIZADAS]]&lt;=12),"NO APLICA",IF(AND(FH117&lt;&gt;"",FN117&lt;&gt;""),"SI","NO"))))</f>
        <v>NO</v>
      </c>
      <c r="NO117" s="43" t="str">
        <f ca="1">IF(AND(O117&gt;0,R117=""),"NO CPN",IF(AND(O117="",R117=""),"",IF(AND(R117&gt;0,Tabla1[[#This Row],[SEMANAS DE GESTACION ACTUALIZADAS]]&lt;=27),"NO APLICA",IF(AND(ES117&lt;&gt;"",FQ117&lt;&gt;"",GF117&lt;&gt;""),"SI","NO"))))</f>
        <v>NO</v>
      </c>
      <c r="NP117" s="204" t="str">
        <f t="shared" si="483"/>
        <v>I TRIM</v>
      </c>
      <c r="NQ117" s="21" t="str">
        <f t="shared" si="436"/>
        <v/>
      </c>
      <c r="NR117" s="21" t="str">
        <f t="shared" ca="1" si="496"/>
        <v>REVISAR FUM O FECHA SALIDA PROGRAMA</v>
      </c>
      <c r="NS117" s="205">
        <f t="shared" ca="1" si="484"/>
        <v>0</v>
      </c>
      <c r="NT117" s="21">
        <f t="shared" ca="1" si="485"/>
        <v>1</v>
      </c>
      <c r="NU117" s="21" t="str">
        <f t="shared" ca="1" si="486"/>
        <v>POR DEFINIR</v>
      </c>
      <c r="NV117" s="21" t="str">
        <f t="shared" ca="1" si="487"/>
        <v>POR DEFINIR</v>
      </c>
      <c r="NW117" s="206" t="str">
        <f>IF(AND(O117="",R117=""),"",IF(OR(AND(Tabla1[[#This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7" s="207" t="str">
        <f t="shared" ca="1" si="488"/>
        <v>SIN VACUNAR</v>
      </c>
      <c r="NY117" s="43">
        <f>ROW(Tabla1[[#This Row],['# DE TAMIZAJES SIFILIS TOMADOS ]])</f>
        <v>117</v>
      </c>
      <c r="NZ117" s="43" t="str">
        <f t="shared" si="333"/>
        <v>Menor</v>
      </c>
      <c r="OA117" s="43" t="str">
        <f t="shared" si="334"/>
        <v>NORMAL</v>
      </c>
      <c r="OB117" s="43" t="str">
        <f t="shared" si="335"/>
        <v/>
      </c>
      <c r="OC117" s="43" t="str">
        <f t="shared" si="336"/>
        <v/>
      </c>
      <c r="OD117" s="43" t="str">
        <f t="shared" si="337"/>
        <v/>
      </c>
      <c r="OE117" s="43" t="str">
        <f t="shared" si="338"/>
        <v/>
      </c>
      <c r="OF117" s="43" t="str">
        <f t="shared" si="339"/>
        <v/>
      </c>
      <c r="OG117" s="43" t="str">
        <f t="shared" si="340"/>
        <v/>
      </c>
      <c r="OH117" s="43" t="str">
        <f t="shared" si="341"/>
        <v/>
      </c>
      <c r="OI117" s="43" t="str">
        <f t="shared" si="342"/>
        <v/>
      </c>
      <c r="OJ117" s="43" t="str">
        <f t="shared" si="343"/>
        <v/>
      </c>
      <c r="OK117" s="43" t="str">
        <f t="shared" si="344"/>
        <v/>
      </c>
      <c r="OL117" s="43" t="str">
        <f t="shared" si="345"/>
        <v/>
      </c>
      <c r="OM117" s="43" t="str">
        <f t="shared" si="346"/>
        <v/>
      </c>
      <c r="ON117" s="43" t="str">
        <f t="shared" si="347"/>
        <v/>
      </c>
      <c r="OO117" s="43" t="str">
        <f t="shared" si="348"/>
        <v/>
      </c>
      <c r="OP117" s="43" t="str">
        <f t="shared" si="349"/>
        <v/>
      </c>
      <c r="OQ117" s="43" t="str">
        <f t="shared" si="350"/>
        <v/>
      </c>
      <c r="OR117" s="43" t="str">
        <f t="shared" si="351"/>
        <v/>
      </c>
      <c r="OS117" s="43" t="str">
        <f t="shared" si="352"/>
        <v/>
      </c>
      <c r="OT117" s="43" t="str">
        <f t="shared" si="353"/>
        <v/>
      </c>
      <c r="OU117" s="43" t="str">
        <f t="shared" si="354"/>
        <v/>
      </c>
      <c r="OV117" s="110" t="str">
        <f t="shared" si="355"/>
        <v/>
      </c>
      <c r="OW117" s="43" t="str">
        <f t="shared" si="356"/>
        <v/>
      </c>
      <c r="OX117" s="43" t="str">
        <f t="shared" si="357"/>
        <v/>
      </c>
      <c r="OY117" s="43" t="str">
        <f t="shared" si="358"/>
        <v/>
      </c>
      <c r="OZ117" s="43" t="str">
        <f t="shared" si="359"/>
        <v/>
      </c>
      <c r="PA117" s="43" t="str">
        <f t="shared" si="360"/>
        <v/>
      </c>
      <c r="PB117" s="43" t="str">
        <f t="shared" si="361"/>
        <v/>
      </c>
      <c r="PC117" s="43" t="str">
        <f t="shared" si="362"/>
        <v/>
      </c>
      <c r="PD117" s="43" t="str">
        <f t="shared" si="363"/>
        <v/>
      </c>
      <c r="PE117" s="43" t="str">
        <f t="shared" si="364"/>
        <v/>
      </c>
      <c r="PF117" s="43" t="str">
        <f t="shared" si="365"/>
        <v/>
      </c>
      <c r="PG117" s="43" t="str">
        <f t="shared" si="366"/>
        <v/>
      </c>
      <c r="PH117" s="43" t="str">
        <f t="shared" si="367"/>
        <v/>
      </c>
      <c r="PI117" s="43" t="str">
        <f t="shared" si="368"/>
        <v>Menor</v>
      </c>
      <c r="PJ117" s="43" t="str">
        <f t="shared" si="369"/>
        <v>NORMAL</v>
      </c>
      <c r="PK117" s="43" t="str">
        <f t="shared" si="370"/>
        <v/>
      </c>
      <c r="PL117" s="43" t="str">
        <f t="shared" si="371"/>
        <v/>
      </c>
      <c r="PM117" s="43" t="str">
        <f t="shared" si="372"/>
        <v/>
      </c>
      <c r="PN117" s="43" t="str">
        <f t="shared" si="373"/>
        <v/>
      </c>
      <c r="PO117" s="43" t="str">
        <f t="shared" si="374"/>
        <v/>
      </c>
      <c r="PP117" s="43" t="str">
        <f t="shared" si="375"/>
        <v/>
      </c>
      <c r="PQ117" s="43" t="str">
        <f t="shared" si="376"/>
        <v/>
      </c>
      <c r="PR117" s="43" t="str">
        <f t="shared" si="377"/>
        <v/>
      </c>
      <c r="PS117" s="43" t="str">
        <f t="shared" si="378"/>
        <v/>
      </c>
      <c r="PT117" s="43" t="str">
        <f t="shared" si="379"/>
        <v/>
      </c>
      <c r="PU117" s="43" t="str">
        <f t="shared" si="380"/>
        <v/>
      </c>
      <c r="PV117" s="43" t="str">
        <f t="shared" si="381"/>
        <v/>
      </c>
      <c r="PW117" s="43" t="str">
        <f t="shared" si="382"/>
        <v/>
      </c>
      <c r="PX117" s="43" t="str">
        <f t="shared" si="383"/>
        <v/>
      </c>
      <c r="PY117" s="43" t="str">
        <f t="shared" si="384"/>
        <v/>
      </c>
      <c r="PZ117" s="43" t="str">
        <f t="shared" si="385"/>
        <v/>
      </c>
      <c r="QA117" s="43" t="str">
        <f t="shared" si="386"/>
        <v/>
      </c>
      <c r="QB117" s="43" t="str">
        <f t="shared" si="387"/>
        <v/>
      </c>
      <c r="QC117" s="43" t="str">
        <f t="shared" si="388"/>
        <v/>
      </c>
      <c r="QD117" s="43" t="str">
        <f t="shared" si="389"/>
        <v/>
      </c>
      <c r="QE117" s="43" t="str">
        <f t="shared" si="390"/>
        <v/>
      </c>
      <c r="QF117" s="43" t="str">
        <f t="shared" si="391"/>
        <v/>
      </c>
      <c r="QG117" s="43" t="str">
        <f t="shared" si="392"/>
        <v/>
      </c>
      <c r="QH117" s="43" t="str">
        <f t="shared" si="393"/>
        <v/>
      </c>
      <c r="QI117" s="43" t="str">
        <f t="shared" si="394"/>
        <v/>
      </c>
      <c r="QJ117" s="43" t="str">
        <f t="shared" si="395"/>
        <v/>
      </c>
      <c r="QK117" s="43" t="str">
        <f t="shared" si="396"/>
        <v/>
      </c>
      <c r="QL117" s="43" t="str">
        <f t="shared" si="397"/>
        <v/>
      </c>
      <c r="QM117" s="43" t="str">
        <f t="shared" si="398"/>
        <v/>
      </c>
      <c r="QN117" s="43" t="str">
        <f t="shared" si="399"/>
        <v/>
      </c>
      <c r="QO117" s="43" t="str">
        <f t="shared" si="400"/>
        <v/>
      </c>
      <c r="QP117" s="43" t="str">
        <f t="shared" si="401"/>
        <v/>
      </c>
      <c r="QQ117" s="43" t="str">
        <f t="shared" si="402"/>
        <v/>
      </c>
      <c r="QR117" s="43" t="str">
        <f t="shared" si="432"/>
        <v>Menor</v>
      </c>
      <c r="QS117" s="43"/>
      <c r="QT117" s="21" t="str">
        <f t="shared" si="403"/>
        <v/>
      </c>
      <c r="QU117" s="21" t="str">
        <f t="shared" si="404"/>
        <v/>
      </c>
      <c r="QV117" s="21" t="str">
        <f t="shared" si="405"/>
        <v/>
      </c>
      <c r="QW117" s="21" t="str">
        <f t="shared" si="406"/>
        <v/>
      </c>
      <c r="QX117" s="21" t="str">
        <f t="shared" si="407"/>
        <v/>
      </c>
      <c r="QY117" s="21" t="str">
        <f t="shared" si="408"/>
        <v/>
      </c>
      <c r="QZ117" s="21" t="str">
        <f t="shared" si="409"/>
        <v/>
      </c>
      <c r="RA117" s="21" t="str">
        <f t="shared" si="410"/>
        <v/>
      </c>
      <c r="RB117" s="21" t="str">
        <f t="shared" si="411"/>
        <v/>
      </c>
      <c r="RC117" s="21" t="str">
        <f t="shared" si="412"/>
        <v/>
      </c>
      <c r="RD117" s="21" t="str">
        <f t="shared" si="413"/>
        <v/>
      </c>
      <c r="RE117" s="21" t="str">
        <f t="shared" si="414"/>
        <v/>
      </c>
      <c r="RF117" s="21" t="str">
        <f t="shared" si="415"/>
        <v/>
      </c>
      <c r="RG117" s="21" t="str">
        <f t="shared" si="416"/>
        <v/>
      </c>
      <c r="RH117" s="21" t="str">
        <f t="shared" si="417"/>
        <v/>
      </c>
      <c r="RI117" s="21" t="str">
        <f t="shared" si="418"/>
        <v/>
      </c>
      <c r="RJ117" s="21" t="str">
        <f t="shared" si="419"/>
        <v/>
      </c>
      <c r="RK117" s="21" t="str">
        <f t="shared" si="420"/>
        <v/>
      </c>
      <c r="RL117" s="21" t="str">
        <f t="shared" si="421"/>
        <v/>
      </c>
      <c r="RM117" s="21" t="str">
        <f t="shared" si="422"/>
        <v/>
      </c>
      <c r="RN117" s="21" t="str">
        <f t="shared" si="423"/>
        <v/>
      </c>
      <c r="RO117" s="21" t="str">
        <f t="shared" si="424"/>
        <v/>
      </c>
      <c r="RP117" s="21" t="str">
        <f t="shared" si="425"/>
        <v/>
      </c>
      <c r="RQ117" s="21" t="str">
        <f t="shared" si="426"/>
        <v/>
      </c>
      <c r="RR117" s="21" t="str">
        <f t="shared" si="427"/>
        <v/>
      </c>
      <c r="RS117" s="21" t="str">
        <f t="shared" si="428"/>
        <v/>
      </c>
      <c r="RT117" s="21" t="str">
        <f t="shared" si="429"/>
        <v/>
      </c>
      <c r="RU117" s="21" t="str">
        <f t="shared" si="430"/>
        <v/>
      </c>
      <c r="RV117" s="21">
        <f t="shared" si="431"/>
        <v>8.8571428571428577</v>
      </c>
      <c r="RW117" s="284">
        <f>IF(OR(Tabla1[[#This Row],[FUM FORMULA CONFIABLE]]="",Tabla1[[#This Row],[FUM FORMULA CONFIABLE]]="SD"),"",IF(Tabla1[[#This Row],[FUM FORMULA CONFIABLE]]="CORREGIDA",Tabla1[[#This Row],[FUM X ECO 1]],Tabla1[[#This Row],[FUM x AMENORREA]]))</f>
        <v>44923</v>
      </c>
      <c r="RX117" s="21" t="str">
        <f>IF(AND(Tabla1[[#This Row],[FUM X ECO 1]]="",Tabla1[[#This Row],[FUM x AMENORREA]]=""),"",IF(AND(Tabla1[[#This Row],[FUM X ECO 1]]="",Tabla1[[#This Row],[FUM x AMENORREA]]&lt;&gt;""),"X",SUM(Tabla1[[#This Row],[FUM X ECO 1]]-Tabla1[[#This Row],[FUM x AMENORREA]])))</f>
        <v>X</v>
      </c>
      <c r="RY117" s="21" t="str">
        <f t="shared" si="433"/>
        <v>x</v>
      </c>
    </row>
    <row r="118" spans="1:493" s="338" customFormat="1" ht="45" customHeight="1" x14ac:dyDescent="0.25">
      <c r="A118" s="300"/>
      <c r="B118" s="301"/>
      <c r="C118" s="301" t="s">
        <v>845</v>
      </c>
      <c r="D118" s="302"/>
      <c r="E118" s="301" t="s">
        <v>909</v>
      </c>
      <c r="F118" s="301" t="s">
        <v>914</v>
      </c>
      <c r="G118" s="301" t="s">
        <v>1348</v>
      </c>
      <c r="H118" s="301"/>
      <c r="I118" s="300" t="s">
        <v>851</v>
      </c>
      <c r="J118" s="303">
        <v>1002847764</v>
      </c>
      <c r="K118" s="301" t="s">
        <v>852</v>
      </c>
      <c r="L118" s="304" t="s">
        <v>853</v>
      </c>
      <c r="M118" s="305">
        <v>37192</v>
      </c>
      <c r="N118" s="306">
        <f t="shared" ca="1" si="252"/>
        <v>22.030136986301368</v>
      </c>
      <c r="O118" s="305">
        <v>44986</v>
      </c>
      <c r="P118" s="307" t="str">
        <f t="shared" si="437"/>
        <v>SI</v>
      </c>
      <c r="Q118" s="308" t="s">
        <v>855</v>
      </c>
      <c r="R118" s="305">
        <v>44986</v>
      </c>
      <c r="S118" s="309" t="s">
        <v>856</v>
      </c>
      <c r="T118" s="310" t="s">
        <v>690</v>
      </c>
      <c r="U118" s="309" t="s">
        <v>857</v>
      </c>
      <c r="V118" s="309" t="s">
        <v>858</v>
      </c>
      <c r="W118" s="309"/>
      <c r="X118" s="309"/>
      <c r="Y118" s="309"/>
      <c r="Z118" s="309"/>
      <c r="AA118" s="309" t="s">
        <v>860</v>
      </c>
      <c r="AB118" s="311" t="s">
        <v>861</v>
      </c>
      <c r="AC118" s="308" t="s">
        <v>846</v>
      </c>
      <c r="AD118" s="312" t="s">
        <v>846</v>
      </c>
      <c r="AE118" s="308" t="s">
        <v>854</v>
      </c>
      <c r="AF118" s="308" t="s">
        <v>854</v>
      </c>
      <c r="AG118" s="313" t="s">
        <v>864</v>
      </c>
      <c r="AH118" s="313" t="s">
        <v>864</v>
      </c>
      <c r="AI118" s="310" t="s">
        <v>863</v>
      </c>
      <c r="AJ118" s="313" t="s">
        <v>864</v>
      </c>
      <c r="AK118" s="314" t="str">
        <f>IF(AND(AD118="",AE118="",AF118="",AG118="",AH118="",AI118="",AJ118=""),"",IF(OR(Tabla1[[#This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EVALUACIÓN",IF(AND(O118="",R118=""),"",IF(AND(OR(O118&gt;0,R118&gt;0),NG118&gt;=0,NG118&lt;2),"SIN RIESGO",IF(AND(OR(O118&gt;0,R118&gt;0),NG118&gt;=2),"CON RIESGO","ASD")))))</f>
        <v>SIN RIESGO</v>
      </c>
      <c r="AL118" s="313" t="s">
        <v>864</v>
      </c>
      <c r="AM118" s="308" t="s">
        <v>864</v>
      </c>
      <c r="AN118" s="308" t="s">
        <v>864</v>
      </c>
      <c r="AO118" s="308" t="s">
        <v>864</v>
      </c>
      <c r="AP118" s="308" t="s">
        <v>864</v>
      </c>
      <c r="AQ118" s="308" t="s">
        <v>864</v>
      </c>
      <c r="AR118" s="308" t="s">
        <v>864</v>
      </c>
      <c r="AS118" s="309">
        <v>2</v>
      </c>
      <c r="AT118" s="309">
        <v>2</v>
      </c>
      <c r="AU118" s="309">
        <v>0</v>
      </c>
      <c r="AV118" s="308" t="s">
        <v>864</v>
      </c>
      <c r="AW118" s="309">
        <v>0</v>
      </c>
      <c r="AX118" s="308" t="s">
        <v>864</v>
      </c>
      <c r="AY118" s="308" t="s">
        <v>864</v>
      </c>
      <c r="AZ118" s="308" t="s">
        <v>864</v>
      </c>
      <c r="BA118" s="308" t="s">
        <v>864</v>
      </c>
      <c r="BB118" s="308" t="s">
        <v>864</v>
      </c>
      <c r="BC118" s="308" t="s">
        <v>864</v>
      </c>
      <c r="BD118" s="308" t="s">
        <v>864</v>
      </c>
      <c r="BE118" s="308" t="s">
        <v>864</v>
      </c>
      <c r="BF118" s="308" t="s">
        <v>864</v>
      </c>
      <c r="BG118" s="308" t="s">
        <v>864</v>
      </c>
      <c r="BH118" s="308" t="s">
        <v>864</v>
      </c>
      <c r="BI118" s="308" t="s">
        <v>864</v>
      </c>
      <c r="BJ118" s="308"/>
      <c r="BK118" s="308"/>
      <c r="BL118" s="308" t="s">
        <v>864</v>
      </c>
      <c r="BM118" s="308" t="s">
        <v>864</v>
      </c>
      <c r="BN118" s="305">
        <v>44537</v>
      </c>
      <c r="BO118" s="305">
        <v>44835</v>
      </c>
      <c r="BP118" s="309" t="s">
        <v>854</v>
      </c>
      <c r="BQ118" s="315">
        <f t="shared" si="254"/>
        <v>9.9333333333333336</v>
      </c>
      <c r="BR118" s="316" t="str">
        <f t="shared" si="255"/>
        <v/>
      </c>
      <c r="BS118" s="317">
        <f t="shared" si="256"/>
        <v>21.571428571428573</v>
      </c>
      <c r="BT118" s="318" t="str">
        <f t="shared" si="257"/>
        <v>II TRIM</v>
      </c>
      <c r="BU118" s="307" t="str">
        <f t="shared" ca="1" si="258"/>
        <v/>
      </c>
      <c r="BV118" s="319"/>
      <c r="BW118" s="305"/>
      <c r="BX118" s="320"/>
      <c r="BY118" s="320"/>
      <c r="BZ118" s="305"/>
      <c r="CA118" s="309"/>
      <c r="CB118" s="308"/>
      <c r="CC118" s="308"/>
      <c r="CD118" s="308"/>
      <c r="CE118" s="308"/>
      <c r="CF118" s="22" t="s">
        <v>1517</v>
      </c>
      <c r="CG118" s="309">
        <v>1.55</v>
      </c>
      <c r="CH118" s="309">
        <v>66.900000000000006</v>
      </c>
      <c r="CI118" s="307">
        <f t="shared" si="259"/>
        <v>27.845993756503642</v>
      </c>
      <c r="CJ118" s="321" t="e">
        <f>IF(AND(CI118&lt;10,CH118="SD"),"SIN DATO PESO PREGESTACION O I TRIM",IF(AND(OR(R118&gt;0,O118&gt;0),CI118="X"),"INGRESAR DATO DE PESO",IF(CI118="SD","INGRESAR DATO DE TALLA Y PESO",IF(AND(OR(Tabla1[[#This Row],[MOMENTO EN QUE SE REALIZA EL PESO AL INGRESO A CPN]]="PREGESTACIÓN",NZ118="Menor"),CI118&lt;18.5),"BAJO PESO",IF(AND(OR(Tabla1[[#This Row],[MOMENTO EN QUE SE REALIZA EL PESO AL INGRESO A CPN]]="PREGESTACIÓN",NZ118="Menor"),CI118&lt;25),"NORMAL",IF(AND(OR(Tabla1[[#This Row],[MOMENTO EN QUE SE REALIZA EL PESO AL INGRESO A CPN]]="PREGESTACIÓN",NZ118="Menor"),CI118&lt;30),"SOBREPESO",IF(AND(OR(Tabla1[[#This Row],[MOMENTO EN QUE SE REALIZA EL PESO AL INGRESO A CPN]]="PREGESTACIÓN",NZ118="Menor"),CI118&gt;=30,CI118&lt;50),"OBESIDAD",IF(AND(BS118&gt;0,Tabla1[[#This Row],[MOMENTO EN QUE SE REALIZA EL PESO AL INGRESO A CPN]]="GESTACIÓN"),HLOOKUP(NZ118,$OA$2:PH118,NY118),""))))))))</f>
        <v>#REF!</v>
      </c>
      <c r="CK118" s="322">
        <f t="shared" si="260"/>
        <v>45051</v>
      </c>
      <c r="CL118" s="309">
        <v>70</v>
      </c>
      <c r="CM118" s="307">
        <f t="shared" si="261"/>
        <v>29.136316337148799</v>
      </c>
      <c r="CN118" s="318">
        <f t="shared" si="262"/>
        <v>30</v>
      </c>
      <c r="CO118" s="318" t="e">
        <f>IF(PI118="","",IF(PI118&gt;0,HLOOKUP(PI118,$PJ$2:QQ118,NY118),""))</f>
        <v>#REF!</v>
      </c>
      <c r="CP118" s="309">
        <v>28</v>
      </c>
      <c r="CQ118" s="318" t="e">
        <f>IF(QR118="Menor","NO APLICA-MENOR 13 SEM",IF(AND(CC118="SI",CN118&gt;23),"NO APLICA- GEMELAR",IF(QR118="","",IF(QR118&gt;0,HLOOKUP(QR118,$QS$2:RU118,NY118),""))))</f>
        <v>#REF!</v>
      </c>
      <c r="CR118" s="309">
        <v>100</v>
      </c>
      <c r="CS118" s="309">
        <v>60</v>
      </c>
      <c r="CT118" s="323" t="str">
        <f>IF(R118="","",IF(AND(BS118&gt;1,BS118&lt;12,Tabla1[[#This Row],[T.A. SISTOLICA - ANTES DE SEMANA 12]]="",Tabla1[[#This Row],[T.A. DIASTOLICA - ANTES DE SEMANA 12]]=""),"REGISTRE DATO TA ANTES SEMANA 12",IF(AND(BS118&gt;11,BS118&lt;43,Tabla1[[#This Row],[T.A. SISTOLICA - ANTES DE SEMANA 12]]="",Tabla1[[#This Row],[T.A. DIASTOLICA - ANTES DE SEMANA 12]]=""),"NO APLICA REGISTRO TA-INGRESO TARDIO",IF(AND(OR(O118&gt;0,R118&gt;0),OR(CR118&gt;=140,CS118&gt;=90)),"DEFINIR ESTADIO HTA",IF(AND(OR(O118&gt;0,R118&gt;0),AND(CR118&gt;120,CR118&lt;=139)),"PRE HTA SEGUIMIENTO",IF(AND(OR(O118&gt;0,R118&gt;0),AND(CS118&gt;80,CS118&lt;=89)),"PRE HTA SEGUIMIENTO",IF(AND(OR(O118&gt;0,R118&gt;0),AND(CR118&gt;=80,CR118&lt;=120)),"APARENTEMENTE NORMAL",IF(AND(OR(O118&gt;0,R118&gt;0),AND(CS118&gt;=50,CS118&lt;=80)),"APARENTEMENTE NORMAL",IF(AND(OR(O118&gt;0,R118&gt;0),AND(CR118&gt;1,CR118&lt;=70),AND(CS118&gt;1,CS118&lt;=40)),"HIPOTENSIÓN","")))))))))</f>
        <v>APARENTEMENTE NORMAL</v>
      </c>
      <c r="CU118" s="309"/>
      <c r="CV118" s="309"/>
      <c r="CW118" s="323" t="str">
        <f ca="1">IF(R118="","",IF(AND(CN118&gt;19,CN118&lt;27,Tabla1[[#This Row],[T.A. SISTOLICA (Entre semana 20 y 26)]]="",Tabla1[[#This Row],[T.A. DIATOLICA (Entre semana 20 y 26)]]=""),"ACUDE A CONTROL SEM 20 A 26 REGISTRE TA AHORA",IF(AND(BS118&gt;1,BS118&lt;27,BU118&gt;19,Tabla1[[#This Row],[T.A. SISTOLICA (Entre semana 20 y 26)]]="",Tabla1[[#This Row],[T.A. DIATOLICA (Entre semana 20 y 26)]]=""),"COMPLETE REGISTRO TA CONTROL SEM 20 A26 ",IF(AND(BS118&gt;26,BS118&lt;43,Tabla1[[#This Row],[T.A. SISTOLICA (Entre semana 20 y 26)]]="",Tabla1[[#This Row],[T.A. DIATOLICA (Entre semana 20 y 26)]]=""),"NO APLICA REGISTRO TA-INGRESO TARDIO",IF(AND(OR(O118&gt;0,R118&gt;0),OR(CU118&gt;=140,CV118&gt;=90)),"ALTO RIESGO PREECLAMPSIA,DEFINIR ESTADIO HTA",IF(AND(OR(O118&gt;0,R118&gt;0),AND(CU118&gt;120,CU118&lt;=139)),"PRE HTA SEGUIMIENTO,RIESGO HIPERTENSION INDUCIDA POR EL EMBARAZO",IF(AND(OR(O118&gt;0,R118&gt;0),AND(CV118&gt;80,CV118&lt;=89)),"PRE HTA SEGUIMIENTO, RIESGO HIPERTENSION INDUCIDA POR EL EMBARAZO",IF(AND(OR(O118&lt;&gt;"",R118&lt;&gt;""),CS118&lt;&gt;"",CV118&lt;&gt;"",CS118&lt;=CV118),"VIGILAR CIFRAS PRESION ARTERIAL",IF(AND(OR(O118&gt;0,R118&gt;0),AND(CU118&gt;120,CU118&lt;=139)),"PRE HTA SEGUIMIENTO",IF(AND(OR(O118&gt;0,R118&gt;0),AND(CU118&gt;1,CU118&lt;=70),AND(CV118&gt;1,CV118&lt;=40)),"HIPOTENSIÓN",IF(AND(OR(O118&lt;&gt;"",R118&lt;&gt;""),CS118&lt;&gt;"",CV118&lt;&gt;"",CS118&gt;CV118),"APARENTEMENTE NORMAL",IF(AND(OR(O118&gt;0,R118&gt;0),AND(CU118&gt;=80,CU118&lt;=120)),"APARENTEMENTE NORMAL",IF(AND(OR(O118&gt;0,R118&gt;0),AND(CV118&gt;=50,CV118&lt;=80)),"APARENTEMENTE NORMAL","")))))))))))))</f>
        <v xml:space="preserve">COMPLETE REGISTRO TA CONTROL SEM 20 A26 </v>
      </c>
      <c r="CX118" s="309">
        <v>100</v>
      </c>
      <c r="CY118" s="309">
        <v>60</v>
      </c>
      <c r="CZ118" s="318" t="str">
        <f t="shared" si="456"/>
        <v>APARENTEMENTE NORMAL</v>
      </c>
      <c r="DA118" s="309"/>
      <c r="DB118" s="309"/>
      <c r="DC118" s="323" t="str">
        <f t="shared" si="264"/>
        <v>REGISTRE DATO PRESIÓN ARTERIAL MENSUAL</v>
      </c>
      <c r="DD118" s="305">
        <v>44986</v>
      </c>
      <c r="DE118" s="305">
        <v>44986</v>
      </c>
      <c r="DF118" s="305">
        <v>45051</v>
      </c>
      <c r="DG118" s="305"/>
      <c r="DH118" s="305"/>
      <c r="DI118" s="305"/>
      <c r="DJ118" s="305"/>
      <c r="DK118" s="305"/>
      <c r="DL118" s="305"/>
      <c r="DM118" s="305"/>
      <c r="DN118" s="305"/>
      <c r="DO118" s="305"/>
      <c r="DP118" s="305"/>
      <c r="DQ118" s="305"/>
      <c r="DR118" s="320">
        <v>1</v>
      </c>
      <c r="DS118" s="305"/>
      <c r="DT118" s="305"/>
      <c r="DU118" s="318" t="str">
        <f t="shared" ca="1" si="438"/>
        <v>CONCERTAR PLAN DE PARTO INMEDIATO</v>
      </c>
      <c r="DV118" s="324" t="str">
        <f t="shared" si="439"/>
        <v>ACTIVA INGRESO A CPN</v>
      </c>
      <c r="DW11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18" s="318" t="e">
        <f t="shared" ca="1" si="266"/>
        <v>#REF!</v>
      </c>
      <c r="DY118" s="322">
        <f>IF(R118="","",IF(R118&gt;0,MAX(Tabla1[[#This Row],[FECHA C2]:[FECHA C13]],Tabla1[[#This Row],[FECHA CONSULTA PRIMERA VEZ PROGRAMA CPN ]])))</f>
        <v>45051</v>
      </c>
      <c r="DZ118" s="318">
        <f t="shared" si="267"/>
        <v>30</v>
      </c>
      <c r="EA118" s="315">
        <f>IF(R118&gt;0,SUM(COUNTA(DF118:DQ118)+COUNTA(Tabla1[[#This Row],[FECHA CONSULTA PRIMERA VEZ PROGRAMA CPN ]])),"")</f>
        <v>2</v>
      </c>
      <c r="EB118" s="315" t="str">
        <f t="shared" si="268"/>
        <v>NO</v>
      </c>
      <c r="EC118" s="307">
        <f t="shared" si="269"/>
        <v>6</v>
      </c>
      <c r="ED118" s="325">
        <f t="shared" si="270"/>
        <v>0.33333333333333331</v>
      </c>
      <c r="EE118" s="305">
        <v>44986</v>
      </c>
      <c r="EF118" s="305"/>
      <c r="EG118" s="305">
        <v>44986</v>
      </c>
      <c r="EH118" s="305"/>
      <c r="EI118" s="305">
        <v>44986</v>
      </c>
      <c r="EJ118" s="305"/>
      <c r="EK118" s="305"/>
      <c r="EL118" s="309"/>
      <c r="EM118" s="309"/>
      <c r="EN118" s="305"/>
      <c r="EO118" s="315" t="str">
        <f t="shared" si="271"/>
        <v>TOMAR EXAMEN</v>
      </c>
      <c r="EP118" s="307" t="str">
        <f t="shared" si="272"/>
        <v/>
      </c>
      <c r="EQ118" s="318" t="str">
        <f t="shared" si="273"/>
        <v>POR DEFINIR</v>
      </c>
      <c r="ER118" s="310"/>
      <c r="ES118" s="305"/>
      <c r="ET118" s="326" t="str">
        <f t="shared" ca="1" si="440"/>
        <v>TOMA DE HEMOGLOBINA TARDÍA</v>
      </c>
      <c r="EU118" s="319" t="str">
        <f t="shared" si="275"/>
        <v/>
      </c>
      <c r="EV118" s="310"/>
      <c r="EW118" s="310"/>
      <c r="EX118" s="305"/>
      <c r="EY118" s="326" t="str">
        <f t="shared" si="453"/>
        <v>TOMAR EXAMEN</v>
      </c>
      <c r="EZ118" s="319" t="str">
        <f t="shared" ca="1" si="454"/>
        <v/>
      </c>
      <c r="FA118" s="309"/>
      <c r="FB118" s="305"/>
      <c r="FC118" s="326" t="str">
        <f t="shared" si="276"/>
        <v>TOMAR EXAMEN</v>
      </c>
      <c r="FD118" s="326"/>
      <c r="FE118" s="326"/>
      <c r="FF118" s="326"/>
      <c r="FG118" s="309" t="str">
        <f t="shared" ca="1" si="277"/>
        <v/>
      </c>
      <c r="FH118" s="327"/>
      <c r="FI118" s="326" t="str">
        <f t="shared" si="278"/>
        <v>TOMAR EXAMEN</v>
      </c>
      <c r="FJ118" s="305"/>
      <c r="FK118" s="305"/>
      <c r="FL118" s="326" t="str">
        <f t="shared" ca="1" si="279"/>
        <v>NO APLICA-INGRESO TARDIO</v>
      </c>
      <c r="FM118" s="305"/>
      <c r="FN118" s="328"/>
      <c r="FO118" s="326" t="str">
        <f t="shared" ca="1" si="441"/>
        <v>PIERDE TOMA DE TAMIZAJE</v>
      </c>
      <c r="FP118" s="305"/>
      <c r="FQ118" s="328"/>
      <c r="FR118" s="326" t="str">
        <f t="shared" ca="1" si="442"/>
        <v>TOMA INMEDIATA DE TAMIZAJE</v>
      </c>
      <c r="FS118" s="305"/>
      <c r="FT118" s="328"/>
      <c r="FU118" s="326" t="str">
        <f>IF(AND(FJ118="",FM118="",FP118="",FS118=""),"",IF(OR(OR(Tabla1[[#This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8" s="320"/>
      <c r="FW118" s="305"/>
      <c r="FX118" s="326" t="str">
        <f t="shared" si="280"/>
        <v>TOMAR EXAMEN</v>
      </c>
      <c r="FY118" s="305"/>
      <c r="FZ118" s="305"/>
      <c r="GA118" s="326" t="str">
        <f t="shared" ca="1" si="452"/>
        <v>NO APLICA-INGRESO TARDIO</v>
      </c>
      <c r="GB118" s="305"/>
      <c r="GC118" s="305"/>
      <c r="GD118" s="326" t="str">
        <f t="shared" ca="1" si="490"/>
        <v>PIERDE TOMA DE TAMIZAJE</v>
      </c>
      <c r="GE118" s="305"/>
      <c r="GF118" s="305"/>
      <c r="GG118" s="326" t="str">
        <f t="shared" ca="1" si="444"/>
        <v>TOMA INMEDIATA DE TAMIZAJE</v>
      </c>
      <c r="GH118" s="305"/>
      <c r="GI118" s="326"/>
      <c r="GJ118" s="305"/>
      <c r="GK118" s="305"/>
      <c r="GL118" s="305"/>
      <c r="GM118" s="305"/>
      <c r="GN118" s="320"/>
      <c r="GO118" s="305"/>
      <c r="GP118" s="326" t="str">
        <f t="shared" si="283"/>
        <v>TOMAR EXAMEN</v>
      </c>
      <c r="GQ118" s="320"/>
      <c r="GR118" s="320"/>
      <c r="GS118" s="305" t="str">
        <f t="shared" si="457"/>
        <v/>
      </c>
      <c r="GT118" s="305"/>
      <c r="GU118" s="326" t="str">
        <f t="shared" si="285"/>
        <v>TOMAR EXAMEN</v>
      </c>
      <c r="GV118" s="309" t="str">
        <f t="shared" si="286"/>
        <v>POR DEFINIR</v>
      </c>
      <c r="GW118" s="320"/>
      <c r="GX118" s="329"/>
      <c r="GY118" s="309"/>
      <c r="GZ118" s="309"/>
      <c r="HA118" s="309"/>
      <c r="HB118" s="309"/>
      <c r="HC118" s="309"/>
      <c r="HD118" s="309"/>
      <c r="HE118" s="309"/>
      <c r="HF118" s="305"/>
      <c r="HG118" s="305" t="str">
        <f>IF(OR(O118&gt;0,R118&gt;0),CONCATENATE(IF(Tabla1[[#This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8" s="305" t="e">
        <f t="shared" si="287"/>
        <v>#REF!</v>
      </c>
      <c r="HI118" s="305" t="e">
        <f t="shared" ca="1" si="288"/>
        <v>#REF!</v>
      </c>
      <c r="HJ118" s="309"/>
      <c r="HK118" s="309" t="str">
        <f t="shared" si="289"/>
        <v>SIN ANTECEDENTES DE RIESGO</v>
      </c>
      <c r="HL118" s="310" t="str">
        <f t="shared" si="290"/>
        <v>REGISTRE DATO PRESIÓN ARTERIAL MENSUAL</v>
      </c>
      <c r="HM118" s="309" t="e">
        <f t="shared" ca="1" si="291"/>
        <v>#REF!</v>
      </c>
      <c r="HN118" s="329" t="str">
        <f t="shared" si="445"/>
        <v>ACTIVA INGRESO A CPN</v>
      </c>
      <c r="HO118" s="309"/>
      <c r="HP118" s="309"/>
      <c r="HQ118" s="309">
        <v>44986</v>
      </c>
      <c r="HR118" s="309" t="str">
        <f>IF(R118="","",IF(Tabla1[[#This Row],[ALARMA FACTORES DE RIESGO COMPLICACIONES HIPERTENSIVAS3]]="SIN ANTECEDENTES DE RIESGO","No Aplica para suministro de ASA",IF(AND(Tabla1[[#This Row],[FECHA INICIO DE SUMINISTRO DE ASA]]&gt;0,RV118&lt;12),"Inicia ASA ANTES de Sem 12",IF(AND(RV118&gt;11,RV118&lt;17,OR(HK118="RIESGO ALTO DE COMPLICACIONES HIPERTENSIVAS VER MANEJO GUIA SUMINISTRO ASA Y CALCIO",HK118="RIESGO MODERADO (2 O MAS CRITERIOS) VER MANEJO GUIA SUMINISTRO ASA Y CALCIO")),"Inicio oportuno de ASA",IF(AND(RV118&gt;12,OR(HK118="RIESGO ALTO DE COMPLICACIONES HIPERTENSIVAS VER MANEJO GUIA SUMINISTRO ASA Y CALCIO",HK118="RIESGO MODERADO (2 O MAS CRITERIOS) VER MANEJO GUIA SUMINISTRO ASA Y CALCIO")),"Inicio no oportuno mayor a 16 semanas",IF(AND(BU118&lt;12,OR(HK118="RIESGO ALTO DE COMPLICACIONES HIPERTENSIVAS VER MANEJO GUIA SUMINISTRO ASA Y CALCIO",HK118="RIESGO MODERADO (2 O MAS CRITERIOS) VER MANEJO GUIA SUMINISTRO ASA Y CALCIO")),"Pendiente Inicio de ASA a la semana 12",IF(AND(BU118&gt;11,BU118&lt;17,OR(HK118="RIESGO ALTO DE COMPLICACIONES HIPERTENSIVAS VER MANEJO GUIA SUMINISTRO ASA Y CALCIO",HK118="RIESGO MODERADO (2 O MAS CRITERIOS) VER MANEJO GUIA SUMINISTRO ASA Y CALCIO")),"Iniciar de inmediato ASA",IF(AND(BU118&gt;16,OR(HK118="RIESGO ALTO DE COMPLICACIONES HIPERTENSIVAS VER MANEJO GUIA SUMINISTRO ASA Y CALCIO",HK118="RIESGO MODERADO (2 O MAS CRITERIOS) VER MANEJO GUIA SUMINISTRO ASA Y CALCIO")),"Pierde Oportunidad, Inicio tardío de ASA","XXXXX"))))))))</f>
        <v>No Aplica para suministro de ASA</v>
      </c>
      <c r="HS118" s="305">
        <v>44986</v>
      </c>
      <c r="HT118" s="305" t="s">
        <v>870</v>
      </c>
      <c r="HU118" s="305">
        <v>44986</v>
      </c>
      <c r="HV118" s="305" t="s">
        <v>870</v>
      </c>
      <c r="HW118" s="305"/>
      <c r="HX118" s="305"/>
      <c r="HY118" s="305">
        <v>44986</v>
      </c>
      <c r="HZ118" s="320">
        <f t="shared" si="292"/>
        <v>21.571428571428573</v>
      </c>
      <c r="IA118" s="308"/>
      <c r="IB118" s="308"/>
      <c r="IC118" s="330"/>
      <c r="ID118" s="305">
        <v>45006</v>
      </c>
      <c r="IE118" s="305" t="str">
        <f t="shared" ca="1" si="293"/>
        <v>VACUNA APLICADA ENTRE SEMANA 20 Y SEMANA 26</v>
      </c>
      <c r="IF118" s="305"/>
      <c r="IG118" s="305">
        <f t="shared" si="294"/>
        <v>45115</v>
      </c>
      <c r="IH118" s="326">
        <f t="shared" ca="1" si="295"/>
        <v>-118</v>
      </c>
      <c r="II118" s="305" t="str">
        <f t="shared" ca="1" si="296"/>
        <v>POSIBLEMENTE NACIO</v>
      </c>
      <c r="IJ118" s="305"/>
      <c r="IK118" s="309"/>
      <c r="IL118" s="309"/>
      <c r="IM118" s="331"/>
      <c r="IN118" s="350"/>
      <c r="IO118" s="309"/>
      <c r="IP118" s="326" t="str">
        <f t="shared" si="489"/>
        <v/>
      </c>
      <c r="IQ118" s="332"/>
      <c r="IR118" s="309"/>
      <c r="IS118" s="309"/>
      <c r="IT118" s="309"/>
      <c r="IU118" s="309"/>
      <c r="IV118" s="309"/>
      <c r="IW118" s="309"/>
      <c r="IX118" s="309"/>
      <c r="IY118" s="309"/>
      <c r="IZ118" s="309"/>
      <c r="JA118" s="309"/>
      <c r="JB118" s="329"/>
      <c r="JC118" s="309"/>
      <c r="JD118" s="333"/>
      <c r="JE118" s="309" t="str">
        <f t="shared" si="491"/>
        <v/>
      </c>
      <c r="JF118" s="329"/>
      <c r="JG118" s="309"/>
      <c r="JH118" s="309"/>
      <c r="JI118" s="309"/>
      <c r="JJ118" s="329"/>
      <c r="JK118" s="305"/>
      <c r="JL118" s="305"/>
      <c r="JM118" s="309"/>
      <c r="JN118" s="333"/>
      <c r="JO118" s="309" t="str">
        <f t="shared" si="492"/>
        <v/>
      </c>
      <c r="JP118" s="305"/>
      <c r="JQ118" s="309"/>
      <c r="JR118" s="309"/>
      <c r="JS118" s="309"/>
      <c r="JT118" s="329"/>
      <c r="JU118" s="305"/>
      <c r="JV118" s="305"/>
      <c r="JW118" s="334"/>
      <c r="JX118" s="320" t="str">
        <f t="shared" si="493"/>
        <v/>
      </c>
      <c r="JY118" s="334"/>
      <c r="JZ118" s="320" t="str">
        <f t="shared" si="494"/>
        <v/>
      </c>
      <c r="KA118" s="309"/>
      <c r="KB118" s="309"/>
      <c r="KC118" s="309"/>
      <c r="KD118" s="335"/>
      <c r="KE118" s="320"/>
      <c r="KF118" s="320"/>
      <c r="KG118" s="320"/>
      <c r="KH118" s="336"/>
      <c r="KI118" s="336"/>
      <c r="KJ118" s="337"/>
      <c r="KK118" s="336"/>
      <c r="KL118" s="336"/>
      <c r="KM118" s="337"/>
      <c r="KN118" s="336"/>
      <c r="KO118" s="336"/>
      <c r="KP118" s="336"/>
      <c r="KQ118" s="336"/>
      <c r="KR118" s="336"/>
      <c r="KS118" s="336"/>
      <c r="KT118" s="336"/>
      <c r="KU118" s="312"/>
      <c r="KV118" s="312"/>
      <c r="KW118" s="312"/>
      <c r="KX118" s="312"/>
      <c r="KY118" s="312"/>
      <c r="KZ118" s="312"/>
      <c r="LA118" s="312"/>
      <c r="LB118" s="312"/>
      <c r="LC118" s="312"/>
      <c r="LD118" s="312"/>
      <c r="LE118" s="312"/>
      <c r="LF118" s="312"/>
      <c r="LG118" s="312"/>
      <c r="LH118" s="312"/>
      <c r="LI118" s="312"/>
      <c r="LJ118" s="312"/>
      <c r="LK118" s="312"/>
      <c r="LL118" s="312"/>
      <c r="LM118" s="312"/>
      <c r="LN118" s="312"/>
      <c r="LO118" s="312"/>
      <c r="LP118" s="312"/>
      <c r="LQ118" s="312"/>
      <c r="LR118" s="312"/>
      <c r="LS118" s="312"/>
      <c r="LT118" s="312"/>
      <c r="LU118" s="312"/>
      <c r="LV118" s="312"/>
      <c r="LW118" s="312"/>
      <c r="LX118" s="312"/>
      <c r="LY118" s="312"/>
      <c r="LZ118" s="312"/>
      <c r="MA118" s="312"/>
      <c r="MB118" s="312"/>
      <c r="MC118" s="312"/>
      <c r="MD118" s="312"/>
      <c r="ME118" s="312"/>
      <c r="MF118" s="312"/>
      <c r="MG118" s="312"/>
      <c r="MH118" s="43">
        <f t="shared" si="458"/>
        <v>0</v>
      </c>
      <c r="MI118" s="43" t="str">
        <f t="shared" si="459"/>
        <v/>
      </c>
      <c r="MJ118" s="43" t="str">
        <f t="shared" si="460"/>
        <v/>
      </c>
      <c r="MK118" s="43">
        <f t="shared" si="461"/>
        <v>0</v>
      </c>
      <c r="ML1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8" s="43">
        <f t="shared" si="462"/>
        <v>21.571428571428573</v>
      </c>
      <c r="MN118" s="43">
        <f t="shared" si="463"/>
        <v>3</v>
      </c>
      <c r="MO118" s="43">
        <f t="shared" si="464"/>
        <v>2023</v>
      </c>
      <c r="MP118" s="43" t="str">
        <f t="shared" si="465"/>
        <v>I TRIMESTRE AÑO</v>
      </c>
      <c r="MQ118" s="43">
        <f t="shared" si="466"/>
        <v>21.033180026281208</v>
      </c>
      <c r="MR118" s="43">
        <f t="shared" si="467"/>
        <v>0</v>
      </c>
      <c r="MS118" s="43" t="str">
        <f t="shared" si="468"/>
        <v xml:space="preserve"> DE 20 A 24 AÑOS</v>
      </c>
      <c r="MT118" s="43">
        <f t="shared" si="469"/>
        <v>0</v>
      </c>
      <c r="MU118" s="43">
        <f t="shared" si="470"/>
        <v>0</v>
      </c>
      <c r="MV118" s="43">
        <f t="shared" si="471"/>
        <v>0</v>
      </c>
      <c r="MW118" s="43">
        <f t="shared" si="472"/>
        <v>0</v>
      </c>
      <c r="MX118" s="43" t="str">
        <f t="shared" si="473"/>
        <v/>
      </c>
      <c r="MY118" s="43" t="str">
        <f t="shared" ca="1" si="495"/>
        <v/>
      </c>
      <c r="MZ118" s="43" t="str">
        <f t="shared" si="474"/>
        <v/>
      </c>
      <c r="NA118" s="43" t="str">
        <f t="shared" si="475"/>
        <v/>
      </c>
      <c r="NB118" s="43" t="str">
        <f t="shared" si="476"/>
        <v/>
      </c>
      <c r="NC118" s="43" t="str">
        <f t="shared" si="477"/>
        <v/>
      </c>
      <c r="ND118" s="43">
        <f t="shared" ca="1" si="478"/>
        <v>0</v>
      </c>
      <c r="NE118" s="43">
        <f>IF(OR(O118&gt;0,R118&gt;0),SUM(COUNTIF(Tabla1[[#This Row],[AÑOS AL INICIO5 CPN]],"&gt;=40"),COUNTIF(AS118,"0"),COUNTIF(AR118,"SI"),COUNTIF(CC118,"SI"),COUNTIF(BQ118,"&gt;119"),COUNTIF(CI118,"&gt;=35")),"")</f>
        <v>0</v>
      </c>
      <c r="NF118" s="43">
        <f t="shared" si="479"/>
        <v>24.428571428571427</v>
      </c>
      <c r="NG118" s="43">
        <f t="shared" si="480"/>
        <v>0</v>
      </c>
      <c r="NH118" s="43" t="str">
        <f t="shared" si="481"/>
        <v/>
      </c>
      <c r="NI1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CPN",P118="NO"),"Z",IF(AND(Tabla1[[#This Row],[CITA PROXIMO CONTROL]]="CITA MANUAL",Tabla1[[#This Row],[GESTANTES ACTUALES]]="ACTIVA INGRESO A CPN"),"W",IF(AND(Tabla1[[#This Row],[GESTANTES ACTUALES]]="SALIO PROGRAMA",IN118=""),"S",IF(AND(Tabla1[[#This Row],[CITA PROXIMO CONTROL]]&gt;0,IN118=""),(Tabla1[[#This Row],[CITA PROXIMO CONTROL]]-TODAY()),"SD"))))))))</f>
        <v>#REF!</v>
      </c>
      <c r="NJ118" s="43">
        <f>MONTH(Tabla1[[#This Row],[FECHA DE SALIDA  DEL PROGRAMA]])</f>
        <v>1</v>
      </c>
      <c r="NK118" s="43">
        <f>YEAR(Tabla1[[#This Row],[FECHA DE SALIDA  DEL PROGRAMA]])</f>
        <v>1900</v>
      </c>
      <c r="NL118" s="43" t="str">
        <f t="shared" si="482"/>
        <v>X</v>
      </c>
      <c r="NM118" s="43" t="str">
        <f t="shared" si="455"/>
        <v>NO</v>
      </c>
      <c r="NN118" s="43" t="str">
        <f ca="1">IF(AND(O118&gt;0,R118=""),"NO CPN",IF(AND(O118="",R118=""),"",IF(AND(R118&gt;0,Tabla1[[#This Row],[SEMANAS DE GESTACION ACTUALIZADAS]]&lt;=12),"NO APLICA",IF(AND(FH118&lt;&gt;"",FN118&lt;&gt;""),"SI","NO"))))</f>
        <v>NO</v>
      </c>
      <c r="NO118" s="43" t="str">
        <f ca="1">IF(AND(O118&gt;0,R118=""),"NO CPN",IF(AND(O118="",R118=""),"",IF(AND(R118&gt;0,Tabla1[[#This Row],[SEMANAS DE GESTACION ACTUALIZADAS]]&lt;=27),"NO APLICA",IF(AND(ES118&lt;&gt;"",FQ118&lt;&gt;"",GF118&lt;&gt;""),"SI","NO"))))</f>
        <v>NO</v>
      </c>
      <c r="NP118" s="204" t="str">
        <f t="shared" si="483"/>
        <v>II TRIM</v>
      </c>
      <c r="NQ118" s="21" t="str">
        <f t="shared" si="436"/>
        <v/>
      </c>
      <c r="NR118" s="21" t="str">
        <f t="shared" ca="1" si="496"/>
        <v>REVISAR FUM O FECHA SALIDA PROGRAMA</v>
      </c>
      <c r="NS118" s="205">
        <f t="shared" ca="1" si="484"/>
        <v>0</v>
      </c>
      <c r="NT118" s="21">
        <f t="shared" ca="1" si="485"/>
        <v>0</v>
      </c>
      <c r="NU118" s="21" t="str">
        <f t="shared" ca="1" si="486"/>
        <v>POR DEFINIR</v>
      </c>
      <c r="NV118" s="21" t="str">
        <f t="shared" ca="1" si="487"/>
        <v>POR DEFINIR</v>
      </c>
      <c r="NW118" s="206" t="str">
        <f>IF(AND(O118="",R118=""),"",IF(OR(AND(Tabla1[[#This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8" s="207" t="str">
        <f t="shared" ca="1" si="488"/>
        <v>VACUNADA</v>
      </c>
      <c r="NY118" s="43">
        <f>ROW(Tabla1[[#This Row],['# DE TAMIZAJES SIFILIS TOMADOS ]])</f>
        <v>118</v>
      </c>
      <c r="NZ118" s="43">
        <f t="shared" si="333"/>
        <v>21</v>
      </c>
      <c r="OA118" s="43" t="str">
        <f t="shared" si="334"/>
        <v/>
      </c>
      <c r="OB118" s="43" t="str">
        <f t="shared" si="335"/>
        <v/>
      </c>
      <c r="OC118" s="43" t="str">
        <f t="shared" si="336"/>
        <v/>
      </c>
      <c r="OD118" s="43" t="str">
        <f t="shared" si="337"/>
        <v/>
      </c>
      <c r="OE118" s="43" t="str">
        <f t="shared" si="338"/>
        <v/>
      </c>
      <c r="OF118" s="43" t="str">
        <f t="shared" si="339"/>
        <v/>
      </c>
      <c r="OG118" s="43" t="str">
        <f t="shared" si="340"/>
        <v/>
      </c>
      <c r="OH118" s="43" t="str">
        <f t="shared" si="341"/>
        <v/>
      </c>
      <c r="OI118" s="43" t="str">
        <f t="shared" si="342"/>
        <v/>
      </c>
      <c r="OJ118" s="43" t="str">
        <f t="shared" si="343"/>
        <v/>
      </c>
      <c r="OK118" s="43" t="str">
        <f t="shared" si="344"/>
        <v/>
      </c>
      <c r="OL118" s="43" t="str">
        <f t="shared" si="345"/>
        <v/>
      </c>
      <c r="OM118" s="43" t="str">
        <f t="shared" si="346"/>
        <v>SOBREPESO</v>
      </c>
      <c r="ON118" s="43" t="str">
        <f t="shared" si="347"/>
        <v/>
      </c>
      <c r="OO118" s="43" t="str">
        <f t="shared" si="348"/>
        <v/>
      </c>
      <c r="OP118" s="43" t="str">
        <f t="shared" si="349"/>
        <v/>
      </c>
      <c r="OQ118" s="43" t="str">
        <f t="shared" si="350"/>
        <v/>
      </c>
      <c r="OR118" s="43" t="str">
        <f t="shared" si="351"/>
        <v/>
      </c>
      <c r="OS118" s="43" t="str">
        <f t="shared" si="352"/>
        <v/>
      </c>
      <c r="OT118" s="43" t="str">
        <f t="shared" si="353"/>
        <v/>
      </c>
      <c r="OU118" s="43" t="str">
        <f t="shared" si="354"/>
        <v/>
      </c>
      <c r="OV118" s="110" t="str">
        <f t="shared" si="355"/>
        <v/>
      </c>
      <c r="OW118" s="43" t="str">
        <f t="shared" si="356"/>
        <v/>
      </c>
      <c r="OX118" s="43" t="str">
        <f t="shared" si="357"/>
        <v/>
      </c>
      <c r="OY118" s="43" t="str">
        <f t="shared" si="358"/>
        <v/>
      </c>
      <c r="OZ118" s="43" t="str">
        <f t="shared" si="359"/>
        <v/>
      </c>
      <c r="PA118" s="43" t="str">
        <f t="shared" si="360"/>
        <v/>
      </c>
      <c r="PB118" s="43" t="str">
        <f t="shared" si="361"/>
        <v/>
      </c>
      <c r="PC118" s="43" t="str">
        <f t="shared" si="362"/>
        <v/>
      </c>
      <c r="PD118" s="43" t="str">
        <f t="shared" si="363"/>
        <v/>
      </c>
      <c r="PE118" s="43" t="str">
        <f t="shared" si="364"/>
        <v/>
      </c>
      <c r="PF118" s="43" t="str">
        <f t="shared" si="365"/>
        <v/>
      </c>
      <c r="PG118" s="43" t="str">
        <f t="shared" si="366"/>
        <v/>
      </c>
      <c r="PH118" s="43" t="str">
        <f t="shared" si="367"/>
        <v/>
      </c>
      <c r="PI118" s="43">
        <f t="shared" si="368"/>
        <v>30</v>
      </c>
      <c r="PJ118" s="43" t="str">
        <f t="shared" si="369"/>
        <v/>
      </c>
      <c r="PK118" s="43" t="str">
        <f t="shared" si="370"/>
        <v/>
      </c>
      <c r="PL118" s="43" t="str">
        <f t="shared" si="371"/>
        <v/>
      </c>
      <c r="PM118" s="43" t="str">
        <f t="shared" si="372"/>
        <v/>
      </c>
      <c r="PN118" s="43" t="str">
        <f t="shared" si="373"/>
        <v/>
      </c>
      <c r="PO118" s="43" t="str">
        <f t="shared" si="374"/>
        <v/>
      </c>
      <c r="PP118" s="43" t="str">
        <f t="shared" si="375"/>
        <v/>
      </c>
      <c r="PQ118" s="43" t="str">
        <f t="shared" si="376"/>
        <v/>
      </c>
      <c r="PR118" s="43" t="str">
        <f t="shared" si="377"/>
        <v/>
      </c>
      <c r="PS118" s="43" t="str">
        <f t="shared" si="378"/>
        <v/>
      </c>
      <c r="PT118" s="43" t="str">
        <f t="shared" si="379"/>
        <v/>
      </c>
      <c r="PU118" s="43" t="str">
        <f t="shared" si="380"/>
        <v/>
      </c>
      <c r="PV118" s="43" t="str">
        <f t="shared" si="381"/>
        <v/>
      </c>
      <c r="PW118" s="43" t="str">
        <f t="shared" si="382"/>
        <v/>
      </c>
      <c r="PX118" s="43" t="str">
        <f t="shared" si="383"/>
        <v/>
      </c>
      <c r="PY118" s="43" t="str">
        <f t="shared" si="384"/>
        <v/>
      </c>
      <c r="PZ118" s="43" t="str">
        <f t="shared" si="385"/>
        <v/>
      </c>
      <c r="QA118" s="43" t="str">
        <f t="shared" si="386"/>
        <v/>
      </c>
      <c r="QB118" s="43" t="str">
        <f t="shared" si="387"/>
        <v/>
      </c>
      <c r="QC118" s="43" t="str">
        <f t="shared" si="388"/>
        <v/>
      </c>
      <c r="QD118" s="43" t="str">
        <f t="shared" si="389"/>
        <v/>
      </c>
      <c r="QE118" s="43" t="str">
        <f t="shared" si="390"/>
        <v>SOBREPESO</v>
      </c>
      <c r="QF118" s="43" t="str">
        <f t="shared" si="391"/>
        <v/>
      </c>
      <c r="QG118" s="43" t="str">
        <f t="shared" si="392"/>
        <v/>
      </c>
      <c r="QH118" s="43" t="str">
        <f t="shared" si="393"/>
        <v/>
      </c>
      <c r="QI118" s="43" t="str">
        <f t="shared" si="394"/>
        <v/>
      </c>
      <c r="QJ118" s="43" t="str">
        <f t="shared" si="395"/>
        <v/>
      </c>
      <c r="QK118" s="43" t="str">
        <f t="shared" si="396"/>
        <v/>
      </c>
      <c r="QL118" s="43" t="str">
        <f t="shared" si="397"/>
        <v/>
      </c>
      <c r="QM118" s="43" t="str">
        <f t="shared" si="398"/>
        <v/>
      </c>
      <c r="QN118" s="43" t="str">
        <f t="shared" si="399"/>
        <v/>
      </c>
      <c r="QO118" s="43" t="str">
        <f t="shared" si="400"/>
        <v/>
      </c>
      <c r="QP118" s="43" t="str">
        <f t="shared" si="401"/>
        <v/>
      </c>
      <c r="QQ118" s="43" t="str">
        <f t="shared" si="402"/>
        <v/>
      </c>
      <c r="QR118" s="43">
        <f t="shared" si="432"/>
        <v>30</v>
      </c>
      <c r="QS118" s="43"/>
      <c r="QT118" s="21" t="str">
        <f t="shared" si="403"/>
        <v/>
      </c>
      <c r="QU118" s="21" t="str">
        <f t="shared" si="404"/>
        <v/>
      </c>
      <c r="QV118" s="21" t="str">
        <f t="shared" si="405"/>
        <v/>
      </c>
      <c r="QW118" s="21" t="str">
        <f t="shared" si="406"/>
        <v/>
      </c>
      <c r="QX118" s="21" t="str">
        <f t="shared" si="407"/>
        <v/>
      </c>
      <c r="QY118" s="21" t="str">
        <f t="shared" si="408"/>
        <v/>
      </c>
      <c r="QZ118" s="21" t="str">
        <f t="shared" si="409"/>
        <v/>
      </c>
      <c r="RA118" s="21" t="str">
        <f t="shared" si="410"/>
        <v/>
      </c>
      <c r="RB118" s="21" t="str">
        <f t="shared" si="411"/>
        <v/>
      </c>
      <c r="RC118" s="21" t="str">
        <f t="shared" si="412"/>
        <v/>
      </c>
      <c r="RD118" s="21" t="str">
        <f t="shared" si="413"/>
        <v/>
      </c>
      <c r="RE118" s="21" t="str">
        <f t="shared" si="414"/>
        <v/>
      </c>
      <c r="RF118" s="21" t="str">
        <f t="shared" si="415"/>
        <v/>
      </c>
      <c r="RG118" s="21" t="str">
        <f t="shared" si="416"/>
        <v/>
      </c>
      <c r="RH118" s="21" t="str">
        <f t="shared" si="417"/>
        <v/>
      </c>
      <c r="RI118" s="21" t="str">
        <f t="shared" si="418"/>
        <v/>
      </c>
      <c r="RJ118" s="21" t="str">
        <f t="shared" si="419"/>
        <v/>
      </c>
      <c r="RK118" s="21" t="str">
        <f t="shared" si="420"/>
        <v>ADECUADO PARA EDAD GESTACIONAL</v>
      </c>
      <c r="RL118" s="21" t="str">
        <f t="shared" si="421"/>
        <v/>
      </c>
      <c r="RM118" s="21" t="str">
        <f t="shared" si="422"/>
        <v/>
      </c>
      <c r="RN118" s="21" t="str">
        <f t="shared" si="423"/>
        <v/>
      </c>
      <c r="RO118" s="21" t="str">
        <f t="shared" si="424"/>
        <v/>
      </c>
      <c r="RP118" s="21" t="str">
        <f t="shared" si="425"/>
        <v/>
      </c>
      <c r="RQ118" s="21" t="str">
        <f t="shared" si="426"/>
        <v/>
      </c>
      <c r="RR118" s="21" t="str">
        <f t="shared" si="427"/>
        <v/>
      </c>
      <c r="RS118" s="21" t="str">
        <f t="shared" si="428"/>
        <v/>
      </c>
      <c r="RT118" s="21" t="str">
        <f t="shared" si="429"/>
        <v/>
      </c>
      <c r="RU118" s="21" t="str">
        <f t="shared" si="430"/>
        <v/>
      </c>
      <c r="RV118" s="21">
        <f t="shared" si="431"/>
        <v>21.571428571428573</v>
      </c>
      <c r="RW118" s="284">
        <f>IF(OR(Tabla1[[#This Row],[FUM FORMULA CONFIABLE]]="",Tabla1[[#This Row],[FUM FORMULA CONFIABLE]]="SD"),"",IF(Tabla1[[#This Row],[FUM FORMULA CONFIABLE]]="CORREGIDA",Tabla1[[#This Row],[FUM X ECO 1]],Tabla1[[#This Row],[FUM x AMENORREA]]))</f>
        <v>44835</v>
      </c>
      <c r="RX118" s="21" t="str">
        <f>IF(AND(Tabla1[[#This Row],[FUM X ECO 1]]="",Tabla1[[#This Row],[FUM x AMENORREA]]=""),"",IF(AND(Tabla1[[#This Row],[FUM X ECO 1]]="",Tabla1[[#This Row],[FUM x AMENORREA]]&lt;&gt;""),"X",SUM(Tabla1[[#This Row],[FUM X ECO 1]]-Tabla1[[#This Row],[FUM x AMENORREA]])))</f>
        <v>X</v>
      </c>
      <c r="RY118" s="21" t="str">
        <f t="shared" si="433"/>
        <v>x</v>
      </c>
    </row>
    <row r="119" spans="1:493" ht="45" customHeight="1" x14ac:dyDescent="0.25">
      <c r="A119" s="109"/>
      <c r="B119" s="43"/>
      <c r="C119" s="43" t="s">
        <v>845</v>
      </c>
      <c r="D119" s="124"/>
      <c r="E119" s="43" t="s">
        <v>1349</v>
      </c>
      <c r="F119" s="43" t="s">
        <v>1350</v>
      </c>
      <c r="G119" s="43" t="s">
        <v>1351</v>
      </c>
      <c r="H119" s="43" t="s">
        <v>1352</v>
      </c>
      <c r="I119" s="109" t="s">
        <v>851</v>
      </c>
      <c r="J119" s="110" t="s">
        <v>1353</v>
      </c>
      <c r="K119" s="43" t="s">
        <v>852</v>
      </c>
      <c r="L119" s="175" t="s">
        <v>853</v>
      </c>
      <c r="M119" s="22">
        <v>29560</v>
      </c>
      <c r="N119" s="213">
        <f t="shared" ca="1" si="252"/>
        <v>42.939726027397263</v>
      </c>
      <c r="O119" s="22">
        <v>44987</v>
      </c>
      <c r="P119" s="214" t="str">
        <f t="shared" si="437"/>
        <v>SI</v>
      </c>
      <c r="Q119" s="26" t="s">
        <v>855</v>
      </c>
      <c r="R119" s="22">
        <v>44987</v>
      </c>
      <c r="S119" s="21" t="s">
        <v>856</v>
      </c>
      <c r="T119" s="24" t="s">
        <v>690</v>
      </c>
      <c r="U119" s="21" t="s">
        <v>857</v>
      </c>
      <c r="V119" s="21" t="s">
        <v>858</v>
      </c>
      <c r="W119" s="21" t="s">
        <v>987</v>
      </c>
      <c r="X119" s="21" t="s">
        <v>987</v>
      </c>
      <c r="Y119" s="21"/>
      <c r="Z119" s="21"/>
      <c r="AA119" s="21" t="s">
        <v>860</v>
      </c>
      <c r="AB119" s="27" t="s">
        <v>861</v>
      </c>
      <c r="AC119" s="26" t="s">
        <v>846</v>
      </c>
      <c r="AD119" s="38" t="s">
        <v>846</v>
      </c>
      <c r="AE119" s="26" t="s">
        <v>854</v>
      </c>
      <c r="AF119" s="26" t="s">
        <v>854</v>
      </c>
      <c r="AG119" s="23" t="s">
        <v>864</v>
      </c>
      <c r="AH119" s="23" t="s">
        <v>864</v>
      </c>
      <c r="AI119" s="24" t="s">
        <v>863</v>
      </c>
      <c r="AJ119" s="23" t="s">
        <v>864</v>
      </c>
      <c r="AK119" s="220" t="str">
        <f>IF(AND(AD119="",AE119="",AF119="",AG119="",AH119="",AI119="",AJ119=""),"",IF(OR(Tabla1[[#This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EVALUACIÓN",IF(AND(O119="",R119=""),"",IF(AND(OR(O119&gt;0,R119&gt;0),NG119&gt;=0,NG119&lt;2),"SIN RIESGO",IF(AND(OR(O119&gt;0,R119&gt;0),NG119&gt;=2),"CON RIESGO","ASD")))))</f>
        <v>SIN RIESGO</v>
      </c>
      <c r="AL119" s="23" t="s">
        <v>864</v>
      </c>
      <c r="AM119" s="26" t="s">
        <v>864</v>
      </c>
      <c r="AN119" s="26" t="s">
        <v>864</v>
      </c>
      <c r="AO119" s="26" t="s">
        <v>864</v>
      </c>
      <c r="AP119" s="26" t="s">
        <v>864</v>
      </c>
      <c r="AQ119" s="26" t="s">
        <v>864</v>
      </c>
      <c r="AR119" s="26" t="s">
        <v>864</v>
      </c>
      <c r="AS119" s="21">
        <v>7</v>
      </c>
      <c r="AT119" s="21">
        <v>7</v>
      </c>
      <c r="AU119" s="21">
        <v>0</v>
      </c>
      <c r="AV119" s="26" t="s">
        <v>864</v>
      </c>
      <c r="AW119" s="21">
        <v>0</v>
      </c>
      <c r="AX119" s="26" t="s">
        <v>864</v>
      </c>
      <c r="AY119" s="26" t="s">
        <v>864</v>
      </c>
      <c r="AZ119" s="26" t="s">
        <v>864</v>
      </c>
      <c r="BA119" s="26" t="s">
        <v>864</v>
      </c>
      <c r="BB119" s="26" t="s">
        <v>864</v>
      </c>
      <c r="BC119" s="26" t="s">
        <v>864</v>
      </c>
      <c r="BD119" s="26" t="s">
        <v>864</v>
      </c>
      <c r="BE119" s="26" t="s">
        <v>864</v>
      </c>
      <c r="BF119" s="26" t="s">
        <v>864</v>
      </c>
      <c r="BG119" s="26" t="s">
        <v>864</v>
      </c>
      <c r="BH119" s="26" t="s">
        <v>864</v>
      </c>
      <c r="BI119" s="26" t="s">
        <v>864</v>
      </c>
      <c r="BJ119" s="26"/>
      <c r="BK119" s="26"/>
      <c r="BL119" s="26" t="s">
        <v>864</v>
      </c>
      <c r="BM119" s="26" t="s">
        <v>864</v>
      </c>
      <c r="BN119" s="22">
        <v>41773</v>
      </c>
      <c r="BO119" s="22">
        <v>44732</v>
      </c>
      <c r="BP119" s="21" t="s">
        <v>854</v>
      </c>
      <c r="BQ119" s="222">
        <f t="shared" si="254"/>
        <v>98.63333333333334</v>
      </c>
      <c r="BR119" s="223" t="str">
        <f t="shared" si="255"/>
        <v/>
      </c>
      <c r="BS119" s="224">
        <f t="shared" si="256"/>
        <v>36.428571428571431</v>
      </c>
      <c r="BT119" s="216" t="str">
        <f t="shared" si="257"/>
        <v>III TRIM</v>
      </c>
      <c r="BU119" s="214" t="str">
        <f t="shared" ca="1" si="258"/>
        <v/>
      </c>
      <c r="BV119" s="25"/>
      <c r="BW119" s="22"/>
      <c r="BX119" s="28"/>
      <c r="BY119" s="28"/>
      <c r="BZ119" s="22"/>
      <c r="CA119" s="21"/>
      <c r="CB119" s="26"/>
      <c r="CC119" s="26"/>
      <c r="CD119" s="26"/>
      <c r="CE119" s="26"/>
      <c r="CF119" s="22" t="s">
        <v>1517</v>
      </c>
      <c r="CG119" s="21">
        <v>1.58</v>
      </c>
      <c r="CH119" s="21">
        <v>66</v>
      </c>
      <c r="CI119" s="214">
        <f t="shared" si="259"/>
        <v>26.438070821983651</v>
      </c>
      <c r="CJ119" s="225" t="e">
        <f>IF(AND(CI119&lt;10,CH119="SD"),"SIN DATO PESO PREGESTACION O I TRIM",IF(AND(OR(R119&gt;0,O119&gt;0),CI119="X"),"INGRESAR DATO DE PESO",IF(CI119="SD","INGRESAR DATO DE TALLA Y PESO",IF(AND(OR(Tabla1[[#This Row],[MOMENTO EN QUE SE REALIZA EL PESO AL INGRESO A CPN]]="PREGESTACIÓN",NZ119="Menor"),CI119&lt;18.5),"BAJO PESO",IF(AND(OR(Tabla1[[#This Row],[MOMENTO EN QUE SE REALIZA EL PESO AL INGRESO A CPN]]="PREGESTACIÓN",NZ119="Menor"),CI119&lt;25),"NORMAL",IF(AND(OR(Tabla1[[#This Row],[MOMENTO EN QUE SE REALIZA EL PESO AL INGRESO A CPN]]="PREGESTACIÓN",NZ119="Menor"),CI119&lt;30),"SOBREPESO",IF(AND(OR(Tabla1[[#This Row],[MOMENTO EN QUE SE REALIZA EL PESO AL INGRESO A CPN]]="PREGESTACIÓN",NZ119="Menor"),CI119&gt;=30,CI119&lt;50),"OBESIDAD",IF(AND(BS119&gt;0,Tabla1[[#This Row],[MOMENTO EN QUE SE REALIZA EL PESO AL INGRESO A CPN]]="GESTACIÓN"),HLOOKUP(NZ119,$OA$2:PH119,NY119),""))))))))</f>
        <v>#REF!</v>
      </c>
      <c r="CK119" s="212">
        <f t="shared" si="260"/>
        <v>44987</v>
      </c>
      <c r="CL119" s="21"/>
      <c r="CM119" s="214">
        <f t="shared" si="261"/>
        <v>0</v>
      </c>
      <c r="CN119" s="216">
        <f t="shared" si="262"/>
        <v>36</v>
      </c>
      <c r="CO119" s="216" t="e">
        <f>IF(PI119="","",IF(PI119&gt;0,HLOOKUP(PI119,$PJ$2:QQ119,NY119),""))</f>
        <v>#REF!</v>
      </c>
      <c r="CP119" s="21"/>
      <c r="CQ119" s="216" t="e">
        <f>IF(QR119="Menor","NO APLICA-MENOR 13 SEM",IF(AND(CC119="SI",CN119&gt;23),"NO APLICA- GEMELAR",IF(QR119="","",IF(QR119&gt;0,HLOOKUP(QR119,$QS$2:RU119,NY119),""))))</f>
        <v>#REF!</v>
      </c>
      <c r="CR119" s="21">
        <v>100</v>
      </c>
      <c r="CS119" s="21">
        <v>60</v>
      </c>
      <c r="CT119" s="217" t="str">
        <f>IF(R119="","",IF(AND(BS119&gt;1,BS119&lt;12,Tabla1[[#This Row],[T.A. SISTOLICA - ANTES DE SEMANA 12]]="",Tabla1[[#This Row],[T.A. DIASTOLICA - ANTES DE SEMANA 12]]=""),"REGISTRE DATO TA ANTES SEMANA 12",IF(AND(BS119&gt;11,BS119&lt;43,Tabla1[[#This Row],[T.A. SISTOLICA - ANTES DE SEMANA 12]]="",Tabla1[[#This Row],[T.A. DIASTOLICA - ANTES DE SEMANA 12]]=""),"NO APLICA REGISTRO TA-INGRESO TARDIO",IF(AND(OR(O119&gt;0,R119&gt;0),OR(CR119&gt;=140,CS119&gt;=90)),"DEFINIR ESTADIO HTA",IF(AND(OR(O119&gt;0,R119&gt;0),AND(CR119&gt;120,CR119&lt;=139)),"PRE HTA SEGUIMIENTO",IF(AND(OR(O119&gt;0,R119&gt;0),AND(CS119&gt;80,CS119&lt;=89)),"PRE HTA SEGUIMIENTO",IF(AND(OR(O119&gt;0,R119&gt;0),AND(CR119&gt;=80,CR119&lt;=120)),"APARENTEMENTE NORMAL",IF(AND(OR(O119&gt;0,R119&gt;0),AND(CS119&gt;=50,CS119&lt;=80)),"APARENTEMENTE NORMAL",IF(AND(OR(O119&gt;0,R119&gt;0),AND(CR119&gt;1,CR119&lt;=70),AND(CS119&gt;1,CS119&lt;=40)),"HIPOTENSIÓN","")))))))))</f>
        <v>APARENTEMENTE NORMAL</v>
      </c>
      <c r="CU119" s="21"/>
      <c r="CV119" s="21"/>
      <c r="CW119" s="217" t="str">
        <f ca="1">IF(R119="","",IF(AND(CN119&gt;19,CN119&lt;27,Tabla1[[#This Row],[T.A. SISTOLICA (Entre semana 20 y 26)]]="",Tabla1[[#This Row],[T.A. DIATOLICA (Entre semana 20 y 26)]]=""),"ACUDE A CONTROL SEM 20 A 26 REGISTRE TA AHORA",IF(AND(BS119&gt;1,BS119&lt;27,BU119&gt;19,Tabla1[[#This Row],[T.A. SISTOLICA (Entre semana 20 y 26)]]="",Tabla1[[#This Row],[T.A. DIATOLICA (Entre semana 20 y 26)]]=""),"COMPLETE REGISTRO TA CONTROL SEM 20 A26 ",IF(AND(BS119&gt;26,BS119&lt;43,Tabla1[[#This Row],[T.A. SISTOLICA (Entre semana 20 y 26)]]="",Tabla1[[#This Row],[T.A. DIATOLICA (Entre semana 20 y 26)]]=""),"NO APLICA REGISTRO TA-INGRESO TARDIO",IF(AND(OR(O119&gt;0,R119&gt;0),OR(CU119&gt;=140,CV119&gt;=90)),"ALTO RIESGO PREECLAMPSIA,DEFINIR ESTADIO HTA",IF(AND(OR(O119&gt;0,R119&gt;0),AND(CU119&gt;120,CU119&lt;=139)),"PRE HTA SEGUIMIENTO,RIESGO HIPERTENSION INDUCIDA POR EL EMBARAZO",IF(AND(OR(O119&gt;0,R119&gt;0),AND(CV119&gt;80,CV119&lt;=89)),"PRE HTA SEGUIMIENTO, RIESGO HIPERTENSION INDUCIDA POR EL EMBARAZO",IF(AND(OR(O119&lt;&gt;"",R119&lt;&gt;""),CS119&lt;&gt;"",CV119&lt;&gt;"",CS119&lt;=CV119),"VIGILAR CIFRAS PRESION ARTERIAL",IF(AND(OR(O119&gt;0,R119&gt;0),AND(CU119&gt;120,CU119&lt;=139)),"PRE HTA SEGUIMIENTO",IF(AND(OR(O119&gt;0,R119&gt;0),AND(CU119&gt;1,CU119&lt;=70),AND(CV119&gt;1,CV119&lt;=40)),"HIPOTENSIÓN",IF(AND(OR(O119&lt;&gt;"",R119&lt;&gt;""),CS119&lt;&gt;"",CV119&lt;&gt;"",CS119&gt;CV119),"APARENTEMENTE NORMAL",IF(AND(OR(O119&gt;0,R119&gt;0),AND(CU119&gt;=80,CU119&lt;=120)),"APARENTEMENTE NORMAL",IF(AND(OR(O119&gt;0,R119&gt;0),AND(CV119&gt;=50,CV119&lt;=80)),"APARENTEMENTE NORMAL","")))))))))))))</f>
        <v>NO APLICA REGISTRO TA-INGRESO TARDIO</v>
      </c>
      <c r="CX119" s="21"/>
      <c r="CY119" s="21"/>
      <c r="CZ119" s="216" t="str">
        <f t="shared" si="456"/>
        <v>NO APLICA-INGRESO TARDIO</v>
      </c>
      <c r="DA119" s="21"/>
      <c r="DB119" s="21"/>
      <c r="DC119" s="217" t="str">
        <f t="shared" si="264"/>
        <v>REGISTRE DATO PRESIÓN ARTERIAL MENSUAL</v>
      </c>
      <c r="DD119" s="22">
        <v>44987</v>
      </c>
      <c r="DE119" s="22">
        <v>44987</v>
      </c>
      <c r="DF119" s="22"/>
      <c r="DG119" s="22"/>
      <c r="DH119" s="22"/>
      <c r="DI119" s="22"/>
      <c r="DJ119" s="22"/>
      <c r="DK119" s="22"/>
      <c r="DL119" s="22"/>
      <c r="DM119" s="22"/>
      <c r="DN119" s="22"/>
      <c r="DO119" s="22"/>
      <c r="DP119" s="22"/>
      <c r="DQ119" s="22"/>
      <c r="DR119" s="28"/>
      <c r="DS119" s="22"/>
      <c r="DT119" s="22"/>
      <c r="DU119" s="216" t="str">
        <f t="shared" ca="1" si="438"/>
        <v>SALE SIN PLAN DE PARTO</v>
      </c>
      <c r="DV119" s="226" t="str">
        <f t="shared" si="439"/>
        <v>SALIO PROGRAMA</v>
      </c>
      <c r="DW119"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19" s="216" t="str">
        <f t="shared" ca="1" si="266"/>
        <v/>
      </c>
      <c r="DY119" s="212">
        <f>IF(R119="","",IF(R119&gt;0,MAX(Tabla1[[#This Row],[FECHA C2]:[FECHA C13]],Tabla1[[#This Row],[FECHA CONSULTA PRIMERA VEZ PROGRAMA CPN ]])))</f>
        <v>44987</v>
      </c>
      <c r="DZ119" s="216">
        <f t="shared" si="267"/>
        <v>36</v>
      </c>
      <c r="EA119" s="222">
        <f>IF(R119&gt;0,SUM(COUNTA(DF119:DQ119)+COUNTA(Tabla1[[#This Row],[FECHA CONSULTA PRIMERA VEZ PROGRAMA CPN ]])),"")</f>
        <v>1</v>
      </c>
      <c r="EB119" s="222" t="str">
        <f t="shared" si="268"/>
        <v>NO</v>
      </c>
      <c r="EC119" s="214">
        <f t="shared" si="269"/>
        <v>2</v>
      </c>
      <c r="ED119" s="227">
        <f t="shared" si="270"/>
        <v>0.5</v>
      </c>
      <c r="EE119" s="22">
        <v>44987</v>
      </c>
      <c r="EF119" s="22"/>
      <c r="EG119" s="22">
        <v>44987</v>
      </c>
      <c r="EH119" s="22"/>
      <c r="EI119" s="22">
        <v>44987</v>
      </c>
      <c r="EJ119" s="22"/>
      <c r="EK119" s="22"/>
      <c r="EL119" s="21"/>
      <c r="EM119" s="21">
        <v>13.9</v>
      </c>
      <c r="EN119" s="22">
        <v>44989</v>
      </c>
      <c r="EO119" s="222">
        <f t="shared" si="271"/>
        <v>36.714285714285715</v>
      </c>
      <c r="EP119" s="214" t="str">
        <f t="shared" si="272"/>
        <v>NORMAL- SUMINISTRAR SULFATO FERROSO</v>
      </c>
      <c r="EQ119" s="216" t="str">
        <f t="shared" si="273"/>
        <v>III TRIM</v>
      </c>
      <c r="ER119" s="24"/>
      <c r="ES119" s="22"/>
      <c r="ET119" s="29" t="str">
        <f t="shared" ca="1" si="440"/>
        <v>SALE SIN TAMIZAJE HEMOGLOBINA SEM 28</v>
      </c>
      <c r="EU119" s="25" t="str">
        <f t="shared" si="275"/>
        <v/>
      </c>
      <c r="EV119" s="24" t="s">
        <v>866</v>
      </c>
      <c r="EW119" s="24">
        <v>44989</v>
      </c>
      <c r="EX119" s="22"/>
      <c r="EY119" s="29">
        <f t="shared" si="453"/>
        <v>36.714285714285715</v>
      </c>
      <c r="EZ119" s="25" t="str">
        <f t="shared" ca="1" si="454"/>
        <v/>
      </c>
      <c r="FA119" s="21">
        <v>83</v>
      </c>
      <c r="FB119" s="22">
        <v>44989</v>
      </c>
      <c r="FC119" s="29" t="str">
        <f t="shared" si="276"/>
        <v>NO APLICA &gt; 23 SEM -TOMAR PTOG</v>
      </c>
      <c r="FD119" s="29"/>
      <c r="FE119" s="29"/>
      <c r="FF119" s="29"/>
      <c r="FG119" s="21" t="str">
        <f t="shared" ca="1" si="277"/>
        <v/>
      </c>
      <c r="FH119" s="31"/>
      <c r="FI119" s="29" t="str">
        <f t="shared" si="278"/>
        <v>TOMAR EXAMEN</v>
      </c>
      <c r="FJ119" s="22"/>
      <c r="FK119" s="22"/>
      <c r="FL119" s="29" t="str">
        <f t="shared" ca="1" si="279"/>
        <v>NO APLICA-INGRESO TARDIO</v>
      </c>
      <c r="FM119" s="22"/>
      <c r="FN119" s="32"/>
      <c r="FO119" s="29" t="str">
        <f t="shared" ca="1" si="441"/>
        <v>NO APLICA-INGRESO TARDIO</v>
      </c>
      <c r="FP119" s="22"/>
      <c r="FQ119" s="32"/>
      <c r="FR119" s="29" t="str">
        <f t="shared" ca="1" si="442"/>
        <v>PIERDE TOMA DE TAMIZAJE</v>
      </c>
      <c r="FS119" s="22"/>
      <c r="FT119" s="32"/>
      <c r="FU119" s="29" t="str">
        <f>IF(AND(FJ119="",FM119="",FP119="",FS119=""),"",IF(OR(OR(Tabla1[[#This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19" s="28"/>
      <c r="FW119" s="22"/>
      <c r="FX119" s="29" t="str">
        <f t="shared" si="280"/>
        <v>TOMAR EXAMEN</v>
      </c>
      <c r="FY119" s="22">
        <v>44989</v>
      </c>
      <c r="FZ119" s="22">
        <v>44989</v>
      </c>
      <c r="GA119" s="29" t="str">
        <f t="shared" si="452"/>
        <v>REGISTRAR EN III TRIMESTRE</v>
      </c>
      <c r="GB119" s="22"/>
      <c r="GC119" s="22"/>
      <c r="GD119" s="29" t="str">
        <f t="shared" ca="1" si="490"/>
        <v>NO APLICA-INGRESO TARDIO</v>
      </c>
      <c r="GE119" s="22"/>
      <c r="GF119" s="22"/>
      <c r="GG119" s="29" t="str">
        <f t="shared" ca="1" si="444"/>
        <v>PIERDE TOMA DE TAMIZAJE</v>
      </c>
      <c r="GH119" s="22"/>
      <c r="GI119" s="29"/>
      <c r="GJ119" s="22"/>
      <c r="GK119" s="22"/>
      <c r="GL119" s="22"/>
      <c r="GM119" s="22"/>
      <c r="GN119" s="28" t="s">
        <v>869</v>
      </c>
      <c r="GO119" s="22">
        <v>44989</v>
      </c>
      <c r="GP119" s="29">
        <f t="shared" si="283"/>
        <v>36.714285714285715</v>
      </c>
      <c r="GQ119" s="28" t="s">
        <v>869</v>
      </c>
      <c r="GR119" s="28" t="s">
        <v>869</v>
      </c>
      <c r="GS119" s="22" t="str">
        <f t="shared" si="457"/>
        <v>CONTROL Igm</v>
      </c>
      <c r="GT119" s="22">
        <v>44989</v>
      </c>
      <c r="GU119" s="29">
        <f t="shared" si="285"/>
        <v>36.714285714285715</v>
      </c>
      <c r="GV119" s="21" t="str">
        <f t="shared" si="286"/>
        <v>III TRIM</v>
      </c>
      <c r="GW119" s="28" t="s">
        <v>869</v>
      </c>
      <c r="GX119" s="30"/>
      <c r="GY119" s="21" t="s">
        <v>906</v>
      </c>
      <c r="GZ119" s="21"/>
      <c r="HA119" s="21"/>
      <c r="HB119" s="21"/>
      <c r="HC119" s="21"/>
      <c r="HD119" s="21"/>
      <c r="HE119" s="21"/>
      <c r="HF119" s="22"/>
      <c r="HG119" s="22" t="str">
        <f>IF(OR(O119&gt;0,R119&gt;0),CONCATENATE(IF(Tabla1[[#This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19" s="22" t="e">
        <f t="shared" si="287"/>
        <v>#REF!</v>
      </c>
      <c r="HI119" s="22" t="e">
        <f t="shared" ca="1" si="288"/>
        <v>#REF!</v>
      </c>
      <c r="HJ119" s="21"/>
      <c r="HK119" s="21" t="str">
        <f t="shared" si="289"/>
        <v>SIN ANTECEDENTES DE RIESGO</v>
      </c>
      <c r="HL119" s="24" t="str">
        <f t="shared" si="290"/>
        <v>REGISTRE DATO PRESIÓN ARTERIAL MENSUAL</v>
      </c>
      <c r="HM119" s="21" t="str">
        <f t="shared" ca="1" si="291"/>
        <v/>
      </c>
      <c r="HN119" s="30" t="str">
        <f t="shared" si="445"/>
        <v>SALIO PROGRAMA</v>
      </c>
      <c r="HO119" s="21"/>
      <c r="HP119" s="21"/>
      <c r="HQ119" s="21">
        <v>44989</v>
      </c>
      <c r="HR119" s="21" t="str">
        <f>IF(R119="","",IF(Tabla1[[#This Row],[ALARMA FACTORES DE RIESGO COMPLICACIONES HIPERTENSIVAS3]]="SIN ANTECEDENTES DE RIESGO","No Aplica para suministro de ASA",IF(AND(Tabla1[[#This Row],[FECHA INICIO DE SUMINISTRO DE ASA]]&gt;0,RV119&lt;12),"Inicia ASA ANTES de Sem 12",IF(AND(RV119&gt;11,RV119&lt;17,OR(HK119="RIESGO ALTO DE COMPLICACIONES HIPERTENSIVAS VER MANEJO GUIA SUMINISTRO ASA Y CALCIO",HK119="RIESGO MODERADO (2 O MAS CRITERIOS) VER MANEJO GUIA SUMINISTRO ASA Y CALCIO")),"Inicio oportuno de ASA",IF(AND(RV119&gt;12,OR(HK119="RIESGO ALTO DE COMPLICACIONES HIPERTENSIVAS VER MANEJO GUIA SUMINISTRO ASA Y CALCIO",HK119="RIESGO MODERADO (2 O MAS CRITERIOS) VER MANEJO GUIA SUMINISTRO ASA Y CALCIO")),"Inicio no oportuno mayor a 16 semanas",IF(AND(BU119&lt;12,OR(HK119="RIESGO ALTO DE COMPLICACIONES HIPERTENSIVAS VER MANEJO GUIA SUMINISTRO ASA Y CALCIO",HK119="RIESGO MODERADO (2 O MAS CRITERIOS) VER MANEJO GUIA SUMINISTRO ASA Y CALCIO")),"Pendiente Inicio de ASA a la semana 12",IF(AND(BU119&gt;11,BU119&lt;17,OR(HK119="RIESGO ALTO DE COMPLICACIONES HIPERTENSIVAS VER MANEJO GUIA SUMINISTRO ASA Y CALCIO",HK119="RIESGO MODERADO (2 O MAS CRITERIOS) VER MANEJO GUIA SUMINISTRO ASA Y CALCIO")),"Iniciar de inmediato ASA",IF(AND(BU119&gt;16,OR(HK119="RIESGO ALTO DE COMPLICACIONES HIPERTENSIVAS VER MANEJO GUIA SUMINISTRO ASA Y CALCIO",HK119="RIESGO MODERADO (2 O MAS CRITERIOS) VER MANEJO GUIA SUMINISTRO ASA Y CALCIO")),"Pierde Oportunidad, Inicio tardío de ASA","XXXXX"))))))))</f>
        <v>No Aplica para suministro de ASA</v>
      </c>
      <c r="HS119" s="22">
        <v>44989</v>
      </c>
      <c r="HT119" s="22" t="s">
        <v>870</v>
      </c>
      <c r="HU119" s="22"/>
      <c r="HV119" s="22"/>
      <c r="HW119" s="22">
        <v>44989</v>
      </c>
      <c r="HX119" s="22" t="s">
        <v>870</v>
      </c>
      <c r="HY119" s="22">
        <v>44987</v>
      </c>
      <c r="HZ119" s="28">
        <f t="shared" si="292"/>
        <v>36.428571428571431</v>
      </c>
      <c r="IA119" s="26"/>
      <c r="IB119" s="26"/>
      <c r="IC119" s="111"/>
      <c r="ID119" s="22"/>
      <c r="IE119" s="22" t="str">
        <f t="shared" ca="1" si="293"/>
        <v>SALE SIN VACUNA</v>
      </c>
      <c r="IF119" s="22"/>
      <c r="IG119" s="22">
        <f t="shared" si="294"/>
        <v>45012</v>
      </c>
      <c r="IH119" s="29">
        <f t="shared" ca="1" si="295"/>
        <v>-221</v>
      </c>
      <c r="II119" s="22" t="str">
        <f t="shared" ca="1" si="296"/>
        <v>POSIBLEMENTE NACIO</v>
      </c>
      <c r="IJ119" s="22"/>
      <c r="IK119" s="21" t="s">
        <v>898</v>
      </c>
      <c r="IL119" s="21"/>
      <c r="IM119" s="34"/>
      <c r="IN119" s="349">
        <v>45008</v>
      </c>
      <c r="IO119" s="21" t="s">
        <v>1640</v>
      </c>
      <c r="IP119" s="29">
        <f t="shared" si="489"/>
        <v>39.428571428571431</v>
      </c>
      <c r="IQ119" s="35"/>
      <c r="IR119" s="21" t="s">
        <v>879</v>
      </c>
      <c r="IS119" s="21" t="s">
        <v>1641</v>
      </c>
      <c r="IT119" s="21" t="s">
        <v>1642</v>
      </c>
      <c r="IU119" s="21"/>
      <c r="IV119" s="21"/>
      <c r="IW119" s="21"/>
      <c r="IX119" s="21"/>
      <c r="IY119" s="21"/>
      <c r="IZ119" s="21"/>
      <c r="JA119" s="21"/>
      <c r="JB119" s="30">
        <v>1</v>
      </c>
      <c r="JC119" s="21" t="s">
        <v>1647</v>
      </c>
      <c r="JD119" s="36">
        <v>3250</v>
      </c>
      <c r="JE119" s="21" t="str">
        <f t="shared" si="491"/>
        <v>PESO ADECUADO EDAD GESTACIONAL</v>
      </c>
      <c r="JF119" s="30"/>
      <c r="JG119" s="21"/>
      <c r="JH119" s="21"/>
      <c r="JI119" s="21"/>
      <c r="JJ119" s="30"/>
      <c r="JK119" s="22"/>
      <c r="JL119" s="22"/>
      <c r="JM119" s="21"/>
      <c r="JN119" s="36"/>
      <c r="JO119" s="21" t="str">
        <f t="shared" si="492"/>
        <v/>
      </c>
      <c r="JP119" s="22"/>
      <c r="JQ119" s="21"/>
      <c r="JR119" s="21"/>
      <c r="JS119" s="21"/>
      <c r="JT119" s="30"/>
      <c r="JU119" s="22"/>
      <c r="JV119" s="22"/>
      <c r="JW119" s="33"/>
      <c r="JX119" s="28" t="str">
        <f t="shared" si="493"/>
        <v>INASISTENTE</v>
      </c>
      <c r="JY119" s="33"/>
      <c r="JZ119" s="28" t="str">
        <f t="shared" si="494"/>
        <v>INASISTENTE</v>
      </c>
      <c r="KA119" s="21"/>
      <c r="KB119" s="21"/>
      <c r="KC119" s="21"/>
      <c r="KD119" s="37"/>
      <c r="KE119" s="28"/>
      <c r="KF119" s="28"/>
      <c r="KG119" s="28"/>
      <c r="KH119" s="39"/>
      <c r="KI119" s="39"/>
      <c r="KJ119" s="66"/>
      <c r="KK119" s="39"/>
      <c r="KL119" s="39"/>
      <c r="KM119" s="66"/>
      <c r="KN119" s="39"/>
      <c r="KO119" s="39"/>
      <c r="KP119" s="39"/>
      <c r="KQ119" s="39"/>
      <c r="KR119" s="39"/>
      <c r="KS119" s="39"/>
      <c r="KT119" s="39"/>
      <c r="KU119" s="38"/>
      <c r="KV119" s="38"/>
      <c r="KW119" s="38"/>
      <c r="KX119" s="38"/>
      <c r="KY119" s="38"/>
      <c r="KZ119" s="38"/>
      <c r="LA119" s="38"/>
      <c r="LB119" s="38"/>
      <c r="LC119" s="38"/>
      <c r="LD119" s="38"/>
      <c r="LE119" s="38"/>
      <c r="LF119" s="38"/>
      <c r="LG119" s="38"/>
      <c r="LH119" s="38"/>
      <c r="LI119" s="38"/>
      <c r="LJ119" s="38"/>
      <c r="LK119" s="38"/>
      <c r="LL119" s="38"/>
      <c r="LM119" s="38"/>
      <c r="LN119" s="38"/>
      <c r="LO119" s="38"/>
      <c r="LP119" s="38"/>
      <c r="LQ119" s="38"/>
      <c r="LR119" s="38"/>
      <c r="LS119" s="38"/>
      <c r="LT119" s="38"/>
      <c r="LU119" s="38"/>
      <c r="LV119" s="38"/>
      <c r="LW119" s="38"/>
      <c r="LX119" s="38"/>
      <c r="LY119" s="38"/>
      <c r="LZ119" s="38"/>
      <c r="MA119" s="38"/>
      <c r="MB119" s="38"/>
      <c r="MC119" s="38"/>
      <c r="MD119" s="38"/>
      <c r="ME119" s="38"/>
      <c r="MF119" s="38"/>
      <c r="MG119" s="38"/>
      <c r="MH119" s="43">
        <f t="shared" si="458"/>
        <v>0</v>
      </c>
      <c r="MI119" s="43" t="str">
        <f t="shared" si="459"/>
        <v/>
      </c>
      <c r="MJ119" s="43" t="str">
        <f t="shared" si="460"/>
        <v/>
      </c>
      <c r="MK119" s="43">
        <f t="shared" si="461"/>
        <v>0</v>
      </c>
      <c r="ML1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19" s="43">
        <f t="shared" si="462"/>
        <v>36.428571428571431</v>
      </c>
      <c r="MN119" s="43">
        <f t="shared" si="463"/>
        <v>3</v>
      </c>
      <c r="MO119" s="43">
        <f t="shared" si="464"/>
        <v>2023</v>
      </c>
      <c r="MP119" s="43" t="str">
        <f t="shared" si="465"/>
        <v>I TRIMESTRE AÑO</v>
      </c>
      <c r="MQ119" s="43">
        <f t="shared" si="466"/>
        <v>41.631077529566362</v>
      </c>
      <c r="MR119" s="43">
        <f t="shared" si="467"/>
        <v>2</v>
      </c>
      <c r="MS119" s="43" t="str">
        <f t="shared" si="468"/>
        <v xml:space="preserve"> DE 40 Y MAS</v>
      </c>
      <c r="MT119" s="43">
        <f t="shared" si="469"/>
        <v>0</v>
      </c>
      <c r="MU119" s="43">
        <f t="shared" si="470"/>
        <v>2</v>
      </c>
      <c r="MV119" s="43">
        <f t="shared" si="471"/>
        <v>0</v>
      </c>
      <c r="MW119" s="43">
        <f t="shared" si="472"/>
        <v>0</v>
      </c>
      <c r="MX119" s="43" t="str">
        <f t="shared" si="473"/>
        <v/>
      </c>
      <c r="MY119" s="43" t="str">
        <f t="shared" ca="1" si="495"/>
        <v/>
      </c>
      <c r="MZ119" s="43" t="str">
        <f t="shared" si="474"/>
        <v/>
      </c>
      <c r="NA119" s="43" t="str">
        <f t="shared" si="475"/>
        <v/>
      </c>
      <c r="NB119" s="43" t="str">
        <f t="shared" si="476"/>
        <v/>
      </c>
      <c r="NC119" s="43" t="str">
        <f t="shared" si="477"/>
        <v/>
      </c>
      <c r="ND119" s="43">
        <f t="shared" ca="1" si="478"/>
        <v>4</v>
      </c>
      <c r="NE119" s="43">
        <f>IF(OR(O119&gt;0,R119&gt;0),SUM(COUNTIF(Tabla1[[#This Row],[AÑOS AL INICIO5 CPN]],"&gt;=40"),COUNTIF(AS119,"0"),COUNTIF(AR119,"SI"),COUNTIF(CC119,"SI"),COUNTIF(BQ119,"&gt;119"),COUNTIF(CI119,"&gt;=35")),"")</f>
        <v>1</v>
      </c>
      <c r="NF119" s="43" t="str">
        <f t="shared" si="479"/>
        <v/>
      </c>
      <c r="NG119" s="43">
        <f t="shared" si="480"/>
        <v>0</v>
      </c>
      <c r="NH119" s="43" t="str">
        <f t="shared" si="481"/>
        <v/>
      </c>
      <c r="NI119"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CPN",P119="NO"),"Z",IF(AND(Tabla1[[#This Row],[CITA PROXIMO CONTROL]]="CITA MANUAL",Tabla1[[#This Row],[GESTANTES ACTUALES]]="ACTIVA INGRESO A CPN"),"W",IF(AND(Tabla1[[#This Row],[GESTANTES ACTUALES]]="SALIO PROGRAMA",IN119=""),"S",IF(AND(Tabla1[[#This Row],[CITA PROXIMO CONTROL]]&gt;0,IN119=""),(Tabla1[[#This Row],[CITA PROXIMO CONTROL]]-TODAY()),"SD"))))))))</f>
        <v>SD</v>
      </c>
      <c r="NJ119" s="43">
        <f>MONTH(Tabla1[[#This Row],[FECHA DE SALIDA  DEL PROGRAMA]])</f>
        <v>3</v>
      </c>
      <c r="NK119" s="43">
        <f>YEAR(Tabla1[[#This Row],[FECHA DE SALIDA  DEL PROGRAMA]])</f>
        <v>2023</v>
      </c>
      <c r="NL119" s="43" t="str">
        <f t="shared" si="482"/>
        <v>X</v>
      </c>
      <c r="NM119" s="43" t="str">
        <f t="shared" si="455"/>
        <v>NO</v>
      </c>
      <c r="NN119" s="43" t="str">
        <f ca="1">IF(AND(O119&gt;0,R119=""),"NO CPN",IF(AND(O119="",R119=""),"",IF(AND(R119&gt;0,Tabla1[[#This Row],[SEMANAS DE GESTACION ACTUALIZADAS]]&lt;=12),"NO APLICA",IF(AND(FH119&lt;&gt;"",FN119&lt;&gt;""),"SI","NO"))))</f>
        <v>NO</v>
      </c>
      <c r="NO119" s="43" t="str">
        <f ca="1">IF(AND(O119&gt;0,R119=""),"NO CPN",IF(AND(O119="",R119=""),"",IF(AND(R119&gt;0,Tabla1[[#This Row],[SEMANAS DE GESTACION ACTUALIZADAS]]&lt;=27),"NO APLICA",IF(AND(ES119&lt;&gt;"",FQ119&lt;&gt;"",GF119&lt;&gt;""),"SI","NO"))))</f>
        <v>NO</v>
      </c>
      <c r="NP119" s="204" t="str">
        <f t="shared" si="483"/>
        <v>III TRIM</v>
      </c>
      <c r="NQ119" s="21" t="str">
        <f t="shared" si="436"/>
        <v/>
      </c>
      <c r="NR119" s="21">
        <f t="shared" si="496"/>
        <v>1</v>
      </c>
      <c r="NS119" s="205">
        <f t="shared" ca="1" si="484"/>
        <v>0</v>
      </c>
      <c r="NT119" s="21">
        <f t="shared" ca="1" si="485"/>
        <v>0</v>
      </c>
      <c r="NU119" s="21" t="str">
        <f t="shared" ca="1" si="486"/>
        <v>INCOMPLETO</v>
      </c>
      <c r="NV119" s="21" t="str">
        <f t="shared" ca="1" si="487"/>
        <v>INCOMPLETO</v>
      </c>
      <c r="NW119" s="206" t="str">
        <f>IF(AND(O119="",R119=""),"",IF(OR(AND(Tabla1[[#This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19" s="207" t="str">
        <f t="shared" ca="1" si="488"/>
        <v>SIN VACUNAR</v>
      </c>
      <c r="NY119" s="43">
        <f>ROW(Tabla1[[#This Row],['# DE TAMIZAJES SIFILIS TOMADOS ]])</f>
        <v>119</v>
      </c>
      <c r="NZ119" s="43">
        <f t="shared" si="333"/>
        <v>36</v>
      </c>
      <c r="OA119" s="43" t="str">
        <f t="shared" si="334"/>
        <v/>
      </c>
      <c r="OB119" s="43" t="str">
        <f t="shared" si="335"/>
        <v/>
      </c>
      <c r="OC119" s="43" t="str">
        <f t="shared" si="336"/>
        <v/>
      </c>
      <c r="OD119" s="43" t="str">
        <f t="shared" si="337"/>
        <v/>
      </c>
      <c r="OE119" s="43" t="str">
        <f t="shared" si="338"/>
        <v/>
      </c>
      <c r="OF119" s="43" t="str">
        <f t="shared" si="339"/>
        <v/>
      </c>
      <c r="OG119" s="43" t="str">
        <f t="shared" si="340"/>
        <v/>
      </c>
      <c r="OH119" s="43" t="str">
        <f t="shared" si="341"/>
        <v/>
      </c>
      <c r="OI119" s="43" t="str">
        <f t="shared" si="342"/>
        <v/>
      </c>
      <c r="OJ119" s="43" t="str">
        <f t="shared" si="343"/>
        <v/>
      </c>
      <c r="OK119" s="43" t="str">
        <f t="shared" si="344"/>
        <v/>
      </c>
      <c r="OL119" s="43" t="str">
        <f t="shared" si="345"/>
        <v/>
      </c>
      <c r="OM119" s="43" t="str">
        <f t="shared" si="346"/>
        <v/>
      </c>
      <c r="ON119" s="43" t="str">
        <f t="shared" si="347"/>
        <v/>
      </c>
      <c r="OO119" s="43" t="str">
        <f t="shared" si="348"/>
        <v/>
      </c>
      <c r="OP119" s="43" t="str">
        <f t="shared" si="349"/>
        <v/>
      </c>
      <c r="OQ119" s="43" t="str">
        <f t="shared" si="350"/>
        <v/>
      </c>
      <c r="OR119" s="43" t="str">
        <f t="shared" si="351"/>
        <v/>
      </c>
      <c r="OS119" s="43" t="str">
        <f t="shared" si="352"/>
        <v/>
      </c>
      <c r="OT119" s="43" t="str">
        <f t="shared" si="353"/>
        <v/>
      </c>
      <c r="OU119" s="43" t="str">
        <f t="shared" si="354"/>
        <v/>
      </c>
      <c r="OV119" s="110" t="str">
        <f t="shared" si="355"/>
        <v/>
      </c>
      <c r="OW119" s="43" t="str">
        <f t="shared" si="356"/>
        <v/>
      </c>
      <c r="OX119" s="43" t="str">
        <f t="shared" si="357"/>
        <v/>
      </c>
      <c r="OY119" s="43" t="str">
        <f t="shared" si="358"/>
        <v/>
      </c>
      <c r="OZ119" s="43" t="str">
        <f t="shared" si="359"/>
        <v/>
      </c>
      <c r="PA119" s="43" t="str">
        <f t="shared" si="360"/>
        <v/>
      </c>
      <c r="PB119" s="43" t="str">
        <f t="shared" si="361"/>
        <v>NORMAL</v>
      </c>
      <c r="PC119" s="43" t="str">
        <f t="shared" si="362"/>
        <v/>
      </c>
      <c r="PD119" s="43" t="str">
        <f t="shared" si="363"/>
        <v/>
      </c>
      <c r="PE119" s="43" t="str">
        <f t="shared" si="364"/>
        <v/>
      </c>
      <c r="PF119" s="43" t="str">
        <f t="shared" si="365"/>
        <v/>
      </c>
      <c r="PG119" s="43" t="str">
        <f t="shared" si="366"/>
        <v/>
      </c>
      <c r="PH119" s="43" t="str">
        <f t="shared" si="367"/>
        <v/>
      </c>
      <c r="PI119" s="43">
        <f t="shared" si="368"/>
        <v>36</v>
      </c>
      <c r="PJ119" s="43" t="str">
        <f t="shared" si="369"/>
        <v/>
      </c>
      <c r="PK119" s="43" t="str">
        <f t="shared" si="370"/>
        <v/>
      </c>
      <c r="PL119" s="43" t="str">
        <f t="shared" si="371"/>
        <v/>
      </c>
      <c r="PM119" s="43" t="str">
        <f t="shared" si="372"/>
        <v/>
      </c>
      <c r="PN119" s="43" t="str">
        <f t="shared" si="373"/>
        <v/>
      </c>
      <c r="PO119" s="43" t="str">
        <f t="shared" si="374"/>
        <v/>
      </c>
      <c r="PP119" s="43" t="str">
        <f t="shared" si="375"/>
        <v/>
      </c>
      <c r="PQ119" s="43" t="str">
        <f t="shared" si="376"/>
        <v/>
      </c>
      <c r="PR119" s="43" t="str">
        <f t="shared" si="377"/>
        <v/>
      </c>
      <c r="PS119" s="43" t="str">
        <f t="shared" si="378"/>
        <v/>
      </c>
      <c r="PT119" s="43" t="str">
        <f t="shared" si="379"/>
        <v/>
      </c>
      <c r="PU119" s="43" t="str">
        <f t="shared" si="380"/>
        <v/>
      </c>
      <c r="PV119" s="43" t="str">
        <f t="shared" si="381"/>
        <v/>
      </c>
      <c r="PW119" s="43" t="str">
        <f t="shared" si="382"/>
        <v/>
      </c>
      <c r="PX119" s="43" t="str">
        <f t="shared" si="383"/>
        <v/>
      </c>
      <c r="PY119" s="43" t="str">
        <f t="shared" si="384"/>
        <v/>
      </c>
      <c r="PZ119" s="43" t="str">
        <f t="shared" si="385"/>
        <v/>
      </c>
      <c r="QA119" s="43" t="str">
        <f t="shared" si="386"/>
        <v/>
      </c>
      <c r="QB119" s="43" t="str">
        <f t="shared" si="387"/>
        <v/>
      </c>
      <c r="QC119" s="43" t="str">
        <f t="shared" si="388"/>
        <v/>
      </c>
      <c r="QD119" s="43" t="str">
        <f t="shared" si="389"/>
        <v/>
      </c>
      <c r="QE119" s="43" t="str">
        <f t="shared" si="390"/>
        <v/>
      </c>
      <c r="QF119" s="43" t="str">
        <f t="shared" si="391"/>
        <v/>
      </c>
      <c r="QG119" s="43" t="str">
        <f t="shared" si="392"/>
        <v/>
      </c>
      <c r="QH119" s="43" t="str">
        <f t="shared" si="393"/>
        <v/>
      </c>
      <c r="QI119" s="43" t="str">
        <f t="shared" si="394"/>
        <v/>
      </c>
      <c r="QJ119" s="43" t="str">
        <f t="shared" si="395"/>
        <v/>
      </c>
      <c r="QK119" s="43" t="str">
        <f t="shared" si="396"/>
        <v/>
      </c>
      <c r="QL119" s="43" t="str">
        <f t="shared" si="397"/>
        <v/>
      </c>
      <c r="QM119" s="43" t="str">
        <f t="shared" si="398"/>
        <v/>
      </c>
      <c r="QN119" s="43" t="str">
        <f t="shared" si="399"/>
        <v/>
      </c>
      <c r="QO119" s="43" t="str">
        <f t="shared" si="400"/>
        <v/>
      </c>
      <c r="QP119" s="43" t="str">
        <f t="shared" si="401"/>
        <v/>
      </c>
      <c r="QQ119" s="43" t="str">
        <f t="shared" si="402"/>
        <v/>
      </c>
      <c r="QR119" s="43">
        <f t="shared" si="432"/>
        <v>36</v>
      </c>
      <c r="QS119" s="43"/>
      <c r="QT119" s="21" t="str">
        <f t="shared" si="403"/>
        <v/>
      </c>
      <c r="QU119" s="21" t="str">
        <f t="shared" si="404"/>
        <v/>
      </c>
      <c r="QV119" s="21" t="str">
        <f t="shared" si="405"/>
        <v/>
      </c>
      <c r="QW119" s="21" t="str">
        <f t="shared" si="406"/>
        <v/>
      </c>
      <c r="QX119" s="21" t="str">
        <f t="shared" si="407"/>
        <v/>
      </c>
      <c r="QY119" s="21" t="str">
        <f t="shared" si="408"/>
        <v/>
      </c>
      <c r="QZ119" s="21" t="str">
        <f t="shared" si="409"/>
        <v/>
      </c>
      <c r="RA119" s="21" t="str">
        <f t="shared" si="410"/>
        <v/>
      </c>
      <c r="RB119" s="21" t="str">
        <f t="shared" si="411"/>
        <v/>
      </c>
      <c r="RC119" s="21" t="str">
        <f t="shared" si="412"/>
        <v/>
      </c>
      <c r="RD119" s="21" t="str">
        <f t="shared" si="413"/>
        <v/>
      </c>
      <c r="RE119" s="21" t="str">
        <f t="shared" si="414"/>
        <v/>
      </c>
      <c r="RF119" s="21" t="str">
        <f t="shared" si="415"/>
        <v/>
      </c>
      <c r="RG119" s="21" t="str">
        <f t="shared" si="416"/>
        <v/>
      </c>
      <c r="RH119" s="21" t="str">
        <f t="shared" si="417"/>
        <v/>
      </c>
      <c r="RI119" s="21" t="str">
        <f t="shared" si="418"/>
        <v/>
      </c>
      <c r="RJ119" s="21" t="str">
        <f t="shared" si="419"/>
        <v/>
      </c>
      <c r="RK119" s="21" t="str">
        <f t="shared" si="420"/>
        <v/>
      </c>
      <c r="RL119" s="21" t="str">
        <f t="shared" si="421"/>
        <v/>
      </c>
      <c r="RM119" s="21" t="str">
        <f t="shared" si="422"/>
        <v/>
      </c>
      <c r="RN119" s="21" t="str">
        <f t="shared" si="423"/>
        <v/>
      </c>
      <c r="RO119" s="21" t="str">
        <f t="shared" si="424"/>
        <v/>
      </c>
      <c r="RP119" s="21" t="str">
        <f t="shared" si="425"/>
        <v/>
      </c>
      <c r="RQ119" s="21" t="str">
        <f t="shared" si="426"/>
        <v/>
      </c>
      <c r="RR119" s="21" t="str">
        <f t="shared" si="427"/>
        <v/>
      </c>
      <c r="RS119" s="21" t="str">
        <f t="shared" si="428"/>
        <v/>
      </c>
      <c r="RT119" s="21" t="str">
        <f t="shared" si="429"/>
        <v/>
      </c>
      <c r="RU119" s="21" t="str">
        <f t="shared" si="430"/>
        <v/>
      </c>
      <c r="RV119" s="21">
        <f t="shared" si="431"/>
        <v>36.714285714285715</v>
      </c>
      <c r="RW119" s="284">
        <f>IF(OR(Tabla1[[#This Row],[FUM FORMULA CONFIABLE]]="",Tabla1[[#This Row],[FUM FORMULA CONFIABLE]]="SD"),"",IF(Tabla1[[#This Row],[FUM FORMULA CONFIABLE]]="CORREGIDA",Tabla1[[#This Row],[FUM X ECO 1]],Tabla1[[#This Row],[FUM x AMENORREA]]))</f>
        <v>44732</v>
      </c>
      <c r="RX119" s="21" t="str">
        <f>IF(AND(Tabla1[[#This Row],[FUM X ECO 1]]="",Tabla1[[#This Row],[FUM x AMENORREA]]=""),"",IF(AND(Tabla1[[#This Row],[FUM X ECO 1]]="",Tabla1[[#This Row],[FUM x AMENORREA]]&lt;&gt;""),"X",SUM(Tabla1[[#This Row],[FUM X ECO 1]]-Tabla1[[#This Row],[FUM x AMENORREA]])))</f>
        <v>X</v>
      </c>
      <c r="RY119" s="21" t="str">
        <f t="shared" si="433"/>
        <v>x</v>
      </c>
    </row>
    <row r="120" spans="1:493" ht="45" customHeight="1" x14ac:dyDescent="0.25">
      <c r="A120" s="109"/>
      <c r="B120" s="43"/>
      <c r="C120" s="43" t="s">
        <v>845</v>
      </c>
      <c r="D120" s="124"/>
      <c r="E120" s="43" t="s">
        <v>914</v>
      </c>
      <c r="F120" s="43" t="s">
        <v>884</v>
      </c>
      <c r="G120" s="43" t="s">
        <v>1217</v>
      </c>
      <c r="H120" s="43" t="s">
        <v>1354</v>
      </c>
      <c r="I120" s="109" t="s">
        <v>851</v>
      </c>
      <c r="J120" s="110">
        <v>1059604950</v>
      </c>
      <c r="K120" s="43" t="s">
        <v>852</v>
      </c>
      <c r="L120" s="175" t="s">
        <v>853</v>
      </c>
      <c r="M120" s="22">
        <v>35437</v>
      </c>
      <c r="N120" s="213">
        <f t="shared" ca="1" si="252"/>
        <v>26.838356164383562</v>
      </c>
      <c r="O120" s="22">
        <v>44987</v>
      </c>
      <c r="P120" s="214" t="str">
        <f t="shared" si="437"/>
        <v>SI</v>
      </c>
      <c r="Q120" s="26" t="s">
        <v>855</v>
      </c>
      <c r="R120" s="22">
        <v>44987</v>
      </c>
      <c r="S120" s="21" t="s">
        <v>856</v>
      </c>
      <c r="T120" s="24" t="s">
        <v>690</v>
      </c>
      <c r="U120" s="21" t="s">
        <v>857</v>
      </c>
      <c r="V120" s="21" t="s">
        <v>858</v>
      </c>
      <c r="W120" s="21" t="s">
        <v>1355</v>
      </c>
      <c r="X120" s="21" t="s">
        <v>1355</v>
      </c>
      <c r="Y120" s="21"/>
      <c r="Z120" s="21">
        <v>3175995296</v>
      </c>
      <c r="AA120" s="21" t="s">
        <v>860</v>
      </c>
      <c r="AB120" s="27" t="s">
        <v>861</v>
      </c>
      <c r="AC120" s="26" t="s">
        <v>862</v>
      </c>
      <c r="AD120" s="38" t="s">
        <v>846</v>
      </c>
      <c r="AE120" s="26" t="s">
        <v>854</v>
      </c>
      <c r="AF120" s="26" t="s">
        <v>854</v>
      </c>
      <c r="AG120" s="23" t="s">
        <v>864</v>
      </c>
      <c r="AH120" s="23" t="s">
        <v>864</v>
      </c>
      <c r="AI120" s="24" t="s">
        <v>863</v>
      </c>
      <c r="AJ120" s="23" t="s">
        <v>864</v>
      </c>
      <c r="AK120" s="220" t="str">
        <f>IF(AND(AD120="",AE120="",AF120="",AG120="",AH120="",AI120="",AJ120=""),"",IF(OR(Tabla1[[#This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EVALUACIÓN",IF(AND(O120="",R120=""),"",IF(AND(OR(O120&gt;0,R120&gt;0),NG120&gt;=0,NG120&lt;2),"SIN RIESGO",IF(AND(OR(O120&gt;0,R120&gt;0),NG120&gt;=2),"CON RIESGO","ASD")))))</f>
        <v>SIN RIESGO</v>
      </c>
      <c r="AL120" s="23" t="s">
        <v>864</v>
      </c>
      <c r="AM120" s="26" t="s">
        <v>864</v>
      </c>
      <c r="AN120" s="26" t="s">
        <v>864</v>
      </c>
      <c r="AO120" s="26" t="s">
        <v>864</v>
      </c>
      <c r="AP120" s="26" t="s">
        <v>864</v>
      </c>
      <c r="AQ120" s="26" t="s">
        <v>864</v>
      </c>
      <c r="AR120" s="26" t="s">
        <v>864</v>
      </c>
      <c r="AS120" s="21">
        <v>2</v>
      </c>
      <c r="AT120" s="21">
        <v>2</v>
      </c>
      <c r="AU120" s="21">
        <v>0</v>
      </c>
      <c r="AV120" s="26" t="s">
        <v>864</v>
      </c>
      <c r="AW120" s="21">
        <v>0</v>
      </c>
      <c r="AX120" s="26" t="s">
        <v>864</v>
      </c>
      <c r="AY120" s="26" t="s">
        <v>864</v>
      </c>
      <c r="AZ120" s="26" t="s">
        <v>864</v>
      </c>
      <c r="BA120" s="26" t="s">
        <v>864</v>
      </c>
      <c r="BB120" s="26" t="s">
        <v>864</v>
      </c>
      <c r="BC120" s="26" t="s">
        <v>864</v>
      </c>
      <c r="BD120" s="26" t="s">
        <v>864</v>
      </c>
      <c r="BE120" s="26" t="s">
        <v>864</v>
      </c>
      <c r="BF120" s="26" t="s">
        <v>864</v>
      </c>
      <c r="BG120" s="26" t="s">
        <v>864</v>
      </c>
      <c r="BH120" s="26" t="s">
        <v>864</v>
      </c>
      <c r="BI120" s="26" t="s">
        <v>864</v>
      </c>
      <c r="BJ120" s="26"/>
      <c r="BK120" s="26"/>
      <c r="BL120" s="26" t="s">
        <v>864</v>
      </c>
      <c r="BM120" s="26" t="s">
        <v>864</v>
      </c>
      <c r="BN120" s="22">
        <v>43765</v>
      </c>
      <c r="BO120" s="22">
        <v>44845</v>
      </c>
      <c r="BP120" s="21" t="s">
        <v>854</v>
      </c>
      <c r="BQ120" s="222">
        <f t="shared" si="254"/>
        <v>36</v>
      </c>
      <c r="BR120" s="223">
        <f t="shared" si="255"/>
        <v>44847</v>
      </c>
      <c r="BS120" s="224">
        <f t="shared" si="256"/>
        <v>20.285714285714285</v>
      </c>
      <c r="BT120" s="216" t="str">
        <f t="shared" si="257"/>
        <v>II TRIM</v>
      </c>
      <c r="BU120" s="214" t="str">
        <f t="shared" ca="1" si="258"/>
        <v/>
      </c>
      <c r="BV120" s="25"/>
      <c r="BW120" s="22">
        <v>45015</v>
      </c>
      <c r="BX120" s="28">
        <v>24</v>
      </c>
      <c r="BY120" s="28"/>
      <c r="BZ120" s="22"/>
      <c r="CA120" s="21"/>
      <c r="CB120" s="26" t="s">
        <v>864</v>
      </c>
      <c r="CC120" s="26" t="s">
        <v>864</v>
      </c>
      <c r="CD120" s="26"/>
      <c r="CE120" s="26" t="s">
        <v>864</v>
      </c>
      <c r="CF120" s="22" t="s">
        <v>1517</v>
      </c>
      <c r="CG120" s="21">
        <v>1.55</v>
      </c>
      <c r="CH120" s="21">
        <v>60</v>
      </c>
      <c r="CI120" s="214">
        <f t="shared" si="259"/>
        <v>24.973985431841829</v>
      </c>
      <c r="CJ120" s="225" t="e">
        <f>IF(AND(CI120&lt;10,CH120="SD"),"SIN DATO PESO PREGESTACION O I TRIM",IF(AND(OR(R120&gt;0,O120&gt;0),CI120="X"),"INGRESAR DATO DE PESO",IF(CI120="SD","INGRESAR DATO DE TALLA Y PESO",IF(AND(OR(Tabla1[[#This Row],[MOMENTO EN QUE SE REALIZA EL PESO AL INGRESO A CPN]]="PREGESTACIÓN",NZ120="Menor"),CI120&lt;18.5),"BAJO PESO",IF(AND(OR(Tabla1[[#This Row],[MOMENTO EN QUE SE REALIZA EL PESO AL INGRESO A CPN]]="PREGESTACIÓN",NZ120="Menor"),CI120&lt;25),"NORMAL",IF(AND(OR(Tabla1[[#This Row],[MOMENTO EN QUE SE REALIZA EL PESO AL INGRESO A CPN]]="PREGESTACIÓN",NZ120="Menor"),CI120&lt;30),"SOBREPESO",IF(AND(OR(Tabla1[[#This Row],[MOMENTO EN QUE SE REALIZA EL PESO AL INGRESO A CPN]]="PREGESTACIÓN",NZ120="Menor"),CI120&gt;=30,CI120&lt;50),"OBESIDAD",IF(AND(BS120&gt;0,Tabla1[[#This Row],[MOMENTO EN QUE SE REALIZA EL PESO AL INGRESO A CPN]]="GESTACIÓN"),HLOOKUP(NZ120,$OA$2:PH120,NY120),""))))))))</f>
        <v>#REF!</v>
      </c>
      <c r="CK120" s="212">
        <f t="shared" si="260"/>
        <v>45050</v>
      </c>
      <c r="CL120" s="21">
        <v>64</v>
      </c>
      <c r="CM120" s="214">
        <f t="shared" si="261"/>
        <v>26.638917793964616</v>
      </c>
      <c r="CN120" s="216">
        <f t="shared" si="262"/>
        <v>29</v>
      </c>
      <c r="CO120" s="216" t="e">
        <f>IF(PI120="","",IF(PI120&gt;0,HLOOKUP(PI120,$PJ$2:QQ120,NY120),""))</f>
        <v>#REF!</v>
      </c>
      <c r="CP120" s="21">
        <v>27</v>
      </c>
      <c r="CQ120" s="216" t="e">
        <f>IF(QR120="Menor","NO APLICA-MENOR 13 SEM",IF(AND(CC120="SI",CN120&gt;23),"NO APLICA- GEMELAR",IF(QR120="","",IF(QR120&gt;0,HLOOKUP(QR120,$QS$2:RU120,NY120),""))))</f>
        <v>#REF!</v>
      </c>
      <c r="CR120" s="21">
        <v>100</v>
      </c>
      <c r="CS120" s="21">
        <v>60</v>
      </c>
      <c r="CT120" s="217" t="str">
        <f>IF(R120="","",IF(AND(BS120&gt;1,BS120&lt;12,Tabla1[[#This Row],[T.A. SISTOLICA - ANTES DE SEMANA 12]]="",Tabla1[[#This Row],[T.A. DIASTOLICA - ANTES DE SEMANA 12]]=""),"REGISTRE DATO TA ANTES SEMANA 12",IF(AND(BS120&gt;11,BS120&lt;43,Tabla1[[#This Row],[T.A. SISTOLICA - ANTES DE SEMANA 12]]="",Tabla1[[#This Row],[T.A. DIASTOLICA - ANTES DE SEMANA 12]]=""),"NO APLICA REGISTRO TA-INGRESO TARDIO",IF(AND(OR(O120&gt;0,R120&gt;0),OR(CR120&gt;=140,CS120&gt;=90)),"DEFINIR ESTADIO HTA",IF(AND(OR(O120&gt;0,R120&gt;0),AND(CR120&gt;120,CR120&lt;=139)),"PRE HTA SEGUIMIENTO",IF(AND(OR(O120&gt;0,R120&gt;0),AND(CS120&gt;80,CS120&lt;=89)),"PRE HTA SEGUIMIENTO",IF(AND(OR(O120&gt;0,R120&gt;0),AND(CR120&gt;=80,CR120&lt;=120)),"APARENTEMENTE NORMAL",IF(AND(OR(O120&gt;0,R120&gt;0),AND(CS120&gt;=50,CS120&lt;=80)),"APARENTEMENTE NORMAL",IF(AND(OR(O120&gt;0,R120&gt;0),AND(CR120&gt;1,CR120&lt;=70),AND(CS120&gt;1,CS120&lt;=40)),"HIPOTENSIÓN","")))))))))</f>
        <v>APARENTEMENTE NORMAL</v>
      </c>
      <c r="CU120" s="21">
        <v>100</v>
      </c>
      <c r="CV120" s="21">
        <v>60</v>
      </c>
      <c r="CW120" s="217" t="str">
        <f ca="1">IF(R120="","",IF(AND(CN120&gt;19,CN120&lt;27,Tabla1[[#This Row],[T.A. SISTOLICA (Entre semana 20 y 26)]]="",Tabla1[[#This Row],[T.A. DIATOLICA (Entre semana 20 y 26)]]=""),"ACUDE A CONTROL SEM 20 A 26 REGISTRE TA AHORA",IF(AND(BS120&gt;1,BS120&lt;27,BU120&gt;19,Tabla1[[#This Row],[T.A. SISTOLICA (Entre semana 20 y 26)]]="",Tabla1[[#This Row],[T.A. DIATOLICA (Entre semana 20 y 26)]]=""),"COMPLETE REGISTRO TA CONTROL SEM 20 A26 ",IF(AND(BS120&gt;26,BS120&lt;43,Tabla1[[#This Row],[T.A. SISTOLICA (Entre semana 20 y 26)]]="",Tabla1[[#This Row],[T.A. DIATOLICA (Entre semana 20 y 26)]]=""),"NO APLICA REGISTRO TA-INGRESO TARDIO",IF(AND(OR(O120&gt;0,R120&gt;0),OR(CU120&gt;=140,CV120&gt;=90)),"ALTO RIESGO PREECLAMPSIA,DEFINIR ESTADIO HTA",IF(AND(OR(O120&gt;0,R120&gt;0),AND(CU120&gt;120,CU120&lt;=139)),"PRE HTA SEGUIMIENTO,RIESGO HIPERTENSION INDUCIDA POR EL EMBARAZO",IF(AND(OR(O120&gt;0,R120&gt;0),AND(CV120&gt;80,CV120&lt;=89)),"PRE HTA SEGUIMIENTO, RIESGO HIPERTENSION INDUCIDA POR EL EMBARAZO",IF(AND(OR(O120&lt;&gt;"",R120&lt;&gt;""),CS120&lt;&gt;"",CV120&lt;&gt;"",CS120&lt;=CV120),"VIGILAR CIFRAS PRESION ARTERIAL",IF(AND(OR(O120&gt;0,R120&gt;0),AND(CU120&gt;120,CU120&lt;=139)),"PRE HTA SEGUIMIENTO",IF(AND(OR(O120&gt;0,R120&gt;0),AND(CU120&gt;1,CU120&lt;=70),AND(CV120&gt;1,CV120&lt;=40)),"HIPOTENSIÓN",IF(AND(OR(O120&lt;&gt;"",R120&lt;&gt;""),CS120&lt;&gt;"",CV120&lt;&gt;"",CS120&gt;CV120),"APARENTEMENTE NORMAL",IF(AND(OR(O120&gt;0,R120&gt;0),AND(CU120&gt;=80,CU120&lt;=120)),"APARENTEMENTE NORMAL",IF(AND(OR(O120&gt;0,R120&gt;0),AND(CV120&gt;=50,CV120&lt;=80)),"APARENTEMENTE NORMAL","")))))))))))))</f>
        <v>VIGILAR CIFRAS PRESION ARTERIAL</v>
      </c>
      <c r="CX120" s="21"/>
      <c r="CY120" s="21"/>
      <c r="CZ120" s="216" t="str">
        <f t="shared" si="456"/>
        <v/>
      </c>
      <c r="DA120" s="21">
        <v>100</v>
      </c>
      <c r="DB120" s="21">
        <v>60</v>
      </c>
      <c r="DC120" s="217" t="str">
        <f t="shared" si="264"/>
        <v>APARENTEMENTE NORMAL</v>
      </c>
      <c r="DD120" s="22">
        <v>44987</v>
      </c>
      <c r="DE120" s="22">
        <v>44987</v>
      </c>
      <c r="DF120" s="22">
        <v>45016</v>
      </c>
      <c r="DG120" s="22">
        <v>45050</v>
      </c>
      <c r="DH120" s="22"/>
      <c r="DI120" s="22"/>
      <c r="DJ120" s="22"/>
      <c r="DK120" s="22"/>
      <c r="DL120" s="22"/>
      <c r="DM120" s="22"/>
      <c r="DN120" s="22"/>
      <c r="DO120" s="22"/>
      <c r="DP120" s="22"/>
      <c r="DQ120" s="22"/>
      <c r="DR120" s="28">
        <v>1</v>
      </c>
      <c r="DS120" s="22"/>
      <c r="DT120" s="22"/>
      <c r="DU120" s="216" t="str">
        <f t="shared" ca="1" si="438"/>
        <v>SALE SIN PLAN DE PARTO</v>
      </c>
      <c r="DV120" s="226" t="str">
        <f t="shared" si="439"/>
        <v>SALIO PROGRAMA</v>
      </c>
      <c r="DW12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0" s="216" t="str">
        <f t="shared" ca="1" si="266"/>
        <v/>
      </c>
      <c r="DY120" s="212">
        <f>IF(R120="","",IF(R120&gt;0,MAX(Tabla1[[#This Row],[FECHA C2]:[FECHA C13]],Tabla1[[#This Row],[FECHA CONSULTA PRIMERA VEZ PROGRAMA CPN ]])))</f>
        <v>45050</v>
      </c>
      <c r="DZ120" s="216">
        <f t="shared" si="267"/>
        <v>29</v>
      </c>
      <c r="EA120" s="222">
        <f>IF(R120&gt;0,SUM(COUNTA(DF120:DQ120)+COUNTA(Tabla1[[#This Row],[FECHA CONSULTA PRIMERA VEZ PROGRAMA CPN ]])),"")</f>
        <v>3</v>
      </c>
      <c r="EB120" s="222" t="str">
        <f t="shared" si="268"/>
        <v>NO</v>
      </c>
      <c r="EC120" s="214">
        <f t="shared" si="269"/>
        <v>6</v>
      </c>
      <c r="ED120" s="227">
        <f t="shared" si="270"/>
        <v>0.5</v>
      </c>
      <c r="EE120" s="22">
        <v>44987</v>
      </c>
      <c r="EF120" s="22"/>
      <c r="EG120" s="22">
        <v>44987</v>
      </c>
      <c r="EH120" s="22"/>
      <c r="EI120" s="22">
        <v>44987</v>
      </c>
      <c r="EJ120" s="22">
        <v>45015</v>
      </c>
      <c r="EK120" s="344">
        <v>45015</v>
      </c>
      <c r="EL120" s="21"/>
      <c r="EM120" s="21">
        <v>12.7</v>
      </c>
      <c r="EN120" s="22">
        <v>44989</v>
      </c>
      <c r="EO120" s="222">
        <f t="shared" si="271"/>
        <v>20.571428571428573</v>
      </c>
      <c r="EP120" s="214" t="str">
        <f t="shared" si="272"/>
        <v>NORMAL- SUMINISTRAR SULFATO FERROSO</v>
      </c>
      <c r="EQ120" s="216" t="str">
        <f t="shared" si="273"/>
        <v>II TRIM</v>
      </c>
      <c r="ER120" s="24"/>
      <c r="ES120" s="22"/>
      <c r="ET120" s="29" t="str">
        <f t="shared" ca="1" si="440"/>
        <v>SALE SIN TAMIZAJE HEMOGLOBINA SEM 28</v>
      </c>
      <c r="EU120" s="25" t="str">
        <f t="shared" si="275"/>
        <v/>
      </c>
      <c r="EV120" s="24" t="s">
        <v>866</v>
      </c>
      <c r="EW120" s="24">
        <v>44989</v>
      </c>
      <c r="EX120" s="22"/>
      <c r="EY120" s="29">
        <f t="shared" si="453"/>
        <v>20.571428571428573</v>
      </c>
      <c r="EZ120" s="25" t="str">
        <f t="shared" ca="1" si="454"/>
        <v/>
      </c>
      <c r="FA120" s="21"/>
      <c r="FB120" s="22"/>
      <c r="FC120" s="29" t="str">
        <f t="shared" si="276"/>
        <v>TOMAR EXAMEN</v>
      </c>
      <c r="FD120" s="29"/>
      <c r="FE120" s="29"/>
      <c r="FF120" s="29"/>
      <c r="FG120" s="21" t="str">
        <f t="shared" ca="1" si="277"/>
        <v/>
      </c>
      <c r="FH120" s="31"/>
      <c r="FI120" s="29" t="str">
        <f t="shared" si="278"/>
        <v>TOMAR EXAMEN</v>
      </c>
      <c r="FJ120" s="22"/>
      <c r="FK120" s="22"/>
      <c r="FL120" s="29" t="str">
        <f t="shared" ca="1" si="279"/>
        <v>NO APLICA-INGRESO TARDIO</v>
      </c>
      <c r="FM120" s="22" t="s">
        <v>867</v>
      </c>
      <c r="FN120" s="32">
        <v>44989</v>
      </c>
      <c r="FO120" s="29">
        <f t="shared" ca="1" si="441"/>
        <v>20.571428571428573</v>
      </c>
      <c r="FP120" s="22"/>
      <c r="FQ120" s="32"/>
      <c r="FR120" s="29" t="str">
        <f t="shared" ca="1" si="442"/>
        <v>PIERDE TOMA DE TAMIZAJE</v>
      </c>
      <c r="FS120" s="22"/>
      <c r="FT120" s="32"/>
      <c r="FU120" s="29" t="str">
        <f>IF(AND(FJ120="",FM120="",FP120="",FS120=""),"",IF(OR(OR(Tabla1[[#This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0" s="28"/>
      <c r="FW120" s="22"/>
      <c r="FX120" s="29" t="str">
        <f t="shared" si="280"/>
        <v>TOMAR EXAMEN</v>
      </c>
      <c r="FY120" s="22">
        <v>44989</v>
      </c>
      <c r="FZ120" s="22">
        <v>44989</v>
      </c>
      <c r="GA120" s="29" t="str">
        <f t="shared" si="452"/>
        <v>REGISTRAR EN II TRIMESTRE</v>
      </c>
      <c r="GB120" s="22" t="s">
        <v>868</v>
      </c>
      <c r="GC120" s="22">
        <v>44989</v>
      </c>
      <c r="GD120" s="29">
        <f t="shared" ca="1" si="490"/>
        <v>20.571428571428573</v>
      </c>
      <c r="GE120" s="22"/>
      <c r="GF120" s="22"/>
      <c r="GG120" s="29" t="str">
        <f t="shared" ca="1" si="444"/>
        <v>PIERDE TOMA DE TAMIZAJE</v>
      </c>
      <c r="GH120" s="22"/>
      <c r="GI120" s="29"/>
      <c r="GJ120" s="22"/>
      <c r="GK120" s="22"/>
      <c r="GL120" s="22"/>
      <c r="GM120" s="22"/>
      <c r="GN120" s="28"/>
      <c r="GO120" s="22"/>
      <c r="GP120" s="29" t="str">
        <f t="shared" si="283"/>
        <v>TOMAR EXAMEN</v>
      </c>
      <c r="GQ120" s="28">
        <v>44989</v>
      </c>
      <c r="GR120" s="28" t="s">
        <v>869</v>
      </c>
      <c r="GS120" s="22" t="str">
        <f t="shared" si="457"/>
        <v/>
      </c>
      <c r="GT120" s="22">
        <v>44989</v>
      </c>
      <c r="GU120" s="29">
        <f t="shared" si="285"/>
        <v>20.571428571428573</v>
      </c>
      <c r="GV120" s="21" t="str">
        <f t="shared" si="286"/>
        <v>II TRIM</v>
      </c>
      <c r="GW120" s="28" t="s">
        <v>869</v>
      </c>
      <c r="GX120" s="30"/>
      <c r="GY120" s="21"/>
      <c r="GZ120" s="21"/>
      <c r="HA120" s="21"/>
      <c r="HB120" s="21"/>
      <c r="HC120" s="21"/>
      <c r="HD120" s="21"/>
      <c r="HE120" s="21"/>
      <c r="HF120" s="22"/>
      <c r="HG120" s="22" t="str">
        <f>IF(OR(O120&gt;0,R120&gt;0),CONCATENATE(IF(Tabla1[[#This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0" s="22" t="e">
        <f t="shared" si="287"/>
        <v>#REF!</v>
      </c>
      <c r="HI120" s="22" t="e">
        <f t="shared" ca="1" si="288"/>
        <v>#REF!</v>
      </c>
      <c r="HJ120" s="21"/>
      <c r="HK120" s="21" t="str">
        <f t="shared" si="289"/>
        <v>SIN ANTECEDENTES DE RIESGO</v>
      </c>
      <c r="HL120" s="24" t="str">
        <f t="shared" si="290"/>
        <v>APARENTEMENTE NORMAL</v>
      </c>
      <c r="HM120" s="21" t="str">
        <f t="shared" ca="1" si="291"/>
        <v/>
      </c>
      <c r="HN120" s="30" t="str">
        <f t="shared" si="445"/>
        <v>SALIO PROGRAMA</v>
      </c>
      <c r="HO120" s="21"/>
      <c r="HP120" s="21"/>
      <c r="HQ120" s="21">
        <v>44989</v>
      </c>
      <c r="HR120" s="21" t="str">
        <f>IF(R120="","",IF(Tabla1[[#This Row],[ALARMA FACTORES DE RIESGO COMPLICACIONES HIPERTENSIVAS3]]="SIN ANTECEDENTES DE RIESGO","No Aplica para suministro de ASA",IF(AND(Tabla1[[#This Row],[FECHA INICIO DE SUMINISTRO DE ASA]]&gt;0,RV120&lt;12),"Inicia ASA ANTES de Sem 12",IF(AND(RV120&gt;11,RV120&lt;17,OR(HK120="RIESGO ALTO DE COMPLICACIONES HIPERTENSIVAS VER MANEJO GUIA SUMINISTRO ASA Y CALCIO",HK120="RIESGO MODERADO (2 O MAS CRITERIOS) VER MANEJO GUIA SUMINISTRO ASA Y CALCIO")),"Inicio oportuno de ASA",IF(AND(RV120&gt;12,OR(HK120="RIESGO ALTO DE COMPLICACIONES HIPERTENSIVAS VER MANEJO GUIA SUMINISTRO ASA Y CALCIO",HK120="RIESGO MODERADO (2 O MAS CRITERIOS) VER MANEJO GUIA SUMINISTRO ASA Y CALCIO")),"Inicio no oportuno mayor a 16 semanas",IF(AND(BU120&lt;12,OR(HK120="RIESGO ALTO DE COMPLICACIONES HIPERTENSIVAS VER MANEJO GUIA SUMINISTRO ASA Y CALCIO",HK120="RIESGO MODERADO (2 O MAS CRITERIOS) VER MANEJO GUIA SUMINISTRO ASA Y CALCIO")),"Pendiente Inicio de ASA a la semana 12",IF(AND(BU120&gt;11,BU120&lt;17,OR(HK120="RIESGO ALTO DE COMPLICACIONES HIPERTENSIVAS VER MANEJO GUIA SUMINISTRO ASA Y CALCIO",HK120="RIESGO MODERADO (2 O MAS CRITERIOS) VER MANEJO GUIA SUMINISTRO ASA Y CALCIO")),"Iniciar de inmediato ASA",IF(AND(BU120&gt;16,OR(HK120="RIESGO ALTO DE COMPLICACIONES HIPERTENSIVAS VER MANEJO GUIA SUMINISTRO ASA Y CALCIO",HK120="RIESGO MODERADO (2 O MAS CRITERIOS) VER MANEJO GUIA SUMINISTRO ASA Y CALCIO")),"Pierde Oportunidad, Inicio tardío de ASA","XXXXX"))))))))</f>
        <v>No Aplica para suministro de ASA</v>
      </c>
      <c r="HS120" s="22">
        <v>44989</v>
      </c>
      <c r="HT120" s="22" t="s">
        <v>870</v>
      </c>
      <c r="HU120" s="22"/>
      <c r="HV120" s="22"/>
      <c r="HW120" s="22">
        <v>44989</v>
      </c>
      <c r="HX120" s="22" t="s">
        <v>870</v>
      </c>
      <c r="HY120" s="22">
        <v>44987</v>
      </c>
      <c r="HZ120" s="28">
        <f t="shared" si="292"/>
        <v>20.285714285714285</v>
      </c>
      <c r="IA120" s="26"/>
      <c r="IB120" s="26"/>
      <c r="IC120" s="111"/>
      <c r="ID120" s="22"/>
      <c r="IE120" s="22" t="str">
        <f t="shared" ca="1" si="293"/>
        <v>SALE SIN VACUNA</v>
      </c>
      <c r="IF120" s="22"/>
      <c r="IG120" s="22">
        <f t="shared" si="294"/>
        <v>45125</v>
      </c>
      <c r="IH120" s="29">
        <f t="shared" ca="1" si="295"/>
        <v>-108</v>
      </c>
      <c r="II120" s="22" t="str">
        <f t="shared" ca="1" si="296"/>
        <v>POSIBLEMENTE NACIO</v>
      </c>
      <c r="IJ120" s="22"/>
      <c r="IK120" s="21" t="s">
        <v>898</v>
      </c>
      <c r="IL120" s="21"/>
      <c r="IM120" s="34"/>
      <c r="IN120" s="349">
        <v>45120</v>
      </c>
      <c r="IO120" s="21" t="s">
        <v>1186</v>
      </c>
      <c r="IP120" s="29">
        <f t="shared" si="489"/>
        <v>39.285714285714285</v>
      </c>
      <c r="IQ120" s="290" t="s">
        <v>1654</v>
      </c>
      <c r="IR120" s="290" t="s">
        <v>1651</v>
      </c>
      <c r="IS120" s="290" t="s">
        <v>1646</v>
      </c>
      <c r="IT120" s="290" t="s">
        <v>1642</v>
      </c>
      <c r="IU120" s="21"/>
      <c r="IV120" s="21"/>
      <c r="IW120" s="21"/>
      <c r="IX120" s="21"/>
      <c r="IY120" s="21"/>
      <c r="IZ120" s="21"/>
      <c r="JA120" s="21"/>
      <c r="JB120" s="30">
        <v>1</v>
      </c>
      <c r="JC120" s="21" t="s">
        <v>1647</v>
      </c>
      <c r="JD120" s="36">
        <v>3270</v>
      </c>
      <c r="JE120" s="21" t="str">
        <f t="shared" si="491"/>
        <v>PESO ADECUADO EDAD GESTACIONAL</v>
      </c>
      <c r="JF120" s="30"/>
      <c r="JG120" s="21"/>
      <c r="JH120" s="21"/>
      <c r="JI120" s="21" t="s">
        <v>854</v>
      </c>
      <c r="JJ120" s="30" t="s">
        <v>866</v>
      </c>
      <c r="JK120" s="22"/>
      <c r="JL120" s="22"/>
      <c r="JM120" s="21"/>
      <c r="JN120" s="36"/>
      <c r="JO120" s="21" t="str">
        <f t="shared" si="492"/>
        <v/>
      </c>
      <c r="JP120" s="22"/>
      <c r="JQ120" s="21"/>
      <c r="JR120" s="21"/>
      <c r="JS120" s="21"/>
      <c r="JT120" s="30"/>
      <c r="JU120" s="22"/>
      <c r="JV120" s="22"/>
      <c r="JW120" s="33"/>
      <c r="JX120" s="28" t="str">
        <f t="shared" si="493"/>
        <v>INASISTENTE</v>
      </c>
      <c r="JY120" s="33"/>
      <c r="JZ120" s="28" t="str">
        <f t="shared" si="494"/>
        <v>INASISTENTE</v>
      </c>
      <c r="KA120" s="21"/>
      <c r="KB120" s="21"/>
      <c r="KC120" s="21"/>
      <c r="KD120" s="37"/>
      <c r="KE120" s="28"/>
      <c r="KF120" s="28"/>
      <c r="KG120" s="28"/>
      <c r="KH120" s="39"/>
      <c r="KI120" s="39"/>
      <c r="KJ120" s="66"/>
      <c r="KK120" s="39"/>
      <c r="KL120" s="39"/>
      <c r="KM120" s="66"/>
      <c r="KN120" s="39"/>
      <c r="KO120" s="39"/>
      <c r="KP120" s="39"/>
      <c r="KQ120" s="39"/>
      <c r="KR120" s="39"/>
      <c r="KS120" s="39"/>
      <c r="KT120" s="39"/>
      <c r="KU120" s="38"/>
      <c r="KV120" s="38"/>
      <c r="KW120" s="38"/>
      <c r="KX120" s="38"/>
      <c r="KY120" s="38"/>
      <c r="KZ120" s="38"/>
      <c r="LA120" s="38"/>
      <c r="LB120" s="38"/>
      <c r="LC120" s="38"/>
      <c r="LD120" s="38"/>
      <c r="LE120" s="38"/>
      <c r="LF120" s="38"/>
      <c r="LG120" s="38"/>
      <c r="LH120" s="38"/>
      <c r="LI120" s="38"/>
      <c r="LJ120" s="38"/>
      <c r="LK120" s="38"/>
      <c r="LL120" s="38"/>
      <c r="LM120" s="38"/>
      <c r="LN120" s="38"/>
      <c r="LO120" s="38"/>
      <c r="LP120" s="38"/>
      <c r="LQ120" s="38"/>
      <c r="LR120" s="38"/>
      <c r="LS120" s="38"/>
      <c r="LT120" s="38"/>
      <c r="LU120" s="38"/>
      <c r="LV120" s="38"/>
      <c r="LW120" s="38"/>
      <c r="LX120" s="38"/>
      <c r="LY120" s="38"/>
      <c r="LZ120" s="38"/>
      <c r="MA120" s="38"/>
      <c r="MB120" s="38"/>
      <c r="MC120" s="38"/>
      <c r="MD120" s="38"/>
      <c r="ME120" s="38"/>
      <c r="MF120" s="38"/>
      <c r="MG120" s="38"/>
      <c r="MH120" s="43">
        <f t="shared" si="458"/>
        <v>0</v>
      </c>
      <c r="MI120" s="43" t="str">
        <f t="shared" si="459"/>
        <v/>
      </c>
      <c r="MJ120" s="43" t="str">
        <f t="shared" si="460"/>
        <v/>
      </c>
      <c r="MK120" s="43">
        <f t="shared" si="461"/>
        <v>0</v>
      </c>
      <c r="ML1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0" s="43">
        <f t="shared" si="462"/>
        <v>20.285714285714285</v>
      </c>
      <c r="MN120" s="43">
        <f t="shared" si="463"/>
        <v>3</v>
      </c>
      <c r="MO120" s="43">
        <f t="shared" si="464"/>
        <v>2023</v>
      </c>
      <c r="MP120" s="43" t="str">
        <f t="shared" si="465"/>
        <v>I TRIMESTRE AÑO</v>
      </c>
      <c r="MQ120" s="43">
        <f t="shared" si="466"/>
        <v>25.774748138414367</v>
      </c>
      <c r="MR120" s="43">
        <f t="shared" si="467"/>
        <v>0</v>
      </c>
      <c r="MS120" s="43" t="str">
        <f t="shared" si="468"/>
        <v xml:space="preserve"> DE 25 A 29 AÑOS</v>
      </c>
      <c r="MT120" s="43">
        <f t="shared" si="469"/>
        <v>0</v>
      </c>
      <c r="MU120" s="43">
        <f t="shared" si="470"/>
        <v>0</v>
      </c>
      <c r="MV120" s="43">
        <f t="shared" si="471"/>
        <v>0</v>
      </c>
      <c r="MW120" s="43">
        <f t="shared" si="472"/>
        <v>0</v>
      </c>
      <c r="MX120" s="43" t="str">
        <f t="shared" si="473"/>
        <v/>
      </c>
      <c r="MY120" s="43" t="str">
        <f t="shared" ca="1" si="495"/>
        <v/>
      </c>
      <c r="MZ120" s="43" t="str">
        <f t="shared" si="474"/>
        <v/>
      </c>
      <c r="NA120" s="43" t="str">
        <f t="shared" si="475"/>
        <v/>
      </c>
      <c r="NB120" s="43" t="str">
        <f t="shared" si="476"/>
        <v/>
      </c>
      <c r="NC120" s="43" t="str">
        <f t="shared" si="477"/>
        <v/>
      </c>
      <c r="ND120" s="43">
        <f t="shared" ca="1" si="478"/>
        <v>0</v>
      </c>
      <c r="NE120" s="43">
        <f>IF(OR(O120&gt;0,R120&gt;0),SUM(COUNTIF(Tabla1[[#This Row],[AÑOS AL INICIO5 CPN]],"&gt;=40"),COUNTIF(AS120,"0"),COUNTIF(AR120,"SI"),COUNTIF(CC120,"SI"),COUNTIF(BQ120,"&gt;119"),COUNTIF(CI120,"&gt;=35")),"")</f>
        <v>0</v>
      </c>
      <c r="NF120" s="43" t="str">
        <f t="shared" si="479"/>
        <v/>
      </c>
      <c r="NG120" s="43">
        <f t="shared" si="480"/>
        <v>0</v>
      </c>
      <c r="NH120" s="43">
        <f t="shared" si="481"/>
        <v>168</v>
      </c>
      <c r="NI12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CPN",P120="NO"),"Z",IF(AND(Tabla1[[#This Row],[CITA PROXIMO CONTROL]]="CITA MANUAL",Tabla1[[#This Row],[GESTANTES ACTUALES]]="ACTIVA INGRESO A CPN"),"W",IF(AND(Tabla1[[#This Row],[GESTANTES ACTUALES]]="SALIO PROGRAMA",IN120=""),"S",IF(AND(Tabla1[[#This Row],[CITA PROXIMO CONTROL]]&gt;0,IN120=""),(Tabla1[[#This Row],[CITA PROXIMO CONTROL]]-TODAY()),"SD"))))))))</f>
        <v>SD</v>
      </c>
      <c r="NJ120" s="43">
        <f>MONTH(Tabla1[[#This Row],[FECHA DE SALIDA  DEL PROGRAMA]])</f>
        <v>7</v>
      </c>
      <c r="NK120" s="43">
        <f>YEAR(Tabla1[[#This Row],[FECHA DE SALIDA  DEL PROGRAMA]])</f>
        <v>2023</v>
      </c>
      <c r="NL120" s="43">
        <f t="shared" si="482"/>
        <v>28</v>
      </c>
      <c r="NM120" s="43" t="str">
        <f t="shared" si="455"/>
        <v>NO</v>
      </c>
      <c r="NN120" s="43" t="str">
        <f ca="1">IF(AND(O120&gt;0,R120=""),"NO CPN",IF(AND(O120="",R120=""),"",IF(AND(R120&gt;0,Tabla1[[#This Row],[SEMANAS DE GESTACION ACTUALIZADAS]]&lt;=12),"NO APLICA",IF(AND(FH120&lt;&gt;"",FN120&lt;&gt;""),"SI","NO"))))</f>
        <v>NO</v>
      </c>
      <c r="NO120" s="43" t="str">
        <f ca="1">IF(AND(O120&gt;0,R120=""),"NO CPN",IF(AND(O120="",R120=""),"",IF(AND(R120&gt;0,Tabla1[[#This Row],[SEMANAS DE GESTACION ACTUALIZADAS]]&lt;=27),"NO APLICA",IF(AND(ES120&lt;&gt;"",FQ120&lt;&gt;"",GF120&lt;&gt;""),"SI","NO"))))</f>
        <v>NO</v>
      </c>
      <c r="NP120" s="204" t="str">
        <f t="shared" si="483"/>
        <v>II TRIM</v>
      </c>
      <c r="NQ120" s="21" t="str">
        <f t="shared" si="436"/>
        <v/>
      </c>
      <c r="NR120" s="21">
        <f t="shared" si="496"/>
        <v>2</v>
      </c>
      <c r="NS120" s="205">
        <f t="shared" ca="1" si="484"/>
        <v>1</v>
      </c>
      <c r="NT120" s="21">
        <f t="shared" ca="1" si="485"/>
        <v>1</v>
      </c>
      <c r="NU120" s="21" t="str">
        <f t="shared" ca="1" si="486"/>
        <v>INCOMPLETO</v>
      </c>
      <c r="NV120" s="21" t="str">
        <f t="shared" ca="1" si="487"/>
        <v>INCOMPLETO</v>
      </c>
      <c r="NW120" s="206" t="str">
        <f>IF(AND(O120="",R120=""),"",IF(OR(AND(Tabla1[[#This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0" s="207" t="str">
        <f t="shared" ca="1" si="488"/>
        <v>SIN VACUNAR</v>
      </c>
      <c r="NY120" s="43">
        <f>ROW(Tabla1[[#This Row],['# DE TAMIZAJES SIFILIS TOMADOS ]])</f>
        <v>120</v>
      </c>
      <c r="NZ120" s="43">
        <f t="shared" si="333"/>
        <v>20</v>
      </c>
      <c r="OA120" s="43" t="str">
        <f t="shared" si="334"/>
        <v/>
      </c>
      <c r="OB120" s="43" t="str">
        <f t="shared" si="335"/>
        <v/>
      </c>
      <c r="OC120" s="43" t="str">
        <f t="shared" si="336"/>
        <v/>
      </c>
      <c r="OD120" s="43" t="str">
        <f t="shared" si="337"/>
        <v/>
      </c>
      <c r="OE120" s="43" t="str">
        <f t="shared" si="338"/>
        <v/>
      </c>
      <c r="OF120" s="43" t="str">
        <f t="shared" si="339"/>
        <v/>
      </c>
      <c r="OG120" s="43" t="str">
        <f t="shared" si="340"/>
        <v/>
      </c>
      <c r="OH120" s="43" t="str">
        <f t="shared" si="341"/>
        <v/>
      </c>
      <c r="OI120" s="43" t="str">
        <f t="shared" si="342"/>
        <v/>
      </c>
      <c r="OJ120" s="43" t="str">
        <f t="shared" si="343"/>
        <v/>
      </c>
      <c r="OK120" s="43" t="str">
        <f t="shared" si="344"/>
        <v/>
      </c>
      <c r="OL120" s="43" t="str">
        <f t="shared" si="345"/>
        <v>NORMAL</v>
      </c>
      <c r="OM120" s="43" t="str">
        <f t="shared" si="346"/>
        <v/>
      </c>
      <c r="ON120" s="43" t="str">
        <f t="shared" si="347"/>
        <v/>
      </c>
      <c r="OO120" s="43" t="str">
        <f t="shared" si="348"/>
        <v/>
      </c>
      <c r="OP120" s="43" t="str">
        <f t="shared" si="349"/>
        <v/>
      </c>
      <c r="OQ120" s="43" t="str">
        <f t="shared" si="350"/>
        <v/>
      </c>
      <c r="OR120" s="43" t="str">
        <f t="shared" si="351"/>
        <v/>
      </c>
      <c r="OS120" s="43" t="str">
        <f t="shared" si="352"/>
        <v/>
      </c>
      <c r="OT120" s="43" t="str">
        <f t="shared" si="353"/>
        <v/>
      </c>
      <c r="OU120" s="43" t="str">
        <f t="shared" si="354"/>
        <v/>
      </c>
      <c r="OV120" s="110" t="str">
        <f t="shared" si="355"/>
        <v/>
      </c>
      <c r="OW120" s="43" t="str">
        <f t="shared" si="356"/>
        <v/>
      </c>
      <c r="OX120" s="43" t="str">
        <f t="shared" si="357"/>
        <v/>
      </c>
      <c r="OY120" s="43" t="str">
        <f t="shared" si="358"/>
        <v/>
      </c>
      <c r="OZ120" s="43" t="str">
        <f t="shared" si="359"/>
        <v/>
      </c>
      <c r="PA120" s="43" t="str">
        <f t="shared" si="360"/>
        <v/>
      </c>
      <c r="PB120" s="43" t="str">
        <f t="shared" si="361"/>
        <v/>
      </c>
      <c r="PC120" s="43" t="str">
        <f t="shared" si="362"/>
        <v/>
      </c>
      <c r="PD120" s="43" t="str">
        <f t="shared" si="363"/>
        <v/>
      </c>
      <c r="PE120" s="43" t="str">
        <f t="shared" si="364"/>
        <v/>
      </c>
      <c r="PF120" s="43" t="str">
        <f t="shared" si="365"/>
        <v/>
      </c>
      <c r="PG120" s="43" t="str">
        <f t="shared" si="366"/>
        <v/>
      </c>
      <c r="PH120" s="43" t="str">
        <f t="shared" si="367"/>
        <v/>
      </c>
      <c r="PI120" s="43">
        <f t="shared" si="368"/>
        <v>29</v>
      </c>
      <c r="PJ120" s="43" t="str">
        <f t="shared" si="369"/>
        <v/>
      </c>
      <c r="PK120" s="43" t="str">
        <f t="shared" si="370"/>
        <v/>
      </c>
      <c r="PL120" s="43" t="str">
        <f t="shared" si="371"/>
        <v/>
      </c>
      <c r="PM120" s="43" t="str">
        <f t="shared" si="372"/>
        <v/>
      </c>
      <c r="PN120" s="43" t="str">
        <f t="shared" si="373"/>
        <v/>
      </c>
      <c r="PO120" s="43" t="str">
        <f t="shared" si="374"/>
        <v/>
      </c>
      <c r="PP120" s="43" t="str">
        <f t="shared" si="375"/>
        <v/>
      </c>
      <c r="PQ120" s="43" t="str">
        <f t="shared" si="376"/>
        <v/>
      </c>
      <c r="PR120" s="43" t="str">
        <f t="shared" si="377"/>
        <v/>
      </c>
      <c r="PS120" s="43" t="str">
        <f t="shared" si="378"/>
        <v/>
      </c>
      <c r="PT120" s="43" t="str">
        <f t="shared" si="379"/>
        <v/>
      </c>
      <c r="PU120" s="43" t="str">
        <f t="shared" si="380"/>
        <v/>
      </c>
      <c r="PV120" s="43" t="str">
        <f t="shared" si="381"/>
        <v/>
      </c>
      <c r="PW120" s="43" t="str">
        <f t="shared" si="382"/>
        <v/>
      </c>
      <c r="PX120" s="43" t="str">
        <f t="shared" si="383"/>
        <v/>
      </c>
      <c r="PY120" s="43" t="str">
        <f t="shared" si="384"/>
        <v/>
      </c>
      <c r="PZ120" s="43" t="str">
        <f t="shared" si="385"/>
        <v/>
      </c>
      <c r="QA120" s="43" t="str">
        <f t="shared" si="386"/>
        <v/>
      </c>
      <c r="QB120" s="43" t="str">
        <f t="shared" si="387"/>
        <v/>
      </c>
      <c r="QC120" s="43" t="str">
        <f t="shared" si="388"/>
        <v/>
      </c>
      <c r="QD120" s="43" t="str">
        <f t="shared" si="389"/>
        <v>NORMAL</v>
      </c>
      <c r="QE120" s="43" t="str">
        <f t="shared" si="390"/>
        <v/>
      </c>
      <c r="QF120" s="43" t="str">
        <f t="shared" si="391"/>
        <v/>
      </c>
      <c r="QG120" s="43" t="str">
        <f t="shared" si="392"/>
        <v/>
      </c>
      <c r="QH120" s="43" t="str">
        <f t="shared" si="393"/>
        <v/>
      </c>
      <c r="QI120" s="43" t="str">
        <f t="shared" si="394"/>
        <v/>
      </c>
      <c r="QJ120" s="43" t="str">
        <f t="shared" si="395"/>
        <v/>
      </c>
      <c r="QK120" s="43" t="str">
        <f t="shared" si="396"/>
        <v/>
      </c>
      <c r="QL120" s="43" t="str">
        <f t="shared" si="397"/>
        <v/>
      </c>
      <c r="QM120" s="43" t="str">
        <f t="shared" si="398"/>
        <v/>
      </c>
      <c r="QN120" s="43" t="str">
        <f t="shared" si="399"/>
        <v/>
      </c>
      <c r="QO120" s="43" t="str">
        <f t="shared" si="400"/>
        <v/>
      </c>
      <c r="QP120" s="43" t="str">
        <f t="shared" si="401"/>
        <v/>
      </c>
      <c r="QQ120" s="43" t="str">
        <f t="shared" si="402"/>
        <v/>
      </c>
      <c r="QR120" s="43">
        <f t="shared" si="432"/>
        <v>29</v>
      </c>
      <c r="QS120" s="43"/>
      <c r="QT120" s="21" t="str">
        <f t="shared" si="403"/>
        <v/>
      </c>
      <c r="QU120" s="21" t="str">
        <f t="shared" si="404"/>
        <v/>
      </c>
      <c r="QV120" s="21" t="str">
        <f t="shared" si="405"/>
        <v/>
      </c>
      <c r="QW120" s="21" t="str">
        <f t="shared" si="406"/>
        <v/>
      </c>
      <c r="QX120" s="21" t="str">
        <f t="shared" si="407"/>
        <v/>
      </c>
      <c r="QY120" s="21" t="str">
        <f t="shared" si="408"/>
        <v/>
      </c>
      <c r="QZ120" s="21" t="str">
        <f t="shared" si="409"/>
        <v/>
      </c>
      <c r="RA120" s="21" t="str">
        <f t="shared" si="410"/>
        <v/>
      </c>
      <c r="RB120" s="21" t="str">
        <f t="shared" si="411"/>
        <v/>
      </c>
      <c r="RC120" s="21" t="str">
        <f t="shared" si="412"/>
        <v/>
      </c>
      <c r="RD120" s="21" t="str">
        <f t="shared" si="413"/>
        <v/>
      </c>
      <c r="RE120" s="21" t="str">
        <f t="shared" si="414"/>
        <v/>
      </c>
      <c r="RF120" s="21" t="str">
        <f t="shared" si="415"/>
        <v/>
      </c>
      <c r="RG120" s="21" t="str">
        <f t="shared" si="416"/>
        <v/>
      </c>
      <c r="RH120" s="21" t="str">
        <f t="shared" si="417"/>
        <v/>
      </c>
      <c r="RI120" s="21" t="str">
        <f t="shared" si="418"/>
        <v/>
      </c>
      <c r="RJ120" s="21" t="str">
        <f t="shared" si="419"/>
        <v>ADECUADO PARA EDAD GESTACIONAL</v>
      </c>
      <c r="RK120" s="21" t="str">
        <f t="shared" si="420"/>
        <v/>
      </c>
      <c r="RL120" s="21" t="str">
        <f t="shared" si="421"/>
        <v/>
      </c>
      <c r="RM120" s="21" t="str">
        <f t="shared" si="422"/>
        <v/>
      </c>
      <c r="RN120" s="21" t="str">
        <f t="shared" si="423"/>
        <v/>
      </c>
      <c r="RO120" s="21" t="str">
        <f t="shared" si="424"/>
        <v/>
      </c>
      <c r="RP120" s="21" t="str">
        <f t="shared" si="425"/>
        <v/>
      </c>
      <c r="RQ120" s="21" t="str">
        <f t="shared" si="426"/>
        <v/>
      </c>
      <c r="RR120" s="21" t="str">
        <f t="shared" si="427"/>
        <v/>
      </c>
      <c r="RS120" s="21" t="str">
        <f t="shared" si="428"/>
        <v/>
      </c>
      <c r="RT120" s="21" t="str">
        <f t="shared" si="429"/>
        <v/>
      </c>
      <c r="RU120" s="21" t="str">
        <f t="shared" si="430"/>
        <v/>
      </c>
      <c r="RV120" s="21">
        <f t="shared" si="431"/>
        <v>20.571428571428573</v>
      </c>
      <c r="RW120" s="284">
        <f>IF(OR(Tabla1[[#This Row],[FUM FORMULA CONFIABLE]]="",Tabla1[[#This Row],[FUM FORMULA CONFIABLE]]="SD"),"",IF(Tabla1[[#This Row],[FUM FORMULA CONFIABLE]]="CORREGIDA",Tabla1[[#This Row],[FUM X ECO 1]],Tabla1[[#This Row],[FUM x AMENORREA]]))</f>
        <v>44845</v>
      </c>
      <c r="RX120" s="21">
        <f>IF(AND(Tabla1[[#This Row],[FUM X ECO 1]]="",Tabla1[[#This Row],[FUM x AMENORREA]]=""),"",IF(AND(Tabla1[[#This Row],[FUM X ECO 1]]="",Tabla1[[#This Row],[FUM x AMENORREA]]&lt;&gt;""),"X",SUM(Tabla1[[#This Row],[FUM X ECO 1]]-Tabla1[[#This Row],[FUM x AMENORREA]])))</f>
        <v>2</v>
      </c>
      <c r="RY120" s="21">
        <f t="shared" si="433"/>
        <v>0</v>
      </c>
    </row>
    <row r="121" spans="1:493" ht="45" customHeight="1" x14ac:dyDescent="0.25">
      <c r="A121" s="109"/>
      <c r="B121" s="43"/>
      <c r="C121" s="43" t="s">
        <v>845</v>
      </c>
      <c r="D121" s="124"/>
      <c r="E121" s="43" t="s">
        <v>1356</v>
      </c>
      <c r="F121" s="43" t="s">
        <v>943</v>
      </c>
      <c r="G121" s="43" t="s">
        <v>1357</v>
      </c>
      <c r="H121" s="43"/>
      <c r="I121" s="109" t="s">
        <v>1094</v>
      </c>
      <c r="J121" s="110" t="s">
        <v>1358</v>
      </c>
      <c r="K121" s="43" t="s">
        <v>852</v>
      </c>
      <c r="L121" s="175" t="s">
        <v>886</v>
      </c>
      <c r="M121" s="22">
        <v>38664</v>
      </c>
      <c r="N121" s="213">
        <f t="shared" ca="1" si="252"/>
        <v>17.997260273972604</v>
      </c>
      <c r="O121" s="22">
        <v>44987</v>
      </c>
      <c r="P121" s="214" t="str">
        <f t="shared" si="437"/>
        <v>SI</v>
      </c>
      <c r="Q121" s="26" t="s">
        <v>855</v>
      </c>
      <c r="R121" s="22">
        <v>44987</v>
      </c>
      <c r="S121" s="21" t="s">
        <v>856</v>
      </c>
      <c r="T121" s="24" t="s">
        <v>690</v>
      </c>
      <c r="U121" s="21" t="s">
        <v>857</v>
      </c>
      <c r="V121" s="21" t="s">
        <v>858</v>
      </c>
      <c r="W121" s="21" t="s">
        <v>1359</v>
      </c>
      <c r="X121" s="21" t="s">
        <v>1359</v>
      </c>
      <c r="Y121" s="21"/>
      <c r="Z121" s="21">
        <v>3147188619</v>
      </c>
      <c r="AA121" s="21" t="s">
        <v>860</v>
      </c>
      <c r="AB121" s="27" t="s">
        <v>861</v>
      </c>
      <c r="AC121" s="26" t="s">
        <v>846</v>
      </c>
      <c r="AD121" s="38" t="s">
        <v>1546</v>
      </c>
      <c r="AE121" s="26" t="s">
        <v>854</v>
      </c>
      <c r="AF121" s="26" t="s">
        <v>854</v>
      </c>
      <c r="AG121" s="23" t="s">
        <v>864</v>
      </c>
      <c r="AH121" s="23" t="s">
        <v>864</v>
      </c>
      <c r="AI121" s="24" t="s">
        <v>863</v>
      </c>
      <c r="AJ121" s="23" t="s">
        <v>864</v>
      </c>
      <c r="AK121" s="220" t="str">
        <f>IF(AND(AD121="",AE121="",AF121="",AG121="",AH121="",AI121="",AJ121=""),"",IF(OR(Tabla1[[#This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EVALUACIÓN",IF(AND(O121="",R121=""),"",IF(AND(OR(O121&gt;0,R121&gt;0),NG121&gt;=0,NG121&lt;2),"SIN RIESGO",IF(AND(OR(O121&gt;0,R121&gt;0),NG121&gt;=2),"CON RIESGO","ASD")))))</f>
        <v>SIN RIESGO</v>
      </c>
      <c r="AL121" s="23" t="s">
        <v>864</v>
      </c>
      <c r="AM121" s="26" t="s">
        <v>864</v>
      </c>
      <c r="AN121" s="26" t="s">
        <v>864</v>
      </c>
      <c r="AO121" s="26" t="s">
        <v>864</v>
      </c>
      <c r="AP121" s="26" t="s">
        <v>864</v>
      </c>
      <c r="AQ121" s="26" t="s">
        <v>864</v>
      </c>
      <c r="AR121" s="26" t="s">
        <v>864</v>
      </c>
      <c r="AS121" s="21">
        <v>0</v>
      </c>
      <c r="AT121" s="21">
        <v>0</v>
      </c>
      <c r="AU121" s="21">
        <v>0</v>
      </c>
      <c r="AV121" s="26" t="s">
        <v>864</v>
      </c>
      <c r="AW121" s="21">
        <v>0</v>
      </c>
      <c r="AX121" s="26" t="s">
        <v>864</v>
      </c>
      <c r="AY121" s="26" t="s">
        <v>864</v>
      </c>
      <c r="AZ121" s="26" t="s">
        <v>864</v>
      </c>
      <c r="BA121" s="26" t="s">
        <v>864</v>
      </c>
      <c r="BB121" s="26" t="s">
        <v>864</v>
      </c>
      <c r="BC121" s="26" t="s">
        <v>864</v>
      </c>
      <c r="BD121" s="26" t="s">
        <v>864</v>
      </c>
      <c r="BE121" s="26" t="s">
        <v>864</v>
      </c>
      <c r="BF121" s="26" t="s">
        <v>864</v>
      </c>
      <c r="BG121" s="26" t="s">
        <v>864</v>
      </c>
      <c r="BH121" s="26" t="s">
        <v>864</v>
      </c>
      <c r="BI121" s="26" t="s">
        <v>864</v>
      </c>
      <c r="BJ121" s="26" t="s">
        <v>864</v>
      </c>
      <c r="BK121" s="26" t="s">
        <v>865</v>
      </c>
      <c r="BL121" s="26" t="s">
        <v>864</v>
      </c>
      <c r="BM121" s="26" t="s">
        <v>864</v>
      </c>
      <c r="BN121" s="22"/>
      <c r="BO121" s="22">
        <v>44893</v>
      </c>
      <c r="BP121" s="21" t="s">
        <v>1380</v>
      </c>
      <c r="BQ121" s="222">
        <f t="shared" si="254"/>
        <v>0</v>
      </c>
      <c r="BR121" s="223">
        <f t="shared" si="255"/>
        <v>44899.8</v>
      </c>
      <c r="BS121" s="224">
        <f t="shared" si="256"/>
        <v>12.457142857142442</v>
      </c>
      <c r="BT121" s="216" t="str">
        <f t="shared" si="257"/>
        <v>II TRIM</v>
      </c>
      <c r="BU121" s="214" t="str">
        <f t="shared" ca="1" si="258"/>
        <v/>
      </c>
      <c r="BV121" s="25"/>
      <c r="BW121" s="22">
        <v>44995</v>
      </c>
      <c r="BX121" s="28">
        <v>13.6</v>
      </c>
      <c r="BY121" s="28"/>
      <c r="BZ121" s="22"/>
      <c r="CA121" s="21"/>
      <c r="CB121" s="26" t="s">
        <v>864</v>
      </c>
      <c r="CC121" s="26" t="s">
        <v>864</v>
      </c>
      <c r="CD121" s="26"/>
      <c r="CE121" s="26"/>
      <c r="CF121" s="22" t="s">
        <v>1517</v>
      </c>
      <c r="CG121" s="21">
        <v>1.53</v>
      </c>
      <c r="CH121" s="21">
        <v>54</v>
      </c>
      <c r="CI121" s="214">
        <f t="shared" si="259"/>
        <v>23.068050749711649</v>
      </c>
      <c r="CJ121" s="225" t="e">
        <f>IF(AND(CI121&lt;10,CH121="SD"),"SIN DATO PESO PREGESTACION O I TRIM",IF(AND(OR(R121&gt;0,O121&gt;0),CI121="X"),"INGRESAR DATO DE PESO",IF(CI121="SD","INGRESAR DATO DE TALLA Y PESO",IF(AND(OR(Tabla1[[#This Row],[MOMENTO EN QUE SE REALIZA EL PESO AL INGRESO A CPN]]="PREGESTACIÓN",NZ121="Menor"),CI121&lt;18.5),"BAJO PESO",IF(AND(OR(Tabla1[[#This Row],[MOMENTO EN QUE SE REALIZA EL PESO AL INGRESO A CPN]]="PREGESTACIÓN",NZ121="Menor"),CI121&lt;25),"NORMAL",IF(AND(OR(Tabla1[[#This Row],[MOMENTO EN QUE SE REALIZA EL PESO AL INGRESO A CPN]]="PREGESTACIÓN",NZ121="Menor"),CI121&lt;30),"SOBREPESO",IF(AND(OR(Tabla1[[#This Row],[MOMENTO EN QUE SE REALIZA EL PESO AL INGRESO A CPN]]="PREGESTACIÓN",NZ121="Menor"),CI121&gt;=30,CI121&lt;50),"OBESIDAD",IF(AND(BS121&gt;0,Tabla1[[#This Row],[MOMENTO EN QUE SE REALIZA EL PESO AL INGRESO A CPN]]="GESTACIÓN"),HLOOKUP(NZ121,$OA$2:PH121,NY121),""))))))))</f>
        <v>#REF!</v>
      </c>
      <c r="CK121" s="212">
        <f t="shared" si="260"/>
        <v>44987</v>
      </c>
      <c r="CL121" s="21">
        <v>54</v>
      </c>
      <c r="CM121" s="214">
        <f t="shared" si="261"/>
        <v>23.068050749711649</v>
      </c>
      <c r="CN121" s="216">
        <f t="shared" si="262"/>
        <v>12</v>
      </c>
      <c r="CO121" s="216" t="e">
        <f>IF(PI121="","",IF(PI121&gt;0,HLOOKUP(PI121,$PJ$2:QQ121,NY121),""))</f>
        <v>#REF!</v>
      </c>
      <c r="CP121" s="21"/>
      <c r="CQ121" s="216" t="str">
        <f>IF(QR121="Menor","NO APLICA-MENOR 13 SEM",IF(AND(CC121="SI",CN121&gt;23),"NO APLICA- GEMELAR",IF(QR121="","",IF(QR121&gt;0,HLOOKUP(QR121,$QS$2:RU121,NY121),""))))</f>
        <v>NO APLICA-MENOR 13 SEM</v>
      </c>
      <c r="CR121" s="21">
        <v>110</v>
      </c>
      <c r="CS121" s="21">
        <v>80</v>
      </c>
      <c r="CT121" s="217" t="str">
        <f>IF(R121="","",IF(AND(BS121&gt;1,BS121&lt;12,Tabla1[[#This Row],[T.A. SISTOLICA - ANTES DE SEMANA 12]]="",Tabla1[[#This Row],[T.A. DIASTOLICA - ANTES DE SEMANA 12]]=""),"REGISTRE DATO TA ANTES SEMANA 12",IF(AND(BS121&gt;11,BS121&lt;43,Tabla1[[#This Row],[T.A. SISTOLICA - ANTES DE SEMANA 12]]="",Tabla1[[#This Row],[T.A. DIASTOLICA - ANTES DE SEMANA 12]]=""),"NO APLICA REGISTRO TA-INGRESO TARDIO",IF(AND(OR(O121&gt;0,R121&gt;0),OR(CR121&gt;=140,CS121&gt;=90)),"DEFINIR ESTADIO HTA",IF(AND(OR(O121&gt;0,R121&gt;0),AND(CR121&gt;120,CR121&lt;=139)),"PRE HTA SEGUIMIENTO",IF(AND(OR(O121&gt;0,R121&gt;0),AND(CS121&gt;80,CS121&lt;=89)),"PRE HTA SEGUIMIENTO",IF(AND(OR(O121&gt;0,R121&gt;0),AND(CR121&gt;=80,CR121&lt;=120)),"APARENTEMENTE NORMAL",IF(AND(OR(O121&gt;0,R121&gt;0),AND(CS121&gt;=50,CS121&lt;=80)),"APARENTEMENTE NORMAL",IF(AND(OR(O121&gt;0,R121&gt;0),AND(CR121&gt;1,CR121&lt;=70),AND(CS121&gt;1,CS121&lt;=40)),"HIPOTENSIÓN","")))))))))</f>
        <v>APARENTEMENTE NORMAL</v>
      </c>
      <c r="CU121" s="21"/>
      <c r="CV121" s="21"/>
      <c r="CW121" s="217" t="str">
        <f ca="1">IF(R121="","",IF(AND(CN121&gt;19,CN121&lt;27,Tabla1[[#This Row],[T.A. SISTOLICA (Entre semana 20 y 26)]]="",Tabla1[[#This Row],[T.A. DIATOLICA (Entre semana 20 y 26)]]=""),"ACUDE A CONTROL SEM 20 A 26 REGISTRE TA AHORA",IF(AND(BS121&gt;1,BS121&lt;27,BU121&gt;19,Tabla1[[#This Row],[T.A. SISTOLICA (Entre semana 20 y 26)]]="",Tabla1[[#This Row],[T.A. DIATOLICA (Entre semana 20 y 26)]]=""),"COMPLETE REGISTRO TA CONTROL SEM 20 A26 ",IF(AND(BS121&gt;26,BS121&lt;43,Tabla1[[#This Row],[T.A. SISTOLICA (Entre semana 20 y 26)]]="",Tabla1[[#This Row],[T.A. DIATOLICA (Entre semana 20 y 26)]]=""),"NO APLICA REGISTRO TA-INGRESO TARDIO",IF(AND(OR(O121&gt;0,R121&gt;0),OR(CU121&gt;=140,CV121&gt;=90)),"ALTO RIESGO PREECLAMPSIA,DEFINIR ESTADIO HTA",IF(AND(OR(O121&gt;0,R121&gt;0),AND(CU121&gt;120,CU121&lt;=139)),"PRE HTA SEGUIMIENTO,RIESGO HIPERTENSION INDUCIDA POR EL EMBARAZO",IF(AND(OR(O121&gt;0,R121&gt;0),AND(CV121&gt;80,CV121&lt;=89)),"PRE HTA SEGUIMIENTO, RIESGO HIPERTENSION INDUCIDA POR EL EMBARAZO",IF(AND(OR(O121&lt;&gt;"",R121&lt;&gt;""),CS121&lt;&gt;"",CV121&lt;&gt;"",CS121&lt;=CV121),"VIGILAR CIFRAS PRESION ARTERIAL",IF(AND(OR(O121&gt;0,R121&gt;0),AND(CU121&gt;120,CU121&lt;=139)),"PRE HTA SEGUIMIENTO",IF(AND(OR(O121&gt;0,R121&gt;0),AND(CU121&gt;1,CU121&lt;=70),AND(CV121&gt;1,CV121&lt;=40)),"HIPOTENSIÓN",IF(AND(OR(O121&lt;&gt;"",R121&lt;&gt;""),CS121&lt;&gt;"",CV121&lt;&gt;"",CS121&gt;CV121),"APARENTEMENTE NORMAL",IF(AND(OR(O121&gt;0,R121&gt;0),AND(CU121&gt;=80,CU121&lt;=120)),"APARENTEMENTE NORMAL",IF(AND(OR(O121&gt;0,R121&gt;0),AND(CV121&gt;=50,CV121&lt;=80)),"APARENTEMENTE NORMAL","")))))))))))))</f>
        <v xml:space="preserve">COMPLETE REGISTRO TA CONTROL SEM 20 A26 </v>
      </c>
      <c r="CX121" s="21"/>
      <c r="CY121" s="21"/>
      <c r="CZ121" s="216" t="str">
        <f t="shared" si="456"/>
        <v/>
      </c>
      <c r="DA121" s="21"/>
      <c r="DB121" s="21"/>
      <c r="DC121" s="217" t="str">
        <f t="shared" si="264"/>
        <v>REGISTRE DATO PRESIÓN ARTERIAL MENSUAL</v>
      </c>
      <c r="DD121" s="22">
        <v>44987</v>
      </c>
      <c r="DE121" s="22">
        <v>44987</v>
      </c>
      <c r="DF121" s="22"/>
      <c r="DG121" s="22"/>
      <c r="DH121" s="22"/>
      <c r="DI121" s="22"/>
      <c r="DJ121" s="22"/>
      <c r="DK121" s="22"/>
      <c r="DL121" s="22"/>
      <c r="DM121" s="22"/>
      <c r="DN121" s="22"/>
      <c r="DO121" s="22"/>
      <c r="DP121" s="22"/>
      <c r="DQ121" s="22"/>
      <c r="DR121" s="28"/>
      <c r="DS121" s="22"/>
      <c r="DT121" s="22"/>
      <c r="DU121" s="216" t="str">
        <f t="shared" ca="1" si="438"/>
        <v>CONCERTAR PLAN DE PARTO INMEDIATO</v>
      </c>
      <c r="DV121" s="226" t="str">
        <f t="shared" si="439"/>
        <v>ACTIVA INGRESO A CPN</v>
      </c>
      <c r="DW1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1" s="216" t="e">
        <f t="shared" ca="1" si="266"/>
        <v>#REF!</v>
      </c>
      <c r="DY121" s="212">
        <f>IF(R121="","",IF(R121&gt;0,MAX(Tabla1[[#This Row],[FECHA C2]:[FECHA C13]],Tabla1[[#This Row],[FECHA CONSULTA PRIMERA VEZ PROGRAMA CPN ]])))</f>
        <v>44987</v>
      </c>
      <c r="DZ121" s="216">
        <f t="shared" si="267"/>
        <v>12</v>
      </c>
      <c r="EA121" s="222">
        <f>IF(R121&gt;0,SUM(COUNTA(DF121:DQ121)+COUNTA(Tabla1[[#This Row],[FECHA CONSULTA PRIMERA VEZ PROGRAMA CPN ]])),"")</f>
        <v>1</v>
      </c>
      <c r="EB121" s="222" t="str">
        <f t="shared" si="268"/>
        <v>NO</v>
      </c>
      <c r="EC121" s="214">
        <f t="shared" si="269"/>
        <v>8</v>
      </c>
      <c r="ED121" s="227">
        <f t="shared" si="270"/>
        <v>0.125</v>
      </c>
      <c r="EE121" s="22"/>
      <c r="EF121" s="22"/>
      <c r="EG121" s="22">
        <v>44987</v>
      </c>
      <c r="EH121" s="22"/>
      <c r="EI121" s="22">
        <v>44987</v>
      </c>
      <c r="EJ121" s="22"/>
      <c r="EK121" s="22"/>
      <c r="EL121" s="21"/>
      <c r="EM121" s="21">
        <v>13</v>
      </c>
      <c r="EN121" s="22">
        <v>44987</v>
      </c>
      <c r="EO121" s="222">
        <f t="shared" si="271"/>
        <v>12.457142857142442</v>
      </c>
      <c r="EP121" s="214" t="str">
        <f t="shared" si="272"/>
        <v>NORMAL- SUMINISTRAR SULFATO FERROSO</v>
      </c>
      <c r="EQ121" s="216" t="str">
        <f t="shared" si="273"/>
        <v>I TRIM</v>
      </c>
      <c r="ER121" s="24"/>
      <c r="ES121" s="22"/>
      <c r="ET121" s="29" t="str">
        <f t="shared" ca="1" si="440"/>
        <v>TOMA DE HEMOGLOBINA TARDÍA</v>
      </c>
      <c r="EU121" s="25" t="str">
        <f t="shared" si="275"/>
        <v/>
      </c>
      <c r="EV121" s="24" t="s">
        <v>866</v>
      </c>
      <c r="EW121" s="24">
        <v>44987</v>
      </c>
      <c r="EX121" s="22"/>
      <c r="EY121" s="29">
        <f t="shared" si="453"/>
        <v>12.457142857142442</v>
      </c>
      <c r="EZ121" s="25" t="str">
        <f t="shared" ca="1" si="454"/>
        <v/>
      </c>
      <c r="FA121" s="21">
        <v>82</v>
      </c>
      <c r="FB121" s="22">
        <v>44987</v>
      </c>
      <c r="FC121" s="29">
        <f t="shared" si="276"/>
        <v>12.457142857142442</v>
      </c>
      <c r="FD121" s="29"/>
      <c r="FE121" s="29"/>
      <c r="FF121" s="29"/>
      <c r="FG121" s="21" t="str">
        <f t="shared" ca="1" si="277"/>
        <v/>
      </c>
      <c r="FH121" s="31"/>
      <c r="FI121" s="29" t="str">
        <f t="shared" si="278"/>
        <v>TOMAR EXAMEN</v>
      </c>
      <c r="FJ121" s="22" t="s">
        <v>867</v>
      </c>
      <c r="FK121" s="22">
        <v>44987</v>
      </c>
      <c r="FL121" s="29">
        <f t="shared" ca="1" si="279"/>
        <v>12.457142857142442</v>
      </c>
      <c r="FM121" s="22"/>
      <c r="FN121" s="32"/>
      <c r="FO121" s="29" t="str">
        <f t="shared" ca="1" si="441"/>
        <v>PIERDE TOMA DE TAMIZAJE</v>
      </c>
      <c r="FP121" s="22"/>
      <c r="FQ121" s="32"/>
      <c r="FR121" s="29" t="str">
        <f t="shared" ca="1" si="442"/>
        <v>TOMA INMEDIATA DE TAMIZAJE</v>
      </c>
      <c r="FS121" s="22"/>
      <c r="FT121" s="32"/>
      <c r="FU121" s="29" t="str">
        <f>IF(AND(FJ121="",FM121="",FP121="",FS121=""),"",IF(OR(OR(Tabla1[[#This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1" s="28"/>
      <c r="FW121" s="22"/>
      <c r="FX121" s="29" t="str">
        <f t="shared" si="280"/>
        <v>TOMAR EXAMEN</v>
      </c>
      <c r="FY121" s="22">
        <v>44987</v>
      </c>
      <c r="FZ121" s="22">
        <v>44987</v>
      </c>
      <c r="GA121" s="29">
        <f t="shared" ca="1" si="452"/>
        <v>12.457142857142442</v>
      </c>
      <c r="GB121" s="22"/>
      <c r="GC121" s="22"/>
      <c r="GD121" s="29" t="str">
        <f t="shared" ca="1" si="490"/>
        <v>PIERDE TOMA DE TAMIZAJE</v>
      </c>
      <c r="GE121" s="22"/>
      <c r="GF121" s="22"/>
      <c r="GG121" s="29" t="str">
        <f t="shared" ca="1" si="444"/>
        <v>TOMA INMEDIATA DE TAMIZAJE</v>
      </c>
      <c r="GH121" s="22"/>
      <c r="GI121" s="29"/>
      <c r="GJ121" s="22"/>
      <c r="GK121" s="22"/>
      <c r="GL121" s="22"/>
      <c r="GM121" s="22"/>
      <c r="GN121" s="28" t="s">
        <v>869</v>
      </c>
      <c r="GO121" s="22">
        <v>44987</v>
      </c>
      <c r="GP121" s="29">
        <f t="shared" si="283"/>
        <v>12.457142857142442</v>
      </c>
      <c r="GQ121" s="28" t="s">
        <v>869</v>
      </c>
      <c r="GR121" s="28" t="s">
        <v>869</v>
      </c>
      <c r="GS121" s="22" t="str">
        <f t="shared" si="457"/>
        <v>CONTROL Igm</v>
      </c>
      <c r="GT121" s="22">
        <v>44987</v>
      </c>
      <c r="GU121" s="29">
        <f t="shared" si="285"/>
        <v>13.428571428571429</v>
      </c>
      <c r="GV121" s="21" t="str">
        <f t="shared" si="286"/>
        <v>II TRIM</v>
      </c>
      <c r="GW121" s="28" t="s">
        <v>869</v>
      </c>
      <c r="GX121" s="30"/>
      <c r="GY121" s="21"/>
      <c r="GZ121" s="21"/>
      <c r="HA121" s="21"/>
      <c r="HB121" s="21"/>
      <c r="HC121" s="21"/>
      <c r="HD121" s="21"/>
      <c r="HE121" s="21"/>
      <c r="HF121" s="22"/>
      <c r="HG121" s="22" t="str">
        <f>IF(OR(O121&gt;0,R121&gt;0),CONCATENATE(IF(Tabla1[[#This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1" s="22" t="e">
        <f t="shared" si="287"/>
        <v>#REF!</v>
      </c>
      <c r="HI121" s="22" t="e">
        <f t="shared" ca="1" si="288"/>
        <v>#REF!</v>
      </c>
      <c r="HJ121" s="21"/>
      <c r="HK121" s="21" t="str">
        <f t="shared" si="289"/>
        <v>SIN ANTECEDENTES DE RIESGO</v>
      </c>
      <c r="HL121" s="24" t="str">
        <f t="shared" si="290"/>
        <v>REGISTRE DATO PRESIÓN ARTERIAL MENSUAL</v>
      </c>
      <c r="HM121" s="21" t="e">
        <f t="shared" ca="1" si="291"/>
        <v>#REF!</v>
      </c>
      <c r="HN121" s="30" t="str">
        <f t="shared" si="445"/>
        <v>ACTIVA INGRESO A CPN</v>
      </c>
      <c r="HO121" s="21"/>
      <c r="HP121" s="21"/>
      <c r="HQ121" s="21"/>
      <c r="HR121" s="21" t="str">
        <f>IF(R121="","",IF(Tabla1[[#This Row],[ALARMA FACTORES DE RIESGO COMPLICACIONES HIPERTENSIVAS3]]="SIN ANTECEDENTES DE RIESGO","No Aplica para suministro de ASA",IF(AND(Tabla1[[#This Row],[FECHA INICIO DE SUMINISTRO DE ASA]]&gt;0,RV121&lt;12),"Inicia ASA ANTES de Sem 12",IF(AND(RV121&gt;11,RV121&lt;17,OR(HK121="RIESGO ALTO DE COMPLICACIONES HIPERTENSIVAS VER MANEJO GUIA SUMINISTRO ASA Y CALCIO",HK121="RIESGO MODERADO (2 O MAS CRITERIOS) VER MANEJO GUIA SUMINISTRO ASA Y CALCIO")),"Inicio oportuno de ASA",IF(AND(RV121&gt;12,OR(HK121="RIESGO ALTO DE COMPLICACIONES HIPERTENSIVAS VER MANEJO GUIA SUMINISTRO ASA Y CALCIO",HK121="RIESGO MODERADO (2 O MAS CRITERIOS) VER MANEJO GUIA SUMINISTRO ASA Y CALCIO")),"Inicio no oportuno mayor a 16 semanas",IF(AND(BU121&lt;12,OR(HK121="RIESGO ALTO DE COMPLICACIONES HIPERTENSIVAS VER MANEJO GUIA SUMINISTRO ASA Y CALCIO",HK121="RIESGO MODERADO (2 O MAS CRITERIOS) VER MANEJO GUIA SUMINISTRO ASA Y CALCIO")),"Pendiente Inicio de ASA a la semana 12",IF(AND(BU121&gt;11,BU121&lt;17,OR(HK121="RIESGO ALTO DE COMPLICACIONES HIPERTENSIVAS VER MANEJO GUIA SUMINISTRO ASA Y CALCIO",HK121="RIESGO MODERADO (2 O MAS CRITERIOS) VER MANEJO GUIA SUMINISTRO ASA Y CALCIO")),"Iniciar de inmediato ASA",IF(AND(BU121&gt;16,OR(HK121="RIESGO ALTO DE COMPLICACIONES HIPERTENSIVAS VER MANEJO GUIA SUMINISTRO ASA Y CALCIO",HK121="RIESGO MODERADO (2 O MAS CRITERIOS) VER MANEJO GUIA SUMINISTRO ASA Y CALCIO")),"Pierde Oportunidad, Inicio tardío de ASA","XXXXX"))))))))</f>
        <v>No Aplica para suministro de ASA</v>
      </c>
      <c r="HS121" s="22"/>
      <c r="HT121" s="22"/>
      <c r="HU121" s="22">
        <v>44987</v>
      </c>
      <c r="HV121" s="22" t="s">
        <v>870</v>
      </c>
      <c r="HW121" s="22">
        <v>44987</v>
      </c>
      <c r="HX121" s="22" t="s">
        <v>870</v>
      </c>
      <c r="HY121" s="22">
        <v>44987</v>
      </c>
      <c r="HZ121" s="28">
        <f t="shared" si="292"/>
        <v>12.457142857142442</v>
      </c>
      <c r="IA121" s="26"/>
      <c r="IB121" s="26"/>
      <c r="IC121" s="111"/>
      <c r="ID121" s="22"/>
      <c r="IE121" s="22" t="str">
        <f t="shared" ca="1" si="293"/>
        <v/>
      </c>
      <c r="IF121" s="22"/>
      <c r="IG121" s="22">
        <f t="shared" si="294"/>
        <v>45179.8</v>
      </c>
      <c r="IH121" s="29">
        <f t="shared" ca="1" si="295"/>
        <v>-53.19999999999709</v>
      </c>
      <c r="II121" s="22" t="str">
        <f t="shared" ca="1" si="296"/>
        <v>POSIBLEMENTE NACIO</v>
      </c>
      <c r="IJ121" s="22"/>
      <c r="IK121" s="21"/>
      <c r="IL121" s="21"/>
      <c r="IM121" s="34"/>
      <c r="IN121" s="349"/>
      <c r="IO121" s="21"/>
      <c r="IP121" s="29" t="str">
        <f t="shared" si="489"/>
        <v/>
      </c>
      <c r="IQ121" s="35"/>
      <c r="IR121" s="21"/>
      <c r="IS121" s="21"/>
      <c r="IT121" s="21"/>
      <c r="IU121" s="21"/>
      <c r="IV121" s="21"/>
      <c r="IW121" s="21"/>
      <c r="IX121" s="21"/>
      <c r="IY121" s="21"/>
      <c r="IZ121" s="21"/>
      <c r="JA121" s="21"/>
      <c r="JB121" s="30"/>
      <c r="JC121" s="21"/>
      <c r="JD121" s="36"/>
      <c r="JE121" s="21" t="str">
        <f t="shared" si="491"/>
        <v/>
      </c>
      <c r="JF121" s="30"/>
      <c r="JG121" s="21"/>
      <c r="JH121" s="21"/>
      <c r="JI121" s="21"/>
      <c r="JJ121" s="30"/>
      <c r="JK121" s="22"/>
      <c r="JL121" s="22"/>
      <c r="JM121" s="21"/>
      <c r="JN121" s="36"/>
      <c r="JO121" s="21" t="str">
        <f t="shared" si="492"/>
        <v/>
      </c>
      <c r="JP121" s="22"/>
      <c r="JQ121" s="21"/>
      <c r="JR121" s="21"/>
      <c r="JS121" s="21"/>
      <c r="JT121" s="30"/>
      <c r="JU121" s="22"/>
      <c r="JV121" s="22"/>
      <c r="JW121" s="33"/>
      <c r="JX121" s="28" t="str">
        <f t="shared" si="493"/>
        <v/>
      </c>
      <c r="JY121" s="33"/>
      <c r="JZ121" s="28" t="str">
        <f t="shared" si="494"/>
        <v/>
      </c>
      <c r="KA121" s="21"/>
      <c r="KB121" s="21"/>
      <c r="KC121" s="21"/>
      <c r="KD121" s="37"/>
      <c r="KE121" s="28"/>
      <c r="KF121" s="28"/>
      <c r="KG121" s="28"/>
      <c r="KH121" s="39"/>
      <c r="KI121" s="39"/>
      <c r="KJ121" s="66"/>
      <c r="KK121" s="39"/>
      <c r="KL121" s="39"/>
      <c r="KM121" s="66"/>
      <c r="KN121" s="39"/>
      <c r="KO121" s="39"/>
      <c r="KP121" s="39"/>
      <c r="KQ121" s="39"/>
      <c r="KR121" s="39"/>
      <c r="KS121" s="39"/>
      <c r="KT121" s="39"/>
      <c r="KU121" s="38"/>
      <c r="KV121" s="38"/>
      <c r="KW121" s="38"/>
      <c r="KX121" s="38"/>
      <c r="KY121" s="38"/>
      <c r="KZ121" s="38"/>
      <c r="LA121" s="38"/>
      <c r="LB121" s="38"/>
      <c r="LC121" s="38"/>
      <c r="LD121" s="38"/>
      <c r="LE121" s="38"/>
      <c r="LF121" s="38"/>
      <c r="LG121" s="38"/>
      <c r="LH121" s="38"/>
      <c r="LI121" s="38"/>
      <c r="LJ121" s="38"/>
      <c r="LK121" s="38"/>
      <c r="LL121" s="38"/>
      <c r="LM121" s="38"/>
      <c r="LN121" s="38"/>
      <c r="LO121" s="38"/>
      <c r="LP121" s="38"/>
      <c r="LQ121" s="38"/>
      <c r="LR121" s="38"/>
      <c r="LS121" s="38"/>
      <c r="LT121" s="38"/>
      <c r="LU121" s="38"/>
      <c r="LV121" s="38"/>
      <c r="LW121" s="38"/>
      <c r="LX121" s="38"/>
      <c r="LY121" s="38"/>
      <c r="LZ121" s="38"/>
      <c r="MA121" s="38"/>
      <c r="MB121" s="38"/>
      <c r="MC121" s="38"/>
      <c r="MD121" s="38"/>
      <c r="ME121" s="38"/>
      <c r="MF121" s="38"/>
      <c r="MG121" s="38"/>
      <c r="MH121" s="43">
        <f t="shared" si="458"/>
        <v>0</v>
      </c>
      <c r="MI121" s="43" t="str">
        <f t="shared" si="459"/>
        <v/>
      </c>
      <c r="MJ121" s="43" t="str">
        <f t="shared" si="460"/>
        <v/>
      </c>
      <c r="MK121" s="43">
        <f t="shared" si="461"/>
        <v>0</v>
      </c>
      <c r="ML1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1" s="43">
        <f t="shared" si="462"/>
        <v>12.457142857142442</v>
      </c>
      <c r="MN121" s="43">
        <f t="shared" si="463"/>
        <v>3</v>
      </c>
      <c r="MO121" s="43">
        <f t="shared" si="464"/>
        <v>2023</v>
      </c>
      <c r="MP121" s="43" t="str">
        <f t="shared" si="465"/>
        <v>I TRIMESTRE AÑO</v>
      </c>
      <c r="MQ121" s="43">
        <f t="shared" si="466"/>
        <v>17.066360052562416</v>
      </c>
      <c r="MR121" s="43">
        <f t="shared" si="467"/>
        <v>0</v>
      </c>
      <c r="MS121" s="43" t="str">
        <f t="shared" si="468"/>
        <v>DE 14 A 19AÑOS</v>
      </c>
      <c r="MT121" s="43">
        <f t="shared" si="469"/>
        <v>0</v>
      </c>
      <c r="MU121" s="43">
        <f t="shared" si="470"/>
        <v>1</v>
      </c>
      <c r="MV121" s="43">
        <f t="shared" si="471"/>
        <v>0</v>
      </c>
      <c r="MW121" s="43">
        <f t="shared" si="472"/>
        <v>0</v>
      </c>
      <c r="MX121" s="43" t="str">
        <f t="shared" si="473"/>
        <v/>
      </c>
      <c r="MY121" s="43" t="str">
        <f t="shared" ca="1" si="495"/>
        <v/>
      </c>
      <c r="MZ121" s="43" t="str">
        <f t="shared" si="474"/>
        <v/>
      </c>
      <c r="NA121" s="43" t="str">
        <f t="shared" si="475"/>
        <v/>
      </c>
      <c r="NB121" s="43" t="str">
        <f t="shared" si="476"/>
        <v/>
      </c>
      <c r="NC121" s="43" t="str">
        <f t="shared" si="477"/>
        <v/>
      </c>
      <c r="ND121" s="43">
        <f t="shared" ca="1" si="478"/>
        <v>1</v>
      </c>
      <c r="NE121" s="43">
        <f>IF(OR(O121&gt;0,R121&gt;0),SUM(COUNTIF(Tabla1[[#This Row],[AÑOS AL INICIO5 CPN]],"&gt;=40"),COUNTIF(AS121,"0"),COUNTIF(AR121,"SI"),COUNTIF(CC121,"SI"),COUNTIF(BQ121,"&gt;119"),COUNTIF(CI121,"&gt;=35")),"")</f>
        <v>1</v>
      </c>
      <c r="NF121" s="43" t="str">
        <f t="shared" si="479"/>
        <v/>
      </c>
      <c r="NG121" s="43">
        <f t="shared" si="480"/>
        <v>0</v>
      </c>
      <c r="NH121" s="43">
        <f t="shared" si="481"/>
        <v>95.2</v>
      </c>
      <c r="NI1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CPN",P121="NO"),"Z",IF(AND(Tabla1[[#This Row],[CITA PROXIMO CONTROL]]="CITA MANUAL",Tabla1[[#This Row],[GESTANTES ACTUALES]]="ACTIVA INGRESO A CPN"),"W",IF(AND(Tabla1[[#This Row],[GESTANTES ACTUALES]]="SALIO PROGRAMA",IN121=""),"S",IF(AND(Tabla1[[#This Row],[CITA PROXIMO CONTROL]]&gt;0,IN121=""),(Tabla1[[#This Row],[CITA PROXIMO CONTROL]]-TODAY()),"SD"))))))))</f>
        <v>#REF!</v>
      </c>
      <c r="NJ121" s="43">
        <f>MONTH(Tabla1[[#This Row],[FECHA DE SALIDA  DEL PROGRAMA]])</f>
        <v>1</v>
      </c>
      <c r="NK121" s="43">
        <f>YEAR(Tabla1[[#This Row],[FECHA DE SALIDA  DEL PROGRAMA]])</f>
        <v>1900</v>
      </c>
      <c r="NL121" s="43" t="str">
        <f t="shared" si="482"/>
        <v>X</v>
      </c>
      <c r="NM121" s="43" t="str">
        <f t="shared" si="455"/>
        <v>NO</v>
      </c>
      <c r="NN121" s="43" t="str">
        <f ca="1">IF(AND(O121&gt;0,R121=""),"NO CPN",IF(AND(O121="",R121=""),"",IF(AND(R121&gt;0,Tabla1[[#This Row],[SEMANAS DE GESTACION ACTUALIZADAS]]&lt;=12),"NO APLICA",IF(AND(FH121&lt;&gt;"",FN121&lt;&gt;""),"SI","NO"))))</f>
        <v>NO</v>
      </c>
      <c r="NO121" s="43" t="str">
        <f ca="1">IF(AND(O121&gt;0,R121=""),"NO CPN",IF(AND(O121="",R121=""),"",IF(AND(R121&gt;0,Tabla1[[#This Row],[SEMANAS DE GESTACION ACTUALIZADAS]]&lt;=27),"NO APLICA",IF(AND(ES121&lt;&gt;"",FQ121&lt;&gt;"",GF121&lt;&gt;""),"SI","NO"))))</f>
        <v>NO</v>
      </c>
      <c r="NP121" s="204" t="str">
        <f t="shared" si="483"/>
        <v>II TRIM</v>
      </c>
      <c r="NQ121" s="21" t="str">
        <f t="shared" si="436"/>
        <v/>
      </c>
      <c r="NR121" s="21" t="str">
        <f t="shared" ca="1" si="496"/>
        <v>REVISAR FUM O FECHA SALIDA PROGRAMA</v>
      </c>
      <c r="NS121" s="205">
        <f t="shared" ca="1" si="484"/>
        <v>1</v>
      </c>
      <c r="NT121" s="21">
        <f t="shared" ca="1" si="485"/>
        <v>1</v>
      </c>
      <c r="NU121" s="21" t="str">
        <f t="shared" ca="1" si="486"/>
        <v>POR DEFINIR</v>
      </c>
      <c r="NV121" s="21" t="str">
        <f t="shared" ca="1" si="487"/>
        <v>POR DEFINIR</v>
      </c>
      <c r="NW121" s="206" t="str">
        <f>IF(AND(O121="",R121=""),"",IF(OR(AND(Tabla1[[#This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1" s="207" t="str">
        <f t="shared" ca="1" si="488"/>
        <v>SIN VACUNAR</v>
      </c>
      <c r="NY121" s="43">
        <f>ROW(Tabla1[[#This Row],['# DE TAMIZAJES SIFILIS TOMADOS ]])</f>
        <v>121</v>
      </c>
      <c r="NZ121" s="43">
        <f t="shared" si="333"/>
        <v>12</v>
      </c>
      <c r="OA121" s="43" t="str">
        <f t="shared" si="334"/>
        <v/>
      </c>
      <c r="OB121" s="43" t="str">
        <f t="shared" si="335"/>
        <v/>
      </c>
      <c r="OC121" s="43" t="str">
        <f t="shared" si="336"/>
        <v/>
      </c>
      <c r="OD121" s="43" t="str">
        <f t="shared" si="337"/>
        <v>NORMAL</v>
      </c>
      <c r="OE121" s="43" t="str">
        <f t="shared" si="338"/>
        <v/>
      </c>
      <c r="OF121" s="43" t="str">
        <f t="shared" si="339"/>
        <v/>
      </c>
      <c r="OG121" s="43" t="str">
        <f t="shared" si="340"/>
        <v/>
      </c>
      <c r="OH121" s="43" t="str">
        <f t="shared" si="341"/>
        <v/>
      </c>
      <c r="OI121" s="43" t="str">
        <f t="shared" si="342"/>
        <v/>
      </c>
      <c r="OJ121" s="43" t="str">
        <f t="shared" si="343"/>
        <v/>
      </c>
      <c r="OK121" s="43" t="str">
        <f t="shared" si="344"/>
        <v/>
      </c>
      <c r="OL121" s="43" t="str">
        <f t="shared" si="345"/>
        <v/>
      </c>
      <c r="OM121" s="43" t="str">
        <f t="shared" si="346"/>
        <v/>
      </c>
      <c r="ON121" s="43" t="str">
        <f t="shared" si="347"/>
        <v/>
      </c>
      <c r="OO121" s="43" t="str">
        <f t="shared" si="348"/>
        <v/>
      </c>
      <c r="OP121" s="43" t="str">
        <f t="shared" si="349"/>
        <v/>
      </c>
      <c r="OQ121" s="43" t="str">
        <f t="shared" si="350"/>
        <v/>
      </c>
      <c r="OR121" s="43" t="str">
        <f t="shared" si="351"/>
        <v/>
      </c>
      <c r="OS121" s="43" t="str">
        <f t="shared" si="352"/>
        <v/>
      </c>
      <c r="OT121" s="43" t="str">
        <f t="shared" si="353"/>
        <v/>
      </c>
      <c r="OU121" s="43" t="str">
        <f t="shared" si="354"/>
        <v/>
      </c>
      <c r="OV121" s="110" t="str">
        <f t="shared" si="355"/>
        <v/>
      </c>
      <c r="OW121" s="43" t="str">
        <f t="shared" si="356"/>
        <v/>
      </c>
      <c r="OX121" s="43" t="str">
        <f t="shared" si="357"/>
        <v/>
      </c>
      <c r="OY121" s="43" t="str">
        <f t="shared" si="358"/>
        <v/>
      </c>
      <c r="OZ121" s="43" t="str">
        <f t="shared" si="359"/>
        <v/>
      </c>
      <c r="PA121" s="43" t="str">
        <f t="shared" si="360"/>
        <v/>
      </c>
      <c r="PB121" s="43" t="str">
        <f t="shared" si="361"/>
        <v/>
      </c>
      <c r="PC121" s="43" t="str">
        <f t="shared" si="362"/>
        <v/>
      </c>
      <c r="PD121" s="43" t="str">
        <f t="shared" si="363"/>
        <v/>
      </c>
      <c r="PE121" s="43" t="str">
        <f t="shared" si="364"/>
        <v/>
      </c>
      <c r="PF121" s="43" t="str">
        <f t="shared" si="365"/>
        <v/>
      </c>
      <c r="PG121" s="43" t="str">
        <f t="shared" si="366"/>
        <v/>
      </c>
      <c r="PH121" s="43" t="str">
        <f t="shared" si="367"/>
        <v/>
      </c>
      <c r="PI121" s="43">
        <f t="shared" si="368"/>
        <v>12</v>
      </c>
      <c r="PJ121" s="43" t="str">
        <f t="shared" si="369"/>
        <v/>
      </c>
      <c r="PK121" s="43" t="str">
        <f t="shared" si="370"/>
        <v/>
      </c>
      <c r="PL121" s="43" t="str">
        <f t="shared" si="371"/>
        <v/>
      </c>
      <c r="PM121" s="43" t="str">
        <f t="shared" si="372"/>
        <v>NORMAL</v>
      </c>
      <c r="PN121" s="43" t="str">
        <f t="shared" si="373"/>
        <v/>
      </c>
      <c r="PO121" s="43" t="str">
        <f t="shared" si="374"/>
        <v/>
      </c>
      <c r="PP121" s="43" t="str">
        <f t="shared" si="375"/>
        <v/>
      </c>
      <c r="PQ121" s="43" t="str">
        <f t="shared" si="376"/>
        <v/>
      </c>
      <c r="PR121" s="43" t="str">
        <f t="shared" si="377"/>
        <v/>
      </c>
      <c r="PS121" s="43" t="str">
        <f t="shared" si="378"/>
        <v/>
      </c>
      <c r="PT121" s="43" t="str">
        <f t="shared" si="379"/>
        <v/>
      </c>
      <c r="PU121" s="43" t="str">
        <f t="shared" si="380"/>
        <v/>
      </c>
      <c r="PV121" s="43" t="str">
        <f t="shared" si="381"/>
        <v/>
      </c>
      <c r="PW121" s="43" t="str">
        <f t="shared" si="382"/>
        <v/>
      </c>
      <c r="PX121" s="43" t="str">
        <f t="shared" si="383"/>
        <v/>
      </c>
      <c r="PY121" s="43" t="str">
        <f t="shared" si="384"/>
        <v/>
      </c>
      <c r="PZ121" s="43" t="str">
        <f t="shared" si="385"/>
        <v/>
      </c>
      <c r="QA121" s="43" t="str">
        <f t="shared" si="386"/>
        <v/>
      </c>
      <c r="QB121" s="43" t="str">
        <f t="shared" si="387"/>
        <v/>
      </c>
      <c r="QC121" s="43" t="str">
        <f t="shared" si="388"/>
        <v/>
      </c>
      <c r="QD121" s="43" t="str">
        <f t="shared" si="389"/>
        <v/>
      </c>
      <c r="QE121" s="43" t="str">
        <f t="shared" si="390"/>
        <v/>
      </c>
      <c r="QF121" s="43" t="str">
        <f t="shared" si="391"/>
        <v/>
      </c>
      <c r="QG121" s="43" t="str">
        <f t="shared" si="392"/>
        <v/>
      </c>
      <c r="QH121" s="43" t="str">
        <f t="shared" si="393"/>
        <v/>
      </c>
      <c r="QI121" s="43" t="str">
        <f t="shared" si="394"/>
        <v/>
      </c>
      <c r="QJ121" s="43" t="str">
        <f t="shared" si="395"/>
        <v/>
      </c>
      <c r="QK121" s="43" t="str">
        <f t="shared" si="396"/>
        <v/>
      </c>
      <c r="QL121" s="43" t="str">
        <f t="shared" si="397"/>
        <v/>
      </c>
      <c r="QM121" s="43" t="str">
        <f t="shared" si="398"/>
        <v/>
      </c>
      <c r="QN121" s="43" t="str">
        <f t="shared" si="399"/>
        <v/>
      </c>
      <c r="QO121" s="43" t="str">
        <f t="shared" si="400"/>
        <v/>
      </c>
      <c r="QP121" s="43" t="str">
        <f t="shared" si="401"/>
        <v/>
      </c>
      <c r="QQ121" s="43" t="str">
        <f t="shared" si="402"/>
        <v/>
      </c>
      <c r="QR121" s="43" t="str">
        <f t="shared" si="432"/>
        <v>Menor</v>
      </c>
      <c r="QS121" s="43"/>
      <c r="QT121" s="21" t="str">
        <f t="shared" si="403"/>
        <v/>
      </c>
      <c r="QU121" s="21" t="str">
        <f t="shared" si="404"/>
        <v/>
      </c>
      <c r="QV121" s="21" t="str">
        <f t="shared" si="405"/>
        <v/>
      </c>
      <c r="QW121" s="21" t="str">
        <f t="shared" si="406"/>
        <v/>
      </c>
      <c r="QX121" s="21" t="str">
        <f t="shared" si="407"/>
        <v/>
      </c>
      <c r="QY121" s="21" t="str">
        <f t="shared" si="408"/>
        <v/>
      </c>
      <c r="QZ121" s="21" t="str">
        <f t="shared" si="409"/>
        <v/>
      </c>
      <c r="RA121" s="21" t="str">
        <f t="shared" si="410"/>
        <v/>
      </c>
      <c r="RB121" s="21" t="str">
        <f t="shared" si="411"/>
        <v/>
      </c>
      <c r="RC121" s="21" t="str">
        <f t="shared" si="412"/>
        <v/>
      </c>
      <c r="RD121" s="21" t="str">
        <f t="shared" si="413"/>
        <v/>
      </c>
      <c r="RE121" s="21" t="str">
        <f t="shared" si="414"/>
        <v/>
      </c>
      <c r="RF121" s="21" t="str">
        <f t="shared" si="415"/>
        <v/>
      </c>
      <c r="RG121" s="21" t="str">
        <f t="shared" si="416"/>
        <v/>
      </c>
      <c r="RH121" s="21" t="str">
        <f t="shared" si="417"/>
        <v/>
      </c>
      <c r="RI121" s="21" t="str">
        <f t="shared" si="418"/>
        <v/>
      </c>
      <c r="RJ121" s="21" t="str">
        <f t="shared" si="419"/>
        <v/>
      </c>
      <c r="RK121" s="21" t="str">
        <f t="shared" si="420"/>
        <v/>
      </c>
      <c r="RL121" s="21" t="str">
        <f t="shared" si="421"/>
        <v/>
      </c>
      <c r="RM121" s="21" t="str">
        <f t="shared" si="422"/>
        <v/>
      </c>
      <c r="RN121" s="21" t="str">
        <f t="shared" si="423"/>
        <v/>
      </c>
      <c r="RO121" s="21" t="str">
        <f t="shared" si="424"/>
        <v/>
      </c>
      <c r="RP121" s="21" t="str">
        <f t="shared" si="425"/>
        <v/>
      </c>
      <c r="RQ121" s="21" t="str">
        <f t="shared" si="426"/>
        <v/>
      </c>
      <c r="RR121" s="21" t="str">
        <f t="shared" si="427"/>
        <v/>
      </c>
      <c r="RS121" s="21" t="str">
        <f t="shared" si="428"/>
        <v/>
      </c>
      <c r="RT121" s="21" t="str">
        <f t="shared" si="429"/>
        <v/>
      </c>
      <c r="RU121" s="21" t="str">
        <f t="shared" si="430"/>
        <v/>
      </c>
      <c r="RV121" s="21">
        <f t="shared" si="431"/>
        <v>-1</v>
      </c>
      <c r="RW121" s="284">
        <f>IF(OR(Tabla1[[#This Row],[FUM FORMULA CONFIABLE]]="",Tabla1[[#This Row],[FUM FORMULA CONFIABLE]]="SD"),"",IF(Tabla1[[#This Row],[FUM FORMULA CONFIABLE]]="CORREGIDA",Tabla1[[#This Row],[FUM X ECO 1]],Tabla1[[#This Row],[FUM x AMENORREA]]))</f>
        <v>44899.8</v>
      </c>
      <c r="RX121" s="21">
        <f>IF(AND(Tabla1[[#This Row],[FUM X ECO 1]]="",Tabla1[[#This Row],[FUM x AMENORREA]]=""),"",IF(AND(Tabla1[[#This Row],[FUM X ECO 1]]="",Tabla1[[#This Row],[FUM x AMENORREA]]&lt;&gt;""),"X",SUM(Tabla1[[#This Row],[FUM X ECO 1]]-Tabla1[[#This Row],[FUM x AMENORREA]])))</f>
        <v>6.8000000000029104</v>
      </c>
      <c r="RY121" s="21">
        <f t="shared" si="433"/>
        <v>1</v>
      </c>
    </row>
    <row r="122" spans="1:493" ht="45" customHeight="1" x14ac:dyDescent="0.25">
      <c r="A122" s="109"/>
      <c r="B122" s="43"/>
      <c r="C122" s="43" t="s">
        <v>845</v>
      </c>
      <c r="D122" s="124"/>
      <c r="E122" s="43" t="s">
        <v>1360</v>
      </c>
      <c r="F122" s="43" t="s">
        <v>1361</v>
      </c>
      <c r="G122" s="43" t="s">
        <v>938</v>
      </c>
      <c r="H122" s="43" t="s">
        <v>1362</v>
      </c>
      <c r="I122" s="109" t="s">
        <v>851</v>
      </c>
      <c r="J122" s="110" t="s">
        <v>1363</v>
      </c>
      <c r="K122" s="43" t="s">
        <v>852</v>
      </c>
      <c r="L122" s="175" t="s">
        <v>1509</v>
      </c>
      <c r="M122" s="22">
        <v>38336</v>
      </c>
      <c r="N122" s="213">
        <f t="shared" ca="1" si="252"/>
        <v>18.895890410958906</v>
      </c>
      <c r="O122" s="22">
        <v>44988</v>
      </c>
      <c r="P122" s="214" t="str">
        <f t="shared" si="437"/>
        <v>SI</v>
      </c>
      <c r="Q122" s="26" t="s">
        <v>855</v>
      </c>
      <c r="R122" s="22">
        <v>44988</v>
      </c>
      <c r="S122" s="21" t="s">
        <v>856</v>
      </c>
      <c r="T122" s="24" t="s">
        <v>690</v>
      </c>
      <c r="U122" s="21" t="s">
        <v>857</v>
      </c>
      <c r="V122" s="21" t="s">
        <v>858</v>
      </c>
      <c r="W122" s="21" t="s">
        <v>1259</v>
      </c>
      <c r="X122" s="21" t="s">
        <v>1259</v>
      </c>
      <c r="Y122" s="21" t="s">
        <v>859</v>
      </c>
      <c r="Z122" s="21">
        <v>3195496073</v>
      </c>
      <c r="AA122" s="21" t="s">
        <v>860</v>
      </c>
      <c r="AB122" s="27" t="s">
        <v>861</v>
      </c>
      <c r="AC122" s="26" t="s">
        <v>862</v>
      </c>
      <c r="AD122" s="38" t="s">
        <v>1546</v>
      </c>
      <c r="AE122" s="26" t="s">
        <v>854</v>
      </c>
      <c r="AF122" s="26" t="s">
        <v>854</v>
      </c>
      <c r="AG122" s="23" t="s">
        <v>864</v>
      </c>
      <c r="AH122" s="23" t="s">
        <v>864</v>
      </c>
      <c r="AI122" s="24" t="s">
        <v>863</v>
      </c>
      <c r="AJ122" s="23" t="s">
        <v>864</v>
      </c>
      <c r="AK122" s="220" t="str">
        <f>IF(AND(AD122="",AE122="",AF122="",AG122="",AH122="",AI122="",AJ122=""),"",IF(OR(Tabla1[[#This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EVALUACIÓN",IF(AND(O122="",R122=""),"",IF(AND(OR(O122&gt;0,R122&gt;0),NG122&gt;=0,NG122&lt;2),"SIN RIESGO",IF(AND(OR(O122&gt;0,R122&gt;0),NG122&gt;=2),"CON RIESGO","ASD")))))</f>
        <v>SIN RIESGO</v>
      </c>
      <c r="AL122" s="23" t="s">
        <v>864</v>
      </c>
      <c r="AM122" s="26" t="s">
        <v>864</v>
      </c>
      <c r="AN122" s="26" t="s">
        <v>864</v>
      </c>
      <c r="AO122" s="26" t="s">
        <v>864</v>
      </c>
      <c r="AP122" s="26" t="s">
        <v>864</v>
      </c>
      <c r="AQ122" s="26" t="s">
        <v>864</v>
      </c>
      <c r="AR122" s="26" t="s">
        <v>864</v>
      </c>
      <c r="AS122" s="21">
        <v>1</v>
      </c>
      <c r="AT122" s="21">
        <v>1</v>
      </c>
      <c r="AU122" s="21">
        <v>0</v>
      </c>
      <c r="AV122" s="26" t="s">
        <v>864</v>
      </c>
      <c r="AW122" s="21">
        <v>0</v>
      </c>
      <c r="AX122" s="26" t="s">
        <v>864</v>
      </c>
      <c r="AY122" s="26" t="s">
        <v>864</v>
      </c>
      <c r="AZ122" s="26" t="s">
        <v>864</v>
      </c>
      <c r="BA122" s="26" t="s">
        <v>864</v>
      </c>
      <c r="BB122" s="26" t="s">
        <v>864</v>
      </c>
      <c r="BC122" s="26" t="s">
        <v>864</v>
      </c>
      <c r="BD122" s="26" t="s">
        <v>864</v>
      </c>
      <c r="BE122" s="26" t="s">
        <v>864</v>
      </c>
      <c r="BF122" s="26" t="s">
        <v>864</v>
      </c>
      <c r="BG122" s="26" t="s">
        <v>864</v>
      </c>
      <c r="BH122" s="26" t="s">
        <v>864</v>
      </c>
      <c r="BI122" s="26" t="s">
        <v>864</v>
      </c>
      <c r="BJ122" s="26" t="s">
        <v>864</v>
      </c>
      <c r="BK122" s="26" t="s">
        <v>864</v>
      </c>
      <c r="BL122" s="26" t="s">
        <v>864</v>
      </c>
      <c r="BM122" s="26" t="s">
        <v>864</v>
      </c>
      <c r="BN122" s="22">
        <v>44411</v>
      </c>
      <c r="BO122" s="22">
        <v>44941</v>
      </c>
      <c r="BP122" s="21" t="s">
        <v>854</v>
      </c>
      <c r="BQ122" s="222">
        <f t="shared" si="254"/>
        <v>17.666666666666668</v>
      </c>
      <c r="BR122" s="223" t="str">
        <f t="shared" si="255"/>
        <v/>
      </c>
      <c r="BS122" s="224">
        <f t="shared" si="256"/>
        <v>6.7142857142857144</v>
      </c>
      <c r="BT122" s="216" t="str">
        <f t="shared" si="257"/>
        <v>I TRIM</v>
      </c>
      <c r="BU122" s="214">
        <f t="shared" ca="1" si="258"/>
        <v>41.714285714285715</v>
      </c>
      <c r="BV122" s="25"/>
      <c r="BW122" s="22"/>
      <c r="BX122" s="28"/>
      <c r="BY122" s="28"/>
      <c r="BZ122" s="22"/>
      <c r="CA122" s="21"/>
      <c r="CB122" s="26"/>
      <c r="CC122" s="26"/>
      <c r="CD122" s="26"/>
      <c r="CE122" s="26"/>
      <c r="CF122" s="22" t="s">
        <v>1517</v>
      </c>
      <c r="CG122" s="21">
        <v>1.5</v>
      </c>
      <c r="CH122" s="21">
        <v>56</v>
      </c>
      <c r="CI122" s="214">
        <f t="shared" si="259"/>
        <v>24.888888888888889</v>
      </c>
      <c r="CJ122" s="225" t="str">
        <f>IF(AND(CI122&lt;10,CH122="SD"),"SIN DATO PESO PREGESTACION O I TRIM",IF(AND(OR(R122&gt;0,O122&gt;0),CI122="X"),"INGRESAR DATO DE PESO",IF(CI122="SD","INGRESAR DATO DE TALLA Y PESO",IF(AND(OR(Tabla1[[#This Row],[MOMENTO EN QUE SE REALIZA EL PESO AL INGRESO A CPN]]="PREGESTACIÓN",NZ122="Menor"),CI122&lt;18.5),"BAJO PESO",IF(AND(OR(Tabla1[[#This Row],[MOMENTO EN QUE SE REALIZA EL PESO AL INGRESO A CPN]]="PREGESTACIÓN",NZ122="Menor"),CI122&lt;25),"NORMAL",IF(AND(OR(Tabla1[[#This Row],[MOMENTO EN QUE SE REALIZA EL PESO AL INGRESO A CPN]]="PREGESTACIÓN",NZ122="Menor"),CI122&lt;30),"SOBREPESO",IF(AND(OR(Tabla1[[#This Row],[MOMENTO EN QUE SE REALIZA EL PESO AL INGRESO A CPN]]="PREGESTACIÓN",NZ122="Menor"),CI122&gt;=30,CI122&lt;50),"OBESIDAD",IF(AND(BS122&gt;0,Tabla1[[#This Row],[MOMENTO EN QUE SE REALIZA EL PESO AL INGRESO A CPN]]="GESTACIÓN"),HLOOKUP(NZ122,$OA$2:PH122,NY122),""))))))))</f>
        <v>NORMAL</v>
      </c>
      <c r="CK122" s="212">
        <f t="shared" si="260"/>
        <v>45115</v>
      </c>
      <c r="CL122" s="21">
        <v>64.400000000000006</v>
      </c>
      <c r="CM122" s="214">
        <f t="shared" si="261"/>
        <v>28.622222222222224</v>
      </c>
      <c r="CN122" s="216">
        <f t="shared" si="262"/>
        <v>24</v>
      </c>
      <c r="CO122" s="216" t="e">
        <f>IF(PI122="","",IF(PI122&gt;0,HLOOKUP(PI122,$PJ$2:QQ122,NY122),""))</f>
        <v>#REF!</v>
      </c>
      <c r="CP122" s="21">
        <v>33</v>
      </c>
      <c r="CQ122" s="216" t="e">
        <f>IF(QR122="Menor","NO APLICA-MENOR 13 SEM",IF(AND(CC122="SI",CN122&gt;23),"NO APLICA- GEMELAR",IF(QR122="","",IF(QR122&gt;0,HLOOKUP(QR122,$QS$2:RU122,NY122),""))))</f>
        <v>#REF!</v>
      </c>
      <c r="CR122" s="21">
        <v>110</v>
      </c>
      <c r="CS122" s="21">
        <v>80</v>
      </c>
      <c r="CT122" s="217" t="str">
        <f>IF(R122="","",IF(AND(BS122&gt;1,BS122&lt;12,Tabla1[[#This Row],[T.A. SISTOLICA - ANTES DE SEMANA 12]]="",Tabla1[[#This Row],[T.A. DIASTOLICA - ANTES DE SEMANA 12]]=""),"REGISTRE DATO TA ANTES SEMANA 12",IF(AND(BS122&gt;11,BS122&lt;43,Tabla1[[#This Row],[T.A. SISTOLICA - ANTES DE SEMANA 12]]="",Tabla1[[#This Row],[T.A. DIASTOLICA - ANTES DE SEMANA 12]]=""),"NO APLICA REGISTRO TA-INGRESO TARDIO",IF(AND(OR(O122&gt;0,R122&gt;0),OR(CR122&gt;=140,CS122&gt;=90)),"DEFINIR ESTADIO HTA",IF(AND(OR(O122&gt;0,R122&gt;0),AND(CR122&gt;120,CR122&lt;=139)),"PRE HTA SEGUIMIENTO",IF(AND(OR(O122&gt;0,R122&gt;0),AND(CS122&gt;80,CS122&lt;=89)),"PRE HTA SEGUIMIENTO",IF(AND(OR(O122&gt;0,R122&gt;0),AND(CR122&gt;=80,CR122&lt;=120)),"APARENTEMENTE NORMAL",IF(AND(OR(O122&gt;0,R122&gt;0),AND(CS122&gt;=50,CS122&lt;=80)),"APARENTEMENTE NORMAL",IF(AND(OR(O122&gt;0,R122&gt;0),AND(CR122&gt;1,CR122&lt;=70),AND(CS122&gt;1,CS122&lt;=40)),"HIPOTENSIÓN","")))))))))</f>
        <v>APARENTEMENTE NORMAL</v>
      </c>
      <c r="CU122" s="21"/>
      <c r="CV122" s="21"/>
      <c r="CW122" s="217" t="str">
        <f>IF(R122="","",IF(AND(CN122&gt;19,CN122&lt;27,Tabla1[[#This Row],[T.A. SISTOLICA (Entre semana 20 y 26)]]="",Tabla1[[#This Row],[T.A. DIATOLICA (Entre semana 20 y 26)]]=""),"ACUDE A CONTROL SEM 20 A 26 REGISTRE TA AHORA",IF(AND(BS122&gt;1,BS122&lt;27,BU122&gt;19,Tabla1[[#This Row],[T.A. SISTOLICA (Entre semana 20 y 26)]]="",Tabla1[[#This Row],[T.A. DIATOLICA (Entre semana 20 y 26)]]=""),"COMPLETE REGISTRO TA CONTROL SEM 20 A26 ",IF(AND(BS122&gt;26,BS122&lt;43,Tabla1[[#This Row],[T.A. SISTOLICA (Entre semana 20 y 26)]]="",Tabla1[[#This Row],[T.A. DIATOLICA (Entre semana 20 y 26)]]=""),"NO APLICA REGISTRO TA-INGRESO TARDIO",IF(AND(OR(O122&gt;0,R122&gt;0),OR(CU122&gt;=140,CV122&gt;=90)),"ALTO RIESGO PREECLAMPSIA,DEFINIR ESTADIO HTA",IF(AND(OR(O122&gt;0,R122&gt;0),AND(CU122&gt;120,CU122&lt;=139)),"PRE HTA SEGUIMIENTO,RIESGO HIPERTENSION INDUCIDA POR EL EMBARAZO",IF(AND(OR(O122&gt;0,R122&gt;0),AND(CV122&gt;80,CV122&lt;=89)),"PRE HTA SEGUIMIENTO, RIESGO HIPERTENSION INDUCIDA POR EL EMBARAZO",IF(AND(OR(O122&lt;&gt;"",R122&lt;&gt;""),CS122&lt;&gt;"",CV122&lt;&gt;"",CS122&lt;=CV122),"VIGILAR CIFRAS PRESION ARTERIAL",IF(AND(OR(O122&gt;0,R122&gt;0),AND(CU122&gt;120,CU122&lt;=139)),"PRE HTA SEGUIMIENTO",IF(AND(OR(O122&gt;0,R122&gt;0),AND(CU122&gt;1,CU122&lt;=70),AND(CV122&gt;1,CV122&lt;=40)),"HIPOTENSIÓN",IF(AND(OR(O122&lt;&gt;"",R122&lt;&gt;""),CS122&lt;&gt;"",CV122&lt;&gt;"",CS122&gt;CV122),"APARENTEMENTE NORMAL",IF(AND(OR(O122&gt;0,R122&gt;0),AND(CU122&gt;=80,CU122&lt;=120)),"APARENTEMENTE NORMAL",IF(AND(OR(O122&gt;0,R122&gt;0),AND(CV122&gt;=50,CV122&lt;=80)),"APARENTEMENTE NORMAL","")))))))))))))</f>
        <v>ACUDE A CONTROL SEM 20 A 26 REGISTRE TA AHORA</v>
      </c>
      <c r="CX122" s="21"/>
      <c r="CY122" s="21"/>
      <c r="CZ122" s="216" t="str">
        <f t="shared" si="456"/>
        <v/>
      </c>
      <c r="DA122" s="21">
        <v>100</v>
      </c>
      <c r="DB122" s="21">
        <v>60</v>
      </c>
      <c r="DC122" s="217" t="str">
        <f t="shared" si="264"/>
        <v>APARENTEMENTE NORMAL</v>
      </c>
      <c r="DD122" s="22">
        <v>44988</v>
      </c>
      <c r="DE122" s="22">
        <v>44988</v>
      </c>
      <c r="DF122" s="22">
        <v>45098</v>
      </c>
      <c r="DG122" s="22">
        <v>45115</v>
      </c>
      <c r="DH122" s="22"/>
      <c r="DI122" s="22"/>
      <c r="DJ122" s="22"/>
      <c r="DK122" s="22"/>
      <c r="DL122" s="22"/>
      <c r="DM122" s="22"/>
      <c r="DN122" s="22"/>
      <c r="DO122" s="22"/>
      <c r="DP122" s="22"/>
      <c r="DQ122" s="22"/>
      <c r="DR122" s="28"/>
      <c r="DS122" s="22"/>
      <c r="DT122" s="22"/>
      <c r="DU122" s="216" t="str">
        <f t="shared" ca="1" si="438"/>
        <v>CONCERTAR PLAN DE PARTO INMEDIATO</v>
      </c>
      <c r="DV122" s="226" t="str">
        <f t="shared" si="439"/>
        <v>ACTIVA INGRESO A CPN</v>
      </c>
      <c r="DW1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2" s="216" t="e">
        <f t="shared" ca="1" si="266"/>
        <v>#REF!</v>
      </c>
      <c r="DY122" s="212">
        <f>IF(R122="","",IF(R122&gt;0,MAX(Tabla1[[#This Row],[FECHA C2]:[FECHA C13]],Tabla1[[#This Row],[FECHA CONSULTA PRIMERA VEZ PROGRAMA CPN ]])))</f>
        <v>45115</v>
      </c>
      <c r="DZ122" s="216">
        <f t="shared" si="267"/>
        <v>24</v>
      </c>
      <c r="EA122" s="222">
        <f>IF(R122&gt;0,SUM(COUNTA(DF122:DQ122)+COUNTA(Tabla1[[#This Row],[FECHA CONSULTA PRIMERA VEZ PROGRAMA CPN ]])),"")</f>
        <v>3</v>
      </c>
      <c r="EB122" s="222" t="str">
        <f t="shared" si="268"/>
        <v>NO</v>
      </c>
      <c r="EC122" s="214">
        <f t="shared" si="269"/>
        <v>10</v>
      </c>
      <c r="ED122" s="227">
        <f t="shared" si="270"/>
        <v>0.3</v>
      </c>
      <c r="EE122" s="22">
        <v>44988</v>
      </c>
      <c r="EF122" s="22">
        <v>44988</v>
      </c>
      <c r="EG122" s="22">
        <v>44988</v>
      </c>
      <c r="EH122" s="22"/>
      <c r="EI122" s="22">
        <v>44988</v>
      </c>
      <c r="EJ122" s="22"/>
      <c r="EK122" s="22"/>
      <c r="EL122" s="21"/>
      <c r="EM122" s="21">
        <v>12.5</v>
      </c>
      <c r="EN122" s="22">
        <v>44988</v>
      </c>
      <c r="EO122" s="222">
        <f t="shared" si="271"/>
        <v>6.7142857142857144</v>
      </c>
      <c r="EP122" s="214" t="str">
        <f t="shared" si="272"/>
        <v>NORMAL- SUMINISTRAR SULFATO FERROSO</v>
      </c>
      <c r="EQ122" s="216" t="str">
        <f t="shared" si="273"/>
        <v>I TRIM</v>
      </c>
      <c r="ER122" s="24"/>
      <c r="ES122" s="22"/>
      <c r="ET122" s="29" t="str">
        <f t="shared" ca="1" si="440"/>
        <v>TOMA DE HEMOGLOBINA TARDÍA</v>
      </c>
      <c r="EU122" s="25" t="str">
        <f t="shared" si="275"/>
        <v/>
      </c>
      <c r="EV122" s="24" t="s">
        <v>1510</v>
      </c>
      <c r="EW122" s="24">
        <v>44988</v>
      </c>
      <c r="EX122" s="22"/>
      <c r="EY122" s="29">
        <f t="shared" si="453"/>
        <v>6.7142857142857144</v>
      </c>
      <c r="EZ122" s="25" t="str">
        <f t="shared" si="454"/>
        <v>SIN RIESGO DE ISOINMUNIZACIÓN</v>
      </c>
      <c r="FA122" s="21">
        <v>70</v>
      </c>
      <c r="FB122" s="22">
        <v>44988</v>
      </c>
      <c r="FC122" s="29">
        <f t="shared" si="276"/>
        <v>6.7142857142857144</v>
      </c>
      <c r="FD122" s="29"/>
      <c r="FE122" s="29"/>
      <c r="FF122" s="29"/>
      <c r="FG122" s="21" t="str">
        <f t="shared" ca="1" si="277"/>
        <v>TOMAR PTOG</v>
      </c>
      <c r="FH122" s="31"/>
      <c r="FI122" s="29" t="str">
        <f t="shared" si="278"/>
        <v>TOMAR EXAMEN</v>
      </c>
      <c r="FJ122" s="22" t="s">
        <v>867</v>
      </c>
      <c r="FK122" s="22">
        <v>44988</v>
      </c>
      <c r="FL122" s="29">
        <f t="shared" ca="1" si="279"/>
        <v>6.7142857142857144</v>
      </c>
      <c r="FM122" s="22" t="s">
        <v>867</v>
      </c>
      <c r="FN122" s="32">
        <v>45115</v>
      </c>
      <c r="FO122" s="29">
        <f t="shared" ca="1" si="441"/>
        <v>24.857142857142858</v>
      </c>
      <c r="FP122" s="22"/>
      <c r="FQ122" s="32"/>
      <c r="FR122" s="29" t="str">
        <f t="shared" ca="1" si="442"/>
        <v>TOMA INMEDIATA DE TAMIZAJE</v>
      </c>
      <c r="FS122" s="22"/>
      <c r="FT122" s="32"/>
      <c r="FU122" s="29" t="str">
        <f>IF(AND(FJ122="",FM122="",FP122="",FS122=""),"",IF(OR(OR(Tabla1[[#This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2" s="28"/>
      <c r="FW122" s="22"/>
      <c r="FX122" s="29" t="str">
        <f t="shared" si="280"/>
        <v>TOMAR EXAMEN</v>
      </c>
      <c r="FY122" s="22">
        <v>44988</v>
      </c>
      <c r="FZ122" s="22">
        <v>44988</v>
      </c>
      <c r="GA122" s="29">
        <f t="shared" ca="1" si="452"/>
        <v>6.7142857142857144</v>
      </c>
      <c r="GB122" s="22" t="s">
        <v>868</v>
      </c>
      <c r="GC122" s="22">
        <v>45115</v>
      </c>
      <c r="GD122" s="29">
        <f t="shared" ca="1" si="490"/>
        <v>24.857142857142858</v>
      </c>
      <c r="GE122" s="22"/>
      <c r="GF122" s="22"/>
      <c r="GG122" s="29" t="str">
        <f t="shared" ca="1" si="444"/>
        <v>TOMA INMEDIATA DE TAMIZAJE</v>
      </c>
      <c r="GH122" s="22"/>
      <c r="GI122" s="29"/>
      <c r="GJ122" s="22"/>
      <c r="GK122" s="22"/>
      <c r="GL122" s="22"/>
      <c r="GM122" s="22"/>
      <c r="GN122" s="28" t="s">
        <v>869</v>
      </c>
      <c r="GO122" s="22">
        <v>44988</v>
      </c>
      <c r="GP122" s="29">
        <f t="shared" si="283"/>
        <v>6.7142857142857144</v>
      </c>
      <c r="GQ122" s="28" t="s">
        <v>869</v>
      </c>
      <c r="GR122" s="28" t="s">
        <v>869</v>
      </c>
      <c r="GS122" s="22" t="str">
        <f t="shared" si="457"/>
        <v>CONTROL Igm</v>
      </c>
      <c r="GT122" s="22">
        <v>44988</v>
      </c>
      <c r="GU122" s="29">
        <f t="shared" si="285"/>
        <v>6.7142857142857144</v>
      </c>
      <c r="GV122" s="21" t="str">
        <f t="shared" si="286"/>
        <v>I TRIM</v>
      </c>
      <c r="GW122" s="28" t="s">
        <v>869</v>
      </c>
      <c r="GX122" s="30"/>
      <c r="GY122" s="21"/>
      <c r="GZ122" s="21"/>
      <c r="HA122" s="21"/>
      <c r="HB122" s="21"/>
      <c r="HC122" s="21"/>
      <c r="HD122" s="21"/>
      <c r="HE122" s="21"/>
      <c r="HF122" s="22"/>
      <c r="HG122" s="22" t="str">
        <f>IF(OR(O122&gt;0,R122&gt;0),CONCATENATE(IF(Tabla1[[#This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2" s="22" t="e">
        <f t="shared" si="287"/>
        <v>#REF!</v>
      </c>
      <c r="HI122" s="22" t="e">
        <f t="shared" ca="1" si="288"/>
        <v>#REF!</v>
      </c>
      <c r="HJ122" s="21"/>
      <c r="HK122" s="21" t="str">
        <f t="shared" si="289"/>
        <v>SIN ANTECEDENTES DE RIESGO</v>
      </c>
      <c r="HL122" s="24" t="str">
        <f t="shared" si="290"/>
        <v>APARENTEMENTE NORMAL</v>
      </c>
      <c r="HM122" s="21" t="e">
        <f t="shared" ca="1" si="291"/>
        <v>#REF!</v>
      </c>
      <c r="HN122" s="30" t="str">
        <f t="shared" si="445"/>
        <v>ACTIVA INGRESO A CPN</v>
      </c>
      <c r="HO122" s="21"/>
      <c r="HP122" s="21"/>
      <c r="HQ122" s="349"/>
      <c r="HR122" s="21" t="str">
        <f>IF(R122="","",IF(Tabla1[[#This Row],[ALARMA FACTORES DE RIESGO COMPLICACIONES HIPERTENSIVAS3]]="SIN ANTECEDENTES DE RIESGO","No Aplica para suministro de ASA",IF(AND(Tabla1[[#This Row],[FECHA INICIO DE SUMINISTRO DE ASA]]&gt;0,RV122&lt;12),"Inicia ASA ANTES de Sem 12",IF(AND(RV122&gt;11,RV122&lt;17,OR(HK122="RIESGO ALTO DE COMPLICACIONES HIPERTENSIVAS VER MANEJO GUIA SUMINISTRO ASA Y CALCIO",HK122="RIESGO MODERADO (2 O MAS CRITERIOS) VER MANEJO GUIA SUMINISTRO ASA Y CALCIO")),"Inicio oportuno de ASA",IF(AND(RV122&gt;12,OR(HK122="RIESGO ALTO DE COMPLICACIONES HIPERTENSIVAS VER MANEJO GUIA SUMINISTRO ASA Y CALCIO",HK122="RIESGO MODERADO (2 O MAS CRITERIOS) VER MANEJO GUIA SUMINISTRO ASA Y CALCIO")),"Inicio no oportuno mayor a 16 semanas",IF(AND(BU122&lt;12,OR(HK122="RIESGO ALTO DE COMPLICACIONES HIPERTENSIVAS VER MANEJO GUIA SUMINISTRO ASA Y CALCIO",HK122="RIESGO MODERADO (2 O MAS CRITERIOS) VER MANEJO GUIA SUMINISTRO ASA Y CALCIO")),"Pendiente Inicio de ASA a la semana 12",IF(AND(BU122&gt;11,BU122&lt;17,OR(HK122="RIESGO ALTO DE COMPLICACIONES HIPERTENSIVAS VER MANEJO GUIA SUMINISTRO ASA Y CALCIO",HK122="RIESGO MODERADO (2 O MAS CRITERIOS) VER MANEJO GUIA SUMINISTRO ASA Y CALCIO")),"Iniciar de inmediato ASA",IF(AND(BU122&gt;16,OR(HK122="RIESGO ALTO DE COMPLICACIONES HIPERTENSIVAS VER MANEJO GUIA SUMINISTRO ASA Y CALCIO",HK122="RIESGO MODERADO (2 O MAS CRITERIOS) VER MANEJO GUIA SUMINISTRO ASA Y CALCIO")),"Pierde Oportunidad, Inicio tardío de ASA","XXXXX"))))))))</f>
        <v>No Aplica para suministro de ASA</v>
      </c>
      <c r="HS122" s="22"/>
      <c r="HT122" s="22"/>
      <c r="HU122" s="22">
        <v>44988</v>
      </c>
      <c r="HV122" s="22" t="s">
        <v>870</v>
      </c>
      <c r="HW122" s="22">
        <v>44988</v>
      </c>
      <c r="HX122" s="22" t="s">
        <v>870</v>
      </c>
      <c r="HY122" s="22">
        <v>44988</v>
      </c>
      <c r="HZ122" s="28">
        <f t="shared" si="292"/>
        <v>6.7142857142857144</v>
      </c>
      <c r="IA122" s="26"/>
      <c r="IB122" s="26"/>
      <c r="IC122" s="111"/>
      <c r="ID122" s="22"/>
      <c r="IE122" s="22" t="str">
        <f t="shared" ca="1" si="293"/>
        <v>INASISTENTE</v>
      </c>
      <c r="IF122" s="22"/>
      <c r="IG122" s="22">
        <f t="shared" si="294"/>
        <v>45221</v>
      </c>
      <c r="IH122" s="29">
        <f t="shared" ca="1" si="295"/>
        <v>-12</v>
      </c>
      <c r="II122" s="22" t="str">
        <f t="shared" ca="1" si="296"/>
        <v>POSIBLEMENTE NACIO</v>
      </c>
      <c r="IJ122" s="22"/>
      <c r="IK122" s="21"/>
      <c r="IL122" s="21"/>
      <c r="IM122" s="34"/>
      <c r="IN122" s="22"/>
      <c r="IO122" s="21"/>
      <c r="IP122" s="29" t="str">
        <f t="shared" si="489"/>
        <v/>
      </c>
      <c r="IQ122" s="35"/>
      <c r="IR122" s="21"/>
      <c r="IS122" s="21"/>
      <c r="IT122" s="21"/>
      <c r="IU122" s="21"/>
      <c r="IV122" s="21"/>
      <c r="IW122" s="21"/>
      <c r="IX122" s="21"/>
      <c r="IY122" s="21"/>
      <c r="IZ122" s="21"/>
      <c r="JA122" s="21"/>
      <c r="JB122" s="30"/>
      <c r="JC122" s="21"/>
      <c r="JD122" s="36"/>
      <c r="JE122" s="21" t="str">
        <f t="shared" si="491"/>
        <v/>
      </c>
      <c r="JF122" s="30"/>
      <c r="JG122" s="21"/>
      <c r="JH122" s="21"/>
      <c r="JI122" s="21"/>
      <c r="JJ122" s="30"/>
      <c r="JK122" s="22"/>
      <c r="JL122" s="22"/>
      <c r="JM122" s="21"/>
      <c r="JN122" s="36"/>
      <c r="JO122" s="21" t="str">
        <f t="shared" si="492"/>
        <v/>
      </c>
      <c r="JP122" s="22"/>
      <c r="JQ122" s="21"/>
      <c r="JR122" s="21"/>
      <c r="JS122" s="21"/>
      <c r="JT122" s="30"/>
      <c r="JU122" s="22"/>
      <c r="JV122" s="22"/>
      <c r="JW122" s="33"/>
      <c r="JX122" s="28" t="str">
        <f t="shared" si="493"/>
        <v/>
      </c>
      <c r="JY122" s="33"/>
      <c r="JZ122" s="28" t="str">
        <f t="shared" si="494"/>
        <v/>
      </c>
      <c r="KA122" s="21"/>
      <c r="KB122" s="21"/>
      <c r="KC122" s="21"/>
      <c r="KD122" s="37"/>
      <c r="KE122" s="28"/>
      <c r="KF122" s="28"/>
      <c r="KG122" s="28"/>
      <c r="KH122" s="39"/>
      <c r="KI122" s="39"/>
      <c r="KJ122" s="66"/>
      <c r="KK122" s="39"/>
      <c r="KL122" s="39"/>
      <c r="KM122" s="66"/>
      <c r="KN122" s="39"/>
      <c r="KO122" s="39"/>
      <c r="KP122" s="39"/>
      <c r="KQ122" s="39"/>
      <c r="KR122" s="39"/>
      <c r="KS122" s="39"/>
      <c r="KT122" s="39"/>
      <c r="KU122" s="38"/>
      <c r="KV122" s="38"/>
      <c r="KW122" s="38"/>
      <c r="KX122" s="38"/>
      <c r="KY122" s="38"/>
      <c r="KZ122" s="38"/>
      <c r="LA122" s="38"/>
      <c r="LB122" s="38"/>
      <c r="LC122" s="38"/>
      <c r="LD122" s="38"/>
      <c r="LE122" s="38"/>
      <c r="LF122" s="38"/>
      <c r="LG122" s="38"/>
      <c r="LH122" s="38"/>
      <c r="LI122" s="38"/>
      <c r="LJ122" s="38"/>
      <c r="LK122" s="38"/>
      <c r="LL122" s="38"/>
      <c r="LM122" s="38"/>
      <c r="LN122" s="38"/>
      <c r="LO122" s="38"/>
      <c r="LP122" s="38"/>
      <c r="LQ122" s="38"/>
      <c r="LR122" s="38"/>
      <c r="LS122" s="38"/>
      <c r="LT122" s="38"/>
      <c r="LU122" s="38"/>
      <c r="LV122" s="38"/>
      <c r="LW122" s="38"/>
      <c r="LX122" s="38"/>
      <c r="LY122" s="38"/>
      <c r="LZ122" s="38"/>
      <c r="MA122" s="38"/>
      <c r="MB122" s="38"/>
      <c r="MC122" s="38"/>
      <c r="MD122" s="38"/>
      <c r="ME122" s="38"/>
      <c r="MF122" s="38"/>
      <c r="MG122" s="38"/>
      <c r="MH122" s="43">
        <f t="shared" si="458"/>
        <v>0</v>
      </c>
      <c r="MI122" s="43" t="str">
        <f t="shared" si="459"/>
        <v/>
      </c>
      <c r="MJ122" s="43" t="str">
        <f t="shared" si="460"/>
        <v/>
      </c>
      <c r="MK122" s="43">
        <f t="shared" si="461"/>
        <v>0</v>
      </c>
      <c r="ML1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2" s="43">
        <f t="shared" si="462"/>
        <v>6.7142857142857144</v>
      </c>
      <c r="MN122" s="43">
        <f t="shared" si="463"/>
        <v>3</v>
      </c>
      <c r="MO122" s="43">
        <f t="shared" si="464"/>
        <v>2023</v>
      </c>
      <c r="MP122" s="43" t="str">
        <f t="shared" si="465"/>
        <v>I TRIMESTRE AÑO</v>
      </c>
      <c r="MQ122" s="43">
        <f t="shared" si="466"/>
        <v>17.953350854139291</v>
      </c>
      <c r="MR122" s="43">
        <f t="shared" si="467"/>
        <v>0</v>
      </c>
      <c r="MS122" s="43" t="str">
        <f t="shared" si="468"/>
        <v>DE 14 A 19AÑOS</v>
      </c>
      <c r="MT122" s="43">
        <f t="shared" si="469"/>
        <v>0</v>
      </c>
      <c r="MU122" s="43">
        <f t="shared" si="470"/>
        <v>0</v>
      </c>
      <c r="MV122" s="43">
        <f t="shared" si="471"/>
        <v>0</v>
      </c>
      <c r="MW122" s="43">
        <f t="shared" si="472"/>
        <v>0</v>
      </c>
      <c r="MX122" s="43" t="str">
        <f t="shared" si="473"/>
        <v/>
      </c>
      <c r="MY122" s="43">
        <f t="shared" ca="1" si="495"/>
        <v>1</v>
      </c>
      <c r="MZ122" s="43" t="str">
        <f t="shared" si="474"/>
        <v/>
      </c>
      <c r="NA122" s="43" t="str">
        <f t="shared" si="475"/>
        <v/>
      </c>
      <c r="NB122" s="43" t="str">
        <f t="shared" si="476"/>
        <v/>
      </c>
      <c r="NC122" s="43" t="str">
        <f t="shared" si="477"/>
        <v/>
      </c>
      <c r="ND122" s="43">
        <f t="shared" ca="1" si="478"/>
        <v>1</v>
      </c>
      <c r="NE122" s="43">
        <f>IF(OR(O122&gt;0,R122&gt;0),SUM(COUNTIF(Tabla1[[#This Row],[AÑOS AL INICIO5 CPN]],"&gt;=40"),COUNTIF(AS122,"0"),COUNTIF(AR122,"SI"),COUNTIF(CC122,"SI"),COUNTIF(BQ122,"&gt;119"),COUNTIF(CI122,"&gt;=35")),"")</f>
        <v>0</v>
      </c>
      <c r="NF122" s="43" t="str">
        <f t="shared" si="479"/>
        <v/>
      </c>
      <c r="NG122" s="43">
        <f t="shared" si="480"/>
        <v>0</v>
      </c>
      <c r="NH122" s="43" t="str">
        <f t="shared" si="481"/>
        <v/>
      </c>
      <c r="NI1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CPN",P122="NO"),"Z",IF(AND(Tabla1[[#This Row],[CITA PROXIMO CONTROL]]="CITA MANUAL",Tabla1[[#This Row],[GESTANTES ACTUALES]]="ACTIVA INGRESO A CPN"),"W",IF(AND(Tabla1[[#This Row],[GESTANTES ACTUALES]]="SALIO PROGRAMA",IN122=""),"S",IF(AND(Tabla1[[#This Row],[CITA PROXIMO CONTROL]]&gt;0,IN122=""),(Tabla1[[#This Row],[CITA PROXIMO CONTROL]]-TODAY()),"SD"))))))))</f>
        <v>#REF!</v>
      </c>
      <c r="NJ122" s="43">
        <f>MONTH(Tabla1[[#This Row],[FECHA DE SALIDA  DEL PROGRAMA]])</f>
        <v>1</v>
      </c>
      <c r="NK122" s="43">
        <f>YEAR(Tabla1[[#This Row],[FECHA DE SALIDA  DEL PROGRAMA]])</f>
        <v>1900</v>
      </c>
      <c r="NL122" s="43" t="str">
        <f t="shared" si="482"/>
        <v>X</v>
      </c>
      <c r="NM122" s="43" t="str">
        <f t="shared" si="455"/>
        <v>NO</v>
      </c>
      <c r="NN122" s="43" t="str">
        <f ca="1">IF(AND(O122&gt;0,R122=""),"NO CPN",IF(AND(O122="",R122=""),"",IF(AND(R122&gt;0,Tabla1[[#This Row],[SEMANAS DE GESTACION ACTUALIZADAS]]&lt;=12),"NO APLICA",IF(AND(FH122&lt;&gt;"",FN122&lt;&gt;""),"SI","NO"))))</f>
        <v>NO</v>
      </c>
      <c r="NO122" s="43" t="str">
        <f ca="1">IF(AND(O122&gt;0,R122=""),"NO CPN",IF(AND(O122="",R122=""),"",IF(AND(R122&gt;0,Tabla1[[#This Row],[SEMANAS DE GESTACION ACTUALIZADAS]]&lt;=27),"NO APLICA",IF(AND(ES122&lt;&gt;"",FQ122&lt;&gt;"",GF122&lt;&gt;""),"SI","NO"))))</f>
        <v>NO</v>
      </c>
      <c r="NP122" s="204" t="str">
        <f t="shared" si="483"/>
        <v>I TRIM</v>
      </c>
      <c r="NQ122" s="21" t="str">
        <f t="shared" si="436"/>
        <v/>
      </c>
      <c r="NR122" s="21">
        <f t="shared" ca="1" si="496"/>
        <v>3</v>
      </c>
      <c r="NS122" s="205">
        <f t="shared" ca="1" si="484"/>
        <v>2</v>
      </c>
      <c r="NT122" s="21">
        <f t="shared" ca="1" si="485"/>
        <v>2</v>
      </c>
      <c r="NU122" s="21" t="str">
        <f t="shared" ca="1" si="486"/>
        <v>INCOMPLETO</v>
      </c>
      <c r="NV122" s="21" t="str">
        <f t="shared" ca="1" si="487"/>
        <v>INCOMPLETO</v>
      </c>
      <c r="NW122" s="206" t="str">
        <f>IF(AND(O122="",R122=""),"",IF(OR(AND(Tabla1[[#This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2" s="207" t="str">
        <f t="shared" ca="1" si="488"/>
        <v>SIN VACUNAR</v>
      </c>
      <c r="NY122" s="43">
        <f>ROW(Tabla1[[#This Row],['# DE TAMIZAJES SIFILIS TOMADOS ]])</f>
        <v>122</v>
      </c>
      <c r="NZ122" s="43" t="str">
        <f t="shared" si="333"/>
        <v>Menor</v>
      </c>
      <c r="OA122" s="43" t="str">
        <f t="shared" si="334"/>
        <v>NORMAL</v>
      </c>
      <c r="OB122" s="43" t="str">
        <f t="shared" si="335"/>
        <v/>
      </c>
      <c r="OC122" s="43" t="str">
        <f t="shared" si="336"/>
        <v/>
      </c>
      <c r="OD122" s="43" t="str">
        <f t="shared" si="337"/>
        <v/>
      </c>
      <c r="OE122" s="43" t="str">
        <f t="shared" si="338"/>
        <v/>
      </c>
      <c r="OF122" s="43" t="str">
        <f t="shared" si="339"/>
        <v/>
      </c>
      <c r="OG122" s="43" t="str">
        <f t="shared" si="340"/>
        <v/>
      </c>
      <c r="OH122" s="43" t="str">
        <f t="shared" si="341"/>
        <v/>
      </c>
      <c r="OI122" s="43" t="str">
        <f t="shared" si="342"/>
        <v/>
      </c>
      <c r="OJ122" s="43" t="str">
        <f t="shared" si="343"/>
        <v/>
      </c>
      <c r="OK122" s="43" t="str">
        <f t="shared" si="344"/>
        <v/>
      </c>
      <c r="OL122" s="43" t="str">
        <f t="shared" si="345"/>
        <v/>
      </c>
      <c r="OM122" s="43" t="str">
        <f t="shared" si="346"/>
        <v/>
      </c>
      <c r="ON122" s="43" t="str">
        <f t="shared" si="347"/>
        <v/>
      </c>
      <c r="OO122" s="43" t="str">
        <f t="shared" si="348"/>
        <v/>
      </c>
      <c r="OP122" s="43" t="str">
        <f t="shared" si="349"/>
        <v/>
      </c>
      <c r="OQ122" s="43" t="str">
        <f t="shared" si="350"/>
        <v/>
      </c>
      <c r="OR122" s="43" t="str">
        <f t="shared" si="351"/>
        <v/>
      </c>
      <c r="OS122" s="43" t="str">
        <f t="shared" si="352"/>
        <v/>
      </c>
      <c r="OT122" s="43" t="str">
        <f t="shared" si="353"/>
        <v/>
      </c>
      <c r="OU122" s="43" t="str">
        <f t="shared" si="354"/>
        <v/>
      </c>
      <c r="OV122" s="110" t="str">
        <f t="shared" si="355"/>
        <v/>
      </c>
      <c r="OW122" s="43" t="str">
        <f t="shared" si="356"/>
        <v/>
      </c>
      <c r="OX122" s="43" t="str">
        <f t="shared" si="357"/>
        <v/>
      </c>
      <c r="OY122" s="43" t="str">
        <f t="shared" si="358"/>
        <v/>
      </c>
      <c r="OZ122" s="43" t="str">
        <f t="shared" si="359"/>
        <v/>
      </c>
      <c r="PA122" s="43" t="str">
        <f t="shared" si="360"/>
        <v/>
      </c>
      <c r="PB122" s="43" t="str">
        <f t="shared" si="361"/>
        <v/>
      </c>
      <c r="PC122" s="43" t="str">
        <f t="shared" si="362"/>
        <v/>
      </c>
      <c r="PD122" s="43" t="str">
        <f t="shared" si="363"/>
        <v/>
      </c>
      <c r="PE122" s="43" t="str">
        <f t="shared" si="364"/>
        <v/>
      </c>
      <c r="PF122" s="43" t="str">
        <f t="shared" si="365"/>
        <v/>
      </c>
      <c r="PG122" s="43" t="str">
        <f t="shared" si="366"/>
        <v/>
      </c>
      <c r="PH122" s="43" t="str">
        <f t="shared" si="367"/>
        <v/>
      </c>
      <c r="PI122" s="43">
        <f t="shared" si="368"/>
        <v>24</v>
      </c>
      <c r="PJ122" s="43" t="str">
        <f t="shared" si="369"/>
        <v/>
      </c>
      <c r="PK122" s="43" t="str">
        <f t="shared" si="370"/>
        <v/>
      </c>
      <c r="PL122" s="43" t="str">
        <f t="shared" si="371"/>
        <v/>
      </c>
      <c r="PM122" s="43" t="str">
        <f t="shared" si="372"/>
        <v/>
      </c>
      <c r="PN122" s="43" t="str">
        <f t="shared" si="373"/>
        <v/>
      </c>
      <c r="PO122" s="43" t="str">
        <f t="shared" si="374"/>
        <v/>
      </c>
      <c r="PP122" s="43" t="str">
        <f t="shared" si="375"/>
        <v/>
      </c>
      <c r="PQ122" s="43" t="str">
        <f t="shared" si="376"/>
        <v/>
      </c>
      <c r="PR122" s="43" t="str">
        <f t="shared" si="377"/>
        <v/>
      </c>
      <c r="PS122" s="43" t="str">
        <f t="shared" si="378"/>
        <v/>
      </c>
      <c r="PT122" s="43" t="str">
        <f t="shared" si="379"/>
        <v/>
      </c>
      <c r="PU122" s="43" t="str">
        <f t="shared" si="380"/>
        <v/>
      </c>
      <c r="PV122" s="43" t="str">
        <f t="shared" si="381"/>
        <v/>
      </c>
      <c r="PW122" s="43" t="str">
        <f t="shared" si="382"/>
        <v/>
      </c>
      <c r="PX122" s="43" t="str">
        <f t="shared" si="383"/>
        <v/>
      </c>
      <c r="PY122" s="43" t="str">
        <f t="shared" si="384"/>
        <v>SOBREPESO</v>
      </c>
      <c r="PZ122" s="43" t="str">
        <f t="shared" si="385"/>
        <v/>
      </c>
      <c r="QA122" s="43" t="str">
        <f t="shared" si="386"/>
        <v/>
      </c>
      <c r="QB122" s="43" t="str">
        <f t="shared" si="387"/>
        <v/>
      </c>
      <c r="QC122" s="43" t="str">
        <f t="shared" si="388"/>
        <v/>
      </c>
      <c r="QD122" s="43" t="str">
        <f t="shared" si="389"/>
        <v/>
      </c>
      <c r="QE122" s="43" t="str">
        <f t="shared" si="390"/>
        <v/>
      </c>
      <c r="QF122" s="43" t="str">
        <f t="shared" si="391"/>
        <v/>
      </c>
      <c r="QG122" s="43" t="str">
        <f t="shared" si="392"/>
        <v/>
      </c>
      <c r="QH122" s="43" t="str">
        <f t="shared" si="393"/>
        <v/>
      </c>
      <c r="QI122" s="43" t="str">
        <f t="shared" si="394"/>
        <v/>
      </c>
      <c r="QJ122" s="43" t="str">
        <f t="shared" si="395"/>
        <v/>
      </c>
      <c r="QK122" s="43" t="str">
        <f t="shared" si="396"/>
        <v/>
      </c>
      <c r="QL122" s="43" t="str">
        <f t="shared" si="397"/>
        <v/>
      </c>
      <c r="QM122" s="43" t="str">
        <f t="shared" si="398"/>
        <v/>
      </c>
      <c r="QN122" s="43" t="str">
        <f t="shared" si="399"/>
        <v/>
      </c>
      <c r="QO122" s="43" t="str">
        <f t="shared" si="400"/>
        <v/>
      </c>
      <c r="QP122" s="43" t="str">
        <f t="shared" si="401"/>
        <v/>
      </c>
      <c r="QQ122" s="43" t="str">
        <f t="shared" si="402"/>
        <v/>
      </c>
      <c r="QR122" s="43">
        <f t="shared" si="432"/>
        <v>24</v>
      </c>
      <c r="QS122" s="43"/>
      <c r="QT122" s="21" t="str">
        <f t="shared" si="403"/>
        <v/>
      </c>
      <c r="QU122" s="21" t="str">
        <f t="shared" si="404"/>
        <v/>
      </c>
      <c r="QV122" s="21" t="str">
        <f t="shared" si="405"/>
        <v/>
      </c>
      <c r="QW122" s="21" t="str">
        <f t="shared" si="406"/>
        <v/>
      </c>
      <c r="QX122" s="21" t="str">
        <f t="shared" si="407"/>
        <v/>
      </c>
      <c r="QY122" s="21" t="str">
        <f t="shared" si="408"/>
        <v/>
      </c>
      <c r="QZ122" s="21" t="str">
        <f t="shared" si="409"/>
        <v/>
      </c>
      <c r="RA122" s="21" t="str">
        <f t="shared" si="410"/>
        <v/>
      </c>
      <c r="RB122" s="21" t="str">
        <f t="shared" si="411"/>
        <v/>
      </c>
      <c r="RC122" s="21" t="str">
        <f t="shared" si="412"/>
        <v/>
      </c>
      <c r="RD122" s="21" t="str">
        <f t="shared" si="413"/>
        <v/>
      </c>
      <c r="RE122" s="21" t="str">
        <f t="shared" si="414"/>
        <v>ALTO PARA EDAD GESTACIONAL</v>
      </c>
      <c r="RF122" s="21" t="str">
        <f t="shared" si="415"/>
        <v/>
      </c>
      <c r="RG122" s="21" t="str">
        <f t="shared" si="416"/>
        <v/>
      </c>
      <c r="RH122" s="21" t="str">
        <f t="shared" si="417"/>
        <v/>
      </c>
      <c r="RI122" s="21" t="str">
        <f t="shared" si="418"/>
        <v/>
      </c>
      <c r="RJ122" s="21" t="str">
        <f t="shared" si="419"/>
        <v/>
      </c>
      <c r="RK122" s="21" t="str">
        <f t="shared" si="420"/>
        <v/>
      </c>
      <c r="RL122" s="21" t="str">
        <f t="shared" si="421"/>
        <v/>
      </c>
      <c r="RM122" s="21" t="str">
        <f t="shared" si="422"/>
        <v/>
      </c>
      <c r="RN122" s="21" t="str">
        <f t="shared" si="423"/>
        <v/>
      </c>
      <c r="RO122" s="21" t="str">
        <f t="shared" si="424"/>
        <v/>
      </c>
      <c r="RP122" s="21" t="str">
        <f t="shared" si="425"/>
        <v/>
      </c>
      <c r="RQ122" s="21" t="str">
        <f t="shared" si="426"/>
        <v/>
      </c>
      <c r="RR122" s="21" t="str">
        <f t="shared" si="427"/>
        <v/>
      </c>
      <c r="RS122" s="21" t="str">
        <f t="shared" si="428"/>
        <v/>
      </c>
      <c r="RT122" s="21" t="str">
        <f t="shared" si="429"/>
        <v/>
      </c>
      <c r="RU122" s="21" t="str">
        <f t="shared" si="430"/>
        <v/>
      </c>
      <c r="RV122" s="21">
        <f t="shared" si="431"/>
        <v>-1</v>
      </c>
      <c r="RW122" s="284">
        <f>IF(OR(Tabla1[[#This Row],[FUM FORMULA CONFIABLE]]="",Tabla1[[#This Row],[FUM FORMULA CONFIABLE]]="SD"),"",IF(Tabla1[[#This Row],[FUM FORMULA CONFIABLE]]="CORREGIDA",Tabla1[[#This Row],[FUM X ECO 1]],Tabla1[[#This Row],[FUM x AMENORREA]]))</f>
        <v>44941</v>
      </c>
      <c r="RX122" s="21" t="str">
        <f>IF(AND(Tabla1[[#This Row],[FUM X ECO 1]]="",Tabla1[[#This Row],[FUM x AMENORREA]]=""),"",IF(AND(Tabla1[[#This Row],[FUM X ECO 1]]="",Tabla1[[#This Row],[FUM x AMENORREA]]&lt;&gt;""),"X",SUM(Tabla1[[#This Row],[FUM X ECO 1]]-Tabla1[[#This Row],[FUM x AMENORREA]])))</f>
        <v>X</v>
      </c>
      <c r="RY122" s="21" t="str">
        <f t="shared" si="433"/>
        <v>x</v>
      </c>
    </row>
    <row r="123" spans="1:493" ht="45" customHeight="1" x14ac:dyDescent="0.25">
      <c r="A123" s="109" t="s">
        <v>1537</v>
      </c>
      <c r="B123" s="43"/>
      <c r="C123" s="43" t="s">
        <v>845</v>
      </c>
      <c r="D123" s="124"/>
      <c r="E123" s="43" t="s">
        <v>1286</v>
      </c>
      <c r="F123" s="43" t="s">
        <v>914</v>
      </c>
      <c r="G123" s="43" t="s">
        <v>1198</v>
      </c>
      <c r="H123" s="43" t="s">
        <v>1364</v>
      </c>
      <c r="I123" s="109" t="s">
        <v>851</v>
      </c>
      <c r="J123" s="110">
        <v>1059600026</v>
      </c>
      <c r="K123" s="43" t="s">
        <v>852</v>
      </c>
      <c r="L123" s="175" t="s">
        <v>853</v>
      </c>
      <c r="M123" s="22">
        <v>33624</v>
      </c>
      <c r="N123" s="213">
        <f t="shared" ca="1" si="252"/>
        <v>31.805479452054794</v>
      </c>
      <c r="O123" s="22">
        <v>44989</v>
      </c>
      <c r="P123" s="214" t="str">
        <f t="shared" si="437"/>
        <v>SI</v>
      </c>
      <c r="Q123" s="26" t="s">
        <v>855</v>
      </c>
      <c r="R123" s="22">
        <v>44989</v>
      </c>
      <c r="S123" s="21" t="s">
        <v>856</v>
      </c>
      <c r="T123" s="24" t="s">
        <v>690</v>
      </c>
      <c r="U123" s="21" t="s">
        <v>857</v>
      </c>
      <c r="V123" s="21" t="s">
        <v>858</v>
      </c>
      <c r="W123" s="21" t="s">
        <v>1288</v>
      </c>
      <c r="X123" s="21" t="s">
        <v>1288</v>
      </c>
      <c r="Y123" s="21"/>
      <c r="Z123" s="21"/>
      <c r="AA123" s="21" t="s">
        <v>860</v>
      </c>
      <c r="AB123" s="27" t="s">
        <v>861</v>
      </c>
      <c r="AC123" s="26" t="s">
        <v>846</v>
      </c>
      <c r="AD123" s="38" t="s">
        <v>1546</v>
      </c>
      <c r="AE123" s="26" t="s">
        <v>854</v>
      </c>
      <c r="AF123" s="26" t="s">
        <v>854</v>
      </c>
      <c r="AG123" s="23" t="s">
        <v>864</v>
      </c>
      <c r="AH123" s="23" t="s">
        <v>864</v>
      </c>
      <c r="AI123" s="24" t="s">
        <v>863</v>
      </c>
      <c r="AJ123" s="23" t="s">
        <v>864</v>
      </c>
      <c r="AK123" s="220" t="str">
        <f>IF(AND(AD123="",AE123="",AF123="",AG123="",AH123="",AI123="",AJ123=""),"",IF(OR(Tabla1[[#This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EVALUACIÓN",IF(AND(O123="",R123=""),"",IF(AND(OR(O123&gt;0,R123&gt;0),NG123&gt;=0,NG123&lt;2),"SIN RIESGO",IF(AND(OR(O123&gt;0,R123&gt;0),NG123&gt;=2),"CON RIESGO","ASD")))))</f>
        <v>SIN RIESGO</v>
      </c>
      <c r="AL123" s="23" t="s">
        <v>864</v>
      </c>
      <c r="AM123" s="26" t="s">
        <v>864</v>
      </c>
      <c r="AN123" s="26" t="s">
        <v>864</v>
      </c>
      <c r="AO123" s="26" t="s">
        <v>864</v>
      </c>
      <c r="AP123" s="26" t="s">
        <v>864</v>
      </c>
      <c r="AQ123" s="26" t="s">
        <v>864</v>
      </c>
      <c r="AR123" s="26" t="s">
        <v>864</v>
      </c>
      <c r="AS123" s="21">
        <v>0</v>
      </c>
      <c r="AT123" s="21">
        <v>0</v>
      </c>
      <c r="AU123" s="21">
        <v>0</v>
      </c>
      <c r="AV123" s="26" t="s">
        <v>864</v>
      </c>
      <c r="AW123" s="21">
        <v>0</v>
      </c>
      <c r="AX123" s="26" t="s">
        <v>864</v>
      </c>
      <c r="AY123" s="26" t="s">
        <v>864</v>
      </c>
      <c r="AZ123" s="26" t="s">
        <v>864</v>
      </c>
      <c r="BA123" s="26" t="s">
        <v>864</v>
      </c>
      <c r="BB123" s="26" t="s">
        <v>864</v>
      </c>
      <c r="BC123" s="26" t="s">
        <v>864</v>
      </c>
      <c r="BD123" s="26" t="s">
        <v>864</v>
      </c>
      <c r="BE123" s="26" t="s">
        <v>864</v>
      </c>
      <c r="BF123" s="26" t="s">
        <v>864</v>
      </c>
      <c r="BG123" s="26" t="s">
        <v>864</v>
      </c>
      <c r="BH123" s="26" t="s">
        <v>864</v>
      </c>
      <c r="BI123" s="26" t="s">
        <v>864</v>
      </c>
      <c r="BJ123" s="26" t="s">
        <v>864</v>
      </c>
      <c r="BK123" s="26" t="s">
        <v>865</v>
      </c>
      <c r="BL123" s="26" t="s">
        <v>864</v>
      </c>
      <c r="BM123" s="26" t="s">
        <v>864</v>
      </c>
      <c r="BN123" s="22">
        <v>42174</v>
      </c>
      <c r="BO123" s="22">
        <v>44913</v>
      </c>
      <c r="BP123" s="21" t="s">
        <v>854</v>
      </c>
      <c r="BQ123" s="222">
        <f t="shared" si="254"/>
        <v>91.3</v>
      </c>
      <c r="BR123" s="223" t="str">
        <f t="shared" si="255"/>
        <v/>
      </c>
      <c r="BS123" s="224">
        <f t="shared" si="256"/>
        <v>10.857142857142858</v>
      </c>
      <c r="BT123" s="216" t="str">
        <f t="shared" si="257"/>
        <v>II TRIM</v>
      </c>
      <c r="BU123" s="214" t="str">
        <f t="shared" ca="1" si="258"/>
        <v/>
      </c>
      <c r="BV123" s="25"/>
      <c r="BW123" s="22"/>
      <c r="BX123" s="28"/>
      <c r="BY123" s="28"/>
      <c r="BZ123" s="22"/>
      <c r="CA123" s="21"/>
      <c r="CB123" s="26"/>
      <c r="CC123" s="26"/>
      <c r="CD123" s="26"/>
      <c r="CE123" s="26"/>
      <c r="CF123" s="22" t="s">
        <v>1517</v>
      </c>
      <c r="CG123" s="21">
        <v>1.48</v>
      </c>
      <c r="CH123" s="21">
        <v>54.9</v>
      </c>
      <c r="CI123" s="214">
        <f t="shared" si="259"/>
        <v>25.063915266617968</v>
      </c>
      <c r="CJ123" s="225" t="e">
        <f>IF(AND(CI123&lt;10,CH123="SD"),"SIN DATO PESO PREGESTACION O I TRIM",IF(AND(OR(R123&gt;0,O123&gt;0),CI123="X"),"INGRESAR DATO DE PESO",IF(CI123="SD","INGRESAR DATO DE TALLA Y PESO",IF(AND(OR(Tabla1[[#This Row],[MOMENTO EN QUE SE REALIZA EL PESO AL INGRESO A CPN]]="PREGESTACIÓN",NZ123="Menor"),CI123&lt;18.5),"BAJO PESO",IF(AND(OR(Tabla1[[#This Row],[MOMENTO EN QUE SE REALIZA EL PESO AL INGRESO A CPN]]="PREGESTACIÓN",NZ123="Menor"),CI123&lt;25),"NORMAL",IF(AND(OR(Tabla1[[#This Row],[MOMENTO EN QUE SE REALIZA EL PESO AL INGRESO A CPN]]="PREGESTACIÓN",NZ123="Menor"),CI123&lt;30),"SOBREPESO",IF(AND(OR(Tabla1[[#This Row],[MOMENTO EN QUE SE REALIZA EL PESO AL INGRESO A CPN]]="PREGESTACIÓN",NZ123="Menor"),CI123&gt;=30,CI123&lt;50),"OBESIDAD",IF(AND(BS123&gt;0,Tabla1[[#This Row],[MOMENTO EN QUE SE REALIZA EL PESO AL INGRESO A CPN]]="GESTACIÓN"),HLOOKUP(NZ123,$OA$2:PH123,NY123),""))))))))</f>
        <v>#REF!</v>
      </c>
      <c r="CK123" s="212">
        <f t="shared" si="260"/>
        <v>45086</v>
      </c>
      <c r="CL123" s="21">
        <v>58</v>
      </c>
      <c r="CM123" s="214">
        <f t="shared" si="261"/>
        <v>26.479181884587291</v>
      </c>
      <c r="CN123" s="216">
        <f t="shared" si="262"/>
        <v>24</v>
      </c>
      <c r="CO123" s="216" t="e">
        <f>IF(PI123="","",IF(PI123&gt;0,HLOOKUP(PI123,$PJ$2:QQ123,NY123),""))</f>
        <v>#REF!</v>
      </c>
      <c r="CP123" s="21">
        <v>23</v>
      </c>
      <c r="CQ123" s="216" t="e">
        <f>IF(QR123="Menor","NO APLICA-MENOR 13 SEM",IF(AND(CC123="SI",CN123&gt;23),"NO APLICA- GEMELAR",IF(QR123="","",IF(QR123&gt;0,HLOOKUP(QR123,$QS$2:RU123,NY123),""))))</f>
        <v>#REF!</v>
      </c>
      <c r="CR123" s="21"/>
      <c r="CS123" s="21"/>
      <c r="CT123" s="217" t="str">
        <f>IF(R123="","",IF(AND(BS123&gt;1,BS123&lt;12,Tabla1[[#This Row],[T.A. SISTOLICA - ANTES DE SEMANA 12]]="",Tabla1[[#This Row],[T.A. DIASTOLICA - ANTES DE SEMANA 12]]=""),"REGISTRE DATO TA ANTES SEMANA 12",IF(AND(BS123&gt;11,BS123&lt;43,Tabla1[[#This Row],[T.A. SISTOLICA - ANTES DE SEMANA 12]]="",Tabla1[[#This Row],[T.A. DIASTOLICA - ANTES DE SEMANA 12]]=""),"NO APLICA REGISTRO TA-INGRESO TARDIO",IF(AND(OR(O123&gt;0,R123&gt;0),OR(CR123&gt;=140,CS123&gt;=90)),"DEFINIR ESTADIO HTA",IF(AND(OR(O123&gt;0,R123&gt;0),AND(CR123&gt;120,CR123&lt;=139)),"PRE HTA SEGUIMIENTO",IF(AND(OR(O123&gt;0,R123&gt;0),AND(CS123&gt;80,CS123&lt;=89)),"PRE HTA SEGUIMIENTO",IF(AND(OR(O123&gt;0,R123&gt;0),AND(CR123&gt;=80,CR123&lt;=120)),"APARENTEMENTE NORMAL",IF(AND(OR(O123&gt;0,R123&gt;0),AND(CS123&gt;=50,CS123&lt;=80)),"APARENTEMENTE NORMAL",IF(AND(OR(O123&gt;0,R123&gt;0),AND(CR123&gt;1,CR123&lt;=70),AND(CS123&gt;1,CS123&lt;=40)),"HIPOTENSIÓN","")))))))))</f>
        <v>REGISTRE DATO TA ANTES SEMANA 12</v>
      </c>
      <c r="CU123" s="21">
        <v>90</v>
      </c>
      <c r="CV123" s="21">
        <v>60</v>
      </c>
      <c r="CW123" s="217" t="str">
        <f ca="1">IF(R123="","",IF(AND(CN123&gt;19,CN123&lt;27,Tabla1[[#This Row],[T.A. SISTOLICA (Entre semana 20 y 26)]]="",Tabla1[[#This Row],[T.A. DIATOLICA (Entre semana 20 y 26)]]=""),"ACUDE A CONTROL SEM 20 A 26 REGISTRE TA AHORA",IF(AND(BS123&gt;1,BS123&lt;27,BU123&gt;19,Tabla1[[#This Row],[T.A. SISTOLICA (Entre semana 20 y 26)]]="",Tabla1[[#This Row],[T.A. DIATOLICA (Entre semana 20 y 26)]]=""),"COMPLETE REGISTRO TA CONTROL SEM 20 A26 ",IF(AND(BS123&gt;26,BS123&lt;43,Tabla1[[#This Row],[T.A. SISTOLICA (Entre semana 20 y 26)]]="",Tabla1[[#This Row],[T.A. DIATOLICA (Entre semana 20 y 26)]]=""),"NO APLICA REGISTRO TA-INGRESO TARDIO",IF(AND(OR(O123&gt;0,R123&gt;0),OR(CU123&gt;=140,CV123&gt;=90)),"ALTO RIESGO PREECLAMPSIA,DEFINIR ESTADIO HTA",IF(AND(OR(O123&gt;0,R123&gt;0),AND(CU123&gt;120,CU123&lt;=139)),"PRE HTA SEGUIMIENTO,RIESGO HIPERTENSION INDUCIDA POR EL EMBARAZO",IF(AND(OR(O123&gt;0,R123&gt;0),AND(CV123&gt;80,CV123&lt;=89)),"PRE HTA SEGUIMIENTO, RIESGO HIPERTENSION INDUCIDA POR EL EMBARAZO",IF(AND(OR(O123&lt;&gt;"",R123&lt;&gt;""),CS123&lt;&gt;"",CV123&lt;&gt;"",CS123&lt;=CV123),"VIGILAR CIFRAS PRESION ARTERIAL",IF(AND(OR(O123&gt;0,R123&gt;0),AND(CU123&gt;120,CU123&lt;=139)),"PRE HTA SEGUIMIENTO",IF(AND(OR(O123&gt;0,R123&gt;0),AND(CU123&gt;1,CU123&lt;=70),AND(CV123&gt;1,CV123&lt;=40)),"HIPOTENSIÓN",IF(AND(OR(O123&lt;&gt;"",R123&lt;&gt;""),CS123&lt;&gt;"",CV123&lt;&gt;"",CS123&gt;CV123),"APARENTEMENTE NORMAL",IF(AND(OR(O123&gt;0,R123&gt;0),AND(CU123&gt;=80,CU123&lt;=120)),"APARENTEMENTE NORMAL",IF(AND(OR(O123&gt;0,R123&gt;0),AND(CV123&gt;=50,CV123&lt;=80)),"APARENTEMENTE NORMAL","")))))))))))))</f>
        <v>APARENTEMENTE NORMAL</v>
      </c>
      <c r="CX123" s="21"/>
      <c r="CY123" s="21"/>
      <c r="CZ123" s="216" t="str">
        <f t="shared" si="456"/>
        <v/>
      </c>
      <c r="DA123" s="21">
        <v>90</v>
      </c>
      <c r="DB123" s="21">
        <v>60</v>
      </c>
      <c r="DC123" s="217" t="str">
        <f t="shared" si="264"/>
        <v>APARENTEMENTE NORMAL</v>
      </c>
      <c r="DD123" s="22">
        <v>44989</v>
      </c>
      <c r="DE123" s="22">
        <v>44989</v>
      </c>
      <c r="DF123" s="22">
        <v>45044</v>
      </c>
      <c r="DG123" s="22">
        <v>45086</v>
      </c>
      <c r="DH123" s="22"/>
      <c r="DI123" s="22"/>
      <c r="DJ123" s="22"/>
      <c r="DK123" s="22"/>
      <c r="DL123" s="22"/>
      <c r="DM123" s="22"/>
      <c r="DN123" s="22"/>
      <c r="DO123" s="22"/>
      <c r="DP123" s="22"/>
      <c r="DQ123" s="22"/>
      <c r="DR123" s="28">
        <v>1</v>
      </c>
      <c r="DS123" s="22"/>
      <c r="DT123" s="22"/>
      <c r="DU123" s="216" t="str">
        <f t="shared" ca="1" si="438"/>
        <v>CONCERTAR PLAN DE PARTO INMEDIATO</v>
      </c>
      <c r="DV123" s="226" t="str">
        <f t="shared" si="439"/>
        <v>ACTIVA INGRESO A CPN</v>
      </c>
      <c r="DW1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3" s="216" t="e">
        <f t="shared" ca="1" si="266"/>
        <v>#REF!</v>
      </c>
      <c r="DY123" s="212">
        <f>IF(R123="","",IF(R123&gt;0,MAX(Tabla1[[#This Row],[FECHA C2]:[FECHA C13]],Tabla1[[#This Row],[FECHA CONSULTA PRIMERA VEZ PROGRAMA CPN ]])))</f>
        <v>45086</v>
      </c>
      <c r="DZ123" s="216">
        <f t="shared" si="267"/>
        <v>24</v>
      </c>
      <c r="EA123" s="222">
        <f>IF(R123&gt;0,SUM(COUNTA(DF123:DQ123)+COUNTA(Tabla1[[#This Row],[FECHA CONSULTA PRIMERA VEZ PROGRAMA CPN ]])),"")</f>
        <v>3</v>
      </c>
      <c r="EB123" s="222" t="str">
        <f t="shared" si="268"/>
        <v>NO</v>
      </c>
      <c r="EC123" s="214">
        <f t="shared" si="269"/>
        <v>9</v>
      </c>
      <c r="ED123" s="227">
        <f t="shared" si="270"/>
        <v>0.33333333333333331</v>
      </c>
      <c r="EE123" s="22">
        <v>44989</v>
      </c>
      <c r="EF123" s="22">
        <v>44989</v>
      </c>
      <c r="EG123" s="22">
        <v>44989</v>
      </c>
      <c r="EH123" s="22"/>
      <c r="EI123" s="22">
        <v>44989</v>
      </c>
      <c r="EJ123" s="22"/>
      <c r="EK123" s="22"/>
      <c r="EL123" s="21"/>
      <c r="EM123" s="21">
        <v>13.9</v>
      </c>
      <c r="EN123" s="22">
        <v>44989</v>
      </c>
      <c r="EO123" s="222">
        <f t="shared" si="271"/>
        <v>10.857142857142858</v>
      </c>
      <c r="EP123" s="214" t="str">
        <f t="shared" si="272"/>
        <v>NORMAL- SUMINISTRAR SULFATO FERROSO</v>
      </c>
      <c r="EQ123" s="216" t="str">
        <f t="shared" si="273"/>
        <v>I TRIM</v>
      </c>
      <c r="ER123" s="24"/>
      <c r="ES123" s="22"/>
      <c r="ET123" s="29" t="str">
        <f t="shared" ca="1" si="440"/>
        <v>TOMA DE HEMOGLOBINA TARDÍA</v>
      </c>
      <c r="EU123" s="25" t="str">
        <f t="shared" si="275"/>
        <v/>
      </c>
      <c r="EV123" s="24" t="s">
        <v>866</v>
      </c>
      <c r="EW123" s="24">
        <v>44989</v>
      </c>
      <c r="EX123" s="22"/>
      <c r="EY123" s="29">
        <f t="shared" si="453"/>
        <v>10.857142857142858</v>
      </c>
      <c r="EZ123" s="25" t="str">
        <f t="shared" ca="1" si="454"/>
        <v/>
      </c>
      <c r="FA123" s="21">
        <v>67</v>
      </c>
      <c r="FB123" s="22">
        <v>44989</v>
      </c>
      <c r="FC123" s="29">
        <f t="shared" si="276"/>
        <v>10.857142857142858</v>
      </c>
      <c r="FD123" s="29"/>
      <c r="FE123" s="29"/>
      <c r="FF123" s="29"/>
      <c r="FG123" s="21" t="str">
        <f t="shared" ca="1" si="277"/>
        <v/>
      </c>
      <c r="FH123" s="31"/>
      <c r="FI123" s="29" t="str">
        <f t="shared" si="278"/>
        <v>TOMAR EXAMEN</v>
      </c>
      <c r="FJ123" s="22" t="s">
        <v>867</v>
      </c>
      <c r="FK123" s="22">
        <v>44989</v>
      </c>
      <c r="FL123" s="29">
        <f t="shared" ca="1" si="279"/>
        <v>10.857142857142858</v>
      </c>
      <c r="FM123" s="22"/>
      <c r="FN123" s="32"/>
      <c r="FO123" s="29" t="str">
        <f t="shared" ca="1" si="441"/>
        <v>PIERDE TOMA DE TAMIZAJE</v>
      </c>
      <c r="FP123" s="22"/>
      <c r="FQ123" s="32"/>
      <c r="FR123" s="29" t="str">
        <f t="shared" ca="1" si="442"/>
        <v>TOMA INMEDIATA DE TAMIZAJE</v>
      </c>
      <c r="FS123" s="22"/>
      <c r="FT123" s="32"/>
      <c r="FU123" s="29" t="str">
        <f>IF(AND(FJ123="",FM123="",FP123="",FS123=""),"",IF(OR(OR(Tabla1[[#This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3" s="28"/>
      <c r="FW123" s="22"/>
      <c r="FX123" s="29" t="str">
        <f t="shared" si="280"/>
        <v>TOMAR EXAMEN</v>
      </c>
      <c r="FY123" s="22">
        <v>44989</v>
      </c>
      <c r="FZ123" s="22">
        <v>44989</v>
      </c>
      <c r="GA123" s="29">
        <f t="shared" ca="1" si="452"/>
        <v>10.857142857142858</v>
      </c>
      <c r="GB123" s="22"/>
      <c r="GC123" s="22"/>
      <c r="GD123" s="29" t="str">
        <f t="shared" ca="1" si="490"/>
        <v>PIERDE TOMA DE TAMIZAJE</v>
      </c>
      <c r="GE123" s="22"/>
      <c r="GF123" s="22"/>
      <c r="GG123" s="29" t="str">
        <f t="shared" ca="1" si="444"/>
        <v>TOMA INMEDIATA DE TAMIZAJE</v>
      </c>
      <c r="GH123" s="22"/>
      <c r="GI123" s="29"/>
      <c r="GJ123" s="22"/>
      <c r="GK123" s="22"/>
      <c r="GL123" s="22"/>
      <c r="GM123" s="22"/>
      <c r="GN123" s="28" t="s">
        <v>869</v>
      </c>
      <c r="GO123" s="22">
        <v>44989</v>
      </c>
      <c r="GP123" s="29">
        <f t="shared" si="283"/>
        <v>10.857142857142858</v>
      </c>
      <c r="GQ123" s="28" t="s">
        <v>869</v>
      </c>
      <c r="GR123" s="28" t="s">
        <v>869</v>
      </c>
      <c r="GS123" s="22" t="str">
        <f t="shared" si="457"/>
        <v>CONTROL Igm</v>
      </c>
      <c r="GT123" s="22">
        <v>44989</v>
      </c>
      <c r="GU123" s="29">
        <f t="shared" si="285"/>
        <v>10.857142857142858</v>
      </c>
      <c r="GV123" s="21" t="str">
        <f t="shared" si="286"/>
        <v>I TRIM</v>
      </c>
      <c r="GW123" s="28" t="s">
        <v>869</v>
      </c>
      <c r="GX123" s="30"/>
      <c r="GY123" s="21"/>
      <c r="GZ123" s="21"/>
      <c r="HA123" s="21"/>
      <c r="HB123" s="21"/>
      <c r="HC123" s="21"/>
      <c r="HD123" s="21"/>
      <c r="HE123" s="21"/>
      <c r="HF123" s="22"/>
      <c r="HG123" s="22" t="str">
        <f>IF(OR(O123&gt;0,R123&gt;0),CONCATENATE(IF(Tabla1[[#This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3" s="22" t="e">
        <f t="shared" si="287"/>
        <v>#REF!</v>
      </c>
      <c r="HI123" s="22" t="e">
        <f t="shared" ca="1" si="288"/>
        <v>#REF!</v>
      </c>
      <c r="HJ123" s="21"/>
      <c r="HK123" s="21" t="str">
        <f t="shared" si="289"/>
        <v>SIN ANTECEDENTES DE RIESGO</v>
      </c>
      <c r="HL123" s="24" t="str">
        <f t="shared" si="290"/>
        <v>APARENTEMENTE NORMAL</v>
      </c>
      <c r="HM123" s="21" t="e">
        <f t="shared" ca="1" si="291"/>
        <v>#REF!</v>
      </c>
      <c r="HN123" s="30" t="str">
        <f t="shared" si="445"/>
        <v>ACTIVA INGRESO A CPN</v>
      </c>
      <c r="HO123" s="21"/>
      <c r="HP123" s="21"/>
      <c r="HQ123" s="349">
        <v>45044</v>
      </c>
      <c r="HR123" s="21" t="str">
        <f>IF(R123="","",IF(Tabla1[[#This Row],[ALARMA FACTORES DE RIESGO COMPLICACIONES HIPERTENSIVAS3]]="SIN ANTECEDENTES DE RIESGO","No Aplica para suministro de ASA",IF(AND(Tabla1[[#This Row],[FECHA INICIO DE SUMINISTRO DE ASA]]&gt;0,RV123&lt;12),"Inicia ASA ANTES de Sem 12",IF(AND(RV123&gt;11,RV123&lt;17,OR(HK123="RIESGO ALTO DE COMPLICACIONES HIPERTENSIVAS VER MANEJO GUIA SUMINISTRO ASA Y CALCIO",HK123="RIESGO MODERADO (2 O MAS CRITERIOS) VER MANEJO GUIA SUMINISTRO ASA Y CALCIO")),"Inicio oportuno de ASA",IF(AND(RV123&gt;12,OR(HK123="RIESGO ALTO DE COMPLICACIONES HIPERTENSIVAS VER MANEJO GUIA SUMINISTRO ASA Y CALCIO",HK123="RIESGO MODERADO (2 O MAS CRITERIOS) VER MANEJO GUIA SUMINISTRO ASA Y CALCIO")),"Inicio no oportuno mayor a 16 semanas",IF(AND(BU123&lt;12,OR(HK123="RIESGO ALTO DE COMPLICACIONES HIPERTENSIVAS VER MANEJO GUIA SUMINISTRO ASA Y CALCIO",HK123="RIESGO MODERADO (2 O MAS CRITERIOS) VER MANEJO GUIA SUMINISTRO ASA Y CALCIO")),"Pendiente Inicio de ASA a la semana 12",IF(AND(BU123&gt;11,BU123&lt;17,OR(HK123="RIESGO ALTO DE COMPLICACIONES HIPERTENSIVAS VER MANEJO GUIA SUMINISTRO ASA Y CALCIO",HK123="RIESGO MODERADO (2 O MAS CRITERIOS) VER MANEJO GUIA SUMINISTRO ASA Y CALCIO")),"Iniciar de inmediato ASA",IF(AND(BU123&gt;16,OR(HK123="RIESGO ALTO DE COMPLICACIONES HIPERTENSIVAS VER MANEJO GUIA SUMINISTRO ASA Y CALCIO",HK123="RIESGO MODERADO (2 O MAS CRITERIOS) VER MANEJO GUIA SUMINISTRO ASA Y CALCIO")),"Pierde Oportunidad, Inicio tardío de ASA","XXXXX"))))))))</f>
        <v>No Aplica para suministro de ASA</v>
      </c>
      <c r="HS123" s="22">
        <v>45044</v>
      </c>
      <c r="HT123" s="22" t="s">
        <v>870</v>
      </c>
      <c r="HU123" s="22">
        <v>45044</v>
      </c>
      <c r="HV123" s="22" t="s">
        <v>870</v>
      </c>
      <c r="HW123" s="22">
        <v>45044</v>
      </c>
      <c r="HX123" s="22" t="s">
        <v>870</v>
      </c>
      <c r="HY123" s="22">
        <v>45044</v>
      </c>
      <c r="HZ123" s="28">
        <f t="shared" si="292"/>
        <v>18.714285714285715</v>
      </c>
      <c r="IA123" s="26"/>
      <c r="IB123" s="26"/>
      <c r="IC123" s="111"/>
      <c r="ID123" s="22"/>
      <c r="IE123" s="22" t="str">
        <f t="shared" ca="1" si="293"/>
        <v/>
      </c>
      <c r="IF123" s="22"/>
      <c r="IG123" s="22">
        <f t="shared" si="294"/>
        <v>45193</v>
      </c>
      <c r="IH123" s="29">
        <f t="shared" ca="1" si="295"/>
        <v>-40</v>
      </c>
      <c r="II123" s="22" t="str">
        <f t="shared" ca="1" si="296"/>
        <v>POSIBLEMENTE NACIO</v>
      </c>
      <c r="IJ123" s="22"/>
      <c r="IK123" s="21"/>
      <c r="IL123" s="21"/>
      <c r="IM123" s="34"/>
      <c r="IN123" s="22"/>
      <c r="IO123" s="21"/>
      <c r="IP123" s="29" t="str">
        <f t="shared" si="489"/>
        <v/>
      </c>
      <c r="IQ123" s="35"/>
      <c r="IR123" s="21"/>
      <c r="IS123" s="21"/>
      <c r="IT123" s="21"/>
      <c r="IU123" s="21"/>
      <c r="IV123" s="21"/>
      <c r="IW123" s="21"/>
      <c r="IX123" s="21"/>
      <c r="IY123" s="21"/>
      <c r="IZ123" s="21"/>
      <c r="JA123" s="21"/>
      <c r="JB123" s="30"/>
      <c r="JC123" s="21"/>
      <c r="JD123" s="36"/>
      <c r="JE123" s="21" t="str">
        <f t="shared" si="491"/>
        <v/>
      </c>
      <c r="JF123" s="30"/>
      <c r="JG123" s="21"/>
      <c r="JH123" s="21"/>
      <c r="JI123" s="21"/>
      <c r="JJ123" s="30"/>
      <c r="JK123" s="22"/>
      <c r="JL123" s="22"/>
      <c r="JM123" s="21"/>
      <c r="JN123" s="36"/>
      <c r="JO123" s="21" t="str">
        <f t="shared" si="492"/>
        <v/>
      </c>
      <c r="JP123" s="22"/>
      <c r="JQ123" s="21"/>
      <c r="JR123" s="21"/>
      <c r="JS123" s="21"/>
      <c r="JT123" s="30"/>
      <c r="JU123" s="22"/>
      <c r="JV123" s="22"/>
      <c r="JW123" s="33"/>
      <c r="JX123" s="28" t="str">
        <f t="shared" si="493"/>
        <v/>
      </c>
      <c r="JY123" s="33"/>
      <c r="JZ123" s="28" t="str">
        <f t="shared" si="494"/>
        <v/>
      </c>
      <c r="KA123" s="21"/>
      <c r="KB123" s="21"/>
      <c r="KC123" s="21"/>
      <c r="KD123" s="37"/>
      <c r="KE123" s="28"/>
      <c r="KF123" s="28"/>
      <c r="KG123" s="28"/>
      <c r="KH123" s="39"/>
      <c r="KI123" s="39"/>
      <c r="KJ123" s="66"/>
      <c r="KK123" s="39"/>
      <c r="KL123" s="39"/>
      <c r="KM123" s="66"/>
      <c r="KN123" s="39"/>
      <c r="KO123" s="39"/>
      <c r="KP123" s="39"/>
      <c r="KQ123" s="39"/>
      <c r="KR123" s="39"/>
      <c r="KS123" s="39"/>
      <c r="KT123" s="39"/>
      <c r="KU123" s="38"/>
      <c r="KV123" s="38"/>
      <c r="KW123" s="38"/>
      <c r="KX123" s="38"/>
      <c r="KY123" s="38"/>
      <c r="KZ123" s="38"/>
      <c r="LA123" s="38"/>
      <c r="LB123" s="38"/>
      <c r="LC123" s="38"/>
      <c r="LD123" s="38"/>
      <c r="LE123" s="38"/>
      <c r="LF123" s="38"/>
      <c r="LG123" s="38"/>
      <c r="LH123" s="38"/>
      <c r="LI123" s="38"/>
      <c r="LJ123" s="38"/>
      <c r="LK123" s="38"/>
      <c r="LL123" s="38"/>
      <c r="LM123" s="38"/>
      <c r="LN123" s="38"/>
      <c r="LO123" s="38"/>
      <c r="LP123" s="38"/>
      <c r="LQ123" s="38"/>
      <c r="LR123" s="38"/>
      <c r="LS123" s="38"/>
      <c r="LT123" s="38"/>
      <c r="LU123" s="38"/>
      <c r="LV123" s="38"/>
      <c r="LW123" s="38"/>
      <c r="LX123" s="38"/>
      <c r="LY123" s="38"/>
      <c r="LZ123" s="38"/>
      <c r="MA123" s="38"/>
      <c r="MB123" s="38"/>
      <c r="MC123" s="38"/>
      <c r="MD123" s="38"/>
      <c r="ME123" s="38"/>
      <c r="MF123" s="38"/>
      <c r="MG123" s="38"/>
      <c r="MH123" s="43">
        <f t="shared" si="458"/>
        <v>0</v>
      </c>
      <c r="MI123" s="43" t="str">
        <f t="shared" si="459"/>
        <v/>
      </c>
      <c r="MJ123" s="43" t="str">
        <f t="shared" si="460"/>
        <v/>
      </c>
      <c r="MK123" s="43">
        <f t="shared" si="461"/>
        <v>0</v>
      </c>
      <c r="ML1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3" s="43">
        <f t="shared" si="462"/>
        <v>10.857142857142858</v>
      </c>
      <c r="MN123" s="43">
        <f t="shared" si="463"/>
        <v>3</v>
      </c>
      <c r="MO123" s="43">
        <f t="shared" si="464"/>
        <v>2023</v>
      </c>
      <c r="MP123" s="43" t="str">
        <f t="shared" si="465"/>
        <v>I TRIMESTRE AÑO</v>
      </c>
      <c r="MQ123" s="43">
        <f t="shared" si="466"/>
        <v>30.669623302671923</v>
      </c>
      <c r="MR123" s="43">
        <f t="shared" si="467"/>
        <v>0</v>
      </c>
      <c r="MS123" s="43" t="str">
        <f t="shared" si="468"/>
        <v xml:space="preserve"> DE 30 A 34 AÑOS</v>
      </c>
      <c r="MT123" s="43">
        <f t="shared" si="469"/>
        <v>0</v>
      </c>
      <c r="MU123" s="43">
        <f t="shared" si="470"/>
        <v>1</v>
      </c>
      <c r="MV123" s="43">
        <f t="shared" si="471"/>
        <v>0</v>
      </c>
      <c r="MW123" s="43">
        <f t="shared" si="472"/>
        <v>0</v>
      </c>
      <c r="MX123" s="43" t="str">
        <f t="shared" si="473"/>
        <v/>
      </c>
      <c r="MY123" s="43" t="str">
        <f t="shared" ca="1" si="495"/>
        <v/>
      </c>
      <c r="MZ123" s="43" t="str">
        <f t="shared" si="474"/>
        <v/>
      </c>
      <c r="NA123" s="43" t="str">
        <f t="shared" si="475"/>
        <v/>
      </c>
      <c r="NB123" s="43" t="str">
        <f t="shared" si="476"/>
        <v/>
      </c>
      <c r="NC123" s="43" t="str">
        <f t="shared" si="477"/>
        <v/>
      </c>
      <c r="ND123" s="43">
        <f t="shared" ca="1" si="478"/>
        <v>1</v>
      </c>
      <c r="NE123" s="43">
        <f>IF(OR(O123&gt;0,R123&gt;0),SUM(COUNTIF(Tabla1[[#This Row],[AÑOS AL INICIO5 CPN]],"&gt;=40"),COUNTIF(AS123,"0"),COUNTIF(AR123,"SI"),COUNTIF(CC123,"SI"),COUNTIF(BQ123,"&gt;119"),COUNTIF(CI123,"&gt;=35")),"")</f>
        <v>1</v>
      </c>
      <c r="NF123" s="43" t="str">
        <f t="shared" si="479"/>
        <v/>
      </c>
      <c r="NG123" s="43">
        <f t="shared" si="480"/>
        <v>0</v>
      </c>
      <c r="NH123" s="43" t="str">
        <f t="shared" si="481"/>
        <v/>
      </c>
      <c r="NI1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CPN",P123="NO"),"Z",IF(AND(Tabla1[[#This Row],[CITA PROXIMO CONTROL]]="CITA MANUAL",Tabla1[[#This Row],[GESTANTES ACTUALES]]="ACTIVA INGRESO A CPN"),"W",IF(AND(Tabla1[[#This Row],[GESTANTES ACTUALES]]="SALIO PROGRAMA",IN123=""),"S",IF(AND(Tabla1[[#This Row],[CITA PROXIMO CONTROL]]&gt;0,IN123=""),(Tabla1[[#This Row],[CITA PROXIMO CONTROL]]-TODAY()),"SD"))))))))</f>
        <v>#REF!</v>
      </c>
      <c r="NJ123" s="43">
        <f>MONTH(Tabla1[[#This Row],[FECHA DE SALIDA  DEL PROGRAMA]])</f>
        <v>1</v>
      </c>
      <c r="NK123" s="43">
        <f>YEAR(Tabla1[[#This Row],[FECHA DE SALIDA  DEL PROGRAMA]])</f>
        <v>1900</v>
      </c>
      <c r="NL123" s="43" t="str">
        <f t="shared" si="482"/>
        <v>X</v>
      </c>
      <c r="NM123" s="43" t="str">
        <f t="shared" si="455"/>
        <v>NO</v>
      </c>
      <c r="NN123" s="43" t="str">
        <f ca="1">IF(AND(O123&gt;0,R123=""),"NO CPN",IF(AND(O123="",R123=""),"",IF(AND(R123&gt;0,Tabla1[[#This Row],[SEMANAS DE GESTACION ACTUALIZADAS]]&lt;=12),"NO APLICA",IF(AND(FH123&lt;&gt;"",FN123&lt;&gt;""),"SI","NO"))))</f>
        <v>NO</v>
      </c>
      <c r="NO123" s="43" t="str">
        <f ca="1">IF(AND(O123&gt;0,R123=""),"NO CPN",IF(AND(O123="",R123=""),"",IF(AND(R123&gt;0,Tabla1[[#This Row],[SEMANAS DE GESTACION ACTUALIZADAS]]&lt;=27),"NO APLICA",IF(AND(ES123&lt;&gt;"",FQ123&lt;&gt;"",GF123&lt;&gt;""),"SI","NO"))))</f>
        <v>NO</v>
      </c>
      <c r="NP123" s="204" t="str">
        <f t="shared" si="483"/>
        <v>I TRIM</v>
      </c>
      <c r="NQ123" s="21" t="str">
        <f t="shared" si="436"/>
        <v/>
      </c>
      <c r="NR123" s="21" t="str">
        <f t="shared" ca="1" si="496"/>
        <v>REVISAR FUM O FECHA SALIDA PROGRAMA</v>
      </c>
      <c r="NS123" s="205">
        <f t="shared" ca="1" si="484"/>
        <v>1</v>
      </c>
      <c r="NT123" s="21">
        <f t="shared" ca="1" si="485"/>
        <v>1</v>
      </c>
      <c r="NU123" s="21" t="str">
        <f t="shared" ca="1" si="486"/>
        <v>POR DEFINIR</v>
      </c>
      <c r="NV123" s="21" t="str">
        <f t="shared" ca="1" si="487"/>
        <v>POR DEFINIR</v>
      </c>
      <c r="NW123" s="206" t="str">
        <f>IF(AND(O123="",R123=""),"",IF(OR(AND(Tabla1[[#This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23" s="207" t="str">
        <f t="shared" ca="1" si="488"/>
        <v>SIN VACUNAR</v>
      </c>
      <c r="NY123" s="43">
        <f>ROW(Tabla1[[#This Row],['# DE TAMIZAJES SIFILIS TOMADOS ]])</f>
        <v>123</v>
      </c>
      <c r="NZ123" s="43">
        <f t="shared" si="333"/>
        <v>10</v>
      </c>
      <c r="OA123" s="43" t="str">
        <f t="shared" si="334"/>
        <v/>
      </c>
      <c r="OB123" s="43" t="str">
        <f t="shared" si="335"/>
        <v>NORMAL</v>
      </c>
      <c r="OC123" s="43" t="str">
        <f t="shared" si="336"/>
        <v/>
      </c>
      <c r="OD123" s="43" t="str">
        <f t="shared" si="337"/>
        <v/>
      </c>
      <c r="OE123" s="43" t="str">
        <f t="shared" si="338"/>
        <v/>
      </c>
      <c r="OF123" s="43" t="str">
        <f t="shared" si="339"/>
        <v/>
      </c>
      <c r="OG123" s="43" t="str">
        <f t="shared" si="340"/>
        <v/>
      </c>
      <c r="OH123" s="43" t="str">
        <f t="shared" si="341"/>
        <v/>
      </c>
      <c r="OI123" s="43" t="str">
        <f t="shared" si="342"/>
        <v/>
      </c>
      <c r="OJ123" s="43" t="str">
        <f t="shared" si="343"/>
        <v/>
      </c>
      <c r="OK123" s="43" t="str">
        <f t="shared" si="344"/>
        <v/>
      </c>
      <c r="OL123" s="43" t="str">
        <f t="shared" si="345"/>
        <v/>
      </c>
      <c r="OM123" s="43" t="str">
        <f t="shared" si="346"/>
        <v/>
      </c>
      <c r="ON123" s="43" t="str">
        <f t="shared" si="347"/>
        <v/>
      </c>
      <c r="OO123" s="43" t="str">
        <f t="shared" si="348"/>
        <v/>
      </c>
      <c r="OP123" s="43" t="str">
        <f t="shared" si="349"/>
        <v/>
      </c>
      <c r="OQ123" s="43" t="str">
        <f t="shared" si="350"/>
        <v/>
      </c>
      <c r="OR123" s="43" t="str">
        <f t="shared" si="351"/>
        <v/>
      </c>
      <c r="OS123" s="43" t="str">
        <f t="shared" si="352"/>
        <v/>
      </c>
      <c r="OT123" s="43" t="str">
        <f t="shared" si="353"/>
        <v/>
      </c>
      <c r="OU123" s="43" t="str">
        <f t="shared" si="354"/>
        <v/>
      </c>
      <c r="OV123" s="110" t="str">
        <f t="shared" si="355"/>
        <v/>
      </c>
      <c r="OW123" s="43" t="str">
        <f t="shared" si="356"/>
        <v/>
      </c>
      <c r="OX123" s="43" t="str">
        <f t="shared" si="357"/>
        <v/>
      </c>
      <c r="OY123" s="43" t="str">
        <f t="shared" si="358"/>
        <v/>
      </c>
      <c r="OZ123" s="43" t="str">
        <f t="shared" si="359"/>
        <v/>
      </c>
      <c r="PA123" s="43" t="str">
        <f t="shared" si="360"/>
        <v/>
      </c>
      <c r="PB123" s="43" t="str">
        <f t="shared" si="361"/>
        <v/>
      </c>
      <c r="PC123" s="43" t="str">
        <f t="shared" si="362"/>
        <v/>
      </c>
      <c r="PD123" s="43" t="str">
        <f t="shared" si="363"/>
        <v/>
      </c>
      <c r="PE123" s="43" t="str">
        <f t="shared" si="364"/>
        <v/>
      </c>
      <c r="PF123" s="43" t="str">
        <f t="shared" si="365"/>
        <v/>
      </c>
      <c r="PG123" s="43" t="str">
        <f t="shared" si="366"/>
        <v/>
      </c>
      <c r="PH123" s="43" t="str">
        <f t="shared" si="367"/>
        <v/>
      </c>
      <c r="PI123" s="43">
        <f t="shared" si="368"/>
        <v>24</v>
      </c>
      <c r="PJ123" s="43" t="str">
        <f t="shared" si="369"/>
        <v/>
      </c>
      <c r="PK123" s="43" t="str">
        <f t="shared" si="370"/>
        <v/>
      </c>
      <c r="PL123" s="43" t="str">
        <f t="shared" si="371"/>
        <v/>
      </c>
      <c r="PM123" s="43" t="str">
        <f t="shared" si="372"/>
        <v/>
      </c>
      <c r="PN123" s="43" t="str">
        <f t="shared" si="373"/>
        <v/>
      </c>
      <c r="PO123" s="43" t="str">
        <f t="shared" si="374"/>
        <v/>
      </c>
      <c r="PP123" s="43" t="str">
        <f t="shared" si="375"/>
        <v/>
      </c>
      <c r="PQ123" s="43" t="str">
        <f t="shared" si="376"/>
        <v/>
      </c>
      <c r="PR123" s="43" t="str">
        <f t="shared" si="377"/>
        <v/>
      </c>
      <c r="PS123" s="43" t="str">
        <f t="shared" si="378"/>
        <v/>
      </c>
      <c r="PT123" s="43" t="str">
        <f t="shared" si="379"/>
        <v/>
      </c>
      <c r="PU123" s="43" t="str">
        <f t="shared" si="380"/>
        <v/>
      </c>
      <c r="PV123" s="43" t="str">
        <f t="shared" si="381"/>
        <v/>
      </c>
      <c r="PW123" s="43" t="str">
        <f t="shared" si="382"/>
        <v/>
      </c>
      <c r="PX123" s="43" t="str">
        <f t="shared" si="383"/>
        <v/>
      </c>
      <c r="PY123" s="43" t="str">
        <f t="shared" si="384"/>
        <v>NORMAL</v>
      </c>
      <c r="PZ123" s="43" t="str">
        <f t="shared" si="385"/>
        <v/>
      </c>
      <c r="QA123" s="43" t="str">
        <f t="shared" si="386"/>
        <v/>
      </c>
      <c r="QB123" s="43" t="str">
        <f t="shared" si="387"/>
        <v/>
      </c>
      <c r="QC123" s="43" t="str">
        <f t="shared" si="388"/>
        <v/>
      </c>
      <c r="QD123" s="43" t="str">
        <f t="shared" si="389"/>
        <v/>
      </c>
      <c r="QE123" s="43" t="str">
        <f t="shared" si="390"/>
        <v/>
      </c>
      <c r="QF123" s="43" t="str">
        <f t="shared" si="391"/>
        <v/>
      </c>
      <c r="QG123" s="43" t="str">
        <f t="shared" si="392"/>
        <v/>
      </c>
      <c r="QH123" s="43" t="str">
        <f t="shared" si="393"/>
        <v/>
      </c>
      <c r="QI123" s="43" t="str">
        <f t="shared" si="394"/>
        <v/>
      </c>
      <c r="QJ123" s="43" t="str">
        <f t="shared" si="395"/>
        <v/>
      </c>
      <c r="QK123" s="43" t="str">
        <f t="shared" si="396"/>
        <v/>
      </c>
      <c r="QL123" s="43" t="str">
        <f t="shared" si="397"/>
        <v/>
      </c>
      <c r="QM123" s="43" t="str">
        <f t="shared" si="398"/>
        <v/>
      </c>
      <c r="QN123" s="43" t="str">
        <f t="shared" si="399"/>
        <v/>
      </c>
      <c r="QO123" s="43" t="str">
        <f t="shared" si="400"/>
        <v/>
      </c>
      <c r="QP123" s="43" t="str">
        <f t="shared" si="401"/>
        <v/>
      </c>
      <c r="QQ123" s="43" t="str">
        <f t="shared" si="402"/>
        <v/>
      </c>
      <c r="QR123" s="43">
        <f t="shared" si="432"/>
        <v>24</v>
      </c>
      <c r="QS123" s="43"/>
      <c r="QT123" s="21" t="str">
        <f t="shared" si="403"/>
        <v/>
      </c>
      <c r="QU123" s="21" t="str">
        <f t="shared" si="404"/>
        <v/>
      </c>
      <c r="QV123" s="21" t="str">
        <f t="shared" si="405"/>
        <v/>
      </c>
      <c r="QW123" s="21" t="str">
        <f t="shared" si="406"/>
        <v/>
      </c>
      <c r="QX123" s="21" t="str">
        <f t="shared" si="407"/>
        <v/>
      </c>
      <c r="QY123" s="21" t="str">
        <f t="shared" si="408"/>
        <v/>
      </c>
      <c r="QZ123" s="21" t="str">
        <f t="shared" si="409"/>
        <v/>
      </c>
      <c r="RA123" s="21" t="str">
        <f t="shared" si="410"/>
        <v/>
      </c>
      <c r="RB123" s="21" t="str">
        <f t="shared" si="411"/>
        <v/>
      </c>
      <c r="RC123" s="21" t="str">
        <f t="shared" si="412"/>
        <v/>
      </c>
      <c r="RD123" s="21" t="str">
        <f t="shared" si="413"/>
        <v/>
      </c>
      <c r="RE123" s="21" t="str">
        <f t="shared" si="414"/>
        <v>ADECUADO PARA EDAD GESTACIONAL</v>
      </c>
      <c r="RF123" s="21" t="str">
        <f t="shared" si="415"/>
        <v/>
      </c>
      <c r="RG123" s="21" t="str">
        <f t="shared" si="416"/>
        <v/>
      </c>
      <c r="RH123" s="21" t="str">
        <f t="shared" si="417"/>
        <v/>
      </c>
      <c r="RI123" s="21" t="str">
        <f t="shared" si="418"/>
        <v/>
      </c>
      <c r="RJ123" s="21" t="str">
        <f t="shared" si="419"/>
        <v/>
      </c>
      <c r="RK123" s="21" t="str">
        <f t="shared" si="420"/>
        <v/>
      </c>
      <c r="RL123" s="21" t="str">
        <f t="shared" si="421"/>
        <v/>
      </c>
      <c r="RM123" s="21" t="str">
        <f t="shared" si="422"/>
        <v/>
      </c>
      <c r="RN123" s="21" t="str">
        <f t="shared" si="423"/>
        <v/>
      </c>
      <c r="RO123" s="21" t="str">
        <f t="shared" si="424"/>
        <v/>
      </c>
      <c r="RP123" s="21" t="str">
        <f t="shared" si="425"/>
        <v/>
      </c>
      <c r="RQ123" s="21" t="str">
        <f t="shared" si="426"/>
        <v/>
      </c>
      <c r="RR123" s="21" t="str">
        <f t="shared" si="427"/>
        <v/>
      </c>
      <c r="RS123" s="21" t="str">
        <f t="shared" si="428"/>
        <v/>
      </c>
      <c r="RT123" s="21" t="str">
        <f t="shared" si="429"/>
        <v/>
      </c>
      <c r="RU123" s="21" t="str">
        <f t="shared" si="430"/>
        <v/>
      </c>
      <c r="RV123" s="21">
        <f t="shared" si="431"/>
        <v>18.714285714285715</v>
      </c>
      <c r="RW123" s="284">
        <f>IF(OR(Tabla1[[#This Row],[FUM FORMULA CONFIABLE]]="",Tabla1[[#This Row],[FUM FORMULA CONFIABLE]]="SD"),"",IF(Tabla1[[#This Row],[FUM FORMULA CONFIABLE]]="CORREGIDA",Tabla1[[#This Row],[FUM X ECO 1]],Tabla1[[#This Row],[FUM x AMENORREA]]))</f>
        <v>44913</v>
      </c>
      <c r="RX123" s="21" t="str">
        <f>IF(AND(Tabla1[[#This Row],[FUM X ECO 1]]="",Tabla1[[#This Row],[FUM x AMENORREA]]=""),"",IF(AND(Tabla1[[#This Row],[FUM X ECO 1]]="",Tabla1[[#This Row],[FUM x AMENORREA]]&lt;&gt;""),"X",SUM(Tabla1[[#This Row],[FUM X ECO 1]]-Tabla1[[#This Row],[FUM x AMENORREA]])))</f>
        <v>X</v>
      </c>
      <c r="RY123" s="21" t="str">
        <f t="shared" si="433"/>
        <v>x</v>
      </c>
    </row>
    <row r="124" spans="1:493" ht="45" customHeight="1" x14ac:dyDescent="0.25">
      <c r="A124" s="109"/>
      <c r="B124" s="43"/>
      <c r="C124" s="43" t="s">
        <v>845</v>
      </c>
      <c r="D124" s="124"/>
      <c r="E124" s="43" t="s">
        <v>857</v>
      </c>
      <c r="F124" s="43" t="s">
        <v>1365</v>
      </c>
      <c r="G124" s="43" t="s">
        <v>949</v>
      </c>
      <c r="H124" s="43" t="s">
        <v>1366</v>
      </c>
      <c r="I124" s="109" t="s">
        <v>851</v>
      </c>
      <c r="J124" s="110">
        <v>1002953350</v>
      </c>
      <c r="K124" s="43" t="s">
        <v>852</v>
      </c>
      <c r="L124" s="175" t="s">
        <v>1367</v>
      </c>
      <c r="M124" s="22">
        <v>36505</v>
      </c>
      <c r="N124" s="213">
        <f t="shared" ca="1" si="252"/>
        <v>23.912328767123288</v>
      </c>
      <c r="O124" s="22">
        <v>44993</v>
      </c>
      <c r="P124" s="214" t="str">
        <f t="shared" si="437"/>
        <v>SI</v>
      </c>
      <c r="Q124" s="26" t="s">
        <v>855</v>
      </c>
      <c r="R124" s="22">
        <v>44993</v>
      </c>
      <c r="S124" s="21" t="s">
        <v>856</v>
      </c>
      <c r="T124" s="24" t="s">
        <v>690</v>
      </c>
      <c r="U124" s="21" t="s">
        <v>857</v>
      </c>
      <c r="V124" s="21" t="s">
        <v>858</v>
      </c>
      <c r="W124" s="21" t="s">
        <v>887</v>
      </c>
      <c r="X124" s="21"/>
      <c r="Y124" s="21"/>
      <c r="Z124" s="21">
        <v>3147427756</v>
      </c>
      <c r="AA124" s="21" t="s">
        <v>860</v>
      </c>
      <c r="AB124" s="27" t="s">
        <v>861</v>
      </c>
      <c r="AC124" s="26" t="s">
        <v>846</v>
      </c>
      <c r="AD124" s="38" t="s">
        <v>1546</v>
      </c>
      <c r="AE124" s="26" t="s">
        <v>854</v>
      </c>
      <c r="AF124" s="26" t="s">
        <v>854</v>
      </c>
      <c r="AG124" s="23" t="s">
        <v>864</v>
      </c>
      <c r="AH124" s="23" t="s">
        <v>864</v>
      </c>
      <c r="AI124" s="24" t="s">
        <v>863</v>
      </c>
      <c r="AJ124" s="23" t="s">
        <v>864</v>
      </c>
      <c r="AK124" s="220" t="str">
        <f>IF(AND(AD124="",AE124="",AF124="",AG124="",AH124="",AI124="",AJ124=""),"",IF(OR(Tabla1[[#This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EVALUACIÓN",IF(AND(O124="",R124=""),"",IF(AND(OR(O124&gt;0,R124&gt;0),NG124&gt;=0,NG124&lt;2),"SIN RIESGO",IF(AND(OR(O124&gt;0,R124&gt;0),NG124&gt;=2),"CON RIESGO","ASD")))))</f>
        <v>SIN RIESGO</v>
      </c>
      <c r="AL124" s="23" t="s">
        <v>864</v>
      </c>
      <c r="AM124" s="26" t="s">
        <v>864</v>
      </c>
      <c r="AN124" s="26" t="s">
        <v>864</v>
      </c>
      <c r="AO124" s="26" t="s">
        <v>864</v>
      </c>
      <c r="AP124" s="26" t="s">
        <v>864</v>
      </c>
      <c r="AQ124" s="26" t="s">
        <v>864</v>
      </c>
      <c r="AR124" s="26" t="s">
        <v>864</v>
      </c>
      <c r="AS124" s="21">
        <v>0</v>
      </c>
      <c r="AT124" s="21">
        <v>0</v>
      </c>
      <c r="AU124" s="21">
        <v>0</v>
      </c>
      <c r="AV124" s="26" t="s">
        <v>864</v>
      </c>
      <c r="AW124" s="21">
        <v>0</v>
      </c>
      <c r="AX124" s="26" t="s">
        <v>864</v>
      </c>
      <c r="AY124" s="26" t="s">
        <v>864</v>
      </c>
      <c r="AZ124" s="26" t="s">
        <v>864</v>
      </c>
      <c r="BA124" s="26" t="s">
        <v>864</v>
      </c>
      <c r="BB124" s="26" t="s">
        <v>864</v>
      </c>
      <c r="BC124" s="26" t="s">
        <v>864</v>
      </c>
      <c r="BD124" s="26" t="s">
        <v>864</v>
      </c>
      <c r="BE124" s="26" t="s">
        <v>864</v>
      </c>
      <c r="BF124" s="26" t="s">
        <v>864</v>
      </c>
      <c r="BG124" s="26" t="s">
        <v>864</v>
      </c>
      <c r="BH124" s="26" t="s">
        <v>864</v>
      </c>
      <c r="BI124" s="26" t="s">
        <v>864</v>
      </c>
      <c r="BJ124" s="26" t="s">
        <v>864</v>
      </c>
      <c r="BK124" s="26" t="s">
        <v>865</v>
      </c>
      <c r="BL124" s="26" t="s">
        <v>864</v>
      </c>
      <c r="BM124" s="26" t="s">
        <v>864</v>
      </c>
      <c r="BN124" s="22"/>
      <c r="BO124" s="22">
        <v>44969</v>
      </c>
      <c r="BP124" s="21" t="s">
        <v>1380</v>
      </c>
      <c r="BQ124" s="222">
        <f t="shared" si="254"/>
        <v>0</v>
      </c>
      <c r="BR124" s="223">
        <f t="shared" si="255"/>
        <v>44953</v>
      </c>
      <c r="BS124" s="224">
        <f t="shared" si="256"/>
        <v>5.7142857142857144</v>
      </c>
      <c r="BT124" s="216" t="str">
        <f t="shared" si="257"/>
        <v>I TRIM</v>
      </c>
      <c r="BU124" s="214">
        <f t="shared" ca="1" si="258"/>
        <v>40</v>
      </c>
      <c r="BV124" s="25"/>
      <c r="BW124" s="22">
        <v>44995</v>
      </c>
      <c r="BX124" s="28">
        <v>6</v>
      </c>
      <c r="BY124" s="28"/>
      <c r="BZ124" s="22"/>
      <c r="CA124" s="21"/>
      <c r="CB124" s="26" t="s">
        <v>864</v>
      </c>
      <c r="CC124" s="26" t="s">
        <v>864</v>
      </c>
      <c r="CD124" s="26"/>
      <c r="CE124" s="26"/>
      <c r="CF124" s="22" t="s">
        <v>1517</v>
      </c>
      <c r="CG124" s="21">
        <v>1.49</v>
      </c>
      <c r="CH124" s="21">
        <v>49.3</v>
      </c>
      <c r="CI124" s="214">
        <f t="shared" si="259"/>
        <v>22.206206927615874</v>
      </c>
      <c r="CJ124" s="225" t="str">
        <f>IF(AND(CI124&lt;10,CH124="SD"),"SIN DATO PESO PREGESTACION O I TRIM",IF(AND(OR(R124&gt;0,O124&gt;0),CI124="X"),"INGRESAR DATO DE PESO",IF(CI124="SD","INGRESAR DATO DE TALLA Y PESO",IF(AND(OR(Tabla1[[#This Row],[MOMENTO EN QUE SE REALIZA EL PESO AL INGRESO A CPN]]="PREGESTACIÓN",NZ124="Menor"),CI124&lt;18.5),"BAJO PESO",IF(AND(OR(Tabla1[[#This Row],[MOMENTO EN QUE SE REALIZA EL PESO AL INGRESO A CPN]]="PREGESTACIÓN",NZ124="Menor"),CI124&lt;25),"NORMAL",IF(AND(OR(Tabla1[[#This Row],[MOMENTO EN QUE SE REALIZA EL PESO AL INGRESO A CPN]]="PREGESTACIÓN",NZ124="Menor"),CI124&lt;30),"SOBREPESO",IF(AND(OR(Tabla1[[#This Row],[MOMENTO EN QUE SE REALIZA EL PESO AL INGRESO A CPN]]="PREGESTACIÓN",NZ124="Menor"),CI124&gt;=30,CI124&lt;50),"OBESIDAD",IF(AND(BS124&gt;0,Tabla1[[#This Row],[MOMENTO EN QUE SE REALIZA EL PESO AL INGRESO A CPN]]="GESTACIÓN"),HLOOKUP(NZ124,$OA$2:PH124,NY124),""))))))))</f>
        <v>NORMAL</v>
      </c>
      <c r="CK124" s="212">
        <f t="shared" si="260"/>
        <v>44993</v>
      </c>
      <c r="CL124" s="21" t="s">
        <v>1658</v>
      </c>
      <c r="CM124" s="214">
        <f t="shared" si="261"/>
        <v>0</v>
      </c>
      <c r="CN124" s="216">
        <f t="shared" si="262"/>
        <v>5</v>
      </c>
      <c r="CO124" s="216" t="e">
        <f>IF(PI124="","",IF(PI124&gt;0,HLOOKUP(PI124,$PJ$2:QQ124,NY124),""))</f>
        <v>#REF!</v>
      </c>
      <c r="CP124" s="21"/>
      <c r="CQ124" s="216" t="str">
        <f>IF(QR124="Menor","NO APLICA-MENOR 13 SEM",IF(AND(CC124="SI",CN124&gt;23),"NO APLICA- GEMELAR",IF(QR124="","",IF(QR124&gt;0,HLOOKUP(QR124,$QS$2:RU124,NY124),""))))</f>
        <v>NO APLICA-MENOR 13 SEM</v>
      </c>
      <c r="CR124" s="21">
        <v>90</v>
      </c>
      <c r="CS124" s="21">
        <v>60</v>
      </c>
      <c r="CT124" s="217" t="str">
        <f>IF(R124="","",IF(AND(BS124&gt;1,BS124&lt;12,Tabla1[[#This Row],[T.A. SISTOLICA - ANTES DE SEMANA 12]]="",Tabla1[[#This Row],[T.A. DIASTOLICA - ANTES DE SEMANA 12]]=""),"REGISTRE DATO TA ANTES SEMANA 12",IF(AND(BS124&gt;11,BS124&lt;43,Tabla1[[#This Row],[T.A. SISTOLICA - ANTES DE SEMANA 12]]="",Tabla1[[#This Row],[T.A. DIASTOLICA - ANTES DE SEMANA 12]]=""),"NO APLICA REGISTRO TA-INGRESO TARDIO",IF(AND(OR(O124&gt;0,R124&gt;0),OR(CR124&gt;=140,CS124&gt;=90)),"DEFINIR ESTADIO HTA",IF(AND(OR(O124&gt;0,R124&gt;0),AND(CR124&gt;120,CR124&lt;=139)),"PRE HTA SEGUIMIENTO",IF(AND(OR(O124&gt;0,R124&gt;0),AND(CS124&gt;80,CS124&lt;=89)),"PRE HTA SEGUIMIENTO",IF(AND(OR(O124&gt;0,R124&gt;0),AND(CR124&gt;=80,CR124&lt;=120)),"APARENTEMENTE NORMAL",IF(AND(OR(O124&gt;0,R124&gt;0),AND(CS124&gt;=50,CS124&lt;=80)),"APARENTEMENTE NORMAL",IF(AND(OR(O124&gt;0,R124&gt;0),AND(CR124&gt;1,CR124&lt;=70),AND(CS124&gt;1,CS124&lt;=40)),"HIPOTENSIÓN","")))))))))</f>
        <v>APARENTEMENTE NORMAL</v>
      </c>
      <c r="CU124" s="21"/>
      <c r="CV124" s="21"/>
      <c r="CW124" s="217" t="str">
        <f ca="1">IF(R124="","",IF(AND(CN124&gt;19,CN124&lt;27,Tabla1[[#This Row],[T.A. SISTOLICA (Entre semana 20 y 26)]]="",Tabla1[[#This Row],[T.A. DIATOLICA (Entre semana 20 y 26)]]=""),"ACUDE A CONTROL SEM 20 A 26 REGISTRE TA AHORA",IF(AND(BS124&gt;1,BS124&lt;27,BU124&gt;19,Tabla1[[#This Row],[T.A. SISTOLICA (Entre semana 20 y 26)]]="",Tabla1[[#This Row],[T.A. DIATOLICA (Entre semana 20 y 26)]]=""),"COMPLETE REGISTRO TA CONTROL SEM 20 A26 ",IF(AND(BS124&gt;26,BS124&lt;43,Tabla1[[#This Row],[T.A. SISTOLICA (Entre semana 20 y 26)]]="",Tabla1[[#This Row],[T.A. DIATOLICA (Entre semana 20 y 26)]]=""),"NO APLICA REGISTRO TA-INGRESO TARDIO",IF(AND(OR(O124&gt;0,R124&gt;0),OR(CU124&gt;=140,CV124&gt;=90)),"ALTO RIESGO PREECLAMPSIA,DEFINIR ESTADIO HTA",IF(AND(OR(O124&gt;0,R124&gt;0),AND(CU124&gt;120,CU124&lt;=139)),"PRE HTA SEGUIMIENTO,RIESGO HIPERTENSION INDUCIDA POR EL EMBARAZO",IF(AND(OR(O124&gt;0,R124&gt;0),AND(CV124&gt;80,CV124&lt;=89)),"PRE HTA SEGUIMIENTO, RIESGO HIPERTENSION INDUCIDA POR EL EMBARAZO",IF(AND(OR(O124&lt;&gt;"",R124&lt;&gt;""),CS124&lt;&gt;"",CV124&lt;&gt;"",CS124&lt;=CV124),"VIGILAR CIFRAS PRESION ARTERIAL",IF(AND(OR(O124&gt;0,R124&gt;0),AND(CU124&gt;120,CU124&lt;=139)),"PRE HTA SEGUIMIENTO",IF(AND(OR(O124&gt;0,R124&gt;0),AND(CU124&gt;1,CU124&lt;=70),AND(CV124&gt;1,CV124&lt;=40)),"HIPOTENSIÓN",IF(AND(OR(O124&lt;&gt;"",R124&lt;&gt;""),CS124&lt;&gt;"",CV124&lt;&gt;"",CS124&gt;CV124),"APARENTEMENTE NORMAL",IF(AND(OR(O124&gt;0,R124&gt;0),AND(CU124&gt;=80,CU124&lt;=120)),"APARENTEMENTE NORMAL",IF(AND(OR(O124&gt;0,R124&gt;0),AND(CV124&gt;=50,CV124&lt;=80)),"APARENTEMENTE NORMAL","")))))))))))))</f>
        <v xml:space="preserve">COMPLETE REGISTRO TA CONTROL SEM 20 A26 </v>
      </c>
      <c r="CX124" s="21"/>
      <c r="CY124" s="21"/>
      <c r="CZ124" s="216" t="str">
        <f t="shared" si="456"/>
        <v/>
      </c>
      <c r="DA124" s="21"/>
      <c r="DB124" s="21"/>
      <c r="DC124" s="217" t="str">
        <f t="shared" si="264"/>
        <v>REGISTRE DATO PRESIÓN ARTERIAL MENSUAL</v>
      </c>
      <c r="DD124" s="22">
        <v>44985</v>
      </c>
      <c r="DE124" s="22">
        <v>44985</v>
      </c>
      <c r="DF124" s="22"/>
      <c r="DG124" s="22"/>
      <c r="DH124" s="22"/>
      <c r="DI124" s="22"/>
      <c r="DJ124" s="22"/>
      <c r="DK124" s="22"/>
      <c r="DL124" s="22"/>
      <c r="DM124" s="22"/>
      <c r="DN124" s="22"/>
      <c r="DO124" s="22"/>
      <c r="DP124" s="22"/>
      <c r="DQ124" s="22"/>
      <c r="DR124" s="28"/>
      <c r="DS124" s="22"/>
      <c r="DT124" s="22"/>
      <c r="DU124" s="216" t="str">
        <f t="shared" ca="1" si="438"/>
        <v>CONCERTAR PLAN DE PARTO INMEDIATO</v>
      </c>
      <c r="DV124" s="226" t="str">
        <f t="shared" si="439"/>
        <v>ACTIVA INGRESO A CPN</v>
      </c>
      <c r="DW1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4" s="216" t="e">
        <f t="shared" ca="1" si="266"/>
        <v>#REF!</v>
      </c>
      <c r="DY124" s="212">
        <f>IF(R124="","",IF(R124&gt;0,MAX(Tabla1[[#This Row],[FECHA C2]:[FECHA C13]],Tabla1[[#This Row],[FECHA CONSULTA PRIMERA VEZ PROGRAMA CPN ]])))</f>
        <v>44993</v>
      </c>
      <c r="DZ124" s="216">
        <f t="shared" si="267"/>
        <v>5</v>
      </c>
      <c r="EA124" s="222">
        <f>IF(R124&gt;0,SUM(COUNTA(DF124:DQ124)+COUNTA(Tabla1[[#This Row],[FECHA CONSULTA PRIMERA VEZ PROGRAMA CPN ]])),"")</f>
        <v>1</v>
      </c>
      <c r="EB124" s="222" t="str">
        <f t="shared" si="268"/>
        <v>NO</v>
      </c>
      <c r="EC124" s="214">
        <f t="shared" si="269"/>
        <v>10</v>
      </c>
      <c r="ED124" s="227">
        <f t="shared" si="270"/>
        <v>0.1</v>
      </c>
      <c r="EE124" s="22">
        <v>45207</v>
      </c>
      <c r="EF124" s="22">
        <v>45207</v>
      </c>
      <c r="EG124" s="344">
        <v>44993</v>
      </c>
      <c r="EH124" s="22"/>
      <c r="EI124" s="22">
        <v>44993</v>
      </c>
      <c r="EJ124" s="22"/>
      <c r="EK124" s="22"/>
      <c r="EL124" s="21"/>
      <c r="EM124" s="21">
        <v>14.6</v>
      </c>
      <c r="EN124" s="22">
        <v>44993</v>
      </c>
      <c r="EO124" s="222">
        <f t="shared" si="271"/>
        <v>5.7142857142857144</v>
      </c>
      <c r="EP124" s="214" t="str">
        <f t="shared" si="272"/>
        <v>NO DAR SULFATO FERROSO</v>
      </c>
      <c r="EQ124" s="216" t="str">
        <f t="shared" si="273"/>
        <v>I TRIM</v>
      </c>
      <c r="ER124" s="24"/>
      <c r="ES124" s="22"/>
      <c r="ET124" s="29" t="str">
        <f t="shared" ca="1" si="440"/>
        <v>TOMA DE HEMOGLOBINA TARDÍA</v>
      </c>
      <c r="EU124" s="25" t="str">
        <f t="shared" si="275"/>
        <v/>
      </c>
      <c r="EV124" s="24" t="s">
        <v>866</v>
      </c>
      <c r="EW124" s="24">
        <v>44993</v>
      </c>
      <c r="EX124" s="22"/>
      <c r="EY124" s="29">
        <f t="shared" si="453"/>
        <v>5.7142857142857144</v>
      </c>
      <c r="EZ124" s="25" t="str">
        <f t="shared" ca="1" si="454"/>
        <v/>
      </c>
      <c r="FA124" s="21"/>
      <c r="FB124" s="22"/>
      <c r="FC124" s="29" t="str">
        <f t="shared" si="276"/>
        <v>TOMAR EXAMEN</v>
      </c>
      <c r="FD124" s="29"/>
      <c r="FE124" s="29"/>
      <c r="FF124" s="29"/>
      <c r="FG124" s="21" t="str">
        <f t="shared" ca="1" si="277"/>
        <v>TOMAR PTOG</v>
      </c>
      <c r="FH124" s="31"/>
      <c r="FI124" s="29" t="str">
        <f t="shared" si="278"/>
        <v>TOMAR EXAMEN</v>
      </c>
      <c r="FJ124" s="22" t="s">
        <v>867</v>
      </c>
      <c r="FK124" s="22">
        <v>44993</v>
      </c>
      <c r="FL124" s="29">
        <f t="shared" ca="1" si="279"/>
        <v>5.7142857142857144</v>
      </c>
      <c r="FM124" s="22"/>
      <c r="FN124" s="32"/>
      <c r="FO124" s="29" t="str">
        <f t="shared" ca="1" si="441"/>
        <v>PIERDE TOMA DE TAMIZAJE</v>
      </c>
      <c r="FP124" s="22"/>
      <c r="FQ124" s="32"/>
      <c r="FR124" s="29" t="str">
        <f t="shared" ca="1" si="442"/>
        <v>TOMA INMEDIATA DE TAMIZAJE</v>
      </c>
      <c r="FS124" s="22"/>
      <c r="FT124" s="32"/>
      <c r="FU124" s="29" t="str">
        <f>IF(AND(FJ124="",FM124="",FP124="",FS124=""),"",IF(OR(OR(Tabla1[[#This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4" s="28"/>
      <c r="FW124" s="22"/>
      <c r="FX124" s="29" t="str">
        <f t="shared" si="280"/>
        <v>TOMAR EXAMEN</v>
      </c>
      <c r="FY124" s="22">
        <v>44993</v>
      </c>
      <c r="FZ124" s="22">
        <v>44993</v>
      </c>
      <c r="GA124" s="29">
        <f t="shared" ca="1" si="452"/>
        <v>5.7142857142857144</v>
      </c>
      <c r="GB124" s="22"/>
      <c r="GC124" s="22"/>
      <c r="GD124" s="29" t="str">
        <f t="shared" ca="1" si="490"/>
        <v>PIERDE TOMA DE TAMIZAJE</v>
      </c>
      <c r="GE124" s="22"/>
      <c r="GF124" s="22"/>
      <c r="GG124" s="29" t="str">
        <f t="shared" ca="1" si="444"/>
        <v>TOMA INMEDIATA DE TAMIZAJE</v>
      </c>
      <c r="GH124" s="22"/>
      <c r="GI124" s="29"/>
      <c r="GJ124" s="22"/>
      <c r="GK124" s="22"/>
      <c r="GL124" s="22"/>
      <c r="GM124" s="22"/>
      <c r="GN124" s="28"/>
      <c r="GO124" s="22"/>
      <c r="GP124" s="29" t="str">
        <f t="shared" si="283"/>
        <v>TOMAR EXAMEN</v>
      </c>
      <c r="GQ124" s="28"/>
      <c r="GR124" s="28"/>
      <c r="GS124" s="22" t="str">
        <f t="shared" si="457"/>
        <v/>
      </c>
      <c r="GT124" s="22"/>
      <c r="GU124" s="29" t="str">
        <f t="shared" si="285"/>
        <v>TOMAR EXAMEN</v>
      </c>
      <c r="GV124" s="21" t="str">
        <f t="shared" si="286"/>
        <v>POR DEFINIR</v>
      </c>
      <c r="GW124" s="28"/>
      <c r="GX124" s="30"/>
      <c r="GY124" s="21"/>
      <c r="GZ124" s="21"/>
      <c r="HA124" s="21"/>
      <c r="HB124" s="21"/>
      <c r="HC124" s="21"/>
      <c r="HD124" s="21"/>
      <c r="HE124" s="21"/>
      <c r="HF124" s="22"/>
      <c r="HG124" s="22" t="str">
        <f>IF(OR(O124&gt;0,R124&gt;0),CONCATENATE(IF(Tabla1[[#This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4" s="22" t="e">
        <f t="shared" si="287"/>
        <v>#REF!</v>
      </c>
      <c r="HI124" s="22" t="e">
        <f t="shared" ca="1" si="288"/>
        <v>#REF!</v>
      </c>
      <c r="HJ124" s="21"/>
      <c r="HK124" s="21" t="str">
        <f t="shared" si="289"/>
        <v>SIN ANTECEDENTES DE RIESGO</v>
      </c>
      <c r="HL124" s="24" t="str">
        <f t="shared" si="290"/>
        <v>REGISTRE DATO PRESIÓN ARTERIAL MENSUAL</v>
      </c>
      <c r="HM124" s="21" t="e">
        <f t="shared" ca="1" si="291"/>
        <v>#REF!</v>
      </c>
      <c r="HN124" s="30" t="str">
        <f t="shared" si="445"/>
        <v>ACTIVA INGRESO A CPN</v>
      </c>
      <c r="HO124" s="21"/>
      <c r="HP124" s="21"/>
      <c r="HQ124" s="349">
        <v>44993</v>
      </c>
      <c r="HR124" s="21" t="str">
        <f>IF(R124="","",IF(Tabla1[[#This Row],[ALARMA FACTORES DE RIESGO COMPLICACIONES HIPERTENSIVAS3]]="SIN ANTECEDENTES DE RIESGO","No Aplica para suministro de ASA",IF(AND(Tabla1[[#This Row],[FECHA INICIO DE SUMINISTRO DE ASA]]&gt;0,RV124&lt;12),"Inicia ASA ANTES de Sem 12",IF(AND(RV124&gt;11,RV124&lt;17,OR(HK124="RIESGO ALTO DE COMPLICACIONES HIPERTENSIVAS VER MANEJO GUIA SUMINISTRO ASA Y CALCIO",HK124="RIESGO MODERADO (2 O MAS CRITERIOS) VER MANEJO GUIA SUMINISTRO ASA Y CALCIO")),"Inicio oportuno de ASA",IF(AND(RV124&gt;12,OR(HK124="RIESGO ALTO DE COMPLICACIONES HIPERTENSIVAS VER MANEJO GUIA SUMINISTRO ASA Y CALCIO",HK124="RIESGO MODERADO (2 O MAS CRITERIOS) VER MANEJO GUIA SUMINISTRO ASA Y CALCIO")),"Inicio no oportuno mayor a 16 semanas",IF(AND(BU124&lt;12,OR(HK124="RIESGO ALTO DE COMPLICACIONES HIPERTENSIVAS VER MANEJO GUIA SUMINISTRO ASA Y CALCIO",HK124="RIESGO MODERADO (2 O MAS CRITERIOS) VER MANEJO GUIA SUMINISTRO ASA Y CALCIO")),"Pendiente Inicio de ASA a la semana 12",IF(AND(BU124&gt;11,BU124&lt;17,OR(HK124="RIESGO ALTO DE COMPLICACIONES HIPERTENSIVAS VER MANEJO GUIA SUMINISTRO ASA Y CALCIO",HK124="RIESGO MODERADO (2 O MAS CRITERIOS) VER MANEJO GUIA SUMINISTRO ASA Y CALCIO")),"Iniciar de inmediato ASA",IF(AND(BU124&gt;16,OR(HK124="RIESGO ALTO DE COMPLICACIONES HIPERTENSIVAS VER MANEJO GUIA SUMINISTRO ASA Y CALCIO",HK124="RIESGO MODERADO (2 O MAS CRITERIOS) VER MANEJO GUIA SUMINISTRO ASA Y CALCIO")),"Pierde Oportunidad, Inicio tardío de ASA","XXXXX"))))))))</f>
        <v>No Aplica para suministro de ASA</v>
      </c>
      <c r="HS124" s="22">
        <v>44993</v>
      </c>
      <c r="HT124" s="22" t="s">
        <v>870</v>
      </c>
      <c r="HU124" s="22">
        <v>44993</v>
      </c>
      <c r="HV124" s="22" t="s">
        <v>870</v>
      </c>
      <c r="HW124" s="22"/>
      <c r="HX124" s="22"/>
      <c r="HY124" s="22"/>
      <c r="HZ124" s="28" t="str">
        <f t="shared" si="292"/>
        <v>PENDIENTE CONSULTA</v>
      </c>
      <c r="IA124" s="26"/>
      <c r="IB124" s="26"/>
      <c r="IC124" s="111"/>
      <c r="ID124" s="22"/>
      <c r="IE124" s="22" t="str">
        <f t="shared" ca="1" si="293"/>
        <v>INASISTENTE</v>
      </c>
      <c r="IF124" s="22"/>
      <c r="IG124" s="22">
        <f t="shared" si="294"/>
        <v>45233</v>
      </c>
      <c r="IH124" s="29">
        <f t="shared" ca="1" si="295"/>
        <v>0</v>
      </c>
      <c r="II124" s="22" t="str">
        <f t="shared" ca="1" si="296"/>
        <v>SEMANA DE PARTO</v>
      </c>
      <c r="IJ124" s="22"/>
      <c r="IK124" s="21"/>
      <c r="IL124" s="21"/>
      <c r="IM124" s="34"/>
      <c r="IN124" s="22"/>
      <c r="IO124" s="21"/>
      <c r="IP124" s="29" t="str">
        <f t="shared" si="489"/>
        <v/>
      </c>
      <c r="IQ124" s="35"/>
      <c r="IR124" s="21"/>
      <c r="IS124" s="21"/>
      <c r="IT124" s="21"/>
      <c r="IU124" s="21"/>
      <c r="IV124" s="21"/>
      <c r="IW124" s="21"/>
      <c r="IX124" s="21"/>
      <c r="IY124" s="21"/>
      <c r="IZ124" s="21"/>
      <c r="JA124" s="21"/>
      <c r="JB124" s="30"/>
      <c r="JC124" s="21"/>
      <c r="JD124" s="36"/>
      <c r="JE124" s="21" t="str">
        <f t="shared" si="491"/>
        <v/>
      </c>
      <c r="JF124" s="30"/>
      <c r="JG124" s="21"/>
      <c r="JH124" s="21"/>
      <c r="JI124" s="21"/>
      <c r="JJ124" s="30"/>
      <c r="JK124" s="22"/>
      <c r="JL124" s="22"/>
      <c r="JM124" s="21"/>
      <c r="JN124" s="36"/>
      <c r="JO124" s="21" t="str">
        <f t="shared" si="492"/>
        <v/>
      </c>
      <c r="JP124" s="22"/>
      <c r="JQ124" s="21"/>
      <c r="JR124" s="21"/>
      <c r="JS124" s="21"/>
      <c r="JT124" s="30"/>
      <c r="JU124" s="22"/>
      <c r="JV124" s="22"/>
      <c r="JW124" s="33"/>
      <c r="JX124" s="28" t="str">
        <f t="shared" si="493"/>
        <v/>
      </c>
      <c r="JY124" s="33"/>
      <c r="JZ124" s="28" t="str">
        <f t="shared" si="494"/>
        <v/>
      </c>
      <c r="KA124" s="21"/>
      <c r="KB124" s="21"/>
      <c r="KC124" s="21"/>
      <c r="KD124" s="37"/>
      <c r="KE124" s="28"/>
      <c r="KF124" s="28"/>
      <c r="KG124" s="28"/>
      <c r="KH124" s="39"/>
      <c r="KI124" s="39"/>
      <c r="KJ124" s="66"/>
      <c r="KK124" s="39"/>
      <c r="KL124" s="39"/>
      <c r="KM124" s="66"/>
      <c r="KN124" s="39"/>
      <c r="KO124" s="39"/>
      <c r="KP124" s="39"/>
      <c r="KQ124" s="39"/>
      <c r="KR124" s="39"/>
      <c r="KS124" s="39"/>
      <c r="KT124" s="39"/>
      <c r="KU124" s="38"/>
      <c r="KV124" s="38"/>
      <c r="KW124" s="38"/>
      <c r="KX124" s="38"/>
      <c r="KY124" s="38"/>
      <c r="KZ124" s="38"/>
      <c r="LA124" s="38"/>
      <c r="LB124" s="38"/>
      <c r="LC124" s="38"/>
      <c r="LD124" s="38"/>
      <c r="LE124" s="38"/>
      <c r="LF124" s="38"/>
      <c r="LG124" s="38"/>
      <c r="LH124" s="38"/>
      <c r="LI124" s="38"/>
      <c r="LJ124" s="38"/>
      <c r="LK124" s="38"/>
      <c r="LL124" s="38"/>
      <c r="LM124" s="38"/>
      <c r="LN124" s="38"/>
      <c r="LO124" s="38"/>
      <c r="LP124" s="38"/>
      <c r="LQ124" s="38"/>
      <c r="LR124" s="38"/>
      <c r="LS124" s="38"/>
      <c r="LT124" s="38"/>
      <c r="LU124" s="38"/>
      <c r="LV124" s="38"/>
      <c r="LW124" s="38"/>
      <c r="LX124" s="38"/>
      <c r="LY124" s="38"/>
      <c r="LZ124" s="38"/>
      <c r="MA124" s="38"/>
      <c r="MB124" s="38"/>
      <c r="MC124" s="38"/>
      <c r="MD124" s="38"/>
      <c r="ME124" s="38"/>
      <c r="MF124" s="38"/>
      <c r="MG124" s="38"/>
      <c r="MH124" s="43">
        <f t="shared" si="458"/>
        <v>0</v>
      </c>
      <c r="MI124" s="43" t="str">
        <f t="shared" si="459"/>
        <v/>
      </c>
      <c r="MJ124" s="43" t="str">
        <f t="shared" si="460"/>
        <v/>
      </c>
      <c r="MK124" s="43">
        <f t="shared" si="461"/>
        <v>0</v>
      </c>
      <c r="ML1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4" s="43">
        <f t="shared" si="462"/>
        <v>5.7142857142857144</v>
      </c>
      <c r="MN124" s="43">
        <f t="shared" si="463"/>
        <v>3</v>
      </c>
      <c r="MO124" s="43">
        <f t="shared" si="464"/>
        <v>2023</v>
      </c>
      <c r="MP124" s="43" t="str">
        <f t="shared" si="465"/>
        <v>I TRIMESTRE AÑO</v>
      </c>
      <c r="MQ124" s="43">
        <f t="shared" si="466"/>
        <v>22.905716162943495</v>
      </c>
      <c r="MR124" s="43">
        <f t="shared" si="467"/>
        <v>0</v>
      </c>
      <c r="MS124" s="43" t="str">
        <f t="shared" si="468"/>
        <v xml:space="preserve"> DE 20 A 24 AÑOS</v>
      </c>
      <c r="MT124" s="43">
        <f t="shared" si="469"/>
        <v>0</v>
      </c>
      <c r="MU124" s="43">
        <f t="shared" si="470"/>
        <v>1</v>
      </c>
      <c r="MV124" s="43">
        <f t="shared" si="471"/>
        <v>0</v>
      </c>
      <c r="MW124" s="43">
        <f t="shared" si="472"/>
        <v>0</v>
      </c>
      <c r="MX124" s="43" t="str">
        <f t="shared" si="473"/>
        <v/>
      </c>
      <c r="MY124" s="43" t="str">
        <f t="shared" ca="1" si="495"/>
        <v/>
      </c>
      <c r="MZ124" s="43" t="str">
        <f t="shared" si="474"/>
        <v/>
      </c>
      <c r="NA124" s="43" t="str">
        <f t="shared" si="475"/>
        <v/>
      </c>
      <c r="NB124" s="43" t="str">
        <f t="shared" si="476"/>
        <v/>
      </c>
      <c r="NC124" s="43" t="str">
        <f t="shared" si="477"/>
        <v/>
      </c>
      <c r="ND124" s="43">
        <f t="shared" ca="1" si="478"/>
        <v>1</v>
      </c>
      <c r="NE124" s="43">
        <f>IF(OR(O124&gt;0,R124&gt;0),SUM(COUNTIF(Tabla1[[#This Row],[AÑOS AL INICIO5 CPN]],"&gt;=40"),COUNTIF(AS124,"0"),COUNTIF(AR124,"SI"),COUNTIF(CC124,"SI"),COUNTIF(BQ124,"&gt;119"),COUNTIF(CI124,"&gt;=35")),"")</f>
        <v>1</v>
      </c>
      <c r="NF124" s="43" t="str">
        <f t="shared" si="479"/>
        <v/>
      </c>
      <c r="NG124" s="43">
        <f t="shared" si="480"/>
        <v>0</v>
      </c>
      <c r="NH124" s="43">
        <f t="shared" si="481"/>
        <v>42</v>
      </c>
      <c r="NI1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CPN",P124="NO"),"Z",IF(AND(Tabla1[[#This Row],[CITA PROXIMO CONTROL]]="CITA MANUAL",Tabla1[[#This Row],[GESTANTES ACTUALES]]="ACTIVA INGRESO A CPN"),"W",IF(AND(Tabla1[[#This Row],[GESTANTES ACTUALES]]="SALIO PROGRAMA",IN124=""),"S",IF(AND(Tabla1[[#This Row],[CITA PROXIMO CONTROL]]&gt;0,IN124=""),(Tabla1[[#This Row],[CITA PROXIMO CONTROL]]-TODAY()),"SD"))))))))</f>
        <v>#REF!</v>
      </c>
      <c r="NJ124" s="43">
        <f>MONTH(Tabla1[[#This Row],[FECHA DE SALIDA  DEL PROGRAMA]])</f>
        <v>1</v>
      </c>
      <c r="NK124" s="43">
        <f>YEAR(Tabla1[[#This Row],[FECHA DE SALIDA  DEL PROGRAMA]])</f>
        <v>1900</v>
      </c>
      <c r="NL124" s="43" t="str">
        <f t="shared" si="482"/>
        <v>X</v>
      </c>
      <c r="NM124" s="43" t="str">
        <f t="shared" si="455"/>
        <v>NO</v>
      </c>
      <c r="NN124" s="43" t="str">
        <f ca="1">IF(AND(O124&gt;0,R124=""),"NO CPN",IF(AND(O124="",R124=""),"",IF(AND(R124&gt;0,Tabla1[[#This Row],[SEMANAS DE GESTACION ACTUALIZADAS]]&lt;=12),"NO APLICA",IF(AND(FH124&lt;&gt;"",FN124&lt;&gt;""),"SI","NO"))))</f>
        <v>NO</v>
      </c>
      <c r="NO124" s="43" t="str">
        <f ca="1">IF(AND(O124&gt;0,R124=""),"NO CPN",IF(AND(O124="",R124=""),"",IF(AND(R124&gt;0,Tabla1[[#This Row],[SEMANAS DE GESTACION ACTUALIZADAS]]&lt;=27),"NO APLICA",IF(AND(ES124&lt;&gt;"",FQ124&lt;&gt;"",GF124&lt;&gt;""),"SI","NO"))))</f>
        <v>NO</v>
      </c>
      <c r="NP124" s="204" t="str">
        <f t="shared" si="483"/>
        <v>I TRIM</v>
      </c>
      <c r="NQ124" s="21" t="str">
        <f t="shared" si="436"/>
        <v/>
      </c>
      <c r="NR124" s="21">
        <f t="shared" ca="1" si="496"/>
        <v>3</v>
      </c>
      <c r="NS124" s="205">
        <f t="shared" ca="1" si="484"/>
        <v>1</v>
      </c>
      <c r="NT124" s="21">
        <f t="shared" ca="1" si="485"/>
        <v>1</v>
      </c>
      <c r="NU124" s="21" t="str">
        <f t="shared" ca="1" si="486"/>
        <v>INCOMPLETO</v>
      </c>
      <c r="NV124" s="21" t="str">
        <f t="shared" ca="1" si="487"/>
        <v>INCOMPLETO</v>
      </c>
      <c r="NW124" s="206" t="str">
        <f>IF(AND(O124="",R124=""),"",IF(OR(AND(Tabla1[[#This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4" s="207" t="str">
        <f t="shared" ca="1" si="488"/>
        <v>SIN VACUNAR</v>
      </c>
      <c r="NY124" s="43">
        <f>ROW(Tabla1[[#This Row],['# DE TAMIZAJES SIFILIS TOMADOS ]])</f>
        <v>124</v>
      </c>
      <c r="NZ124" s="43" t="str">
        <f t="shared" si="333"/>
        <v>Menor</v>
      </c>
      <c r="OA124" s="43" t="str">
        <f t="shared" si="334"/>
        <v>NORMAL</v>
      </c>
      <c r="OB124" s="43" t="str">
        <f t="shared" si="335"/>
        <v/>
      </c>
      <c r="OC124" s="43" t="str">
        <f t="shared" si="336"/>
        <v/>
      </c>
      <c r="OD124" s="43" t="str">
        <f t="shared" si="337"/>
        <v/>
      </c>
      <c r="OE124" s="43" t="str">
        <f t="shared" si="338"/>
        <v/>
      </c>
      <c r="OF124" s="43" t="str">
        <f t="shared" si="339"/>
        <v/>
      </c>
      <c r="OG124" s="43" t="str">
        <f t="shared" si="340"/>
        <v/>
      </c>
      <c r="OH124" s="43" t="str">
        <f t="shared" si="341"/>
        <v/>
      </c>
      <c r="OI124" s="43" t="str">
        <f t="shared" si="342"/>
        <v/>
      </c>
      <c r="OJ124" s="43" t="str">
        <f t="shared" si="343"/>
        <v/>
      </c>
      <c r="OK124" s="43" t="str">
        <f t="shared" si="344"/>
        <v/>
      </c>
      <c r="OL124" s="43" t="str">
        <f t="shared" si="345"/>
        <v/>
      </c>
      <c r="OM124" s="43" t="str">
        <f t="shared" si="346"/>
        <v/>
      </c>
      <c r="ON124" s="43" t="str">
        <f t="shared" si="347"/>
        <v/>
      </c>
      <c r="OO124" s="43" t="str">
        <f t="shared" si="348"/>
        <v/>
      </c>
      <c r="OP124" s="43" t="str">
        <f t="shared" si="349"/>
        <v/>
      </c>
      <c r="OQ124" s="43" t="str">
        <f t="shared" si="350"/>
        <v/>
      </c>
      <c r="OR124" s="43" t="str">
        <f t="shared" si="351"/>
        <v/>
      </c>
      <c r="OS124" s="43" t="str">
        <f t="shared" si="352"/>
        <v/>
      </c>
      <c r="OT124" s="43" t="str">
        <f t="shared" si="353"/>
        <v/>
      </c>
      <c r="OU124" s="43" t="str">
        <f t="shared" si="354"/>
        <v/>
      </c>
      <c r="OV124" s="110" t="str">
        <f t="shared" si="355"/>
        <v/>
      </c>
      <c r="OW124" s="43" t="str">
        <f t="shared" si="356"/>
        <v/>
      </c>
      <c r="OX124" s="43" t="str">
        <f t="shared" si="357"/>
        <v/>
      </c>
      <c r="OY124" s="43" t="str">
        <f t="shared" si="358"/>
        <v/>
      </c>
      <c r="OZ124" s="43" t="str">
        <f t="shared" si="359"/>
        <v/>
      </c>
      <c r="PA124" s="43" t="str">
        <f t="shared" si="360"/>
        <v/>
      </c>
      <c r="PB124" s="43" t="str">
        <f t="shared" si="361"/>
        <v/>
      </c>
      <c r="PC124" s="43" t="str">
        <f t="shared" si="362"/>
        <v/>
      </c>
      <c r="PD124" s="43" t="str">
        <f t="shared" si="363"/>
        <v/>
      </c>
      <c r="PE124" s="43" t="str">
        <f t="shared" si="364"/>
        <v/>
      </c>
      <c r="PF124" s="43" t="str">
        <f t="shared" si="365"/>
        <v/>
      </c>
      <c r="PG124" s="43" t="str">
        <f t="shared" si="366"/>
        <v/>
      </c>
      <c r="PH124" s="43" t="str">
        <f t="shared" si="367"/>
        <v/>
      </c>
      <c r="PI124" s="43" t="str">
        <f t="shared" si="368"/>
        <v>Menor</v>
      </c>
      <c r="PJ124" s="43" t="str">
        <f t="shared" si="369"/>
        <v/>
      </c>
      <c r="PK124" s="43" t="str">
        <f t="shared" si="370"/>
        <v/>
      </c>
      <c r="PL124" s="43" t="str">
        <f t="shared" si="371"/>
        <v/>
      </c>
      <c r="PM124" s="43" t="str">
        <f t="shared" si="372"/>
        <v/>
      </c>
      <c r="PN124" s="43" t="str">
        <f t="shared" si="373"/>
        <v/>
      </c>
      <c r="PO124" s="43" t="str">
        <f t="shared" si="374"/>
        <v/>
      </c>
      <c r="PP124" s="43" t="str">
        <f t="shared" si="375"/>
        <v/>
      </c>
      <c r="PQ124" s="43" t="str">
        <f t="shared" si="376"/>
        <v/>
      </c>
      <c r="PR124" s="43" t="str">
        <f t="shared" si="377"/>
        <v/>
      </c>
      <c r="PS124" s="43" t="str">
        <f t="shared" si="378"/>
        <v/>
      </c>
      <c r="PT124" s="43" t="str">
        <f t="shared" si="379"/>
        <v/>
      </c>
      <c r="PU124" s="43" t="str">
        <f t="shared" si="380"/>
        <v/>
      </c>
      <c r="PV124" s="43" t="str">
        <f t="shared" si="381"/>
        <v/>
      </c>
      <c r="PW124" s="43" t="str">
        <f t="shared" si="382"/>
        <v/>
      </c>
      <c r="PX124" s="43" t="str">
        <f t="shared" si="383"/>
        <v/>
      </c>
      <c r="PY124" s="43" t="str">
        <f t="shared" si="384"/>
        <v/>
      </c>
      <c r="PZ124" s="43" t="str">
        <f t="shared" si="385"/>
        <v/>
      </c>
      <c r="QA124" s="43" t="str">
        <f t="shared" si="386"/>
        <v/>
      </c>
      <c r="QB124" s="43" t="str">
        <f t="shared" si="387"/>
        <v/>
      </c>
      <c r="QC124" s="43" t="str">
        <f t="shared" si="388"/>
        <v/>
      </c>
      <c r="QD124" s="43" t="str">
        <f t="shared" si="389"/>
        <v/>
      </c>
      <c r="QE124" s="43" t="str">
        <f t="shared" si="390"/>
        <v/>
      </c>
      <c r="QF124" s="43" t="str">
        <f t="shared" si="391"/>
        <v/>
      </c>
      <c r="QG124" s="43" t="str">
        <f t="shared" si="392"/>
        <v/>
      </c>
      <c r="QH124" s="43" t="str">
        <f t="shared" si="393"/>
        <v/>
      </c>
      <c r="QI124" s="43" t="str">
        <f t="shared" si="394"/>
        <v/>
      </c>
      <c r="QJ124" s="43" t="str">
        <f t="shared" si="395"/>
        <v/>
      </c>
      <c r="QK124" s="43" t="str">
        <f t="shared" si="396"/>
        <v/>
      </c>
      <c r="QL124" s="43" t="str">
        <f t="shared" si="397"/>
        <v/>
      </c>
      <c r="QM124" s="43" t="str">
        <f t="shared" si="398"/>
        <v/>
      </c>
      <c r="QN124" s="43" t="str">
        <f t="shared" si="399"/>
        <v/>
      </c>
      <c r="QO124" s="43" t="str">
        <f t="shared" si="400"/>
        <v/>
      </c>
      <c r="QP124" s="43" t="str">
        <f t="shared" si="401"/>
        <v/>
      </c>
      <c r="QQ124" s="43" t="str">
        <f t="shared" si="402"/>
        <v/>
      </c>
      <c r="QR124" s="43" t="str">
        <f t="shared" si="432"/>
        <v>Menor</v>
      </c>
      <c r="QS124" s="43"/>
      <c r="QT124" s="21" t="str">
        <f t="shared" si="403"/>
        <v/>
      </c>
      <c r="QU124" s="21" t="str">
        <f t="shared" si="404"/>
        <v/>
      </c>
      <c r="QV124" s="21" t="str">
        <f t="shared" si="405"/>
        <v/>
      </c>
      <c r="QW124" s="21" t="str">
        <f t="shared" si="406"/>
        <v/>
      </c>
      <c r="QX124" s="21" t="str">
        <f t="shared" si="407"/>
        <v/>
      </c>
      <c r="QY124" s="21" t="str">
        <f t="shared" si="408"/>
        <v/>
      </c>
      <c r="QZ124" s="21" t="str">
        <f t="shared" si="409"/>
        <v/>
      </c>
      <c r="RA124" s="21" t="str">
        <f t="shared" si="410"/>
        <v/>
      </c>
      <c r="RB124" s="21" t="str">
        <f t="shared" si="411"/>
        <v/>
      </c>
      <c r="RC124" s="21" t="str">
        <f t="shared" si="412"/>
        <v/>
      </c>
      <c r="RD124" s="21" t="str">
        <f t="shared" si="413"/>
        <v/>
      </c>
      <c r="RE124" s="21" t="str">
        <f t="shared" si="414"/>
        <v/>
      </c>
      <c r="RF124" s="21" t="str">
        <f t="shared" si="415"/>
        <v/>
      </c>
      <c r="RG124" s="21" t="str">
        <f t="shared" si="416"/>
        <v/>
      </c>
      <c r="RH124" s="21" t="str">
        <f t="shared" si="417"/>
        <v/>
      </c>
      <c r="RI124" s="21" t="str">
        <f t="shared" si="418"/>
        <v/>
      </c>
      <c r="RJ124" s="21" t="str">
        <f t="shared" si="419"/>
        <v/>
      </c>
      <c r="RK124" s="21" t="str">
        <f t="shared" si="420"/>
        <v/>
      </c>
      <c r="RL124" s="21" t="str">
        <f t="shared" si="421"/>
        <v/>
      </c>
      <c r="RM124" s="21" t="str">
        <f t="shared" si="422"/>
        <v/>
      </c>
      <c r="RN124" s="21" t="str">
        <f t="shared" si="423"/>
        <v/>
      </c>
      <c r="RO124" s="21" t="str">
        <f t="shared" si="424"/>
        <v/>
      </c>
      <c r="RP124" s="21" t="str">
        <f t="shared" si="425"/>
        <v/>
      </c>
      <c r="RQ124" s="21" t="str">
        <f t="shared" si="426"/>
        <v/>
      </c>
      <c r="RR124" s="21" t="str">
        <f t="shared" si="427"/>
        <v/>
      </c>
      <c r="RS124" s="21" t="str">
        <f t="shared" si="428"/>
        <v/>
      </c>
      <c r="RT124" s="21" t="str">
        <f t="shared" si="429"/>
        <v/>
      </c>
      <c r="RU124" s="21" t="str">
        <f t="shared" si="430"/>
        <v/>
      </c>
      <c r="RV124" s="21">
        <f t="shared" si="431"/>
        <v>5.7142857142857144</v>
      </c>
      <c r="RW124" s="284">
        <f>IF(OR(Tabla1[[#This Row],[FUM FORMULA CONFIABLE]]="",Tabla1[[#This Row],[FUM FORMULA CONFIABLE]]="SD"),"",IF(Tabla1[[#This Row],[FUM FORMULA CONFIABLE]]="CORREGIDA",Tabla1[[#This Row],[FUM X ECO 1]],Tabla1[[#This Row],[FUM x AMENORREA]]))</f>
        <v>44953</v>
      </c>
      <c r="RX124" s="21">
        <f>IF(AND(Tabla1[[#This Row],[FUM X ECO 1]]="",Tabla1[[#This Row],[FUM x AMENORREA]]=""),"",IF(AND(Tabla1[[#This Row],[FUM X ECO 1]]="",Tabla1[[#This Row],[FUM x AMENORREA]]&lt;&gt;""),"X",SUM(Tabla1[[#This Row],[FUM X ECO 1]]-Tabla1[[#This Row],[FUM x AMENORREA]])))</f>
        <v>-16</v>
      </c>
      <c r="RY124" s="21">
        <f t="shared" si="433"/>
        <v>1</v>
      </c>
    </row>
    <row r="125" spans="1:493" ht="45" customHeight="1" x14ac:dyDescent="0.25">
      <c r="A125" s="109"/>
      <c r="B125" s="43"/>
      <c r="C125" s="43" t="s">
        <v>845</v>
      </c>
      <c r="D125" s="124"/>
      <c r="E125" s="43" t="s">
        <v>1368</v>
      </c>
      <c r="F125" s="43" t="s">
        <v>1369</v>
      </c>
      <c r="G125" s="43" t="s">
        <v>1370</v>
      </c>
      <c r="H125" s="43" t="s">
        <v>982</v>
      </c>
      <c r="I125" s="109" t="s">
        <v>851</v>
      </c>
      <c r="J125" s="110">
        <v>1059603417</v>
      </c>
      <c r="K125" s="43" t="s">
        <v>852</v>
      </c>
      <c r="L125" s="175" t="s">
        <v>853</v>
      </c>
      <c r="M125" s="22">
        <v>34865</v>
      </c>
      <c r="N125" s="213">
        <f t="shared" ca="1" si="252"/>
        <v>28.405479452054795</v>
      </c>
      <c r="O125" s="22">
        <v>44985</v>
      </c>
      <c r="P125" s="214" t="str">
        <f t="shared" si="437"/>
        <v>SI</v>
      </c>
      <c r="Q125" s="26" t="s">
        <v>855</v>
      </c>
      <c r="R125" s="22">
        <v>44985</v>
      </c>
      <c r="S125" s="21" t="s">
        <v>856</v>
      </c>
      <c r="T125" s="24" t="s">
        <v>690</v>
      </c>
      <c r="U125" s="21" t="s">
        <v>857</v>
      </c>
      <c r="V125" s="21" t="s">
        <v>858</v>
      </c>
      <c r="W125" s="21" t="s">
        <v>1371</v>
      </c>
      <c r="X125" s="21" t="s">
        <v>857</v>
      </c>
      <c r="Y125" s="21"/>
      <c r="Z125" s="21">
        <v>3106755108</v>
      </c>
      <c r="AA125" s="21" t="s">
        <v>860</v>
      </c>
      <c r="AB125" s="27" t="s">
        <v>861</v>
      </c>
      <c r="AC125" s="26" t="s">
        <v>846</v>
      </c>
      <c r="AD125" s="38" t="s">
        <v>1546</v>
      </c>
      <c r="AE125" s="26" t="s">
        <v>854</v>
      </c>
      <c r="AF125" s="26" t="s">
        <v>854</v>
      </c>
      <c r="AG125" s="23" t="s">
        <v>864</v>
      </c>
      <c r="AH125" s="23" t="s">
        <v>864</v>
      </c>
      <c r="AI125" s="24" t="s">
        <v>863</v>
      </c>
      <c r="AJ125" s="23" t="s">
        <v>864</v>
      </c>
      <c r="AK125" s="220" t="str">
        <f>IF(AND(AD125="",AE125="",AF125="",AG125="",AH125="",AI125="",AJ125=""),"",IF(OR(Tabla1[[#This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EVALUACIÓN",IF(AND(O125="",R125=""),"",IF(AND(OR(O125&gt;0,R125&gt;0),NG125&gt;=0,NG125&lt;2),"SIN RIESGO",IF(AND(OR(O125&gt;0,R125&gt;0),NG125&gt;=2),"CON RIESGO","ASD")))))</f>
        <v>SIN RIESGO</v>
      </c>
      <c r="AL125" s="23" t="s">
        <v>864</v>
      </c>
      <c r="AM125" s="26" t="s">
        <v>864</v>
      </c>
      <c r="AN125" s="26" t="s">
        <v>864</v>
      </c>
      <c r="AO125" s="26" t="s">
        <v>864</v>
      </c>
      <c r="AP125" s="26" t="s">
        <v>864</v>
      </c>
      <c r="AQ125" s="26" t="s">
        <v>864</v>
      </c>
      <c r="AR125" s="26" t="s">
        <v>864</v>
      </c>
      <c r="AS125" s="21">
        <v>2</v>
      </c>
      <c r="AT125" s="21">
        <v>1</v>
      </c>
      <c r="AU125" s="21">
        <v>0</v>
      </c>
      <c r="AV125" s="26" t="s">
        <v>864</v>
      </c>
      <c r="AW125" s="21">
        <v>1</v>
      </c>
      <c r="AX125" s="26" t="s">
        <v>864</v>
      </c>
      <c r="AY125" s="26" t="s">
        <v>864</v>
      </c>
      <c r="AZ125" s="26" t="s">
        <v>864</v>
      </c>
      <c r="BA125" s="26" t="s">
        <v>864</v>
      </c>
      <c r="BB125" s="26" t="s">
        <v>864</v>
      </c>
      <c r="BC125" s="26" t="s">
        <v>864</v>
      </c>
      <c r="BD125" s="26" t="s">
        <v>864</v>
      </c>
      <c r="BE125" s="26" t="s">
        <v>864</v>
      </c>
      <c r="BF125" s="26" t="s">
        <v>864</v>
      </c>
      <c r="BG125" s="26" t="s">
        <v>864</v>
      </c>
      <c r="BH125" s="26" t="s">
        <v>864</v>
      </c>
      <c r="BI125" s="26" t="s">
        <v>864</v>
      </c>
      <c r="BJ125" s="26" t="s">
        <v>864</v>
      </c>
      <c r="BK125" s="26" t="s">
        <v>864</v>
      </c>
      <c r="BL125" s="26" t="s">
        <v>864</v>
      </c>
      <c r="BM125" s="26" t="s">
        <v>864</v>
      </c>
      <c r="BN125" s="22">
        <v>42359</v>
      </c>
      <c r="BO125" s="22">
        <v>44938</v>
      </c>
      <c r="BP125" s="21" t="s">
        <v>854</v>
      </c>
      <c r="BQ125" s="222">
        <f t="shared" si="254"/>
        <v>85.966666666666669</v>
      </c>
      <c r="BR125" s="223">
        <f t="shared" si="255"/>
        <v>44938.3</v>
      </c>
      <c r="BS125" s="224">
        <f t="shared" si="256"/>
        <v>6.7142857142857144</v>
      </c>
      <c r="BT125" s="216" t="str">
        <f t="shared" si="257"/>
        <v>I TRIM</v>
      </c>
      <c r="BU125" s="214">
        <f t="shared" ca="1" si="258"/>
        <v>42.142857142857146</v>
      </c>
      <c r="BV125" s="25" t="s">
        <v>1478</v>
      </c>
      <c r="BW125" s="22">
        <v>44995</v>
      </c>
      <c r="BX125" s="28">
        <v>8.1</v>
      </c>
      <c r="BY125" s="28"/>
      <c r="BZ125" s="22"/>
      <c r="CA125" s="21"/>
      <c r="CB125" s="26" t="s">
        <v>864</v>
      </c>
      <c r="CC125" s="26" t="s">
        <v>864</v>
      </c>
      <c r="CD125" s="26"/>
      <c r="CE125" s="26" t="s">
        <v>864</v>
      </c>
      <c r="CF125" s="22" t="s">
        <v>1517</v>
      </c>
      <c r="CG125" s="21">
        <v>1.63</v>
      </c>
      <c r="CH125" s="21">
        <v>67.3</v>
      </c>
      <c r="CI125" s="214">
        <f t="shared" si="259"/>
        <v>25.330272121645528</v>
      </c>
      <c r="CJ125" s="225" t="str">
        <f>IF(AND(CI125&lt;10,CH125="SD"),"SIN DATO PESO PREGESTACION O I TRIM",IF(AND(OR(R125&gt;0,O125&gt;0),CI125="X"),"INGRESAR DATO DE PESO",IF(CI125="SD","INGRESAR DATO DE TALLA Y PESO",IF(AND(OR(Tabla1[[#This Row],[MOMENTO EN QUE SE REALIZA EL PESO AL INGRESO A CPN]]="PREGESTACIÓN",NZ125="Menor"),CI125&lt;18.5),"BAJO PESO",IF(AND(OR(Tabla1[[#This Row],[MOMENTO EN QUE SE REALIZA EL PESO AL INGRESO A CPN]]="PREGESTACIÓN",NZ125="Menor"),CI125&lt;25),"NORMAL",IF(AND(OR(Tabla1[[#This Row],[MOMENTO EN QUE SE REALIZA EL PESO AL INGRESO A CPN]]="PREGESTACIÓN",NZ125="Menor"),CI125&lt;30),"SOBREPESO",IF(AND(OR(Tabla1[[#This Row],[MOMENTO EN QUE SE REALIZA EL PESO AL INGRESO A CPN]]="PREGESTACIÓN",NZ125="Menor"),CI125&gt;=30,CI125&lt;50),"OBESIDAD",IF(AND(BS125&gt;0,Tabla1[[#This Row],[MOMENTO EN QUE SE REALIZA EL PESO AL INGRESO A CPN]]="GESTACIÓN"),HLOOKUP(NZ125,$OA$2:PH125,NY125),""))))))))</f>
        <v>SOBREPESO</v>
      </c>
      <c r="CK125" s="212">
        <f t="shared" si="260"/>
        <v>45141</v>
      </c>
      <c r="CL125" s="21">
        <v>76.5</v>
      </c>
      <c r="CM125" s="214">
        <f t="shared" si="261"/>
        <v>28.792954194738229</v>
      </c>
      <c r="CN125" s="216">
        <f t="shared" si="262"/>
        <v>29</v>
      </c>
      <c r="CO125" s="216" t="e">
        <f>IF(PI125="","",IF(PI125&gt;0,HLOOKUP(PI125,$PJ$2:QQ125,NY125),""))</f>
        <v>#REF!</v>
      </c>
      <c r="CP125" s="21">
        <v>36</v>
      </c>
      <c r="CQ125" s="216" t="e">
        <f>IF(QR125="Menor","NO APLICA-MENOR 13 SEM",IF(AND(CC125="SI",CN125&gt;23),"NO APLICA- GEMELAR",IF(QR125="","",IF(QR125&gt;0,HLOOKUP(QR125,$QS$2:RU125,NY125),""))))</f>
        <v>#REF!</v>
      </c>
      <c r="CR125" s="21">
        <v>100</v>
      </c>
      <c r="CS125" s="21">
        <v>70</v>
      </c>
      <c r="CT125" s="217" t="str">
        <f>IF(R125="","",IF(AND(BS125&gt;1,BS125&lt;12,Tabla1[[#This Row],[T.A. SISTOLICA - ANTES DE SEMANA 12]]="",Tabla1[[#This Row],[T.A. DIASTOLICA - ANTES DE SEMANA 12]]=""),"REGISTRE DATO TA ANTES SEMANA 12",IF(AND(BS125&gt;11,BS125&lt;43,Tabla1[[#This Row],[T.A. SISTOLICA - ANTES DE SEMANA 12]]="",Tabla1[[#This Row],[T.A. DIASTOLICA - ANTES DE SEMANA 12]]=""),"NO APLICA REGISTRO TA-INGRESO TARDIO",IF(AND(OR(O125&gt;0,R125&gt;0),OR(CR125&gt;=140,CS125&gt;=90)),"DEFINIR ESTADIO HTA",IF(AND(OR(O125&gt;0,R125&gt;0),AND(CR125&gt;120,CR125&lt;=139)),"PRE HTA SEGUIMIENTO",IF(AND(OR(O125&gt;0,R125&gt;0),AND(CS125&gt;80,CS125&lt;=89)),"PRE HTA SEGUIMIENTO",IF(AND(OR(O125&gt;0,R125&gt;0),AND(CR125&gt;=80,CR125&lt;=120)),"APARENTEMENTE NORMAL",IF(AND(OR(O125&gt;0,R125&gt;0),AND(CS125&gt;=50,CS125&lt;=80)),"APARENTEMENTE NORMAL",IF(AND(OR(O125&gt;0,R125&gt;0),AND(CR125&gt;1,CR125&lt;=70),AND(CS125&gt;1,CS125&lt;=40)),"HIPOTENSIÓN","")))))))))</f>
        <v>APARENTEMENTE NORMAL</v>
      </c>
      <c r="CU125" s="21">
        <v>100</v>
      </c>
      <c r="CV125" s="21">
        <v>60</v>
      </c>
      <c r="CW125" s="217" t="str">
        <f ca="1">IF(R125="","",IF(AND(CN125&gt;19,CN125&lt;27,Tabla1[[#This Row],[T.A. SISTOLICA (Entre semana 20 y 26)]]="",Tabla1[[#This Row],[T.A. DIATOLICA (Entre semana 20 y 26)]]=""),"ACUDE A CONTROL SEM 20 A 26 REGISTRE TA AHORA",IF(AND(BS125&gt;1,BS125&lt;27,BU125&gt;19,Tabla1[[#This Row],[T.A. SISTOLICA (Entre semana 20 y 26)]]="",Tabla1[[#This Row],[T.A. DIATOLICA (Entre semana 20 y 26)]]=""),"COMPLETE REGISTRO TA CONTROL SEM 20 A26 ",IF(AND(BS125&gt;26,BS125&lt;43,Tabla1[[#This Row],[T.A. SISTOLICA (Entre semana 20 y 26)]]="",Tabla1[[#This Row],[T.A. DIATOLICA (Entre semana 20 y 26)]]=""),"NO APLICA REGISTRO TA-INGRESO TARDIO",IF(AND(OR(O125&gt;0,R125&gt;0),OR(CU125&gt;=140,CV125&gt;=90)),"ALTO RIESGO PREECLAMPSIA,DEFINIR ESTADIO HTA",IF(AND(OR(O125&gt;0,R125&gt;0),AND(CU125&gt;120,CU125&lt;=139)),"PRE HTA SEGUIMIENTO,RIESGO HIPERTENSION INDUCIDA POR EL EMBARAZO",IF(AND(OR(O125&gt;0,R125&gt;0),AND(CV125&gt;80,CV125&lt;=89)),"PRE HTA SEGUIMIENTO, RIESGO HIPERTENSION INDUCIDA POR EL EMBARAZO",IF(AND(OR(O125&lt;&gt;"",R125&lt;&gt;""),CS125&lt;&gt;"",CV125&lt;&gt;"",CS125&lt;=CV125),"VIGILAR CIFRAS PRESION ARTERIAL",IF(AND(OR(O125&gt;0,R125&gt;0),AND(CU125&gt;120,CU125&lt;=139)),"PRE HTA SEGUIMIENTO",IF(AND(OR(O125&gt;0,R125&gt;0),AND(CU125&gt;1,CU125&lt;=70),AND(CV125&gt;1,CV125&lt;=40)),"HIPOTENSIÓN",IF(AND(OR(O125&lt;&gt;"",R125&lt;&gt;""),CS125&lt;&gt;"",CV125&lt;&gt;"",CS125&gt;CV125),"APARENTEMENTE NORMAL",IF(AND(OR(O125&gt;0,R125&gt;0),AND(CU125&gt;=80,CU125&lt;=120)),"APARENTEMENTE NORMAL",IF(AND(OR(O125&gt;0,R125&gt;0),AND(CV125&gt;=50,CV125&lt;=80)),"APARENTEMENTE NORMAL","")))))))))))))</f>
        <v>APARENTEMENTE NORMAL</v>
      </c>
      <c r="CX125" s="21"/>
      <c r="CY125" s="21"/>
      <c r="CZ125" s="216" t="e">
        <f>IF(R125="","",IF(AND(CN125&gt;31,CN125&lt;35,CX125="",CY125=""),"ACUDE A CONTROL SEM 30 A 34- REGISTRE AHORA",IF(AND(BS125&gt;34,BS125&lt;43,#REF!="",#REF!=""),"NO APLICA-INGRESO TARDIO",IF(AND(OR(O125&gt;0,R125&gt;0),OR(CX125&gt;=140,CY125&gt;=90)),"ESTUDIO INMEDIATO HTA PARA DESCARTAR PREECLAMSIA",IF(AND(OR(O125&gt;0,R125&gt;0),AND(CX125&gt;=130,CX125&lt;=139)),"PRE HTA,RIESGO ALTO PREECLAMPSIA",IF(AND(OR(O125&gt;0,R125&gt;0),AND(CY125&gt;80,CY125&lt;=89)),"PRE HTA,RIESGO ALTO PREECLAMPSIA",IF(AND(OR(O125&gt;0,R125&gt;0),AND(CX125&gt;120,CX125&lt;=129)),"RANGO PREHIPERTENSIVO SEGUIMIENTO HTA",IF(AND(OR(O125&lt;&gt;"",R125&lt;&gt;""),CS125&lt;&gt;"",CY125&lt;&gt;"",CS125&lt;CY125),"VIGILAR CIFRAS PRESION ARTERIAL",IF(AND(OR(O125&lt;&gt;"",R125&lt;&gt;""),CS125&lt;&gt;"",CY125&lt;&gt;"",CS125=CY125),"APARENTEMENTE NORMAL",IF(AND(OR(O125&gt;0,R125&gt;0),CX125&gt;=80,CX125&lt;=120),"APARENTEMENTE NORMAL",IF(AND(OR(O125&gt;0,R125&gt;0),CY125&gt;=50,CY125&lt;=80),"APARENTEMENTE NORMAL","")))))))))))</f>
        <v>#REF!</v>
      </c>
      <c r="DA125" s="21">
        <v>100</v>
      </c>
      <c r="DB125" s="21">
        <v>60</v>
      </c>
      <c r="DC125" s="217" t="str">
        <f t="shared" si="264"/>
        <v>APARENTEMENTE NORMAL</v>
      </c>
      <c r="DD125" s="22">
        <v>45013</v>
      </c>
      <c r="DE125" s="22">
        <v>45013</v>
      </c>
      <c r="DF125" s="22">
        <v>45009</v>
      </c>
      <c r="DG125" s="22">
        <v>45045</v>
      </c>
      <c r="DH125" s="22">
        <v>45085</v>
      </c>
      <c r="DI125" s="22">
        <v>45112</v>
      </c>
      <c r="DJ125" s="22">
        <v>45141</v>
      </c>
      <c r="DK125" s="22"/>
      <c r="DL125" s="22"/>
      <c r="DM125" s="22"/>
      <c r="DN125" s="22"/>
      <c r="DO125" s="22"/>
      <c r="DP125" s="22"/>
      <c r="DQ125" s="22"/>
      <c r="DR125" s="28">
        <v>1</v>
      </c>
      <c r="DS125" s="22"/>
      <c r="DT125" s="22"/>
      <c r="DU125" s="216" t="str">
        <f t="shared" ca="1" si="438"/>
        <v>CONCERTAR PLAN DE PARTO INMEDIATO</v>
      </c>
      <c r="DV125" s="226" t="str">
        <f t="shared" si="439"/>
        <v>ACTIVA INGRESO A CPN</v>
      </c>
      <c r="DW1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5" s="216" t="e">
        <f t="shared" ca="1" si="266"/>
        <v>#REF!</v>
      </c>
      <c r="DY125" s="212">
        <f>IF(R125="","",IF(R125&gt;0,MAX(Tabla1[[#This Row],[FECHA C2]:[FECHA C13]],Tabla1[[#This Row],[FECHA CONSULTA PRIMERA VEZ PROGRAMA CPN ]])))</f>
        <v>45141</v>
      </c>
      <c r="DZ125" s="216">
        <f t="shared" si="267"/>
        <v>29</v>
      </c>
      <c r="EA125" s="222">
        <f>IF(R125&gt;0,SUM(COUNTA(DF125:DQ125)+COUNTA(Tabla1[[#This Row],[FECHA CONSULTA PRIMERA VEZ PROGRAMA CPN ]])),"")</f>
        <v>6</v>
      </c>
      <c r="EB125" s="222" t="str">
        <f t="shared" si="268"/>
        <v>SI</v>
      </c>
      <c r="EC125" s="214">
        <f t="shared" si="269"/>
        <v>10</v>
      </c>
      <c r="ED125" s="227">
        <f t="shared" si="270"/>
        <v>0.6</v>
      </c>
      <c r="EE125" s="22">
        <v>44968</v>
      </c>
      <c r="EF125" s="22">
        <v>44968</v>
      </c>
      <c r="EG125" s="22">
        <v>44968</v>
      </c>
      <c r="EH125" s="22">
        <v>44980</v>
      </c>
      <c r="EI125" s="22">
        <v>44968</v>
      </c>
      <c r="EJ125" s="22">
        <v>44980</v>
      </c>
      <c r="EK125" s="22">
        <v>45044</v>
      </c>
      <c r="EL125" s="21">
        <v>1</v>
      </c>
      <c r="EM125" s="21">
        <v>14</v>
      </c>
      <c r="EN125" s="22">
        <v>44985</v>
      </c>
      <c r="EO125" s="222">
        <f t="shared" si="271"/>
        <v>6.7142857142857144</v>
      </c>
      <c r="EP125" s="214" t="str">
        <f t="shared" si="272"/>
        <v>NORMAL- SUMINISTRAR SULFATO FERROSO</v>
      </c>
      <c r="EQ125" s="216" t="str">
        <f t="shared" si="273"/>
        <v>I TRIM</v>
      </c>
      <c r="ER125" s="24">
        <v>14.8</v>
      </c>
      <c r="ES125" s="22">
        <v>45107</v>
      </c>
      <c r="ET125" s="29">
        <f t="shared" ca="1" si="440"/>
        <v>24.142857142857142</v>
      </c>
      <c r="EU125" s="25" t="str">
        <f t="shared" si="275"/>
        <v>NO DAR SULFATO FERROSO</v>
      </c>
      <c r="EV125" s="24" t="s">
        <v>1510</v>
      </c>
      <c r="EW125" s="32">
        <v>44985</v>
      </c>
      <c r="EX125" s="22"/>
      <c r="EY125" s="29">
        <f t="shared" si="453"/>
        <v>6.7142857142857144</v>
      </c>
      <c r="EZ125" s="25" t="str">
        <f t="shared" si="454"/>
        <v>SIN RIESGO DE ISOINMUNIZACIÓN</v>
      </c>
      <c r="FA125" s="21">
        <v>63</v>
      </c>
      <c r="FB125" s="22">
        <v>44985</v>
      </c>
      <c r="FC125" s="29">
        <f t="shared" si="276"/>
        <v>6.7142857142857144</v>
      </c>
      <c r="FD125" s="29">
        <v>61</v>
      </c>
      <c r="FE125" s="29">
        <v>99</v>
      </c>
      <c r="FF125" s="29">
        <v>69</v>
      </c>
      <c r="FG125" s="21" t="str">
        <f t="shared" ca="1" si="277"/>
        <v>NORMAL</v>
      </c>
      <c r="FH125" s="31">
        <v>45111</v>
      </c>
      <c r="FI125" s="29">
        <f t="shared" si="278"/>
        <v>24.714285714285715</v>
      </c>
      <c r="FJ125" s="22" t="s">
        <v>867</v>
      </c>
      <c r="FK125" s="22">
        <v>44985</v>
      </c>
      <c r="FL125" s="29">
        <f t="shared" ca="1" si="279"/>
        <v>6.7142857142857144</v>
      </c>
      <c r="FM125" s="22" t="s">
        <v>867</v>
      </c>
      <c r="FN125" s="32">
        <v>45111</v>
      </c>
      <c r="FO125" s="29">
        <f t="shared" ca="1" si="441"/>
        <v>24.714285714285715</v>
      </c>
      <c r="FP125" s="22"/>
      <c r="FQ125" s="32"/>
      <c r="FR125" s="29" t="str">
        <f t="shared" ca="1" si="442"/>
        <v>TOMA INMEDIATA DE TAMIZAJE</v>
      </c>
      <c r="FS125" s="22"/>
      <c r="FT125" s="32"/>
      <c r="FU125" s="29" t="str">
        <f>IF(AND(FJ125="",FM125="",FP125="",FS125=""),"",IF(OR(OR(Tabla1[[#This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5" s="28"/>
      <c r="FW125" s="22"/>
      <c r="FX125" s="29" t="str">
        <f t="shared" si="280"/>
        <v>TOMAR EXAMEN</v>
      </c>
      <c r="FY125" s="22">
        <v>44968</v>
      </c>
      <c r="FZ125" s="22">
        <v>44968</v>
      </c>
      <c r="GA125" s="29">
        <f t="shared" ref="GA125:GA156" ca="1" si="497">IF(AND(BT125="ERROR FUM O INGRESO",FZ125&gt;0),"ERROR FUM O INGRESO",IF(AND(FZ125="",R125="",O125=""),"",IF(OR(AND(FZ125&lt;&gt;"",FZ125&lt;RW125),AND(FZ125&lt;&gt;"",AND(SUM((FZ125-RW125)/7)&gt;=13,SUM((FZ125-RW125)/7)&lt;27))),"REGISTRAR EN II TRIMESTRE",IF(OR(AND(FZ125&lt;&gt;"",FZ125&lt;RW125),AND(FZ125&lt;&gt;"",AND(SUM((FZ125-RW125)/7)&gt;=27,SUM((FZ125-RW125)/7)&lt;44))),"REGISTRAR EN III TRIMESTRE",IF(AND(FZ125="",OR(O125&gt;0,R125&gt;0),AND(BU125&gt;1,BU125&lt;10)),"EN RANGO PARA TOMAR EXAMEN",IF(AND(FZ125="",OR(O125&gt;0,R125&gt;0),AND(BU125&gt;=10,BU125&lt;12)),"TOMA INMEDIATA DE TAMIZAJE",IF(AND(FZ125="",BS125&lt;12,OR(O125&gt;0,R125&gt;0)),"PIERDE TOMA DE TAMIZAJE",IF(AND(FZ125="",OR(O125&gt;0,R125&gt;0),AND(BS125&gt;=13,BS125&lt;44)),"NO APLICA-INGRESO TARDIO",IF(FZ125&gt;0,SUM(FZ125-RW125)/7,"")))))))))</f>
        <v>4.2857142857142856</v>
      </c>
      <c r="GB125" s="22"/>
      <c r="GC125" s="22"/>
      <c r="GD125" s="29" t="str">
        <f t="shared" ca="1" si="490"/>
        <v>PIERDE TOMA DE TAMIZAJE</v>
      </c>
      <c r="GE125" s="22"/>
      <c r="GF125" s="22"/>
      <c r="GG125" s="29" t="str">
        <f t="shared" ca="1" si="444"/>
        <v>TOMA INMEDIATA DE TAMIZAJE</v>
      </c>
      <c r="GH125" s="22"/>
      <c r="GI125" s="29"/>
      <c r="GJ125" s="22"/>
      <c r="GK125" s="22"/>
      <c r="GL125" s="22"/>
      <c r="GM125" s="22"/>
      <c r="GN125" s="28"/>
      <c r="GO125" s="22"/>
      <c r="GP125" s="29" t="str">
        <f t="shared" si="283"/>
        <v>TOMAR EXAMEN</v>
      </c>
      <c r="GQ125" s="28" t="s">
        <v>869</v>
      </c>
      <c r="GR125" s="28" t="s">
        <v>869</v>
      </c>
      <c r="GS125" s="22" t="str">
        <f t="shared" si="457"/>
        <v>CONTROL Igm</v>
      </c>
      <c r="GT125" s="22">
        <v>44985</v>
      </c>
      <c r="GU125" s="29">
        <f t="shared" si="285"/>
        <v>6.7142857142857144</v>
      </c>
      <c r="GV125" s="21" t="str">
        <f t="shared" si="286"/>
        <v>I TRIM</v>
      </c>
      <c r="GW125" s="28" t="s">
        <v>869</v>
      </c>
      <c r="GX125" s="30"/>
      <c r="GY125" s="21"/>
      <c r="GZ125" s="21"/>
      <c r="HA125" s="21"/>
      <c r="HB125" s="21"/>
      <c r="HC125" s="21"/>
      <c r="HD125" s="21"/>
      <c r="HE125" s="21"/>
      <c r="HF125" s="22"/>
      <c r="HG125" s="22" t="str">
        <f>IF(OR(O125&gt;0,R125&gt;0),CONCATENATE(IF(Tabla1[[#This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5" s="22" t="e">
        <f t="shared" si="287"/>
        <v>#REF!</v>
      </c>
      <c r="HI125" s="22" t="e">
        <f t="shared" ca="1" si="288"/>
        <v>#REF!</v>
      </c>
      <c r="HJ125" s="21"/>
      <c r="HK125" s="21" t="str">
        <f t="shared" si="289"/>
        <v>SIN ANTECEDENTES DE RIESGO</v>
      </c>
      <c r="HL125" s="24" t="str">
        <f t="shared" si="290"/>
        <v>APARENTEMENTE NORMAL</v>
      </c>
      <c r="HM125" s="21" t="e">
        <f t="shared" ca="1" si="291"/>
        <v>#REF!</v>
      </c>
      <c r="HN125" s="30" t="str">
        <f t="shared" si="445"/>
        <v>ACTIVA INGRESO A CPN</v>
      </c>
      <c r="HO125" s="21"/>
      <c r="HP125" s="21"/>
      <c r="HQ125" s="349">
        <v>45009</v>
      </c>
      <c r="HR125" s="21" t="str">
        <f>IF(R125="","",IF(Tabla1[[#This Row],[ALARMA FACTORES DE RIESGO COMPLICACIONES HIPERTENSIVAS3]]="SIN ANTECEDENTES DE RIESGO","No Aplica para suministro de ASA",IF(AND(Tabla1[[#This Row],[FECHA INICIO DE SUMINISTRO DE ASA]]&gt;0,RV125&lt;12),"Inicia ASA ANTES de Sem 12",IF(AND(RV125&gt;11,RV125&lt;17,OR(HK125="RIESGO ALTO DE COMPLICACIONES HIPERTENSIVAS VER MANEJO GUIA SUMINISTRO ASA Y CALCIO",HK125="RIESGO MODERADO (2 O MAS CRITERIOS) VER MANEJO GUIA SUMINISTRO ASA Y CALCIO")),"Inicio oportuno de ASA",IF(AND(RV125&gt;12,OR(HK125="RIESGO ALTO DE COMPLICACIONES HIPERTENSIVAS VER MANEJO GUIA SUMINISTRO ASA Y CALCIO",HK125="RIESGO MODERADO (2 O MAS CRITERIOS) VER MANEJO GUIA SUMINISTRO ASA Y CALCIO")),"Inicio no oportuno mayor a 16 semanas",IF(AND(BU125&lt;12,OR(HK125="RIESGO ALTO DE COMPLICACIONES HIPERTENSIVAS VER MANEJO GUIA SUMINISTRO ASA Y CALCIO",HK125="RIESGO MODERADO (2 O MAS CRITERIOS) VER MANEJO GUIA SUMINISTRO ASA Y CALCIO")),"Pendiente Inicio de ASA a la semana 12",IF(AND(BU125&gt;11,BU125&lt;17,OR(HK125="RIESGO ALTO DE COMPLICACIONES HIPERTENSIVAS VER MANEJO GUIA SUMINISTRO ASA Y CALCIO",HK125="RIESGO MODERADO (2 O MAS CRITERIOS) VER MANEJO GUIA SUMINISTRO ASA Y CALCIO")),"Iniciar de inmediato ASA",IF(AND(BU125&gt;16,OR(HK125="RIESGO ALTO DE COMPLICACIONES HIPERTENSIVAS VER MANEJO GUIA SUMINISTRO ASA Y CALCIO",HK125="RIESGO MODERADO (2 O MAS CRITERIOS) VER MANEJO GUIA SUMINISTRO ASA Y CALCIO")),"Pierde Oportunidad, Inicio tardío de ASA","XXXXX"))))))))</f>
        <v>No Aplica para suministro de ASA</v>
      </c>
      <c r="HS125" s="22">
        <v>45009</v>
      </c>
      <c r="HT125" s="22" t="s">
        <v>870</v>
      </c>
      <c r="HU125" s="22">
        <v>45009</v>
      </c>
      <c r="HV125" s="22" t="s">
        <v>870</v>
      </c>
      <c r="HW125" s="22"/>
      <c r="HX125" s="22"/>
      <c r="HY125" s="22">
        <v>44968</v>
      </c>
      <c r="HZ125" s="28">
        <f t="shared" si="292"/>
        <v>4.2857142857142856</v>
      </c>
      <c r="IA125" s="26"/>
      <c r="IB125" s="26"/>
      <c r="IC125" s="111"/>
      <c r="ID125" s="22"/>
      <c r="IE125" s="22" t="str">
        <f t="shared" ca="1" si="293"/>
        <v>INASISTENTE</v>
      </c>
      <c r="IF125" s="22"/>
      <c r="IG125" s="22">
        <f t="shared" si="294"/>
        <v>45218</v>
      </c>
      <c r="IH125" s="29">
        <f t="shared" ca="1" si="295"/>
        <v>-15</v>
      </c>
      <c r="II125" s="22" t="str">
        <f t="shared" ca="1" si="296"/>
        <v>POSIBLEMENTE NACIO</v>
      </c>
      <c r="IJ125" s="22"/>
      <c r="IK125" s="21"/>
      <c r="IL125" s="21"/>
      <c r="IM125" s="34"/>
      <c r="IN125" s="22"/>
      <c r="IO125" s="21"/>
      <c r="IP125" s="29" t="str">
        <f t="shared" si="489"/>
        <v/>
      </c>
      <c r="IQ125" s="35"/>
      <c r="IR125" s="21"/>
      <c r="IS125" s="21"/>
      <c r="IT125" s="21"/>
      <c r="IU125" s="21"/>
      <c r="IV125" s="21"/>
      <c r="IW125" s="21"/>
      <c r="IX125" s="21"/>
      <c r="IY125" s="21"/>
      <c r="IZ125" s="21"/>
      <c r="JA125" s="21"/>
      <c r="JB125" s="30"/>
      <c r="JC125" s="21"/>
      <c r="JD125" s="36"/>
      <c r="JE125" s="21" t="str">
        <f t="shared" si="491"/>
        <v/>
      </c>
      <c r="JF125" s="30"/>
      <c r="JG125" s="21"/>
      <c r="JH125" s="21"/>
      <c r="JI125" s="21"/>
      <c r="JJ125" s="30"/>
      <c r="JK125" s="22"/>
      <c r="JL125" s="22"/>
      <c r="JM125" s="21"/>
      <c r="JN125" s="36"/>
      <c r="JO125" s="21" t="str">
        <f t="shared" si="492"/>
        <v/>
      </c>
      <c r="JP125" s="22"/>
      <c r="JQ125" s="21"/>
      <c r="JR125" s="21"/>
      <c r="JS125" s="21"/>
      <c r="JT125" s="30"/>
      <c r="JU125" s="22"/>
      <c r="JV125" s="22"/>
      <c r="JW125" s="33"/>
      <c r="JX125" s="28" t="str">
        <f t="shared" si="493"/>
        <v/>
      </c>
      <c r="JY125" s="33"/>
      <c r="JZ125" s="28" t="str">
        <f t="shared" si="494"/>
        <v/>
      </c>
      <c r="KA125" s="21"/>
      <c r="KB125" s="21"/>
      <c r="KC125" s="21"/>
      <c r="KD125" s="37"/>
      <c r="KE125" s="28"/>
      <c r="KF125" s="28"/>
      <c r="KG125" s="28"/>
      <c r="KH125" s="39"/>
      <c r="KI125" s="39"/>
      <c r="KJ125" s="66"/>
      <c r="KK125" s="39"/>
      <c r="KL125" s="39"/>
      <c r="KM125" s="66"/>
      <c r="KN125" s="39"/>
      <c r="KO125" s="39"/>
      <c r="KP125" s="39"/>
      <c r="KQ125" s="39"/>
      <c r="KR125" s="39"/>
      <c r="KS125" s="39"/>
      <c r="KT125" s="39"/>
      <c r="KU125" s="38"/>
      <c r="KV125" s="38"/>
      <c r="KW125" s="38"/>
      <c r="KX125" s="38"/>
      <c r="KY125" s="38"/>
      <c r="KZ125" s="38"/>
      <c r="LA125" s="38"/>
      <c r="LB125" s="38"/>
      <c r="LC125" s="38"/>
      <c r="LD125" s="38"/>
      <c r="LE125" s="38"/>
      <c r="LF125" s="38"/>
      <c r="LG125" s="38"/>
      <c r="LH125" s="38"/>
      <c r="LI125" s="38"/>
      <c r="LJ125" s="38"/>
      <c r="LK125" s="38"/>
      <c r="LL125" s="38"/>
      <c r="LM125" s="38"/>
      <c r="LN125" s="38"/>
      <c r="LO125" s="38"/>
      <c r="LP125" s="38"/>
      <c r="LQ125" s="38"/>
      <c r="LR125" s="38"/>
      <c r="LS125" s="38"/>
      <c r="LT125" s="38"/>
      <c r="LU125" s="38"/>
      <c r="LV125" s="38"/>
      <c r="LW125" s="38"/>
      <c r="LX125" s="38"/>
      <c r="LY125" s="38"/>
      <c r="LZ125" s="38"/>
      <c r="MA125" s="38"/>
      <c r="MB125" s="38"/>
      <c r="MC125" s="38"/>
      <c r="MD125" s="38"/>
      <c r="ME125" s="38"/>
      <c r="MF125" s="38"/>
      <c r="MG125" s="38"/>
      <c r="MH125" s="43">
        <f t="shared" si="458"/>
        <v>0</v>
      </c>
      <c r="MI125" s="43" t="str">
        <f t="shared" si="459"/>
        <v/>
      </c>
      <c r="MJ125" s="43" t="str">
        <f t="shared" si="460"/>
        <v/>
      </c>
      <c r="MK125" s="43">
        <f t="shared" si="461"/>
        <v>0</v>
      </c>
      <c r="ML1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5" s="43">
        <f t="shared" si="462"/>
        <v>6.7142857142857144</v>
      </c>
      <c r="MN125" s="43">
        <f t="shared" si="463"/>
        <v>2</v>
      </c>
      <c r="MO125" s="43">
        <f t="shared" si="464"/>
        <v>2023</v>
      </c>
      <c r="MP125" s="43" t="str">
        <f t="shared" si="465"/>
        <v>I TRIMESTRE AÑO</v>
      </c>
      <c r="MQ125" s="43">
        <f t="shared" si="466"/>
        <v>27.302343407796759</v>
      </c>
      <c r="MR125" s="43">
        <f t="shared" si="467"/>
        <v>0</v>
      </c>
      <c r="MS125" s="43" t="str">
        <f t="shared" si="468"/>
        <v xml:space="preserve"> DE 25 A 29 AÑOS</v>
      </c>
      <c r="MT125" s="43">
        <f t="shared" si="469"/>
        <v>0</v>
      </c>
      <c r="MU125" s="43">
        <f t="shared" si="470"/>
        <v>0</v>
      </c>
      <c r="MV125" s="43">
        <f t="shared" si="471"/>
        <v>1</v>
      </c>
      <c r="MW125" s="43">
        <f t="shared" si="472"/>
        <v>0</v>
      </c>
      <c r="MX125" s="43" t="str">
        <f t="shared" si="473"/>
        <v/>
      </c>
      <c r="MY125" s="43">
        <f t="shared" ca="1" si="495"/>
        <v>1</v>
      </c>
      <c r="MZ125" s="43" t="str">
        <f t="shared" si="474"/>
        <v/>
      </c>
      <c r="NA125" s="43" t="str">
        <f t="shared" si="475"/>
        <v/>
      </c>
      <c r="NB125" s="43" t="str">
        <f t="shared" si="476"/>
        <v/>
      </c>
      <c r="NC125" s="43" t="str">
        <f t="shared" si="477"/>
        <v/>
      </c>
      <c r="ND125" s="43">
        <f t="shared" ca="1" si="478"/>
        <v>2</v>
      </c>
      <c r="NE125" s="43">
        <f>IF(OR(O125&gt;0,R125&gt;0),SUM(COUNTIF(Tabla1[[#This Row],[AÑOS AL INICIO5 CPN]],"&gt;=40"),COUNTIF(AS125,"0"),COUNTIF(AR125,"SI"),COUNTIF(CC125,"SI"),COUNTIF(BQ125,"&gt;119"),COUNTIF(CI125,"&gt;=35")),"")</f>
        <v>0</v>
      </c>
      <c r="NF125" s="43" t="str">
        <f t="shared" si="479"/>
        <v/>
      </c>
      <c r="NG125" s="43">
        <f t="shared" si="480"/>
        <v>0</v>
      </c>
      <c r="NH125" s="43">
        <f t="shared" si="481"/>
        <v>56.699999999999996</v>
      </c>
      <c r="NI1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CPN",P125="NO"),"Z",IF(AND(Tabla1[[#This Row],[CITA PROXIMO CONTROL]]="CITA MANUAL",Tabla1[[#This Row],[GESTANTES ACTUALES]]="ACTIVA INGRESO A CPN"),"W",IF(AND(Tabla1[[#This Row],[GESTANTES ACTUALES]]="SALIO PROGRAMA",IN125=""),"S",IF(AND(Tabla1[[#This Row],[CITA PROXIMO CONTROL]]&gt;0,IN125=""),(Tabla1[[#This Row],[CITA PROXIMO CONTROL]]-TODAY()),"SD"))))))))</f>
        <v>#REF!</v>
      </c>
      <c r="NJ125" s="43">
        <f>MONTH(Tabla1[[#This Row],[FECHA DE SALIDA  DEL PROGRAMA]])</f>
        <v>1</v>
      </c>
      <c r="NK125" s="43">
        <f>YEAR(Tabla1[[#This Row],[FECHA DE SALIDA  DEL PROGRAMA]])</f>
        <v>1900</v>
      </c>
      <c r="NL125" s="43">
        <f t="shared" si="482"/>
        <v>12</v>
      </c>
      <c r="NM125" s="43" t="str">
        <f t="shared" si="455"/>
        <v>NO</v>
      </c>
      <c r="NN125" s="43" t="str">
        <f ca="1">IF(AND(O125&gt;0,R125=""),"NO CPN",IF(AND(O125="",R125=""),"",IF(AND(R125&gt;0,Tabla1[[#This Row],[SEMANAS DE GESTACION ACTUALIZADAS]]&lt;=12),"NO APLICA",IF(AND(FH125&lt;&gt;"",FN125&lt;&gt;""),"SI","NO"))))</f>
        <v>SI</v>
      </c>
      <c r="NO125" s="43" t="str">
        <f ca="1">IF(AND(O125&gt;0,R125=""),"NO CPN",IF(AND(O125="",R125=""),"",IF(AND(R125&gt;0,Tabla1[[#This Row],[SEMANAS DE GESTACION ACTUALIZADAS]]&lt;=27),"NO APLICA",IF(AND(ES125&lt;&gt;"",FQ125&lt;&gt;"",GF125&lt;&gt;""),"SI","NO"))))</f>
        <v>NO</v>
      </c>
      <c r="NP125" s="204" t="str">
        <f t="shared" si="483"/>
        <v>I TRIM</v>
      </c>
      <c r="NQ12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25" s="21">
        <f t="shared" ca="1" si="496"/>
        <v>3</v>
      </c>
      <c r="NS125" s="205">
        <f t="shared" ca="1" si="484"/>
        <v>2</v>
      </c>
      <c r="NT125" s="21">
        <f t="shared" ca="1" si="485"/>
        <v>1</v>
      </c>
      <c r="NU125" s="21" t="str">
        <f t="shared" ca="1" si="486"/>
        <v>INCOMPLETO</v>
      </c>
      <c r="NV125" s="21" t="str">
        <f t="shared" ca="1" si="487"/>
        <v>INCOMPLETO</v>
      </c>
      <c r="NW125" s="206" t="str">
        <f>IF(AND(O125="",R125=""),"",IF(OR(AND(Tabla1[[#This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5" s="207" t="str">
        <f t="shared" ca="1" si="488"/>
        <v>SIN VACUNAR</v>
      </c>
      <c r="NY125" s="43">
        <f>ROW(Tabla1[[#This Row],['# DE TAMIZAJES SIFILIS TOMADOS ]])</f>
        <v>125</v>
      </c>
      <c r="NZ125" s="43" t="str">
        <f t="shared" si="333"/>
        <v>Menor</v>
      </c>
      <c r="OA125" s="43" t="str">
        <f t="shared" si="334"/>
        <v>SOBREPESO</v>
      </c>
      <c r="OB125" s="43" t="str">
        <f t="shared" si="335"/>
        <v/>
      </c>
      <c r="OC125" s="43" t="str">
        <f t="shared" si="336"/>
        <v/>
      </c>
      <c r="OD125" s="43" t="str">
        <f t="shared" si="337"/>
        <v/>
      </c>
      <c r="OE125" s="43" t="str">
        <f t="shared" si="338"/>
        <v/>
      </c>
      <c r="OF125" s="43" t="str">
        <f t="shared" si="339"/>
        <v/>
      </c>
      <c r="OG125" s="43" t="str">
        <f t="shared" si="340"/>
        <v/>
      </c>
      <c r="OH125" s="43" t="str">
        <f t="shared" si="341"/>
        <v/>
      </c>
      <c r="OI125" s="43" t="str">
        <f t="shared" si="342"/>
        <v/>
      </c>
      <c r="OJ125" s="43" t="str">
        <f t="shared" si="343"/>
        <v/>
      </c>
      <c r="OK125" s="43" t="str">
        <f t="shared" si="344"/>
        <v/>
      </c>
      <c r="OL125" s="43" t="str">
        <f t="shared" si="345"/>
        <v/>
      </c>
      <c r="OM125" s="43" t="str">
        <f t="shared" si="346"/>
        <v/>
      </c>
      <c r="ON125" s="43" t="str">
        <f t="shared" si="347"/>
        <v/>
      </c>
      <c r="OO125" s="43" t="str">
        <f t="shared" si="348"/>
        <v/>
      </c>
      <c r="OP125" s="43" t="str">
        <f t="shared" si="349"/>
        <v/>
      </c>
      <c r="OQ125" s="43" t="str">
        <f t="shared" si="350"/>
        <v/>
      </c>
      <c r="OR125" s="43" t="str">
        <f t="shared" si="351"/>
        <v/>
      </c>
      <c r="OS125" s="43" t="str">
        <f t="shared" si="352"/>
        <v/>
      </c>
      <c r="OT125" s="43" t="str">
        <f t="shared" si="353"/>
        <v/>
      </c>
      <c r="OU125" s="43" t="str">
        <f t="shared" si="354"/>
        <v/>
      </c>
      <c r="OV125" s="110" t="str">
        <f t="shared" si="355"/>
        <v/>
      </c>
      <c r="OW125" s="43" t="str">
        <f t="shared" si="356"/>
        <v/>
      </c>
      <c r="OX125" s="43" t="str">
        <f t="shared" si="357"/>
        <v/>
      </c>
      <c r="OY125" s="43" t="str">
        <f t="shared" si="358"/>
        <v/>
      </c>
      <c r="OZ125" s="43" t="str">
        <f t="shared" si="359"/>
        <v/>
      </c>
      <c r="PA125" s="43" t="str">
        <f t="shared" si="360"/>
        <v/>
      </c>
      <c r="PB125" s="43" t="str">
        <f t="shared" si="361"/>
        <v/>
      </c>
      <c r="PC125" s="43" t="str">
        <f t="shared" si="362"/>
        <v/>
      </c>
      <c r="PD125" s="43" t="str">
        <f t="shared" si="363"/>
        <v/>
      </c>
      <c r="PE125" s="43" t="str">
        <f t="shared" si="364"/>
        <v/>
      </c>
      <c r="PF125" s="43" t="str">
        <f t="shared" si="365"/>
        <v/>
      </c>
      <c r="PG125" s="43" t="str">
        <f t="shared" si="366"/>
        <v/>
      </c>
      <c r="PH125" s="43" t="str">
        <f t="shared" si="367"/>
        <v/>
      </c>
      <c r="PI125" s="43">
        <f t="shared" si="368"/>
        <v>29</v>
      </c>
      <c r="PJ125" s="43" t="str">
        <f t="shared" si="369"/>
        <v/>
      </c>
      <c r="PK125" s="43" t="str">
        <f t="shared" si="370"/>
        <v/>
      </c>
      <c r="PL125" s="43" t="str">
        <f t="shared" si="371"/>
        <v/>
      </c>
      <c r="PM125" s="43" t="str">
        <f t="shared" si="372"/>
        <v/>
      </c>
      <c r="PN125" s="43" t="str">
        <f t="shared" si="373"/>
        <v/>
      </c>
      <c r="PO125" s="43" t="str">
        <f t="shared" si="374"/>
        <v/>
      </c>
      <c r="PP125" s="43" t="str">
        <f t="shared" si="375"/>
        <v/>
      </c>
      <c r="PQ125" s="43" t="str">
        <f t="shared" si="376"/>
        <v/>
      </c>
      <c r="PR125" s="43" t="str">
        <f t="shared" si="377"/>
        <v/>
      </c>
      <c r="PS125" s="43" t="str">
        <f t="shared" si="378"/>
        <v/>
      </c>
      <c r="PT125" s="43" t="str">
        <f t="shared" si="379"/>
        <v/>
      </c>
      <c r="PU125" s="43" t="str">
        <f t="shared" si="380"/>
        <v/>
      </c>
      <c r="PV125" s="43" t="str">
        <f t="shared" si="381"/>
        <v/>
      </c>
      <c r="PW125" s="43" t="str">
        <f t="shared" si="382"/>
        <v/>
      </c>
      <c r="PX125" s="43" t="str">
        <f t="shared" si="383"/>
        <v/>
      </c>
      <c r="PY125" s="43" t="str">
        <f t="shared" si="384"/>
        <v/>
      </c>
      <c r="PZ125" s="43" t="str">
        <f t="shared" si="385"/>
        <v/>
      </c>
      <c r="QA125" s="43" t="str">
        <f t="shared" si="386"/>
        <v/>
      </c>
      <c r="QB125" s="43" t="str">
        <f t="shared" si="387"/>
        <v/>
      </c>
      <c r="QC125" s="43" t="str">
        <f t="shared" si="388"/>
        <v/>
      </c>
      <c r="QD125" s="43" t="str">
        <f t="shared" si="389"/>
        <v>SOBREPESO</v>
      </c>
      <c r="QE125" s="43" t="str">
        <f t="shared" si="390"/>
        <v/>
      </c>
      <c r="QF125" s="43" t="str">
        <f t="shared" si="391"/>
        <v/>
      </c>
      <c r="QG125" s="43" t="str">
        <f t="shared" si="392"/>
        <v/>
      </c>
      <c r="QH125" s="43" t="str">
        <f t="shared" si="393"/>
        <v/>
      </c>
      <c r="QI125" s="43" t="str">
        <f t="shared" si="394"/>
        <v/>
      </c>
      <c r="QJ125" s="43" t="str">
        <f t="shared" si="395"/>
        <v/>
      </c>
      <c r="QK125" s="43" t="str">
        <f t="shared" si="396"/>
        <v/>
      </c>
      <c r="QL125" s="43" t="str">
        <f t="shared" si="397"/>
        <v/>
      </c>
      <c r="QM125" s="43" t="str">
        <f t="shared" si="398"/>
        <v/>
      </c>
      <c r="QN125" s="43" t="str">
        <f t="shared" si="399"/>
        <v/>
      </c>
      <c r="QO125" s="43" t="str">
        <f t="shared" si="400"/>
        <v/>
      </c>
      <c r="QP125" s="43" t="str">
        <f t="shared" si="401"/>
        <v/>
      </c>
      <c r="QQ125" s="43" t="str">
        <f t="shared" si="402"/>
        <v/>
      </c>
      <c r="QR125" s="43">
        <f t="shared" si="432"/>
        <v>29</v>
      </c>
      <c r="QS125" s="43"/>
      <c r="QT125" s="21" t="str">
        <f t="shared" si="403"/>
        <v/>
      </c>
      <c r="QU125" s="21" t="str">
        <f t="shared" si="404"/>
        <v/>
      </c>
      <c r="QV125" s="21" t="str">
        <f t="shared" si="405"/>
        <v/>
      </c>
      <c r="QW125" s="21" t="str">
        <f t="shared" si="406"/>
        <v/>
      </c>
      <c r="QX125" s="21" t="str">
        <f t="shared" si="407"/>
        <v/>
      </c>
      <c r="QY125" s="21" t="str">
        <f t="shared" si="408"/>
        <v/>
      </c>
      <c r="QZ125" s="21" t="str">
        <f t="shared" si="409"/>
        <v/>
      </c>
      <c r="RA125" s="21" t="str">
        <f t="shared" si="410"/>
        <v/>
      </c>
      <c r="RB125" s="21" t="str">
        <f t="shared" si="411"/>
        <v/>
      </c>
      <c r="RC125" s="21" t="str">
        <f t="shared" si="412"/>
        <v/>
      </c>
      <c r="RD125" s="21" t="str">
        <f t="shared" si="413"/>
        <v/>
      </c>
      <c r="RE125" s="21" t="str">
        <f t="shared" si="414"/>
        <v/>
      </c>
      <c r="RF125" s="21" t="str">
        <f t="shared" si="415"/>
        <v/>
      </c>
      <c r="RG125" s="21" t="str">
        <f t="shared" si="416"/>
        <v/>
      </c>
      <c r="RH125" s="21" t="str">
        <f t="shared" si="417"/>
        <v/>
      </c>
      <c r="RI125" s="21" t="str">
        <f t="shared" si="418"/>
        <v/>
      </c>
      <c r="RJ125" s="21" t="str">
        <f t="shared" si="419"/>
        <v>ALTO PARA EDAD GESTACIONAL</v>
      </c>
      <c r="RK125" s="21" t="str">
        <f t="shared" si="420"/>
        <v/>
      </c>
      <c r="RL125" s="21" t="str">
        <f t="shared" si="421"/>
        <v/>
      </c>
      <c r="RM125" s="21" t="str">
        <f t="shared" si="422"/>
        <v/>
      </c>
      <c r="RN125" s="21" t="str">
        <f t="shared" si="423"/>
        <v/>
      </c>
      <c r="RO125" s="21" t="str">
        <f t="shared" si="424"/>
        <v/>
      </c>
      <c r="RP125" s="21" t="str">
        <f t="shared" si="425"/>
        <v/>
      </c>
      <c r="RQ125" s="21" t="str">
        <f t="shared" si="426"/>
        <v/>
      </c>
      <c r="RR125" s="21" t="str">
        <f t="shared" si="427"/>
        <v/>
      </c>
      <c r="RS125" s="21" t="str">
        <f t="shared" si="428"/>
        <v/>
      </c>
      <c r="RT125" s="21" t="str">
        <f t="shared" si="429"/>
        <v/>
      </c>
      <c r="RU125" s="21" t="str">
        <f t="shared" si="430"/>
        <v/>
      </c>
      <c r="RV125" s="21">
        <f t="shared" si="431"/>
        <v>10.142857142857142</v>
      </c>
      <c r="RW125" s="284">
        <f>IF(OR(Tabla1[[#This Row],[FUM FORMULA CONFIABLE]]="",Tabla1[[#This Row],[FUM FORMULA CONFIABLE]]="SD"),"",IF(Tabla1[[#This Row],[FUM FORMULA CONFIABLE]]="CORREGIDA",Tabla1[[#This Row],[FUM X ECO 1]],Tabla1[[#This Row],[FUM x AMENORREA]]))</f>
        <v>44938</v>
      </c>
      <c r="RX125" s="21">
        <f>IF(AND(Tabla1[[#This Row],[FUM X ECO 1]]="",Tabla1[[#This Row],[FUM x AMENORREA]]=""),"",IF(AND(Tabla1[[#This Row],[FUM X ECO 1]]="",Tabla1[[#This Row],[FUM x AMENORREA]]&lt;&gt;""),"X",SUM(Tabla1[[#This Row],[FUM X ECO 1]]-Tabla1[[#This Row],[FUM x AMENORREA]])))</f>
        <v>0.30000000000291038</v>
      </c>
      <c r="RY125" s="21">
        <f t="shared" si="433"/>
        <v>0</v>
      </c>
    </row>
    <row r="126" spans="1:493" ht="45" customHeight="1" x14ac:dyDescent="0.25">
      <c r="A126" s="109" t="s">
        <v>137</v>
      </c>
      <c r="B126" s="43"/>
      <c r="C126" s="43" t="s">
        <v>845</v>
      </c>
      <c r="D126" s="124"/>
      <c r="E126" s="43" t="s">
        <v>943</v>
      </c>
      <c r="F126" s="43" t="s">
        <v>1361</v>
      </c>
      <c r="G126" s="43" t="s">
        <v>1372</v>
      </c>
      <c r="H126" s="43" t="s">
        <v>1373</v>
      </c>
      <c r="I126" s="109" t="s">
        <v>851</v>
      </c>
      <c r="J126" s="110">
        <v>1068216345</v>
      </c>
      <c r="K126" s="43" t="s">
        <v>852</v>
      </c>
      <c r="L126" s="175" t="s">
        <v>1509</v>
      </c>
      <c r="M126" s="22">
        <v>38296</v>
      </c>
      <c r="N126" s="213">
        <f t="shared" ca="1" si="252"/>
        <v>19.005479452054793</v>
      </c>
      <c r="O126" s="22">
        <v>44992</v>
      </c>
      <c r="P126" s="214" t="str">
        <f t="shared" si="437"/>
        <v>SI</v>
      </c>
      <c r="Q126" s="26" t="s">
        <v>855</v>
      </c>
      <c r="R126" s="22">
        <v>44992</v>
      </c>
      <c r="S126" s="21" t="s">
        <v>856</v>
      </c>
      <c r="T126" s="24" t="s">
        <v>690</v>
      </c>
      <c r="U126" s="21" t="s">
        <v>1374</v>
      </c>
      <c r="V126" s="21" t="s">
        <v>858</v>
      </c>
      <c r="W126" s="21" t="s">
        <v>1375</v>
      </c>
      <c r="X126" s="21"/>
      <c r="Y126" s="21"/>
      <c r="Z126" s="21">
        <v>3145271270</v>
      </c>
      <c r="AA126" s="21" t="s">
        <v>860</v>
      </c>
      <c r="AB126" s="27" t="s">
        <v>861</v>
      </c>
      <c r="AC126" s="26" t="s">
        <v>862</v>
      </c>
      <c r="AD126" s="38" t="s">
        <v>1546</v>
      </c>
      <c r="AE126" s="26" t="s">
        <v>854</v>
      </c>
      <c r="AF126" s="26" t="s">
        <v>854</v>
      </c>
      <c r="AG126" s="23" t="s">
        <v>864</v>
      </c>
      <c r="AH126" s="23" t="s">
        <v>864</v>
      </c>
      <c r="AI126" s="24" t="s">
        <v>863</v>
      </c>
      <c r="AJ126" s="23" t="s">
        <v>864</v>
      </c>
      <c r="AK126" s="220" t="str">
        <f>IF(AND(AD126="",AE126="",AF126="",AG126="",AH126="",AI126="",AJ126=""),"",IF(OR(Tabla1[[#This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EVALUACIÓN",IF(AND(O126="",R126=""),"",IF(AND(OR(O126&gt;0,R126&gt;0),NG126&gt;=0,NG126&lt;2),"SIN RIESGO",IF(AND(OR(O126&gt;0,R126&gt;0),NG126&gt;=2),"CON RIESGO","ASD")))))</f>
        <v>SIN RIESGO</v>
      </c>
      <c r="AL126" s="23" t="s">
        <v>864</v>
      </c>
      <c r="AM126" s="26" t="s">
        <v>864</v>
      </c>
      <c r="AN126" s="26" t="s">
        <v>864</v>
      </c>
      <c r="AO126" s="26" t="s">
        <v>864</v>
      </c>
      <c r="AP126" s="26" t="s">
        <v>864</v>
      </c>
      <c r="AQ126" s="26" t="s">
        <v>864</v>
      </c>
      <c r="AR126" s="26" t="s">
        <v>864</v>
      </c>
      <c r="AS126" s="21">
        <v>1</v>
      </c>
      <c r="AT126" s="21">
        <v>0</v>
      </c>
      <c r="AU126" s="21">
        <v>0</v>
      </c>
      <c r="AV126" s="26" t="s">
        <v>864</v>
      </c>
      <c r="AW126" s="21">
        <v>0</v>
      </c>
      <c r="AX126" s="26" t="s">
        <v>864</v>
      </c>
      <c r="AY126" s="26" t="s">
        <v>864</v>
      </c>
      <c r="AZ126" s="26" t="s">
        <v>864</v>
      </c>
      <c r="BA126" s="26" t="s">
        <v>864</v>
      </c>
      <c r="BB126" s="26" t="s">
        <v>864</v>
      </c>
      <c r="BC126" s="26" t="s">
        <v>864</v>
      </c>
      <c r="BD126" s="26" t="s">
        <v>864</v>
      </c>
      <c r="BE126" s="26" t="s">
        <v>864</v>
      </c>
      <c r="BF126" s="26" t="s">
        <v>864</v>
      </c>
      <c r="BG126" s="26" t="s">
        <v>864</v>
      </c>
      <c r="BH126" s="26" t="s">
        <v>864</v>
      </c>
      <c r="BI126" s="26" t="s">
        <v>864</v>
      </c>
      <c r="BJ126" s="26" t="s">
        <v>864</v>
      </c>
      <c r="BK126" s="26" t="s">
        <v>864</v>
      </c>
      <c r="BL126" s="26" t="s">
        <v>864</v>
      </c>
      <c r="BM126" s="26" t="s">
        <v>864</v>
      </c>
      <c r="BN126" s="22"/>
      <c r="BO126" s="22">
        <v>44903</v>
      </c>
      <c r="BP126" s="21" t="s">
        <v>854</v>
      </c>
      <c r="BQ126" s="222">
        <f t="shared" si="254"/>
        <v>0</v>
      </c>
      <c r="BR126" s="223">
        <f t="shared" si="255"/>
        <v>44903.3</v>
      </c>
      <c r="BS126" s="224">
        <f t="shared" si="256"/>
        <v>12.714285714285714</v>
      </c>
      <c r="BT126" s="216" t="str">
        <f t="shared" si="257"/>
        <v>II TRIM</v>
      </c>
      <c r="BU126" s="214" t="str">
        <f t="shared" ca="1" si="258"/>
        <v/>
      </c>
      <c r="BV126" s="25" t="s">
        <v>989</v>
      </c>
      <c r="BW126" s="22">
        <v>45065</v>
      </c>
      <c r="BX126" s="28">
        <v>23.1</v>
      </c>
      <c r="BY126" s="28" t="s">
        <v>988</v>
      </c>
      <c r="BZ126" s="22">
        <v>45121</v>
      </c>
      <c r="CA126" s="21" t="s">
        <v>1573</v>
      </c>
      <c r="CB126" s="26" t="s">
        <v>864</v>
      </c>
      <c r="CC126" s="26" t="s">
        <v>864</v>
      </c>
      <c r="CD126" s="26"/>
      <c r="CE126" s="26" t="s">
        <v>864</v>
      </c>
      <c r="CF126" s="22" t="s">
        <v>1517</v>
      </c>
      <c r="CG126" s="21">
        <v>1.48</v>
      </c>
      <c r="CH126" s="21">
        <v>55.9</v>
      </c>
      <c r="CI126" s="214">
        <f t="shared" si="259"/>
        <v>25.520452885317752</v>
      </c>
      <c r="CJ126" s="225" t="e">
        <f>IF(AND(CI126&lt;10,CH126="SD"),"SIN DATO PESO PREGESTACION O I TRIM",IF(AND(OR(R126&gt;0,O126&gt;0),CI126="X"),"INGRESAR DATO DE PESO",IF(CI126="SD","INGRESAR DATO DE TALLA Y PESO",IF(AND(OR(Tabla1[[#This Row],[MOMENTO EN QUE SE REALIZA EL PESO AL INGRESO A CPN]]="PREGESTACIÓN",NZ126="Menor"),CI126&lt;18.5),"BAJO PESO",IF(AND(OR(Tabla1[[#This Row],[MOMENTO EN QUE SE REALIZA EL PESO AL INGRESO A CPN]]="PREGESTACIÓN",NZ126="Menor"),CI126&lt;25),"NORMAL",IF(AND(OR(Tabla1[[#This Row],[MOMENTO EN QUE SE REALIZA EL PESO AL INGRESO A CPN]]="PREGESTACIÓN",NZ126="Menor"),CI126&lt;30),"SOBREPESO",IF(AND(OR(Tabla1[[#This Row],[MOMENTO EN QUE SE REALIZA EL PESO AL INGRESO A CPN]]="PREGESTACIÓN",NZ126="Menor"),CI126&gt;=30,CI126&lt;50),"OBESIDAD",IF(AND(BS126&gt;0,Tabla1[[#This Row],[MOMENTO EN QUE SE REALIZA EL PESO AL INGRESO A CPN]]="GESTACIÓN"),HLOOKUP(NZ126,$OA$2:PH126,NY126),""))))))))</f>
        <v>#REF!</v>
      </c>
      <c r="CK126" s="212">
        <f t="shared" si="260"/>
        <v>45121</v>
      </c>
      <c r="CL126" s="21">
        <v>56</v>
      </c>
      <c r="CM126" s="214">
        <f t="shared" si="261"/>
        <v>25.566106647187731</v>
      </c>
      <c r="CN126" s="216">
        <f t="shared" si="262"/>
        <v>31</v>
      </c>
      <c r="CO126" s="216" t="e">
        <f>IF(PI126="","",IF(PI126&gt;0,HLOOKUP(PI126,$PJ$2:QQ126,NY126),""))</f>
        <v>#REF!</v>
      </c>
      <c r="CP126" s="21">
        <v>30</v>
      </c>
      <c r="CQ126" s="216" t="e">
        <f>IF(QR126="Menor","NO APLICA-MENOR 13 SEM",IF(AND(CC126="SI",CN126&gt;23),"NO APLICA- GEMELAR",IF(QR126="","",IF(QR126&gt;0,HLOOKUP(QR126,$QS$2:RU126,NY126),""))))</f>
        <v>#REF!</v>
      </c>
      <c r="CR126" s="21"/>
      <c r="CS126" s="21"/>
      <c r="CT126" s="217" t="str">
        <f>IF(R126="","",IF(AND(BS126&gt;1,BS126&lt;12,Tabla1[[#This Row],[T.A. SISTOLICA - ANTES DE SEMANA 12]]="",Tabla1[[#This Row],[T.A. DIASTOLICA - ANTES DE SEMANA 12]]=""),"REGISTRE DATO TA ANTES SEMANA 12",IF(AND(BS126&gt;11,BS126&lt;43,Tabla1[[#This Row],[T.A. SISTOLICA - ANTES DE SEMANA 12]]="",Tabla1[[#This Row],[T.A. DIASTOLICA - ANTES DE SEMANA 12]]=""),"NO APLICA REGISTRO TA-INGRESO TARDIO",IF(AND(OR(O126&gt;0,R126&gt;0),OR(CR126&gt;=140,CS126&gt;=90)),"DEFINIR ESTADIO HTA",IF(AND(OR(O126&gt;0,R126&gt;0),AND(CR126&gt;120,CR126&lt;=139)),"PRE HTA SEGUIMIENTO",IF(AND(OR(O126&gt;0,R126&gt;0),AND(CS126&gt;80,CS126&lt;=89)),"PRE HTA SEGUIMIENTO",IF(AND(OR(O126&gt;0,R126&gt;0),AND(CR126&gt;=80,CR126&lt;=120)),"APARENTEMENTE NORMAL",IF(AND(OR(O126&gt;0,R126&gt;0),AND(CS126&gt;=50,CS126&lt;=80)),"APARENTEMENTE NORMAL",IF(AND(OR(O126&gt;0,R126&gt;0),AND(CR126&gt;1,CR126&lt;=70),AND(CS126&gt;1,CS126&lt;=40)),"HIPOTENSIÓN","")))))))))</f>
        <v>NO APLICA REGISTRO TA-INGRESO TARDIO</v>
      </c>
      <c r="CU126" s="21">
        <v>90</v>
      </c>
      <c r="CV126" s="21">
        <v>60</v>
      </c>
      <c r="CW126" s="217" t="str">
        <f ca="1">IF(R126="","",IF(AND(CN126&gt;19,CN126&lt;27,Tabla1[[#This Row],[T.A. SISTOLICA (Entre semana 20 y 26)]]="",Tabla1[[#This Row],[T.A. DIATOLICA (Entre semana 20 y 26)]]=""),"ACUDE A CONTROL SEM 20 A 26 REGISTRE TA AHORA",IF(AND(BS126&gt;1,BS126&lt;27,BU126&gt;19,Tabla1[[#This Row],[T.A. SISTOLICA (Entre semana 20 y 26)]]="",Tabla1[[#This Row],[T.A. DIATOLICA (Entre semana 20 y 26)]]=""),"COMPLETE REGISTRO TA CONTROL SEM 20 A26 ",IF(AND(BS126&gt;26,BS126&lt;43,Tabla1[[#This Row],[T.A. SISTOLICA (Entre semana 20 y 26)]]="",Tabla1[[#This Row],[T.A. DIATOLICA (Entre semana 20 y 26)]]=""),"NO APLICA REGISTRO TA-INGRESO TARDIO",IF(AND(OR(O126&gt;0,R126&gt;0),OR(CU126&gt;=140,CV126&gt;=90)),"ALTO RIESGO PREECLAMPSIA,DEFINIR ESTADIO HTA",IF(AND(OR(O126&gt;0,R126&gt;0),AND(CU126&gt;120,CU126&lt;=139)),"PRE HTA SEGUIMIENTO,RIESGO HIPERTENSION INDUCIDA POR EL EMBARAZO",IF(AND(OR(O126&gt;0,R126&gt;0),AND(CV126&gt;80,CV126&lt;=89)),"PRE HTA SEGUIMIENTO, RIESGO HIPERTENSION INDUCIDA POR EL EMBARAZO",IF(AND(OR(O126&lt;&gt;"",R126&lt;&gt;""),CS126&lt;&gt;"",CV126&lt;&gt;"",CS126&lt;=CV126),"VIGILAR CIFRAS PRESION ARTERIAL",IF(AND(OR(O126&gt;0,R126&gt;0),AND(CU126&gt;120,CU126&lt;=139)),"PRE HTA SEGUIMIENTO",IF(AND(OR(O126&gt;0,R126&gt;0),AND(CU126&gt;1,CU126&lt;=70),AND(CV126&gt;1,CV126&lt;=40)),"HIPOTENSIÓN",IF(AND(OR(O126&lt;&gt;"",R126&lt;&gt;""),CS126&lt;&gt;"",CV126&lt;&gt;"",CS126&gt;CV126),"APARENTEMENTE NORMAL",IF(AND(OR(O126&gt;0,R126&gt;0),AND(CU126&gt;=80,CU126&lt;=120)),"APARENTEMENTE NORMAL",IF(AND(OR(O126&gt;0,R126&gt;0),AND(CV126&gt;=50,CV126&lt;=80)),"APARENTEMENTE NORMAL","")))))))))))))</f>
        <v>APARENTEMENTE NORMAL</v>
      </c>
      <c r="CX126" s="21">
        <v>90</v>
      </c>
      <c r="CY126" s="21">
        <v>60</v>
      </c>
      <c r="CZ126" s="216" t="str">
        <f t="shared" ref="CZ126:CZ141" si="498">IF(R126="","",IF(AND(CN126&gt;31,CN126&lt;35,CX126="",CY126=""),"ACUDE A CONTROL SEM 30 A 34- REGISTRE AHORA",IF(AND(BS126&gt;34,BS126&lt;43,CX127="",CY127=""),"NO APLICA-INGRESO TARDIO",IF(AND(OR(O126&gt;0,R126&gt;0),OR(CX126&gt;=140,CY126&gt;=90)),"ESTUDIO INMEDIATO HTA PARA DESCARTAR PREECLAMSIA",IF(AND(OR(O126&gt;0,R126&gt;0),AND(CX126&gt;=130,CX126&lt;=139)),"PRE HTA,RIESGO ALTO PREECLAMPSIA",IF(AND(OR(O126&gt;0,R126&gt;0),AND(CY126&gt;80,CY126&lt;=89)),"PRE HTA,RIESGO ALTO PREECLAMPSIA",IF(AND(OR(O126&gt;0,R126&gt;0),AND(CX126&gt;120,CX126&lt;=129)),"RANGO PREHIPERTENSIVO SEGUIMIENTO HTA",IF(AND(OR(O126&lt;&gt;"",R126&lt;&gt;""),CS126&lt;&gt;"",CY126&lt;&gt;"",CS126&lt;CY126),"VIGILAR CIFRAS PRESION ARTERIAL",IF(AND(OR(O126&lt;&gt;"",R126&lt;&gt;""),CS126&lt;&gt;"",CY126&lt;&gt;"",CS126=CY126),"APARENTEMENTE NORMAL",IF(AND(OR(O126&gt;0,R126&gt;0),CX126&gt;=80,CX126&lt;=120),"APARENTEMENTE NORMAL",IF(AND(OR(O126&gt;0,R126&gt;0),CY126&gt;=50,CY126&lt;=80),"APARENTEMENTE NORMAL","")))))))))))</f>
        <v>APARENTEMENTE NORMAL</v>
      </c>
      <c r="DA126" s="21">
        <v>90</v>
      </c>
      <c r="DB126" s="21">
        <v>60</v>
      </c>
      <c r="DC126" s="217" t="str">
        <f t="shared" si="264"/>
        <v>APARENTEMENTE NORMAL</v>
      </c>
      <c r="DD126" s="22">
        <v>44992</v>
      </c>
      <c r="DE126" s="22">
        <v>44992</v>
      </c>
      <c r="DF126" s="22">
        <v>45035</v>
      </c>
      <c r="DG126" s="22">
        <v>45121</v>
      </c>
      <c r="DH126" s="22"/>
      <c r="DI126" s="22"/>
      <c r="DJ126" s="22"/>
      <c r="DK126" s="22"/>
      <c r="DL126" s="22"/>
      <c r="DM126" s="22"/>
      <c r="DN126" s="22"/>
      <c r="DO126" s="22"/>
      <c r="DP126" s="22"/>
      <c r="DQ126" s="22"/>
      <c r="DR126" s="28">
        <v>1</v>
      </c>
      <c r="DS126" s="22"/>
      <c r="DT126" s="22"/>
      <c r="DU126" s="216" t="str">
        <f t="shared" ca="1" si="438"/>
        <v>CONCERTAR PLAN DE PARTO INMEDIATO</v>
      </c>
      <c r="DV126" s="226" t="str">
        <f t="shared" si="439"/>
        <v>ACTIVA INGRESO A CPN</v>
      </c>
      <c r="DW1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6" s="216" t="e">
        <f t="shared" ca="1" si="266"/>
        <v>#REF!</v>
      </c>
      <c r="DY126" s="212">
        <f>IF(R126="","",IF(R126&gt;0,MAX(Tabla1[[#This Row],[FECHA C2]:[FECHA C13]],Tabla1[[#This Row],[FECHA CONSULTA PRIMERA VEZ PROGRAMA CPN ]])))</f>
        <v>45121</v>
      </c>
      <c r="DZ126" s="216">
        <f t="shared" si="267"/>
        <v>31</v>
      </c>
      <c r="EA126" s="222">
        <f>IF(R126&gt;0,SUM(COUNTA(DF126:DQ126)+COUNTA(Tabla1[[#This Row],[FECHA CONSULTA PRIMERA VEZ PROGRAMA CPN ]])),"")</f>
        <v>3</v>
      </c>
      <c r="EB126" s="222" t="str">
        <f t="shared" si="268"/>
        <v>NO</v>
      </c>
      <c r="EC126" s="214">
        <f t="shared" si="269"/>
        <v>8</v>
      </c>
      <c r="ED126" s="227">
        <f t="shared" si="270"/>
        <v>0.375</v>
      </c>
      <c r="EE126" s="22">
        <v>44992</v>
      </c>
      <c r="EF126" s="22">
        <v>44995</v>
      </c>
      <c r="EG126" s="22">
        <v>44992</v>
      </c>
      <c r="EH126" s="22"/>
      <c r="EI126" s="22">
        <v>44992</v>
      </c>
      <c r="EJ126" s="22"/>
      <c r="EK126" s="22"/>
      <c r="EL126" s="21"/>
      <c r="EM126" s="21">
        <v>14</v>
      </c>
      <c r="EN126" s="22">
        <v>45035</v>
      </c>
      <c r="EO126" s="222">
        <f t="shared" si="271"/>
        <v>18.857142857142858</v>
      </c>
      <c r="EP126" s="214" t="str">
        <f t="shared" si="272"/>
        <v>NORMAL- SUMINISTRAR SULFATO FERROSO</v>
      </c>
      <c r="EQ126" s="216" t="str">
        <f t="shared" si="273"/>
        <v>II TRIM</v>
      </c>
      <c r="ER126" s="24"/>
      <c r="ES126" s="22"/>
      <c r="ET126" s="29" t="str">
        <f t="shared" ca="1" si="440"/>
        <v>TOMA DE HEMOGLOBINA TARDÍA</v>
      </c>
      <c r="EU126" s="25" t="str">
        <f t="shared" si="275"/>
        <v/>
      </c>
      <c r="EV126" s="24" t="s">
        <v>866</v>
      </c>
      <c r="EW126" s="24">
        <v>44995</v>
      </c>
      <c r="EX126" s="22"/>
      <c r="EY126" s="29">
        <f t="shared" si="453"/>
        <v>13.142857142857142</v>
      </c>
      <c r="EZ126" s="25" t="str">
        <f t="shared" ca="1" si="454"/>
        <v/>
      </c>
      <c r="FA126" s="21">
        <v>73</v>
      </c>
      <c r="FB126" s="22">
        <v>44995</v>
      </c>
      <c r="FC126" s="29">
        <f t="shared" si="276"/>
        <v>13.142857142857142</v>
      </c>
      <c r="FD126" s="29">
        <v>75</v>
      </c>
      <c r="FE126" s="29">
        <v>134</v>
      </c>
      <c r="FF126" s="29">
        <v>132</v>
      </c>
      <c r="FG126" s="21" t="str">
        <f t="shared" ca="1" si="277"/>
        <v>NORMAL</v>
      </c>
      <c r="FH126" s="31">
        <v>45126</v>
      </c>
      <c r="FI126" s="29">
        <f t="shared" si="278"/>
        <v>31.857142857142858</v>
      </c>
      <c r="FJ126" s="22"/>
      <c r="FK126" s="22"/>
      <c r="FL126" s="29" t="str">
        <f t="shared" ca="1" si="279"/>
        <v>PIERDE TOMA DE TAMIZAJE</v>
      </c>
      <c r="FM126" s="22" t="s">
        <v>867</v>
      </c>
      <c r="FN126" s="32">
        <v>44995</v>
      </c>
      <c r="FO126" s="29">
        <f t="shared" ca="1" si="441"/>
        <v>13.142857142857142</v>
      </c>
      <c r="FP126" s="22" t="s">
        <v>867</v>
      </c>
      <c r="FQ126" s="32">
        <v>45126</v>
      </c>
      <c r="FR126" s="29">
        <f t="shared" ca="1" si="442"/>
        <v>31.857142857142858</v>
      </c>
      <c r="FS126" s="22"/>
      <c r="FT126" s="32"/>
      <c r="FU126" s="29" t="str">
        <f>IF(AND(FJ126="",FM126="",FP126="",FS126=""),"",IF(OR(OR(Tabla1[[#This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6" s="28"/>
      <c r="FW126" s="22"/>
      <c r="FX126" s="29" t="str">
        <f t="shared" si="280"/>
        <v>TOMAR EXAMEN</v>
      </c>
      <c r="FY126" s="22">
        <v>44992</v>
      </c>
      <c r="FZ126" s="22">
        <v>44992</v>
      </c>
      <c r="GA126" s="29">
        <f t="shared" ca="1" si="497"/>
        <v>12.714285714285714</v>
      </c>
      <c r="GB126" s="22" t="s">
        <v>868</v>
      </c>
      <c r="GC126" s="22">
        <v>44995</v>
      </c>
      <c r="GD126" s="29">
        <f t="shared" ca="1" si="490"/>
        <v>13.142857142857142</v>
      </c>
      <c r="GE126" s="22"/>
      <c r="GF126" s="22"/>
      <c r="GG126" s="29" t="str">
        <f t="shared" ca="1" si="444"/>
        <v>TOMA INMEDIATA DE TAMIZAJE</v>
      </c>
      <c r="GH126" s="22"/>
      <c r="GI126" s="29"/>
      <c r="GJ126" s="22"/>
      <c r="GK126" s="22"/>
      <c r="GL126" s="22"/>
      <c r="GM126" s="22"/>
      <c r="GN126" s="28"/>
      <c r="GO126" s="22"/>
      <c r="GP126" s="29" t="str">
        <f t="shared" si="283"/>
        <v>TOMAR EXAMEN</v>
      </c>
      <c r="GQ126" s="28" t="s">
        <v>869</v>
      </c>
      <c r="GR126" s="28" t="s">
        <v>869</v>
      </c>
      <c r="GS126" s="22" t="str">
        <f t="shared" si="457"/>
        <v>CONTROL Igm</v>
      </c>
      <c r="GT126" s="22">
        <v>45126</v>
      </c>
      <c r="GU126" s="29">
        <f t="shared" si="285"/>
        <v>31.857142857142858</v>
      </c>
      <c r="GV126" s="21" t="str">
        <f t="shared" si="286"/>
        <v>III TRIM</v>
      </c>
      <c r="GW126" s="28" t="s">
        <v>869</v>
      </c>
      <c r="GX126" s="30"/>
      <c r="GY126" s="21"/>
      <c r="GZ126" s="21"/>
      <c r="HA126" s="21"/>
      <c r="HB126" s="21"/>
      <c r="HC126" s="21"/>
      <c r="HD126" s="21"/>
      <c r="HE126" s="21"/>
      <c r="HF126" s="22"/>
      <c r="HG126" s="22" t="str">
        <f>IF(OR(O126&gt;0,R126&gt;0),CONCATENATE(IF(Tabla1[[#This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6" s="22" t="e">
        <f t="shared" si="287"/>
        <v>#REF!</v>
      </c>
      <c r="HI126" s="22" t="e">
        <f t="shared" ca="1" si="288"/>
        <v>#REF!</v>
      </c>
      <c r="HJ126" s="21"/>
      <c r="HK126" s="21" t="str">
        <f t="shared" si="289"/>
        <v>SIN ANTECEDENTES DE RIESGO</v>
      </c>
      <c r="HL126" s="24" t="str">
        <f t="shared" si="290"/>
        <v>APARENTEMENTE NORMAL</v>
      </c>
      <c r="HM126" s="21" t="e">
        <f t="shared" ca="1" si="291"/>
        <v>#REF!</v>
      </c>
      <c r="HN126" s="30" t="str">
        <f t="shared" si="445"/>
        <v>ACTIVA INGRESO A CPN</v>
      </c>
      <c r="HO126" s="21"/>
      <c r="HP126" s="21"/>
      <c r="HQ126" s="21">
        <v>45035</v>
      </c>
      <c r="HR126" s="21" t="str">
        <f>IF(R126="","",IF(Tabla1[[#This Row],[ALARMA FACTORES DE RIESGO COMPLICACIONES HIPERTENSIVAS3]]="SIN ANTECEDENTES DE RIESGO","No Aplica para suministro de ASA",IF(AND(Tabla1[[#This Row],[FECHA INICIO DE SUMINISTRO DE ASA]]&gt;0,RV126&lt;12),"Inicia ASA ANTES de Sem 12",IF(AND(RV126&gt;11,RV126&lt;17,OR(HK126="RIESGO ALTO DE COMPLICACIONES HIPERTENSIVAS VER MANEJO GUIA SUMINISTRO ASA Y CALCIO",HK126="RIESGO MODERADO (2 O MAS CRITERIOS) VER MANEJO GUIA SUMINISTRO ASA Y CALCIO")),"Inicio oportuno de ASA",IF(AND(RV126&gt;12,OR(HK126="RIESGO ALTO DE COMPLICACIONES HIPERTENSIVAS VER MANEJO GUIA SUMINISTRO ASA Y CALCIO",HK126="RIESGO MODERADO (2 O MAS CRITERIOS) VER MANEJO GUIA SUMINISTRO ASA Y CALCIO")),"Inicio no oportuno mayor a 16 semanas",IF(AND(BU126&lt;12,OR(HK126="RIESGO ALTO DE COMPLICACIONES HIPERTENSIVAS VER MANEJO GUIA SUMINISTRO ASA Y CALCIO",HK126="RIESGO MODERADO (2 O MAS CRITERIOS) VER MANEJO GUIA SUMINISTRO ASA Y CALCIO")),"Pendiente Inicio de ASA a la semana 12",IF(AND(BU126&gt;11,BU126&lt;17,OR(HK126="RIESGO ALTO DE COMPLICACIONES HIPERTENSIVAS VER MANEJO GUIA SUMINISTRO ASA Y CALCIO",HK126="RIESGO MODERADO (2 O MAS CRITERIOS) VER MANEJO GUIA SUMINISTRO ASA Y CALCIO")),"Iniciar de inmediato ASA",IF(AND(BU126&gt;16,OR(HK126="RIESGO ALTO DE COMPLICACIONES HIPERTENSIVAS VER MANEJO GUIA SUMINISTRO ASA Y CALCIO",HK126="RIESGO MODERADO (2 O MAS CRITERIOS) VER MANEJO GUIA SUMINISTRO ASA Y CALCIO")),"Pierde Oportunidad, Inicio tardío de ASA","XXXXX"))))))))</f>
        <v>No Aplica para suministro de ASA</v>
      </c>
      <c r="HS126" s="22">
        <v>45035</v>
      </c>
      <c r="HT126" s="22" t="s">
        <v>870</v>
      </c>
      <c r="HU126" s="22">
        <v>45035</v>
      </c>
      <c r="HV126" s="22" t="s">
        <v>870</v>
      </c>
      <c r="HW126" s="22"/>
      <c r="HX126" s="22"/>
      <c r="HY126" s="22">
        <v>44995</v>
      </c>
      <c r="HZ126" s="28">
        <f t="shared" si="292"/>
        <v>13.142857142857142</v>
      </c>
      <c r="IA126" s="26"/>
      <c r="IB126" s="26"/>
      <c r="IC126" s="111"/>
      <c r="ID126" s="22"/>
      <c r="IE126" s="22" t="str">
        <f t="shared" ca="1" si="293"/>
        <v/>
      </c>
      <c r="IF126" s="22"/>
      <c r="IG126" s="22">
        <f t="shared" si="294"/>
        <v>45183</v>
      </c>
      <c r="IH126" s="29">
        <f t="shared" ca="1" si="295"/>
        <v>-50</v>
      </c>
      <c r="II126" s="22" t="str">
        <f t="shared" ca="1" si="296"/>
        <v>POSIBLEMENTE NACIO</v>
      </c>
      <c r="IJ126" s="22"/>
      <c r="IK126" s="21"/>
      <c r="IL126" s="21"/>
      <c r="IM126" s="34"/>
      <c r="IN126" s="349"/>
      <c r="IO126" s="21"/>
      <c r="IP126" s="29" t="str">
        <f t="shared" si="489"/>
        <v/>
      </c>
      <c r="IQ126" s="35"/>
      <c r="IR126" s="21"/>
      <c r="IS126" s="21"/>
      <c r="IT126" s="21"/>
      <c r="IU126" s="21"/>
      <c r="IV126" s="21"/>
      <c r="IW126" s="21"/>
      <c r="IX126" s="21"/>
      <c r="IY126" s="21"/>
      <c r="IZ126" s="21"/>
      <c r="JA126" s="21"/>
      <c r="JB126" s="30"/>
      <c r="JC126" s="21"/>
      <c r="JD126" s="36"/>
      <c r="JE126" s="21" t="str">
        <f t="shared" si="491"/>
        <v/>
      </c>
      <c r="JF126" s="30"/>
      <c r="JG126" s="21"/>
      <c r="JH126" s="21"/>
      <c r="JI126" s="21"/>
      <c r="JJ126" s="30"/>
      <c r="JK126" s="22"/>
      <c r="JL126" s="22"/>
      <c r="JM126" s="21"/>
      <c r="JN126" s="36"/>
      <c r="JO126" s="21" t="str">
        <f t="shared" si="492"/>
        <v/>
      </c>
      <c r="JP126" s="22"/>
      <c r="JQ126" s="21"/>
      <c r="JR126" s="21"/>
      <c r="JS126" s="21"/>
      <c r="JT126" s="30"/>
      <c r="JU126" s="22"/>
      <c r="JV126" s="22"/>
      <c r="JW126" s="33"/>
      <c r="JX126" s="28" t="str">
        <f t="shared" si="493"/>
        <v/>
      </c>
      <c r="JY126" s="33"/>
      <c r="JZ126" s="28" t="str">
        <f t="shared" si="494"/>
        <v/>
      </c>
      <c r="KA126" s="21"/>
      <c r="KB126" s="21"/>
      <c r="KC126" s="21"/>
      <c r="KD126" s="37"/>
      <c r="KE126" s="28"/>
      <c r="KF126" s="28"/>
      <c r="KG126" s="28"/>
      <c r="KH126" s="39"/>
      <c r="KI126" s="39"/>
      <c r="KJ126" s="66"/>
      <c r="KK126" s="39"/>
      <c r="KL126" s="39"/>
      <c r="KM126" s="66"/>
      <c r="KN126" s="39"/>
      <c r="KO126" s="39"/>
      <c r="KP126" s="39"/>
      <c r="KQ126" s="39"/>
      <c r="KR126" s="39"/>
      <c r="KS126" s="39"/>
      <c r="KT126" s="39"/>
      <c r="KU126" s="38"/>
      <c r="KV126" s="38"/>
      <c r="KW126" s="38"/>
      <c r="KX126" s="38"/>
      <c r="KY126" s="38"/>
      <c r="KZ126" s="38"/>
      <c r="LA126" s="38"/>
      <c r="LB126" s="38"/>
      <c r="LC126" s="38"/>
      <c r="LD126" s="38"/>
      <c r="LE126" s="38"/>
      <c r="LF126" s="38"/>
      <c r="LG126" s="38"/>
      <c r="LH126" s="38"/>
      <c r="LI126" s="38"/>
      <c r="LJ126" s="38"/>
      <c r="LK126" s="38"/>
      <c r="LL126" s="38"/>
      <c r="LM126" s="38"/>
      <c r="LN126" s="38"/>
      <c r="LO126" s="38"/>
      <c r="LP126" s="38"/>
      <c r="LQ126" s="38"/>
      <c r="LR126" s="38"/>
      <c r="LS126" s="38"/>
      <c r="LT126" s="38"/>
      <c r="LU126" s="38"/>
      <c r="LV126" s="38"/>
      <c r="LW126" s="38"/>
      <c r="LX126" s="38"/>
      <c r="LY126" s="38"/>
      <c r="LZ126" s="38"/>
      <c r="MA126" s="38"/>
      <c r="MB126" s="38"/>
      <c r="MC126" s="38"/>
      <c r="MD126" s="38"/>
      <c r="ME126" s="38"/>
      <c r="MF126" s="38"/>
      <c r="MG126" s="38"/>
      <c r="MH126" s="43">
        <f t="shared" si="458"/>
        <v>0</v>
      </c>
      <c r="MI126" s="43" t="str">
        <f t="shared" si="459"/>
        <v/>
      </c>
      <c r="MJ126" s="43" t="str">
        <f t="shared" si="460"/>
        <v/>
      </c>
      <c r="MK126" s="43">
        <f t="shared" si="461"/>
        <v>0</v>
      </c>
      <c r="ML1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6" s="43">
        <f t="shared" si="462"/>
        <v>12.714285714285714</v>
      </c>
      <c r="MN126" s="43">
        <f t="shared" si="463"/>
        <v>3</v>
      </c>
      <c r="MO126" s="43">
        <f t="shared" si="464"/>
        <v>2023</v>
      </c>
      <c r="MP126" s="43" t="str">
        <f t="shared" si="465"/>
        <v>I TRIMESTRE AÑO</v>
      </c>
      <c r="MQ126" s="43">
        <f t="shared" si="466"/>
        <v>18.073806395094174</v>
      </c>
      <c r="MR126" s="43">
        <f t="shared" si="467"/>
        <v>0</v>
      </c>
      <c r="MS126" s="43" t="str">
        <f t="shared" si="468"/>
        <v>DE 14 A 19AÑOS</v>
      </c>
      <c r="MT126" s="43">
        <f t="shared" si="469"/>
        <v>0</v>
      </c>
      <c r="MU126" s="43">
        <f t="shared" si="470"/>
        <v>1</v>
      </c>
      <c r="MV126" s="43">
        <f t="shared" si="471"/>
        <v>0</v>
      </c>
      <c r="MW126" s="43">
        <f t="shared" si="472"/>
        <v>0</v>
      </c>
      <c r="MX126" s="43" t="str">
        <f t="shared" si="473"/>
        <v/>
      </c>
      <c r="MY126" s="43" t="str">
        <f t="shared" ca="1" si="495"/>
        <v/>
      </c>
      <c r="MZ126" s="43" t="str">
        <f t="shared" si="474"/>
        <v/>
      </c>
      <c r="NA126" s="43" t="str">
        <f t="shared" si="475"/>
        <v/>
      </c>
      <c r="NB126" s="43" t="str">
        <f t="shared" si="476"/>
        <v/>
      </c>
      <c r="NC126" s="43" t="str">
        <f t="shared" si="477"/>
        <v/>
      </c>
      <c r="ND126" s="43">
        <f t="shared" ca="1" si="478"/>
        <v>1</v>
      </c>
      <c r="NE126" s="43">
        <f>IF(OR(O126&gt;0,R126&gt;0),SUM(COUNTIF(Tabla1[[#This Row],[AÑOS AL INICIO5 CPN]],"&gt;=40"),COUNTIF(AS126,"0"),COUNTIF(AR126,"SI"),COUNTIF(CC126,"SI"),COUNTIF(BQ126,"&gt;119"),COUNTIF(CI126,"&gt;=35")),"")</f>
        <v>0</v>
      </c>
      <c r="NF126" s="43" t="str">
        <f t="shared" si="479"/>
        <v/>
      </c>
      <c r="NG126" s="43">
        <f t="shared" si="480"/>
        <v>0</v>
      </c>
      <c r="NH126" s="43">
        <f t="shared" si="481"/>
        <v>161.70000000000002</v>
      </c>
      <c r="NI1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CPN",P126="NO"),"Z",IF(AND(Tabla1[[#This Row],[CITA PROXIMO CONTROL]]="CITA MANUAL",Tabla1[[#This Row],[GESTANTES ACTUALES]]="ACTIVA INGRESO A CPN"),"W",IF(AND(Tabla1[[#This Row],[GESTANTES ACTUALES]]="SALIO PROGRAMA",IN126=""),"S",IF(AND(Tabla1[[#This Row],[CITA PROXIMO CONTROL]]&gt;0,IN126=""),(Tabla1[[#This Row],[CITA PROXIMO CONTROL]]-TODAY()),"SD"))))))))</f>
        <v>#REF!</v>
      </c>
      <c r="NJ126" s="43">
        <f>MONTH(Tabla1[[#This Row],[FECHA DE SALIDA  DEL PROGRAMA]])</f>
        <v>1</v>
      </c>
      <c r="NK126" s="43">
        <f>YEAR(Tabla1[[#This Row],[FECHA DE SALIDA  DEL PROGRAMA]])</f>
        <v>1900</v>
      </c>
      <c r="NL126" s="43" t="str">
        <f t="shared" si="482"/>
        <v>X</v>
      </c>
      <c r="NM126" s="43" t="str">
        <f t="shared" si="455"/>
        <v>NO</v>
      </c>
      <c r="NN126" s="43" t="str">
        <f ca="1">IF(AND(O126&gt;0,R126=""),"NO CPN",IF(AND(O126="",R126=""),"",IF(AND(R126&gt;0,Tabla1[[#This Row],[SEMANAS DE GESTACION ACTUALIZADAS]]&lt;=12),"NO APLICA",IF(AND(FH126&lt;&gt;"",FN126&lt;&gt;""),"SI","NO"))))</f>
        <v>SI</v>
      </c>
      <c r="NO126" s="43" t="str">
        <f ca="1">IF(AND(O126&gt;0,R126=""),"NO CPN",IF(AND(O126="",R126=""),"",IF(AND(R126&gt;0,Tabla1[[#This Row],[SEMANAS DE GESTACION ACTUALIZADAS]]&lt;=27),"NO APLICA",IF(AND(ES126&lt;&gt;"",FQ126&lt;&gt;"",GF126&lt;&gt;""),"SI","NO"))))</f>
        <v>NO</v>
      </c>
      <c r="NP126" s="204" t="str">
        <f t="shared" si="483"/>
        <v>II TRIM</v>
      </c>
      <c r="NQ126" s="21" t="str">
        <f t="shared" ref="NQ126:NQ141" si="499">IF(AND(IP127&gt;0,IP127&lt;37),10,IF(OR(CD127="Transversa",CD127="Oblicua"),9,IF(CC127="SI",8,IF(AND(AT127=0,AW127=0,CC127="NO",CD127="Cefálica",IP127&gt;=37,IT127="INICIO ESPONTÁNEO"),1,IF(AND(AND(AT127=0,AW127=0,CC127="NO",CD127="Cefálica",IP127&gt;=37),OR(IT127="LE HACEN INDUCCIÓN",IT127="LE HACEN CESÁREA SIN INICIO TRABAJO DE PARTO")),2,IF(AND(AT127&gt;=1,AW127=0,CC127="NO",CD127="Cefálica",IP127&gt;=37,IT127="INICIO ESPONTÁNEO"),3,IF(AND(AND(AT127&gt;=1,AW127=0,CC127="NO",CD127="Cefálica",IP127&gt;=37),OR(IT127="LE HACEN INDUCCIÓN",IT127="LE HACEN CESÁREA SIN INICIO TRABAJO DE PARTO")),4,IF(AND(AND(AT127&gt;=1,AW127&gt;=1,CC127="NO",CD127="Cefálica",IP127&gt;=37),OR(IT127="LE HACEN INDUCCIÓN",IT127="LE HACEN CESÁREA SIN INICIO TRABAJO DE PARTO",IT127="INICIO ESPONTÁNEO")),5,IF(AND(AND(AT127=0,AW127=0,CC127="NO",CD127="Podálica",IP127&gt;=1),OR(IT127="LE HACEN INDUCCIÓN",IT127="LE HACEN CESÁREA SIN INICIO TRABAJO DE PARTO",IT127="INICIO ESPONTÁNEO")),6,IF(AND(AND(AT127&gt;=1,CC127="NO",CD127="Podálica",IP127&gt;=1),OR(IT127="LE HACEN INDUCCIÓN",IT127="LE HACEN CESÁREA SIN INICIO TRABAJO DE PARTO",IT127="INICIO ESPONTÁNEO"),OR(AW127=0,AW127&gt;=1)),7,""))))))))))</f>
        <v/>
      </c>
      <c r="NR126" s="21" t="str">
        <f t="shared" ca="1" si="496"/>
        <v>REVISAR FUM O FECHA SALIDA PROGRAMA</v>
      </c>
      <c r="NS126" s="205">
        <f t="shared" ca="1" si="484"/>
        <v>2</v>
      </c>
      <c r="NT126" s="21">
        <f t="shared" ca="1" si="485"/>
        <v>2</v>
      </c>
      <c r="NU126" s="21" t="str">
        <f t="shared" ca="1" si="486"/>
        <v>POR DEFINIR</v>
      </c>
      <c r="NV126" s="21" t="str">
        <f t="shared" ca="1" si="487"/>
        <v>POR DEFINIR</v>
      </c>
      <c r="NW126" s="206" t="str">
        <f>IF(AND(O126="",R126=""),"",IF(OR(AND(Tabla1[[#This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6" s="207" t="str">
        <f t="shared" ca="1" si="488"/>
        <v>SIN VACUNAR</v>
      </c>
      <c r="NY126" s="43">
        <f>ROW(Tabla1[[#This Row],['# DE TAMIZAJES SIFILIS TOMADOS ]])</f>
        <v>126</v>
      </c>
      <c r="NZ126" s="43">
        <f t="shared" si="333"/>
        <v>12</v>
      </c>
      <c r="OA126" s="43" t="str">
        <f t="shared" si="334"/>
        <v/>
      </c>
      <c r="OB126" s="43" t="str">
        <f t="shared" si="335"/>
        <v/>
      </c>
      <c r="OC126" s="43" t="str">
        <f t="shared" si="336"/>
        <v/>
      </c>
      <c r="OD126" s="43" t="str">
        <f t="shared" si="337"/>
        <v>SOBREPESO</v>
      </c>
      <c r="OE126" s="43" t="str">
        <f t="shared" si="338"/>
        <v/>
      </c>
      <c r="OF126" s="43" t="str">
        <f t="shared" si="339"/>
        <v/>
      </c>
      <c r="OG126" s="43" t="str">
        <f t="shared" si="340"/>
        <v/>
      </c>
      <c r="OH126" s="43" t="str">
        <f t="shared" si="341"/>
        <v/>
      </c>
      <c r="OI126" s="43" t="str">
        <f t="shared" si="342"/>
        <v/>
      </c>
      <c r="OJ126" s="43" t="str">
        <f t="shared" si="343"/>
        <v/>
      </c>
      <c r="OK126" s="43" t="str">
        <f t="shared" si="344"/>
        <v/>
      </c>
      <c r="OL126" s="43" t="str">
        <f t="shared" si="345"/>
        <v/>
      </c>
      <c r="OM126" s="43" t="str">
        <f t="shared" si="346"/>
        <v/>
      </c>
      <c r="ON126" s="43" t="str">
        <f t="shared" si="347"/>
        <v/>
      </c>
      <c r="OO126" s="43" t="str">
        <f t="shared" si="348"/>
        <v/>
      </c>
      <c r="OP126" s="43" t="str">
        <f t="shared" si="349"/>
        <v/>
      </c>
      <c r="OQ126" s="43" t="str">
        <f t="shared" si="350"/>
        <v/>
      </c>
      <c r="OR126" s="43" t="str">
        <f t="shared" si="351"/>
        <v/>
      </c>
      <c r="OS126" s="43" t="str">
        <f t="shared" si="352"/>
        <v/>
      </c>
      <c r="OT126" s="43" t="str">
        <f t="shared" si="353"/>
        <v/>
      </c>
      <c r="OU126" s="43" t="str">
        <f t="shared" si="354"/>
        <v/>
      </c>
      <c r="OV126" s="110" t="str">
        <f t="shared" si="355"/>
        <v/>
      </c>
      <c r="OW126" s="43" t="str">
        <f t="shared" si="356"/>
        <v/>
      </c>
      <c r="OX126" s="43" t="str">
        <f t="shared" si="357"/>
        <v/>
      </c>
      <c r="OY126" s="43" t="str">
        <f t="shared" si="358"/>
        <v/>
      </c>
      <c r="OZ126" s="43" t="str">
        <f t="shared" si="359"/>
        <v/>
      </c>
      <c r="PA126" s="43" t="str">
        <f t="shared" si="360"/>
        <v/>
      </c>
      <c r="PB126" s="43" t="str">
        <f t="shared" si="361"/>
        <v/>
      </c>
      <c r="PC126" s="43" t="str">
        <f t="shared" si="362"/>
        <v/>
      </c>
      <c r="PD126" s="43" t="str">
        <f t="shared" si="363"/>
        <v/>
      </c>
      <c r="PE126" s="43" t="str">
        <f t="shared" si="364"/>
        <v/>
      </c>
      <c r="PF126" s="43" t="str">
        <f t="shared" si="365"/>
        <v/>
      </c>
      <c r="PG126" s="43" t="str">
        <f t="shared" si="366"/>
        <v/>
      </c>
      <c r="PH126" s="43" t="str">
        <f t="shared" si="367"/>
        <v/>
      </c>
      <c r="PI126" s="43">
        <f t="shared" si="368"/>
        <v>31</v>
      </c>
      <c r="PJ126" s="43" t="str">
        <f t="shared" si="369"/>
        <v/>
      </c>
      <c r="PK126" s="43" t="str">
        <f t="shared" si="370"/>
        <v/>
      </c>
      <c r="PL126" s="43" t="str">
        <f t="shared" si="371"/>
        <v/>
      </c>
      <c r="PM126" s="43" t="str">
        <f t="shared" si="372"/>
        <v/>
      </c>
      <c r="PN126" s="43" t="str">
        <f t="shared" si="373"/>
        <v/>
      </c>
      <c r="PO126" s="43" t="str">
        <f t="shared" si="374"/>
        <v/>
      </c>
      <c r="PP126" s="43" t="str">
        <f t="shared" si="375"/>
        <v/>
      </c>
      <c r="PQ126" s="43" t="str">
        <f t="shared" si="376"/>
        <v/>
      </c>
      <c r="PR126" s="43" t="str">
        <f t="shared" si="377"/>
        <v/>
      </c>
      <c r="PS126" s="43" t="str">
        <f t="shared" si="378"/>
        <v/>
      </c>
      <c r="PT126" s="43" t="str">
        <f t="shared" si="379"/>
        <v/>
      </c>
      <c r="PU126" s="43" t="str">
        <f t="shared" si="380"/>
        <v/>
      </c>
      <c r="PV126" s="43" t="str">
        <f t="shared" si="381"/>
        <v/>
      </c>
      <c r="PW126" s="43" t="str">
        <f t="shared" si="382"/>
        <v/>
      </c>
      <c r="PX126" s="43" t="str">
        <f t="shared" si="383"/>
        <v/>
      </c>
      <c r="PY126" s="43" t="str">
        <f t="shared" si="384"/>
        <v/>
      </c>
      <c r="PZ126" s="43" t="str">
        <f t="shared" si="385"/>
        <v/>
      </c>
      <c r="QA126" s="43" t="str">
        <f t="shared" si="386"/>
        <v/>
      </c>
      <c r="QB126" s="43" t="str">
        <f t="shared" si="387"/>
        <v/>
      </c>
      <c r="QC126" s="43" t="str">
        <f t="shared" si="388"/>
        <v/>
      </c>
      <c r="QD126" s="43" t="str">
        <f t="shared" si="389"/>
        <v/>
      </c>
      <c r="QE126" s="43" t="str">
        <f t="shared" si="390"/>
        <v/>
      </c>
      <c r="QF126" s="43" t="str">
        <f t="shared" si="391"/>
        <v>NORMAL</v>
      </c>
      <c r="QG126" s="43" t="str">
        <f t="shared" si="392"/>
        <v/>
      </c>
      <c r="QH126" s="43" t="str">
        <f t="shared" si="393"/>
        <v/>
      </c>
      <c r="QI126" s="43" t="str">
        <f t="shared" si="394"/>
        <v/>
      </c>
      <c r="QJ126" s="43" t="str">
        <f t="shared" si="395"/>
        <v/>
      </c>
      <c r="QK126" s="43" t="str">
        <f t="shared" si="396"/>
        <v/>
      </c>
      <c r="QL126" s="43" t="str">
        <f t="shared" si="397"/>
        <v/>
      </c>
      <c r="QM126" s="43" t="str">
        <f t="shared" si="398"/>
        <v/>
      </c>
      <c r="QN126" s="43" t="str">
        <f t="shared" si="399"/>
        <v/>
      </c>
      <c r="QO126" s="43" t="str">
        <f t="shared" si="400"/>
        <v/>
      </c>
      <c r="QP126" s="43" t="str">
        <f t="shared" si="401"/>
        <v/>
      </c>
      <c r="QQ126" s="43" t="str">
        <f t="shared" si="402"/>
        <v/>
      </c>
      <c r="QR126" s="43">
        <f t="shared" si="432"/>
        <v>31</v>
      </c>
      <c r="QS126" s="43"/>
      <c r="QT126" s="21" t="str">
        <f t="shared" si="403"/>
        <v/>
      </c>
      <c r="QU126" s="21" t="str">
        <f t="shared" si="404"/>
        <v/>
      </c>
      <c r="QV126" s="21" t="str">
        <f t="shared" si="405"/>
        <v/>
      </c>
      <c r="QW126" s="21" t="str">
        <f t="shared" si="406"/>
        <v/>
      </c>
      <c r="QX126" s="21" t="str">
        <f t="shared" si="407"/>
        <v/>
      </c>
      <c r="QY126" s="21" t="str">
        <f t="shared" si="408"/>
        <v/>
      </c>
      <c r="QZ126" s="21" t="str">
        <f t="shared" si="409"/>
        <v/>
      </c>
      <c r="RA126" s="21" t="str">
        <f t="shared" si="410"/>
        <v/>
      </c>
      <c r="RB126" s="21" t="str">
        <f t="shared" si="411"/>
        <v/>
      </c>
      <c r="RC126" s="21" t="str">
        <f t="shared" si="412"/>
        <v/>
      </c>
      <c r="RD126" s="21" t="str">
        <f t="shared" si="413"/>
        <v/>
      </c>
      <c r="RE126" s="21" t="str">
        <f t="shared" si="414"/>
        <v/>
      </c>
      <c r="RF126" s="21" t="str">
        <f t="shared" si="415"/>
        <v/>
      </c>
      <c r="RG126" s="21" t="str">
        <f t="shared" si="416"/>
        <v/>
      </c>
      <c r="RH126" s="21" t="str">
        <f t="shared" si="417"/>
        <v/>
      </c>
      <c r="RI126" s="21" t="str">
        <f t="shared" si="418"/>
        <v/>
      </c>
      <c r="RJ126" s="21" t="str">
        <f t="shared" si="419"/>
        <v/>
      </c>
      <c r="RK126" s="21" t="str">
        <f t="shared" si="420"/>
        <v/>
      </c>
      <c r="RL126" s="21" t="str">
        <f t="shared" si="421"/>
        <v>ALTO PARA EDAD GESTACIONAL</v>
      </c>
      <c r="RM126" s="21" t="str">
        <f t="shared" si="422"/>
        <v/>
      </c>
      <c r="RN126" s="21" t="str">
        <f t="shared" si="423"/>
        <v/>
      </c>
      <c r="RO126" s="21" t="str">
        <f t="shared" si="424"/>
        <v/>
      </c>
      <c r="RP126" s="21" t="str">
        <f t="shared" si="425"/>
        <v/>
      </c>
      <c r="RQ126" s="21" t="str">
        <f t="shared" si="426"/>
        <v/>
      </c>
      <c r="RR126" s="21" t="str">
        <f t="shared" si="427"/>
        <v/>
      </c>
      <c r="RS126" s="21" t="str">
        <f t="shared" si="428"/>
        <v/>
      </c>
      <c r="RT126" s="21" t="str">
        <f t="shared" si="429"/>
        <v/>
      </c>
      <c r="RU126" s="21" t="str">
        <f t="shared" si="430"/>
        <v/>
      </c>
      <c r="RV126" s="21">
        <f t="shared" si="431"/>
        <v>18.857142857142858</v>
      </c>
      <c r="RW126" s="284">
        <f>IF(OR(Tabla1[[#This Row],[FUM FORMULA CONFIABLE]]="",Tabla1[[#This Row],[FUM FORMULA CONFIABLE]]="SD"),"",IF(Tabla1[[#This Row],[FUM FORMULA CONFIABLE]]="CORREGIDA",Tabla1[[#This Row],[FUM X ECO 1]],Tabla1[[#This Row],[FUM x AMENORREA]]))</f>
        <v>44903</v>
      </c>
      <c r="RX126" s="21">
        <f>IF(AND(Tabla1[[#This Row],[FUM X ECO 1]]="",Tabla1[[#This Row],[FUM x AMENORREA]]=""),"",IF(AND(Tabla1[[#This Row],[FUM X ECO 1]]="",Tabla1[[#This Row],[FUM x AMENORREA]]&lt;&gt;""),"X",SUM(Tabla1[[#This Row],[FUM X ECO 1]]-Tabla1[[#This Row],[FUM x AMENORREA]])))</f>
        <v>0.30000000000291038</v>
      </c>
      <c r="RY126" s="21">
        <f t="shared" si="433"/>
        <v>0</v>
      </c>
    </row>
    <row r="127" spans="1:493" ht="45" customHeight="1" x14ac:dyDescent="0.25">
      <c r="A127" s="109"/>
      <c r="B127" s="43"/>
      <c r="C127" s="43" t="s">
        <v>845</v>
      </c>
      <c r="D127" s="124"/>
      <c r="E127" s="43" t="s">
        <v>943</v>
      </c>
      <c r="F127" s="43" t="s">
        <v>1025</v>
      </c>
      <c r="G127" s="43" t="s">
        <v>1657</v>
      </c>
      <c r="H127" s="43"/>
      <c r="I127" s="109" t="s">
        <v>851</v>
      </c>
      <c r="J127" s="110">
        <v>1059594597</v>
      </c>
      <c r="K127" s="43" t="s">
        <v>852</v>
      </c>
      <c r="L127" s="175" t="s">
        <v>853</v>
      </c>
      <c r="M127" s="22">
        <v>37622</v>
      </c>
      <c r="N127" s="213">
        <f t="shared" ca="1" si="252"/>
        <v>20.852054794520548</v>
      </c>
      <c r="O127" s="22">
        <v>44894</v>
      </c>
      <c r="P127" s="214" t="str">
        <f t="shared" si="437"/>
        <v>SI</v>
      </c>
      <c r="Q127" s="26" t="s">
        <v>855</v>
      </c>
      <c r="R127" s="22">
        <v>44894</v>
      </c>
      <c r="S127" s="21" t="s">
        <v>856</v>
      </c>
      <c r="T127" s="24" t="s">
        <v>690</v>
      </c>
      <c r="U127" s="21" t="s">
        <v>857</v>
      </c>
      <c r="V127" s="21" t="s">
        <v>858</v>
      </c>
      <c r="W127" s="21" t="s">
        <v>1062</v>
      </c>
      <c r="X127" s="21"/>
      <c r="Y127" s="21"/>
      <c r="Z127" s="21">
        <v>3105161144</v>
      </c>
      <c r="AA127" s="21" t="s">
        <v>860</v>
      </c>
      <c r="AB127" s="27" t="s">
        <v>861</v>
      </c>
      <c r="AC127" s="26" t="s">
        <v>846</v>
      </c>
      <c r="AD127" s="21" t="s">
        <v>1546</v>
      </c>
      <c r="AE127" s="26" t="s">
        <v>854</v>
      </c>
      <c r="AF127" s="26" t="s">
        <v>854</v>
      </c>
      <c r="AG127" s="23" t="s">
        <v>864</v>
      </c>
      <c r="AH127" s="23" t="s">
        <v>864</v>
      </c>
      <c r="AI127" s="24" t="s">
        <v>863</v>
      </c>
      <c r="AJ127" s="23" t="s">
        <v>864</v>
      </c>
      <c r="AK127" s="220" t="str">
        <f>IF(AND(AD127="",AE127="",AF127="",AG127="",AH127="",AI127="",AJ127=""),"",IF(OR(Tabla1[[#This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EVALUACIÓN",IF(AND(O127="",R127=""),"",IF(AND(OR(O127&gt;0,R127&gt;0),NG127&gt;=0,NG127&lt;2),"SIN RIESGO",IF(AND(OR(O127&gt;0,R127&gt;0),NG127&gt;=2),"CON RIESGO","ASD")))))</f>
        <v>SIN RIESGO</v>
      </c>
      <c r="AL127" s="23" t="s">
        <v>864</v>
      </c>
      <c r="AM127" s="26" t="s">
        <v>864</v>
      </c>
      <c r="AN127" s="26" t="s">
        <v>864</v>
      </c>
      <c r="AO127" s="26" t="s">
        <v>864</v>
      </c>
      <c r="AP127" s="26" t="s">
        <v>864</v>
      </c>
      <c r="AQ127" s="26" t="s">
        <v>864</v>
      </c>
      <c r="AR127" s="26" t="s">
        <v>864</v>
      </c>
      <c r="AS127" s="21">
        <v>0</v>
      </c>
      <c r="AT127" s="21">
        <v>0</v>
      </c>
      <c r="AU127" s="21">
        <v>0</v>
      </c>
      <c r="AV127" s="26" t="s">
        <v>864</v>
      </c>
      <c r="AW127" s="21">
        <v>0</v>
      </c>
      <c r="AX127" s="26" t="s">
        <v>864</v>
      </c>
      <c r="AY127" s="26" t="s">
        <v>864</v>
      </c>
      <c r="AZ127" s="26" t="s">
        <v>864</v>
      </c>
      <c r="BA127" s="26" t="s">
        <v>864</v>
      </c>
      <c r="BB127" s="26" t="s">
        <v>864</v>
      </c>
      <c r="BC127" s="26" t="s">
        <v>864</v>
      </c>
      <c r="BD127" s="26" t="s">
        <v>864</v>
      </c>
      <c r="BE127" s="26" t="s">
        <v>864</v>
      </c>
      <c r="BF127" s="26" t="s">
        <v>864</v>
      </c>
      <c r="BG127" s="26" t="s">
        <v>864</v>
      </c>
      <c r="BH127" s="26" t="s">
        <v>864</v>
      </c>
      <c r="BI127" s="26" t="s">
        <v>864</v>
      </c>
      <c r="BJ127" s="26" t="s">
        <v>864</v>
      </c>
      <c r="BK127" s="26" t="s">
        <v>864</v>
      </c>
      <c r="BL127" s="26" t="s">
        <v>864</v>
      </c>
      <c r="BM127" s="26" t="s">
        <v>864</v>
      </c>
      <c r="BN127" s="22"/>
      <c r="BO127" s="22">
        <v>44743</v>
      </c>
      <c r="BP127" s="21" t="s">
        <v>854</v>
      </c>
      <c r="BQ127" s="222">
        <f t="shared" si="254"/>
        <v>0</v>
      </c>
      <c r="BR127" s="223">
        <f t="shared" si="255"/>
        <v>44751</v>
      </c>
      <c r="BS127" s="224">
        <f t="shared" si="256"/>
        <v>21.571428571428573</v>
      </c>
      <c r="BT127" s="216" t="str">
        <f t="shared" si="257"/>
        <v>II TRIM</v>
      </c>
      <c r="BU127" s="214" t="str">
        <f t="shared" ca="1" si="258"/>
        <v/>
      </c>
      <c r="BV127" s="25"/>
      <c r="BW127" s="22">
        <v>44898</v>
      </c>
      <c r="BX127" s="28">
        <v>21</v>
      </c>
      <c r="BY127" s="28"/>
      <c r="BZ127" s="22">
        <v>44995</v>
      </c>
      <c r="CA127" s="21">
        <v>35.299999999999997</v>
      </c>
      <c r="CB127" s="26" t="s">
        <v>864</v>
      </c>
      <c r="CC127" s="26" t="s">
        <v>864</v>
      </c>
      <c r="CD127" s="26"/>
      <c r="CE127" s="26"/>
      <c r="CF127" s="22" t="s">
        <v>1517</v>
      </c>
      <c r="CG127" s="21">
        <v>1.51</v>
      </c>
      <c r="CH127" s="21">
        <v>60</v>
      </c>
      <c r="CI127" s="214">
        <f t="shared" si="259"/>
        <v>26.314635323012148</v>
      </c>
      <c r="CJ127" s="225" t="e">
        <f>IF(AND(CI127&lt;10,CH127="SD"),"SIN DATO PESO PREGESTACION O I TRIM",IF(AND(OR(R127&gt;0,O127&gt;0),CI127="X"),"INGRESAR DATO DE PESO",IF(CI127="SD","INGRESAR DATO DE TALLA Y PESO",IF(AND(OR(Tabla1[[#This Row],[MOMENTO EN QUE SE REALIZA EL PESO AL INGRESO A CPN]]="PREGESTACIÓN",NZ127="Menor"),CI127&lt;18.5),"BAJO PESO",IF(AND(OR(Tabla1[[#This Row],[MOMENTO EN QUE SE REALIZA EL PESO AL INGRESO A CPN]]="PREGESTACIÓN",NZ127="Menor"),CI127&lt;25),"NORMAL",IF(AND(OR(Tabla1[[#This Row],[MOMENTO EN QUE SE REALIZA EL PESO AL INGRESO A CPN]]="PREGESTACIÓN",NZ127="Menor"),CI127&lt;30),"SOBREPESO",IF(AND(OR(Tabla1[[#This Row],[MOMENTO EN QUE SE REALIZA EL PESO AL INGRESO A CPN]]="PREGESTACIÓN",NZ127="Menor"),CI127&gt;=30,CI127&lt;50),"OBESIDAD",IF(AND(BS127&gt;0,Tabla1[[#This Row],[MOMENTO EN QUE SE REALIZA EL PESO AL INGRESO A CPN]]="GESTACIÓN"),HLOOKUP(NZ127,$OA$2:PH127,NY127),""))))))))</f>
        <v>#REF!</v>
      </c>
      <c r="CK127" s="212">
        <f t="shared" si="260"/>
        <v>44977</v>
      </c>
      <c r="CL127" s="21"/>
      <c r="CM127" s="214">
        <f t="shared" si="261"/>
        <v>0</v>
      </c>
      <c r="CN127" s="216">
        <f t="shared" si="262"/>
        <v>33</v>
      </c>
      <c r="CO127" s="216" t="e">
        <f>IF(PI127="","",IF(PI127&gt;0,HLOOKUP(PI127,$PJ$2:QQ127,NY127),""))</f>
        <v>#REF!</v>
      </c>
      <c r="CP127" s="21"/>
      <c r="CQ127" s="216" t="e">
        <f>IF(QR127="Menor","NO APLICA-MENOR 13 SEM",IF(AND(CC127="SI",CN127&gt;23),"NO APLICA- GEMELAR",IF(QR127="","",IF(QR127&gt;0,HLOOKUP(QR127,$QS$2:RU127,NY127),""))))</f>
        <v>#REF!</v>
      </c>
      <c r="CR127" s="21"/>
      <c r="CS127" s="21"/>
      <c r="CT127" s="217" t="str">
        <f>IF(R127="","",IF(AND(BS127&gt;1,BS127&lt;12,Tabla1[[#This Row],[T.A. SISTOLICA - ANTES DE SEMANA 12]]="",Tabla1[[#This Row],[T.A. DIASTOLICA - ANTES DE SEMANA 12]]=""),"REGISTRE DATO TA ANTES SEMANA 12",IF(AND(BS127&gt;11,BS127&lt;43,Tabla1[[#This Row],[T.A. SISTOLICA - ANTES DE SEMANA 12]]="",Tabla1[[#This Row],[T.A. DIASTOLICA - ANTES DE SEMANA 12]]=""),"NO APLICA REGISTRO TA-INGRESO TARDIO",IF(AND(OR(O127&gt;0,R127&gt;0),OR(CR127&gt;=140,CS127&gt;=90)),"DEFINIR ESTADIO HTA",IF(AND(OR(O127&gt;0,R127&gt;0),AND(CR127&gt;120,CR127&lt;=139)),"PRE HTA SEGUIMIENTO",IF(AND(OR(O127&gt;0,R127&gt;0),AND(CS127&gt;80,CS127&lt;=89)),"PRE HTA SEGUIMIENTO",IF(AND(OR(O127&gt;0,R127&gt;0),AND(CR127&gt;=80,CR127&lt;=120)),"APARENTEMENTE NORMAL",IF(AND(OR(O127&gt;0,R127&gt;0),AND(CS127&gt;=50,CS127&lt;=80)),"APARENTEMENTE NORMAL",IF(AND(OR(O127&gt;0,R127&gt;0),AND(CR127&gt;1,CR127&lt;=70),AND(CS127&gt;1,CS127&lt;=40)),"HIPOTENSIÓN","")))))))))</f>
        <v>NO APLICA REGISTRO TA-INGRESO TARDIO</v>
      </c>
      <c r="CU127" s="21"/>
      <c r="CV127" s="21"/>
      <c r="CW127" s="217" t="str">
        <f ca="1">IF(R127="","",IF(AND(CN127&gt;19,CN127&lt;27,Tabla1[[#This Row],[T.A. SISTOLICA (Entre semana 20 y 26)]]="",Tabla1[[#This Row],[T.A. DIATOLICA (Entre semana 20 y 26)]]=""),"ACUDE A CONTROL SEM 20 A 26 REGISTRE TA AHORA",IF(AND(BS127&gt;1,BS127&lt;27,BU127&gt;19,Tabla1[[#This Row],[T.A. SISTOLICA (Entre semana 20 y 26)]]="",Tabla1[[#This Row],[T.A. DIATOLICA (Entre semana 20 y 26)]]=""),"COMPLETE REGISTRO TA CONTROL SEM 20 A26 ",IF(AND(BS127&gt;26,BS127&lt;43,Tabla1[[#This Row],[T.A. SISTOLICA (Entre semana 20 y 26)]]="",Tabla1[[#This Row],[T.A. DIATOLICA (Entre semana 20 y 26)]]=""),"NO APLICA REGISTRO TA-INGRESO TARDIO",IF(AND(OR(O127&gt;0,R127&gt;0),OR(CU127&gt;=140,CV127&gt;=90)),"ALTO RIESGO PREECLAMPSIA,DEFINIR ESTADIO HTA",IF(AND(OR(O127&gt;0,R127&gt;0),AND(CU127&gt;120,CU127&lt;=139)),"PRE HTA SEGUIMIENTO,RIESGO HIPERTENSION INDUCIDA POR EL EMBARAZO",IF(AND(OR(O127&gt;0,R127&gt;0),AND(CV127&gt;80,CV127&lt;=89)),"PRE HTA SEGUIMIENTO, RIESGO HIPERTENSION INDUCIDA POR EL EMBARAZO",IF(AND(OR(O127&lt;&gt;"",R127&lt;&gt;""),CS127&lt;&gt;"",CV127&lt;&gt;"",CS127&lt;=CV127),"VIGILAR CIFRAS PRESION ARTERIAL",IF(AND(OR(O127&gt;0,R127&gt;0),AND(CU127&gt;120,CU127&lt;=139)),"PRE HTA SEGUIMIENTO",IF(AND(OR(O127&gt;0,R127&gt;0),AND(CU127&gt;1,CU127&lt;=70),AND(CV127&gt;1,CV127&lt;=40)),"HIPOTENSIÓN",IF(AND(OR(O127&lt;&gt;"",R127&lt;&gt;""),CS127&lt;&gt;"",CV127&lt;&gt;"",CS127&gt;CV127),"APARENTEMENTE NORMAL",IF(AND(OR(O127&gt;0,R127&gt;0),AND(CU127&gt;=80,CU127&lt;=120)),"APARENTEMENTE NORMAL",IF(AND(OR(O127&gt;0,R127&gt;0),AND(CV127&gt;=50,CV127&lt;=80)),"APARENTEMENTE NORMAL","")))))))))))))</f>
        <v xml:space="preserve">COMPLETE REGISTRO TA CONTROL SEM 20 A26 </v>
      </c>
      <c r="CX127" s="21"/>
      <c r="CY127" s="21"/>
      <c r="CZ127" s="216" t="str">
        <f t="shared" si="498"/>
        <v>ACUDE A CONTROL SEM 30 A 34- REGISTRE AHORA</v>
      </c>
      <c r="DA127" s="21"/>
      <c r="DB127" s="21"/>
      <c r="DC127" s="217" t="str">
        <f t="shared" si="264"/>
        <v>REGISTRE DATO PRESIÓN ARTERIAL MENSUAL</v>
      </c>
      <c r="DD127" s="22">
        <v>44894</v>
      </c>
      <c r="DE127" s="22">
        <v>44894</v>
      </c>
      <c r="DF127" s="22">
        <v>44977</v>
      </c>
      <c r="DG127" s="22"/>
      <c r="DH127" s="22"/>
      <c r="DI127" s="22"/>
      <c r="DJ127" s="22"/>
      <c r="DK127" s="22"/>
      <c r="DL127" s="22"/>
      <c r="DM127" s="22"/>
      <c r="DN127" s="22"/>
      <c r="DO127" s="22"/>
      <c r="DP127" s="22"/>
      <c r="DQ127" s="22"/>
      <c r="DR127" s="28"/>
      <c r="DS127" s="22"/>
      <c r="DT127" s="22"/>
      <c r="DU127" s="216" t="str">
        <f t="shared" ca="1" si="438"/>
        <v>SALE SIN PLAN DE PARTO</v>
      </c>
      <c r="DV127" s="226" t="str">
        <f t="shared" si="439"/>
        <v>SALIO PROGRAMA</v>
      </c>
      <c r="DW12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27" s="216" t="str">
        <f t="shared" ca="1" si="266"/>
        <v/>
      </c>
      <c r="DY127" s="212">
        <f>IF(R127="","",IF(R127&gt;0,MAX(Tabla1[[#This Row],[FECHA C2]:[FECHA C13]],Tabla1[[#This Row],[FECHA CONSULTA PRIMERA VEZ PROGRAMA CPN ]])))</f>
        <v>44977</v>
      </c>
      <c r="DZ127" s="216">
        <f t="shared" si="267"/>
        <v>33</v>
      </c>
      <c r="EA127" s="222">
        <f>IF(R127&gt;0,SUM(COUNTA(DF127:DQ127)+COUNTA(Tabla1[[#This Row],[FECHA CONSULTA PRIMERA VEZ PROGRAMA CPN ]])),"")</f>
        <v>2</v>
      </c>
      <c r="EB127" s="222" t="str">
        <f t="shared" si="268"/>
        <v>NO</v>
      </c>
      <c r="EC127" s="214">
        <f t="shared" si="269"/>
        <v>6</v>
      </c>
      <c r="ED127" s="227">
        <f t="shared" si="270"/>
        <v>0.33333333333333331</v>
      </c>
      <c r="EE127" s="22"/>
      <c r="EF127" s="22"/>
      <c r="EG127" s="22"/>
      <c r="EH127" s="22"/>
      <c r="EI127" s="22"/>
      <c r="EJ127" s="22"/>
      <c r="EK127" s="22"/>
      <c r="EL127" s="21"/>
      <c r="EM127" s="21"/>
      <c r="EN127" s="22"/>
      <c r="EO127" s="222" t="str">
        <f t="shared" si="271"/>
        <v>TOMAR EXAMEN</v>
      </c>
      <c r="EP127" s="214" t="str">
        <f t="shared" si="272"/>
        <v/>
      </c>
      <c r="EQ127" s="216" t="str">
        <f t="shared" si="273"/>
        <v>POR DEFINIR</v>
      </c>
      <c r="ER127" s="24"/>
      <c r="ES127" s="22"/>
      <c r="ET127" s="29" t="str">
        <f t="shared" ca="1" si="440"/>
        <v>SALE SIN TAMIZAJE HEMOGLOBINA SEM 28</v>
      </c>
      <c r="EU127" s="25" t="str">
        <f t="shared" si="275"/>
        <v/>
      </c>
      <c r="EV127" s="24"/>
      <c r="EW127" s="24"/>
      <c r="EX127" s="22"/>
      <c r="EY127" s="29" t="str">
        <f t="shared" si="453"/>
        <v>TOMAR EXAMEN</v>
      </c>
      <c r="EZ127" s="25" t="str">
        <f t="shared" ca="1" si="454"/>
        <v/>
      </c>
      <c r="FA127" s="21"/>
      <c r="FB127" s="22"/>
      <c r="FC127" s="29" t="str">
        <f t="shared" si="276"/>
        <v>TOMAR EXAMEN</v>
      </c>
      <c r="FD127" s="29"/>
      <c r="FE127" s="29"/>
      <c r="FF127" s="29"/>
      <c r="FG127" s="21" t="str">
        <f t="shared" ca="1" si="277"/>
        <v/>
      </c>
      <c r="FH127" s="31"/>
      <c r="FI127" s="29" t="str">
        <f t="shared" si="278"/>
        <v>TOMAR EXAMEN</v>
      </c>
      <c r="FJ127" s="22"/>
      <c r="FK127" s="22"/>
      <c r="FL127" s="29" t="str">
        <f t="shared" ca="1" si="279"/>
        <v>NO APLICA-INGRESO TARDIO</v>
      </c>
      <c r="FM127" s="22"/>
      <c r="FN127" s="32"/>
      <c r="FO127" s="29" t="str">
        <f t="shared" ca="1" si="441"/>
        <v>PIERDE TOMA DE TAMIZAJE</v>
      </c>
      <c r="FP127" s="22"/>
      <c r="FQ127" s="32"/>
      <c r="FR127" s="29" t="str">
        <f t="shared" ca="1" si="442"/>
        <v>PIERDE TOMA DE TAMIZAJE</v>
      </c>
      <c r="FS127" s="22"/>
      <c r="FT127" s="32"/>
      <c r="FU127" s="29" t="str">
        <f>IF(AND(FJ127="",FM127="",FP127="",FS127=""),"",IF(OR(OR(Tabla1[[#This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7" s="28"/>
      <c r="FW127" s="22"/>
      <c r="FX127" s="29" t="str">
        <f t="shared" si="280"/>
        <v>TOMAR EXAMEN</v>
      </c>
      <c r="FY127" s="22"/>
      <c r="FZ127" s="22"/>
      <c r="GA127" s="29" t="str">
        <f t="shared" ca="1" si="497"/>
        <v>NO APLICA-INGRESO TARDIO</v>
      </c>
      <c r="GB127" s="22"/>
      <c r="GC127" s="22"/>
      <c r="GD127" s="29" t="str">
        <f t="shared" ca="1" si="490"/>
        <v>PIERDE TOMA DE TAMIZAJE</v>
      </c>
      <c r="GE127" s="22"/>
      <c r="GF127" s="22"/>
      <c r="GG127" s="29" t="str">
        <f t="shared" ca="1" si="444"/>
        <v>PIERDE TOMA DE TAMIZAJE</v>
      </c>
      <c r="GH127" s="22"/>
      <c r="GI127" s="29"/>
      <c r="GJ127" s="22"/>
      <c r="GK127" s="22"/>
      <c r="GL127" s="22"/>
      <c r="GM127" s="22"/>
      <c r="GN127" s="28"/>
      <c r="GO127" s="22"/>
      <c r="GP127" s="29" t="str">
        <f t="shared" si="283"/>
        <v>TOMAR EXAMEN</v>
      </c>
      <c r="GQ127" s="28"/>
      <c r="GR127" s="28"/>
      <c r="GS127" s="22" t="str">
        <f t="shared" si="457"/>
        <v/>
      </c>
      <c r="GT127" s="22"/>
      <c r="GU127" s="29" t="str">
        <f t="shared" si="285"/>
        <v>TOMAR EXAMEN</v>
      </c>
      <c r="GV127" s="21" t="str">
        <f t="shared" si="286"/>
        <v>POR DEFINIR</v>
      </c>
      <c r="GW127" s="28"/>
      <c r="GX127" s="30"/>
      <c r="GY127" s="21"/>
      <c r="GZ127" s="21"/>
      <c r="HA127" s="21"/>
      <c r="HB127" s="21"/>
      <c r="HC127" s="21"/>
      <c r="HD127" s="21"/>
      <c r="HE127" s="21"/>
      <c r="HF127" s="22"/>
      <c r="HG127" s="22" t="str">
        <f>IF(OR(O127&gt;0,R127&gt;0),CONCATENATE(IF(Tabla1[[#This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7" s="22" t="e">
        <f t="shared" si="287"/>
        <v>#REF!</v>
      </c>
      <c r="HI127" s="22" t="e">
        <f t="shared" ca="1" si="288"/>
        <v>#REF!</v>
      </c>
      <c r="HJ127" s="21"/>
      <c r="HK127" s="21" t="str">
        <f t="shared" si="289"/>
        <v>SIN ANTECEDENTES DE RIESGO</v>
      </c>
      <c r="HL127" s="24" t="str">
        <f t="shared" si="290"/>
        <v>REGISTRE DATO PRESIÓN ARTERIAL MENSUAL</v>
      </c>
      <c r="HM127" s="21" t="str">
        <f t="shared" ca="1" si="291"/>
        <v/>
      </c>
      <c r="HN127" s="30" t="str">
        <f t="shared" si="445"/>
        <v>SALIO PROGRAMA</v>
      </c>
      <c r="HO127" s="21"/>
      <c r="HP127" s="21"/>
      <c r="HQ127" s="21"/>
      <c r="HR127" s="21" t="str">
        <f>IF(R127="","",IF(Tabla1[[#This Row],[ALARMA FACTORES DE RIESGO COMPLICACIONES HIPERTENSIVAS3]]="SIN ANTECEDENTES DE RIESGO","No Aplica para suministro de ASA",IF(AND(Tabla1[[#This Row],[FECHA INICIO DE SUMINISTRO DE ASA]]&gt;0,RV127&lt;12),"Inicia ASA ANTES de Sem 12",IF(AND(RV127&gt;11,RV127&lt;17,OR(HK127="RIESGO ALTO DE COMPLICACIONES HIPERTENSIVAS VER MANEJO GUIA SUMINISTRO ASA Y CALCIO",HK127="RIESGO MODERADO (2 O MAS CRITERIOS) VER MANEJO GUIA SUMINISTRO ASA Y CALCIO")),"Inicio oportuno de ASA",IF(AND(RV127&gt;12,OR(HK127="RIESGO ALTO DE COMPLICACIONES HIPERTENSIVAS VER MANEJO GUIA SUMINISTRO ASA Y CALCIO",HK127="RIESGO MODERADO (2 O MAS CRITERIOS) VER MANEJO GUIA SUMINISTRO ASA Y CALCIO")),"Inicio no oportuno mayor a 16 semanas",IF(AND(BU127&lt;12,OR(HK127="RIESGO ALTO DE COMPLICACIONES HIPERTENSIVAS VER MANEJO GUIA SUMINISTRO ASA Y CALCIO",HK127="RIESGO MODERADO (2 O MAS CRITERIOS) VER MANEJO GUIA SUMINISTRO ASA Y CALCIO")),"Pendiente Inicio de ASA a la semana 12",IF(AND(BU127&gt;11,BU127&lt;17,OR(HK127="RIESGO ALTO DE COMPLICACIONES HIPERTENSIVAS VER MANEJO GUIA SUMINISTRO ASA Y CALCIO",HK127="RIESGO MODERADO (2 O MAS CRITERIOS) VER MANEJO GUIA SUMINISTRO ASA Y CALCIO")),"Iniciar de inmediato ASA",IF(AND(BU127&gt;16,OR(HK127="RIESGO ALTO DE COMPLICACIONES HIPERTENSIVAS VER MANEJO GUIA SUMINISTRO ASA Y CALCIO",HK127="RIESGO MODERADO (2 O MAS CRITERIOS) VER MANEJO GUIA SUMINISTRO ASA Y CALCIO")),"Pierde Oportunidad, Inicio tardío de ASA","XXXXX"))))))))</f>
        <v>No Aplica para suministro de ASA</v>
      </c>
      <c r="HS127" s="22"/>
      <c r="HT127" s="22"/>
      <c r="HU127" s="22"/>
      <c r="HV127" s="22"/>
      <c r="HW127" s="22"/>
      <c r="HX127" s="22"/>
      <c r="HY127" s="22"/>
      <c r="HZ127" s="28" t="str">
        <f t="shared" si="292"/>
        <v>PENDIENTE CONSULTA</v>
      </c>
      <c r="IA127" s="26"/>
      <c r="IB127" s="26"/>
      <c r="IC127" s="111"/>
      <c r="ID127" s="22">
        <v>44898</v>
      </c>
      <c r="IE127" s="22" t="str">
        <f t="shared" ca="1" si="293"/>
        <v>VACUNA APLICADA ENTRE SEMANA 20 Y SEMANA 26</v>
      </c>
      <c r="IF127" s="22"/>
      <c r="IG127" s="22">
        <f t="shared" si="294"/>
        <v>45023</v>
      </c>
      <c r="IH127" s="29">
        <f t="shared" ca="1" si="295"/>
        <v>-210</v>
      </c>
      <c r="II127" s="22" t="str">
        <f t="shared" ca="1" si="296"/>
        <v>POSIBLEMENTE NACIO</v>
      </c>
      <c r="IJ127" s="22"/>
      <c r="IK127" s="21" t="s">
        <v>898</v>
      </c>
      <c r="IL127" s="21"/>
      <c r="IM127" s="34"/>
      <c r="IN127" s="349">
        <v>45015</v>
      </c>
      <c r="IO127" s="21" t="s">
        <v>1640</v>
      </c>
      <c r="IP127" s="29">
        <f t="shared" si="489"/>
        <v>38.857142857142854</v>
      </c>
      <c r="IQ127" s="35"/>
      <c r="IR127" s="21" t="s">
        <v>879</v>
      </c>
      <c r="IS127" s="21" t="s">
        <v>1641</v>
      </c>
      <c r="IT127" s="21" t="s">
        <v>1642</v>
      </c>
      <c r="IU127" s="21"/>
      <c r="IV127" s="21"/>
      <c r="IW127" s="21"/>
      <c r="IX127" s="21"/>
      <c r="IY127" s="21"/>
      <c r="IZ127" s="21"/>
      <c r="JA127" s="21"/>
      <c r="JB127" s="30">
        <v>1</v>
      </c>
      <c r="JC127" s="21" t="s">
        <v>1643</v>
      </c>
      <c r="JD127" s="36">
        <v>2630</v>
      </c>
      <c r="JE127" s="21" t="str">
        <f t="shared" si="491"/>
        <v>PESO ADECUADO EDAD GESTACIONAL</v>
      </c>
      <c r="JF127" s="30"/>
      <c r="JG127" s="21"/>
      <c r="JH127" s="21"/>
      <c r="JI127" s="21"/>
      <c r="JJ127" s="30"/>
      <c r="JK127" s="22"/>
      <c r="JL127" s="22"/>
      <c r="JM127" s="21"/>
      <c r="JN127" s="36"/>
      <c r="JO127" s="21" t="str">
        <f t="shared" si="492"/>
        <v/>
      </c>
      <c r="JP127" s="22"/>
      <c r="JQ127" s="21"/>
      <c r="JR127" s="21"/>
      <c r="JS127" s="21"/>
      <c r="JT127" s="30"/>
      <c r="JU127" s="22"/>
      <c r="JV127" s="22"/>
      <c r="JW127" s="33"/>
      <c r="JX127" s="28" t="str">
        <f t="shared" si="493"/>
        <v>INASISTENTE</v>
      </c>
      <c r="JY127" s="33"/>
      <c r="JZ127" s="28" t="str">
        <f t="shared" si="494"/>
        <v>INASISTENTE</v>
      </c>
      <c r="KA127" s="21"/>
      <c r="KB127" s="21"/>
      <c r="KC127" s="21"/>
      <c r="KD127" s="37"/>
      <c r="KE127" s="28"/>
      <c r="KF127" s="28"/>
      <c r="KG127" s="28"/>
      <c r="KH127" s="39"/>
      <c r="KI127" s="39"/>
      <c r="KJ127" s="66"/>
      <c r="KK127" s="39"/>
      <c r="KL127" s="39"/>
      <c r="KM127" s="66"/>
      <c r="KN127" s="39"/>
      <c r="KO127" s="39"/>
      <c r="KP127" s="39"/>
      <c r="KQ127" s="39"/>
      <c r="KR127" s="39"/>
      <c r="KS127" s="39"/>
      <c r="KT127" s="39"/>
      <c r="KU127" s="38"/>
      <c r="KV127" s="38"/>
      <c r="KW127" s="38"/>
      <c r="KX127" s="38"/>
      <c r="KY127" s="38"/>
      <c r="KZ127" s="38"/>
      <c r="LA127" s="38"/>
      <c r="LB127" s="38"/>
      <c r="LC127" s="38"/>
      <c r="LD127" s="38"/>
      <c r="LE127" s="38"/>
      <c r="LF127" s="38"/>
      <c r="LG127" s="38"/>
      <c r="LH127" s="38"/>
      <c r="LI127" s="38"/>
      <c r="LJ127" s="38"/>
      <c r="LK127" s="38"/>
      <c r="LL127" s="38"/>
      <c r="LM127" s="38"/>
      <c r="LN127" s="38"/>
      <c r="LO127" s="38"/>
      <c r="LP127" s="38"/>
      <c r="LQ127" s="38"/>
      <c r="LR127" s="38"/>
      <c r="LS127" s="38"/>
      <c r="LT127" s="38"/>
      <c r="LU127" s="38"/>
      <c r="LV127" s="38"/>
      <c r="LW127" s="38"/>
      <c r="LX127" s="38"/>
      <c r="LY127" s="38"/>
      <c r="LZ127" s="38"/>
      <c r="MA127" s="38"/>
      <c r="MB127" s="38"/>
      <c r="MC127" s="38"/>
      <c r="MD127" s="38"/>
      <c r="ME127" s="38"/>
      <c r="MF127" s="38"/>
      <c r="MG127" s="38"/>
      <c r="MH127" s="43">
        <f t="shared" si="458"/>
        <v>0</v>
      </c>
      <c r="MI127" s="43" t="str">
        <f t="shared" si="459"/>
        <v/>
      </c>
      <c r="MJ127" s="43" t="str">
        <f t="shared" si="460"/>
        <v/>
      </c>
      <c r="MK127" s="43">
        <f t="shared" si="461"/>
        <v>0</v>
      </c>
      <c r="ML1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7" s="43">
        <f t="shared" si="462"/>
        <v>21.571428571428573</v>
      </c>
      <c r="MN127" s="43">
        <f t="shared" si="463"/>
        <v>11</v>
      </c>
      <c r="MO127" s="43">
        <f t="shared" si="464"/>
        <v>2022</v>
      </c>
      <c r="MP127" s="43" t="str">
        <f t="shared" si="465"/>
        <v>IV TRIMESTRE AÑO</v>
      </c>
      <c r="MQ127" s="43">
        <f t="shared" si="466"/>
        <v>19.623302671922907</v>
      </c>
      <c r="MR127" s="43">
        <f t="shared" si="467"/>
        <v>0</v>
      </c>
      <c r="MS127" s="43" t="str">
        <f t="shared" si="468"/>
        <v>DE 14 A 19AÑOS</v>
      </c>
      <c r="MT127" s="43">
        <f t="shared" si="469"/>
        <v>0</v>
      </c>
      <c r="MU127" s="43">
        <f t="shared" si="470"/>
        <v>1</v>
      </c>
      <c r="MV127" s="43">
        <f t="shared" si="471"/>
        <v>0</v>
      </c>
      <c r="MW127" s="43">
        <f t="shared" si="472"/>
        <v>0</v>
      </c>
      <c r="MX127" s="43" t="str">
        <f t="shared" si="473"/>
        <v/>
      </c>
      <c r="MY127" s="43" t="str">
        <f t="shared" ca="1" si="495"/>
        <v/>
      </c>
      <c r="MZ127" s="43" t="str">
        <f t="shared" si="474"/>
        <v/>
      </c>
      <c r="NA127" s="43" t="str">
        <f t="shared" si="475"/>
        <v/>
      </c>
      <c r="NB127" s="43" t="str">
        <f t="shared" si="476"/>
        <v/>
      </c>
      <c r="NC127" s="43" t="str">
        <f t="shared" si="477"/>
        <v/>
      </c>
      <c r="ND127" s="43">
        <f t="shared" ca="1" si="478"/>
        <v>1</v>
      </c>
      <c r="NE127" s="43">
        <f>IF(OR(O127&gt;0,R127&gt;0),SUM(COUNTIF(Tabla1[[#This Row],[AÑOS AL INICIO5 CPN]],"&gt;=40"),COUNTIF(AS127,"0"),COUNTIF(AR127,"SI"),COUNTIF(CC127,"SI"),COUNTIF(BQ127,"&gt;119"),COUNTIF(CI127,"&gt;=35")),"")</f>
        <v>1</v>
      </c>
      <c r="NF127" s="43">
        <f t="shared" si="479"/>
        <v>22.142857142857142</v>
      </c>
      <c r="NG127" s="43">
        <f t="shared" si="480"/>
        <v>0</v>
      </c>
      <c r="NH127" s="43">
        <f t="shared" si="481"/>
        <v>147</v>
      </c>
      <c r="NI12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CPN",P127="NO"),"Z",IF(AND(Tabla1[[#This Row],[CITA PROXIMO CONTROL]]="CITA MANUAL",Tabla1[[#This Row],[GESTANTES ACTUALES]]="ACTIVA INGRESO A CPN"),"W",IF(AND(Tabla1[[#This Row],[GESTANTES ACTUALES]]="SALIO PROGRAMA",IN127=""),"S",IF(AND(Tabla1[[#This Row],[CITA PROXIMO CONTROL]]&gt;0,IN127=""),(Tabla1[[#This Row],[CITA PROXIMO CONTROL]]-TODAY()),"SD"))))))))</f>
        <v>SD</v>
      </c>
      <c r="NJ127" s="43">
        <f>MONTH(Tabla1[[#This Row],[FECHA DE SALIDA  DEL PROGRAMA]])</f>
        <v>3</v>
      </c>
      <c r="NK127" s="43">
        <f>YEAR(Tabla1[[#This Row],[FECHA DE SALIDA  DEL PROGRAMA]])</f>
        <v>2023</v>
      </c>
      <c r="NL127" s="43" t="str">
        <f t="shared" si="482"/>
        <v>X</v>
      </c>
      <c r="NM127" s="43" t="str">
        <f t="shared" si="455"/>
        <v>NO</v>
      </c>
      <c r="NN127" s="43" t="str">
        <f ca="1">IF(AND(O127&gt;0,R127=""),"NO CPN",IF(AND(O127="",R127=""),"",IF(AND(R127&gt;0,Tabla1[[#This Row],[SEMANAS DE GESTACION ACTUALIZADAS]]&lt;=12),"NO APLICA",IF(AND(FH127&lt;&gt;"",FN127&lt;&gt;""),"SI","NO"))))</f>
        <v>NO</v>
      </c>
      <c r="NO127" s="43" t="str">
        <f ca="1">IF(AND(O127&gt;0,R127=""),"NO CPN",IF(AND(O127="",R127=""),"",IF(AND(R127&gt;0,Tabla1[[#This Row],[SEMANAS DE GESTACION ACTUALIZADAS]]&lt;=27),"NO APLICA",IF(AND(ES127&lt;&gt;"",FQ127&lt;&gt;"",GF127&lt;&gt;""),"SI","NO"))))</f>
        <v>NO</v>
      </c>
      <c r="NP127" s="204" t="str">
        <f t="shared" si="483"/>
        <v>II TRIM</v>
      </c>
      <c r="NQ127" s="21" t="str">
        <f t="shared" si="499"/>
        <v/>
      </c>
      <c r="NR127" s="21">
        <f t="shared" si="496"/>
        <v>2</v>
      </c>
      <c r="NS127" s="205">
        <f t="shared" ca="1" si="484"/>
        <v>0</v>
      </c>
      <c r="NT127" s="21">
        <f t="shared" ca="1" si="485"/>
        <v>0</v>
      </c>
      <c r="NU127" s="21" t="str">
        <f t="shared" ca="1" si="486"/>
        <v>INCOMPLETO</v>
      </c>
      <c r="NV127" s="21" t="str">
        <f t="shared" ca="1" si="487"/>
        <v>INCOMPLETO</v>
      </c>
      <c r="NW127" s="206" t="str">
        <f>IF(AND(O127="",R127=""),"",IF(OR(AND(Tabla1[[#This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7" s="207" t="str">
        <f t="shared" ca="1" si="488"/>
        <v>VACUNADA</v>
      </c>
      <c r="NY127" s="43">
        <f>ROW(Tabla1[[#This Row],['# DE TAMIZAJES SIFILIS TOMADOS ]])</f>
        <v>127</v>
      </c>
      <c r="NZ127" s="43">
        <f t="shared" si="333"/>
        <v>21</v>
      </c>
      <c r="OA127" s="43" t="str">
        <f t="shared" si="334"/>
        <v/>
      </c>
      <c r="OB127" s="43" t="str">
        <f t="shared" si="335"/>
        <v/>
      </c>
      <c r="OC127" s="43" t="str">
        <f t="shared" si="336"/>
        <v/>
      </c>
      <c r="OD127" s="43" t="str">
        <f t="shared" si="337"/>
        <v/>
      </c>
      <c r="OE127" s="43" t="str">
        <f t="shared" si="338"/>
        <v/>
      </c>
      <c r="OF127" s="43" t="str">
        <f t="shared" si="339"/>
        <v/>
      </c>
      <c r="OG127" s="43" t="str">
        <f t="shared" si="340"/>
        <v/>
      </c>
      <c r="OH127" s="43" t="str">
        <f t="shared" si="341"/>
        <v/>
      </c>
      <c r="OI127" s="43" t="str">
        <f t="shared" si="342"/>
        <v/>
      </c>
      <c r="OJ127" s="43" t="str">
        <f t="shared" si="343"/>
        <v/>
      </c>
      <c r="OK127" s="43" t="str">
        <f t="shared" si="344"/>
        <v/>
      </c>
      <c r="OL127" s="43" t="str">
        <f t="shared" si="345"/>
        <v/>
      </c>
      <c r="OM127" s="43" t="str">
        <f t="shared" si="346"/>
        <v>NORMAL</v>
      </c>
      <c r="ON127" s="43" t="str">
        <f t="shared" si="347"/>
        <v/>
      </c>
      <c r="OO127" s="43" t="str">
        <f t="shared" si="348"/>
        <v/>
      </c>
      <c r="OP127" s="43" t="str">
        <f t="shared" si="349"/>
        <v/>
      </c>
      <c r="OQ127" s="43" t="str">
        <f t="shared" si="350"/>
        <v/>
      </c>
      <c r="OR127" s="43" t="str">
        <f t="shared" si="351"/>
        <v/>
      </c>
      <c r="OS127" s="43" t="str">
        <f t="shared" si="352"/>
        <v/>
      </c>
      <c r="OT127" s="43" t="str">
        <f t="shared" si="353"/>
        <v/>
      </c>
      <c r="OU127" s="43" t="str">
        <f t="shared" si="354"/>
        <v/>
      </c>
      <c r="OV127" s="110" t="str">
        <f t="shared" si="355"/>
        <v/>
      </c>
      <c r="OW127" s="43" t="str">
        <f t="shared" si="356"/>
        <v/>
      </c>
      <c r="OX127" s="43" t="str">
        <f t="shared" si="357"/>
        <v/>
      </c>
      <c r="OY127" s="43" t="str">
        <f t="shared" si="358"/>
        <v/>
      </c>
      <c r="OZ127" s="43" t="str">
        <f t="shared" si="359"/>
        <v/>
      </c>
      <c r="PA127" s="43" t="str">
        <f t="shared" si="360"/>
        <v/>
      </c>
      <c r="PB127" s="43" t="str">
        <f t="shared" si="361"/>
        <v/>
      </c>
      <c r="PC127" s="43" t="str">
        <f t="shared" si="362"/>
        <v/>
      </c>
      <c r="PD127" s="43" t="str">
        <f t="shared" si="363"/>
        <v/>
      </c>
      <c r="PE127" s="43" t="str">
        <f t="shared" si="364"/>
        <v/>
      </c>
      <c r="PF127" s="43" t="str">
        <f t="shared" si="365"/>
        <v/>
      </c>
      <c r="PG127" s="43" t="str">
        <f t="shared" si="366"/>
        <v/>
      </c>
      <c r="PH127" s="43" t="str">
        <f t="shared" si="367"/>
        <v/>
      </c>
      <c r="PI127" s="43">
        <f t="shared" si="368"/>
        <v>33</v>
      </c>
      <c r="PJ127" s="43" t="str">
        <f t="shared" si="369"/>
        <v/>
      </c>
      <c r="PK127" s="43" t="str">
        <f t="shared" si="370"/>
        <v/>
      </c>
      <c r="PL127" s="43" t="str">
        <f t="shared" si="371"/>
        <v/>
      </c>
      <c r="PM127" s="43" t="str">
        <f t="shared" si="372"/>
        <v/>
      </c>
      <c r="PN127" s="43" t="str">
        <f t="shared" si="373"/>
        <v/>
      </c>
      <c r="PO127" s="43" t="str">
        <f t="shared" si="374"/>
        <v/>
      </c>
      <c r="PP127" s="43" t="str">
        <f t="shared" si="375"/>
        <v/>
      </c>
      <c r="PQ127" s="43" t="str">
        <f t="shared" si="376"/>
        <v/>
      </c>
      <c r="PR127" s="43" t="str">
        <f t="shared" si="377"/>
        <v/>
      </c>
      <c r="PS127" s="43" t="str">
        <f t="shared" si="378"/>
        <v/>
      </c>
      <c r="PT127" s="43" t="str">
        <f t="shared" si="379"/>
        <v/>
      </c>
      <c r="PU127" s="43" t="str">
        <f t="shared" si="380"/>
        <v/>
      </c>
      <c r="PV127" s="43" t="str">
        <f t="shared" si="381"/>
        <v/>
      </c>
      <c r="PW127" s="43" t="str">
        <f t="shared" si="382"/>
        <v/>
      </c>
      <c r="PX127" s="43" t="str">
        <f t="shared" si="383"/>
        <v/>
      </c>
      <c r="PY127" s="43" t="str">
        <f t="shared" si="384"/>
        <v/>
      </c>
      <c r="PZ127" s="43" t="str">
        <f t="shared" si="385"/>
        <v/>
      </c>
      <c r="QA127" s="43" t="str">
        <f t="shared" si="386"/>
        <v/>
      </c>
      <c r="QB127" s="43" t="str">
        <f t="shared" si="387"/>
        <v/>
      </c>
      <c r="QC127" s="43" t="str">
        <f t="shared" si="388"/>
        <v/>
      </c>
      <c r="QD127" s="43" t="str">
        <f t="shared" si="389"/>
        <v/>
      </c>
      <c r="QE127" s="43" t="str">
        <f t="shared" si="390"/>
        <v/>
      </c>
      <c r="QF127" s="43" t="str">
        <f t="shared" si="391"/>
        <v/>
      </c>
      <c r="QG127" s="43" t="str">
        <f t="shared" si="392"/>
        <v/>
      </c>
      <c r="QH127" s="43" t="str">
        <f t="shared" si="393"/>
        <v/>
      </c>
      <c r="QI127" s="43" t="str">
        <f t="shared" si="394"/>
        <v/>
      </c>
      <c r="QJ127" s="43" t="str">
        <f t="shared" si="395"/>
        <v/>
      </c>
      <c r="QK127" s="43" t="str">
        <f t="shared" si="396"/>
        <v/>
      </c>
      <c r="QL127" s="43" t="str">
        <f t="shared" si="397"/>
        <v/>
      </c>
      <c r="QM127" s="43" t="str">
        <f t="shared" si="398"/>
        <v/>
      </c>
      <c r="QN127" s="43" t="str">
        <f t="shared" si="399"/>
        <v/>
      </c>
      <c r="QO127" s="43" t="str">
        <f t="shared" si="400"/>
        <v/>
      </c>
      <c r="QP127" s="43" t="str">
        <f t="shared" si="401"/>
        <v/>
      </c>
      <c r="QQ127" s="43" t="str">
        <f t="shared" si="402"/>
        <v/>
      </c>
      <c r="QR127" s="43">
        <f t="shared" si="432"/>
        <v>33</v>
      </c>
      <c r="QS127" s="43"/>
      <c r="QT127" s="21" t="str">
        <f t="shared" si="403"/>
        <v/>
      </c>
      <c r="QU127" s="21" t="str">
        <f t="shared" si="404"/>
        <v/>
      </c>
      <c r="QV127" s="21" t="str">
        <f t="shared" si="405"/>
        <v/>
      </c>
      <c r="QW127" s="21" t="str">
        <f t="shared" si="406"/>
        <v/>
      </c>
      <c r="QX127" s="21" t="str">
        <f t="shared" si="407"/>
        <v/>
      </c>
      <c r="QY127" s="21" t="str">
        <f t="shared" si="408"/>
        <v/>
      </c>
      <c r="QZ127" s="21" t="str">
        <f t="shared" si="409"/>
        <v/>
      </c>
      <c r="RA127" s="21" t="str">
        <f t="shared" si="410"/>
        <v/>
      </c>
      <c r="RB127" s="21" t="str">
        <f t="shared" si="411"/>
        <v/>
      </c>
      <c r="RC127" s="21" t="str">
        <f t="shared" si="412"/>
        <v/>
      </c>
      <c r="RD127" s="21" t="str">
        <f t="shared" si="413"/>
        <v/>
      </c>
      <c r="RE127" s="21" t="str">
        <f t="shared" si="414"/>
        <v/>
      </c>
      <c r="RF127" s="21" t="str">
        <f t="shared" si="415"/>
        <v/>
      </c>
      <c r="RG127" s="21" t="str">
        <f t="shared" si="416"/>
        <v/>
      </c>
      <c r="RH127" s="21" t="str">
        <f t="shared" si="417"/>
        <v/>
      </c>
      <c r="RI127" s="21" t="str">
        <f t="shared" si="418"/>
        <v/>
      </c>
      <c r="RJ127" s="21" t="str">
        <f t="shared" si="419"/>
        <v/>
      </c>
      <c r="RK127" s="21" t="str">
        <f t="shared" si="420"/>
        <v/>
      </c>
      <c r="RL127" s="21" t="str">
        <f t="shared" si="421"/>
        <v/>
      </c>
      <c r="RM127" s="21" t="str">
        <f t="shared" si="422"/>
        <v/>
      </c>
      <c r="RN127" s="21" t="str">
        <f t="shared" si="423"/>
        <v/>
      </c>
      <c r="RO127" s="21" t="str">
        <f t="shared" si="424"/>
        <v/>
      </c>
      <c r="RP127" s="21" t="str">
        <f t="shared" si="425"/>
        <v/>
      </c>
      <c r="RQ127" s="21" t="str">
        <f t="shared" si="426"/>
        <v/>
      </c>
      <c r="RR127" s="21" t="str">
        <f t="shared" si="427"/>
        <v/>
      </c>
      <c r="RS127" s="21" t="str">
        <f t="shared" si="428"/>
        <v/>
      </c>
      <c r="RT127" s="21" t="str">
        <f t="shared" si="429"/>
        <v/>
      </c>
      <c r="RU127" s="21" t="str">
        <f t="shared" si="430"/>
        <v/>
      </c>
      <c r="RV127" s="21">
        <f t="shared" si="431"/>
        <v>-1</v>
      </c>
      <c r="RW127" s="284">
        <f>IF(OR(Tabla1[[#This Row],[FUM FORMULA CONFIABLE]]="",Tabla1[[#This Row],[FUM FORMULA CONFIABLE]]="SD"),"",IF(Tabla1[[#This Row],[FUM FORMULA CONFIABLE]]="CORREGIDA",Tabla1[[#This Row],[FUM X ECO 1]],Tabla1[[#This Row],[FUM x AMENORREA]]))</f>
        <v>44743</v>
      </c>
      <c r="RX127" s="21">
        <f>IF(AND(Tabla1[[#This Row],[FUM X ECO 1]]="",Tabla1[[#This Row],[FUM x AMENORREA]]=""),"",IF(AND(Tabla1[[#This Row],[FUM X ECO 1]]="",Tabla1[[#This Row],[FUM x AMENORREA]]&lt;&gt;""),"X",SUM(Tabla1[[#This Row],[FUM X ECO 1]]-Tabla1[[#This Row],[FUM x AMENORREA]])))</f>
        <v>8</v>
      </c>
      <c r="RY127" s="21">
        <f t="shared" si="433"/>
        <v>1</v>
      </c>
    </row>
    <row r="128" spans="1:493" s="338" customFormat="1" ht="45" customHeight="1" x14ac:dyDescent="0.25">
      <c r="A128" s="300"/>
      <c r="B128" s="301" t="s">
        <v>1571</v>
      </c>
      <c r="C128" s="301" t="s">
        <v>845</v>
      </c>
      <c r="D128" s="302"/>
      <c r="E128" s="301" t="s">
        <v>914</v>
      </c>
      <c r="F128" s="301" t="s">
        <v>917</v>
      </c>
      <c r="G128" s="301" t="s">
        <v>1376</v>
      </c>
      <c r="H128" s="301"/>
      <c r="I128" s="300" t="s">
        <v>851</v>
      </c>
      <c r="J128" s="303">
        <v>1002847472</v>
      </c>
      <c r="K128" s="301" t="s">
        <v>932</v>
      </c>
      <c r="L128" s="304" t="s">
        <v>853</v>
      </c>
      <c r="M128" s="305">
        <v>37409</v>
      </c>
      <c r="N128" s="306">
        <f t="shared" ca="1" si="252"/>
        <v>21.435616438356163</v>
      </c>
      <c r="O128" s="305">
        <v>44995</v>
      </c>
      <c r="P128" s="307" t="str">
        <f t="shared" si="437"/>
        <v>SI</v>
      </c>
      <c r="Q128" s="308" t="s">
        <v>855</v>
      </c>
      <c r="R128" s="305">
        <v>44995</v>
      </c>
      <c r="S128" s="309" t="s">
        <v>856</v>
      </c>
      <c r="T128" s="310" t="s">
        <v>690</v>
      </c>
      <c r="U128" s="309" t="s">
        <v>857</v>
      </c>
      <c r="V128" s="309" t="s">
        <v>858</v>
      </c>
      <c r="W128" s="309" t="s">
        <v>1200</v>
      </c>
      <c r="X128" s="309"/>
      <c r="Y128" s="309" t="s">
        <v>920</v>
      </c>
      <c r="Z128" s="309">
        <v>3146721179</v>
      </c>
      <c r="AA128" s="309" t="s">
        <v>860</v>
      </c>
      <c r="AB128" s="311" t="s">
        <v>861</v>
      </c>
      <c r="AC128" s="308" t="s">
        <v>877</v>
      </c>
      <c r="AD128" s="312" t="s">
        <v>846</v>
      </c>
      <c r="AE128" s="308" t="s">
        <v>854</v>
      </c>
      <c r="AF128" s="308" t="s">
        <v>854</v>
      </c>
      <c r="AG128" s="313" t="s">
        <v>864</v>
      </c>
      <c r="AH128" s="313" t="s">
        <v>864</v>
      </c>
      <c r="AI128" s="310" t="s">
        <v>863</v>
      </c>
      <c r="AJ128" s="313" t="s">
        <v>864</v>
      </c>
      <c r="AK128" s="314" t="str">
        <f>IF(AND(AD128="",AE128="",AF128="",AG128="",AH128="",AI128="",AJ128=""),"",IF(OR(Tabla1[[#This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EVALUACIÓN",IF(AND(O128="",R128=""),"",IF(AND(OR(O128&gt;0,R128&gt;0),NG128&gt;=0,NG128&lt;2),"SIN RIESGO",IF(AND(OR(O128&gt;0,R128&gt;0),NG128&gt;=2),"CON RIESGO","ASD")))))</f>
        <v>SIN RIESGO</v>
      </c>
      <c r="AL128" s="313" t="s">
        <v>864</v>
      </c>
      <c r="AM128" s="308" t="s">
        <v>864</v>
      </c>
      <c r="AN128" s="308" t="s">
        <v>864</v>
      </c>
      <c r="AO128" s="308" t="s">
        <v>864</v>
      </c>
      <c r="AP128" s="308" t="s">
        <v>864</v>
      </c>
      <c r="AQ128" s="308" t="s">
        <v>864</v>
      </c>
      <c r="AR128" s="308" t="s">
        <v>864</v>
      </c>
      <c r="AS128" s="309">
        <v>1</v>
      </c>
      <c r="AT128" s="309">
        <v>0</v>
      </c>
      <c r="AU128" s="309">
        <v>0</v>
      </c>
      <c r="AV128" s="308" t="s">
        <v>864</v>
      </c>
      <c r="AW128" s="309">
        <v>1</v>
      </c>
      <c r="AX128" s="308" t="s">
        <v>864</v>
      </c>
      <c r="AY128" s="308" t="s">
        <v>864</v>
      </c>
      <c r="AZ128" s="308" t="s">
        <v>864</v>
      </c>
      <c r="BA128" s="308" t="s">
        <v>864</v>
      </c>
      <c r="BB128" s="308" t="s">
        <v>864</v>
      </c>
      <c r="BC128" s="308" t="s">
        <v>864</v>
      </c>
      <c r="BD128" s="308" t="s">
        <v>864</v>
      </c>
      <c r="BE128" s="308" t="s">
        <v>864</v>
      </c>
      <c r="BF128" s="308" t="s">
        <v>864</v>
      </c>
      <c r="BG128" s="308" t="s">
        <v>864</v>
      </c>
      <c r="BH128" s="308" t="s">
        <v>864</v>
      </c>
      <c r="BI128" s="308" t="s">
        <v>864</v>
      </c>
      <c r="BJ128" s="308" t="s">
        <v>864</v>
      </c>
      <c r="BK128" s="308" t="s">
        <v>864</v>
      </c>
      <c r="BL128" s="308" t="s">
        <v>864</v>
      </c>
      <c r="BM128" s="308" t="s">
        <v>864</v>
      </c>
      <c r="BN128" s="305">
        <v>43776</v>
      </c>
      <c r="BO128" s="305">
        <v>44874</v>
      </c>
      <c r="BP128" s="309" t="s">
        <v>854</v>
      </c>
      <c r="BQ128" s="315">
        <f t="shared" si="254"/>
        <v>36.6</v>
      </c>
      <c r="BR128" s="316">
        <f t="shared" si="255"/>
        <v>44874.6</v>
      </c>
      <c r="BS128" s="317">
        <f t="shared" si="256"/>
        <v>17.285714285714285</v>
      </c>
      <c r="BT128" s="318" t="str">
        <f t="shared" si="257"/>
        <v>II TRIM</v>
      </c>
      <c r="BU128" s="307" t="str">
        <f t="shared" ca="1" si="258"/>
        <v/>
      </c>
      <c r="BV128" s="319"/>
      <c r="BW128" s="305">
        <v>44995</v>
      </c>
      <c r="BX128" s="320">
        <v>17.2</v>
      </c>
      <c r="BY128" s="320" t="s">
        <v>988</v>
      </c>
      <c r="BZ128" s="305">
        <v>45121</v>
      </c>
      <c r="CA128" s="309">
        <v>35.200000000000003</v>
      </c>
      <c r="CB128" s="308" t="s">
        <v>854</v>
      </c>
      <c r="CC128" s="308" t="s">
        <v>864</v>
      </c>
      <c r="CD128" s="308" t="s">
        <v>878</v>
      </c>
      <c r="CE128" s="308" t="s">
        <v>864</v>
      </c>
      <c r="CF128" s="22" t="s">
        <v>1517</v>
      </c>
      <c r="CG128" s="309">
        <v>1.48</v>
      </c>
      <c r="CH128" s="309">
        <v>56.2</v>
      </c>
      <c r="CI128" s="307">
        <f t="shared" si="259"/>
        <v>25.657414170927687</v>
      </c>
      <c r="CJ128" s="321" t="e">
        <f>IF(AND(CI128&lt;10,CH128="SD"),"SIN DATO PESO PREGESTACION O I TRIM",IF(AND(OR(R128&gt;0,O128&gt;0),CI128="X"),"INGRESAR DATO DE PESO",IF(CI128="SD","INGRESAR DATO DE TALLA Y PESO",IF(AND(OR(Tabla1[[#This Row],[MOMENTO EN QUE SE REALIZA EL PESO AL INGRESO A CPN]]="PREGESTACIÓN",NZ128="Menor"),CI128&lt;18.5),"BAJO PESO",IF(AND(OR(Tabla1[[#This Row],[MOMENTO EN QUE SE REALIZA EL PESO AL INGRESO A CPN]]="PREGESTACIÓN",NZ128="Menor"),CI128&lt;25),"NORMAL",IF(AND(OR(Tabla1[[#This Row],[MOMENTO EN QUE SE REALIZA EL PESO AL INGRESO A CPN]]="PREGESTACIÓN",NZ128="Menor"),CI128&lt;30),"SOBREPESO",IF(AND(OR(Tabla1[[#This Row],[MOMENTO EN QUE SE REALIZA EL PESO AL INGRESO A CPN]]="PREGESTACIÓN",NZ128="Menor"),CI128&gt;=30,CI128&lt;50),"OBESIDAD",IF(AND(BS128&gt;0,Tabla1[[#This Row],[MOMENTO EN QUE SE REALIZA EL PESO AL INGRESO A CPN]]="GESTACIÓN"),HLOOKUP(NZ128,$OA$2:PH128,NY128),""))))))))</f>
        <v>#REF!</v>
      </c>
      <c r="CK128" s="322">
        <f t="shared" si="260"/>
        <v>45110</v>
      </c>
      <c r="CL128" s="309">
        <v>65.3</v>
      </c>
      <c r="CM128" s="307">
        <f t="shared" si="261"/>
        <v>29.811906501095692</v>
      </c>
      <c r="CN128" s="318">
        <f t="shared" si="262"/>
        <v>33</v>
      </c>
      <c r="CO128" s="318" t="e">
        <f>IF(PI128="","",IF(PI128&gt;0,HLOOKUP(PI128,$PJ$2:QQ128,NY128),""))</f>
        <v>#REF!</v>
      </c>
      <c r="CP128" s="309">
        <v>31</v>
      </c>
      <c r="CQ128" s="318" t="e">
        <f>IF(QR128="Menor","NO APLICA-MENOR 13 SEM",IF(AND(CC128="SI",CN128&gt;23),"NO APLICA- GEMELAR",IF(QR128="","",IF(QR128&gt;0,HLOOKUP(QR128,$QS$2:RU128,NY128),""))))</f>
        <v>#REF!</v>
      </c>
      <c r="CR128" s="309"/>
      <c r="CS128" s="309"/>
      <c r="CT128" s="323" t="str">
        <f>IF(R128="","",IF(AND(BS128&gt;1,BS128&lt;12,Tabla1[[#This Row],[T.A. SISTOLICA - ANTES DE SEMANA 12]]="",Tabla1[[#This Row],[T.A. DIASTOLICA - ANTES DE SEMANA 12]]=""),"REGISTRE DATO TA ANTES SEMANA 12",IF(AND(BS128&gt;11,BS128&lt;43,Tabla1[[#This Row],[T.A. SISTOLICA - ANTES DE SEMANA 12]]="",Tabla1[[#This Row],[T.A. DIASTOLICA - ANTES DE SEMANA 12]]=""),"NO APLICA REGISTRO TA-INGRESO TARDIO",IF(AND(OR(O128&gt;0,R128&gt;0),OR(CR128&gt;=140,CS128&gt;=90)),"DEFINIR ESTADIO HTA",IF(AND(OR(O128&gt;0,R128&gt;0),AND(CR128&gt;120,CR128&lt;=139)),"PRE HTA SEGUIMIENTO",IF(AND(OR(O128&gt;0,R128&gt;0),AND(CS128&gt;80,CS128&lt;=89)),"PRE HTA SEGUIMIENTO",IF(AND(OR(O128&gt;0,R128&gt;0),AND(CR128&gt;=80,CR128&lt;=120)),"APARENTEMENTE NORMAL",IF(AND(OR(O128&gt;0,R128&gt;0),AND(CS128&gt;=50,CS128&lt;=80)),"APARENTEMENTE NORMAL",IF(AND(OR(O128&gt;0,R128&gt;0),AND(CR128&gt;1,CR128&lt;=70),AND(CS128&gt;1,CS128&lt;=40)),"HIPOTENSIÓN","")))))))))</f>
        <v>NO APLICA REGISTRO TA-INGRESO TARDIO</v>
      </c>
      <c r="CU128" s="309">
        <v>100</v>
      </c>
      <c r="CV128" s="309">
        <v>60</v>
      </c>
      <c r="CW128" s="323" t="str">
        <f ca="1">IF(R128="","",IF(AND(CN128&gt;19,CN128&lt;27,Tabla1[[#This Row],[T.A. SISTOLICA (Entre semana 20 y 26)]]="",Tabla1[[#This Row],[T.A. DIATOLICA (Entre semana 20 y 26)]]=""),"ACUDE A CONTROL SEM 20 A 26 REGISTRE TA AHORA",IF(AND(BS128&gt;1,BS128&lt;27,BU128&gt;19,Tabla1[[#This Row],[T.A. SISTOLICA (Entre semana 20 y 26)]]="",Tabla1[[#This Row],[T.A. DIATOLICA (Entre semana 20 y 26)]]=""),"COMPLETE REGISTRO TA CONTROL SEM 20 A26 ",IF(AND(BS128&gt;26,BS128&lt;43,Tabla1[[#This Row],[T.A. SISTOLICA (Entre semana 20 y 26)]]="",Tabla1[[#This Row],[T.A. DIATOLICA (Entre semana 20 y 26)]]=""),"NO APLICA REGISTRO TA-INGRESO TARDIO",IF(AND(OR(O128&gt;0,R128&gt;0),OR(CU128&gt;=140,CV128&gt;=90)),"ALTO RIESGO PREECLAMPSIA,DEFINIR ESTADIO HTA",IF(AND(OR(O128&gt;0,R128&gt;0),AND(CU128&gt;120,CU128&lt;=139)),"PRE HTA SEGUIMIENTO,RIESGO HIPERTENSION INDUCIDA POR EL EMBARAZO",IF(AND(OR(O128&gt;0,R128&gt;0),AND(CV128&gt;80,CV128&lt;=89)),"PRE HTA SEGUIMIENTO, RIESGO HIPERTENSION INDUCIDA POR EL EMBARAZO",IF(AND(OR(O128&lt;&gt;"",R128&lt;&gt;""),CS128&lt;&gt;"",CV128&lt;&gt;"",CS128&lt;=CV128),"VIGILAR CIFRAS PRESION ARTERIAL",IF(AND(OR(O128&gt;0,R128&gt;0),AND(CU128&gt;120,CU128&lt;=139)),"PRE HTA SEGUIMIENTO",IF(AND(OR(O128&gt;0,R128&gt;0),AND(CU128&gt;1,CU128&lt;=70),AND(CV128&gt;1,CV128&lt;=40)),"HIPOTENSIÓN",IF(AND(OR(O128&lt;&gt;"",R128&lt;&gt;""),CS128&lt;&gt;"",CV128&lt;&gt;"",CS128&gt;CV128),"APARENTEMENTE NORMAL",IF(AND(OR(O128&gt;0,R128&gt;0),AND(CU128&gt;=80,CU128&lt;=120)),"APARENTEMENTE NORMAL",IF(AND(OR(O128&gt;0,R128&gt;0),AND(CV128&gt;=50,CV128&lt;=80)),"APARENTEMENTE NORMAL","")))))))))))))</f>
        <v>APARENTEMENTE NORMAL</v>
      </c>
      <c r="CX128" s="309">
        <v>100</v>
      </c>
      <c r="CY128" s="309">
        <v>60</v>
      </c>
      <c r="CZ128" s="318" t="str">
        <f t="shared" si="498"/>
        <v>APARENTEMENTE NORMAL</v>
      </c>
      <c r="DA128" s="309">
        <v>100</v>
      </c>
      <c r="DB128" s="309">
        <v>60</v>
      </c>
      <c r="DC128" s="323" t="str">
        <f t="shared" si="264"/>
        <v>APARENTEMENTE NORMAL</v>
      </c>
      <c r="DD128" s="305">
        <v>44995</v>
      </c>
      <c r="DE128" s="305">
        <v>44995</v>
      </c>
      <c r="DF128" s="305">
        <v>45027</v>
      </c>
      <c r="DG128" s="305">
        <v>45063</v>
      </c>
      <c r="DH128" s="305">
        <v>45110</v>
      </c>
      <c r="DI128" s="305"/>
      <c r="DJ128" s="305"/>
      <c r="DK128" s="305"/>
      <c r="DL128" s="305"/>
      <c r="DM128" s="305"/>
      <c r="DN128" s="305"/>
      <c r="DO128" s="305"/>
      <c r="DP128" s="305"/>
      <c r="DQ128" s="305"/>
      <c r="DR128" s="320">
        <v>1</v>
      </c>
      <c r="DS128" s="305"/>
      <c r="DT128" s="305"/>
      <c r="DU128" s="318" t="str">
        <f t="shared" ca="1" si="438"/>
        <v>CONCERTAR PLAN DE PARTO INMEDIATO</v>
      </c>
      <c r="DV128" s="324" t="str">
        <f t="shared" si="439"/>
        <v>ACTIVA INGRESO A CPN</v>
      </c>
      <c r="DW128"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8" s="318" t="e">
        <f t="shared" ca="1" si="266"/>
        <v>#REF!</v>
      </c>
      <c r="DY128" s="322">
        <f>IF(R128="","",IF(R128&gt;0,MAX(Tabla1[[#This Row],[FECHA C2]:[FECHA C13]],Tabla1[[#This Row],[FECHA CONSULTA PRIMERA VEZ PROGRAMA CPN ]])))</f>
        <v>45110</v>
      </c>
      <c r="DZ128" s="318">
        <f t="shared" si="267"/>
        <v>33</v>
      </c>
      <c r="EA128" s="315">
        <f>IF(R128&gt;0,SUM(COUNTA(DF128:DQ128)+COUNTA(Tabla1[[#This Row],[FECHA CONSULTA PRIMERA VEZ PROGRAMA CPN ]])),"")</f>
        <v>4</v>
      </c>
      <c r="EB128" s="315" t="str">
        <f t="shared" si="268"/>
        <v>SI</v>
      </c>
      <c r="EC128" s="307">
        <f t="shared" si="269"/>
        <v>7</v>
      </c>
      <c r="ED128" s="325">
        <f t="shared" si="270"/>
        <v>0.5714285714285714</v>
      </c>
      <c r="EE128" s="305">
        <v>44995</v>
      </c>
      <c r="EF128" s="305">
        <v>44995</v>
      </c>
      <c r="EG128" s="305">
        <v>44995</v>
      </c>
      <c r="EH128" s="305"/>
      <c r="EI128" s="305">
        <v>44995</v>
      </c>
      <c r="EJ128" s="305"/>
      <c r="EK128" s="305"/>
      <c r="EL128" s="309"/>
      <c r="EM128" s="309">
        <v>14.4</v>
      </c>
      <c r="EN128" s="305">
        <v>44995</v>
      </c>
      <c r="EO128" s="315">
        <f t="shared" si="271"/>
        <v>17.285714285714285</v>
      </c>
      <c r="EP128" s="307" t="str">
        <f t="shared" si="272"/>
        <v>NO DAR SULFATO FERROSO</v>
      </c>
      <c r="EQ128" s="318" t="str">
        <f t="shared" si="273"/>
        <v>II TRIM</v>
      </c>
      <c r="ER128" s="310">
        <v>12.8</v>
      </c>
      <c r="ES128" s="305">
        <v>45115</v>
      </c>
      <c r="ET128" s="326">
        <f t="shared" ca="1" si="440"/>
        <v>34.428571428571431</v>
      </c>
      <c r="EU128" s="319" t="str">
        <f t="shared" si="275"/>
        <v>NORMAL- SUMINISTRAR SULFATO FERROSO</v>
      </c>
      <c r="EV128" s="310" t="s">
        <v>866</v>
      </c>
      <c r="EW128" s="328">
        <v>44998</v>
      </c>
      <c r="EX128" s="305"/>
      <c r="EY128" s="326">
        <f t="shared" si="453"/>
        <v>17.714285714285715</v>
      </c>
      <c r="EZ128" s="319" t="str">
        <f t="shared" ca="1" si="454"/>
        <v/>
      </c>
      <c r="FA128" s="309">
        <v>14.4</v>
      </c>
      <c r="FB128" s="305">
        <v>44995</v>
      </c>
      <c r="FC128" s="326">
        <f t="shared" si="276"/>
        <v>17.285714285714285</v>
      </c>
      <c r="FD128" s="326"/>
      <c r="FE128" s="326"/>
      <c r="FF128" s="326"/>
      <c r="FG128" s="309" t="str">
        <f t="shared" ca="1" si="277"/>
        <v/>
      </c>
      <c r="FH128" s="327"/>
      <c r="FI128" s="326" t="str">
        <f t="shared" si="278"/>
        <v>TOMAR EXAMEN</v>
      </c>
      <c r="FJ128" s="305"/>
      <c r="FK128" s="305"/>
      <c r="FL128" s="326" t="str">
        <f t="shared" ca="1" si="279"/>
        <v>NO APLICA-INGRESO TARDIO</v>
      </c>
      <c r="FM128" s="305" t="s">
        <v>867</v>
      </c>
      <c r="FN128" s="328">
        <v>44995</v>
      </c>
      <c r="FO128" s="326">
        <f t="shared" ca="1" si="441"/>
        <v>17.285714285714285</v>
      </c>
      <c r="FP128" s="305" t="s">
        <v>867</v>
      </c>
      <c r="FQ128" s="328">
        <v>45066</v>
      </c>
      <c r="FR128" s="326">
        <f t="shared" ca="1" si="442"/>
        <v>27.428571428571427</v>
      </c>
      <c r="FS128" s="305"/>
      <c r="FT128" s="328"/>
      <c r="FU128" s="326" t="str">
        <f>IF(AND(FJ128="",FM128="",FP128="",FS128=""),"",IF(OR(OR(Tabla1[[#This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8" s="320"/>
      <c r="FW128" s="305"/>
      <c r="FX128" s="326" t="str">
        <f t="shared" si="280"/>
        <v>TOMAR EXAMEN</v>
      </c>
      <c r="FY128" s="305">
        <v>44995</v>
      </c>
      <c r="FZ128" s="305">
        <v>44995</v>
      </c>
      <c r="GA128" s="326" t="str">
        <f t="shared" si="497"/>
        <v>REGISTRAR EN II TRIMESTRE</v>
      </c>
      <c r="GB128" s="305" t="s">
        <v>868</v>
      </c>
      <c r="GC128" s="305">
        <v>44995</v>
      </c>
      <c r="GD128" s="326">
        <f t="shared" ca="1" si="490"/>
        <v>17.285714285714285</v>
      </c>
      <c r="GE128" s="305" t="s">
        <v>868</v>
      </c>
      <c r="GF128" s="305">
        <v>45145</v>
      </c>
      <c r="GG128" s="326">
        <f t="shared" ca="1" si="444"/>
        <v>38.714285714285715</v>
      </c>
      <c r="GH128" s="305"/>
      <c r="GI128" s="326"/>
      <c r="GJ128" s="305"/>
      <c r="GK128" s="305"/>
      <c r="GL128" s="305"/>
      <c r="GM128" s="305"/>
      <c r="GN128" s="320" t="s">
        <v>869</v>
      </c>
      <c r="GO128" s="305">
        <v>44995</v>
      </c>
      <c r="GP128" s="326">
        <f t="shared" si="283"/>
        <v>17.285714285714285</v>
      </c>
      <c r="GQ128" s="320" t="s">
        <v>880</v>
      </c>
      <c r="GR128" s="320" t="s">
        <v>869</v>
      </c>
      <c r="GS128" s="305" t="str">
        <f t="shared" si="457"/>
        <v>SE EXCLUYE INFECCION</v>
      </c>
      <c r="GT128" s="305">
        <v>44995</v>
      </c>
      <c r="GU128" s="326">
        <f t="shared" si="285"/>
        <v>17.285714285714285</v>
      </c>
      <c r="GV128" s="309" t="str">
        <f t="shared" si="286"/>
        <v>II TRIM</v>
      </c>
      <c r="GW128" s="320" t="s">
        <v>869</v>
      </c>
      <c r="GX128" s="329"/>
      <c r="GY128" s="309"/>
      <c r="GZ128" s="309"/>
      <c r="HA128" s="309"/>
      <c r="HB128" s="309"/>
      <c r="HC128" s="309"/>
      <c r="HD128" s="309"/>
      <c r="HE128" s="309"/>
      <c r="HF128" s="305"/>
      <c r="HG128" s="305" t="str">
        <f>IF(OR(O128&gt;0,R128&gt;0),CONCATENATE(IF(Tabla1[[#This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8" s="305" t="e">
        <f t="shared" si="287"/>
        <v>#REF!</v>
      </c>
      <c r="HI128" s="305" t="e">
        <f t="shared" ca="1" si="288"/>
        <v>#REF!</v>
      </c>
      <c r="HJ128" s="309"/>
      <c r="HK128" s="309" t="str">
        <f t="shared" si="289"/>
        <v>SIN ANTECEDENTES DE RIESGO</v>
      </c>
      <c r="HL128" s="310" t="str">
        <f t="shared" si="290"/>
        <v>APARENTEMENTE NORMAL</v>
      </c>
      <c r="HM128" s="309" t="e">
        <f t="shared" ca="1" si="291"/>
        <v>#REF!</v>
      </c>
      <c r="HN128" s="329" t="str">
        <f t="shared" si="445"/>
        <v>ACTIVA INGRESO A CPN</v>
      </c>
      <c r="HO128" s="309"/>
      <c r="HP128" s="309"/>
      <c r="HQ128" s="309">
        <v>44995</v>
      </c>
      <c r="HR128" s="309" t="str">
        <f>IF(R128="","",IF(Tabla1[[#This Row],[ALARMA FACTORES DE RIESGO COMPLICACIONES HIPERTENSIVAS3]]="SIN ANTECEDENTES DE RIESGO","No Aplica para suministro de ASA",IF(AND(Tabla1[[#This Row],[FECHA INICIO DE SUMINISTRO DE ASA]]&gt;0,RV128&lt;12),"Inicia ASA ANTES de Sem 12",IF(AND(RV128&gt;11,RV128&lt;17,OR(HK128="RIESGO ALTO DE COMPLICACIONES HIPERTENSIVAS VER MANEJO GUIA SUMINISTRO ASA Y CALCIO",HK128="RIESGO MODERADO (2 O MAS CRITERIOS) VER MANEJO GUIA SUMINISTRO ASA Y CALCIO")),"Inicio oportuno de ASA",IF(AND(RV128&gt;12,OR(HK128="RIESGO ALTO DE COMPLICACIONES HIPERTENSIVAS VER MANEJO GUIA SUMINISTRO ASA Y CALCIO",HK128="RIESGO MODERADO (2 O MAS CRITERIOS) VER MANEJO GUIA SUMINISTRO ASA Y CALCIO")),"Inicio no oportuno mayor a 16 semanas",IF(AND(BU128&lt;12,OR(HK128="RIESGO ALTO DE COMPLICACIONES HIPERTENSIVAS VER MANEJO GUIA SUMINISTRO ASA Y CALCIO",HK128="RIESGO MODERADO (2 O MAS CRITERIOS) VER MANEJO GUIA SUMINISTRO ASA Y CALCIO")),"Pendiente Inicio de ASA a la semana 12",IF(AND(BU128&gt;11,BU128&lt;17,OR(HK128="RIESGO ALTO DE COMPLICACIONES HIPERTENSIVAS VER MANEJO GUIA SUMINISTRO ASA Y CALCIO",HK128="RIESGO MODERADO (2 O MAS CRITERIOS) VER MANEJO GUIA SUMINISTRO ASA Y CALCIO")),"Iniciar de inmediato ASA",IF(AND(BU128&gt;16,OR(HK128="RIESGO ALTO DE COMPLICACIONES HIPERTENSIVAS VER MANEJO GUIA SUMINISTRO ASA Y CALCIO",HK128="RIESGO MODERADO (2 O MAS CRITERIOS) VER MANEJO GUIA SUMINISTRO ASA Y CALCIO")),"Pierde Oportunidad, Inicio tardío de ASA","XXXXX"))))))))</f>
        <v>No Aplica para suministro de ASA</v>
      </c>
      <c r="HS128" s="305">
        <v>44995</v>
      </c>
      <c r="HT128" s="305" t="s">
        <v>870</v>
      </c>
      <c r="HU128" s="305"/>
      <c r="HV128" s="305"/>
      <c r="HW128" s="305">
        <v>44995</v>
      </c>
      <c r="HX128" s="305" t="s">
        <v>870</v>
      </c>
      <c r="HY128" s="305">
        <v>44995</v>
      </c>
      <c r="HZ128" s="320">
        <f t="shared" si="292"/>
        <v>17.285714285714285</v>
      </c>
      <c r="IA128" s="308"/>
      <c r="IB128" s="308"/>
      <c r="IC128" s="330">
        <v>45121</v>
      </c>
      <c r="ID128" s="305">
        <v>45027</v>
      </c>
      <c r="IE128" s="305" t="str">
        <f t="shared" ca="1" si="293"/>
        <v>VACUNA APLICADA ENTRE SEMANA 20 Y SEMANA 26</v>
      </c>
      <c r="IF128" s="305"/>
      <c r="IG128" s="305">
        <f t="shared" si="294"/>
        <v>45154</v>
      </c>
      <c r="IH128" s="326">
        <f t="shared" ca="1" si="295"/>
        <v>-79</v>
      </c>
      <c r="II128" s="305" t="str">
        <f t="shared" ca="1" si="296"/>
        <v>POSIBLEMENTE NACIO</v>
      </c>
      <c r="IJ128" s="305"/>
      <c r="IK128" s="309"/>
      <c r="IL128" s="309"/>
      <c r="IM128" s="331"/>
      <c r="IN128" s="350"/>
      <c r="IO128" s="309"/>
      <c r="IP128" s="326" t="str">
        <f t="shared" si="489"/>
        <v/>
      </c>
      <c r="IQ128" s="332"/>
      <c r="IR128" s="309"/>
      <c r="IS128" s="309"/>
      <c r="IT128" s="309"/>
      <c r="IU128" s="309"/>
      <c r="IV128" s="309"/>
      <c r="IW128" s="309"/>
      <c r="IX128" s="309"/>
      <c r="IY128" s="309"/>
      <c r="IZ128" s="309"/>
      <c r="JA128" s="309"/>
      <c r="JB128" s="329"/>
      <c r="JC128" s="309"/>
      <c r="JD128" s="333"/>
      <c r="JE128" s="309" t="str">
        <f t="shared" si="491"/>
        <v/>
      </c>
      <c r="JF128" s="329"/>
      <c r="JG128" s="309"/>
      <c r="JH128" s="309"/>
      <c r="JI128" s="309"/>
      <c r="JJ128" s="329"/>
      <c r="JK128" s="305"/>
      <c r="JL128" s="305"/>
      <c r="JM128" s="309"/>
      <c r="JN128" s="333"/>
      <c r="JO128" s="309" t="str">
        <f t="shared" si="492"/>
        <v/>
      </c>
      <c r="JP128" s="305"/>
      <c r="JQ128" s="309"/>
      <c r="JR128" s="309"/>
      <c r="JS128" s="309"/>
      <c r="JT128" s="329"/>
      <c r="JU128" s="305"/>
      <c r="JV128" s="305"/>
      <c r="JW128" s="334"/>
      <c r="JX128" s="320" t="str">
        <f t="shared" si="493"/>
        <v/>
      </c>
      <c r="JY128" s="334"/>
      <c r="JZ128" s="320" t="str">
        <f t="shared" si="494"/>
        <v/>
      </c>
      <c r="KA128" s="309"/>
      <c r="KB128" s="309"/>
      <c r="KC128" s="309"/>
      <c r="KD128" s="335"/>
      <c r="KE128" s="320"/>
      <c r="KF128" s="320"/>
      <c r="KG128" s="320"/>
      <c r="KH128" s="336"/>
      <c r="KI128" s="336"/>
      <c r="KJ128" s="337"/>
      <c r="KK128" s="336"/>
      <c r="KL128" s="336"/>
      <c r="KM128" s="337"/>
      <c r="KN128" s="336"/>
      <c r="KO128" s="336"/>
      <c r="KP128" s="336"/>
      <c r="KQ128" s="336"/>
      <c r="KR128" s="336"/>
      <c r="KS128" s="336"/>
      <c r="KT128" s="336"/>
      <c r="KU128" s="312"/>
      <c r="KV128" s="312"/>
      <c r="KW128" s="312"/>
      <c r="KX128" s="312"/>
      <c r="KY128" s="312"/>
      <c r="KZ128" s="312"/>
      <c r="LA128" s="312"/>
      <c r="LB128" s="312"/>
      <c r="LC128" s="312"/>
      <c r="LD128" s="312"/>
      <c r="LE128" s="312"/>
      <c r="LF128" s="312"/>
      <c r="LG128" s="312"/>
      <c r="LH128" s="312"/>
      <c r="LI128" s="312"/>
      <c r="LJ128" s="312"/>
      <c r="LK128" s="312"/>
      <c r="LL128" s="312"/>
      <c r="LM128" s="312"/>
      <c r="LN128" s="312"/>
      <c r="LO128" s="312"/>
      <c r="LP128" s="312"/>
      <c r="LQ128" s="312"/>
      <c r="LR128" s="312"/>
      <c r="LS128" s="312"/>
      <c r="LT128" s="312"/>
      <c r="LU128" s="312"/>
      <c r="LV128" s="312"/>
      <c r="LW128" s="312"/>
      <c r="LX128" s="312"/>
      <c r="LY128" s="312"/>
      <c r="LZ128" s="312"/>
      <c r="MA128" s="312"/>
      <c r="MB128" s="312"/>
      <c r="MC128" s="312"/>
      <c r="MD128" s="312"/>
      <c r="ME128" s="312"/>
      <c r="MF128" s="312"/>
      <c r="MG128" s="312"/>
      <c r="MH128" s="43">
        <f t="shared" si="458"/>
        <v>0</v>
      </c>
      <c r="MI128" s="43" t="str">
        <f t="shared" si="459"/>
        <v/>
      </c>
      <c r="MJ128" s="43" t="str">
        <f t="shared" si="460"/>
        <v/>
      </c>
      <c r="MK128" s="43">
        <f t="shared" si="461"/>
        <v>0</v>
      </c>
      <c r="ML1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8" s="43">
        <f t="shared" si="462"/>
        <v>17.285714285714285</v>
      </c>
      <c r="MN128" s="43">
        <f t="shared" si="463"/>
        <v>3</v>
      </c>
      <c r="MO128" s="43">
        <f t="shared" si="464"/>
        <v>2023</v>
      </c>
      <c r="MP128" s="43" t="str">
        <f t="shared" si="465"/>
        <v>I TRIMESTRE AÑO</v>
      </c>
      <c r="MQ128" s="43">
        <f t="shared" si="466"/>
        <v>20.471966710468681</v>
      </c>
      <c r="MR128" s="43">
        <f t="shared" si="467"/>
        <v>0</v>
      </c>
      <c r="MS128" s="43" t="str">
        <f t="shared" si="468"/>
        <v xml:space="preserve"> DE 20 A 24 AÑOS</v>
      </c>
      <c r="MT128" s="43">
        <f t="shared" si="469"/>
        <v>0</v>
      </c>
      <c r="MU128" s="43">
        <f t="shared" si="470"/>
        <v>1</v>
      </c>
      <c r="MV128" s="43">
        <f t="shared" si="471"/>
        <v>1</v>
      </c>
      <c r="MW128" s="43">
        <f t="shared" si="472"/>
        <v>0</v>
      </c>
      <c r="MX128" s="43" t="str">
        <f t="shared" si="473"/>
        <v/>
      </c>
      <c r="MY128" s="43" t="str">
        <f t="shared" ca="1" si="495"/>
        <v/>
      </c>
      <c r="MZ128" s="43" t="str">
        <f t="shared" si="474"/>
        <v/>
      </c>
      <c r="NA128" s="43">
        <f t="shared" si="475"/>
        <v>0</v>
      </c>
      <c r="NB128" s="43" t="str">
        <f t="shared" si="476"/>
        <v/>
      </c>
      <c r="NC128" s="43" t="str">
        <f t="shared" si="477"/>
        <v/>
      </c>
      <c r="ND128" s="43">
        <f t="shared" ca="1" si="478"/>
        <v>5</v>
      </c>
      <c r="NE128" s="43">
        <f>IF(OR(O128&gt;0,R128&gt;0),SUM(COUNTIF(Tabla1[[#This Row],[AÑOS AL INICIO5 CPN]],"&gt;=40"),COUNTIF(AS128,"0"),COUNTIF(AR128,"SI"),COUNTIF(CC128,"SI"),COUNTIF(BQ128,"&gt;119"),COUNTIF(CI128,"&gt;=35")),"")</f>
        <v>0</v>
      </c>
      <c r="NF128" s="43">
        <f t="shared" si="479"/>
        <v>21.857142857142858</v>
      </c>
      <c r="NG128" s="43">
        <f t="shared" si="480"/>
        <v>0</v>
      </c>
      <c r="NH128" s="43">
        <f t="shared" si="481"/>
        <v>120.39999999999999</v>
      </c>
      <c r="NI1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CPN",P128="NO"),"Z",IF(AND(Tabla1[[#This Row],[CITA PROXIMO CONTROL]]="CITA MANUAL",Tabla1[[#This Row],[GESTANTES ACTUALES]]="ACTIVA INGRESO A CPN"),"W",IF(AND(Tabla1[[#This Row],[GESTANTES ACTUALES]]="SALIO PROGRAMA",IN128=""),"S",IF(AND(Tabla1[[#This Row],[CITA PROXIMO CONTROL]]&gt;0,IN128=""),(Tabla1[[#This Row],[CITA PROXIMO CONTROL]]-TODAY()),"SD"))))))))</f>
        <v>#REF!</v>
      </c>
      <c r="NJ128" s="43">
        <f>MONTH(Tabla1[[#This Row],[FECHA DE SALIDA  DEL PROGRAMA]])</f>
        <v>1</v>
      </c>
      <c r="NK128" s="43">
        <f>YEAR(Tabla1[[#This Row],[FECHA DE SALIDA  DEL PROGRAMA]])</f>
        <v>1900</v>
      </c>
      <c r="NL128" s="43" t="str">
        <f t="shared" si="482"/>
        <v>X</v>
      </c>
      <c r="NM128" s="43" t="str">
        <f t="shared" ref="NM128:NM159" si="500">IF(AND(O128&gt;0,R128=""),"NO CPN",IF(AND(O128="",R128=""),"",IF(AND(EN128&lt;&gt;"",EX128&lt;&gt;"",FB128&lt;&gt;"",FK128&lt;&gt;"",FW128&lt;&gt;"",FZ128&lt;&gt;"",GO128&lt;&gt;"",GQ128&lt;&gt;"",GR128&lt;&gt;""),"SI","NO")))</f>
        <v>NO</v>
      </c>
      <c r="NN128" s="43" t="str">
        <f ca="1">IF(AND(O128&gt;0,R128=""),"NO CPN",IF(AND(O128="",R128=""),"",IF(AND(R128&gt;0,Tabla1[[#This Row],[SEMANAS DE GESTACION ACTUALIZADAS]]&lt;=12),"NO APLICA",IF(AND(FH128&lt;&gt;"",FN128&lt;&gt;""),"SI","NO"))))</f>
        <v>NO</v>
      </c>
      <c r="NO128" s="43" t="str">
        <f ca="1">IF(AND(O128&gt;0,R128=""),"NO CPN",IF(AND(O128="",R128=""),"",IF(AND(R128&gt;0,Tabla1[[#This Row],[SEMANAS DE GESTACION ACTUALIZADAS]]&lt;=27),"NO APLICA",IF(AND(ES128&lt;&gt;"",FQ128&lt;&gt;"",GF128&lt;&gt;""),"SI","NO"))))</f>
        <v>SI</v>
      </c>
      <c r="NP128" s="204" t="str">
        <f t="shared" si="483"/>
        <v>II TRIM</v>
      </c>
      <c r="NQ128" s="21" t="str">
        <f t="shared" si="499"/>
        <v/>
      </c>
      <c r="NR128" s="21" t="str">
        <f t="shared" ca="1" si="496"/>
        <v>REVISAR FUM O FECHA SALIDA PROGRAMA</v>
      </c>
      <c r="NS128" s="205">
        <f t="shared" ca="1" si="484"/>
        <v>2</v>
      </c>
      <c r="NT128" s="21">
        <f t="shared" ca="1" si="485"/>
        <v>2</v>
      </c>
      <c r="NU128" s="21" t="str">
        <f t="shared" ca="1" si="486"/>
        <v>POR DEFINIR</v>
      </c>
      <c r="NV128" s="21" t="str">
        <f t="shared" ca="1" si="487"/>
        <v>POR DEFINIR</v>
      </c>
      <c r="NW128" s="206" t="str">
        <f>IF(AND(O128="",R128=""),"",IF(OR(AND(Tabla1[[#This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8" s="207" t="str">
        <f t="shared" ca="1" si="488"/>
        <v>VACUNADA</v>
      </c>
      <c r="NY128" s="43">
        <f>ROW(Tabla1[[#This Row],['# DE TAMIZAJES SIFILIS TOMADOS ]])</f>
        <v>128</v>
      </c>
      <c r="NZ128" s="43">
        <f t="shared" si="333"/>
        <v>17</v>
      </c>
      <c r="OA128" s="43" t="str">
        <f t="shared" si="334"/>
        <v/>
      </c>
      <c r="OB128" s="43" t="str">
        <f t="shared" si="335"/>
        <v/>
      </c>
      <c r="OC128" s="43" t="str">
        <f t="shared" si="336"/>
        <v/>
      </c>
      <c r="OD128" s="43" t="str">
        <f t="shared" si="337"/>
        <v/>
      </c>
      <c r="OE128" s="43" t="str">
        <f t="shared" si="338"/>
        <v/>
      </c>
      <c r="OF128" s="43" t="str">
        <f t="shared" si="339"/>
        <v/>
      </c>
      <c r="OG128" s="43" t="str">
        <f t="shared" si="340"/>
        <v/>
      </c>
      <c r="OH128" s="43" t="str">
        <f t="shared" si="341"/>
        <v/>
      </c>
      <c r="OI128" s="43" t="str">
        <f t="shared" si="342"/>
        <v>NORMAL</v>
      </c>
      <c r="OJ128" s="43" t="str">
        <f t="shared" si="343"/>
        <v/>
      </c>
      <c r="OK128" s="43" t="str">
        <f t="shared" si="344"/>
        <v/>
      </c>
      <c r="OL128" s="43" t="str">
        <f t="shared" si="345"/>
        <v/>
      </c>
      <c r="OM128" s="43" t="str">
        <f t="shared" si="346"/>
        <v/>
      </c>
      <c r="ON128" s="43" t="str">
        <f t="shared" si="347"/>
        <v/>
      </c>
      <c r="OO128" s="43" t="str">
        <f t="shared" si="348"/>
        <v/>
      </c>
      <c r="OP128" s="43" t="str">
        <f t="shared" si="349"/>
        <v/>
      </c>
      <c r="OQ128" s="43" t="str">
        <f t="shared" si="350"/>
        <v/>
      </c>
      <c r="OR128" s="43" t="str">
        <f t="shared" si="351"/>
        <v/>
      </c>
      <c r="OS128" s="43" t="str">
        <f t="shared" si="352"/>
        <v/>
      </c>
      <c r="OT128" s="43" t="str">
        <f t="shared" si="353"/>
        <v/>
      </c>
      <c r="OU128" s="43" t="str">
        <f t="shared" si="354"/>
        <v/>
      </c>
      <c r="OV128" s="110" t="str">
        <f t="shared" si="355"/>
        <v/>
      </c>
      <c r="OW128" s="43" t="str">
        <f t="shared" si="356"/>
        <v/>
      </c>
      <c r="OX128" s="43" t="str">
        <f t="shared" si="357"/>
        <v/>
      </c>
      <c r="OY128" s="43" t="str">
        <f t="shared" si="358"/>
        <v/>
      </c>
      <c r="OZ128" s="43" t="str">
        <f t="shared" si="359"/>
        <v/>
      </c>
      <c r="PA128" s="43" t="str">
        <f t="shared" si="360"/>
        <v/>
      </c>
      <c r="PB128" s="43" t="str">
        <f t="shared" si="361"/>
        <v/>
      </c>
      <c r="PC128" s="43" t="str">
        <f t="shared" si="362"/>
        <v/>
      </c>
      <c r="PD128" s="43" t="str">
        <f t="shared" si="363"/>
        <v/>
      </c>
      <c r="PE128" s="43" t="str">
        <f t="shared" si="364"/>
        <v/>
      </c>
      <c r="PF128" s="43" t="str">
        <f t="shared" si="365"/>
        <v/>
      </c>
      <c r="PG128" s="43" t="str">
        <f t="shared" si="366"/>
        <v/>
      </c>
      <c r="PH128" s="43" t="str">
        <f t="shared" si="367"/>
        <v/>
      </c>
      <c r="PI128" s="43">
        <f t="shared" si="368"/>
        <v>33</v>
      </c>
      <c r="PJ128" s="43" t="str">
        <f t="shared" si="369"/>
        <v/>
      </c>
      <c r="PK128" s="43" t="str">
        <f t="shared" si="370"/>
        <v/>
      </c>
      <c r="PL128" s="43" t="str">
        <f t="shared" si="371"/>
        <v/>
      </c>
      <c r="PM128" s="43" t="str">
        <f t="shared" si="372"/>
        <v/>
      </c>
      <c r="PN128" s="43" t="str">
        <f t="shared" si="373"/>
        <v/>
      </c>
      <c r="PO128" s="43" t="str">
        <f t="shared" si="374"/>
        <v/>
      </c>
      <c r="PP128" s="43" t="str">
        <f t="shared" si="375"/>
        <v/>
      </c>
      <c r="PQ128" s="43" t="str">
        <f t="shared" si="376"/>
        <v/>
      </c>
      <c r="PR128" s="43" t="str">
        <f t="shared" si="377"/>
        <v/>
      </c>
      <c r="PS128" s="43" t="str">
        <f t="shared" si="378"/>
        <v/>
      </c>
      <c r="PT128" s="43" t="str">
        <f t="shared" si="379"/>
        <v/>
      </c>
      <c r="PU128" s="43" t="str">
        <f t="shared" si="380"/>
        <v/>
      </c>
      <c r="PV128" s="43" t="str">
        <f t="shared" si="381"/>
        <v/>
      </c>
      <c r="PW128" s="43" t="str">
        <f t="shared" si="382"/>
        <v/>
      </c>
      <c r="PX128" s="43" t="str">
        <f t="shared" si="383"/>
        <v/>
      </c>
      <c r="PY128" s="43" t="str">
        <f t="shared" si="384"/>
        <v/>
      </c>
      <c r="PZ128" s="43" t="str">
        <f t="shared" si="385"/>
        <v/>
      </c>
      <c r="QA128" s="43" t="str">
        <f t="shared" si="386"/>
        <v/>
      </c>
      <c r="QB128" s="43" t="str">
        <f t="shared" si="387"/>
        <v/>
      </c>
      <c r="QC128" s="43" t="str">
        <f t="shared" si="388"/>
        <v/>
      </c>
      <c r="QD128" s="43" t="str">
        <f t="shared" si="389"/>
        <v/>
      </c>
      <c r="QE128" s="43" t="str">
        <f t="shared" si="390"/>
        <v/>
      </c>
      <c r="QF128" s="43" t="str">
        <f t="shared" si="391"/>
        <v/>
      </c>
      <c r="QG128" s="43" t="str">
        <f t="shared" si="392"/>
        <v/>
      </c>
      <c r="QH128" s="43" t="str">
        <f t="shared" si="393"/>
        <v>SOBREPESO</v>
      </c>
      <c r="QI128" s="43" t="str">
        <f t="shared" si="394"/>
        <v/>
      </c>
      <c r="QJ128" s="43" t="str">
        <f t="shared" si="395"/>
        <v/>
      </c>
      <c r="QK128" s="43" t="str">
        <f t="shared" si="396"/>
        <v/>
      </c>
      <c r="QL128" s="43" t="str">
        <f t="shared" si="397"/>
        <v/>
      </c>
      <c r="QM128" s="43" t="str">
        <f t="shared" si="398"/>
        <v/>
      </c>
      <c r="QN128" s="43" t="str">
        <f t="shared" si="399"/>
        <v/>
      </c>
      <c r="QO128" s="43" t="str">
        <f t="shared" si="400"/>
        <v/>
      </c>
      <c r="QP128" s="43" t="str">
        <f t="shared" si="401"/>
        <v/>
      </c>
      <c r="QQ128" s="43" t="str">
        <f t="shared" si="402"/>
        <v/>
      </c>
      <c r="QR128" s="43">
        <f t="shared" si="432"/>
        <v>33</v>
      </c>
      <c r="QS128" s="43"/>
      <c r="QT128" s="21" t="str">
        <f t="shared" si="403"/>
        <v/>
      </c>
      <c r="QU128" s="21" t="str">
        <f t="shared" si="404"/>
        <v/>
      </c>
      <c r="QV128" s="21" t="str">
        <f t="shared" si="405"/>
        <v/>
      </c>
      <c r="QW128" s="21" t="str">
        <f t="shared" si="406"/>
        <v/>
      </c>
      <c r="QX128" s="21" t="str">
        <f t="shared" si="407"/>
        <v/>
      </c>
      <c r="QY128" s="21" t="str">
        <f t="shared" si="408"/>
        <v/>
      </c>
      <c r="QZ128" s="21" t="str">
        <f t="shared" si="409"/>
        <v/>
      </c>
      <c r="RA128" s="21" t="str">
        <f t="shared" si="410"/>
        <v/>
      </c>
      <c r="RB128" s="21" t="str">
        <f t="shared" si="411"/>
        <v/>
      </c>
      <c r="RC128" s="21" t="str">
        <f t="shared" si="412"/>
        <v/>
      </c>
      <c r="RD128" s="21" t="str">
        <f t="shared" si="413"/>
        <v/>
      </c>
      <c r="RE128" s="21" t="str">
        <f t="shared" si="414"/>
        <v/>
      </c>
      <c r="RF128" s="21" t="str">
        <f t="shared" si="415"/>
        <v/>
      </c>
      <c r="RG128" s="21" t="str">
        <f t="shared" si="416"/>
        <v/>
      </c>
      <c r="RH128" s="21" t="str">
        <f t="shared" si="417"/>
        <v/>
      </c>
      <c r="RI128" s="21" t="str">
        <f t="shared" si="418"/>
        <v/>
      </c>
      <c r="RJ128" s="21" t="str">
        <f t="shared" si="419"/>
        <v/>
      </c>
      <c r="RK128" s="21" t="str">
        <f t="shared" si="420"/>
        <v/>
      </c>
      <c r="RL128" s="21" t="str">
        <f t="shared" si="421"/>
        <v/>
      </c>
      <c r="RM128" s="21" t="str">
        <f t="shared" si="422"/>
        <v/>
      </c>
      <c r="RN128" s="21" t="str">
        <f t="shared" si="423"/>
        <v>ADECUADO PARA EDAD GESTACIONAL</v>
      </c>
      <c r="RO128" s="21" t="str">
        <f t="shared" si="424"/>
        <v/>
      </c>
      <c r="RP128" s="21" t="str">
        <f t="shared" si="425"/>
        <v/>
      </c>
      <c r="RQ128" s="21" t="str">
        <f t="shared" si="426"/>
        <v/>
      </c>
      <c r="RR128" s="21" t="str">
        <f t="shared" si="427"/>
        <v/>
      </c>
      <c r="RS128" s="21" t="str">
        <f t="shared" si="428"/>
        <v/>
      </c>
      <c r="RT128" s="21" t="str">
        <f t="shared" si="429"/>
        <v/>
      </c>
      <c r="RU128" s="21" t="str">
        <f t="shared" si="430"/>
        <v/>
      </c>
      <c r="RV128" s="21">
        <f t="shared" si="431"/>
        <v>17.285714285714285</v>
      </c>
      <c r="RW128" s="284">
        <f>IF(OR(Tabla1[[#This Row],[FUM FORMULA CONFIABLE]]="",Tabla1[[#This Row],[FUM FORMULA CONFIABLE]]="SD"),"",IF(Tabla1[[#This Row],[FUM FORMULA CONFIABLE]]="CORREGIDA",Tabla1[[#This Row],[FUM X ECO 1]],Tabla1[[#This Row],[FUM x AMENORREA]]))</f>
        <v>44874</v>
      </c>
      <c r="RX128" s="21">
        <f>IF(AND(Tabla1[[#This Row],[FUM X ECO 1]]="",Tabla1[[#This Row],[FUM x AMENORREA]]=""),"",IF(AND(Tabla1[[#This Row],[FUM X ECO 1]]="",Tabla1[[#This Row],[FUM x AMENORREA]]&lt;&gt;""),"X",SUM(Tabla1[[#This Row],[FUM X ECO 1]]-Tabla1[[#This Row],[FUM x AMENORREA]])))</f>
        <v>0.59999999999854481</v>
      </c>
      <c r="RY128" s="21">
        <f t="shared" si="433"/>
        <v>0</v>
      </c>
    </row>
    <row r="129" spans="1:493" ht="45" customHeight="1" x14ac:dyDescent="0.25">
      <c r="A129" s="109" t="s">
        <v>1377</v>
      </c>
      <c r="B129" s="43"/>
      <c r="C129" s="43" t="s">
        <v>845</v>
      </c>
      <c r="D129" s="124"/>
      <c r="E129" s="43" t="s">
        <v>1365</v>
      </c>
      <c r="F129" s="43" t="s">
        <v>1378</v>
      </c>
      <c r="G129" s="43" t="s">
        <v>1379</v>
      </c>
      <c r="H129" s="43"/>
      <c r="I129" s="109" t="s">
        <v>851</v>
      </c>
      <c r="J129" s="110">
        <v>1059594610</v>
      </c>
      <c r="K129" s="43" t="s">
        <v>852</v>
      </c>
      <c r="L129" s="175" t="s">
        <v>853</v>
      </c>
      <c r="M129" s="22">
        <v>31303</v>
      </c>
      <c r="N129" s="213">
        <f t="shared" ca="1" si="252"/>
        <v>38.164383561643838</v>
      </c>
      <c r="O129" s="22">
        <v>44995</v>
      </c>
      <c r="P129" s="214" t="str">
        <f t="shared" si="437"/>
        <v>SI</v>
      </c>
      <c r="Q129" s="26" t="s">
        <v>855</v>
      </c>
      <c r="R129" s="22">
        <v>44995</v>
      </c>
      <c r="S129" s="21" t="s">
        <v>856</v>
      </c>
      <c r="T129" s="24" t="s">
        <v>690</v>
      </c>
      <c r="U129" s="21" t="s">
        <v>857</v>
      </c>
      <c r="V129" s="21"/>
      <c r="W129" s="21" t="s">
        <v>1569</v>
      </c>
      <c r="X129" s="21"/>
      <c r="Y129" s="21"/>
      <c r="Z129" s="21" t="s">
        <v>1570</v>
      </c>
      <c r="AA129" s="21" t="s">
        <v>860</v>
      </c>
      <c r="AB129" s="27" t="s">
        <v>861</v>
      </c>
      <c r="AC129" s="26" t="s">
        <v>877</v>
      </c>
      <c r="AD129" s="38" t="s">
        <v>1546</v>
      </c>
      <c r="AE129" s="26" t="s">
        <v>854</v>
      </c>
      <c r="AF129" s="26" t="s">
        <v>854</v>
      </c>
      <c r="AG129" s="23" t="s">
        <v>864</v>
      </c>
      <c r="AH129" s="23" t="s">
        <v>864</v>
      </c>
      <c r="AI129" s="24" t="s">
        <v>863</v>
      </c>
      <c r="AJ129" s="23" t="s">
        <v>864</v>
      </c>
      <c r="AK129" s="220" t="str">
        <f>IF(AND(AD129="",AE129="",AF129="",AG129="",AH129="",AI129="",AJ129=""),"",IF(OR(Tabla1[[#This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EVALUACIÓN",IF(AND(O129="",R129=""),"",IF(AND(OR(O129&gt;0,R129&gt;0),NG129&gt;=0,NG129&lt;2),"SIN RIESGO",IF(AND(OR(O129&gt;0,R129&gt;0),NG129&gt;=2),"CON RIESGO","ASD")))))</f>
        <v>SIN RIESGO</v>
      </c>
      <c r="AL129" s="23" t="s">
        <v>864</v>
      </c>
      <c r="AM129" s="26" t="s">
        <v>864</v>
      </c>
      <c r="AN129" s="26" t="s">
        <v>864</v>
      </c>
      <c r="AO129" s="26" t="s">
        <v>864</v>
      </c>
      <c r="AP129" s="26" t="s">
        <v>864</v>
      </c>
      <c r="AQ129" s="26" t="s">
        <v>864</v>
      </c>
      <c r="AR129" s="26" t="s">
        <v>864</v>
      </c>
      <c r="AS129" s="21">
        <v>3</v>
      </c>
      <c r="AT129" s="21">
        <v>3</v>
      </c>
      <c r="AU129" s="21">
        <v>0</v>
      </c>
      <c r="AV129" s="26" t="s">
        <v>864</v>
      </c>
      <c r="AW129" s="21">
        <v>0</v>
      </c>
      <c r="AX129" s="26" t="s">
        <v>864</v>
      </c>
      <c r="AY129" s="26" t="s">
        <v>864</v>
      </c>
      <c r="AZ129" s="26" t="s">
        <v>864</v>
      </c>
      <c r="BA129" s="26" t="s">
        <v>864</v>
      </c>
      <c r="BB129" s="26" t="s">
        <v>864</v>
      </c>
      <c r="BC129" s="26" t="s">
        <v>864</v>
      </c>
      <c r="BD129" s="26" t="s">
        <v>864</v>
      </c>
      <c r="BE129" s="26" t="s">
        <v>864</v>
      </c>
      <c r="BF129" s="26" t="s">
        <v>864</v>
      </c>
      <c r="BG129" s="26" t="s">
        <v>864</v>
      </c>
      <c r="BH129" s="26" t="s">
        <v>864</v>
      </c>
      <c r="BI129" s="26" t="s">
        <v>864</v>
      </c>
      <c r="BJ129" s="26" t="s">
        <v>864</v>
      </c>
      <c r="BK129" s="26" t="s">
        <v>865</v>
      </c>
      <c r="BL129" s="26" t="s">
        <v>864</v>
      </c>
      <c r="BM129" s="26" t="s">
        <v>864</v>
      </c>
      <c r="BN129" s="22">
        <v>41834</v>
      </c>
      <c r="BO129" s="22">
        <v>44908</v>
      </c>
      <c r="BP129" s="21" t="s">
        <v>1380</v>
      </c>
      <c r="BQ129" s="222">
        <f t="shared" si="254"/>
        <v>102.07666666666677</v>
      </c>
      <c r="BR129" s="223">
        <f t="shared" si="255"/>
        <v>44896.3</v>
      </c>
      <c r="BS129" s="224">
        <f t="shared" si="256"/>
        <v>14.099999999999584</v>
      </c>
      <c r="BT129" s="216" t="str">
        <f t="shared" si="257"/>
        <v>II TRIM</v>
      </c>
      <c r="BU129" s="214" t="str">
        <f t="shared" ca="1" si="258"/>
        <v/>
      </c>
      <c r="BV129" s="25" t="s">
        <v>988</v>
      </c>
      <c r="BW129" s="22">
        <v>44995</v>
      </c>
      <c r="BX129" s="28">
        <v>14.1</v>
      </c>
      <c r="BY129" s="28" t="s">
        <v>989</v>
      </c>
      <c r="BZ129" s="22">
        <v>45062</v>
      </c>
      <c r="CA129" s="21">
        <v>23.5</v>
      </c>
      <c r="CB129" s="26" t="s">
        <v>864</v>
      </c>
      <c r="CC129" s="26" t="s">
        <v>864</v>
      </c>
      <c r="CD129" s="26"/>
      <c r="CE129" s="26" t="s">
        <v>864</v>
      </c>
      <c r="CF129" s="22" t="s">
        <v>1517</v>
      </c>
      <c r="CG129" s="21">
        <v>1.49</v>
      </c>
      <c r="CH129" s="21">
        <v>55.2</v>
      </c>
      <c r="CI129" s="214">
        <f t="shared" si="259"/>
        <v>24.863744876356922</v>
      </c>
      <c r="CJ129" s="225" t="e">
        <f>IF(AND(CI129&lt;10,CH129="SD"),"SIN DATO PESO PREGESTACION O I TRIM",IF(AND(OR(R129&gt;0,O129&gt;0),CI129="X"),"INGRESAR DATO DE PESO",IF(CI129="SD","INGRESAR DATO DE TALLA Y PESO",IF(AND(OR(Tabla1[[#This Row],[MOMENTO EN QUE SE REALIZA EL PESO AL INGRESO A CPN]]="PREGESTACIÓN",NZ129="Menor"),CI129&lt;18.5),"BAJO PESO",IF(AND(OR(Tabla1[[#This Row],[MOMENTO EN QUE SE REALIZA EL PESO AL INGRESO A CPN]]="PREGESTACIÓN",NZ129="Menor"),CI129&lt;25),"NORMAL",IF(AND(OR(Tabla1[[#This Row],[MOMENTO EN QUE SE REALIZA EL PESO AL INGRESO A CPN]]="PREGESTACIÓN",NZ129="Menor"),CI129&lt;30),"SOBREPESO",IF(AND(OR(Tabla1[[#This Row],[MOMENTO EN QUE SE REALIZA EL PESO AL INGRESO A CPN]]="PREGESTACIÓN",NZ129="Menor"),CI129&gt;=30,CI129&lt;50),"OBESIDAD",IF(AND(BS129&gt;0,Tabla1[[#This Row],[MOMENTO EN QUE SE REALIZA EL PESO AL INGRESO A CPN]]="GESTACIÓN"),HLOOKUP(NZ129,$OA$2:PH129,NY129),""))))))))</f>
        <v>#REF!</v>
      </c>
      <c r="CK129" s="212">
        <f t="shared" si="260"/>
        <v>45141</v>
      </c>
      <c r="CL129" s="21">
        <v>64</v>
      </c>
      <c r="CM129" s="214">
        <f t="shared" si="261"/>
        <v>28.827530291428314</v>
      </c>
      <c r="CN129" s="216">
        <f t="shared" si="262"/>
        <v>34</v>
      </c>
      <c r="CO129" s="216" t="e">
        <f>IF(PI129="","",IF(PI129&gt;0,HLOOKUP(PI129,$PJ$2:QQ129,NY129),""))</f>
        <v>#REF!</v>
      </c>
      <c r="CP129" s="21">
        <v>34</v>
      </c>
      <c r="CQ129" s="216" t="e">
        <f>IF(QR129="Menor","NO APLICA-MENOR 13 SEM",IF(AND(CC129="SI",CN129&gt;23),"NO APLICA- GEMELAR",IF(QR129="","",IF(QR129&gt;0,HLOOKUP(QR129,$QS$2:RU129,NY129),""))))</f>
        <v>#REF!</v>
      </c>
      <c r="CR129" s="21"/>
      <c r="CS129" s="21"/>
      <c r="CT129" s="217" t="str">
        <f>IF(R129="","",IF(AND(BS129&gt;1,BS129&lt;12,Tabla1[[#This Row],[T.A. SISTOLICA - ANTES DE SEMANA 12]]="",Tabla1[[#This Row],[T.A. DIASTOLICA - ANTES DE SEMANA 12]]=""),"REGISTRE DATO TA ANTES SEMANA 12",IF(AND(BS129&gt;11,BS129&lt;43,Tabla1[[#This Row],[T.A. SISTOLICA - ANTES DE SEMANA 12]]="",Tabla1[[#This Row],[T.A. DIASTOLICA - ANTES DE SEMANA 12]]=""),"NO APLICA REGISTRO TA-INGRESO TARDIO",IF(AND(OR(O129&gt;0,R129&gt;0),OR(CR129&gt;=140,CS129&gt;=90)),"DEFINIR ESTADIO HTA",IF(AND(OR(O129&gt;0,R129&gt;0),AND(CR129&gt;120,CR129&lt;=139)),"PRE HTA SEGUIMIENTO",IF(AND(OR(O129&gt;0,R129&gt;0),AND(CS129&gt;80,CS129&lt;=89)),"PRE HTA SEGUIMIENTO",IF(AND(OR(O129&gt;0,R129&gt;0),AND(CR129&gt;=80,CR129&lt;=120)),"APARENTEMENTE NORMAL",IF(AND(OR(O129&gt;0,R129&gt;0),AND(CS129&gt;=50,CS129&lt;=80)),"APARENTEMENTE NORMAL",IF(AND(OR(O129&gt;0,R129&gt;0),AND(CR129&gt;1,CR129&lt;=70),AND(CS129&gt;1,CS129&lt;=40)),"HIPOTENSIÓN","")))))))))</f>
        <v>NO APLICA REGISTRO TA-INGRESO TARDIO</v>
      </c>
      <c r="CU129" s="21"/>
      <c r="CV129" s="21"/>
      <c r="CW129" s="217" t="str">
        <f ca="1">IF(R129="","",IF(AND(CN129&gt;19,CN129&lt;27,Tabla1[[#This Row],[T.A. SISTOLICA (Entre semana 20 y 26)]]="",Tabla1[[#This Row],[T.A. DIATOLICA (Entre semana 20 y 26)]]=""),"ACUDE A CONTROL SEM 20 A 26 REGISTRE TA AHORA",IF(AND(BS129&gt;1,BS129&lt;27,BU129&gt;19,Tabla1[[#This Row],[T.A. SISTOLICA (Entre semana 20 y 26)]]="",Tabla1[[#This Row],[T.A. DIATOLICA (Entre semana 20 y 26)]]=""),"COMPLETE REGISTRO TA CONTROL SEM 20 A26 ",IF(AND(BS129&gt;26,BS129&lt;43,Tabla1[[#This Row],[T.A. SISTOLICA (Entre semana 20 y 26)]]="",Tabla1[[#This Row],[T.A. DIATOLICA (Entre semana 20 y 26)]]=""),"NO APLICA REGISTRO TA-INGRESO TARDIO",IF(AND(OR(O129&gt;0,R129&gt;0),OR(CU129&gt;=140,CV129&gt;=90)),"ALTO RIESGO PREECLAMPSIA,DEFINIR ESTADIO HTA",IF(AND(OR(O129&gt;0,R129&gt;0),AND(CU129&gt;120,CU129&lt;=139)),"PRE HTA SEGUIMIENTO,RIESGO HIPERTENSION INDUCIDA POR EL EMBARAZO",IF(AND(OR(O129&gt;0,R129&gt;0),AND(CV129&gt;80,CV129&lt;=89)),"PRE HTA SEGUIMIENTO, RIESGO HIPERTENSION INDUCIDA POR EL EMBARAZO",IF(AND(OR(O129&lt;&gt;"",R129&lt;&gt;""),CS129&lt;&gt;"",CV129&lt;&gt;"",CS129&lt;=CV129),"VIGILAR CIFRAS PRESION ARTERIAL",IF(AND(OR(O129&gt;0,R129&gt;0),AND(CU129&gt;120,CU129&lt;=139)),"PRE HTA SEGUIMIENTO",IF(AND(OR(O129&gt;0,R129&gt;0),AND(CU129&gt;1,CU129&lt;=70),AND(CV129&gt;1,CV129&lt;=40)),"HIPOTENSIÓN",IF(AND(OR(O129&lt;&gt;"",R129&lt;&gt;""),CS129&lt;&gt;"",CV129&lt;&gt;"",CS129&gt;CV129),"APARENTEMENTE NORMAL",IF(AND(OR(O129&gt;0,R129&gt;0),AND(CU129&gt;=80,CU129&lt;=120)),"APARENTEMENTE NORMAL",IF(AND(OR(O129&gt;0,R129&gt;0),AND(CV129&gt;=50,CV129&lt;=80)),"APARENTEMENTE NORMAL","")))))))))))))</f>
        <v xml:space="preserve">COMPLETE REGISTRO TA CONTROL SEM 20 A26 </v>
      </c>
      <c r="CX129" s="21">
        <v>100</v>
      </c>
      <c r="CY129" s="21">
        <v>70</v>
      </c>
      <c r="CZ129" s="216" t="str">
        <f t="shared" si="498"/>
        <v>APARENTEMENTE NORMAL</v>
      </c>
      <c r="DA129" s="21">
        <v>100</v>
      </c>
      <c r="DB129" s="21">
        <v>70</v>
      </c>
      <c r="DC129" s="217" t="str">
        <f t="shared" si="264"/>
        <v>APARENTEMENTE NORMAL</v>
      </c>
      <c r="DD129" s="22">
        <v>44995</v>
      </c>
      <c r="DE129" s="22">
        <v>44995</v>
      </c>
      <c r="DF129" s="22">
        <v>45043</v>
      </c>
      <c r="DG129" s="22"/>
      <c r="DH129" s="22"/>
      <c r="DI129" s="22">
        <v>45141</v>
      </c>
      <c r="DJ129" s="22"/>
      <c r="DK129" s="22"/>
      <c r="DL129" s="22"/>
      <c r="DM129" s="22"/>
      <c r="DN129" s="22"/>
      <c r="DO129" s="22"/>
      <c r="DP129" s="22"/>
      <c r="DQ129" s="22"/>
      <c r="DR129" s="28">
        <v>1</v>
      </c>
      <c r="DS129" s="22"/>
      <c r="DT129" s="22"/>
      <c r="DU129" s="216" t="str">
        <f t="shared" ca="1" si="438"/>
        <v>CONCERTAR PLAN DE PARTO INMEDIATO</v>
      </c>
      <c r="DV129" s="226" t="str">
        <f t="shared" si="439"/>
        <v>ACTIVA INGRESO A CPN</v>
      </c>
      <c r="DW1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29" s="216" t="e">
        <f t="shared" ca="1" si="266"/>
        <v>#REF!</v>
      </c>
      <c r="DY129" s="212">
        <f>IF(R129="","",IF(R129&gt;0,MAX(Tabla1[[#This Row],[FECHA C2]:[FECHA C13]],Tabla1[[#This Row],[FECHA CONSULTA PRIMERA VEZ PROGRAMA CPN ]])))</f>
        <v>45141</v>
      </c>
      <c r="DZ129" s="216">
        <f t="shared" si="267"/>
        <v>34</v>
      </c>
      <c r="EA129" s="222">
        <f>IF(R129&gt;0,SUM(COUNTA(DF129:DQ129)+COUNTA(Tabla1[[#This Row],[FECHA CONSULTA PRIMERA VEZ PROGRAMA CPN ]])),"")</f>
        <v>3</v>
      </c>
      <c r="EB129" s="222" t="str">
        <f t="shared" si="268"/>
        <v>NO</v>
      </c>
      <c r="EC129" s="214">
        <f t="shared" si="269"/>
        <v>8</v>
      </c>
      <c r="ED129" s="227">
        <f t="shared" si="270"/>
        <v>0.375</v>
      </c>
      <c r="EE129" s="22">
        <v>44995</v>
      </c>
      <c r="EF129" s="22">
        <v>44995</v>
      </c>
      <c r="EG129" s="22">
        <v>44995</v>
      </c>
      <c r="EH129" s="22"/>
      <c r="EI129" s="22">
        <v>44995</v>
      </c>
      <c r="EJ129" s="22">
        <v>45065</v>
      </c>
      <c r="EK129" s="22"/>
      <c r="EL129" s="21"/>
      <c r="EM129" s="21">
        <v>14.9</v>
      </c>
      <c r="EN129" s="22">
        <v>44995</v>
      </c>
      <c r="EO129" s="222">
        <f t="shared" si="271"/>
        <v>14.099999999999584</v>
      </c>
      <c r="EP129" s="214" t="str">
        <f t="shared" si="272"/>
        <v>NO DAR SULFATO FERROSO</v>
      </c>
      <c r="EQ129" s="216" t="str">
        <f t="shared" si="273"/>
        <v>II TRIM</v>
      </c>
      <c r="ER129" s="24"/>
      <c r="ES129" s="22"/>
      <c r="ET129" s="29" t="str">
        <f t="shared" ca="1" si="440"/>
        <v>TOMA DE HEMOGLOBINA TARDÍA</v>
      </c>
      <c r="EU129" s="25" t="str">
        <f t="shared" si="275"/>
        <v/>
      </c>
      <c r="EV129" s="24" t="s">
        <v>1510</v>
      </c>
      <c r="EW129" s="32">
        <v>44995</v>
      </c>
      <c r="EX129" s="22"/>
      <c r="EY129" s="29">
        <f t="shared" si="453"/>
        <v>14.099999999999584</v>
      </c>
      <c r="EZ129" s="25" t="str">
        <f t="shared" si="454"/>
        <v>SIN RIESGO DE ISOINMUNIZACIÓN</v>
      </c>
      <c r="FA129" s="21">
        <v>67</v>
      </c>
      <c r="FB129" s="22">
        <v>44995</v>
      </c>
      <c r="FC129" s="29">
        <f t="shared" si="276"/>
        <v>14.099999999999584</v>
      </c>
      <c r="FD129" s="29"/>
      <c r="FE129" s="29"/>
      <c r="FF129" s="29"/>
      <c r="FG129" s="21" t="str">
        <f t="shared" ca="1" si="277"/>
        <v/>
      </c>
      <c r="FH129" s="31"/>
      <c r="FI129" s="29" t="str">
        <f t="shared" si="278"/>
        <v>TOMAR EXAMEN</v>
      </c>
      <c r="FJ129" s="22" t="s">
        <v>867</v>
      </c>
      <c r="FK129" s="22">
        <v>44995</v>
      </c>
      <c r="FL129" s="29" t="str">
        <f t="shared" si="279"/>
        <v>REGISTRAR EN II TRIMESTRE</v>
      </c>
      <c r="FM129" s="22"/>
      <c r="FN129" s="32"/>
      <c r="FO129" s="29" t="str">
        <f t="shared" ca="1" si="441"/>
        <v>PIERDE TOMA DE TAMIZAJE</v>
      </c>
      <c r="FP129" s="22"/>
      <c r="FQ129" s="32"/>
      <c r="FR129" s="29" t="str">
        <f t="shared" ca="1" si="442"/>
        <v>TOMA INMEDIATA DE TAMIZAJE</v>
      </c>
      <c r="FS129" s="22"/>
      <c r="FT129" s="32"/>
      <c r="FU129" s="29" t="str">
        <f>IF(AND(FJ129="",FM129="",FP129="",FS129=""),"",IF(OR(OR(Tabla1[[#This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29" s="28"/>
      <c r="FW129" s="22"/>
      <c r="FX129" s="29" t="str">
        <f t="shared" si="280"/>
        <v>TOMAR EXAMEN</v>
      </c>
      <c r="FY129" s="22">
        <v>44995</v>
      </c>
      <c r="FZ129" s="22">
        <v>44995</v>
      </c>
      <c r="GA129" s="29" t="str">
        <f t="shared" si="497"/>
        <v>REGISTRAR EN II TRIMESTRE</v>
      </c>
      <c r="GB129" s="22"/>
      <c r="GC129" s="22"/>
      <c r="GD129" s="29" t="str">
        <f t="shared" ca="1" si="490"/>
        <v>PIERDE TOMA DE TAMIZAJE</v>
      </c>
      <c r="GE129" s="22"/>
      <c r="GF129" s="22"/>
      <c r="GG129" s="29" t="str">
        <f t="shared" ca="1" si="444"/>
        <v>TOMA INMEDIATA DE TAMIZAJE</v>
      </c>
      <c r="GH129" s="22"/>
      <c r="GI129" s="29"/>
      <c r="GJ129" s="22"/>
      <c r="GK129" s="22"/>
      <c r="GL129" s="22"/>
      <c r="GM129" s="22"/>
      <c r="GN129" s="28" t="s">
        <v>869</v>
      </c>
      <c r="GO129" s="22">
        <v>44995</v>
      </c>
      <c r="GP129" s="29">
        <f t="shared" si="283"/>
        <v>14.099999999999584</v>
      </c>
      <c r="GQ129" s="28" t="s">
        <v>880</v>
      </c>
      <c r="GR129" s="28" t="s">
        <v>869</v>
      </c>
      <c r="GS129" s="22" t="str">
        <f t="shared" si="457"/>
        <v>SE EXCLUYE INFECCION</v>
      </c>
      <c r="GT129" s="22">
        <v>44995</v>
      </c>
      <c r="GU129" s="29">
        <f t="shared" si="285"/>
        <v>12.428571428571429</v>
      </c>
      <c r="GV129" s="21" t="str">
        <f t="shared" si="286"/>
        <v>I TRIM</v>
      </c>
      <c r="GW129" s="28" t="s">
        <v>869</v>
      </c>
      <c r="GX129" s="30"/>
      <c r="GY129" s="21"/>
      <c r="GZ129" s="21"/>
      <c r="HA129" s="21"/>
      <c r="HB129" s="21"/>
      <c r="HC129" s="21"/>
      <c r="HD129" s="21"/>
      <c r="HE129" s="21"/>
      <c r="HF129" s="22"/>
      <c r="HG129" s="22" t="str">
        <f>IF(OR(O129&gt;0,R129&gt;0),CONCATENATE(IF(Tabla1[[#This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29" s="22" t="e">
        <f t="shared" si="287"/>
        <v>#REF!</v>
      </c>
      <c r="HI129" s="22" t="e">
        <f t="shared" ca="1" si="288"/>
        <v>#REF!</v>
      </c>
      <c r="HJ129" s="21"/>
      <c r="HK129" s="21" t="str">
        <f t="shared" si="289"/>
        <v>SIN ANTECEDENTES DE RIESGO</v>
      </c>
      <c r="HL129" s="24" t="str">
        <f t="shared" si="290"/>
        <v>APARENTEMENTE NORMAL</v>
      </c>
      <c r="HM129" s="21" t="e">
        <f t="shared" ca="1" si="291"/>
        <v>#REF!</v>
      </c>
      <c r="HN129" s="30" t="str">
        <f t="shared" si="445"/>
        <v>ACTIVA INGRESO A CPN</v>
      </c>
      <c r="HO129" s="21"/>
      <c r="HP129" s="21" t="s">
        <v>854</v>
      </c>
      <c r="HQ129" s="21">
        <v>45043</v>
      </c>
      <c r="HR129" s="21" t="str">
        <f>IF(R129="","",IF(Tabla1[[#This Row],[ALARMA FACTORES DE RIESGO COMPLICACIONES HIPERTENSIVAS3]]="SIN ANTECEDENTES DE RIESGO","No Aplica para suministro de ASA",IF(AND(Tabla1[[#This Row],[FECHA INICIO DE SUMINISTRO DE ASA]]&gt;0,RV129&lt;12),"Inicia ASA ANTES de Sem 12",IF(AND(RV129&gt;11,RV129&lt;17,OR(HK129="RIESGO ALTO DE COMPLICACIONES HIPERTENSIVAS VER MANEJO GUIA SUMINISTRO ASA Y CALCIO",HK129="RIESGO MODERADO (2 O MAS CRITERIOS) VER MANEJO GUIA SUMINISTRO ASA Y CALCIO")),"Inicio oportuno de ASA",IF(AND(RV129&gt;12,OR(HK129="RIESGO ALTO DE COMPLICACIONES HIPERTENSIVAS VER MANEJO GUIA SUMINISTRO ASA Y CALCIO",HK129="RIESGO MODERADO (2 O MAS CRITERIOS) VER MANEJO GUIA SUMINISTRO ASA Y CALCIO")),"Inicio no oportuno mayor a 16 semanas",IF(AND(BU129&lt;12,OR(HK129="RIESGO ALTO DE COMPLICACIONES HIPERTENSIVAS VER MANEJO GUIA SUMINISTRO ASA Y CALCIO",HK129="RIESGO MODERADO (2 O MAS CRITERIOS) VER MANEJO GUIA SUMINISTRO ASA Y CALCIO")),"Pendiente Inicio de ASA a la semana 12",IF(AND(BU129&gt;11,BU129&lt;17,OR(HK129="RIESGO ALTO DE COMPLICACIONES HIPERTENSIVAS VER MANEJO GUIA SUMINISTRO ASA Y CALCIO",HK129="RIESGO MODERADO (2 O MAS CRITERIOS) VER MANEJO GUIA SUMINISTRO ASA Y CALCIO")),"Iniciar de inmediato ASA",IF(AND(BU129&gt;16,OR(HK129="RIESGO ALTO DE COMPLICACIONES HIPERTENSIVAS VER MANEJO GUIA SUMINISTRO ASA Y CALCIO",HK129="RIESGO MODERADO (2 O MAS CRITERIOS) VER MANEJO GUIA SUMINISTRO ASA Y CALCIO")),"Pierde Oportunidad, Inicio tardío de ASA","XXXXX"))))))))</f>
        <v>No Aplica para suministro de ASA</v>
      </c>
      <c r="HS129" s="22">
        <v>45043</v>
      </c>
      <c r="HT129" s="22" t="s">
        <v>870</v>
      </c>
      <c r="HU129" s="22"/>
      <c r="HV129" s="22"/>
      <c r="HW129" s="22">
        <v>45043</v>
      </c>
      <c r="HX129" s="22" t="s">
        <v>870</v>
      </c>
      <c r="HY129" s="22"/>
      <c r="HZ129" s="28" t="str">
        <f t="shared" si="292"/>
        <v>PENDIENTE CONSULTA</v>
      </c>
      <c r="IA129" s="26"/>
      <c r="IB129" s="26"/>
      <c r="IC129" s="111">
        <v>45101</v>
      </c>
      <c r="ID129" s="22">
        <v>45101</v>
      </c>
      <c r="IE129" s="22" t="str">
        <f t="shared" ca="1" si="293"/>
        <v>VACUNA APLICADA ENTRE SEMANA 27 Y EL PARTO</v>
      </c>
      <c r="IF129" s="22">
        <v>45040</v>
      </c>
      <c r="IG129" s="22">
        <f t="shared" si="294"/>
        <v>45176.3</v>
      </c>
      <c r="IH129" s="29">
        <f t="shared" ca="1" si="295"/>
        <v>-56.69999999999709</v>
      </c>
      <c r="II129" s="22" t="str">
        <f t="shared" ca="1" si="296"/>
        <v>POSIBLEMENTE NACIO</v>
      </c>
      <c r="IJ129" s="22"/>
      <c r="IK129" s="21"/>
      <c r="IL129" s="21"/>
      <c r="IM129" s="34"/>
      <c r="IN129" s="349"/>
      <c r="IO129" s="21"/>
      <c r="IP129" s="29" t="str">
        <f t="shared" si="489"/>
        <v/>
      </c>
      <c r="IQ129" s="35"/>
      <c r="IR129" s="21"/>
      <c r="IS129" s="21"/>
      <c r="IT129" s="21"/>
      <c r="IU129" s="21"/>
      <c r="IV129" s="21"/>
      <c r="IW129" s="21"/>
      <c r="IX129" s="21"/>
      <c r="IY129" s="21"/>
      <c r="IZ129" s="21"/>
      <c r="JA129" s="21"/>
      <c r="JB129" s="30"/>
      <c r="JC129" s="21"/>
      <c r="JD129" s="36"/>
      <c r="JE129" s="21" t="str">
        <f t="shared" si="491"/>
        <v/>
      </c>
      <c r="JF129" s="30"/>
      <c r="JG129" s="21"/>
      <c r="JH129" s="21"/>
      <c r="JI129" s="21"/>
      <c r="JJ129" s="30"/>
      <c r="JK129" s="22"/>
      <c r="JL129" s="22"/>
      <c r="JM129" s="21"/>
      <c r="JN129" s="36"/>
      <c r="JO129" s="21" t="str">
        <f t="shared" si="492"/>
        <v/>
      </c>
      <c r="JP129" s="22"/>
      <c r="JQ129" s="21"/>
      <c r="JR129" s="21"/>
      <c r="JS129" s="21"/>
      <c r="JT129" s="30"/>
      <c r="JU129" s="22"/>
      <c r="JV129" s="22"/>
      <c r="JW129" s="33"/>
      <c r="JX129" s="28" t="str">
        <f t="shared" si="493"/>
        <v/>
      </c>
      <c r="JY129" s="33"/>
      <c r="JZ129" s="28" t="str">
        <f t="shared" si="494"/>
        <v/>
      </c>
      <c r="KA129" s="21"/>
      <c r="KB129" s="21"/>
      <c r="KC129" s="21"/>
      <c r="KD129" s="37"/>
      <c r="KE129" s="28"/>
      <c r="KF129" s="28"/>
      <c r="KG129" s="28"/>
      <c r="KH129" s="39"/>
      <c r="KI129" s="39"/>
      <c r="KJ129" s="66"/>
      <c r="KK129" s="39"/>
      <c r="KL129" s="39"/>
      <c r="KM129" s="66"/>
      <c r="KN129" s="39"/>
      <c r="KO129" s="39"/>
      <c r="KP129" s="39"/>
      <c r="KQ129" s="39"/>
      <c r="KR129" s="39"/>
      <c r="KS129" s="39"/>
      <c r="KT129" s="39"/>
      <c r="KU129" s="38"/>
      <c r="KV129" s="38"/>
      <c r="KW129" s="38"/>
      <c r="KX129" s="38"/>
      <c r="KY129" s="38"/>
      <c r="KZ129" s="38"/>
      <c r="LA129" s="38"/>
      <c r="LB129" s="38"/>
      <c r="LC129" s="38"/>
      <c r="LD129" s="38"/>
      <c r="LE129" s="38"/>
      <c r="LF129" s="38"/>
      <c r="LG129" s="38"/>
      <c r="LH129" s="38"/>
      <c r="LI129" s="38"/>
      <c r="LJ129" s="38"/>
      <c r="LK129" s="38"/>
      <c r="LL129" s="38"/>
      <c r="LM129" s="38"/>
      <c r="LN129" s="38"/>
      <c r="LO129" s="38"/>
      <c r="LP129" s="38"/>
      <c r="LQ129" s="38"/>
      <c r="LR129" s="38"/>
      <c r="LS129" s="38"/>
      <c r="LT129" s="38"/>
      <c r="LU129" s="38"/>
      <c r="LV129" s="38"/>
      <c r="LW129" s="38"/>
      <c r="LX129" s="38"/>
      <c r="LY129" s="38"/>
      <c r="LZ129" s="38"/>
      <c r="MA129" s="38"/>
      <c r="MB129" s="38"/>
      <c r="MC129" s="38"/>
      <c r="MD129" s="38"/>
      <c r="ME129" s="38"/>
      <c r="MF129" s="38"/>
      <c r="MG129" s="38"/>
      <c r="MH129" s="43">
        <f t="shared" si="458"/>
        <v>0</v>
      </c>
      <c r="MI129" s="43" t="str">
        <f t="shared" si="459"/>
        <v/>
      </c>
      <c r="MJ129" s="43" t="str">
        <f t="shared" si="460"/>
        <v/>
      </c>
      <c r="MK129" s="43">
        <f t="shared" si="461"/>
        <v>0</v>
      </c>
      <c r="ML1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29" s="43">
        <f t="shared" si="462"/>
        <v>14.099999999999584</v>
      </c>
      <c r="MN129" s="43">
        <f t="shared" si="463"/>
        <v>3</v>
      </c>
      <c r="MO129" s="43">
        <f t="shared" si="464"/>
        <v>2023</v>
      </c>
      <c r="MP129" s="43" t="str">
        <f t="shared" si="465"/>
        <v>I TRIMESTRE AÑO</v>
      </c>
      <c r="MQ129" s="43">
        <f t="shared" si="466"/>
        <v>36.949737187910642</v>
      </c>
      <c r="MR129" s="43">
        <f t="shared" si="467"/>
        <v>2</v>
      </c>
      <c r="MS129" s="43" t="str">
        <f t="shared" si="468"/>
        <v xml:space="preserve"> DE 35 A 39 AÑOS</v>
      </c>
      <c r="MT129" s="43">
        <f t="shared" si="469"/>
        <v>0</v>
      </c>
      <c r="MU129" s="43">
        <f t="shared" si="470"/>
        <v>0</v>
      </c>
      <c r="MV129" s="43">
        <f t="shared" si="471"/>
        <v>0</v>
      </c>
      <c r="MW129" s="43">
        <f t="shared" si="472"/>
        <v>0</v>
      </c>
      <c r="MX129" s="43" t="str">
        <f t="shared" si="473"/>
        <v/>
      </c>
      <c r="MY129" s="43" t="str">
        <f t="shared" ca="1" si="495"/>
        <v/>
      </c>
      <c r="MZ129" s="43" t="str">
        <f t="shared" si="474"/>
        <v/>
      </c>
      <c r="NA129" s="43" t="str">
        <f t="shared" si="475"/>
        <v/>
      </c>
      <c r="NB129" s="43" t="str">
        <f t="shared" si="476"/>
        <v/>
      </c>
      <c r="NC129" s="43" t="str">
        <f t="shared" si="477"/>
        <v/>
      </c>
      <c r="ND129" s="43">
        <f t="shared" ca="1" si="478"/>
        <v>2</v>
      </c>
      <c r="NE129" s="43">
        <f>IF(OR(O129&gt;0,R129&gt;0),SUM(COUNTIF(Tabla1[[#This Row],[AÑOS AL INICIO5 CPN]],"&gt;=40"),COUNTIF(AS129,"0"),COUNTIF(AR129,"SI"),COUNTIF(CC129,"SI"),COUNTIF(BQ129,"&gt;119"),COUNTIF(CI129,"&gt;=35")),"")</f>
        <v>0</v>
      </c>
      <c r="NF129" s="43">
        <f t="shared" si="479"/>
        <v>29.242857142856728</v>
      </c>
      <c r="NG129" s="43">
        <f t="shared" si="480"/>
        <v>0</v>
      </c>
      <c r="NH129" s="43">
        <f t="shared" si="481"/>
        <v>98.7</v>
      </c>
      <c r="NI1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CPN",P129="NO"),"Z",IF(AND(Tabla1[[#This Row],[CITA PROXIMO CONTROL]]="CITA MANUAL",Tabla1[[#This Row],[GESTANTES ACTUALES]]="ACTIVA INGRESO A CPN"),"W",IF(AND(Tabla1[[#This Row],[GESTANTES ACTUALES]]="SALIO PROGRAMA",IN129=""),"S",IF(AND(Tabla1[[#This Row],[CITA PROXIMO CONTROL]]&gt;0,IN129=""),(Tabla1[[#This Row],[CITA PROXIMO CONTROL]]-TODAY()),"SD"))))))))</f>
        <v>#REF!</v>
      </c>
      <c r="NJ129" s="43">
        <f>MONTH(Tabla1[[#This Row],[FECHA DE SALIDA  DEL PROGRAMA]])</f>
        <v>1</v>
      </c>
      <c r="NK129" s="43">
        <f>YEAR(Tabla1[[#This Row],[FECHA DE SALIDA  DEL PROGRAMA]])</f>
        <v>1900</v>
      </c>
      <c r="NL129" s="43">
        <f t="shared" si="482"/>
        <v>70</v>
      </c>
      <c r="NM129" s="43" t="str">
        <f t="shared" si="500"/>
        <v>NO</v>
      </c>
      <c r="NN129" s="43" t="str">
        <f ca="1">IF(AND(O129&gt;0,R129=""),"NO CPN",IF(AND(O129="",R129=""),"",IF(AND(R129&gt;0,Tabla1[[#This Row],[SEMANAS DE GESTACION ACTUALIZADAS]]&lt;=12),"NO APLICA",IF(AND(FH129&lt;&gt;"",FN129&lt;&gt;""),"SI","NO"))))</f>
        <v>NO</v>
      </c>
      <c r="NO129" s="43" t="str">
        <f ca="1">IF(AND(O129&gt;0,R129=""),"NO CPN",IF(AND(O129="",R129=""),"",IF(AND(R129&gt;0,Tabla1[[#This Row],[SEMANAS DE GESTACION ACTUALIZADAS]]&lt;=27),"NO APLICA",IF(AND(ES129&lt;&gt;"",FQ129&lt;&gt;"",GF129&lt;&gt;""),"SI","NO"))))</f>
        <v>NO</v>
      </c>
      <c r="NP129" s="204" t="str">
        <f t="shared" si="483"/>
        <v>II TRIM</v>
      </c>
      <c r="NQ129" s="21" t="str">
        <f t="shared" si="499"/>
        <v/>
      </c>
      <c r="NR129" s="21" t="str">
        <f t="shared" ca="1" si="496"/>
        <v>REVISAR FUM O FECHA SALIDA PROGRAMA</v>
      </c>
      <c r="NS129" s="205">
        <f t="shared" ca="1" si="484"/>
        <v>0</v>
      </c>
      <c r="NT129" s="21">
        <f t="shared" ca="1" si="485"/>
        <v>0</v>
      </c>
      <c r="NU129" s="21" t="str">
        <f t="shared" ca="1" si="486"/>
        <v>POR DEFINIR</v>
      </c>
      <c r="NV129" s="21" t="str">
        <f t="shared" ca="1" si="487"/>
        <v>POR DEFINIR</v>
      </c>
      <c r="NW129" s="206" t="str">
        <f>IF(AND(O129="",R129=""),"",IF(OR(AND(Tabla1[[#This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29" s="207" t="str">
        <f t="shared" ca="1" si="488"/>
        <v>VACUNADA</v>
      </c>
      <c r="NY129" s="43">
        <f>ROW(Tabla1[[#This Row],['# DE TAMIZAJES SIFILIS TOMADOS ]])</f>
        <v>129</v>
      </c>
      <c r="NZ129" s="43">
        <f t="shared" si="333"/>
        <v>14</v>
      </c>
      <c r="OA129" s="43" t="str">
        <f t="shared" si="334"/>
        <v/>
      </c>
      <c r="OB129" s="43" t="str">
        <f t="shared" si="335"/>
        <v/>
      </c>
      <c r="OC129" s="43" t="str">
        <f t="shared" si="336"/>
        <v/>
      </c>
      <c r="OD129" s="43" t="str">
        <f t="shared" si="337"/>
        <v/>
      </c>
      <c r="OE129" s="43" t="str">
        <f t="shared" si="338"/>
        <v/>
      </c>
      <c r="OF129" s="43" t="str">
        <f t="shared" si="339"/>
        <v>NORMAL</v>
      </c>
      <c r="OG129" s="43" t="str">
        <f t="shared" si="340"/>
        <v/>
      </c>
      <c r="OH129" s="43" t="str">
        <f t="shared" si="341"/>
        <v/>
      </c>
      <c r="OI129" s="43" t="str">
        <f t="shared" si="342"/>
        <v/>
      </c>
      <c r="OJ129" s="43" t="str">
        <f t="shared" si="343"/>
        <v/>
      </c>
      <c r="OK129" s="43" t="str">
        <f t="shared" si="344"/>
        <v/>
      </c>
      <c r="OL129" s="43" t="str">
        <f t="shared" si="345"/>
        <v/>
      </c>
      <c r="OM129" s="43" t="str">
        <f t="shared" si="346"/>
        <v/>
      </c>
      <c r="ON129" s="43" t="str">
        <f t="shared" si="347"/>
        <v/>
      </c>
      <c r="OO129" s="43" t="str">
        <f t="shared" si="348"/>
        <v/>
      </c>
      <c r="OP129" s="43" t="str">
        <f t="shared" si="349"/>
        <v/>
      </c>
      <c r="OQ129" s="43" t="str">
        <f t="shared" si="350"/>
        <v/>
      </c>
      <c r="OR129" s="43" t="str">
        <f t="shared" si="351"/>
        <v/>
      </c>
      <c r="OS129" s="43" t="str">
        <f t="shared" si="352"/>
        <v/>
      </c>
      <c r="OT129" s="43" t="str">
        <f t="shared" si="353"/>
        <v/>
      </c>
      <c r="OU129" s="43" t="str">
        <f t="shared" si="354"/>
        <v/>
      </c>
      <c r="OV129" s="110" t="str">
        <f t="shared" si="355"/>
        <v/>
      </c>
      <c r="OW129" s="43" t="str">
        <f t="shared" si="356"/>
        <v/>
      </c>
      <c r="OX129" s="43" t="str">
        <f t="shared" si="357"/>
        <v/>
      </c>
      <c r="OY129" s="43" t="str">
        <f t="shared" si="358"/>
        <v/>
      </c>
      <c r="OZ129" s="43" t="str">
        <f t="shared" si="359"/>
        <v/>
      </c>
      <c r="PA129" s="43" t="str">
        <f t="shared" si="360"/>
        <v/>
      </c>
      <c r="PB129" s="43" t="str">
        <f t="shared" si="361"/>
        <v/>
      </c>
      <c r="PC129" s="43" t="str">
        <f t="shared" si="362"/>
        <v/>
      </c>
      <c r="PD129" s="43" t="str">
        <f t="shared" si="363"/>
        <v/>
      </c>
      <c r="PE129" s="43" t="str">
        <f t="shared" si="364"/>
        <v/>
      </c>
      <c r="PF129" s="43" t="str">
        <f t="shared" si="365"/>
        <v/>
      </c>
      <c r="PG129" s="43" t="str">
        <f t="shared" si="366"/>
        <v/>
      </c>
      <c r="PH129" s="43" t="str">
        <f t="shared" si="367"/>
        <v/>
      </c>
      <c r="PI129" s="43">
        <f t="shared" si="368"/>
        <v>34</v>
      </c>
      <c r="PJ129" s="43" t="str">
        <f t="shared" si="369"/>
        <v/>
      </c>
      <c r="PK129" s="43" t="str">
        <f t="shared" si="370"/>
        <v/>
      </c>
      <c r="PL129" s="43" t="str">
        <f t="shared" si="371"/>
        <v/>
      </c>
      <c r="PM129" s="43" t="str">
        <f t="shared" si="372"/>
        <v/>
      </c>
      <c r="PN129" s="43" t="str">
        <f t="shared" si="373"/>
        <v/>
      </c>
      <c r="PO129" s="43" t="str">
        <f t="shared" si="374"/>
        <v/>
      </c>
      <c r="PP129" s="43" t="str">
        <f t="shared" si="375"/>
        <v/>
      </c>
      <c r="PQ129" s="43" t="str">
        <f t="shared" si="376"/>
        <v/>
      </c>
      <c r="PR129" s="43" t="str">
        <f t="shared" si="377"/>
        <v/>
      </c>
      <c r="PS129" s="43" t="str">
        <f t="shared" si="378"/>
        <v/>
      </c>
      <c r="PT129" s="43" t="str">
        <f t="shared" si="379"/>
        <v/>
      </c>
      <c r="PU129" s="43" t="str">
        <f t="shared" si="380"/>
        <v/>
      </c>
      <c r="PV129" s="43" t="str">
        <f t="shared" si="381"/>
        <v/>
      </c>
      <c r="PW129" s="43" t="str">
        <f t="shared" si="382"/>
        <v/>
      </c>
      <c r="PX129" s="43" t="str">
        <f t="shared" si="383"/>
        <v/>
      </c>
      <c r="PY129" s="43" t="str">
        <f t="shared" si="384"/>
        <v/>
      </c>
      <c r="PZ129" s="43" t="str">
        <f t="shared" si="385"/>
        <v/>
      </c>
      <c r="QA129" s="43" t="str">
        <f t="shared" si="386"/>
        <v/>
      </c>
      <c r="QB129" s="43" t="str">
        <f t="shared" si="387"/>
        <v/>
      </c>
      <c r="QC129" s="43" t="str">
        <f t="shared" si="388"/>
        <v/>
      </c>
      <c r="QD129" s="43" t="str">
        <f t="shared" si="389"/>
        <v/>
      </c>
      <c r="QE129" s="43" t="str">
        <f t="shared" si="390"/>
        <v/>
      </c>
      <c r="QF129" s="43" t="str">
        <f t="shared" si="391"/>
        <v/>
      </c>
      <c r="QG129" s="43" t="str">
        <f t="shared" si="392"/>
        <v/>
      </c>
      <c r="QH129" s="43" t="str">
        <f t="shared" si="393"/>
        <v/>
      </c>
      <c r="QI129" s="43" t="str">
        <f t="shared" si="394"/>
        <v>SOBREPESO</v>
      </c>
      <c r="QJ129" s="43" t="str">
        <f t="shared" si="395"/>
        <v/>
      </c>
      <c r="QK129" s="43" t="str">
        <f t="shared" si="396"/>
        <v/>
      </c>
      <c r="QL129" s="43" t="str">
        <f t="shared" si="397"/>
        <v/>
      </c>
      <c r="QM129" s="43" t="str">
        <f t="shared" si="398"/>
        <v/>
      </c>
      <c r="QN129" s="43" t="str">
        <f t="shared" si="399"/>
        <v/>
      </c>
      <c r="QO129" s="43" t="str">
        <f t="shared" si="400"/>
        <v/>
      </c>
      <c r="QP129" s="43" t="str">
        <f t="shared" si="401"/>
        <v/>
      </c>
      <c r="QQ129" s="43" t="str">
        <f t="shared" si="402"/>
        <v/>
      </c>
      <c r="QR129" s="43">
        <f t="shared" si="432"/>
        <v>34</v>
      </c>
      <c r="QS129" s="43"/>
      <c r="QT129" s="21" t="str">
        <f t="shared" si="403"/>
        <v/>
      </c>
      <c r="QU129" s="21" t="str">
        <f t="shared" si="404"/>
        <v/>
      </c>
      <c r="QV129" s="21" t="str">
        <f t="shared" si="405"/>
        <v/>
      </c>
      <c r="QW129" s="21" t="str">
        <f t="shared" si="406"/>
        <v/>
      </c>
      <c r="QX129" s="21" t="str">
        <f t="shared" si="407"/>
        <v/>
      </c>
      <c r="QY129" s="21" t="str">
        <f t="shared" si="408"/>
        <v/>
      </c>
      <c r="QZ129" s="21" t="str">
        <f t="shared" si="409"/>
        <v/>
      </c>
      <c r="RA129" s="21" t="str">
        <f t="shared" si="410"/>
        <v/>
      </c>
      <c r="RB129" s="21" t="str">
        <f t="shared" si="411"/>
        <v/>
      </c>
      <c r="RC129" s="21" t="str">
        <f t="shared" si="412"/>
        <v/>
      </c>
      <c r="RD129" s="21" t="str">
        <f t="shared" si="413"/>
        <v/>
      </c>
      <c r="RE129" s="21" t="str">
        <f t="shared" si="414"/>
        <v/>
      </c>
      <c r="RF129" s="21" t="str">
        <f t="shared" si="415"/>
        <v/>
      </c>
      <c r="RG129" s="21" t="str">
        <f t="shared" si="416"/>
        <v/>
      </c>
      <c r="RH129" s="21" t="str">
        <f t="shared" si="417"/>
        <v/>
      </c>
      <c r="RI129" s="21" t="str">
        <f t="shared" si="418"/>
        <v/>
      </c>
      <c r="RJ129" s="21" t="str">
        <f t="shared" si="419"/>
        <v/>
      </c>
      <c r="RK129" s="21" t="str">
        <f t="shared" si="420"/>
        <v/>
      </c>
      <c r="RL129" s="21" t="str">
        <f t="shared" si="421"/>
        <v/>
      </c>
      <c r="RM129" s="21" t="str">
        <f t="shared" si="422"/>
        <v/>
      </c>
      <c r="RN129" s="21" t="str">
        <f t="shared" si="423"/>
        <v/>
      </c>
      <c r="RO129" s="21" t="str">
        <f t="shared" si="424"/>
        <v>ALTO PARA EDAD GESTACIONAL</v>
      </c>
      <c r="RP129" s="21" t="str">
        <f t="shared" si="425"/>
        <v/>
      </c>
      <c r="RQ129" s="21" t="str">
        <f t="shared" si="426"/>
        <v/>
      </c>
      <c r="RR129" s="21" t="str">
        <f t="shared" si="427"/>
        <v/>
      </c>
      <c r="RS129" s="21" t="str">
        <f t="shared" si="428"/>
        <v/>
      </c>
      <c r="RT129" s="21" t="str">
        <f t="shared" si="429"/>
        <v/>
      </c>
      <c r="RU129" s="21" t="str">
        <f t="shared" si="430"/>
        <v/>
      </c>
      <c r="RV129" s="21">
        <f t="shared" si="431"/>
        <v>20.95714285714244</v>
      </c>
      <c r="RW129" s="284">
        <f>IF(OR(Tabla1[[#This Row],[FUM FORMULA CONFIABLE]]="",Tabla1[[#This Row],[FUM FORMULA CONFIABLE]]="SD"),"",IF(Tabla1[[#This Row],[FUM FORMULA CONFIABLE]]="CORREGIDA",Tabla1[[#This Row],[FUM X ECO 1]],Tabla1[[#This Row],[FUM x AMENORREA]]))</f>
        <v>44896.3</v>
      </c>
      <c r="RX129" s="21">
        <f>IF(AND(Tabla1[[#This Row],[FUM X ECO 1]]="",Tabla1[[#This Row],[FUM x AMENORREA]]=""),"",IF(AND(Tabla1[[#This Row],[FUM X ECO 1]]="",Tabla1[[#This Row],[FUM x AMENORREA]]&lt;&gt;""),"X",SUM(Tabla1[[#This Row],[FUM X ECO 1]]-Tabla1[[#This Row],[FUM x AMENORREA]])))</f>
        <v>-11.69999999999709</v>
      </c>
      <c r="RY129" s="21">
        <f t="shared" si="433"/>
        <v>1</v>
      </c>
    </row>
    <row r="130" spans="1:493" ht="45" customHeight="1" x14ac:dyDescent="0.25">
      <c r="A130" s="109"/>
      <c r="B130" s="43" t="s">
        <v>1381</v>
      </c>
      <c r="C130" s="43" t="s">
        <v>845</v>
      </c>
      <c r="D130" s="124"/>
      <c r="E130" s="43" t="s">
        <v>1382</v>
      </c>
      <c r="F130" s="43" t="s">
        <v>1382</v>
      </c>
      <c r="G130" s="43" t="s">
        <v>1383</v>
      </c>
      <c r="H130" s="43"/>
      <c r="I130" s="109" t="s">
        <v>851</v>
      </c>
      <c r="J130" s="110">
        <v>1003371767</v>
      </c>
      <c r="K130" s="43" t="s">
        <v>852</v>
      </c>
      <c r="L130" s="175" t="s">
        <v>1509</v>
      </c>
      <c r="M130" s="22">
        <v>37567</v>
      </c>
      <c r="N130" s="213">
        <f t="shared" ca="1" si="252"/>
        <v>21.002739726027396</v>
      </c>
      <c r="O130" s="22">
        <v>45014</v>
      </c>
      <c r="P130" s="214" t="str">
        <f t="shared" si="437"/>
        <v>SI</v>
      </c>
      <c r="Q130" s="26" t="s">
        <v>855</v>
      </c>
      <c r="R130" s="22">
        <v>45014</v>
      </c>
      <c r="S130" s="21" t="s">
        <v>856</v>
      </c>
      <c r="T130" s="24" t="s">
        <v>690</v>
      </c>
      <c r="U130" s="21" t="s">
        <v>857</v>
      </c>
      <c r="V130" s="21" t="s">
        <v>1009</v>
      </c>
      <c r="W130" s="21" t="s">
        <v>1384</v>
      </c>
      <c r="X130" s="21" t="s">
        <v>1385</v>
      </c>
      <c r="Y130" s="21"/>
      <c r="Z130" s="21">
        <v>3165739527</v>
      </c>
      <c r="AA130" s="21" t="s">
        <v>860</v>
      </c>
      <c r="AB130" s="27" t="s">
        <v>861</v>
      </c>
      <c r="AC130" s="26" t="s">
        <v>897</v>
      </c>
      <c r="AD130" s="38" t="s">
        <v>1546</v>
      </c>
      <c r="AE130" s="26" t="s">
        <v>854</v>
      </c>
      <c r="AF130" s="26" t="s">
        <v>854</v>
      </c>
      <c r="AG130" s="23" t="s">
        <v>864</v>
      </c>
      <c r="AH130" s="23" t="s">
        <v>864</v>
      </c>
      <c r="AI130" s="24" t="s">
        <v>863</v>
      </c>
      <c r="AJ130" s="23" t="s">
        <v>864</v>
      </c>
      <c r="AK130" s="220" t="str">
        <f>IF(AND(AD130="",AE130="",AF130="",AG130="",AH130="",AI130="",AJ130=""),"",IF(OR(Tabla1[[#This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EVALUACIÓN",IF(AND(O130="",R130=""),"",IF(AND(OR(O130&gt;0,R130&gt;0),NG130&gt;=0,NG130&lt;2),"SIN RIESGO",IF(AND(OR(O130&gt;0,R130&gt;0),NG130&gt;=2),"CON RIESGO","ASD")))))</f>
        <v>SIN RIESGO</v>
      </c>
      <c r="AL130" s="23" t="s">
        <v>864</v>
      </c>
      <c r="AM130" s="26" t="s">
        <v>864</v>
      </c>
      <c r="AN130" s="26" t="s">
        <v>864</v>
      </c>
      <c r="AO130" s="26" t="s">
        <v>864</v>
      </c>
      <c r="AP130" s="26" t="s">
        <v>864</v>
      </c>
      <c r="AQ130" s="26" t="s">
        <v>864</v>
      </c>
      <c r="AR130" s="26" t="s">
        <v>864</v>
      </c>
      <c r="AS130" s="21">
        <v>1</v>
      </c>
      <c r="AT130" s="21">
        <v>1</v>
      </c>
      <c r="AU130" s="21">
        <v>0</v>
      </c>
      <c r="AV130" s="26" t="s">
        <v>864</v>
      </c>
      <c r="AW130" s="21">
        <v>0</v>
      </c>
      <c r="AX130" s="26" t="s">
        <v>864</v>
      </c>
      <c r="AY130" s="26" t="s">
        <v>864</v>
      </c>
      <c r="AZ130" s="26" t="s">
        <v>864</v>
      </c>
      <c r="BA130" s="26" t="s">
        <v>864</v>
      </c>
      <c r="BB130" s="26" t="s">
        <v>864</v>
      </c>
      <c r="BC130" s="26" t="s">
        <v>864</v>
      </c>
      <c r="BD130" s="26" t="s">
        <v>864</v>
      </c>
      <c r="BE130" s="26" t="s">
        <v>864</v>
      </c>
      <c r="BF130" s="26" t="s">
        <v>864</v>
      </c>
      <c r="BG130" s="26" t="s">
        <v>864</v>
      </c>
      <c r="BH130" s="26" t="s">
        <v>864</v>
      </c>
      <c r="BI130" s="26" t="s">
        <v>864</v>
      </c>
      <c r="BJ130" s="26" t="s">
        <v>864</v>
      </c>
      <c r="BK130" s="26" t="s">
        <v>865</v>
      </c>
      <c r="BL130" s="26" t="s">
        <v>864</v>
      </c>
      <c r="BM130" s="26" t="s">
        <v>864</v>
      </c>
      <c r="BN130" s="22">
        <v>42568</v>
      </c>
      <c r="BO130" s="22">
        <v>44949</v>
      </c>
      <c r="BP130" s="21" t="s">
        <v>1380</v>
      </c>
      <c r="BQ130" s="222">
        <f t="shared" si="254"/>
        <v>79.663333333333384</v>
      </c>
      <c r="BR130" s="223">
        <f t="shared" si="255"/>
        <v>44957.9</v>
      </c>
      <c r="BS130" s="224">
        <f t="shared" si="256"/>
        <v>8.0142857142855064</v>
      </c>
      <c r="BT130" s="216" t="str">
        <f t="shared" si="257"/>
        <v>I TRIM</v>
      </c>
      <c r="BU130" s="214">
        <f t="shared" ca="1" si="258"/>
        <v>39.299999999999791</v>
      </c>
      <c r="BV130" s="25"/>
      <c r="BW130" s="22">
        <v>45016</v>
      </c>
      <c r="BX130" s="28">
        <v>8.3000000000000007</v>
      </c>
      <c r="BY130" s="28" t="s">
        <v>989</v>
      </c>
      <c r="BZ130" s="22">
        <v>45112</v>
      </c>
      <c r="CA130" s="21" t="s">
        <v>1596</v>
      </c>
      <c r="CB130" s="26" t="s">
        <v>864</v>
      </c>
      <c r="CC130" s="26" t="s">
        <v>864</v>
      </c>
      <c r="CD130" s="26" t="s">
        <v>878</v>
      </c>
      <c r="CE130" s="26" t="s">
        <v>864</v>
      </c>
      <c r="CF130" s="22" t="s">
        <v>1517</v>
      </c>
      <c r="CG130" s="21">
        <v>1.53</v>
      </c>
      <c r="CH130" s="21">
        <v>64</v>
      </c>
      <c r="CI130" s="214">
        <f t="shared" si="259"/>
        <v>27.339911999658252</v>
      </c>
      <c r="CJ130" s="225" t="str">
        <f>IF(AND(CI130&lt;10,CH130="SD"),"SIN DATO PESO PREGESTACION O I TRIM",IF(AND(OR(R130&gt;0,O130&gt;0),CI130="X"),"INGRESAR DATO DE PESO",IF(CI130="SD","INGRESAR DATO DE TALLA Y PESO",IF(AND(OR(Tabla1[[#This Row],[MOMENTO EN QUE SE REALIZA EL PESO AL INGRESO A CPN]]="PREGESTACIÓN",NZ130="Menor"),CI130&lt;18.5),"BAJO PESO",IF(AND(OR(Tabla1[[#This Row],[MOMENTO EN QUE SE REALIZA EL PESO AL INGRESO A CPN]]="PREGESTACIÓN",NZ130="Menor"),CI130&lt;25),"NORMAL",IF(AND(OR(Tabla1[[#This Row],[MOMENTO EN QUE SE REALIZA EL PESO AL INGRESO A CPN]]="PREGESTACIÓN",NZ130="Menor"),CI130&lt;30),"SOBREPESO",IF(AND(OR(Tabla1[[#This Row],[MOMENTO EN QUE SE REALIZA EL PESO AL INGRESO A CPN]]="PREGESTACIÓN",NZ130="Menor"),CI130&gt;=30,CI130&lt;50),"OBESIDAD",IF(AND(BS130&gt;0,Tabla1[[#This Row],[MOMENTO EN QUE SE REALIZA EL PESO AL INGRESO A CPN]]="GESTACIÓN"),HLOOKUP(NZ130,$OA$2:PH130,NY130),""))))))))</f>
        <v>SOBREPESO</v>
      </c>
      <c r="CK130" s="212">
        <f t="shared" si="260"/>
        <v>45139</v>
      </c>
      <c r="CL130" s="21">
        <v>66</v>
      </c>
      <c r="CM130" s="214">
        <f t="shared" si="261"/>
        <v>28.194284249647573</v>
      </c>
      <c r="CN130" s="216">
        <f t="shared" si="262"/>
        <v>25</v>
      </c>
      <c r="CO130" s="216" t="e">
        <f>IF(PI130="","",IF(PI130&gt;0,HLOOKUP(PI130,$PJ$2:QQ130,NY130),""))</f>
        <v>#REF!</v>
      </c>
      <c r="CP130" s="21">
        <v>25</v>
      </c>
      <c r="CQ130" s="216" t="e">
        <f>IF(QR130="Menor","NO APLICA-MENOR 13 SEM",IF(AND(CC130="SI",CN130&gt;23),"NO APLICA- GEMELAR",IF(QR130="","",IF(QR130&gt;0,HLOOKUP(QR130,$QS$2:RU130,NY130),""))))</f>
        <v>#REF!</v>
      </c>
      <c r="CR130" s="21">
        <v>90</v>
      </c>
      <c r="CS130" s="21">
        <v>60</v>
      </c>
      <c r="CT130" s="217" t="str">
        <f>IF(R130="","",IF(AND(BS130&gt;1,BS130&lt;12,Tabla1[[#This Row],[T.A. SISTOLICA - ANTES DE SEMANA 12]]="",Tabla1[[#This Row],[T.A. DIASTOLICA - ANTES DE SEMANA 12]]=""),"REGISTRE DATO TA ANTES SEMANA 12",IF(AND(BS130&gt;11,BS130&lt;43,Tabla1[[#This Row],[T.A. SISTOLICA - ANTES DE SEMANA 12]]="",Tabla1[[#This Row],[T.A. DIASTOLICA - ANTES DE SEMANA 12]]=""),"NO APLICA REGISTRO TA-INGRESO TARDIO",IF(AND(OR(O130&gt;0,R130&gt;0),OR(CR130&gt;=140,CS130&gt;=90)),"DEFINIR ESTADIO HTA",IF(AND(OR(O130&gt;0,R130&gt;0),AND(CR130&gt;120,CR130&lt;=139)),"PRE HTA SEGUIMIENTO",IF(AND(OR(O130&gt;0,R130&gt;0),AND(CS130&gt;80,CS130&lt;=89)),"PRE HTA SEGUIMIENTO",IF(AND(OR(O130&gt;0,R130&gt;0),AND(CR130&gt;=80,CR130&lt;=120)),"APARENTEMENTE NORMAL",IF(AND(OR(O130&gt;0,R130&gt;0),AND(CS130&gt;=50,CS130&lt;=80)),"APARENTEMENTE NORMAL",IF(AND(OR(O130&gt;0,R130&gt;0),AND(CR130&gt;1,CR130&lt;=70),AND(CS130&gt;1,CS130&lt;=40)),"HIPOTENSIÓN","")))))))))</f>
        <v>APARENTEMENTE NORMAL</v>
      </c>
      <c r="CU130" s="21">
        <v>90</v>
      </c>
      <c r="CV130" s="21">
        <v>60</v>
      </c>
      <c r="CW130" s="217" t="str">
        <f ca="1">IF(R130="","",IF(AND(CN130&gt;19,CN130&lt;27,Tabla1[[#This Row],[T.A. SISTOLICA (Entre semana 20 y 26)]]="",Tabla1[[#This Row],[T.A. DIATOLICA (Entre semana 20 y 26)]]=""),"ACUDE A CONTROL SEM 20 A 26 REGISTRE TA AHORA",IF(AND(BS130&gt;1,BS130&lt;27,BU130&gt;19,Tabla1[[#This Row],[T.A. SISTOLICA (Entre semana 20 y 26)]]="",Tabla1[[#This Row],[T.A. DIATOLICA (Entre semana 20 y 26)]]=""),"COMPLETE REGISTRO TA CONTROL SEM 20 A26 ",IF(AND(BS130&gt;26,BS130&lt;43,Tabla1[[#This Row],[T.A. SISTOLICA (Entre semana 20 y 26)]]="",Tabla1[[#This Row],[T.A. DIATOLICA (Entre semana 20 y 26)]]=""),"NO APLICA REGISTRO TA-INGRESO TARDIO",IF(AND(OR(O130&gt;0,R130&gt;0),OR(CU130&gt;=140,CV130&gt;=90)),"ALTO RIESGO PREECLAMPSIA,DEFINIR ESTADIO HTA",IF(AND(OR(O130&gt;0,R130&gt;0),AND(CU130&gt;120,CU130&lt;=139)),"PRE HTA SEGUIMIENTO,RIESGO HIPERTENSION INDUCIDA POR EL EMBARAZO",IF(AND(OR(O130&gt;0,R130&gt;0),AND(CV130&gt;80,CV130&lt;=89)),"PRE HTA SEGUIMIENTO, RIESGO HIPERTENSION INDUCIDA POR EL EMBARAZO",IF(AND(OR(O130&lt;&gt;"",R130&lt;&gt;""),CS130&lt;&gt;"",CV130&lt;&gt;"",CS130&lt;=CV130),"VIGILAR CIFRAS PRESION ARTERIAL",IF(AND(OR(O130&gt;0,R130&gt;0),AND(CU130&gt;120,CU130&lt;=139)),"PRE HTA SEGUIMIENTO",IF(AND(OR(O130&gt;0,R130&gt;0),AND(CU130&gt;1,CU130&lt;=70),AND(CV130&gt;1,CV130&lt;=40)),"HIPOTENSIÓN",IF(AND(OR(O130&lt;&gt;"",R130&lt;&gt;""),CS130&lt;&gt;"",CV130&lt;&gt;"",CS130&gt;CV130),"APARENTEMENTE NORMAL",IF(AND(OR(O130&gt;0,R130&gt;0),AND(CU130&gt;=80,CU130&lt;=120)),"APARENTEMENTE NORMAL",IF(AND(OR(O130&gt;0,R130&gt;0),AND(CV130&gt;=50,CV130&lt;=80)),"APARENTEMENTE NORMAL","")))))))))))))</f>
        <v>VIGILAR CIFRAS PRESION ARTERIAL</v>
      </c>
      <c r="CX130" s="21"/>
      <c r="CY130" s="21"/>
      <c r="CZ130" s="216" t="str">
        <f t="shared" si="498"/>
        <v/>
      </c>
      <c r="DA130" s="21">
        <v>90</v>
      </c>
      <c r="DB130" s="21">
        <v>60</v>
      </c>
      <c r="DC130" s="217" t="str">
        <f t="shared" si="264"/>
        <v>APARENTEMENTE NORMAL</v>
      </c>
      <c r="DD130" s="22">
        <v>45014</v>
      </c>
      <c r="DE130" s="22">
        <v>45014</v>
      </c>
      <c r="DF130" s="22">
        <v>45045</v>
      </c>
      <c r="DG130" s="22">
        <v>45076</v>
      </c>
      <c r="DH130" s="22">
        <v>45107</v>
      </c>
      <c r="DI130" s="22">
        <v>45139</v>
      </c>
      <c r="DJ130" s="22"/>
      <c r="DK130" s="22"/>
      <c r="DL130" s="22"/>
      <c r="DM130" s="22"/>
      <c r="DN130" s="22"/>
      <c r="DO130" s="22"/>
      <c r="DP130" s="22"/>
      <c r="DQ130" s="22"/>
      <c r="DR130" s="28">
        <v>2</v>
      </c>
      <c r="DS130" s="22"/>
      <c r="DT130" s="22"/>
      <c r="DU130" s="216" t="str">
        <f t="shared" ca="1" si="438"/>
        <v>CONCERTAR PLAN DE PARTO INMEDIATO</v>
      </c>
      <c r="DV130" s="226" t="str">
        <f t="shared" si="439"/>
        <v>ACTIVA INGRESO A CPN</v>
      </c>
      <c r="DW13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0" s="216" t="e">
        <f t="shared" ca="1" si="266"/>
        <v>#REF!</v>
      </c>
      <c r="DY130" s="212">
        <f>IF(R130="","",IF(R130&gt;0,MAX(Tabla1[[#This Row],[FECHA C2]:[FECHA C13]],Tabla1[[#This Row],[FECHA CONSULTA PRIMERA VEZ PROGRAMA CPN ]])))</f>
        <v>45139</v>
      </c>
      <c r="DZ130" s="216">
        <f t="shared" si="267"/>
        <v>25</v>
      </c>
      <c r="EA130" s="222">
        <f>IF(R130&gt;0,SUM(COUNTA(DF130:DQ130)+COUNTA(Tabla1[[#This Row],[FECHA CONSULTA PRIMERA VEZ PROGRAMA CPN ]])),"")</f>
        <v>5</v>
      </c>
      <c r="EB130" s="222" t="str">
        <f t="shared" si="268"/>
        <v>SI</v>
      </c>
      <c r="EC130" s="214">
        <f t="shared" si="269"/>
        <v>9</v>
      </c>
      <c r="ED130" s="227">
        <f t="shared" si="270"/>
        <v>0.55555555555555558</v>
      </c>
      <c r="EE130" s="22">
        <v>45014</v>
      </c>
      <c r="EF130" s="22">
        <v>45014</v>
      </c>
      <c r="EG130" s="22">
        <v>45014</v>
      </c>
      <c r="EH130" s="22">
        <v>45043</v>
      </c>
      <c r="EI130" s="22">
        <v>45014</v>
      </c>
      <c r="EJ130" s="22">
        <v>45049</v>
      </c>
      <c r="EK130" s="22">
        <v>45049</v>
      </c>
      <c r="EL130" s="21">
        <v>1</v>
      </c>
      <c r="EM130" s="21">
        <v>14</v>
      </c>
      <c r="EN130" s="22">
        <v>45014</v>
      </c>
      <c r="EO130" s="222">
        <f t="shared" si="271"/>
        <v>8.0142857142855064</v>
      </c>
      <c r="EP130" s="214" t="str">
        <f t="shared" si="272"/>
        <v>NORMAL- SUMINISTRAR SULFATO FERROSO</v>
      </c>
      <c r="EQ130" s="216" t="str">
        <f t="shared" si="273"/>
        <v>I TRIM</v>
      </c>
      <c r="ER130" s="24">
        <v>10.1</v>
      </c>
      <c r="ES130" s="22">
        <v>45108</v>
      </c>
      <c r="ET130" s="29">
        <f t="shared" ca="1" si="440"/>
        <v>21.442857142856933</v>
      </c>
      <c r="EU130" s="25" t="str">
        <f t="shared" si="275"/>
        <v>MANEJO MD POR ANEMIA FERROPENICA</v>
      </c>
      <c r="EV130" s="24" t="s">
        <v>1510</v>
      </c>
      <c r="EW130" s="22">
        <v>45014</v>
      </c>
      <c r="EX130" s="22"/>
      <c r="EY130" s="29">
        <f t="shared" si="453"/>
        <v>8.0142857142855064</v>
      </c>
      <c r="EZ130" s="25" t="str">
        <f t="shared" si="454"/>
        <v>SIN RIESGO DE ISOINMUNIZACIÓN</v>
      </c>
      <c r="FA130" s="21">
        <v>74</v>
      </c>
      <c r="FB130" s="22">
        <v>45014</v>
      </c>
      <c r="FC130" s="29">
        <f t="shared" si="276"/>
        <v>8.0142857142855064</v>
      </c>
      <c r="FD130" s="29"/>
      <c r="FE130" s="29"/>
      <c r="FF130" s="29">
        <v>5</v>
      </c>
      <c r="FG130" s="21" t="str">
        <f t="shared" ca="1" si="277"/>
        <v/>
      </c>
      <c r="FH130" s="31"/>
      <c r="FI130" s="29" t="str">
        <f t="shared" si="278"/>
        <v>TOMAR EXAMEN</v>
      </c>
      <c r="FJ130" s="22" t="s">
        <v>867</v>
      </c>
      <c r="FK130" s="22">
        <v>45014</v>
      </c>
      <c r="FL130" s="29">
        <f t="shared" ca="1" si="279"/>
        <v>8.0142857142855064</v>
      </c>
      <c r="FM130" s="22" t="s">
        <v>867</v>
      </c>
      <c r="FN130" s="32">
        <v>45109</v>
      </c>
      <c r="FO130" s="29">
        <f t="shared" ca="1" si="441"/>
        <v>21.585714285714079</v>
      </c>
      <c r="FP130" s="22"/>
      <c r="FQ130" s="32"/>
      <c r="FR130" s="29" t="str">
        <f t="shared" ca="1" si="442"/>
        <v>TOMA INMEDIATA DE TAMIZAJE</v>
      </c>
      <c r="FS130" s="22"/>
      <c r="FT130" s="32"/>
      <c r="FU130" s="29" t="str">
        <f>IF(AND(FJ130="",FM130="",FP130="",FS130=""),"",IF(OR(OR(Tabla1[[#This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0" s="28"/>
      <c r="FW130" s="22"/>
      <c r="FX130" s="29" t="str">
        <f t="shared" si="280"/>
        <v>TOMAR EXAMEN</v>
      </c>
      <c r="FY130" s="22" t="s">
        <v>868</v>
      </c>
      <c r="FZ130" s="22">
        <v>45014</v>
      </c>
      <c r="GA130" s="29">
        <f t="shared" ca="1" si="497"/>
        <v>8.0142857142855064</v>
      </c>
      <c r="GB130" s="22"/>
      <c r="GC130" s="22"/>
      <c r="GD130" s="29" t="str">
        <f t="shared" ca="1" si="490"/>
        <v>PIERDE TOMA DE TAMIZAJE</v>
      </c>
      <c r="GE130" s="22"/>
      <c r="GF130" s="22"/>
      <c r="GG130" s="29" t="str">
        <f t="shared" ca="1" si="444"/>
        <v>TOMA INMEDIATA DE TAMIZAJE</v>
      </c>
      <c r="GH130" s="22"/>
      <c r="GI130" s="29"/>
      <c r="GJ130" s="22"/>
      <c r="GK130" s="22"/>
      <c r="GL130" s="22"/>
      <c r="GM130" s="22"/>
      <c r="GN130" s="28" t="s">
        <v>869</v>
      </c>
      <c r="GO130" s="22">
        <v>45014</v>
      </c>
      <c r="GP130" s="29">
        <f t="shared" si="283"/>
        <v>8.0142857142855064</v>
      </c>
      <c r="GQ130" s="28" t="s">
        <v>869</v>
      </c>
      <c r="GR130" s="28"/>
      <c r="GS130" s="22" t="str">
        <f t="shared" si="457"/>
        <v>CONTROL Igm</v>
      </c>
      <c r="GT130" s="22">
        <v>45014</v>
      </c>
      <c r="GU130" s="29">
        <f t="shared" si="285"/>
        <v>9.2857142857142865</v>
      </c>
      <c r="GV130" s="21" t="str">
        <f t="shared" si="286"/>
        <v>I TRIM</v>
      </c>
      <c r="GW130" s="28"/>
      <c r="GX130" s="30"/>
      <c r="GY130" s="21"/>
      <c r="GZ130" s="21"/>
      <c r="HA130" s="21"/>
      <c r="HB130" s="21"/>
      <c r="HC130" s="21"/>
      <c r="HD130" s="21"/>
      <c r="HE130" s="21"/>
      <c r="HF130" s="22"/>
      <c r="HG130" s="22" t="str">
        <f>IF(OR(O130&gt;0,R130&gt;0),CONCATENATE(IF(Tabla1[[#This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0" s="22" t="e">
        <f t="shared" si="287"/>
        <v>#REF!</v>
      </c>
      <c r="HI130" s="22" t="e">
        <f t="shared" ca="1" si="288"/>
        <v>#REF!</v>
      </c>
      <c r="HJ130" s="21"/>
      <c r="HK130" s="21" t="str">
        <f t="shared" si="289"/>
        <v>SIN ANTECEDENTES DE RIESGO</v>
      </c>
      <c r="HL130" s="24" t="str">
        <f t="shared" si="290"/>
        <v>APARENTEMENTE NORMAL</v>
      </c>
      <c r="HM130" s="21" t="e">
        <f t="shared" ca="1" si="291"/>
        <v>#REF!</v>
      </c>
      <c r="HN130" s="30" t="str">
        <f t="shared" si="445"/>
        <v>ACTIVA INGRESO A CPN</v>
      </c>
      <c r="HO130" s="21"/>
      <c r="HP130" s="21"/>
      <c r="HQ130" s="349">
        <v>45014</v>
      </c>
      <c r="HR130" s="21" t="str">
        <f>IF(R130="","",IF(Tabla1[[#This Row],[ALARMA FACTORES DE RIESGO COMPLICACIONES HIPERTENSIVAS3]]="SIN ANTECEDENTES DE RIESGO","No Aplica para suministro de ASA",IF(AND(Tabla1[[#This Row],[FECHA INICIO DE SUMINISTRO DE ASA]]&gt;0,RV130&lt;12),"Inicia ASA ANTES de Sem 12",IF(AND(RV130&gt;11,RV130&lt;17,OR(HK130="RIESGO ALTO DE COMPLICACIONES HIPERTENSIVAS VER MANEJO GUIA SUMINISTRO ASA Y CALCIO",HK130="RIESGO MODERADO (2 O MAS CRITERIOS) VER MANEJO GUIA SUMINISTRO ASA Y CALCIO")),"Inicio oportuno de ASA",IF(AND(RV130&gt;12,OR(HK130="RIESGO ALTO DE COMPLICACIONES HIPERTENSIVAS VER MANEJO GUIA SUMINISTRO ASA Y CALCIO",HK130="RIESGO MODERADO (2 O MAS CRITERIOS) VER MANEJO GUIA SUMINISTRO ASA Y CALCIO")),"Inicio no oportuno mayor a 16 semanas",IF(AND(BU130&lt;12,OR(HK130="RIESGO ALTO DE COMPLICACIONES HIPERTENSIVAS VER MANEJO GUIA SUMINISTRO ASA Y CALCIO",HK130="RIESGO MODERADO (2 O MAS CRITERIOS) VER MANEJO GUIA SUMINISTRO ASA Y CALCIO")),"Pendiente Inicio de ASA a la semana 12",IF(AND(BU130&gt;11,BU130&lt;17,OR(HK130="RIESGO ALTO DE COMPLICACIONES HIPERTENSIVAS VER MANEJO GUIA SUMINISTRO ASA Y CALCIO",HK130="RIESGO MODERADO (2 O MAS CRITERIOS) VER MANEJO GUIA SUMINISTRO ASA Y CALCIO")),"Iniciar de inmediato ASA",IF(AND(BU130&gt;16,OR(HK130="RIESGO ALTO DE COMPLICACIONES HIPERTENSIVAS VER MANEJO GUIA SUMINISTRO ASA Y CALCIO",HK130="RIESGO MODERADO (2 O MAS CRITERIOS) VER MANEJO GUIA SUMINISTRO ASA Y CALCIO")),"Pierde Oportunidad, Inicio tardío de ASA","XXXXX"))))))))</f>
        <v>No Aplica para suministro de ASA</v>
      </c>
      <c r="HS130" s="22">
        <v>45014</v>
      </c>
      <c r="HT130" s="22" t="s">
        <v>870</v>
      </c>
      <c r="HU130" s="22">
        <v>45014</v>
      </c>
      <c r="HV130" s="22" t="s">
        <v>870</v>
      </c>
      <c r="HW130" s="22">
        <v>45014</v>
      </c>
      <c r="HX130" s="22" t="s">
        <v>870</v>
      </c>
      <c r="HY130" s="22"/>
      <c r="HZ130" s="28" t="str">
        <f t="shared" si="292"/>
        <v>PENDIENTE CONSULTA</v>
      </c>
      <c r="IA130" s="26"/>
      <c r="IB130" s="26"/>
      <c r="IC130" s="111"/>
      <c r="ID130" s="22"/>
      <c r="IE130" s="22" t="str">
        <f t="shared" ca="1" si="293"/>
        <v>INASISTENTE</v>
      </c>
      <c r="IF130" s="22"/>
      <c r="IG130" s="22">
        <f t="shared" si="294"/>
        <v>45237.9</v>
      </c>
      <c r="IH130" s="29">
        <f t="shared" ca="1" si="295"/>
        <v>4.9000000000014552</v>
      </c>
      <c r="II130" s="22" t="str">
        <f t="shared" ca="1" si="296"/>
        <v>SEMANA DE PARTO</v>
      </c>
      <c r="IJ130" s="22"/>
      <c r="IK130" s="21"/>
      <c r="IL130" s="21"/>
      <c r="IM130" s="34"/>
      <c r="IN130" s="22"/>
      <c r="IO130" s="21"/>
      <c r="IP130" s="29" t="str">
        <f t="shared" si="489"/>
        <v/>
      </c>
      <c r="IQ130" s="35"/>
      <c r="IR130" s="21"/>
      <c r="IS130" s="21"/>
      <c r="IT130" s="21"/>
      <c r="IU130" s="21"/>
      <c r="IV130" s="21"/>
      <c r="IW130" s="21"/>
      <c r="IX130" s="21"/>
      <c r="IY130" s="21"/>
      <c r="IZ130" s="21"/>
      <c r="JA130" s="21"/>
      <c r="JB130" s="30"/>
      <c r="JC130" s="21"/>
      <c r="JD130" s="36"/>
      <c r="JE130" s="21" t="str">
        <f t="shared" si="491"/>
        <v/>
      </c>
      <c r="JF130" s="30"/>
      <c r="JG130" s="21"/>
      <c r="JH130" s="21"/>
      <c r="JI130" s="21"/>
      <c r="JJ130" s="30"/>
      <c r="JK130" s="22"/>
      <c r="JL130" s="22"/>
      <c r="JM130" s="21"/>
      <c r="JN130" s="36"/>
      <c r="JO130" s="21" t="str">
        <f t="shared" si="492"/>
        <v/>
      </c>
      <c r="JP130" s="22"/>
      <c r="JQ130" s="21"/>
      <c r="JR130" s="21"/>
      <c r="JS130" s="21"/>
      <c r="JT130" s="30"/>
      <c r="JU130" s="22"/>
      <c r="JV130" s="22"/>
      <c r="JW130" s="33"/>
      <c r="JX130" s="28" t="str">
        <f t="shared" si="493"/>
        <v/>
      </c>
      <c r="JY130" s="33"/>
      <c r="JZ130" s="28" t="str">
        <f t="shared" si="494"/>
        <v/>
      </c>
      <c r="KA130" s="21"/>
      <c r="KB130" s="21"/>
      <c r="KC130" s="21"/>
      <c r="KD130" s="37"/>
      <c r="KE130" s="28"/>
      <c r="KF130" s="28"/>
      <c r="KG130" s="28"/>
      <c r="KH130" s="39"/>
      <c r="KI130" s="39"/>
      <c r="KJ130" s="66"/>
      <c r="KK130" s="39"/>
      <c r="KL130" s="39"/>
      <c r="KM130" s="66"/>
      <c r="KN130" s="39"/>
      <c r="KO130" s="39"/>
      <c r="KP130" s="39"/>
      <c r="KQ130" s="39"/>
      <c r="KR130" s="39"/>
      <c r="KS130" s="39"/>
      <c r="KT130" s="39"/>
      <c r="KU130" s="38"/>
      <c r="KV130" s="38"/>
      <c r="KW130" s="38"/>
      <c r="KX130" s="38"/>
      <c r="KY130" s="38"/>
      <c r="KZ130" s="38"/>
      <c r="LA130" s="38"/>
      <c r="LB130" s="38"/>
      <c r="LC130" s="38"/>
      <c r="LD130" s="38"/>
      <c r="LE130" s="38"/>
      <c r="LF130" s="38"/>
      <c r="LG130" s="38"/>
      <c r="LH130" s="38"/>
      <c r="LI130" s="38"/>
      <c r="LJ130" s="38"/>
      <c r="LK130" s="38"/>
      <c r="LL130" s="38"/>
      <c r="LM130" s="38"/>
      <c r="LN130" s="38"/>
      <c r="LO130" s="38"/>
      <c r="LP130" s="38"/>
      <c r="LQ130" s="38"/>
      <c r="LR130" s="38"/>
      <c r="LS130" s="38"/>
      <c r="LT130" s="38"/>
      <c r="LU130" s="38"/>
      <c r="LV130" s="38"/>
      <c r="LW130" s="38"/>
      <c r="LX130" s="38"/>
      <c r="LY130" s="38"/>
      <c r="LZ130" s="38"/>
      <c r="MA130" s="38"/>
      <c r="MB130" s="38"/>
      <c r="MC130" s="38"/>
      <c r="MD130" s="38"/>
      <c r="ME130" s="38"/>
      <c r="MF130" s="38"/>
      <c r="MG130" s="38"/>
      <c r="MH130" s="43">
        <f t="shared" si="458"/>
        <v>0</v>
      </c>
      <c r="MI130" s="43" t="str">
        <f t="shared" si="459"/>
        <v/>
      </c>
      <c r="MJ130" s="43" t="str">
        <f t="shared" si="460"/>
        <v/>
      </c>
      <c r="MK130" s="43">
        <f t="shared" si="461"/>
        <v>0</v>
      </c>
      <c r="ML1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0" s="43">
        <f t="shared" si="462"/>
        <v>8.0142857142855064</v>
      </c>
      <c r="MN130" s="43">
        <f t="shared" si="463"/>
        <v>3</v>
      </c>
      <c r="MO130" s="43">
        <f t="shared" si="464"/>
        <v>2023</v>
      </c>
      <c r="MP130" s="43" t="str">
        <f t="shared" si="465"/>
        <v>I TRIMESTRE AÑO</v>
      </c>
      <c r="MQ130" s="43">
        <f t="shared" si="466"/>
        <v>20.099649583880858</v>
      </c>
      <c r="MR130" s="43">
        <f t="shared" si="467"/>
        <v>0</v>
      </c>
      <c r="MS130" s="43" t="str">
        <f t="shared" si="468"/>
        <v xml:space="preserve"> DE 20 A 24 AÑOS</v>
      </c>
      <c r="MT130" s="43">
        <f t="shared" si="469"/>
        <v>0</v>
      </c>
      <c r="MU130" s="43">
        <f t="shared" si="470"/>
        <v>0</v>
      </c>
      <c r="MV130" s="43">
        <f t="shared" si="471"/>
        <v>0</v>
      </c>
      <c r="MW130" s="43">
        <f t="shared" si="472"/>
        <v>0</v>
      </c>
      <c r="MX130" s="43">
        <f t="shared" si="473"/>
        <v>1</v>
      </c>
      <c r="MY130" s="43" t="str">
        <f t="shared" ca="1" si="495"/>
        <v/>
      </c>
      <c r="MZ130" s="43" t="str">
        <f t="shared" si="474"/>
        <v/>
      </c>
      <c r="NA130" s="43">
        <f t="shared" si="475"/>
        <v>0</v>
      </c>
      <c r="NB130" s="43" t="str">
        <f t="shared" si="476"/>
        <v/>
      </c>
      <c r="NC130" s="43" t="str">
        <f t="shared" si="477"/>
        <v/>
      </c>
      <c r="ND130" s="43">
        <f t="shared" ca="1" si="478"/>
        <v>1</v>
      </c>
      <c r="NE130" s="43">
        <f>IF(OR(O130&gt;0,R130&gt;0),SUM(COUNTIF(Tabla1[[#This Row],[AÑOS AL INICIO5 CPN]],"&gt;=40"),COUNTIF(AS130,"0"),COUNTIF(AR130,"SI"),COUNTIF(CC130,"SI"),COUNTIF(BQ130,"&gt;119"),COUNTIF(CI130,"&gt;=35")),"")</f>
        <v>0</v>
      </c>
      <c r="NF130" s="43" t="str">
        <f t="shared" si="479"/>
        <v/>
      </c>
      <c r="NG130" s="43">
        <f t="shared" si="480"/>
        <v>0</v>
      </c>
      <c r="NH130" s="43">
        <f t="shared" si="481"/>
        <v>58.100000000000009</v>
      </c>
      <c r="NI13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CPN",P130="NO"),"Z",IF(AND(Tabla1[[#This Row],[CITA PROXIMO CONTROL]]="CITA MANUAL",Tabla1[[#This Row],[GESTANTES ACTUALES]]="ACTIVA INGRESO A CPN"),"W",IF(AND(Tabla1[[#This Row],[GESTANTES ACTUALES]]="SALIO PROGRAMA",IN130=""),"S",IF(AND(Tabla1[[#This Row],[CITA PROXIMO CONTROL]]&gt;0,IN130=""),(Tabla1[[#This Row],[CITA PROXIMO CONTROL]]-TODAY()),"SD"))))))))</f>
        <v>#REF!</v>
      </c>
      <c r="NJ130" s="43">
        <f>MONTH(Tabla1[[#This Row],[FECHA DE SALIDA  DEL PROGRAMA]])</f>
        <v>1</v>
      </c>
      <c r="NK130" s="43">
        <f>YEAR(Tabla1[[#This Row],[FECHA DE SALIDA  DEL PROGRAMA]])</f>
        <v>1900</v>
      </c>
      <c r="NL130" s="43">
        <f t="shared" si="482"/>
        <v>35</v>
      </c>
      <c r="NM130" s="43" t="str">
        <f t="shared" si="500"/>
        <v>NO</v>
      </c>
      <c r="NN130" s="43" t="str">
        <f ca="1">IF(AND(O130&gt;0,R130=""),"NO CPN",IF(AND(O130="",R130=""),"",IF(AND(R130&gt;0,Tabla1[[#This Row],[SEMANAS DE GESTACION ACTUALIZADAS]]&lt;=12),"NO APLICA",IF(AND(FH130&lt;&gt;"",FN130&lt;&gt;""),"SI","NO"))))</f>
        <v>NO</v>
      </c>
      <c r="NO130" s="43" t="str">
        <f ca="1">IF(AND(O130&gt;0,R130=""),"NO CPN",IF(AND(O130="",R130=""),"",IF(AND(R130&gt;0,Tabla1[[#This Row],[SEMANAS DE GESTACION ACTUALIZADAS]]&lt;=27),"NO APLICA",IF(AND(ES130&lt;&gt;"",FQ130&lt;&gt;"",GF130&lt;&gt;""),"SI","NO"))))</f>
        <v>NO</v>
      </c>
      <c r="NP130" s="204" t="str">
        <f t="shared" si="483"/>
        <v>I TRIM</v>
      </c>
      <c r="NQ130" s="21">
        <f t="shared" si="499"/>
        <v>10</v>
      </c>
      <c r="NR130" s="21">
        <f t="shared" ca="1" si="496"/>
        <v>3</v>
      </c>
      <c r="NS130" s="205">
        <f t="shared" ca="1" si="484"/>
        <v>2</v>
      </c>
      <c r="NT130" s="21">
        <f t="shared" ca="1" si="485"/>
        <v>1</v>
      </c>
      <c r="NU130" s="21" t="str">
        <f t="shared" ca="1" si="486"/>
        <v>INCOMPLETO</v>
      </c>
      <c r="NV130" s="21" t="str">
        <f t="shared" ca="1" si="487"/>
        <v>INCOMPLETO</v>
      </c>
      <c r="NW130" s="206" t="str">
        <f>IF(AND(O130="",R130=""),"",IF(OR(AND(Tabla1[[#This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0" s="207" t="str">
        <f t="shared" ca="1" si="488"/>
        <v>SIN VACUNAR</v>
      </c>
      <c r="NY130" s="43">
        <f>ROW(Tabla1[[#This Row],['# DE TAMIZAJES SIFILIS TOMADOS ]])</f>
        <v>130</v>
      </c>
      <c r="NZ130" s="43" t="str">
        <f t="shared" ref="NZ130:NZ190" si="501">IF(BS130="","",IF(BS130&lt;10,"Menor",INT(BS130)))</f>
        <v>Menor</v>
      </c>
      <c r="OA130" s="43" t="str">
        <f t="shared" ref="OA130:OA190" si="502">IF(AND(NZ130=$OA$2,CI130&gt;10,CI130&lt;18.5),"BAJO PESO",IF(AND(NZ130=$OA$2,CI130&gt;18.4,CI130&lt;25),"NORMAL",IF(AND(NZ130=$OA$2,CI130&gt;24,CI130&lt;30),"SOBREPESO",IF(AND(NZ130=$OA$2,CI130&gt;29,CI130&lt;50),"OBESIDAD",""))))</f>
        <v>SOBREPESO</v>
      </c>
      <c r="OB130" s="43" t="str">
        <f t="shared" ref="OB130:OB190" si="503">IF(AND(NZ130=$OB$2,CI130&gt;10,CI130&lt;20.3),"BAJO PESO",IF(AND(NZ130=$OB$2,CI130&gt;20.2,CI130&lt;25.3),"NORMAL",IF(AND(NZ130=$OB$2,CI130&gt;25.2,CI130&lt;30.3),"SOBREPESO",IF(AND(NZ130=$OB$2,CI130&gt;30.2,CI130&lt;50),"OBESIDAD",""))))</f>
        <v/>
      </c>
      <c r="OC130" s="43" t="str">
        <f t="shared" ref="OC130:OC190" si="504">IF(AND(NZ130=$OC$2,CI130&gt;10,CI130&lt;20.4),"BAJO PESO",IF(AND(NZ130=$OC$2,CI130&gt;20.3,CI130&lt;25.4),"NORMAL",IF(AND(NZ130=$OC$2,CI130&gt;25.3,CI130&lt;30.4),"SOBREPESO",IF(AND(NZ130=$OC$2,CI130&gt;30.3,CI130&lt;50),"OBESIDAD",""))))</f>
        <v/>
      </c>
      <c r="OD130" s="43" t="str">
        <f t="shared" ref="OD130:OD190" si="505">IF(AND(NZ130=$OD$2,CI130&gt;10,CI130&lt;20.5),"BAJO PESO",IF(AND(NZ130=$OD$2,CI130&gt;20.4,CI130&lt;25.5),"NORMAL",IF(AND(NZ130=$OD$2,CI130&gt;25.4,CI130&lt;30.4),"SOBREPESO",IF(AND(NZ130=$OD$2,CI130&gt;30.3,CI130&lt;50),"OBESIDAD",""))))</f>
        <v/>
      </c>
      <c r="OE130" s="43" t="str">
        <f t="shared" ref="OE130:OE190" si="506">IF(AND(NZ130=$OE$2,CI130&gt;10,CI130&lt;20.7),"BAJO PESO",IF(AND(NZ130=$OE$2,CI130&gt;20.6,CI130&lt;25.7),"NORMAL",IF(AND(NZ130=$OE$2,CI130&gt;25.7,CI130&lt;30.5),"SOBREPESO",IF(AND(NZ130=$OE$2,CI130&gt;30.4,CI130&lt;50),"OBESIDAD",""))))</f>
        <v/>
      </c>
      <c r="OF130" s="43" t="str">
        <f t="shared" ref="OF130:OF190" si="507">IF(AND(NZ130=$OF$2,CI130&gt;10,CI130&lt;20.8),"BAJO PESO",IF(AND(NZ130=$OF$2,CI130&gt;20.7,CI130&lt;25.8),"NORMAL",IF(AND(NZ130=$OF$2,CI130&gt;25.7,CI130&lt;30.6),"SOBREPESO",IF(AND(NZ130=$OF$2,CI130&gt;30.5,CI130&lt;50),"OBESIDAD",""))))</f>
        <v/>
      </c>
      <c r="OG130" s="43" t="str">
        <f t="shared" ref="OG130:OG190" si="508">IF(AND(NZ130=$OG$2,CI130&gt;10,CI130&lt;20.9),"BAJO PESO",IF(AND(NZ130=$OG$2,CI130&gt;20.8,CI130&lt;25.9),"NORMAL",IF(AND(NZ130=$OG$2,CI130&gt;25.8,CI130&lt;30.7),"SOBREPESO",IF(AND(NZ130=$OG$2,CI130&gt;30.6,CI130&lt;50),"OBESIDAD",""))))</f>
        <v/>
      </c>
      <c r="OH130" s="43" t="str">
        <f t="shared" ref="OH130:OH190" si="509">IF(AND(NZ130=$OH$2,CI130&gt;10,CI130&lt;21.1),"BAJO PESO",IF(AND(NZ130=$OH$2,CI130&gt;21,CI130&lt;26),"NORMAL",IF(AND(NZ130=$OH$2,CI130&gt;25.9,CI130&lt;30.8),"SOBREPESO",IF(AND(NZ130=$OH$2,CI130&gt;30.7,CI130&lt;50),"OBESIDAD",""))))</f>
        <v/>
      </c>
      <c r="OI130" s="43" t="str">
        <f t="shared" ref="OI130:OI190" si="510">IF(AND(NZ130=$OI$2,CI130&gt;10,CI130&lt;21.2),"BAJO PESO",IF(AND(NZ130=$OI$2,CI130&gt;21.1,CI130&lt;26.1),"NORMAL",IF(AND(NZ130=$OI$2,CI130&gt;26,CI130&lt;31.9),"SOBREPESO",IF(AND(NZ130=$OI$2,CI130&gt;30.8,CI130&lt;50),"OBESIDAD",""))))</f>
        <v/>
      </c>
      <c r="OJ130" s="43" t="str">
        <f t="shared" ref="OJ130:OJ190" si="511">IF(AND(NZ130=$OJ$2,CI130&gt;10,CI130&lt;21.3),"BAJO PESO",IF(AND(NZ130=$OJ$2,CI130&gt;21.2,CI130&lt;26.2),"NORMAL",IF(AND(NZ130=$OJ$2,CI130&gt;26.1,CI130&lt;31),"SOBREPESO",IF(AND(NZ130=$OJ$2,CI130&gt;30.9,CI130&lt;50),"OBESIDAD",""))))</f>
        <v/>
      </c>
      <c r="OK130" s="43" t="str">
        <f t="shared" ref="OK130:OK190" si="512">IF(AND(NZ130=$OK$2,CI130&gt;10,CI130&lt;21.5),"BAJO PESO",IF(AND(NZ130=$OK$2,CI130&gt;21.4,CI130&lt;26.3),"NORMAL",IF(AND(NZ130=$OK$2,CI130&gt;26.2,CI130&lt;31),"SOBREPESO",IF(AND(NZ130=$OK$2,CI130&gt;30.9,CI130&lt;50),"OBESIDAD",""))))</f>
        <v/>
      </c>
      <c r="OL130" s="43" t="str">
        <f t="shared" ref="OL130:OL190" si="513">IF(AND(NZ130=$OL$2,CI130&gt;10,CI130&lt;21.6),"BAJO PESO",IF(AND(NZ130=$OL$2,CI130&gt;21.5,CI130&lt;26.4),"NORMAL",IF(AND(NZ130=$OL$2,CI130&gt;26.3,CI130&lt;31.1),"SOBREPESO",IF(AND(NZ130=$OL$2,CI130&gt;31,CI130&lt;50),"OBESIDAD",""))))</f>
        <v/>
      </c>
      <c r="OM130" s="43" t="str">
        <f t="shared" ref="OM130:OM190" si="514">IF(AND(NZ130=$OM$2,CI130&gt;10,CI130&lt;21.8),"BAJO PESO",IF(AND(NZ130=$OM$2,CI130&gt;21.7,CI130&lt;26.5),"NORMAL",IF(AND(NZ130=$OM$2,CI130&gt;26.4,CI130&lt;31.2),"SOBREPESO",IF(AND(NZ130=$OM$2,CI130&gt;31.1,CI130&lt;50),"OBESIDAD",""))))</f>
        <v/>
      </c>
      <c r="ON130" s="43" t="str">
        <f t="shared" ref="ON130:ON190" si="515">IF(AND(NZ130=$ON$2,CI130&gt;10,CI130&lt;21.9),"BAJO PESO",IF(AND(NZ130=$ON$2,CI130&gt;21.8,CI130&lt;26.7),"NORMAL",IF(AND(NZ130=$ON$2,CI130&gt;26.6,CI130&lt;31.3),"SOBREPESO",IF(AND(NZ130=$ON$2,CI130&gt;31.2,CI130&lt;50),"OBESIDAD",""))))</f>
        <v/>
      </c>
      <c r="OO130" s="43" t="str">
        <f t="shared" ref="OO130:OO190" si="516">IF(AND(NZ130=$OO$2,CI130&gt;10,CI130&lt;22.1),"BAJO PESO",IF(AND(NZ130=$OO$2,CI130&gt;22,CI130&lt;26.8),"NORMAL",IF(AND(NZ130=$OO$2,CI130&gt;26.7,CI130&lt;31.4),"SOBREPESO",IF(AND(NZ130=$OO$2,CI130&gt;31.3,CI130&lt;50),"OBESIDAD",""))))</f>
        <v/>
      </c>
      <c r="OP130" s="43" t="str">
        <f t="shared" ref="OP130:OP190" si="517">IF(AND(NZ130=$OP$2,CI130&gt;10,CI130&lt;22.3),"BAJO PESO",IF(AND(NZ130=$OP$2,CI130&gt;22.2,CI130&lt;27),"NORMAL",IF(AND(NZ130=$OP$2,CI130&gt;26.9,CI130&lt;31.6),"SOBREPESO",IF(AND(NZ130=$OP$2,CI130&gt;31.5,CI130&lt;50),"OBESIDAD",""))))</f>
        <v/>
      </c>
      <c r="OQ130" s="43" t="str">
        <f t="shared" ref="OQ130:OQ190" si="518">IF(AND(NZ130=$OQ$2,$CI130&gt;10,CI130&lt;22.5),"BAJO PESO",IF(AND(NZ130=$OQ$2,CI130&gt;22.4,CI130&lt;27.1),"NORMAL",IF(AND(NZ130=$OQ$2,CI130&gt;27,CI130&lt;31.7),"SOBREPESO",IF(AND(NZ130=$OQ$2,CI130&gt;31.6,CI130&lt;50),"OBESIDAD",""))))</f>
        <v/>
      </c>
      <c r="OR130" s="43" t="str">
        <f t="shared" ref="OR130:OR190" si="519">IF(AND(NZ130=$OR$2,CI130&gt;10,CI130&lt;22.7),"BAJO PESO",IF(AND(NZ130=$OR$2,CI130&gt;22.6,CI130&lt;27.3),"NORMAL",IF(AND(NZ130=$OR$2,CI130&gt;27.1,CI130&lt;31.8),"SOBREPESO",IF(AND(NZ130=$OR$2,CI130&gt;31.7,CI130&lt;50),"OBESIDAD",""))))</f>
        <v/>
      </c>
      <c r="OS130" s="43" t="str">
        <f t="shared" ref="OS130:OS190" si="520">IF(AND(NZ130=$OS$2,CI130&gt;10,CI130&lt;22.8),"BAJO PESO",IF(AND(NZ130=$OS$2,CI130&gt;22.7,CI130&lt;27.4),"NORMAL",IF(AND(NZ130=$OS$2,CI130&gt;27.3,CI130&lt;31.9),"SOBREPESO",IF(AND(NZ130=$OS$2,CI130&gt;31.8,CI130&lt;50),"OBESIDAD",""))))</f>
        <v/>
      </c>
      <c r="OT130" s="43" t="str">
        <f t="shared" ref="OT130:OT190" si="521">IF(AND(NZ130=$OT$2,CI130&gt;10,CI130&lt;23),"BAJO PESO",IF(AND(NZ130=$OT$2,CI130&gt;22.9,CI130&lt;27.6),"NORMAL",IF(AND(NZ130=$OT$2,CI130&gt;27.5,CI130&lt;32),"SOBREPESO",IF(AND(NZ130=$OT$2,CI130&gt;31.9,CI130&lt;50),"OBESIDAD",""))))</f>
        <v/>
      </c>
      <c r="OU130" s="43" t="str">
        <f t="shared" ref="OU130:OU190" si="522">IF(AND(NZ130=$OU$2,CI130&gt;10,CI130&lt;23.2),"BAJO PESO",IF(AND(NZ130=$OU$2,CI130&gt;23.1,CI130&lt;27.7),"NORMAL",IF(AND(NZ130=$OU$2,CI130&gt;27.6,CI130&lt;32.1),"SOBREPESO",IF(AND(NZ130=$OU$2,CI130&gt;32,CI130&lt;50),"OBESIDAD",""))))</f>
        <v/>
      </c>
      <c r="OV130" s="110" t="str">
        <f t="shared" ref="OV130:OV190" si="523">IF(AND(NZ130=$OV$2,CI130&gt;10,CI130&lt;23.4),"BAJO PESO",IF(AND(NZ130=$OV$2,CI130&gt;23.3,CI130&lt;27.9),"NORMAL",IF(AND(NZ130=$OV$2,CI130&gt;27.8,CI130&lt;32.2),"SOBREPESO",IF(AND(NZ130=$OV$2,CI130&gt;32.1,CI130&lt;50),"OBESIDAD",""))))</f>
        <v/>
      </c>
      <c r="OW130" s="43" t="str">
        <f t="shared" ref="OW130:OW190" si="524">IF(AND(NZ130=$OW$2,CI130&gt;10,CI130&lt;23.5),"BAJO PESO",IF(AND(NZ130=$OW$2,CI130&gt;23.4,CI130&lt;28),"NORMAL",IF(AND(NZ130=$OW$2,CI130&gt;27.9,CI130&lt;32.1),"SOBREPESO",IF(AND(NZ130=$OW$2,CI130&gt;32.2,CI130&lt;50),"OBESIDAD",""))))</f>
        <v/>
      </c>
      <c r="OX130" s="43" t="str">
        <f t="shared" ref="OX130:OX190" si="525">IF(AND(NZ130=$OX$2,CI130&gt;10,CI130&lt;23.7),"BAJO PESO",IF(AND(NZ130=$OX$2,CI130&gt;23.6,CI130&lt;28.1),"NORMAL",IF(AND(NZ130=$OX$2,CI130&gt;28,CI130&lt;33.4),"SOBREPESO",IF(AND(NZ130=$OX$2,CI130&gt;33.3,CI130&lt;50),"OBESIDAD",""))))</f>
        <v/>
      </c>
      <c r="OY130" s="43" t="str">
        <f t="shared" ref="OY130:OY190" si="526">IF(AND(NZ130=$OY$2,CI130&gt;10,CI130&lt;23.9),"BAJO PESO",IF(AND(NZ130=$OY$2,CI130&gt;23.8,CI130&lt;28.2),"NORMAL",IF(AND(NZ130=$OY$2,CI130&gt;28.1,CI130&lt;33.5),"SOBREPESO",IF(AND(NZ130=$OY$2,CI130&gt;33.4,CI130&lt;50),"OBESIDAD",""))))</f>
        <v/>
      </c>
      <c r="OZ130" s="43" t="str">
        <f t="shared" ref="OZ130:OZ190" si="527">IF(AND(NZ130=$OZ$2,CI130&gt;10,CI130&lt;24),"BAJO PESO",IF(AND(NZ130=$OZ$2,CI130&gt;23.9,CI130&lt;28.4),"NORMAL",IF(AND(NZ130=$OZ$2,CI130&gt;28.3,CI130&lt;33.6),"SOBREPESO",IF(AND(NZ130=$OZ$2,CI130&gt;33.5,CI130&lt;50),"OBESIDAD",""))))</f>
        <v/>
      </c>
      <c r="PA130" s="43" t="str">
        <f t="shared" ref="PA130:PA190" si="528">IF(AND(NZ130=$PA$2,CI130&gt;10,CI130&lt;24.2),"BAJO PESO",IF(AND(NZ130=$PA$2,CI130&gt;24.1,CI130&lt;28.5),"NORMAL",IF(AND(NZ130=$PA$2,CI130&gt;28.4,CI130&lt;33.7),"SOBREPESO",IF(AND(NZ130=$PA$2,CI130&gt;33.6,CI130&lt;50),"OBESIDAD",""))))</f>
        <v/>
      </c>
      <c r="PB130" s="43" t="str">
        <f t="shared" ref="PB130:PB190" si="529">IF(AND(NZ130=$PB$2,CI130&gt;10,CI130&lt;24.3),"BAJO PESO",IF(AND(NZ130=$PB$2,CI130&gt;24.2,CI130&lt;28.6),"NORMAL",IF(AND(NZ130=$PB$2,CI130&gt;28.5,CI130&lt;33.8),"SOBREPESO",IF(AND(NZ130=$PB$2,CI130&gt;33.7,CI130&lt;50),"OBESIDAD",""))))</f>
        <v/>
      </c>
      <c r="PC130" s="43" t="str">
        <f t="shared" ref="PC130:PC190" si="530">IF(AND(NZ130=$PC$2,CI130&gt;10,CI130&lt;24.5),"BAJO PESO",IF(AND(NZ130=$PC$2,CI130&gt;24.4,CI130&lt;28.8),"NORMAL",IF(AND(NZ130=$PC$2,CI130&gt;28.7,CI130&lt;32.9),"SOBREPESO",IF(AND(NZ130=$PC$2,CI130&gt;32.8,CI130&lt;50),"OBESIDAD",""))))</f>
        <v/>
      </c>
      <c r="PD130" s="43" t="str">
        <f t="shared" ref="PD130:PD190" si="531">IF(AND(NZ130=$PD$2,CI130&gt;10,CI130&lt;24.6),"BAJO PESO",IF(AND(NZ130=$PD$2,CI130&gt;24.5,CI130&lt;28.9),"NORMAL",IF(AND(NZ130=$PD$2,CI130&gt;28.8,CI130&lt;33),"SOBREPESO",IF(AND(NZ130=$PD$2,CI130&gt;32.9,CI130&lt;50),"OBESIDAD",""))))</f>
        <v/>
      </c>
      <c r="PE130" s="43" t="str">
        <f t="shared" ref="PE130:PE190" si="532">IF(AND(NZ130=$PE$2,CI130&gt;10,CI130&lt;24.8),"BAJO PESO",IF(AND(NZ130=$PE$2,CI130&gt;24.7,CI130&lt;29),"NORMAL",IF(AND(NZ130=$PE$2,CI130&gt;28.9,CI130&lt;33.1),"SOBREPESO",IF(AND(NZ130=$PE$2,CI130&gt;33,CI130&lt;50),"OBESIDAD",""))))</f>
        <v/>
      </c>
      <c r="PF130" s="43" t="str">
        <f t="shared" ref="PF130:PF190" si="533">IF(AND(NZ130=$PF$2,CI130&gt;10,CI130&lt;25),"BAJO PESO",IF(AND(NZ130=$PF$2,CI130&gt;24.9,CI130&lt;29.2),"NORMAL",IF(AND(NZ130=$PF$2,CI130&gt;29.1,CI130&lt;33.2),"SOBREPESO",IF(AND(NZ130=$PF$2,CI130&gt;33.1,CI130&lt;50),"OBESIDAD",""))))</f>
        <v/>
      </c>
      <c r="PG130" s="43" t="str">
        <f t="shared" ref="PG130:PG190" si="534">IF(AND(NZ130=$PG$2,CI130&gt;10,CI130&lt;25.1),"BAJO PESO",IF(AND(NZ130=$PG$2,CI130&gt;25,CI130&lt;29.3),"NORMAL",IF(AND(NZ130=$PG$2,CI130&gt;29.2,CI130&lt;33.3),"SOBREPESO",IF(AND(NZ130=$PG$2,CI130&gt;33.2,CI130&lt;50),"OBESIDAD",""))))</f>
        <v/>
      </c>
      <c r="PH130" s="43" t="str">
        <f t="shared" ref="PH130:PH190" si="535">IF(AND(NZ130=$PH$2,CI130&gt;10,CI130&lt;25.1),"BAJO PESO",IF(AND(NZ130=$PH$2,CI130&gt;25,CI130&lt;29.4),"NORMAL",IF(AND(NZ130=$PH$2,CI130&gt;29.3,CI130&lt;33.3),"SOBREPESO",IF(AND(NZ130=$PH$2,CI130&gt;33.2,CI130&lt;50),"OBESIDAD",""))))</f>
        <v/>
      </c>
      <c r="PI130" s="43">
        <f t="shared" ref="PI130:PI190" si="536">IF(DZ130="","",IF(DZ130&lt;10,"Menor",DZ130))</f>
        <v>25</v>
      </c>
      <c r="PJ130" s="43" t="str">
        <f t="shared" ref="PJ130:PJ190" si="537">IF(AND(PI130=$PJ$2,CM130&gt;10,CM130&lt;18.5),"BAJO PESO",IF(AND(PI130=$PJ$2,CM130&gt;18.4,CM130&lt;25),"NORMAL",IF(AND(PI130=$PJ$2,CM130&gt;24,CM130&lt;30),"SOBREPESO",IF(AND(PI130=$PJ$2,CM130&gt;29,CM130&lt;50),"OBESIDAD",""))))</f>
        <v/>
      </c>
      <c r="PK130" s="43" t="str">
        <f t="shared" ref="PK130:PK190" si="538">IF(AND(PI130=$PK$2,CM130&gt;10,CM130&lt;20.3),"BAJO PESO",IF(AND(PI130=$PK$2,CM130&gt;20.2,CM130&lt;25.3),"NORMAL",IF(AND(PI130=$PK$2,CM130&gt;25.2,CM130&lt;30.3),"SOBREPESO",IF(AND(PI130=$PK$2,CM130&gt;30.2,CM130&lt;50),"OBESIDAD",""))))</f>
        <v/>
      </c>
      <c r="PL130" s="43" t="str">
        <f t="shared" ref="PL130:PL190" si="539">IF(AND(PI130=$PL$2,CM130&gt;10,CM130&lt;20.4),"BAJO PESO",IF(AND(PI130=$PL$2,CM130&gt;20.3,CM130&lt;25.4),"NORMAL",IF(AND(PI130=$PL$2,CM130&gt;25.3,CM130&lt;30.4),"SOBREPESO",IF(AND(PI130=$PL$2,CM130&gt;30.3,CM130&lt;50),"OBESIDAD",""))))</f>
        <v/>
      </c>
      <c r="PM130" s="43" t="str">
        <f t="shared" ref="PM130:PM190" si="540">IF(AND(PI130=$PM$2,CM130&gt;10,CM130&lt;20.5),"BAJO PESO",IF(AND(PI130=$PM$2,CM130&gt;20.4,CM130&lt;25.5),"NORMAL",IF(AND(PI130=$PM$2,CM130&gt;25.4,CM130&lt;30.4),"SOBREPESO",IF(AND(PI130=$PM$2,CM130&gt;30.3,CM130&lt;50),"OBESIDAD",""))))</f>
        <v/>
      </c>
      <c r="PN130" s="43" t="str">
        <f t="shared" ref="PN130:PN190" si="541">IF(AND(PI130=$PN$2,CM130&gt;10,CM130&lt;20.7),"BAJO PESO",IF(AND(PI130=$PN$2,CM130&gt;20.6,CM130&lt;25.7),"NORMAL",IF(AND(PI130=$PN$2,CM130&gt;25.7,CM130&lt;30.5),"SOBREPESO",IF(AND(PI130=$PN$2,CM130&gt;30.4,CM130&lt;50),"OBESIDAD",""))))</f>
        <v/>
      </c>
      <c r="PO130" s="43" t="str">
        <f t="shared" ref="PO130:PO190" si="542">IF(AND(PI130=$PO$2,CM130&gt;10,CM130&lt;20.8),"BAJO PESO",IF(AND(PI130=$PO$2,CM130&gt;20.7,CM130&lt;25.8),"NORMAL",IF(AND(PI130=$PO$2,CM130&gt;25.7,CM130&lt;30.6),"SOBREPESO",IF(AND(PI130=$PO$2,CM130&gt;30.5,CM130&lt;50),"OBESIDAD",""))))</f>
        <v/>
      </c>
      <c r="PP130" s="43" t="str">
        <f t="shared" ref="PP130:PP190" si="543">IF(AND(PI130=$PP$2,CM130&gt;10,CM130&lt;20.9),"BAJO PESO",IF(AND(PI130=$PP$2,CM130&gt;20.8,CM130&lt;25.9),"NORMAL",IF(AND(PI130=$PP$2,CM130&gt;25.8,CM130&lt;30.7),"SOBREPESO",IF(AND(PI130=$PP$2,CM130&gt;30.6,CM130&lt;50),"OBESIDAD",""))))</f>
        <v/>
      </c>
      <c r="PQ130" s="43" t="str">
        <f t="shared" ref="PQ130:PQ190" si="544">IF(AND(PI130=$PQ$2,CM130&gt;10,CM130&lt;21.1),"BAJO PESO",IF(AND(PI130=$PQ$2,CM130&gt;21,CM130&lt;26),"NORMAL",IF(AND(PI130=$PQ$2,CM130&gt;25.9,CM130&lt;30.8),"SOBREPESO",IF(AND(PI130=$PQ$2,CM130&gt;30.7,CM130&lt;50),"OBESIDAD",""))))</f>
        <v/>
      </c>
      <c r="PR130" s="43" t="str">
        <f t="shared" ref="PR130:PR190" si="545">IF(AND(PI130=$PR$2,CM130&gt;10,CM130&lt;21.2),"BAJO PESO",IF(AND(PI130=$PR$2,CM130&gt;21.1,CM130&lt;26.1),"NORMAL",IF(AND(PI130=$PR$2,CM130&gt;26,CM130&lt;31.9),"SOBREPESO",IF(AND(PI130=$PR$2,CM130&gt;30.8,CM130&lt;50),"OBESIDAD",""))))</f>
        <v/>
      </c>
      <c r="PS130" s="43" t="str">
        <f t="shared" ref="PS130:PS190" si="546">IF(AND(PI130=$PS$2,CM130&gt;10,CM130&lt;21.3),"BAJO PESO",IF(AND(PI130=$PS$2,CM130&gt;21.2,CM130&lt;26.2),"NORMAL",IF(AND(PI130=$PS$2,CM130&gt;26.1,CM130&lt;31),"SOBREPESO",IF(AND(PI130=$PS$2,CM130&gt;30.9,CM130&lt;50),"OBESIDAD",""))))</f>
        <v/>
      </c>
      <c r="PT130" s="43" t="str">
        <f t="shared" ref="PT130:PT190" si="547">IF(AND(PI130=$PT$2,CM130&gt;10,CM130&lt;21.5),"BAJO PESO",IF(AND(PI130=$PT$2,CM130&gt;21.4,CM130&lt;26.3),"NORMAL",IF(AND(PI130=$PT$2,CM130&gt;26.2,CM130&lt;31),"SOBREPESO",IF(AND(PI130=$PT$2,CM130&gt;30.9,CM130&lt;50),"OBESIDAD",""))))</f>
        <v/>
      </c>
      <c r="PU130" s="43" t="str">
        <f t="shared" ref="PU130:PU190" si="548">IF(AND(PI130=$PU$2,CM130&gt;10,CM130&lt;21.6),"BAJO PESO",IF(AND(PI130=$PU$2,CM130&gt;21.5,CM130&lt;26.4),"NORMAL",IF(AND(PI130=$PU$2,CM130&gt;26.3,CM130&lt;31.1),"SOBREPESO",IF(AND(PI130=$PU$2,CM130&gt;31,CM130&lt;50),"OBESIDAD",""))))</f>
        <v/>
      </c>
      <c r="PV130" s="43" t="str">
        <f t="shared" ref="PV130:PV190" si="549">IF(AND(PI130=$PV$2,CM130&gt;10,CM130&lt;21.8),"BAJO PESO",IF(AND(PI130=$PV$2,CM130&gt;21.7,CM130&lt;26.5),"NORMAL",IF(AND(PI130=$PV$2,CM130&gt;26.4,CM130&lt;31.2),"SOBREPESO",IF(AND(PI130=$PV$2,CM130&gt;31.1,CM130&lt;50),"OBESIDAD",""))))</f>
        <v/>
      </c>
      <c r="PW130" s="43" t="str">
        <f t="shared" ref="PW130:PW190" si="550">IF(AND(PI130=$PW$2,CM130&gt;10,CM130&lt;21.9),"BAJO PESO",IF(AND(PI130=$PW$2,CM130&gt;21.8,CM130&lt;26.7),"NORMAL",IF(AND(PI130=$PW$2,CM130&gt;26.6,CM130&lt;31.3),"SOBREPESO",IF(AND(PI130=$PW$2,CM130&gt;31.2,CM130&lt;50),"OBESIDAD",""))))</f>
        <v/>
      </c>
      <c r="PX130" s="43" t="str">
        <f t="shared" ref="PX130:PX190" si="551">IF(AND(PI130=$PX$2,CM130&gt;10,CM130&lt;22.1),"BAJO PESO",IF(AND(PI130=$PX$2,CM130&gt;22,CM130&lt;26.8),"NORMAL",IF(AND(PI130=$PX$2,CM130&gt;26.7,CM130&lt;31.4),"SOBREPESO",IF(AND(PI130=$PX$2,CM130&gt;31.3,CM130&lt;50),"OBESIDAD",""))))</f>
        <v/>
      </c>
      <c r="PY130" s="43" t="str">
        <f t="shared" ref="PY130:PY190" si="552">IF(AND(PI130=$PY$2,CM130&gt;10,CM130&lt;22.3),"BAJO PESO",IF(AND(PI130=$PY$2,CM130&gt;22.2,CM130&lt;27),"NORMAL",IF(AND(PI130=$PY$2,CM130&gt;26.9,CM130&lt;31.6),"SOBREPESO",IF(AND(PI130=$PY$2,CM130&gt;31.5,CM130&lt;50),"OBESIDAD",""))))</f>
        <v/>
      </c>
      <c r="PZ130" s="43" t="str">
        <f t="shared" ref="PZ130:PZ190" si="553">IF(AND(PI130=$PZ$2,$CM130&gt;10,CM130&lt;22.5),"BAJO PESO",IF(AND(PI130=$PZ$2,CM130&gt;22.4,CM130&lt;27.1),"NORMAL",IF(AND(PI130=$PZ$2,CM130&gt;27,CM130&lt;31.7),"SOBREPESO",IF(AND(PI130=$PZ$2,CM130&gt;31.6,CM130&lt;50),"OBESIDAD",""))))</f>
        <v>SOBREPESO</v>
      </c>
      <c r="QA130" s="43" t="str">
        <f t="shared" ref="QA130:QA190" si="554">IF(AND(PI130=$QA$2,CM130&gt;10,CM130&lt;22.7),"BAJO PESO",IF(AND(PI130=$QA$2,CM130&gt;22.6,CM130&lt;27.3),"NORMAL",IF(AND(PI130=$QA$2,CM130&gt;27.1,CM130&lt;31.8),"SOBREPESO",IF(AND(PI130=$QA$2,CM130&gt;31.7,CM130&lt;50),"OBESIDAD",""))))</f>
        <v/>
      </c>
      <c r="QB130" s="43" t="str">
        <f t="shared" ref="QB130:QB190" si="555">IF(AND(PI130=$QB$2,CM130&gt;10,CM130&lt;22.8),"BAJO PESO",IF(AND(PI130=$QB$2,CM130&gt;22.7,CM130&lt;27.4),"NORMAL",IF(AND(PI130=$QB$2,CM130&gt;27.3,CM130&lt;31.9),"SOBREPESO",IF(AND(PI130=$QB$2,CM130&gt;31.8,CM130&lt;50),"OBESIDAD",""))))</f>
        <v/>
      </c>
      <c r="QC130" s="43" t="str">
        <f t="shared" ref="QC130:QC190" si="556">IF(AND(PI130=$QC$2,CM130&gt;10,CM130&lt;23),"BAJO PESO",IF(AND(PI130=$QC$2,CM130&gt;22.9,CM130&lt;27.6),"NORMAL",IF(AND(PI130=$QC$2,CM130&gt;27.5,CM130&lt;32),"SOBREPESO",IF(AND(PI130=$QC$2,CM130&gt;31.9,CM130&lt;50),"OBESIDAD",""))))</f>
        <v/>
      </c>
      <c r="QD130" s="43" t="str">
        <f t="shared" ref="QD130:QD190" si="557">IF(AND(PI130=$QD$2,CM130&gt;10,CM130&lt;23.2),"BAJO PESO",IF(AND(PI130=$QD$2,CM130&gt;23.1,CM130&lt;27.7),"NORMAL",IF(AND(PI130=$QD$2,CM130&gt;27.6,CM130&lt;32.1),"SOBREPESO",IF(AND(PI130=$QD$2,CM130&gt;32,CM130&lt;50),"OBESIDAD",""))))</f>
        <v/>
      </c>
      <c r="QE130" s="43" t="str">
        <f t="shared" ref="QE130:QE190" si="558">IF(AND(PI130=$QE$2,CM130&gt;10,CM130&lt;23.4),"BAJO PESO",IF(AND(PI130=$QE$2,CM130&gt;23.3,CM130&lt;27.9),"NORMAL",IF(AND(PI130=$QE$2,CM130&gt;27.8,CM130&lt;32.2),"SOBREPESO",IF(AND(PI130=$QE$2,CM130&gt;32.1,CM130&lt;50),"OBESIDAD",""))))</f>
        <v/>
      </c>
      <c r="QF130" s="43" t="str">
        <f t="shared" ref="QF130:QF190" si="559">IF(AND(PI130=$QF$2,CM130&gt;10,CM130&lt;23.5),"BAJO PESO",IF(AND(PI130=$QF$2,CM130&gt;23.4,CM130&lt;28),"NORMAL",IF(AND(PI130=$QF$2,CM130&gt;27.9,CM130&lt;32.1),"SOBREPESO",IF(AND(PI130=$QF$2,CM130&gt;32.2,CM130&lt;50),"OBESIDAD",""))))</f>
        <v/>
      </c>
      <c r="QG130" s="43" t="str">
        <f t="shared" ref="QG130:QG190" si="560">IF(AND(PI130=$QG$2,CM130&gt;10,CM130&lt;23.7),"BAJO PESO",IF(AND(PI130=$QG$2,CM130&gt;23.6,CM130&lt;28.1),"NORMAL",IF(AND(PI130=$QG$2,CM130&gt;28,CM130&lt;33.4),"SOBREPESO",IF(AND(PI130=$QG$2,CM130&gt;33.3,CM130&lt;50),"OBESIDAD",""))))</f>
        <v/>
      </c>
      <c r="QH130" s="43" t="str">
        <f t="shared" ref="QH130:QH190" si="561">IF(AND(PI130=$QH$2,CM130&gt;10,CM130&lt;23.9),"BAJO PESO",IF(AND(PI130=$QH$2,CM130&gt;23.8,CM130&lt;28.2),"NORMAL",IF(AND(PI130=$QH$2,CM130&gt;28.1,CM130&lt;33.5),"SOBREPESO",IF(AND(PI130=$QH$2,CM130&gt;33.4,CM130&lt;50),"OBESIDAD",""))))</f>
        <v/>
      </c>
      <c r="QI130" s="43" t="str">
        <f t="shared" ref="QI130:QI190" si="562">IF(AND(PI130=$QI$2,CM130&gt;10,CM130&lt;24),"BAJO PESO",IF(AND(PI130=$QI$2,CM130&gt;23.9,CM130&lt;28.4),"NORMAL",IF(AND(PI130=$QI$2,CM130&gt;28.3,CM130&lt;33.6),"SOBREPESO",IF(AND(PI130=$QI$2,CM130&gt;33.5,CM130&lt;50),"OBESIDAD",""))))</f>
        <v/>
      </c>
      <c r="QJ130" s="43" t="str">
        <f t="shared" ref="QJ130:QJ190" si="563">IF(AND(PI130=$QJ$2,CM130&gt;10,CM130&lt;24.2),"BAJO PESO",IF(AND(PI130=$QJ$2,CM130&gt;24.1,CM130&lt;28.5),"NORMAL",IF(AND(PI130=$QJ$2,CM130&gt;28.4,CM130&lt;33.7),"SOBREPESO",IF(AND(PI130=$QJ$2,CM130&gt;33.6,CM130&lt;50),"OBESIDAD",""))))</f>
        <v/>
      </c>
      <c r="QK130" s="43" t="str">
        <f t="shared" ref="QK130:QK190" si="564">IF(AND(PI130=$QK$2,CM130&gt;10,CM130&lt;24.3),"BAJO PESO",IF(AND(PI130=$QK$2,CM130&gt;24.2,CM130&lt;28.6),"NORMAL",IF(AND(PI130=$QK$2,CM130&gt;28.5,CM130&lt;33.8),"SOBREPESO",IF(AND(PI130=$QK$2,CM130&gt;33.7,CM130&lt;50),"OBESIDAD",""))))</f>
        <v/>
      </c>
      <c r="QL130" s="43" t="str">
        <f t="shared" ref="QL130:QL190" si="565">IF(AND(PI130=$QL$2,CM130&gt;10,CM130&lt;24.5),"BAJO PESO",IF(AND(PI130=$QL$2,CM130&gt;24.4,CM130&lt;28.8),"NORMAL",IF(AND(PI130=$QL$2,CM130&gt;28.7,CM130&lt;32.9),"SOBREPESO",IF(AND(PI130=$QL$2,CM130&gt;32.8,CM130&lt;50),"OBESIDAD",""))))</f>
        <v/>
      </c>
      <c r="QM130" s="43" t="str">
        <f t="shared" ref="QM130:QM190" si="566">IF(AND(PI130=$QM$2,CM130&gt;10,CM130&lt;24.6),"BAJO PESO",IF(AND(PI130=$QM$2,CM130&gt;24.5,CM130&lt;28.9),"NORMAL",IF(AND(PI130=$QM$2,CM130&gt;28.8,CM130&lt;33),"SOBREPESO",IF(AND(PI130=$QM$2,CM130&gt;32.9,CM130&lt;50),"OBESIDAD",""))))</f>
        <v/>
      </c>
      <c r="QN130" s="43" t="str">
        <f t="shared" ref="QN130:QN190" si="567">IF(AND(PI130=$QN$2,CM130&gt;10,CM130&lt;24.8),"BAJO PESO",IF(AND(PI130=$QN$2,CM130&gt;24.7,CM130&lt;29),"NORMAL",IF(AND(PI130=$QN$2,CM130&gt;28.9,CM130&lt;33.1),"SOBREPESO",IF(AND(PI130=$QN$2,CM130&gt;33,CM130&lt;50),"OBESIDAD",""))))</f>
        <v/>
      </c>
      <c r="QO130" s="43" t="str">
        <f t="shared" ref="QO130:QO190" si="568">IF(AND(PI130=$QO$2,CM130&gt;10,CM130&lt;25),"BAJO PESO",IF(AND(PI130=$QO$2,CM130&gt;24.9,CM130&lt;29.2),"NORMAL",IF(AND(PI130=$QO$2,CM130&gt;29.1,CM130&lt;33.2),"SOBREPESO",IF(AND(PI130=$QO$2,CM130&gt;33.1,CM130&lt;50),"OBESIDAD",""))))</f>
        <v/>
      </c>
      <c r="QP130" s="43" t="str">
        <f t="shared" ref="QP130:QP190" si="569">IF(AND(PI130=$QP$2,CM130&gt;10,CM130&lt;25.1),"BAJO PESO",IF(AND(PI130=$QP$2,CM130&gt;25,CM130&lt;29.3),"NORMAL",IF(AND(PI130=$QP$2,CM130&gt;29.2,CM130&lt;33.3),"SOBREPESO",IF(AND(PI130=$QP$2,CM130&gt;33.2,CM130&lt;50),"OBESIDAD",""))))</f>
        <v/>
      </c>
      <c r="QQ130" s="43" t="str">
        <f t="shared" ref="QQ130:QQ190" si="570">IF(AND(PI130=$QQ$2,CM130&gt;10,CM130&lt;25.1),"BAJO PESO",IF(AND(PI130=$QQ$2,CM130&gt;25,CM130&lt;29.4),"NORMAL",IF(AND(PI130=$QQ$2,CM130&gt;29.3,CM130&lt;33.3),"SOBREPESO",IF(AND(PI130=$QQ$2,CM130&gt;33.2,CM130&lt;50),"OBESIDAD",""))))</f>
        <v/>
      </c>
      <c r="QR130" s="43">
        <f t="shared" si="432"/>
        <v>25</v>
      </c>
      <c r="QS130" s="43"/>
      <c r="QT130" s="21" t="str">
        <f t="shared" ref="QT130:QT190" si="571">IF(AND(QR130=$QT$2,CP130&gt;1,CP130&lt;8),"BAJO PARA EDAD GESTACIONAL",IF(AND(QR130=$QT$2,CP130&gt;=8,CP130&lt;=12),"ADECUADO PARA EDAD GESTACIONAL",IF(AND(QR130=$QT$2,CP130&gt;12,CP130&lt;38),"ALTO PARA EDAD GESTACIONAL","")))</f>
        <v/>
      </c>
      <c r="QU130" s="21" t="str">
        <f t="shared" ref="QU130:QU190" si="572">IF(AND(QR130=$QU$2,CP130&gt;1,CP130&lt;8.5),"BAJO PARA EDAD GESTACIONAL",IF(AND(QR130=$QU$2,CP130&gt;=8.5,CP130&lt;=14.5),"ADECUADO PARA EDAD GESTACIONAL",IF(AND(QR130=$QU$2,CP130&gt;14.5,CP130&lt;38),"ALTO PARA EDAD GESTACIONAL","")))</f>
        <v/>
      </c>
      <c r="QV130" s="21" t="str">
        <f t="shared" ref="QV130:QV190" si="573">IF(AND(QR130=$QV$2,CP130&gt;1,CP130&lt;9.5),"BAJO PARA EDAD GESTACIONAL",IF(AND(QR130=$QV$2,CP130&gt;=9.5,CP130&lt;=15),"ADECUADO PARA EDAD GESTACIONAL",IF(AND(QR130=$QV$2,CP130&gt;15,CP130&lt;38),"ALTO PARA EDAD GESTACIONAL","")))</f>
        <v/>
      </c>
      <c r="QW130" s="21" t="str">
        <f t="shared" ref="QW130:QW190" si="574">IF(AND(QR130=$QW$2,CP130&gt;1,CP130&lt;11.5),"BAJO PARA EDAD GESTACIONAL",IF(AND(QR130=$QW$2,CP130&gt;=11.5,CP130&lt;=18),"ADECUADO PARA EDAD GESTACIONAL",IF(AND(QR130=$QW$2,CP130&gt;18,CP130&lt;38),"ALTO PARA EDAD GESTACIONAL","")))</f>
        <v/>
      </c>
      <c r="QX130" s="21" t="str">
        <f t="shared" ref="QX130:QX190" si="575">IF(AND(QR130=$QX$2,CP130&gt;1,CP130&lt;12.5),"BAJO PARA EDAD GESTACIONAL",IF(AND(QR130=$QX$2,CP130&gt;=12.5,CP130&lt;=18),"ADECUADO PARA EDAD GESTACIONAL",IF(AND(QR130=$QX$2,CP130&gt;18,CP130&lt;38),"ALTO PARA EDAD GESTACIONAL","")))</f>
        <v/>
      </c>
      <c r="QY130" s="21" t="str">
        <f t="shared" ref="QY130:QY190" si="576">IF(AND(QR130=$QY$2,CP130&gt;1,CP130&lt;13.5),"BAJO PARA EDAD GESTACIONAL",IF(AND(QR130=$QY$2,CP130&gt;=13.5,CP130&lt;=19),"ADECUADO PARA EDAD GESTACIONAL",IF(AND(QR130=$QY$2,CP130&gt;19,CP130&lt;38),"ALTO PARA EDAD GESTACIONAL","")))</f>
        <v/>
      </c>
      <c r="QZ130" s="21" t="str">
        <f t="shared" ref="QZ130:QZ190" si="577">IF(AND(QR130=$QZ$2,CP130&gt;1,CP130&lt;14),"BAJO PARA EDAD GESTACIONAL",IF(AND(QR130=$QZ$2,CP130&gt;=14,CP130&lt;=19.5),"ADECUADO PARA EDAD GESTACIONAL",IF(AND(QR130=$QZ$2,CP130&gt;19.5,CP130&lt;38),"ALTO PARA EDAD GESTACIONAL","")))</f>
        <v/>
      </c>
      <c r="RA130" s="21" t="str">
        <f t="shared" ref="RA130:RA190" si="578">IF(AND(QR130=$RA$2,CP130&gt;1,CP130&lt;15),"BAJO PARA EDAD GESTACIONAL",IF(AND(QR130=$RA$2,CP130&gt;=15,CP130&lt;=21),"ADECUADO PARA EDAD GESTACIONAL",IF(AND(QR130=$RA$2,CP130&gt;21,CP130&lt;38),"ALTO PARA EDAD GESTACIONAL","")))</f>
        <v/>
      </c>
      <c r="RB130" s="21" t="str">
        <f t="shared" ref="RB130:RB190" si="579">IF(AND(QR130=$RB$2,CP130&gt;1,CP130&lt;15.5),"BAJO PARA EDAD GESTACIONAL",IF(AND(QR130=$RB$2,CP130&gt;=15.5,CP130&lt;=21.5),"ADECUADO PARA EDAD GESTACIONAL",IF(AND(QR130=$RB$2,CP130&gt;21.5,CP130&lt;38),"ALTO PARA EDAD GESTACIONAL","")))</f>
        <v/>
      </c>
      <c r="RC130" s="21" t="str">
        <f t="shared" ref="RC130:RC190" si="580">IF(AND(QR130=$RC$2,CP130&gt;1,CP130&lt;16.5),"BAJO PARA EDAD GESTACIONAL",IF(AND(QR130=$RC$2,CP130&gt;=16.5,CP130&lt;=22.5),"ADECUADO PARA EDAD GESTACIONAL",IF(AND(QR130=$RC$2,CP130&gt;22.5,CP130&lt;38),"ALTO PARA EDAD GESTACIONAL","")))</f>
        <v/>
      </c>
      <c r="RD130" s="21" t="str">
        <f t="shared" ref="RD130:RD190" si="581">IF(AND(QR130=$RD$2,CP130&gt;1,CP130&lt;17.5),"BAJO PARA EDAD GESTACIONAL",IF(AND(QR130=$RD$2,CP130&gt;=17.5,CP130&lt;=23),"ADECUADO PARA EDAD GESTACIONAL",IF(AND(QR130=$RD$2,CP130&gt;23,CP130&lt;38),"ALTO PARA EDAD GESTACIONAL","")))</f>
        <v/>
      </c>
      <c r="RE130" s="21" t="str">
        <f t="shared" ref="RE130:RE190" si="582">IF(AND(QR130=$RE$2,CP130&gt;1,CP130&lt;18.5),"BAJO PARA EDAD GESTACIONAL",IF(AND(QR130=$RE$2,CP130&gt;=18.5,CP130&lt;=24),"ADECUADO PARA EDAD GESTACIONAL",IF(AND(QR130=$RE$2,CP130&gt;24,CP130&lt;38),"ALTO PARA EDAD GESTACIONAL","")))</f>
        <v/>
      </c>
      <c r="RF130" s="21" t="str">
        <f t="shared" ref="RF130:RF190" si="583">IF(AND(QR130=$RF$2,CP130&gt;1,CP130&lt;19.5),"BAJO PARA EDAD GESTACIONAL",IF(AND(QR130=$RF$2,CP130&gt;=19.5,CP130&lt;=25),"ADECUADO PARA EDAD GESTACIONAL",IF(AND(QR130=$RF$2,CP130&gt;25,CP130&lt;38),"ALTO PARA EDAD GESTACIONAL","")))</f>
        <v>ADECUADO PARA EDAD GESTACIONAL</v>
      </c>
      <c r="RG130" s="21" t="str">
        <f t="shared" ref="RG130:RG190" si="584">IF(AND(QR130=$RG$2,CP130&gt;1,CP130&lt;20),"BAJO PARA EDAD GESTACIONAL",IF(AND(QR130=$RG$2,CP130&gt;=20,CP130&lt;=25.5),"ADECUADO PARA EDAD GESTACIONAL",IF(AND(QR130=$RG$2,CP130&gt;25.5,CP130&lt;38),"ALTO PARA EDAD GESTACIONAL","")))</f>
        <v/>
      </c>
      <c r="RH130" s="21" t="str">
        <f t="shared" ref="RH130:RH190" si="585">IF(AND(QR130=$RH$2,CP130&gt;1,CP130&lt;20.5),"BAJO PARA EDAD GESTACIONAL",IF(AND(QR130=$RH$2,CP130&gt;=20.5,CP130&lt;=26.5),"ADECUADO PARA EDAD GESTACIONAL",IF(AND(QR130=$RH$2,CP130&gt;26.5,CP130&lt;38),"ALTO PARA EDAD GESTACIONAL","")))</f>
        <v/>
      </c>
      <c r="RI130" s="21" t="str">
        <f t="shared" ref="RI130:RI190" si="586">IF(AND(QR130=$RI$2,CP130&gt;1,CP130&lt;21),"BAJO PARA EDAD GESTACIONAL",IF(AND(QR130=$RI$2,CP130&gt;=21,CP130&lt;=27),"ADECUADO PARA EDAD GESTACIONAL",IF(AND(QR130=$RI$2,CP130&gt;27,CP130&lt;38),"ALTO PARA EDAD GESTACIONAL","")))</f>
        <v/>
      </c>
      <c r="RJ130" s="21" t="str">
        <f t="shared" ref="RJ130:RJ190" si="587">IF(AND(QR130=$RJ$2,CP130&gt;1,CP130&lt;22.5),"BAJO PARA EDAD GESTACIONAL",IF(AND(QR130=$RJ$2,CP130&gt;=22.5,CP130&lt;=28),"ADECUADO PARA EDAD GESTACIONAL",IF(AND(QR130=$RJ$2,CP130&gt;28,CP130&lt;38),"ALTO PARA EDAD GESTACIONAL","")))</f>
        <v/>
      </c>
      <c r="RK130" s="21" t="str">
        <f t="shared" ref="RK130:RK190" si="588">IF(AND(QR130=$RK$2,CP130&gt;1,CP130&lt;23.5),"BAJO PARA EDAD GESTACIONAL",IF(AND(QR130=$RK$2,CP130&gt;=23.5,CP130&lt;=29),"ADECUADO PARA EDAD GESTACIONAL",IF(AND(QR130=$RK$2,CP130&gt;29,CP130&lt;38),"ALTO PARA EDAD GESTACIONAL","")))</f>
        <v/>
      </c>
      <c r="RL130" s="21" t="str">
        <f t="shared" ref="RL130:RL190" si="589">IF(AND(QR130=$RL$2,CP130&gt;1,CP130&lt;24),"BAJO PARA EDAD GESTACIONAL",IF(AND(QR130=$RL$2,CP130&gt;=24,CP130&lt;=29.5),"ADECUADO PARA EDAD GESTACIONAL",IF(AND(QR130=$RL$2,CP130&gt;29.5,CP130&lt;38),"ALTO PARA EDAD GESTACIONAL","")))</f>
        <v/>
      </c>
      <c r="RM130" s="21" t="str">
        <f t="shared" ref="RM130:RM190" si="590">IF(AND(QR130=$RM$2,CP130&gt;1,CP130&lt;25),"BAJO PARA EDAD GESTACIONAL",IF(AND(QR130=$RM$2,CP130&gt;=25,CP130&lt;=30),"ADECUADO PARA EDAD GESTACIONAL",IF(AND(QR130=$RM$2,CP130&gt;30,CP130&lt;38),"ALTO PARA EDAD GESTACIONAL","")))</f>
        <v/>
      </c>
      <c r="RN130" s="21" t="str">
        <f t="shared" ref="RN130:RN190" si="591">IF(AND(QR130=$RN$2,CP130&gt;1,CP130&lt;25.5),"BAJO PARA EDAD GESTACIONAL",IF(AND(QR130=$RN$2,CP130&gt;=25.5,CP130&lt;=31),"ADECUADO PARA EDAD GESTACIONAL",IF(AND(QR130=$RN$2,CP130&gt;31,CP130&lt;38),"ALTO PARA EDAD GESTACIONAL","")))</f>
        <v/>
      </c>
      <c r="RO130" s="21" t="str">
        <f t="shared" ref="RO130:RO190" si="592">IF(AND(QR130=$RO$2,CP130&gt;1,CP130&lt;26),"BAJO PARA EDAD GESTACIONAL",IF(AND(QR130=$RO$2,CP130&gt;=26,CP130&lt;=32),"ADECUADO PARA EDAD GESTACIONAL",IF(AND(QR130=$RO$2,CP130&gt;32,CP130&lt;38),"ALTO PARA EDAD GESTACIONAL","")))</f>
        <v/>
      </c>
      <c r="RP130" s="21" t="str">
        <f t="shared" ref="RP130:RP190" si="593">IF(AND(QR130=$RP$2,CP130&gt;1,CP130&lt;26.5),"BAJO PARA EDAD GESTACIONAL",IF(AND(QR130=$RP$2,CP130&gt;=26.5,CP130&lt;=33),"ADECUADO PARA EDAD GESTACIONAL",IF(AND(QR130=$RP$2,CP130&gt;33,CP130&lt;38),"ALTO PARA EDAD GESTACIONAL","")))</f>
        <v/>
      </c>
      <c r="RQ130" s="21" t="str">
        <f t="shared" ref="RQ130:RQ190" si="594">IF(AND(QR130=$RQ$2,CP130&gt;1,CP130&lt;28),"BAJO PARA EDAD GESTACIONAL",IF(AND(QR130=$RQ$2,CP130&gt;=28,CP130&lt;=33),"ADECUADO PARA EDAD GESTACIONAL",IF(AND(QR130=$RQ$2,CP130&gt;33,CP130&lt;38),"ALTO PARA EDAD GESTACIONAL","")))</f>
        <v/>
      </c>
      <c r="RR130" s="21" t="str">
        <f t="shared" ref="RR130:RR190" si="595">IF(AND(QR130=$RR$2,CP130&gt;1,CP130&lt;28.5),"BAJO PARA EDAD GESTACIONAL",IF(AND(QR130=$RR$2,CP130&gt;=28.5,CP130&lt;=34),"ADECUADO PARA EDAD GESTACIONAL",IF(AND(QR130=$RR$2,CP130&gt;34,CP130&lt;38),"ALTO PARA EDAD GESTACIONAL","")))</f>
        <v/>
      </c>
      <c r="RS130" s="21" t="str">
        <f t="shared" ref="RS130:RS190" si="596">IF(AND(QR130=$RS$2,CP130&gt;1,CP130&lt;29.5),"BAJO PARA EDAD GESTACIONAL",IF(AND(QR130=$RS$2,CP130&gt;=29.5,CP130&lt;=34),"ADECUADO PARA EDAD GESTACIONAL",IF(AND(QR130=$RS$2,CP130&gt;34,CP130&lt;38),"ALTO PARA EDAD GESTACIONAL","")))</f>
        <v/>
      </c>
      <c r="RT130" s="21" t="str">
        <f t="shared" ref="RT130:RT190" si="597">IF(AND(QR130=$RT$2,CP130&gt;1,CP130&lt;30.5),"BAJO PARA EDAD GESTACIONAL",IF(AND(QR130=$RT$2,CP130&gt;=30.5,CP130&lt;=34),"ADECUADO PARA EDAD GESTACIONAL",IF(AND(QR130=$RT$2,CP130&gt;34,CP130&lt;38),"ALTO PARA EDAD GESTACIONAL","")))</f>
        <v/>
      </c>
      <c r="RU130" s="21" t="str">
        <f t="shared" ref="RU130:RU190" si="598">IF(AND(QR130=$RU$2,CP130&gt;1,CP130&lt;31),"BAJO PARA EDAD GESTACIONAL",IF(AND(QR130=$RU$2,CP130&gt;=31,CP130&lt;=34.5),"ADECUADO PARA EDAD GESTACIONAL",IF(AND(QR130=$RU$2,CP130&gt;34.5,CP130&lt;38),"ALTO PARA EDAD GESTACIONAL","")))</f>
        <v/>
      </c>
      <c r="RV130" s="21">
        <f t="shared" ref="RV130:RV190" si="599">IF(AND(R130="",HQ130=""),"",IF(SUM((HQ130-RW130)/7)&gt;43.1,"",IF(SUM((HQ130-RW130)/7)&lt;0,-1,SUM((HQ130-RW130)/7))))</f>
        <v>8.0142857142855064</v>
      </c>
      <c r="RW130" s="284">
        <f>IF(OR(Tabla1[[#This Row],[FUM FORMULA CONFIABLE]]="",Tabla1[[#This Row],[FUM FORMULA CONFIABLE]]="SD"),"",IF(Tabla1[[#This Row],[FUM FORMULA CONFIABLE]]="CORREGIDA",Tabla1[[#This Row],[FUM X ECO 1]],Tabla1[[#This Row],[FUM x AMENORREA]]))</f>
        <v>44957.9</v>
      </c>
      <c r="RX130" s="21">
        <f>IF(AND(Tabla1[[#This Row],[FUM X ECO 1]]="",Tabla1[[#This Row],[FUM x AMENORREA]]=""),"",IF(AND(Tabla1[[#This Row],[FUM X ECO 1]]="",Tabla1[[#This Row],[FUM x AMENORREA]]&lt;&gt;""),"X",SUM(Tabla1[[#This Row],[FUM X ECO 1]]-Tabla1[[#This Row],[FUM x AMENORREA]])))</f>
        <v>8.9000000000014552</v>
      </c>
      <c r="RY130" s="21">
        <f t="shared" si="433"/>
        <v>1</v>
      </c>
    </row>
    <row r="131" spans="1:493" ht="45" customHeight="1" x14ac:dyDescent="0.25">
      <c r="A131" s="109"/>
      <c r="B131" s="43"/>
      <c r="C131" s="43" t="s">
        <v>845</v>
      </c>
      <c r="D131" s="124" t="s">
        <v>846</v>
      </c>
      <c r="E131" s="43" t="s">
        <v>1386</v>
      </c>
      <c r="F131" s="43" t="s">
        <v>1387</v>
      </c>
      <c r="G131" s="43" t="s">
        <v>1388</v>
      </c>
      <c r="H131" s="43"/>
      <c r="I131" s="109" t="s">
        <v>851</v>
      </c>
      <c r="J131" s="110">
        <v>34655779</v>
      </c>
      <c r="K131" s="43" t="s">
        <v>852</v>
      </c>
      <c r="L131" s="175" t="s">
        <v>1509</v>
      </c>
      <c r="M131" s="22">
        <v>30477</v>
      </c>
      <c r="N131" s="213">
        <f t="shared" ref="N131:N193" ca="1" si="600">IF(M131&gt;0,SUM(TODAY()-M131)/365,"")</f>
        <v>40.42739726027397</v>
      </c>
      <c r="O131" s="22">
        <v>45003</v>
      </c>
      <c r="P131" s="214" t="str">
        <f t="shared" si="437"/>
        <v>SI</v>
      </c>
      <c r="Q131" s="26" t="s">
        <v>855</v>
      </c>
      <c r="R131" s="22">
        <v>45003</v>
      </c>
      <c r="S131" s="21" t="s">
        <v>856</v>
      </c>
      <c r="T131" s="24" t="s">
        <v>690</v>
      </c>
      <c r="U131" s="21" t="s">
        <v>857</v>
      </c>
      <c r="V131" s="21" t="s">
        <v>858</v>
      </c>
      <c r="W131" s="21" t="s">
        <v>1389</v>
      </c>
      <c r="X131" s="21" t="s">
        <v>1390</v>
      </c>
      <c r="Y131" s="21"/>
      <c r="Z131" s="21">
        <v>3242746814</v>
      </c>
      <c r="AA131" s="21" t="s">
        <v>860</v>
      </c>
      <c r="AB131" s="27" t="s">
        <v>861</v>
      </c>
      <c r="AC131" s="26" t="s">
        <v>862</v>
      </c>
      <c r="AD131" s="38" t="s">
        <v>846</v>
      </c>
      <c r="AE131" s="26" t="s">
        <v>854</v>
      </c>
      <c r="AF131" s="26" t="s">
        <v>854</v>
      </c>
      <c r="AG131" s="23" t="s">
        <v>864</v>
      </c>
      <c r="AH131" s="23" t="s">
        <v>864</v>
      </c>
      <c r="AI131" s="24" t="s">
        <v>863</v>
      </c>
      <c r="AJ131" s="23" t="s">
        <v>864</v>
      </c>
      <c r="AK131" s="220" t="str">
        <f>IF(AND(AD131="",AE131="",AF131="",AG131="",AH131="",AI131="",AJ131=""),"",IF(OR(Tabla1[[#This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EVALUACIÓN",IF(AND(O131="",R131=""),"",IF(AND(OR(O131&gt;0,R131&gt;0),NG131&gt;=0,NG131&lt;2),"SIN RIESGO",IF(AND(OR(O131&gt;0,R131&gt;0),NG131&gt;=2),"CON RIESGO","ASD")))))</f>
        <v>SIN RIESGO</v>
      </c>
      <c r="AL131" s="23" t="s">
        <v>864</v>
      </c>
      <c r="AM131" s="26" t="s">
        <v>864</v>
      </c>
      <c r="AN131" s="26" t="s">
        <v>864</v>
      </c>
      <c r="AO131" s="26" t="s">
        <v>864</v>
      </c>
      <c r="AP131" s="26" t="s">
        <v>864</v>
      </c>
      <c r="AQ131" s="26" t="s">
        <v>864</v>
      </c>
      <c r="AR131" s="26" t="s">
        <v>864</v>
      </c>
      <c r="AS131" s="21">
        <v>1</v>
      </c>
      <c r="AT131" s="21">
        <v>1</v>
      </c>
      <c r="AU131" s="21">
        <v>0</v>
      </c>
      <c r="AV131" s="26" t="s">
        <v>864</v>
      </c>
      <c r="AW131" s="21">
        <v>0</v>
      </c>
      <c r="AX131" s="26" t="s">
        <v>864</v>
      </c>
      <c r="AY131" s="26" t="s">
        <v>864</v>
      </c>
      <c r="AZ131" s="26" t="s">
        <v>864</v>
      </c>
      <c r="BA131" s="26" t="s">
        <v>864</v>
      </c>
      <c r="BB131" s="26" t="s">
        <v>864</v>
      </c>
      <c r="BC131" s="26" t="s">
        <v>864</v>
      </c>
      <c r="BD131" s="26" t="s">
        <v>864</v>
      </c>
      <c r="BE131" s="26" t="s">
        <v>864</v>
      </c>
      <c r="BF131" s="26" t="s">
        <v>864</v>
      </c>
      <c r="BG131" s="26" t="s">
        <v>864</v>
      </c>
      <c r="BH131" s="26" t="s">
        <v>864</v>
      </c>
      <c r="BI131" s="26" t="s">
        <v>864</v>
      </c>
      <c r="BJ131" s="26"/>
      <c r="BK131" s="26"/>
      <c r="BL131" s="26" t="s">
        <v>864</v>
      </c>
      <c r="BM131" s="26" t="s">
        <v>864</v>
      </c>
      <c r="BN131" s="22"/>
      <c r="BO131" s="22">
        <v>44718</v>
      </c>
      <c r="BP131" s="21" t="s">
        <v>1380</v>
      </c>
      <c r="BQ131" s="222">
        <f t="shared" ref="BQ131:BQ193" si="601">IF(OR(BN131="SD",RW131=""),"",IF(BN131="",0,SUM(RW131-BN131)/30))</f>
        <v>0</v>
      </c>
      <c r="BR131" s="223">
        <f t="shared" ref="BR131:BR193" si="602">IF(BX131&gt;0,SUM(BW131-NH131),"")</f>
        <v>44761.2</v>
      </c>
      <c r="BS131" s="224">
        <f t="shared" ref="BS131:BS193" si="603">IF(AND(BP131="Corregida",BO131&gt;0,R131&gt;0,ISBLANK(BX131)),"SIN SEMANAS X ECO",IF(AND(BP131="Corregida",BO131&gt;0,R131&gt;0),SUM(R131-BR131)/7,IF(AND(OR(BP131="SI",BP131="NO"),BO131&gt;0,R131&gt;0),SUM(R131-BO131)/7,"")))</f>
        <v>34.542857142857557</v>
      </c>
      <c r="BT131" s="216" t="str">
        <f t="shared" ref="BT131:BT193" si="604">IF(AND(BS131="",IG131=""),"",IF(AND(BS131="",IG131="DEFINIR FPP POR ECO"),"SIN DATO",IF(BS131&lt;0,"ERROR FUM O INGRESO O ECO",IF(BP131="NO","DEFINIR CON ECO",IF(BS131&lt;10,"I TRIM",IF(BS131&lt;27,"II TRIM",IF(AND(BS131&gt;26,BS131&lt;45),"III TRIM","ERROR FUM O INGRESO O ECO")))))))</f>
        <v>III TRIM</v>
      </c>
      <c r="BU131" s="214" t="str">
        <f t="shared" ref="BU131:BU193" ca="1" si="605">IF(AND(BO131="",BR131=""),"",IF(SUM((TODAY()-RW131)/7)&gt;43.1,"",IF(AND(RW131&gt;0,OR(BP131="si",BP131="Corregida",BP131="NO")),SUM((TODAY()-RW131)/7),"")))</f>
        <v/>
      </c>
      <c r="BV131" s="25"/>
      <c r="BW131" s="22">
        <v>45016</v>
      </c>
      <c r="BX131" s="28">
        <v>36.4</v>
      </c>
      <c r="BY131" s="28"/>
      <c r="BZ131" s="22"/>
      <c r="CA131" s="21"/>
      <c r="CB131" s="26" t="s">
        <v>864</v>
      </c>
      <c r="CC131" s="26" t="s">
        <v>864</v>
      </c>
      <c r="CD131" s="26"/>
      <c r="CE131" s="26" t="s">
        <v>864</v>
      </c>
      <c r="CF131" s="22" t="s">
        <v>1517</v>
      </c>
      <c r="CG131" s="21"/>
      <c r="CH131" s="21"/>
      <c r="CI131" s="214" t="str">
        <f t="shared" ref="CI131:CI193" si="606">IF(AND(OR(O131&gt;0,R131&gt;0),CG131=""),"SD",IF(AND(OR(O131="",R131=""),CG131=""),"",IF(AND(OR(O131&gt;0,R131&gt;0),CG131&gt;0,CH131&gt;0),SUM(CH131)/(CG131*CG131),"X")))</f>
        <v>SD</v>
      </c>
      <c r="CJ131" s="225" t="str">
        <f>IF(AND(CI131&lt;10,CH131="SD"),"SIN DATO PESO PREGESTACION O I TRIM",IF(AND(OR(R131&gt;0,O131&gt;0),CI131="X"),"INGRESAR DATO DE PESO",IF(CI131="SD","INGRESAR DATO DE TALLA Y PESO",IF(AND(OR(Tabla1[[#This Row],[MOMENTO EN QUE SE REALIZA EL PESO AL INGRESO A CPN]]="PREGESTACIÓN",NZ131="Menor"),CI131&lt;18.5),"BAJO PESO",IF(AND(OR(Tabla1[[#This Row],[MOMENTO EN QUE SE REALIZA EL PESO AL INGRESO A CPN]]="PREGESTACIÓN",NZ131="Menor"),CI131&lt;25),"NORMAL",IF(AND(OR(Tabla1[[#This Row],[MOMENTO EN QUE SE REALIZA EL PESO AL INGRESO A CPN]]="PREGESTACIÓN",NZ131="Menor"),CI131&lt;30),"SOBREPESO",IF(AND(OR(Tabla1[[#This Row],[MOMENTO EN QUE SE REALIZA EL PESO AL INGRESO A CPN]]="PREGESTACIÓN",NZ131="Menor"),CI131&gt;=30,CI131&lt;50),"OBESIDAD",IF(AND(BS131&gt;0,Tabla1[[#This Row],[MOMENTO EN QUE SE REALIZA EL PESO AL INGRESO A CPN]]="GESTACIÓN"),HLOOKUP(NZ131,$OA$2:PH131,NY131),""))))))))</f>
        <v>INGRESAR DATO DE TALLA Y PESO</v>
      </c>
      <c r="CK131" s="212">
        <f t="shared" ref="CK131:CK193" si="607">DY131</f>
        <v>45003</v>
      </c>
      <c r="CL131" s="21"/>
      <c r="CM131" s="214" t="str">
        <f t="shared" ref="CM131:CM193" si="608">IF(AND(OR(O131&gt;0,R131&gt;0),CG131=""),"SD",IF(AND(OR(O131="",R131=""),CG131=""),"",IF(AND(OR(O131&gt;0,R131&gt;0),CG131&gt;0),SUM(CL131)/(CG131*CG131),"X")))</f>
        <v>SD</v>
      </c>
      <c r="CN131" s="216">
        <f t="shared" ref="CN131:CN193" si="609">DZ131</f>
        <v>34</v>
      </c>
      <c r="CO131" s="216" t="e">
        <f>IF(PI131="","",IF(PI131&gt;0,HLOOKUP(PI131,$PJ$2:QQ131,NY131),""))</f>
        <v>#REF!</v>
      </c>
      <c r="CP131" s="21"/>
      <c r="CQ131" s="216" t="e">
        <f>IF(QR131="Menor","NO APLICA-MENOR 13 SEM",IF(AND(CC131="SI",CN131&gt;23),"NO APLICA- GEMELAR",IF(QR131="","",IF(QR131&gt;0,HLOOKUP(QR131,$QS$2:RU131,NY131),""))))</f>
        <v>#REF!</v>
      </c>
      <c r="CR131" s="21"/>
      <c r="CS131" s="21"/>
      <c r="CT131" s="217" t="str">
        <f>IF(R131="","",IF(AND(BS131&gt;1,BS131&lt;12,Tabla1[[#This Row],[T.A. SISTOLICA - ANTES DE SEMANA 12]]="",Tabla1[[#This Row],[T.A. DIASTOLICA - ANTES DE SEMANA 12]]=""),"REGISTRE DATO TA ANTES SEMANA 12",IF(AND(BS131&gt;11,BS131&lt;43,Tabla1[[#This Row],[T.A. SISTOLICA - ANTES DE SEMANA 12]]="",Tabla1[[#This Row],[T.A. DIASTOLICA - ANTES DE SEMANA 12]]=""),"NO APLICA REGISTRO TA-INGRESO TARDIO",IF(AND(OR(O131&gt;0,R131&gt;0),OR(CR131&gt;=140,CS131&gt;=90)),"DEFINIR ESTADIO HTA",IF(AND(OR(O131&gt;0,R131&gt;0),AND(CR131&gt;120,CR131&lt;=139)),"PRE HTA SEGUIMIENTO",IF(AND(OR(O131&gt;0,R131&gt;0),AND(CS131&gt;80,CS131&lt;=89)),"PRE HTA SEGUIMIENTO",IF(AND(OR(O131&gt;0,R131&gt;0),AND(CR131&gt;=80,CR131&lt;=120)),"APARENTEMENTE NORMAL",IF(AND(OR(O131&gt;0,R131&gt;0),AND(CS131&gt;=50,CS131&lt;=80)),"APARENTEMENTE NORMAL",IF(AND(OR(O131&gt;0,R131&gt;0),AND(CR131&gt;1,CR131&lt;=70),AND(CS131&gt;1,CS131&lt;=40)),"HIPOTENSIÓN","")))))))))</f>
        <v>NO APLICA REGISTRO TA-INGRESO TARDIO</v>
      </c>
      <c r="CU131" s="21"/>
      <c r="CV131" s="21"/>
      <c r="CW131" s="217" t="str">
        <f ca="1">IF(R131="","",IF(AND(CN131&gt;19,CN131&lt;27,Tabla1[[#This Row],[T.A. SISTOLICA (Entre semana 20 y 26)]]="",Tabla1[[#This Row],[T.A. DIATOLICA (Entre semana 20 y 26)]]=""),"ACUDE A CONTROL SEM 20 A 26 REGISTRE TA AHORA",IF(AND(BS131&gt;1,BS131&lt;27,BU131&gt;19,Tabla1[[#This Row],[T.A. SISTOLICA (Entre semana 20 y 26)]]="",Tabla1[[#This Row],[T.A. DIATOLICA (Entre semana 20 y 26)]]=""),"COMPLETE REGISTRO TA CONTROL SEM 20 A26 ",IF(AND(BS131&gt;26,BS131&lt;43,Tabla1[[#This Row],[T.A. SISTOLICA (Entre semana 20 y 26)]]="",Tabla1[[#This Row],[T.A. DIATOLICA (Entre semana 20 y 26)]]=""),"NO APLICA REGISTRO TA-INGRESO TARDIO",IF(AND(OR(O131&gt;0,R131&gt;0),OR(CU131&gt;=140,CV131&gt;=90)),"ALTO RIESGO PREECLAMPSIA,DEFINIR ESTADIO HTA",IF(AND(OR(O131&gt;0,R131&gt;0),AND(CU131&gt;120,CU131&lt;=139)),"PRE HTA SEGUIMIENTO,RIESGO HIPERTENSION INDUCIDA POR EL EMBARAZO",IF(AND(OR(O131&gt;0,R131&gt;0),AND(CV131&gt;80,CV131&lt;=89)),"PRE HTA SEGUIMIENTO, RIESGO HIPERTENSION INDUCIDA POR EL EMBARAZO",IF(AND(OR(O131&lt;&gt;"",R131&lt;&gt;""),CS131&lt;&gt;"",CV131&lt;&gt;"",CS131&lt;=CV131),"VIGILAR CIFRAS PRESION ARTERIAL",IF(AND(OR(O131&gt;0,R131&gt;0),AND(CU131&gt;120,CU131&lt;=139)),"PRE HTA SEGUIMIENTO",IF(AND(OR(O131&gt;0,R131&gt;0),AND(CU131&gt;1,CU131&lt;=70),AND(CV131&gt;1,CV131&lt;=40)),"HIPOTENSIÓN",IF(AND(OR(O131&lt;&gt;"",R131&lt;&gt;""),CS131&lt;&gt;"",CV131&lt;&gt;"",CS131&gt;CV131),"APARENTEMENTE NORMAL",IF(AND(OR(O131&gt;0,R131&gt;0),AND(CU131&gt;=80,CU131&lt;=120)),"APARENTEMENTE NORMAL",IF(AND(OR(O131&gt;0,R131&gt;0),AND(CV131&gt;=50,CV131&lt;=80)),"APARENTEMENTE NORMAL","")))))))))))))</f>
        <v>NO APLICA REGISTRO TA-INGRESO TARDIO</v>
      </c>
      <c r="CX131" s="21"/>
      <c r="CY131" s="21"/>
      <c r="CZ131" s="216" t="str">
        <f t="shared" si="498"/>
        <v>ACUDE A CONTROL SEM 30 A 34- REGISTRE AHORA</v>
      </c>
      <c r="DA131" s="21"/>
      <c r="DB131" s="21"/>
      <c r="DC131" s="217" t="str">
        <f t="shared" ref="DC131:DC193" si="610">IF(AND(R131="",DA131="",DB131=""),"",IF(AND(R131&lt;&gt;"",DA131="",DB131=""),"REGISTRE DATO PRESIÓN ARTERIAL MENSUAL",IF(AND(OR(O131&gt;0,R131&gt;0),OR(DA131&gt;=140,DB131&gt;=90)),"ESTUDIO INMEDIATO HTA PARA DESCARTAR PREECLAMSIA",IF(AND(OR(O131&gt;0,R131&gt;0),AND(DA131&gt;=130,DA131&lt;=139)),"PRE HTA,RIESGO ALTO PREECLAMPSIA",IF(AND(OR(O131&gt;0,R131&gt;0),AND(DB131&gt;80,DB131&lt;=89)),"PRE HTA,RIESGO ALTO PREECLAMPSIA",IF(AND(OR(O131&gt;0,R131&gt;0),AND(DA131&gt;120,DA131&lt;=129)),"RANGO PREHIPERTENSIVO SEGUIMIENTO HTA",IF(AND(CN131&gt;34,CN131&lt;43,OR(O131&lt;&gt;"",R131&lt;&gt;""),CS131&lt;&gt;"",CY131&lt;&gt;"",DB131&lt;&gt;"",OR(CS131&lt;DB131,CS131&lt;CY131)),"VIGILAR CIFRAS PRESION ARTERIAL",IF(AND(CN131&gt;34,CN131&lt;43,OR(O131&lt;&gt;"",R131&lt;&gt;""),CR131="",CS131="",OR(CY131&lt;DB131,CX131&lt;DA131)),"VIGILAR CIFRAS PRESION ARTERIAL",IF(AND(CN131&gt;34,CN131&lt;43,OR(O131&lt;&gt;"",R131&lt;&gt;""),CS131&lt;&gt;"",CY131&lt;&gt;"",DB131&lt;&gt;"",OR(CS131=DB131,CS131=CY131)),"APARENTEMENTE NORMAL",IF(AND(OR(O131&gt;0,R131&gt;0),AND(DA131&gt;=80,DA131&lt;=120)),"APARENTEMENTE NORMAL",IF(AND(CN131&gt;34,CN131&lt;43,OR(O131&gt;0,R131&gt;0),AND(DB131&gt;=50,DB131&lt;=80)),"APARENTEMENTE NORMAL","")))))))))))</f>
        <v>REGISTRE DATO PRESIÓN ARTERIAL MENSUAL</v>
      </c>
      <c r="DD131" s="22">
        <v>45003</v>
      </c>
      <c r="DE131" s="22">
        <v>45003</v>
      </c>
      <c r="DF131" s="22"/>
      <c r="DG131" s="22"/>
      <c r="DH131" s="22"/>
      <c r="DI131" s="22"/>
      <c r="DJ131" s="22">
        <v>45003</v>
      </c>
      <c r="DK131" s="22"/>
      <c r="DL131" s="22"/>
      <c r="DM131" s="22"/>
      <c r="DN131" s="22"/>
      <c r="DO131" s="22"/>
      <c r="DP131" s="22"/>
      <c r="DQ131" s="22"/>
      <c r="DR131" s="28">
        <v>1</v>
      </c>
      <c r="DS131" s="22"/>
      <c r="DT131" s="22"/>
      <c r="DU131" s="216" t="str">
        <f t="shared" ca="1" si="438"/>
        <v>SALE SIN PLAN DE PARTO</v>
      </c>
      <c r="DV131" s="226" t="str">
        <f t="shared" si="439"/>
        <v>SALIO PROGRAMA</v>
      </c>
      <c r="DW13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31" s="216" t="str">
        <f t="shared" ref="DX131:DX193" ca="1" si="611">IF(NI131="SD","",IF(AND(NI131&lt;=33,NI131&gt;=8),"MES DE CONTROL",IF(AND(NI131&gt;=1,NI131&lt;8),"SEMANA DE CONTROL",IF(NI131=0,"DIA DE CONTROL",IF(NI131&lt;0,"INASISTENTE",IF(NI131="Y","SEGUIMIENTO FUERA MUNICIPIO",IF(NI131="Z","BUSCAR PARA INGRESO A CPN",IF(NI131="W","DEFINIR FECHA CITA",IF(NI131="X","NO REALIZO CPN",IF(NI131="I","IVE",IF(NI131="S","DILIGENCIAR FECHA SALIDA PROGRAMA","REVISAR FORMULA")))))))))))</f>
        <v/>
      </c>
      <c r="DY131" s="212">
        <f>IF(R131="","",IF(R131&gt;0,MAX(Tabla1[[#This Row],[FECHA C2]:[FECHA C13]],Tabla1[[#This Row],[FECHA CONSULTA PRIMERA VEZ PROGRAMA CPN ]])))</f>
        <v>45003</v>
      </c>
      <c r="DZ131" s="216">
        <f t="shared" ref="DZ131:DZ193" si="612">IF(AND(DY131="",RW131="",R131=""),"",IF(AND(R131="",RW131&gt;0,DY131=""),"",IF(AND(R131&gt;0,DY131&lt;RW131),"REVISAR FUM O FECHA CPN",IF(AND(R131&gt;0,DY131&gt;0,RW131=""),"SD",IF(AND(R131&gt;0,DY131&gt;0,RW131&gt;0),INT(SUM(DY131-RW131)/7))))))</f>
        <v>34</v>
      </c>
      <c r="EA131" s="222">
        <f>IF(R131&gt;0,SUM(COUNTA(DF131:DQ131)+COUNTA(Tabla1[[#This Row],[FECHA CONSULTA PRIMERA VEZ PROGRAMA CPN ]])),"")</f>
        <v>2</v>
      </c>
      <c r="EB131" s="222" t="str">
        <f t="shared" ref="EB131:EB193" si="613">IF(AND(EA131&gt;=0,EA131&lt;4),"NO",IF(AND(EA131&gt;=4,EA131&lt;12),"SI",""))</f>
        <v>NO</v>
      </c>
      <c r="EC131" s="214">
        <f t="shared" ref="EC131:EC193" si="614">IF(BS131="","",IF(BS131&gt;0,INT(SUM(((40-BS131)/4)+2)),"X"))</f>
        <v>3</v>
      </c>
      <c r="ED131" s="227">
        <f t="shared" ref="ED131:ED193" si="615">IF(EC131="","",IF(EA131&gt;0,SUM(EA131/EC131),"X"))</f>
        <v>0.66666666666666663</v>
      </c>
      <c r="EE131" s="22">
        <v>45003</v>
      </c>
      <c r="EF131" s="22">
        <v>45003</v>
      </c>
      <c r="EG131" s="22">
        <v>45003</v>
      </c>
      <c r="EH131" s="22">
        <v>44846</v>
      </c>
      <c r="EI131" s="22">
        <v>44846</v>
      </c>
      <c r="EJ131" s="22">
        <v>44846</v>
      </c>
      <c r="EK131" s="22"/>
      <c r="EL131" s="21">
        <v>1</v>
      </c>
      <c r="EM131" s="21"/>
      <c r="EN131" s="22"/>
      <c r="EO131" s="222" t="str">
        <f t="shared" ref="EO131:EO193" si="616">IF(AND(BT131="ERROR FUM O INGRESO",EN131&gt;0),"ERROR FUM O INGRESO",IF(AND(EN131="",R131="",O131=""),"",IF(OR(AND(EN131&lt;&gt;"",EN131&lt;RW131),AND(EN131&lt;&gt;"",SUM((EN131-RW131)/7)&gt;40)),"CORREGIR FECHA RESULTADO",IF(AND(EN131="",OR(O131&gt;0,R131&gt;0)),"TOMAR EXAMEN",IF(EN131&gt;0,SUM(EN131-RW131)/7,"")))))</f>
        <v>TOMAR EXAMEN</v>
      </c>
      <c r="EP131" s="214" t="str">
        <f t="shared" ref="EP131:EP193" si="617">IF(AND(OR(O131&gt;0,R131&gt;0),EM131=""),"",IF(AND(OR(O131&gt;0,R131&gt;0),EM131&gt;0,EM131&lt;11),"MANEJO MD POR ANEMIA FERROPENICA",IF(AND(OR(O131&gt;0,R131&gt;0),EM131&lt;=14),"NORMAL- SUMINISTRAR SULFATO FERROSO",IF(AND(OR(O131&gt;0,R131&gt;0),EM131&lt;20),"NO DAR SULFATO FERROSO",""))))</f>
        <v/>
      </c>
      <c r="EQ131" s="216" t="str">
        <f t="shared" ref="EQ131:EQ193" si="618">IF(AND(EO131="",BT131=""),"",IF(AND(EO131&lt;&gt;"",BT131="SIN DATO"),"SIN DATO",IF(AND(EO131="",BT131&lt;&gt;""),"",IF(AND(EO131&lt;0,BT131&gt;0),"ERROR FUM O INGRESO",IF(EO131&lt;=13,"I TRIM",IF(EO131&lt;28,"II TRIM",IF(AND(EO131&gt;27,EO131&lt;45),"III TRIM","POR DEFINIR")))))))</f>
        <v>POR DEFINIR</v>
      </c>
      <c r="ER131" s="24">
        <v>13.1</v>
      </c>
      <c r="ES131" s="22">
        <v>44803</v>
      </c>
      <c r="ET131" s="29">
        <f t="shared" ca="1" si="440"/>
        <v>5.9714285714289872</v>
      </c>
      <c r="EU131" s="25" t="str">
        <f t="shared" ref="EU131:EU193" si="619">IF(AND(OR(O131&gt;0,R131&gt;0),ER131=""),"",IF(AND(OR(O131&gt;0,R131&gt;0),ER131&gt;0,ER131&lt;10.5),"MANEJO MD POR ANEMIA FERROPENICA",IF(AND(OR(O131&gt;0,R131&gt;0),ER131&lt;14),"NORMAL- SUMINISTRAR SULFATO FERROSO",IF(AND(OR(O131&gt;0,R131&gt;0),ER131&lt;20),"NO DAR SULFATO FERROSO",""))))</f>
        <v>NORMAL- SUMINISTRAR SULFATO FERROSO</v>
      </c>
      <c r="EV131" s="24" t="s">
        <v>1510</v>
      </c>
      <c r="EW131" s="24">
        <v>45168</v>
      </c>
      <c r="EX131" s="22"/>
      <c r="EY131" s="29" t="str">
        <f t="shared" si="453"/>
        <v>CORREGIR FECHA RESULTADO</v>
      </c>
      <c r="EZ131" s="25" t="str">
        <f t="shared" si="454"/>
        <v>SIN RIESGO DE ISOINMUNIZACIÓN</v>
      </c>
      <c r="FA131" s="21">
        <v>79</v>
      </c>
      <c r="FB131" s="22">
        <v>45168</v>
      </c>
      <c r="FC131" s="29" t="str">
        <f t="shared" ref="FC131:FC193" si="620">IF(AND(BT131="ERROR FUM O INGRESO",FB131&gt;0),"ERROR FUM O INGRESO",IF(AND(FB131="",R131="",O131=""),"",IF(OR(AND(FB131&lt;&gt;"",FB131&lt;RW131),AND(FB131&lt;&gt;"",SUM((FB131-RW131)/7)&gt;40)),"CORREGIR FECHA RESULTADO",IF(AND(FB131="",BS131&gt;=24,OR(O131&gt;0,R131&gt;0)),"PIERDE TOMA TAMIZAJE- INGRESO TARDIO",IF(AND(FB131="",OR(O131&gt;0,R131&gt;0)),"TOMAR EXAMEN",IF(SUM((FB131-RW131)/7)&gt;=24,"NO APLICA &gt; 23 SEM -TOMAR PTOG",IF(AND(SUM((FB131-RW131)/7)&lt;24,FA131&gt;126),"DIABETES PREGESTACIONAL- REMITIR",IF(FB131&gt;0,SUM(FB131-RW131)/7,""))))))))</f>
        <v>CORREGIR FECHA RESULTADO</v>
      </c>
      <c r="FD131" s="29">
        <v>80</v>
      </c>
      <c r="FE131" s="29">
        <v>139</v>
      </c>
      <c r="FF131" s="29">
        <v>100</v>
      </c>
      <c r="FG131" s="21" t="str">
        <f t="shared" ref="FG131:FG193" ca="1" si="621">IF(AND(OR(FD131&gt;0,FE131&gt;0,FF131&gt;0),FI131&gt;0,FI131&lt;24,AND(FD131&gt;1,FD131&lt;92),AND(FE131&gt;1,FE131&lt;180),AND(FF131&gt;1,FF131&lt;153)),"NORMAL, NO DESCARTA DIABETES POR REALIZARLO ANTES DE  SEMANA 24, ",IF(AND(OR(FD131&gt;0,FE131&gt;0,FF131&gt;0),FI131&gt;0,FI131&lt;24,OR(FD131&gt;=92,FE131&gt;=180,FF131&gt;=153)),"DIABETES, REMITIR",IF(AND(BU131="",FH131="",FD131="",FE131="",FF131=""),"",IF(AND(BU131&gt;=19,BU131&lt;24,FH131="",FD131="",FE131="",FF131=""),"PROGRAMAR TOMA PTOG SIGUIENTE CONTROL",IF(AND(BU131&gt;=24,FH131="",FD131="",FE131="",FF131=""),"TOMAR PTOG",IF(OR(FD131&gt;=92,FE131&gt;=180,FF131&gt;=153),"DIABETES, REMITIR",IF(AND(AND(FD131&gt;1,FD131&lt;92),AND(FE131&gt;1,FE131&lt;180),AND(FF131&gt;1,FF131&lt;153)),"NORMAL",IF(AND(FD131&gt;0,OR(FE131=0,FF131=0)),"NO COMPLETA EXAMEN",""))))))))</f>
        <v>NORMAL</v>
      </c>
      <c r="FH131" s="31">
        <v>44947</v>
      </c>
      <c r="FI131" s="29">
        <f t="shared" ref="FI131:FI193" si="622">IF(AND(BT131="ERROR FUM O INGRESO",FH131&gt;0),"ERROR FUM O INGRESO",IF(AND(FH131="",R131="",O131=""),"",IF(OR(AND(FH131&lt;&gt;"",FH131&lt;RW131),AND(FH131&lt;&gt;"",SUM((FH131-RW131)/7)&gt;40)),"CORREGIR FECHA RESULTADO",IF(AND(FH131="",OR(O131&gt;0,R131&gt;0)),"TOMAR EXAMEN",IF(FH131&gt;0,SUM(FH131-RW131)/7,"")))))</f>
        <v>26.54285714285756</v>
      </c>
      <c r="FJ131" s="22" t="s">
        <v>867</v>
      </c>
      <c r="FK131" s="22">
        <v>44803</v>
      </c>
      <c r="FL131" s="29">
        <f t="shared" ref="FL131:FL193" ca="1" si="623">IF(AND(BT131="ERROR FUM O INGRESO",FK131&gt;0),"ERROR FUM O INGRESO",IF(AND(FK131="",R131="",O131=""),"",IF(OR(AND(FK131&lt;&gt;"",FK131&lt;RW131),AND(FK131&lt;&gt;"",AND(SUM((FK131-RW131)/7)&gt;=13,SUM((FK131-RW131)/7)&lt;27))),"REGISTRAR EN II TRIMESTRE",IF(OR(AND(FK131&lt;&gt;"",FK131&lt;RW131),AND(FK131&lt;&gt;"",AND(SUM((FK131-RW131)/7)&gt;=27,SUM((FK131-RW131)/7)&lt;44))),"REGISTRAR EN III TRIMESTRE",IF(AND(FK131="",OR(O131&gt;0,R131&gt;0),AND(BU131&gt;1,BU131&lt;10)),"EN RANGO PARA TOMAR EXAMEN",IF(AND(FK131="",OR(O131&gt;0,R131&gt;0),AND(BU131&gt;=10,BU131&lt;13)),"TOMA INMEDIATA DE TAMIZAJE",IF(AND(FK131="",BS131&lt;13,OR(O131&gt;0,R131&gt;0)),"PIERDE TOMA DE TAMIZAJE",IF(AND(FK131="",OR(O131&gt;0,R131&gt;0),AND(BS131&gt;=13,BS131&lt;43)),"NO APLICA-INGRESO TARDIO",IF(FK131&gt;0,SUM(FK131-RW131)/7,"")))))))))</f>
        <v>5.9714285714289872</v>
      </c>
      <c r="FM131" s="22" t="s">
        <v>867</v>
      </c>
      <c r="FN131" s="32">
        <v>45220</v>
      </c>
      <c r="FO131" s="29">
        <f t="shared" ca="1" si="441"/>
        <v>65.542857142857557</v>
      </c>
      <c r="FP131" s="22"/>
      <c r="FQ131" s="32"/>
      <c r="FR131" s="29" t="str">
        <f t="shared" ca="1" si="442"/>
        <v>PIERDE TOMA DE TAMIZAJE</v>
      </c>
      <c r="FS131" s="22"/>
      <c r="FT131" s="32"/>
      <c r="FU131" s="29" t="str">
        <f>IF(AND(FJ131="",FM131="",FP131="",FS131=""),"",IF(OR(OR(Tabla1[[#This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1" s="28"/>
      <c r="FW131" s="22"/>
      <c r="FX131" s="29" t="str">
        <f t="shared" ref="FX131:FX193" si="624">IF(AND(BT131="ERROR FUM O INGRESO",FW131&gt;0),"ERROR FUM O INGRESO",IF(AND(FW131="",R131="",O131=""),"",IF(OR(AND(FW131&lt;&gt;"",FW131&lt;RW131),AND(FW131&lt;&gt;"",SUM((FW131-RW131)/7)&gt;40)),"CORREGIR FECHA RESULTADO",IF(AND(FW131="",OR(O131&gt;0,R131&gt;0)),"TOMAR EXAMEN",IF(FW131&gt;0,SUM(FW131-RW131)/7,"")))))</f>
        <v>TOMAR EXAMEN</v>
      </c>
      <c r="FY131" s="22">
        <v>45168</v>
      </c>
      <c r="FZ131" s="22">
        <v>45168</v>
      </c>
      <c r="GA131" s="29">
        <f t="shared" ca="1" si="497"/>
        <v>58.114285714286133</v>
      </c>
      <c r="GB131" s="22"/>
      <c r="GC131" s="22"/>
      <c r="GD131" s="29" t="str">
        <f t="shared" ca="1" si="490"/>
        <v>NO APLICA-INGRESO TARDIO</v>
      </c>
      <c r="GE131" s="22"/>
      <c r="GF131" s="22"/>
      <c r="GG131" s="29" t="str">
        <f t="shared" ca="1" si="444"/>
        <v>PIERDE TOMA DE TAMIZAJE</v>
      </c>
      <c r="GH131" s="22"/>
      <c r="GI131" s="29"/>
      <c r="GJ131" s="22"/>
      <c r="GK131" s="22"/>
      <c r="GL131" s="22"/>
      <c r="GM131" s="22"/>
      <c r="GN131" s="28"/>
      <c r="GO131" s="22"/>
      <c r="GP131" s="29" t="str">
        <f t="shared" ref="GP131:GP193" si="625">IF(AND(BT131="ERROR FUM O INGRESO",GO131&gt;0),"ERROR FUM O INGRESO",IF(AND(GO131="",R131="",O131=""),"",IF(OR(AND(GO131&lt;&gt;"",GO131&lt;RW131),AND(GO131&lt;&gt;"",SUM((GO131-RW131)/7)&gt;40)),"CORREGIR FECHA RESULTADO",IF(AND(GO131="",OR(O131&gt;0,R131&gt;0)),"TOMAR EXAMEN",IF(GO131&gt;0,SUM(GO131-RW131)/7,"")))))</f>
        <v>TOMAR EXAMEN</v>
      </c>
      <c r="GQ131" s="28" t="s">
        <v>869</v>
      </c>
      <c r="GR131" s="28" t="s">
        <v>869</v>
      </c>
      <c r="GS131" s="22" t="str">
        <f t="shared" ref="GS131:GS162" si="626">IF(GQ131="NEGATIVO","CONTROL Igm",IF(AND(GQ131="POSITIVO",GR131="NEGATIVO"),"SE EXCLUYE INFECCION",IF(AND(GQ131="POSITIVO",GR131="POSITIVO"),"TOXOPLASMOSIS, REMITIR PARA MANEJO","")))</f>
        <v>CONTROL Igm</v>
      </c>
      <c r="GT131" s="22">
        <v>45168</v>
      </c>
      <c r="GU131" s="29" t="str">
        <f t="shared" ref="GU131:GU193" si="627">IF(AND(BT131="ERROR FUM O INGRESO",GT131&gt;0),"ERROR FUM O INGRESO",IF(AND(GT131="",R131="",O131=""),"",IF(OR(AND(GT131&lt;&gt;"",GT131&lt;BO131),AND(GT131&lt;&gt;"",SUM((GT131-BO131)/7)&gt;40)),"CORREGIR FECHA RESULTADO",IF(AND(GT131="",OR(O131&gt;0,R131&gt;0)),"TOMAR EXAMEN",IF(GT131&gt;0,SUM(GT131-BO131)/7,"")))))</f>
        <v>CORREGIR FECHA RESULTADO</v>
      </c>
      <c r="GV131" s="21" t="str">
        <f t="shared" ref="GV131:GV193" si="628">IF(AND(GU131="",BT131=""),"",IF(AND(GU131&lt;&gt;"",BT131="SIN DATO"),"SIN DATO",IF(AND(GU131="",BT131&lt;&gt;""),"",IF(AND(GU131&lt;0,BT131&gt;0),"ERROR FUM O INGRESO",IF(GU131&lt;=13,"I TRIM",IF(GU131&lt;28,"II TRIM",IF(AND(GU131&gt;27,GU131&lt;45),"III TRIM","POR DEFINIR")))))))</f>
        <v>POR DEFINIR</v>
      </c>
      <c r="GW131" s="28" t="s">
        <v>869</v>
      </c>
      <c r="GX131" s="30"/>
      <c r="GY131" s="21"/>
      <c r="GZ131" s="21"/>
      <c r="HA131" s="21"/>
      <c r="HB131" s="21"/>
      <c r="HC131" s="21"/>
      <c r="HD131" s="21"/>
      <c r="HE131" s="21"/>
      <c r="HF131" s="22"/>
      <c r="HG131" s="22" t="str">
        <f>IF(OR(O131&gt;0,R131&gt;0),CONCATENATE(IF(Tabla1[[#This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1" s="22" t="e">
        <f t="shared" ref="HH131:HH193" si="629">IF(OR(O131&gt;0,R131&gt;0),CONCATENATE(IF(AZ131="SI","ANTECEDENTE EMBARAZO MOLAR",""),"*",CONCATENATE(IF(BA131="SI","ANTECEDENTE MUERTE NEONATAL",""),"*",CONCATENATE(IF(AND(BQ131&gt;0,BQ131&lt;13),"PERIODO INTERGENESICO CORTO",""),"*",CONCATENATE(IF(AND(BS131&gt;13,BS131&lt;42),"INGRESO TARDIO A CPN",""),"*",CONCATENATE(IF(CO131="BAJO PESO","BAJO PESO",""),"*",CONCATENATE(IF(CO131="SOBREPESO","SOBREPESO",""),"*",CONCATENATE(IF(CO131="OBESIDAD","OBESIDAD",""),"*",CONCATENATE(IF(GN131="POSITIVO","SEGUIMIENTO INFECCIÓN HEP B",""),"*",CONCATENATE(IF(GS131="TOXOPLASMOSIS, REMITIR PARA MANEJO","INFECCIÓN TOXOPLASMOSIS",""),"*",CONCATENATE(IF(GS131="CONTROL Igm","PREVENCIÓN CONTAGIO TOXOPLASMOSIS",""),"*",CONCATENATE(IF(OR(HF131="COVID19 PRIMER TRIMESTRE",HF131="COVID19 SEGUNDO TRIMESTRE",HF131="COVID19 TERCER TRIMESTRE",HF131="COVID19 PUERPERIO"),"INFECCIÓN SARS-CoV2 CONFIRMADA",""),"*",CONCATENATE(IF(GY131="Esquema vigente – Alterado","DESCARTAR CANCER DE UTERO",""),"*",)))))))))))),"")</f>
        <v>#REF!</v>
      </c>
      <c r="HI131" s="22" t="e">
        <f t="shared" ref="HI131:HI193" ca="1" si="630">IF(AND(O131="",R131=""),"",IF(AND(OR(O131&lt;&gt;"",R131&lt;&gt;""),OR(HK131="RIESGO ALTO DE COMPLICACIONES HIPERTENSIVAS VER MANEJO GUIA SUMINISTRO ASA Y CALCIO",HK131="RIESGO MODERADO (2 O MAS CRITERIOS) VER MANEJO GUIA SUMINISTRO ASA Y CALCIO")),"ALTO RIESGO",IF(AND(HH131="************",OR(O131&lt;&gt;"",R131&lt;&gt;""),AND(ND131&gt;=0,ND131&lt;3)),"BAJO RIESGO",IF(AND(OR(O131&lt;&gt;"",R131&lt;&gt;""),OR(HF131="COVID19 PRIMER TRIMESTRE",HF131="COVID19 SEGUNDO TRIMESTRE",HF131="COVID19 TERCER TRIMESTRE",HF131="COVID19 PUERPERIO")),"ALTO RIESGO",IF(AND(HH131&lt;&gt;"",OR(O131&lt;&gt;"",R131&lt;&gt;""),AND(ND131&gt;=0,ND131&lt;3)),"CON RIESGO",IF(AND(OR(O131&lt;&gt;"",R131&lt;&gt;""),ND131&gt;2),"ALTO RIESGO",""))))))</f>
        <v>#REF!</v>
      </c>
      <c r="HJ131" s="21"/>
      <c r="HK131" s="21" t="str">
        <f t="shared" ref="HK131:HK193" si="631">IF(AND(O131="",R131=""),"",IF(AND(OR(O131&gt;0,R131&gt;0),OR(AL131="SI",BG131="SI",BD131="SI",BE131="SI",BH131="SI")),"RIESGO ALTO DE COMPLICACIONES HIPERTENSIVAS VER MANEJO GUIA SUMINISTRO ASA Y CALCIO",IF(AND(OR(O131&gt;0,R131&gt;0),NE131&gt;1),"RIESGO MODERADO (2 O MAS CRITERIOS) VER MANEJO GUIA SUMINISTRO ASA Y CALCIO","SIN ANTECEDENTES DE RIESGO")))</f>
        <v>SIN ANTECEDENTES DE RIESGO</v>
      </c>
      <c r="HL131" s="24" t="str">
        <f t="shared" ref="HL131:HL193" si="632">DC131</f>
        <v>REGISTRE DATO PRESIÓN ARTERIAL MENSUAL</v>
      </c>
      <c r="HM131" s="21" t="str">
        <f t="shared" ref="HM131:HM193" ca="1" si="633">IF(NI131="SD","",IF(AND(NI131&lt;=33,NI131&gt;=8),"MES DE CONTROL",IF(AND(NI131&gt;=1,NI131&lt;8),"SEMANA DE CONTROL",IF(NI131=0,"DIA DE CONTROL",IF(NI131&lt;0,"INASISTENTE",IF(NI131="Y","SEGUIMIENTO FUERA MUNICIPIO",IF(NI131="Z","BUSCAR PARA INGRESO A CPN",IF(NI131="W","DEFINIR FECHA CITA",IF(NI131="X","NO REALIZO CPN",IF(NI131="S","DILIGENCIAR FECHA SALIDA PROGRAMA","REVISAR FORMULA"))))))))))</f>
        <v/>
      </c>
      <c r="HN131" s="30" t="str">
        <f t="shared" si="445"/>
        <v>SALIO PROGRAMA</v>
      </c>
      <c r="HO131" s="21"/>
      <c r="HP131" s="21"/>
      <c r="HQ131" s="21">
        <v>45003</v>
      </c>
      <c r="HR131" s="21" t="str">
        <f>IF(R131="","",IF(Tabla1[[#This Row],[ALARMA FACTORES DE RIESGO COMPLICACIONES HIPERTENSIVAS3]]="SIN ANTECEDENTES DE RIESGO","No Aplica para suministro de ASA",IF(AND(Tabla1[[#This Row],[FECHA INICIO DE SUMINISTRO DE ASA]]&gt;0,RV131&lt;12),"Inicia ASA ANTES de Sem 12",IF(AND(RV131&gt;11,RV131&lt;17,OR(HK131="RIESGO ALTO DE COMPLICACIONES HIPERTENSIVAS VER MANEJO GUIA SUMINISTRO ASA Y CALCIO",HK131="RIESGO MODERADO (2 O MAS CRITERIOS) VER MANEJO GUIA SUMINISTRO ASA Y CALCIO")),"Inicio oportuno de ASA",IF(AND(RV131&gt;12,OR(HK131="RIESGO ALTO DE COMPLICACIONES HIPERTENSIVAS VER MANEJO GUIA SUMINISTRO ASA Y CALCIO",HK131="RIESGO MODERADO (2 O MAS CRITERIOS) VER MANEJO GUIA SUMINISTRO ASA Y CALCIO")),"Inicio no oportuno mayor a 16 semanas",IF(AND(BU131&lt;12,OR(HK131="RIESGO ALTO DE COMPLICACIONES HIPERTENSIVAS VER MANEJO GUIA SUMINISTRO ASA Y CALCIO",HK131="RIESGO MODERADO (2 O MAS CRITERIOS) VER MANEJO GUIA SUMINISTRO ASA Y CALCIO")),"Pendiente Inicio de ASA a la semana 12",IF(AND(BU131&gt;11,BU131&lt;17,OR(HK131="RIESGO ALTO DE COMPLICACIONES HIPERTENSIVAS VER MANEJO GUIA SUMINISTRO ASA Y CALCIO",HK131="RIESGO MODERADO (2 O MAS CRITERIOS) VER MANEJO GUIA SUMINISTRO ASA Y CALCIO")),"Iniciar de inmediato ASA",IF(AND(BU131&gt;16,OR(HK131="RIESGO ALTO DE COMPLICACIONES HIPERTENSIVAS VER MANEJO GUIA SUMINISTRO ASA Y CALCIO",HK131="RIESGO MODERADO (2 O MAS CRITERIOS) VER MANEJO GUIA SUMINISTRO ASA Y CALCIO")),"Pierde Oportunidad, Inicio tardío de ASA","XXXXX"))))))))</f>
        <v>No Aplica para suministro de ASA</v>
      </c>
      <c r="HS131" s="22">
        <v>45003</v>
      </c>
      <c r="HT131" s="22" t="s">
        <v>870</v>
      </c>
      <c r="HU131" s="22"/>
      <c r="HV131" s="22"/>
      <c r="HW131" s="22">
        <v>45003</v>
      </c>
      <c r="HX131" s="22" t="s">
        <v>870</v>
      </c>
      <c r="HY131" s="22"/>
      <c r="HZ131" s="28" t="str">
        <f t="shared" ref="HZ131:HZ193" si="634">IF(AND(BT131="ERROR FUM O INGRESO",HY131&gt;0),"ERROR FUM O INGRESO",IF(AND(HY131="",R131=""),"",IF(OR(AND(HY131&lt;&gt;"",HY131&lt;RW131),AND(HY131&lt;&gt;"",SUM((HY131-RW131)/7)&gt;40)),"CORREGIR FECHA CONSULTA",IF(AND(HY131="",R131&gt;0),"PENDIENTE CONSULTA",IF(HY131&gt;0,SUM(HY131-RW131)/7,"")))))</f>
        <v>PENDIENTE CONSULTA</v>
      </c>
      <c r="IA131" s="26"/>
      <c r="IB131" s="26"/>
      <c r="IC131" s="111"/>
      <c r="ID131" s="22"/>
      <c r="IE131" s="22" t="str">
        <f t="shared" ref="IE131:IE193" ca="1" si="635">IF(AND(RW131="",NF131="SD"),"SIN DATO EDAD GESTACIONAL",IF(AND(RW131="",ID131=""),"",IF(AND(AND(BU131&gt;0,BU131&lt;20),ID131=""),"EN ESPERA PARA VACUNAR",IF(AND(AND(BU131&gt;19,BU131&lt;27),ID131=""),"PROGRAMAR APLICACION DE VACUNA",IF(AND(AND(BU131&gt;26,BU131&lt;43),ID131=""),"INASISTENTE",IF(AND(AND(NF131&gt;19,NF131&lt;27),ID131&gt;0),"VACUNA APLICADA ENTRE SEMANA 20 Y SEMANA 26",IF(AND(NF131&lt;20,ID131&gt;0),"VACUNA APLICADA ANTES SEMANA 20",IF(AND(NF131&gt;26,ID131&gt;0),"VACUNA APLICADA ENTRE SEMANA 27 Y EL PARTO",IF(AND(OR(IK131="CESAREA",IK131="PARTO"),II131="POSIBLEMENTE NACIO",ID131=""),"SALE SIN VACUNA","")))))))))</f>
        <v>SALE SIN VACUNA</v>
      </c>
      <c r="IF131" s="22"/>
      <c r="IG131" s="22">
        <f t="shared" ref="IG131:IG193" si="636">IF(OR(BP131="SI",BP131="Corregida",BP131="NO"),(RW131+280),IF(BP131="Sin Dato","DEFINIR FPP POR ECO",""))</f>
        <v>45041.2</v>
      </c>
      <c r="IH131" s="29">
        <f t="shared" ref="IH131:IH193" ca="1" si="637">IF(OR(IG131="DEFINIR FPP POR ECO",BT131="ERROR FUM O INGRESO"),"SIN DEFINIR",IF(IG131="","",IF(IG131&gt;0,SUM(IG131-TODAY()),"X")))</f>
        <v>-191.80000000000291</v>
      </c>
      <c r="II131" s="22" t="str">
        <f t="shared" ref="II131:II193" ca="1" si="638">IF(IH131&lt;0,"POSIBLEMENTE NACIO",IF(IH131="SIN DEFINIR","SIN DATO",IF(AND(IH131&gt;=0,IH131&lt;=7),"SEMANA DE PARTO",IF(AND(IH131&gt;=8,IH131&lt;=28),"MENOS DE 4 SEMANAS",IF(AND(IH131&gt;=29,IH131&lt;=280),"PENDIENTE","")))))</f>
        <v>POSIBLEMENTE NACIO</v>
      </c>
      <c r="IJ131" s="22"/>
      <c r="IK131" s="21" t="s">
        <v>898</v>
      </c>
      <c r="IL131" s="21" t="s">
        <v>1639</v>
      </c>
      <c r="IM131" s="34"/>
      <c r="IN131" s="349">
        <v>45017</v>
      </c>
      <c r="IO131" s="21" t="s">
        <v>1186</v>
      </c>
      <c r="IP131" s="29">
        <f t="shared" si="489"/>
        <v>36.542857142857557</v>
      </c>
      <c r="IQ131" s="290" t="s">
        <v>1654</v>
      </c>
      <c r="IR131" s="290" t="s">
        <v>1651</v>
      </c>
      <c r="IS131" s="290" t="s">
        <v>1646</v>
      </c>
      <c r="IT131" s="290" t="s">
        <v>1642</v>
      </c>
      <c r="IU131" s="21"/>
      <c r="IV131" s="21"/>
      <c r="IW131" s="21"/>
      <c r="IX131" s="21"/>
      <c r="IY131" s="21"/>
      <c r="IZ131" s="21"/>
      <c r="JA131" s="21"/>
      <c r="JB131" s="30">
        <v>1</v>
      </c>
      <c r="JC131" s="21"/>
      <c r="JD131" s="36"/>
      <c r="JE131" s="21" t="str">
        <f t="shared" si="491"/>
        <v/>
      </c>
      <c r="JF131" s="30"/>
      <c r="JG131" s="21"/>
      <c r="JH131" s="21"/>
      <c r="JI131" s="21"/>
      <c r="JJ131" s="30"/>
      <c r="JK131" s="22"/>
      <c r="JL131" s="22"/>
      <c r="JM131" s="21"/>
      <c r="JN131" s="36"/>
      <c r="JO131" s="21" t="str">
        <f t="shared" si="492"/>
        <v/>
      </c>
      <c r="JP131" s="22"/>
      <c r="JQ131" s="21"/>
      <c r="JR131" s="21"/>
      <c r="JS131" s="21"/>
      <c r="JT131" s="30"/>
      <c r="JU131" s="22"/>
      <c r="JV131" s="22"/>
      <c r="JW131" s="33"/>
      <c r="JX131" s="28" t="str">
        <f t="shared" si="493"/>
        <v>INASISTENTE</v>
      </c>
      <c r="JY131" s="33"/>
      <c r="JZ131" s="28" t="str">
        <f t="shared" si="494"/>
        <v>INASISTENTE</v>
      </c>
      <c r="KA131" s="21"/>
      <c r="KB131" s="21"/>
      <c r="KC131" s="21"/>
      <c r="KD131" s="37"/>
      <c r="KE131" s="28"/>
      <c r="KF131" s="28"/>
      <c r="KG131" s="28"/>
      <c r="KH131" s="39"/>
      <c r="KI131" s="39"/>
      <c r="KJ131" s="66"/>
      <c r="KK131" s="39"/>
      <c r="KL131" s="39"/>
      <c r="KM131" s="66"/>
      <c r="KN131" s="39"/>
      <c r="KO131" s="39"/>
      <c r="KP131" s="39"/>
      <c r="KQ131" s="39"/>
      <c r="KR131" s="39"/>
      <c r="KS131" s="39"/>
      <c r="KT131" s="39"/>
      <c r="KU131" s="38"/>
      <c r="KV131" s="38"/>
      <c r="KW131" s="38"/>
      <c r="KX131" s="38"/>
      <c r="KY131" s="38"/>
      <c r="KZ131" s="38"/>
      <c r="LA131" s="38"/>
      <c r="LB131" s="38"/>
      <c r="LC131" s="38"/>
      <c r="LD131" s="38"/>
      <c r="LE131" s="38"/>
      <c r="LF131" s="38"/>
      <c r="LG131" s="38"/>
      <c r="LH131" s="38"/>
      <c r="LI131" s="38"/>
      <c r="LJ131" s="38"/>
      <c r="LK131" s="38"/>
      <c r="LL131" s="38"/>
      <c r="LM131" s="38"/>
      <c r="LN131" s="38"/>
      <c r="LO131" s="38"/>
      <c r="LP131" s="38"/>
      <c r="LQ131" s="38"/>
      <c r="LR131" s="38"/>
      <c r="LS131" s="38"/>
      <c r="LT131" s="38"/>
      <c r="LU131" s="38"/>
      <c r="LV131" s="38"/>
      <c r="LW131" s="38"/>
      <c r="LX131" s="38"/>
      <c r="LY131" s="38"/>
      <c r="LZ131" s="38"/>
      <c r="MA131" s="38"/>
      <c r="MB131" s="38"/>
      <c r="MC131" s="38"/>
      <c r="MD131" s="38"/>
      <c r="ME131" s="38"/>
      <c r="MF131" s="38"/>
      <c r="MG131" s="38"/>
      <c r="MH131" s="43">
        <f t="shared" ref="MH131:MH162" si="639">SUM(COUNTIF(KU131,"PARTERO (A)"),COUNTIF(KY131,"PARTERO (A)"),COUNTIF(LC131,"PARTERO (A)"),COUNTIF(LG131,"PARTERO (A)"),COUNTIF(LK131,"PARTERO (A)"),COUNTIF(LO131,"PARTERO (A)"),COUNTIF(ME131,"PARTERO (A)"))</f>
        <v>0</v>
      </c>
      <c r="MI131" s="43" t="str">
        <f t="shared" ref="MI131:MI162" si="640">IF(AND(R131="",O131=""),"",IF(AND(OR(O131&gt;0,R131&gt;0),KT131&gt;0),SUM(KT131-RW131)/7,""))</f>
        <v/>
      </c>
      <c r="MJ131" s="43" t="str">
        <f t="shared" ref="MJ131:MJ162" si="641">IF(AND(MI131="",BT131=""),"",IF(AND(MI131&lt;&gt;"",BT131="SIN DATO"),"SIN DATO",IF(AND(MI131="",BT131&lt;&gt;""),"",IF(AND(MI131&lt;0,BT131&gt;0),"ERROR FUM O INGRESO",IF(MI131&lt;=13,"I TRIM",IF(MI131&lt;28,"II TRIM",IF(AND(MI131&gt;27,MI131&lt;45),"III TRIM","POR DEFINIR")))))))</f>
        <v/>
      </c>
      <c r="MK131" s="43">
        <f t="shared" ref="MK131:MK162" si="642">SUM(COUNTIF(KU131,"MEDICO (A) TRADICIONAL"),COUNTIF(KY131,"MEDICO (A) TRADICIONAL"),COUNTIF(LC131,"MEDICO (A) TRADICIONAL"),COUNTIF(LG131,"MEDICO (A) TRADICIONAL"),COUNTIF(LK131,"MEDICO (A) TRADICIONAL"),COUNTIF(LO131,"MEDICO (A) TRADICIONAL"),COUNTIF(ME131,"MEDICO (A) TRADICIONAL"))</f>
        <v>0</v>
      </c>
      <c r="ML1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1" s="43">
        <f t="shared" ref="MM131:MM162" si="643">IF(AND(O131&gt;0,RW131&gt;0),SUM(O131-RW131)/7,"")</f>
        <v>34.542857142857557</v>
      </c>
      <c r="MN131" s="43">
        <f t="shared" ref="MN131:MN162" si="644">IF(R131&gt;0,MONTH(R131),"")</f>
        <v>3</v>
      </c>
      <c r="MO131" s="43">
        <f t="shared" ref="MO131:MO162" si="645">IF(R131&gt;0,YEAR(R131),"")</f>
        <v>2023</v>
      </c>
      <c r="MP131" s="43" t="str">
        <f t="shared" ref="MP131:MP162" si="646">IF(AND(MN131&gt;=1,MN131&lt;=3),"I TRIMESTRE AÑO",IF(AND(MN131&gt;=4,MN131&lt;=6),"II TRIMESTRE AÑO",IF(AND(MN131&gt;=7,MN131&lt;=9),"III TRIMESTRE AÑO",IF(AND(MN131&gt;=10,MN131&lt;=12),"IV TRIMESTRE AÑO",""))))</f>
        <v>I TRIMESTRE AÑO</v>
      </c>
      <c r="MQ131" s="43">
        <f t="shared" ref="MQ131:MQ162" si="647">IF(AND(M131&gt;0,R131&gt;0),DAYS360(M131,R131)/30.44/12,IF(AND(M131&gt;0,O131&gt;0,R131=""),DAYS360(M131,O131)/30.44/12,""))</f>
        <v>39.197328077091548</v>
      </c>
      <c r="MR131" s="43">
        <f t="shared" ref="MR131:MR162" si="648">IF(AND(MQ131&gt;7,MQ131&lt;14),2,IF(MQ131&lt;16,1,IF(MQ131&lt;=35,0,IF(AND(MQ131&gt;35,MQ131&lt;50),2,""))))</f>
        <v>2</v>
      </c>
      <c r="MS131" s="43" t="str">
        <f t="shared" ref="MS131:MS162" si="649">+IF(MQ131="","",IF(MQ131&lt;14,"MENOR 14 AÑOS",IF(MQ131&lt;20,"DE 14 A 19AÑOS",IF(MQ131&lt;25," DE 20 A 24 AÑOS",IF(MQ131&lt;30," DE 25 A 29 AÑOS",IF(MQ131&lt;35," DE 30 A 34 AÑOS",IF(MQ131&lt;40," DE 35 A 39 AÑOS"," DE 40 Y MAS")))))))</f>
        <v xml:space="preserve"> DE 35 A 39 AÑOS</v>
      </c>
      <c r="MT131" s="43">
        <f t="shared" ref="MT131:MT162" si="650">IF(OR(AX131="SI",BA131="SI"),1,IF(AND(AX131="NO",BA131="NO"),0,""))</f>
        <v>0</v>
      </c>
      <c r="MU131" s="43">
        <f t="shared" ref="MU131:MU162" si="651">IF(AT131="","",IF(AT131=0,1,IF(AND(AT131&gt;=1,AT131&lt;=4),0,IF(AT131&gt;=5,2,"X"))))</f>
        <v>0</v>
      </c>
      <c r="MV131" s="43">
        <f t="shared" ref="MV131:MV162" si="652">IF(AW131="","",IF(AW131=0,0,IF(AW131=1,1,IF(OR(AW131=2,AW131="3 o MAS"),2,"X"))))</f>
        <v>0</v>
      </c>
      <c r="MW131" s="43">
        <f t="shared" ref="MW131:MW162" si="653">IF(AY131="SI",1,IF(AY131="NO",0,""))</f>
        <v>0</v>
      </c>
      <c r="MX131" s="43" t="str">
        <f t="shared" ref="MX131:MX162" si="654">IF(OR(AND(EM131&gt;0,EM131&lt;11),AND(ER131&gt;0,ER131&lt;10.5)),1,"")</f>
        <v/>
      </c>
      <c r="MY131" s="43" t="str">
        <f t="shared" ca="1" si="495"/>
        <v/>
      </c>
      <c r="MZ131" s="43" t="str">
        <f t="shared" ref="MZ131:MZ162" si="655">IF(AND(GJ131="",GL131="",BB131=""),"",IF(OR(OR(GJ131="P.R REACTIVA",GJ131="ELISA REACTIVA"),OR(BB131="SI",GL131="POSITIVA",GL131="NO CONCLUYENTE")),3,""))</f>
        <v/>
      </c>
      <c r="NA131" s="43" t="str">
        <f t="shared" ref="NA131:NA162" si="656">IF(CD131="","",IF(OR(CD131="CEFÁLICA",CD131="SD"),0,IF(OR(CD131="PODÁLICA",CD131="TRANSVERSA O DE FRENTE",CD131="OBLICUA"),3,"")))</f>
        <v/>
      </c>
      <c r="NB131" s="43" t="str">
        <f t="shared" ref="NB131:NB162" si="657">IF(GZ131="","",IF(GZ131="POSITIVO",2,"0"))</f>
        <v/>
      </c>
      <c r="NC131" s="43" t="str">
        <f t="shared" ref="NC131:NC162" si="658">IF(AND(HB131="",HD131=""),"",IF(OR(HB131="POSITIVO",HD131="POSITIVO"),3,0))</f>
        <v/>
      </c>
      <c r="ND131" s="43">
        <f t="shared" ref="ND131:ND162" ca="1" si="659">IF(AND(O131="",R131=""),"",IF(OR(O131&lt;&gt;"",R131&lt;&gt;""),SUM(COUNTIF(AL131:AR131,"SI"),COUNTIF(AV131,"SI"),COUNTIF(BC131,"SI, CONTROLADA"),COUNTIF(BI131,"SI"),COUNTIF(BM131,"SI"),SUM(COUNTIF(BC131,"SI, SIN MANEJO")*3),SUM(COUNTIF(BC131,"SI, NO CONTROLADA")*3),SUM(COUNTIF(BD131:BG131,"SI")*3),SUM(COUNTIF(CB131:CC131,"SI")*3),SUM(COUNTIF(AD131,"Consumo Actual")*3),SUM(COUNTIF(AD131,"Hasta Antes de la Gestación")*2),SUM(COUNTIF(BK131,"SI")*3),SUM(COUNTIF(BL131,"SI")*2),SUM(COUNTIF(CE131,"SI")*2),SUM(COUNTIF(BH131,"SI")*2),SUM(COUNTIF(FG131,"DIABETES, REMITIR")*2),SUM(MT131:NC131),SUM(MR131),SUM(NG131),SUM(COUNTIF(EZ131,"COOMBS C/MES Y RESUMAN SEM 28")*2),SUM(COUNTIF(EZ131,"TOMAR COOMBS CUANTITATIVO Y REMISIÓN")*3),SUM(COUNTIF(FU131,"SIFILIS GESTACIONAL")*3)),""))</f>
        <v>2</v>
      </c>
      <c r="NE131" s="43">
        <f>IF(OR(O131&gt;0,R131&gt;0),SUM(COUNTIF(Tabla1[[#This Row],[AÑOS AL INICIO5 CPN]],"&gt;=40"),COUNTIF(AS131,"0"),COUNTIF(AR131,"SI"),COUNTIF(CC131,"SI"),COUNTIF(BQ131,"&gt;119"),COUNTIF(CI131,"&gt;=35")),"")</f>
        <v>0</v>
      </c>
      <c r="NF131" s="43" t="str">
        <f t="shared" ref="NF131:NF162" si="660">IF(AND(R131="",O131=""),"",IF(AND(OR(O131&gt;0,R131&gt;0),RW131=""),"SD",IF(AND(OR(O131&gt;0,R131&gt;0),ID131&gt;0),SUM(ID131-RW131)/7,"")))</f>
        <v/>
      </c>
      <c r="NG131" s="43">
        <f t="shared" ref="NG131:NG162" si="661">IF(AND(AD131="",AE131="",AF131="",AG131="",AH131="",AI131="",AJ131=""),"",SUM(COUNTIF(AD131,"Hasta Antes de la Gestación")/2,SUM(COUNTIF(AE131,"NO")/2),COUNTIF(AF131,"NO"),SUM(COUNTIF(AG131,"SI")/2),COUNTIF(AH131,"SI"),SUM(COUNTIF(AJ131,"SI")*2),COUNTIF(AD131,"Consumo Actual"),COUNTIF(AI131,"HABITANTE DE CALLE"),COUNTIF(AI131,"DESPLAZADA"),COUNTIF(AI131,"MIGRATORIA"),COUNTIF(AI131,"DISCAPACIDAD FISICA"),COUNTIF(AI131,"DISCAPACIDAD CONDUCTUAL"),COUNTIF(AI131,"DISCAPACIDAD VISUAL"),COUNTIF(AI131,"DISCAPACIDAD AUDITIVA"),COUNTIF(AI131,"DISCAPACIDAD MULTIPLE"),COUNTIF(AI131,"DISCAPACIDAD SISTEMICA")))</f>
        <v>0</v>
      </c>
      <c r="NH131" s="43">
        <f t="shared" ref="NH131:NH162" si="662">IF(BX131&gt;0,BX131*7,"")</f>
        <v>254.79999999999998</v>
      </c>
      <c r="NI13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CPN",P131="NO"),"Z",IF(AND(Tabla1[[#This Row],[CITA PROXIMO CONTROL]]="CITA MANUAL",Tabla1[[#This Row],[GESTANTES ACTUALES]]="ACTIVA INGRESO A CPN"),"W",IF(AND(Tabla1[[#This Row],[GESTANTES ACTUALES]]="SALIO PROGRAMA",IN131=""),"S",IF(AND(Tabla1[[#This Row],[CITA PROXIMO CONTROL]]&gt;0,IN131=""),(Tabla1[[#This Row],[CITA PROXIMO CONTROL]]-TODAY()),"SD"))))))))</f>
        <v>SD</v>
      </c>
      <c r="NJ131" s="43">
        <f>MONTH(Tabla1[[#This Row],[FECHA DE SALIDA  DEL PROGRAMA]])</f>
        <v>4</v>
      </c>
      <c r="NK131" s="43">
        <f>YEAR(Tabla1[[#This Row],[FECHA DE SALIDA  DEL PROGRAMA]])</f>
        <v>2023</v>
      </c>
      <c r="NL131" s="43">
        <f t="shared" ref="NL131:NL162" si="663">IF(AND(O131&gt;0,R131=""),"NO CPN",IF(AND(O131="",R131=""),"",IF(AND(R131&gt;0,EJ131&gt;0,EI131&gt;0),_xlfn.DAYS(EJ131,EI131),IF(AND(R131&gt;0,EJ131&gt;0,EI131=""),"NO CITA","X"))))</f>
        <v>0</v>
      </c>
      <c r="NM131" s="43" t="str">
        <f t="shared" si="500"/>
        <v>NO</v>
      </c>
      <c r="NN131" s="43" t="str">
        <f ca="1">IF(AND(O131&gt;0,R131=""),"NO CPN",IF(AND(O131="",R131=""),"",IF(AND(R131&gt;0,Tabla1[[#This Row],[SEMANAS DE GESTACION ACTUALIZADAS]]&lt;=12),"NO APLICA",IF(AND(FH131&lt;&gt;"",FN131&lt;&gt;""),"SI","NO"))))</f>
        <v>SI</v>
      </c>
      <c r="NO131" s="43" t="str">
        <f ca="1">IF(AND(O131&gt;0,R131=""),"NO CPN",IF(AND(O131="",R131=""),"",IF(AND(R131&gt;0,Tabla1[[#This Row],[SEMANAS DE GESTACION ACTUALIZADAS]]&lt;=27),"NO APLICA",IF(AND(ES131&lt;&gt;"",FQ131&lt;&gt;"",GF131&lt;&gt;""),"SI","NO"))))</f>
        <v>NO</v>
      </c>
      <c r="NP131" s="204" t="str">
        <f t="shared" ref="NP131:NP162" si="664">IF(AND(BS131="",IG131=""),"",IF(AND(BS131="",IG131="DEFINIR FPP POR ECO"),"SIN DATO",IF(BS131&lt;0,"ERROR FUM O INGRESO",IF(BP131="NO","DEFINIR CON ECO",IF(BS131&lt;12,"I TRIM",IF(BS131&lt;27,"II TRIM",IF(AND(BS131&gt;26,BS131&lt;45),"III TRIM","ERROR FUM O INGRESO")))))))</f>
        <v>III TRIM</v>
      </c>
      <c r="NQ131" s="21" t="str">
        <f t="shared" si="499"/>
        <v/>
      </c>
      <c r="NR131" s="21">
        <f t="shared" si="496"/>
        <v>1</v>
      </c>
      <c r="NS131" s="205">
        <f t="shared" ref="NS131:NS162" ca="1" si="665">COUNT(FL131,FO131,FR131,FT131)</f>
        <v>2</v>
      </c>
      <c r="NT131" s="21">
        <f t="shared" ref="NT131:NT162" ca="1" si="666">COUNT(GA131,GD131,GG131,GI131)</f>
        <v>1</v>
      </c>
      <c r="NU131" s="21" t="str">
        <f t="shared" ref="NU131:NU162" ca="1" si="667">IF(NR131="","",IF(NR131="REVISAR FUM O FECHA SALIDA PROGRAMA","POR DEFINIR",IF(OR(NR131=NS131,NS131&gt;NR131),"COMPLETO",IF(NS131&lt;NR131,"INCOMPLETO",""))))</f>
        <v>COMPLETO</v>
      </c>
      <c r="NV131" s="21" t="str">
        <f t="shared" ref="NV131:NV162" ca="1" si="668">IF(NR131="","",IF(NR131="REVISAR FUM O FECHA SALIDA PROGRAMA","POR DEFINIR",IF(OR(NR131=NT131,NT131&gt;NR131),"COMPLETO",IF(NT131&lt;NR131,"INCOMPLETO",""))))</f>
        <v>COMPLETO</v>
      </c>
      <c r="NW131" s="206" t="str">
        <f>IF(AND(O131="",R131=""),"",IF(OR(AND(Tabla1[[#This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1" s="207" t="str">
        <f t="shared" ref="NX131:NX162" ca="1" si="669">IF(AND(O131="",R131=""),"",IF(OR(IE131="VACUNA APLICADA ENTRE SEMANA 20 Y SEMANA 26",IE131="VACUNA APLICADA ENTRE SEMANA 27 Y EL PARTO",IE131="VACUNA APLICADA ANTES SEMANA 20"),"VACUNADA","SIN VACUNAR"))</f>
        <v>SIN VACUNAR</v>
      </c>
      <c r="NY131" s="43">
        <f>ROW(Tabla1[[#This Row],['# DE TAMIZAJES SIFILIS TOMADOS ]])</f>
        <v>131</v>
      </c>
      <c r="NZ131" s="43">
        <f t="shared" si="501"/>
        <v>34</v>
      </c>
      <c r="OA131" s="43" t="str">
        <f t="shared" si="502"/>
        <v/>
      </c>
      <c r="OB131" s="43" t="str">
        <f t="shared" si="503"/>
        <v/>
      </c>
      <c r="OC131" s="43" t="str">
        <f t="shared" si="504"/>
        <v/>
      </c>
      <c r="OD131" s="43" t="str">
        <f t="shared" si="505"/>
        <v/>
      </c>
      <c r="OE131" s="43" t="str">
        <f t="shared" si="506"/>
        <v/>
      </c>
      <c r="OF131" s="43" t="str">
        <f t="shared" si="507"/>
        <v/>
      </c>
      <c r="OG131" s="43" t="str">
        <f t="shared" si="508"/>
        <v/>
      </c>
      <c r="OH131" s="43" t="str">
        <f t="shared" si="509"/>
        <v/>
      </c>
      <c r="OI131" s="43" t="str">
        <f t="shared" si="510"/>
        <v/>
      </c>
      <c r="OJ131" s="43" t="str">
        <f t="shared" si="511"/>
        <v/>
      </c>
      <c r="OK131" s="43" t="str">
        <f t="shared" si="512"/>
        <v/>
      </c>
      <c r="OL131" s="43" t="str">
        <f t="shared" si="513"/>
        <v/>
      </c>
      <c r="OM131" s="43" t="str">
        <f t="shared" si="514"/>
        <v/>
      </c>
      <c r="ON131" s="43" t="str">
        <f t="shared" si="515"/>
        <v/>
      </c>
      <c r="OO131" s="43" t="str">
        <f t="shared" si="516"/>
        <v/>
      </c>
      <c r="OP131" s="43" t="str">
        <f t="shared" si="517"/>
        <v/>
      </c>
      <c r="OQ131" s="43" t="str">
        <f t="shared" si="518"/>
        <v/>
      </c>
      <c r="OR131" s="43" t="str">
        <f t="shared" si="519"/>
        <v/>
      </c>
      <c r="OS131" s="43" t="str">
        <f t="shared" si="520"/>
        <v/>
      </c>
      <c r="OT131" s="43" t="str">
        <f t="shared" si="521"/>
        <v/>
      </c>
      <c r="OU131" s="43" t="str">
        <f t="shared" si="522"/>
        <v/>
      </c>
      <c r="OV131" s="110" t="str">
        <f t="shared" si="523"/>
        <v/>
      </c>
      <c r="OW131" s="43" t="str">
        <f t="shared" si="524"/>
        <v/>
      </c>
      <c r="OX131" s="43" t="str">
        <f t="shared" si="525"/>
        <v/>
      </c>
      <c r="OY131" s="43" t="str">
        <f t="shared" si="526"/>
        <v/>
      </c>
      <c r="OZ131" s="43" t="str">
        <f t="shared" si="527"/>
        <v/>
      </c>
      <c r="PA131" s="43" t="str">
        <f t="shared" si="528"/>
        <v/>
      </c>
      <c r="PB131" s="43" t="str">
        <f t="shared" si="529"/>
        <v/>
      </c>
      <c r="PC131" s="43" t="str">
        <f t="shared" si="530"/>
        <v/>
      </c>
      <c r="PD131" s="43" t="str">
        <f t="shared" si="531"/>
        <v/>
      </c>
      <c r="PE131" s="43" t="str">
        <f t="shared" si="532"/>
        <v/>
      </c>
      <c r="PF131" s="43" t="str">
        <f t="shared" si="533"/>
        <v/>
      </c>
      <c r="PG131" s="43" t="str">
        <f t="shared" si="534"/>
        <v/>
      </c>
      <c r="PH131" s="43" t="str">
        <f t="shared" si="535"/>
        <v/>
      </c>
      <c r="PI131" s="43">
        <f t="shared" si="536"/>
        <v>34</v>
      </c>
      <c r="PJ131" s="43" t="str">
        <f t="shared" si="537"/>
        <v/>
      </c>
      <c r="PK131" s="43" t="str">
        <f t="shared" si="538"/>
        <v/>
      </c>
      <c r="PL131" s="43" t="str">
        <f t="shared" si="539"/>
        <v/>
      </c>
      <c r="PM131" s="43" t="str">
        <f t="shared" si="540"/>
        <v/>
      </c>
      <c r="PN131" s="43" t="str">
        <f t="shared" si="541"/>
        <v/>
      </c>
      <c r="PO131" s="43" t="str">
        <f t="shared" si="542"/>
        <v/>
      </c>
      <c r="PP131" s="43" t="str">
        <f t="shared" si="543"/>
        <v/>
      </c>
      <c r="PQ131" s="43" t="str">
        <f t="shared" si="544"/>
        <v/>
      </c>
      <c r="PR131" s="43" t="str">
        <f t="shared" si="545"/>
        <v/>
      </c>
      <c r="PS131" s="43" t="str">
        <f t="shared" si="546"/>
        <v/>
      </c>
      <c r="PT131" s="43" t="str">
        <f t="shared" si="547"/>
        <v/>
      </c>
      <c r="PU131" s="43" t="str">
        <f t="shared" si="548"/>
        <v/>
      </c>
      <c r="PV131" s="43" t="str">
        <f t="shared" si="549"/>
        <v/>
      </c>
      <c r="PW131" s="43" t="str">
        <f t="shared" si="550"/>
        <v/>
      </c>
      <c r="PX131" s="43" t="str">
        <f t="shared" si="551"/>
        <v/>
      </c>
      <c r="PY131" s="43" t="str">
        <f t="shared" si="552"/>
        <v/>
      </c>
      <c r="PZ131" s="43" t="str">
        <f t="shared" si="553"/>
        <v/>
      </c>
      <c r="QA131" s="43" t="str">
        <f t="shared" si="554"/>
        <v/>
      </c>
      <c r="QB131" s="43" t="str">
        <f t="shared" si="555"/>
        <v/>
      </c>
      <c r="QC131" s="43" t="str">
        <f t="shared" si="556"/>
        <v/>
      </c>
      <c r="QD131" s="43" t="str">
        <f t="shared" si="557"/>
        <v/>
      </c>
      <c r="QE131" s="43" t="str">
        <f t="shared" si="558"/>
        <v/>
      </c>
      <c r="QF131" s="43" t="str">
        <f t="shared" si="559"/>
        <v/>
      </c>
      <c r="QG131" s="43" t="str">
        <f t="shared" si="560"/>
        <v/>
      </c>
      <c r="QH131" s="43" t="str">
        <f t="shared" si="561"/>
        <v/>
      </c>
      <c r="QI131" s="43" t="str">
        <f t="shared" si="562"/>
        <v/>
      </c>
      <c r="QJ131" s="43" t="str">
        <f t="shared" si="563"/>
        <v/>
      </c>
      <c r="QK131" s="43" t="str">
        <f t="shared" si="564"/>
        <v/>
      </c>
      <c r="QL131" s="43" t="str">
        <f t="shared" si="565"/>
        <v/>
      </c>
      <c r="QM131" s="43" t="str">
        <f t="shared" si="566"/>
        <v/>
      </c>
      <c r="QN131" s="43" t="str">
        <f t="shared" si="567"/>
        <v/>
      </c>
      <c r="QO131" s="43" t="str">
        <f t="shared" si="568"/>
        <v/>
      </c>
      <c r="QP131" s="43" t="str">
        <f t="shared" si="569"/>
        <v/>
      </c>
      <c r="QQ131" s="43" t="str">
        <f t="shared" si="570"/>
        <v/>
      </c>
      <c r="QR131" s="43">
        <f t="shared" ref="QR131:QR191" si="670">IF(DZ131="","",IF(DZ131&lt;13,"Menor",IF(DZ131&gt;40,"Mayor",DZ131)))</f>
        <v>34</v>
      </c>
      <c r="QS131" s="43"/>
      <c r="QT131" s="21" t="str">
        <f t="shared" si="571"/>
        <v/>
      </c>
      <c r="QU131" s="21" t="str">
        <f t="shared" si="572"/>
        <v/>
      </c>
      <c r="QV131" s="21" t="str">
        <f t="shared" si="573"/>
        <v/>
      </c>
      <c r="QW131" s="21" t="str">
        <f t="shared" si="574"/>
        <v/>
      </c>
      <c r="QX131" s="21" t="str">
        <f t="shared" si="575"/>
        <v/>
      </c>
      <c r="QY131" s="21" t="str">
        <f t="shared" si="576"/>
        <v/>
      </c>
      <c r="QZ131" s="21" t="str">
        <f t="shared" si="577"/>
        <v/>
      </c>
      <c r="RA131" s="21" t="str">
        <f t="shared" si="578"/>
        <v/>
      </c>
      <c r="RB131" s="21" t="str">
        <f t="shared" si="579"/>
        <v/>
      </c>
      <c r="RC131" s="21" t="str">
        <f t="shared" si="580"/>
        <v/>
      </c>
      <c r="RD131" s="21" t="str">
        <f t="shared" si="581"/>
        <v/>
      </c>
      <c r="RE131" s="21" t="str">
        <f t="shared" si="582"/>
        <v/>
      </c>
      <c r="RF131" s="21" t="str">
        <f t="shared" si="583"/>
        <v/>
      </c>
      <c r="RG131" s="21" t="str">
        <f t="shared" si="584"/>
        <v/>
      </c>
      <c r="RH131" s="21" t="str">
        <f t="shared" si="585"/>
        <v/>
      </c>
      <c r="RI131" s="21" t="str">
        <f t="shared" si="586"/>
        <v/>
      </c>
      <c r="RJ131" s="21" t="str">
        <f t="shared" si="587"/>
        <v/>
      </c>
      <c r="RK131" s="21" t="str">
        <f t="shared" si="588"/>
        <v/>
      </c>
      <c r="RL131" s="21" t="str">
        <f t="shared" si="589"/>
        <v/>
      </c>
      <c r="RM131" s="21" t="str">
        <f t="shared" si="590"/>
        <v/>
      </c>
      <c r="RN131" s="21" t="str">
        <f t="shared" si="591"/>
        <v/>
      </c>
      <c r="RO131" s="21" t="str">
        <f t="shared" si="592"/>
        <v/>
      </c>
      <c r="RP131" s="21" t="str">
        <f t="shared" si="593"/>
        <v/>
      </c>
      <c r="RQ131" s="21" t="str">
        <f t="shared" si="594"/>
        <v/>
      </c>
      <c r="RR131" s="21" t="str">
        <f t="shared" si="595"/>
        <v/>
      </c>
      <c r="RS131" s="21" t="str">
        <f t="shared" si="596"/>
        <v/>
      </c>
      <c r="RT131" s="21" t="str">
        <f t="shared" si="597"/>
        <v/>
      </c>
      <c r="RU131" s="21" t="str">
        <f t="shared" si="598"/>
        <v/>
      </c>
      <c r="RV131" s="21">
        <f t="shared" si="599"/>
        <v>34.542857142857557</v>
      </c>
      <c r="RW131" s="284">
        <f>IF(OR(Tabla1[[#This Row],[FUM FORMULA CONFIABLE]]="",Tabla1[[#This Row],[FUM FORMULA CONFIABLE]]="SD"),"",IF(Tabla1[[#This Row],[FUM FORMULA CONFIABLE]]="CORREGIDA",Tabla1[[#This Row],[FUM X ECO 1]],Tabla1[[#This Row],[FUM x AMENORREA]]))</f>
        <v>44761.2</v>
      </c>
      <c r="RX131" s="21">
        <f>IF(AND(Tabla1[[#This Row],[FUM X ECO 1]]="",Tabla1[[#This Row],[FUM x AMENORREA]]=""),"",IF(AND(Tabla1[[#This Row],[FUM X ECO 1]]="",Tabla1[[#This Row],[FUM x AMENORREA]]&lt;&gt;""),"X",SUM(Tabla1[[#This Row],[FUM X ECO 1]]-Tabla1[[#This Row],[FUM x AMENORREA]])))</f>
        <v>43.19999999999709</v>
      </c>
      <c r="RY131" s="21">
        <f t="shared" ref="RY131:RY191" si="671">IF(RX131="","",IF(RX131="x","x",IF(OR(RX131&gt;6,RX131&lt;-7),1,0)))</f>
        <v>1</v>
      </c>
    </row>
    <row r="132" spans="1:493" ht="45" customHeight="1" x14ac:dyDescent="0.25">
      <c r="A132" s="109"/>
      <c r="B132" s="43"/>
      <c r="C132" s="43" t="s">
        <v>845</v>
      </c>
      <c r="D132" s="124"/>
      <c r="E132" s="43" t="s">
        <v>873</v>
      </c>
      <c r="F132" s="43" t="s">
        <v>1391</v>
      </c>
      <c r="G132" s="43" t="s">
        <v>985</v>
      </c>
      <c r="H132" s="43" t="s">
        <v>1392</v>
      </c>
      <c r="I132" s="109" t="s">
        <v>851</v>
      </c>
      <c r="J132" s="110">
        <v>25547491</v>
      </c>
      <c r="K132" s="43" t="s">
        <v>852</v>
      </c>
      <c r="L132" s="175" t="s">
        <v>853</v>
      </c>
      <c r="M132" s="22">
        <v>30843</v>
      </c>
      <c r="N132" s="213">
        <f t="shared" ca="1" si="600"/>
        <v>39.424657534246577</v>
      </c>
      <c r="O132" s="22">
        <v>45008</v>
      </c>
      <c r="P132" s="214" t="str">
        <f t="shared" si="437"/>
        <v>SI</v>
      </c>
      <c r="Q132" s="26" t="s">
        <v>855</v>
      </c>
      <c r="R132" s="22">
        <v>45008</v>
      </c>
      <c r="S132" s="21" t="s">
        <v>856</v>
      </c>
      <c r="T132" s="24" t="s">
        <v>690</v>
      </c>
      <c r="U132" s="21" t="s">
        <v>857</v>
      </c>
      <c r="V132" s="21" t="s">
        <v>858</v>
      </c>
      <c r="W132" s="21" t="s">
        <v>887</v>
      </c>
      <c r="X132" s="21" t="s">
        <v>887</v>
      </c>
      <c r="Y132" s="21"/>
      <c r="Z132" s="21">
        <v>3012966756</v>
      </c>
      <c r="AA132" s="21" t="s">
        <v>860</v>
      </c>
      <c r="AB132" s="27" t="s">
        <v>861</v>
      </c>
      <c r="AC132" s="26" t="s">
        <v>862</v>
      </c>
      <c r="AD132" s="38" t="s">
        <v>1546</v>
      </c>
      <c r="AE132" s="26" t="s">
        <v>854</v>
      </c>
      <c r="AF132" s="26" t="s">
        <v>854</v>
      </c>
      <c r="AG132" s="23" t="s">
        <v>864</v>
      </c>
      <c r="AH132" s="23" t="s">
        <v>864</v>
      </c>
      <c r="AI132" s="24" t="s">
        <v>863</v>
      </c>
      <c r="AJ132" s="23" t="s">
        <v>864</v>
      </c>
      <c r="AK132" s="220" t="str">
        <f>IF(AND(AD132="",AE132="",AF132="",AG132="",AH132="",AI132="",AJ132=""),"",IF(OR(Tabla1[[#This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EVALUACIÓN",IF(AND(O132="",R132=""),"",IF(AND(OR(O132&gt;0,R132&gt;0),NG132&gt;=0,NG132&lt;2),"SIN RIESGO",IF(AND(OR(O132&gt;0,R132&gt;0),NG132&gt;=2),"CON RIESGO","ASD")))))</f>
        <v>SIN RIESGO</v>
      </c>
      <c r="AL132" s="23" t="s">
        <v>864</v>
      </c>
      <c r="AM132" s="26" t="s">
        <v>864</v>
      </c>
      <c r="AN132" s="26" t="s">
        <v>864</v>
      </c>
      <c r="AO132" s="26" t="s">
        <v>864</v>
      </c>
      <c r="AP132" s="26" t="s">
        <v>864</v>
      </c>
      <c r="AQ132" s="26" t="s">
        <v>864</v>
      </c>
      <c r="AR132" s="26" t="s">
        <v>864</v>
      </c>
      <c r="AS132" s="21">
        <v>2</v>
      </c>
      <c r="AT132" s="21">
        <v>2</v>
      </c>
      <c r="AU132" s="21">
        <v>0</v>
      </c>
      <c r="AV132" s="26" t="s">
        <v>864</v>
      </c>
      <c r="AW132" s="21">
        <v>0</v>
      </c>
      <c r="AX132" s="26" t="s">
        <v>864</v>
      </c>
      <c r="AY132" s="26" t="s">
        <v>864</v>
      </c>
      <c r="AZ132" s="26" t="s">
        <v>864</v>
      </c>
      <c r="BA132" s="26" t="s">
        <v>864</v>
      </c>
      <c r="BB132" s="26" t="s">
        <v>864</v>
      </c>
      <c r="BC132" s="26" t="s">
        <v>864</v>
      </c>
      <c r="BD132" s="26" t="s">
        <v>864</v>
      </c>
      <c r="BE132" s="26" t="s">
        <v>864</v>
      </c>
      <c r="BF132" s="26" t="s">
        <v>864</v>
      </c>
      <c r="BG132" s="26" t="s">
        <v>864</v>
      </c>
      <c r="BH132" s="26" t="s">
        <v>864</v>
      </c>
      <c r="BI132" s="26" t="s">
        <v>864</v>
      </c>
      <c r="BJ132" s="26" t="s">
        <v>864</v>
      </c>
      <c r="BK132" s="26" t="s">
        <v>865</v>
      </c>
      <c r="BL132" s="26" t="s">
        <v>864</v>
      </c>
      <c r="BM132" s="26" t="s">
        <v>864</v>
      </c>
      <c r="BN132" s="22">
        <v>41885</v>
      </c>
      <c r="BO132" s="22">
        <v>44969</v>
      </c>
      <c r="BP132" s="21" t="s">
        <v>854</v>
      </c>
      <c r="BQ132" s="222">
        <f t="shared" si="601"/>
        <v>102.8</v>
      </c>
      <c r="BR132" s="223">
        <f t="shared" si="602"/>
        <v>44970.5</v>
      </c>
      <c r="BS132" s="224">
        <f t="shared" si="603"/>
        <v>5.5714285714285712</v>
      </c>
      <c r="BT132" s="216" t="str">
        <f t="shared" si="604"/>
        <v>I TRIM</v>
      </c>
      <c r="BU132" s="214">
        <f t="shared" ca="1" si="605"/>
        <v>37.714285714285715</v>
      </c>
      <c r="BV132" s="25" t="s">
        <v>1478</v>
      </c>
      <c r="BW132" s="22">
        <v>45016</v>
      </c>
      <c r="BX132" s="28">
        <v>6.5</v>
      </c>
      <c r="BY132" s="28"/>
      <c r="BZ132" s="22"/>
      <c r="CA132" s="21"/>
      <c r="CB132" s="26" t="s">
        <v>864</v>
      </c>
      <c r="CC132" s="26" t="s">
        <v>864</v>
      </c>
      <c r="CD132" s="26"/>
      <c r="CE132" s="26" t="s">
        <v>864</v>
      </c>
      <c r="CF132" s="22" t="s">
        <v>1517</v>
      </c>
      <c r="CG132" s="21">
        <v>1.55</v>
      </c>
      <c r="CH132" s="21">
        <v>68</v>
      </c>
      <c r="CI132" s="214">
        <f t="shared" si="606"/>
        <v>28.303850156087407</v>
      </c>
      <c r="CJ132" s="225" t="str">
        <f>IF(AND(CI132&lt;10,CH132="SD"),"SIN DATO PESO PREGESTACION O I TRIM",IF(AND(OR(R132&gt;0,O132&gt;0),CI132="X"),"INGRESAR DATO DE PESO",IF(CI132="SD","INGRESAR DATO DE TALLA Y PESO",IF(AND(OR(Tabla1[[#This Row],[MOMENTO EN QUE SE REALIZA EL PESO AL INGRESO A CPN]]="PREGESTACIÓN",NZ132="Menor"),CI132&lt;18.5),"BAJO PESO",IF(AND(OR(Tabla1[[#This Row],[MOMENTO EN QUE SE REALIZA EL PESO AL INGRESO A CPN]]="PREGESTACIÓN",NZ132="Menor"),CI132&lt;25),"NORMAL",IF(AND(OR(Tabla1[[#This Row],[MOMENTO EN QUE SE REALIZA EL PESO AL INGRESO A CPN]]="PREGESTACIÓN",NZ132="Menor"),CI132&lt;30),"SOBREPESO",IF(AND(OR(Tabla1[[#This Row],[MOMENTO EN QUE SE REALIZA EL PESO AL INGRESO A CPN]]="PREGESTACIÓN",NZ132="Menor"),CI132&gt;=30,CI132&lt;50),"OBESIDAD",IF(AND(BS132&gt;0,Tabla1[[#This Row],[MOMENTO EN QUE SE REALIZA EL PESO AL INGRESO A CPN]]="GESTACIÓN"),HLOOKUP(NZ132,$OA$2:PH132,NY132),""))))))))</f>
        <v>SOBREPESO</v>
      </c>
      <c r="CK132" s="212">
        <f t="shared" si="607"/>
        <v>45154</v>
      </c>
      <c r="CL132" s="21">
        <v>71.3</v>
      </c>
      <c r="CM132" s="214">
        <f t="shared" si="608"/>
        <v>29.677419354838705</v>
      </c>
      <c r="CN132" s="216">
        <f t="shared" si="609"/>
        <v>26</v>
      </c>
      <c r="CO132" s="216" t="e">
        <f>IF(PI132="","",IF(PI132&gt;0,HLOOKUP(PI132,$PJ$2:QQ132,NY132),""))</f>
        <v>#REF!</v>
      </c>
      <c r="CP132" s="21">
        <v>26</v>
      </c>
      <c r="CQ132" s="216" t="e">
        <f>IF(QR132="Menor","NO APLICA-MENOR 13 SEM",IF(AND(CC132="SI",CN132&gt;23),"NO APLICA- GEMELAR",IF(QR132="","",IF(QR132&gt;0,HLOOKUP(QR132,$QS$2:RU132,NY132),""))))</f>
        <v>#REF!</v>
      </c>
      <c r="CR132" s="21">
        <v>100</v>
      </c>
      <c r="CS132" s="21">
        <v>80</v>
      </c>
      <c r="CT132" s="217" t="str">
        <f>IF(R132="","",IF(AND(BS132&gt;1,BS132&lt;12,Tabla1[[#This Row],[T.A. SISTOLICA - ANTES DE SEMANA 12]]="",Tabla1[[#This Row],[T.A. DIASTOLICA - ANTES DE SEMANA 12]]=""),"REGISTRE DATO TA ANTES SEMANA 12",IF(AND(BS132&gt;11,BS132&lt;43,Tabla1[[#This Row],[T.A. SISTOLICA - ANTES DE SEMANA 12]]="",Tabla1[[#This Row],[T.A. DIASTOLICA - ANTES DE SEMANA 12]]=""),"NO APLICA REGISTRO TA-INGRESO TARDIO",IF(AND(OR(O132&gt;0,R132&gt;0),OR(CR132&gt;=140,CS132&gt;=90)),"DEFINIR ESTADIO HTA",IF(AND(OR(O132&gt;0,R132&gt;0),AND(CR132&gt;120,CR132&lt;=139)),"PRE HTA SEGUIMIENTO",IF(AND(OR(O132&gt;0,R132&gt;0),AND(CS132&gt;80,CS132&lt;=89)),"PRE HTA SEGUIMIENTO",IF(AND(OR(O132&gt;0,R132&gt;0),AND(CR132&gt;=80,CR132&lt;=120)),"APARENTEMENTE NORMAL",IF(AND(OR(O132&gt;0,R132&gt;0),AND(CS132&gt;=50,CS132&lt;=80)),"APARENTEMENTE NORMAL",IF(AND(OR(O132&gt;0,R132&gt;0),AND(CR132&gt;1,CR132&lt;=70),AND(CS132&gt;1,CS132&lt;=40)),"HIPOTENSIÓN","")))))))))</f>
        <v>APARENTEMENTE NORMAL</v>
      </c>
      <c r="CU132" s="21"/>
      <c r="CV132" s="21"/>
      <c r="CW132" s="217" t="str">
        <f>IF(R132="","",IF(AND(CN132&gt;19,CN132&lt;27,Tabla1[[#This Row],[T.A. SISTOLICA (Entre semana 20 y 26)]]="",Tabla1[[#This Row],[T.A. DIATOLICA (Entre semana 20 y 26)]]=""),"ACUDE A CONTROL SEM 20 A 26 REGISTRE TA AHORA",IF(AND(BS132&gt;1,BS132&lt;27,BU132&gt;19,Tabla1[[#This Row],[T.A. SISTOLICA (Entre semana 20 y 26)]]="",Tabla1[[#This Row],[T.A. DIATOLICA (Entre semana 20 y 26)]]=""),"COMPLETE REGISTRO TA CONTROL SEM 20 A26 ",IF(AND(BS132&gt;26,BS132&lt;43,Tabla1[[#This Row],[T.A. SISTOLICA (Entre semana 20 y 26)]]="",Tabla1[[#This Row],[T.A. DIATOLICA (Entre semana 20 y 26)]]=""),"NO APLICA REGISTRO TA-INGRESO TARDIO",IF(AND(OR(O132&gt;0,R132&gt;0),OR(CU132&gt;=140,CV132&gt;=90)),"ALTO RIESGO PREECLAMPSIA,DEFINIR ESTADIO HTA",IF(AND(OR(O132&gt;0,R132&gt;0),AND(CU132&gt;120,CU132&lt;=139)),"PRE HTA SEGUIMIENTO,RIESGO HIPERTENSION INDUCIDA POR EL EMBARAZO",IF(AND(OR(O132&gt;0,R132&gt;0),AND(CV132&gt;80,CV132&lt;=89)),"PRE HTA SEGUIMIENTO, RIESGO HIPERTENSION INDUCIDA POR EL EMBARAZO",IF(AND(OR(O132&lt;&gt;"",R132&lt;&gt;""),CS132&lt;&gt;"",CV132&lt;&gt;"",CS132&lt;=CV132),"VIGILAR CIFRAS PRESION ARTERIAL",IF(AND(OR(O132&gt;0,R132&gt;0),AND(CU132&gt;120,CU132&lt;=139)),"PRE HTA SEGUIMIENTO",IF(AND(OR(O132&gt;0,R132&gt;0),AND(CU132&gt;1,CU132&lt;=70),AND(CV132&gt;1,CV132&lt;=40)),"HIPOTENSIÓN",IF(AND(OR(O132&lt;&gt;"",R132&lt;&gt;""),CS132&lt;&gt;"",CV132&lt;&gt;"",CS132&gt;CV132),"APARENTEMENTE NORMAL",IF(AND(OR(O132&gt;0,R132&gt;0),AND(CU132&gt;=80,CU132&lt;=120)),"APARENTEMENTE NORMAL",IF(AND(OR(O132&gt;0,R132&gt;0),AND(CV132&gt;=50,CV132&lt;=80)),"APARENTEMENTE NORMAL","")))))))))))))</f>
        <v>ACUDE A CONTROL SEM 20 A 26 REGISTRE TA AHORA</v>
      </c>
      <c r="CX132" s="21"/>
      <c r="CY132" s="21"/>
      <c r="CZ132" s="216" t="str">
        <f t="shared" si="498"/>
        <v/>
      </c>
      <c r="DA132" s="21">
        <v>90</v>
      </c>
      <c r="DB132" s="21">
        <v>60</v>
      </c>
      <c r="DC132" s="217" t="str">
        <f t="shared" si="610"/>
        <v>APARENTEMENTE NORMAL</v>
      </c>
      <c r="DD132" s="22">
        <v>45008</v>
      </c>
      <c r="DE132" s="22">
        <v>45008</v>
      </c>
      <c r="DF132" s="22">
        <v>45038</v>
      </c>
      <c r="DG132" s="22">
        <v>45073</v>
      </c>
      <c r="DH132" s="22">
        <v>45154</v>
      </c>
      <c r="DI132" s="22"/>
      <c r="DJ132" s="22"/>
      <c r="DK132" s="22"/>
      <c r="DL132" s="22"/>
      <c r="DM132" s="22"/>
      <c r="DN132" s="22"/>
      <c r="DO132" s="22"/>
      <c r="DP132" s="22"/>
      <c r="DQ132" s="22"/>
      <c r="DR132" s="28">
        <v>1</v>
      </c>
      <c r="DS132" s="22"/>
      <c r="DT132" s="22"/>
      <c r="DU132" s="216" t="str">
        <f t="shared" ca="1" si="438"/>
        <v>CONCERTAR PLAN DE PARTO INMEDIATO</v>
      </c>
      <c r="DV132" s="226" t="str">
        <f t="shared" si="439"/>
        <v>ACTIVA INGRESO A CPN</v>
      </c>
      <c r="DW1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2" s="216" t="e">
        <f t="shared" ca="1" si="611"/>
        <v>#REF!</v>
      </c>
      <c r="DY132" s="212">
        <f>IF(R132="","",IF(R132&gt;0,MAX(Tabla1[[#This Row],[FECHA C2]:[FECHA C13]],Tabla1[[#This Row],[FECHA CONSULTA PRIMERA VEZ PROGRAMA CPN ]])))</f>
        <v>45154</v>
      </c>
      <c r="DZ132" s="216">
        <f t="shared" si="612"/>
        <v>26</v>
      </c>
      <c r="EA132" s="222">
        <f>IF(R132&gt;0,SUM(COUNTA(DF132:DQ132)+COUNTA(Tabla1[[#This Row],[FECHA CONSULTA PRIMERA VEZ PROGRAMA CPN ]])),"")</f>
        <v>4</v>
      </c>
      <c r="EB132" s="222" t="str">
        <f t="shared" si="613"/>
        <v>SI</v>
      </c>
      <c r="EC132" s="214">
        <f t="shared" si="614"/>
        <v>10</v>
      </c>
      <c r="ED132" s="227">
        <f t="shared" si="615"/>
        <v>0.4</v>
      </c>
      <c r="EE132" s="22">
        <v>45008</v>
      </c>
      <c r="EF132" s="22">
        <v>45008</v>
      </c>
      <c r="EG132" s="22">
        <v>45008</v>
      </c>
      <c r="EH132" s="22" t="s">
        <v>1675</v>
      </c>
      <c r="EI132" s="22">
        <v>45008</v>
      </c>
      <c r="EJ132" s="22">
        <v>45077</v>
      </c>
      <c r="EK132" s="22"/>
      <c r="EL132" s="21"/>
      <c r="EM132" s="21">
        <v>13.3</v>
      </c>
      <c r="EN132" s="22">
        <v>45008</v>
      </c>
      <c r="EO132" s="222">
        <f t="shared" si="616"/>
        <v>5.5714285714285712</v>
      </c>
      <c r="EP132" s="214" t="str">
        <f t="shared" si="617"/>
        <v>NORMAL- SUMINISTRAR SULFATO FERROSO</v>
      </c>
      <c r="EQ132" s="216" t="str">
        <f t="shared" si="618"/>
        <v>I TRIM</v>
      </c>
      <c r="ER132" s="24"/>
      <c r="ES132" s="22"/>
      <c r="ET132" s="29" t="str">
        <f t="shared" ca="1" si="440"/>
        <v>TOMA DE HEMOGLOBINA TARDÍA</v>
      </c>
      <c r="EU132" s="25" t="str">
        <f t="shared" si="619"/>
        <v/>
      </c>
      <c r="EV132" s="24" t="s">
        <v>1510</v>
      </c>
      <c r="EW132" s="24">
        <v>45008</v>
      </c>
      <c r="EX132" s="22"/>
      <c r="EY132" s="29">
        <f t="shared" si="453"/>
        <v>5.5714285714285712</v>
      </c>
      <c r="EZ132" s="25" t="str">
        <f t="shared" si="454"/>
        <v>SIN RIESGO DE ISOINMUNIZACIÓN</v>
      </c>
      <c r="FA132" s="21">
        <v>82</v>
      </c>
      <c r="FB132" s="22">
        <v>45008</v>
      </c>
      <c r="FC132" s="29">
        <f t="shared" si="620"/>
        <v>5.5714285714285712</v>
      </c>
      <c r="FD132" s="29"/>
      <c r="FE132" s="29"/>
      <c r="FF132" s="29"/>
      <c r="FG132" s="21" t="str">
        <f t="shared" ca="1" si="621"/>
        <v>TOMAR PTOG</v>
      </c>
      <c r="FH132" s="31"/>
      <c r="FI132" s="29" t="str">
        <f t="shared" si="622"/>
        <v>TOMAR EXAMEN</v>
      </c>
      <c r="FJ132" s="22" t="s">
        <v>867</v>
      </c>
      <c r="FK132" s="22">
        <v>45008</v>
      </c>
      <c r="FL132" s="29">
        <f t="shared" ca="1" si="623"/>
        <v>5.5714285714285712</v>
      </c>
      <c r="FM132" s="22"/>
      <c r="FN132" s="32"/>
      <c r="FO132" s="29" t="str">
        <f t="shared" ca="1" si="441"/>
        <v>PIERDE TOMA DE TAMIZAJE</v>
      </c>
      <c r="FP132" s="22"/>
      <c r="FQ132" s="32"/>
      <c r="FR132" s="29" t="str">
        <f t="shared" ca="1" si="442"/>
        <v>TOMA INMEDIATA DE TAMIZAJE</v>
      </c>
      <c r="FS132" s="22"/>
      <c r="FT132" s="32"/>
      <c r="FU132" s="29" t="str">
        <f>IF(AND(FJ132="",FM132="",FP132="",FS132=""),"",IF(OR(OR(Tabla1[[#This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2" s="28"/>
      <c r="FW132" s="22"/>
      <c r="FX132" s="29" t="str">
        <f t="shared" si="624"/>
        <v>TOMAR EXAMEN</v>
      </c>
      <c r="FY132" s="22"/>
      <c r="FZ132" s="22"/>
      <c r="GA132" s="29" t="str">
        <f t="shared" ca="1" si="497"/>
        <v>PIERDE TOMA DE TAMIZAJE</v>
      </c>
      <c r="GB132" s="22"/>
      <c r="GC132" s="22"/>
      <c r="GD132" s="29" t="str">
        <f t="shared" ca="1" si="490"/>
        <v>PIERDE TOMA DE TAMIZAJE</v>
      </c>
      <c r="GE132" s="22"/>
      <c r="GF132" s="22"/>
      <c r="GG132" s="29" t="str">
        <f t="shared" ca="1" si="444"/>
        <v>TOMA INMEDIATA DE TAMIZAJE</v>
      </c>
      <c r="GH132" s="22"/>
      <c r="GI132" s="29"/>
      <c r="GJ132" s="22"/>
      <c r="GK132" s="22"/>
      <c r="GL132" s="22"/>
      <c r="GM132" s="22"/>
      <c r="GN132" s="28" t="s">
        <v>869</v>
      </c>
      <c r="GO132" s="22">
        <v>45008</v>
      </c>
      <c r="GP132" s="29">
        <f t="shared" si="625"/>
        <v>5.5714285714285712</v>
      </c>
      <c r="GQ132" s="28" t="s">
        <v>869</v>
      </c>
      <c r="GR132" s="28" t="s">
        <v>869</v>
      </c>
      <c r="GS132" s="22" t="str">
        <f t="shared" si="626"/>
        <v>CONTROL Igm</v>
      </c>
      <c r="GT132" s="22">
        <v>45008</v>
      </c>
      <c r="GU132" s="29">
        <f t="shared" si="627"/>
        <v>5.5714285714285712</v>
      </c>
      <c r="GV132" s="21" t="str">
        <f t="shared" si="628"/>
        <v>I TRIM</v>
      </c>
      <c r="GW132" s="28" t="s">
        <v>869</v>
      </c>
      <c r="GX132" s="30"/>
      <c r="GY132" s="21"/>
      <c r="GZ132" s="21"/>
      <c r="HA132" s="21"/>
      <c r="HB132" s="21"/>
      <c r="HC132" s="21"/>
      <c r="HD132" s="21"/>
      <c r="HE132" s="21"/>
      <c r="HF132" s="22"/>
      <c r="HG132" s="22" t="str">
        <f>IF(OR(O132&gt;0,R132&gt;0),CONCATENATE(IF(Tabla1[[#This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2" s="22" t="e">
        <f t="shared" si="629"/>
        <v>#REF!</v>
      </c>
      <c r="HI132" s="22" t="e">
        <f t="shared" ca="1" si="630"/>
        <v>#REF!</v>
      </c>
      <c r="HJ132" s="21"/>
      <c r="HK132" s="21" t="str">
        <f t="shared" si="631"/>
        <v>SIN ANTECEDENTES DE RIESGO</v>
      </c>
      <c r="HL132" s="24" t="str">
        <f t="shared" si="632"/>
        <v>APARENTEMENTE NORMAL</v>
      </c>
      <c r="HM132" s="21" t="e">
        <f t="shared" ca="1" si="633"/>
        <v>#REF!</v>
      </c>
      <c r="HN132" s="30" t="str">
        <f t="shared" si="445"/>
        <v>ACTIVA INGRESO A CPN</v>
      </c>
      <c r="HO132" s="21"/>
      <c r="HP132" s="21"/>
      <c r="HQ132" s="349"/>
      <c r="HR132" s="21" t="str">
        <f>IF(R132="","",IF(Tabla1[[#This Row],[ALARMA FACTORES DE RIESGO COMPLICACIONES HIPERTENSIVAS3]]="SIN ANTECEDENTES DE RIESGO","No Aplica para suministro de ASA",IF(AND(Tabla1[[#This Row],[FECHA INICIO DE SUMINISTRO DE ASA]]&gt;0,RV132&lt;12),"Inicia ASA ANTES de Sem 12",IF(AND(RV132&gt;11,RV132&lt;17,OR(HK132="RIESGO ALTO DE COMPLICACIONES HIPERTENSIVAS VER MANEJO GUIA SUMINISTRO ASA Y CALCIO",HK132="RIESGO MODERADO (2 O MAS CRITERIOS) VER MANEJO GUIA SUMINISTRO ASA Y CALCIO")),"Inicio oportuno de ASA",IF(AND(RV132&gt;12,OR(HK132="RIESGO ALTO DE COMPLICACIONES HIPERTENSIVAS VER MANEJO GUIA SUMINISTRO ASA Y CALCIO",HK132="RIESGO MODERADO (2 O MAS CRITERIOS) VER MANEJO GUIA SUMINISTRO ASA Y CALCIO")),"Inicio no oportuno mayor a 16 semanas",IF(AND(BU132&lt;12,OR(HK132="RIESGO ALTO DE COMPLICACIONES HIPERTENSIVAS VER MANEJO GUIA SUMINISTRO ASA Y CALCIO",HK132="RIESGO MODERADO (2 O MAS CRITERIOS) VER MANEJO GUIA SUMINISTRO ASA Y CALCIO")),"Pendiente Inicio de ASA a la semana 12",IF(AND(BU132&gt;11,BU132&lt;17,OR(HK132="RIESGO ALTO DE COMPLICACIONES HIPERTENSIVAS VER MANEJO GUIA SUMINISTRO ASA Y CALCIO",HK132="RIESGO MODERADO (2 O MAS CRITERIOS) VER MANEJO GUIA SUMINISTRO ASA Y CALCIO")),"Iniciar de inmediato ASA",IF(AND(BU132&gt;16,OR(HK132="RIESGO ALTO DE COMPLICACIONES HIPERTENSIVAS VER MANEJO GUIA SUMINISTRO ASA Y CALCIO",HK132="RIESGO MODERADO (2 O MAS CRITERIOS) VER MANEJO GUIA SUMINISTRO ASA Y CALCIO")),"Pierde Oportunidad, Inicio tardío de ASA","XXXXX"))))))))</f>
        <v>No Aplica para suministro de ASA</v>
      </c>
      <c r="HS132" s="22"/>
      <c r="HT132" s="22"/>
      <c r="HU132" s="22">
        <v>45008</v>
      </c>
      <c r="HV132" s="22" t="s">
        <v>870</v>
      </c>
      <c r="HW132" s="22">
        <v>45008</v>
      </c>
      <c r="HX132" s="22" t="s">
        <v>870</v>
      </c>
      <c r="HY132" s="22">
        <v>45008</v>
      </c>
      <c r="HZ132" s="28">
        <f t="shared" si="634"/>
        <v>5.5714285714285712</v>
      </c>
      <c r="IA132" s="26" t="s">
        <v>864</v>
      </c>
      <c r="IB132" s="26"/>
      <c r="IC132" s="111"/>
      <c r="ID132" s="22"/>
      <c r="IE132" s="22" t="str">
        <f t="shared" ca="1" si="635"/>
        <v>INASISTENTE</v>
      </c>
      <c r="IF132" s="22"/>
      <c r="IG132" s="22">
        <f t="shared" si="636"/>
        <v>45249</v>
      </c>
      <c r="IH132" s="29">
        <f t="shared" ca="1" si="637"/>
        <v>16</v>
      </c>
      <c r="II132" s="22" t="str">
        <f t="shared" ca="1" si="638"/>
        <v>MENOS DE 4 SEMANAS</v>
      </c>
      <c r="IJ132" s="22"/>
      <c r="IK132" s="21"/>
      <c r="IL132" s="21"/>
      <c r="IM132" s="34"/>
      <c r="IN132" s="22"/>
      <c r="IO132" s="21"/>
      <c r="IP132" s="29" t="str">
        <f t="shared" si="489"/>
        <v/>
      </c>
      <c r="IQ132" s="35"/>
      <c r="IR132" s="21"/>
      <c r="IS132" s="21"/>
      <c r="IT132" s="21"/>
      <c r="IU132" s="21"/>
      <c r="IV132" s="21"/>
      <c r="IW132" s="21"/>
      <c r="IX132" s="21"/>
      <c r="IY132" s="21"/>
      <c r="IZ132" s="21"/>
      <c r="JA132" s="21"/>
      <c r="JB132" s="30"/>
      <c r="JC132" s="21"/>
      <c r="JD132" s="36"/>
      <c r="JE132" s="21" t="str">
        <f t="shared" si="491"/>
        <v/>
      </c>
      <c r="JF132" s="30"/>
      <c r="JG132" s="21"/>
      <c r="JH132" s="21"/>
      <c r="JI132" s="21"/>
      <c r="JJ132" s="30"/>
      <c r="JK132" s="22"/>
      <c r="JL132" s="22"/>
      <c r="JM132" s="21"/>
      <c r="JN132" s="36"/>
      <c r="JO132" s="21" t="str">
        <f t="shared" si="492"/>
        <v/>
      </c>
      <c r="JP132" s="22"/>
      <c r="JQ132" s="21"/>
      <c r="JR132" s="21"/>
      <c r="JS132" s="21"/>
      <c r="JT132" s="30"/>
      <c r="JU132" s="22"/>
      <c r="JV132" s="22"/>
      <c r="JW132" s="33"/>
      <c r="JX132" s="28" t="str">
        <f t="shared" si="493"/>
        <v/>
      </c>
      <c r="JY132" s="33"/>
      <c r="JZ132" s="28" t="str">
        <f t="shared" si="494"/>
        <v/>
      </c>
      <c r="KA132" s="21"/>
      <c r="KB132" s="21"/>
      <c r="KC132" s="21"/>
      <c r="KD132" s="37"/>
      <c r="KE132" s="28"/>
      <c r="KF132" s="28"/>
      <c r="KG132" s="28"/>
      <c r="KH132" s="39"/>
      <c r="KI132" s="39"/>
      <c r="KJ132" s="66"/>
      <c r="KK132" s="39"/>
      <c r="KL132" s="39"/>
      <c r="KM132" s="66"/>
      <c r="KN132" s="39"/>
      <c r="KO132" s="39"/>
      <c r="KP132" s="39"/>
      <c r="KQ132" s="39"/>
      <c r="KR132" s="39"/>
      <c r="KS132" s="39"/>
      <c r="KT132" s="39"/>
      <c r="KU132" s="38"/>
      <c r="KV132" s="38"/>
      <c r="KW132" s="38"/>
      <c r="KX132" s="38"/>
      <c r="KY132" s="38"/>
      <c r="KZ132" s="38"/>
      <c r="LA132" s="38"/>
      <c r="LB132" s="38"/>
      <c r="LC132" s="38"/>
      <c r="LD132" s="38"/>
      <c r="LE132" s="38"/>
      <c r="LF132" s="38"/>
      <c r="LG132" s="38"/>
      <c r="LH132" s="38"/>
      <c r="LI132" s="38"/>
      <c r="LJ132" s="38"/>
      <c r="LK132" s="38"/>
      <c r="LL132" s="38"/>
      <c r="LM132" s="38"/>
      <c r="LN132" s="38"/>
      <c r="LO132" s="38"/>
      <c r="LP132" s="38"/>
      <c r="LQ132" s="38"/>
      <c r="LR132" s="38"/>
      <c r="LS132" s="38"/>
      <c r="LT132" s="38"/>
      <c r="LU132" s="38"/>
      <c r="LV132" s="38"/>
      <c r="LW132" s="38"/>
      <c r="LX132" s="38"/>
      <c r="LY132" s="38"/>
      <c r="LZ132" s="38"/>
      <c r="MA132" s="38"/>
      <c r="MB132" s="38"/>
      <c r="MC132" s="38"/>
      <c r="MD132" s="38"/>
      <c r="ME132" s="38"/>
      <c r="MF132" s="38"/>
      <c r="MG132" s="38"/>
      <c r="MH132" s="43">
        <f t="shared" si="639"/>
        <v>0</v>
      </c>
      <c r="MI132" s="43" t="str">
        <f t="shared" si="640"/>
        <v/>
      </c>
      <c r="MJ132" s="43" t="str">
        <f t="shared" si="641"/>
        <v/>
      </c>
      <c r="MK132" s="43">
        <f t="shared" si="642"/>
        <v>0</v>
      </c>
      <c r="ML1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2" s="43">
        <f t="shared" si="643"/>
        <v>5.5714285714285712</v>
      </c>
      <c r="MN132" s="43">
        <f t="shared" si="644"/>
        <v>3</v>
      </c>
      <c r="MO132" s="43">
        <f t="shared" si="645"/>
        <v>2023</v>
      </c>
      <c r="MP132" s="43" t="str">
        <f t="shared" si="646"/>
        <v>I TRIMESTRE AÑO</v>
      </c>
      <c r="MQ132" s="43">
        <f t="shared" si="647"/>
        <v>38.225470871660093</v>
      </c>
      <c r="MR132" s="43">
        <f t="shared" si="648"/>
        <v>2</v>
      </c>
      <c r="MS132" s="43" t="str">
        <f t="shared" si="649"/>
        <v xml:space="preserve"> DE 35 A 39 AÑOS</v>
      </c>
      <c r="MT132" s="43">
        <f t="shared" si="650"/>
        <v>0</v>
      </c>
      <c r="MU132" s="43">
        <f t="shared" si="651"/>
        <v>0</v>
      </c>
      <c r="MV132" s="43">
        <f t="shared" si="652"/>
        <v>0</v>
      </c>
      <c r="MW132" s="43">
        <f t="shared" si="653"/>
        <v>0</v>
      </c>
      <c r="MX132" s="43" t="str">
        <f t="shared" si="654"/>
        <v/>
      </c>
      <c r="MY132" s="43" t="str">
        <f t="shared" ca="1" si="495"/>
        <v/>
      </c>
      <c r="MZ132" s="43" t="str">
        <f t="shared" si="655"/>
        <v/>
      </c>
      <c r="NA132" s="43" t="str">
        <f t="shared" si="656"/>
        <v/>
      </c>
      <c r="NB132" s="43" t="str">
        <f t="shared" si="657"/>
        <v/>
      </c>
      <c r="NC132" s="43" t="str">
        <f t="shared" si="658"/>
        <v/>
      </c>
      <c r="ND132" s="43">
        <f t="shared" ca="1" si="659"/>
        <v>2</v>
      </c>
      <c r="NE132" s="43">
        <f>IF(OR(O132&gt;0,R132&gt;0),SUM(COUNTIF(Tabla1[[#This Row],[AÑOS AL INICIO5 CPN]],"&gt;=40"),COUNTIF(AS132,"0"),COUNTIF(AR132,"SI"),COUNTIF(CC132,"SI"),COUNTIF(BQ132,"&gt;119"),COUNTIF(CI132,"&gt;=35")),"")</f>
        <v>0</v>
      </c>
      <c r="NF132" s="43" t="str">
        <f t="shared" si="660"/>
        <v/>
      </c>
      <c r="NG132" s="43">
        <f t="shared" si="661"/>
        <v>0</v>
      </c>
      <c r="NH132" s="43">
        <f t="shared" si="662"/>
        <v>45.5</v>
      </c>
      <c r="NI1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CPN",P132="NO"),"Z",IF(AND(Tabla1[[#This Row],[CITA PROXIMO CONTROL]]="CITA MANUAL",Tabla1[[#This Row],[GESTANTES ACTUALES]]="ACTIVA INGRESO A CPN"),"W",IF(AND(Tabla1[[#This Row],[GESTANTES ACTUALES]]="SALIO PROGRAMA",IN132=""),"S",IF(AND(Tabla1[[#This Row],[CITA PROXIMO CONTROL]]&gt;0,IN132=""),(Tabla1[[#This Row],[CITA PROXIMO CONTROL]]-TODAY()),"SD"))))))))</f>
        <v>#REF!</v>
      </c>
      <c r="NJ132" s="43">
        <f>MONTH(Tabla1[[#This Row],[FECHA DE SALIDA  DEL PROGRAMA]])</f>
        <v>1</v>
      </c>
      <c r="NK132" s="43">
        <f>YEAR(Tabla1[[#This Row],[FECHA DE SALIDA  DEL PROGRAMA]])</f>
        <v>1900</v>
      </c>
      <c r="NL132" s="43">
        <f t="shared" si="663"/>
        <v>69</v>
      </c>
      <c r="NM132" s="43" t="str">
        <f t="shared" si="500"/>
        <v>NO</v>
      </c>
      <c r="NN132" s="43" t="str">
        <f ca="1">IF(AND(O132&gt;0,R132=""),"NO CPN",IF(AND(O132="",R132=""),"",IF(AND(R132&gt;0,Tabla1[[#This Row],[SEMANAS DE GESTACION ACTUALIZADAS]]&lt;=12),"NO APLICA",IF(AND(FH132&lt;&gt;"",FN132&lt;&gt;""),"SI","NO"))))</f>
        <v>NO</v>
      </c>
      <c r="NO132" s="43" t="str">
        <f ca="1">IF(AND(O132&gt;0,R132=""),"NO CPN",IF(AND(O132="",R132=""),"",IF(AND(R132&gt;0,Tabla1[[#This Row],[SEMANAS DE GESTACION ACTUALIZADAS]]&lt;=27),"NO APLICA",IF(AND(ES132&lt;&gt;"",FQ132&lt;&gt;"",GF132&lt;&gt;""),"SI","NO"))))</f>
        <v>NO</v>
      </c>
      <c r="NP132" s="204" t="str">
        <f t="shared" si="664"/>
        <v>I TRIM</v>
      </c>
      <c r="NQ132" s="21" t="str">
        <f t="shared" si="499"/>
        <v/>
      </c>
      <c r="NR132" s="21">
        <f t="shared" ca="1" si="496"/>
        <v>3</v>
      </c>
      <c r="NS132" s="205">
        <f t="shared" ca="1" si="665"/>
        <v>1</v>
      </c>
      <c r="NT132" s="21">
        <f t="shared" ca="1" si="666"/>
        <v>0</v>
      </c>
      <c r="NU132" s="21" t="str">
        <f t="shared" ca="1" si="667"/>
        <v>INCOMPLETO</v>
      </c>
      <c r="NV132" s="21" t="str">
        <f t="shared" ca="1" si="668"/>
        <v>INCOMPLETO</v>
      </c>
      <c r="NW132" s="206" t="str">
        <f>IF(AND(O132="",R132=""),"",IF(OR(AND(Tabla1[[#This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2" s="207" t="str">
        <f t="shared" ca="1" si="669"/>
        <v>SIN VACUNAR</v>
      </c>
      <c r="NY132" s="43">
        <f>ROW(Tabla1[[#This Row],['# DE TAMIZAJES SIFILIS TOMADOS ]])</f>
        <v>132</v>
      </c>
      <c r="NZ132" s="43" t="str">
        <f t="shared" si="501"/>
        <v>Menor</v>
      </c>
      <c r="OA132" s="43" t="str">
        <f t="shared" si="502"/>
        <v>SOBREPESO</v>
      </c>
      <c r="OB132" s="43" t="str">
        <f t="shared" si="503"/>
        <v/>
      </c>
      <c r="OC132" s="43" t="str">
        <f t="shared" si="504"/>
        <v/>
      </c>
      <c r="OD132" s="43" t="str">
        <f t="shared" si="505"/>
        <v/>
      </c>
      <c r="OE132" s="43" t="str">
        <f t="shared" si="506"/>
        <v/>
      </c>
      <c r="OF132" s="43" t="str">
        <f t="shared" si="507"/>
        <v/>
      </c>
      <c r="OG132" s="43" t="str">
        <f t="shared" si="508"/>
        <v/>
      </c>
      <c r="OH132" s="43" t="str">
        <f t="shared" si="509"/>
        <v/>
      </c>
      <c r="OI132" s="43" t="str">
        <f t="shared" si="510"/>
        <v/>
      </c>
      <c r="OJ132" s="43" t="str">
        <f t="shared" si="511"/>
        <v/>
      </c>
      <c r="OK132" s="43" t="str">
        <f t="shared" si="512"/>
        <v/>
      </c>
      <c r="OL132" s="43" t="str">
        <f t="shared" si="513"/>
        <v/>
      </c>
      <c r="OM132" s="43" t="str">
        <f t="shared" si="514"/>
        <v/>
      </c>
      <c r="ON132" s="43" t="str">
        <f t="shared" si="515"/>
        <v/>
      </c>
      <c r="OO132" s="43" t="str">
        <f t="shared" si="516"/>
        <v/>
      </c>
      <c r="OP132" s="43" t="str">
        <f t="shared" si="517"/>
        <v/>
      </c>
      <c r="OQ132" s="43" t="str">
        <f t="shared" si="518"/>
        <v/>
      </c>
      <c r="OR132" s="43" t="str">
        <f t="shared" si="519"/>
        <v/>
      </c>
      <c r="OS132" s="43" t="str">
        <f t="shared" si="520"/>
        <v/>
      </c>
      <c r="OT132" s="43" t="str">
        <f t="shared" si="521"/>
        <v/>
      </c>
      <c r="OU132" s="43" t="str">
        <f t="shared" si="522"/>
        <v/>
      </c>
      <c r="OV132" s="110" t="str">
        <f t="shared" si="523"/>
        <v/>
      </c>
      <c r="OW132" s="43" t="str">
        <f t="shared" si="524"/>
        <v/>
      </c>
      <c r="OX132" s="43" t="str">
        <f t="shared" si="525"/>
        <v/>
      </c>
      <c r="OY132" s="43" t="str">
        <f t="shared" si="526"/>
        <v/>
      </c>
      <c r="OZ132" s="43" t="str">
        <f t="shared" si="527"/>
        <v/>
      </c>
      <c r="PA132" s="43" t="str">
        <f t="shared" si="528"/>
        <v/>
      </c>
      <c r="PB132" s="43" t="str">
        <f t="shared" si="529"/>
        <v/>
      </c>
      <c r="PC132" s="43" t="str">
        <f t="shared" si="530"/>
        <v/>
      </c>
      <c r="PD132" s="43" t="str">
        <f t="shared" si="531"/>
        <v/>
      </c>
      <c r="PE132" s="43" t="str">
        <f t="shared" si="532"/>
        <v/>
      </c>
      <c r="PF132" s="43" t="str">
        <f t="shared" si="533"/>
        <v/>
      </c>
      <c r="PG132" s="43" t="str">
        <f t="shared" si="534"/>
        <v/>
      </c>
      <c r="PH132" s="43" t="str">
        <f t="shared" si="535"/>
        <v/>
      </c>
      <c r="PI132" s="43">
        <f t="shared" si="536"/>
        <v>26</v>
      </c>
      <c r="PJ132" s="43" t="str">
        <f t="shared" si="537"/>
        <v/>
      </c>
      <c r="PK132" s="43" t="str">
        <f t="shared" si="538"/>
        <v/>
      </c>
      <c r="PL132" s="43" t="str">
        <f t="shared" si="539"/>
        <v/>
      </c>
      <c r="PM132" s="43" t="str">
        <f t="shared" si="540"/>
        <v/>
      </c>
      <c r="PN132" s="43" t="str">
        <f t="shared" si="541"/>
        <v/>
      </c>
      <c r="PO132" s="43" t="str">
        <f t="shared" si="542"/>
        <v/>
      </c>
      <c r="PP132" s="43" t="str">
        <f t="shared" si="543"/>
        <v/>
      </c>
      <c r="PQ132" s="43" t="str">
        <f t="shared" si="544"/>
        <v/>
      </c>
      <c r="PR132" s="43" t="str">
        <f t="shared" si="545"/>
        <v/>
      </c>
      <c r="PS132" s="43" t="str">
        <f t="shared" si="546"/>
        <v/>
      </c>
      <c r="PT132" s="43" t="str">
        <f t="shared" si="547"/>
        <v/>
      </c>
      <c r="PU132" s="43" t="str">
        <f t="shared" si="548"/>
        <v/>
      </c>
      <c r="PV132" s="43" t="str">
        <f t="shared" si="549"/>
        <v/>
      </c>
      <c r="PW132" s="43" t="str">
        <f t="shared" si="550"/>
        <v/>
      </c>
      <c r="PX132" s="43" t="str">
        <f t="shared" si="551"/>
        <v/>
      </c>
      <c r="PY132" s="43" t="str">
        <f t="shared" si="552"/>
        <v/>
      </c>
      <c r="PZ132" s="43" t="str">
        <f t="shared" si="553"/>
        <v/>
      </c>
      <c r="QA132" s="43" t="str">
        <f t="shared" si="554"/>
        <v>SOBREPESO</v>
      </c>
      <c r="QB132" s="43" t="str">
        <f t="shared" si="555"/>
        <v/>
      </c>
      <c r="QC132" s="43" t="str">
        <f t="shared" si="556"/>
        <v/>
      </c>
      <c r="QD132" s="43" t="str">
        <f t="shared" si="557"/>
        <v/>
      </c>
      <c r="QE132" s="43" t="str">
        <f t="shared" si="558"/>
        <v/>
      </c>
      <c r="QF132" s="43" t="str">
        <f t="shared" si="559"/>
        <v/>
      </c>
      <c r="QG132" s="43" t="str">
        <f t="shared" si="560"/>
        <v/>
      </c>
      <c r="QH132" s="43" t="str">
        <f t="shared" si="561"/>
        <v/>
      </c>
      <c r="QI132" s="43" t="str">
        <f t="shared" si="562"/>
        <v/>
      </c>
      <c r="QJ132" s="43" t="str">
        <f t="shared" si="563"/>
        <v/>
      </c>
      <c r="QK132" s="43" t="str">
        <f t="shared" si="564"/>
        <v/>
      </c>
      <c r="QL132" s="43" t="str">
        <f t="shared" si="565"/>
        <v/>
      </c>
      <c r="QM132" s="43" t="str">
        <f t="shared" si="566"/>
        <v/>
      </c>
      <c r="QN132" s="43" t="str">
        <f t="shared" si="567"/>
        <v/>
      </c>
      <c r="QO132" s="43" t="str">
        <f t="shared" si="568"/>
        <v/>
      </c>
      <c r="QP132" s="43" t="str">
        <f t="shared" si="569"/>
        <v/>
      </c>
      <c r="QQ132" s="43" t="str">
        <f t="shared" si="570"/>
        <v/>
      </c>
      <c r="QR132" s="43">
        <f t="shared" si="670"/>
        <v>26</v>
      </c>
      <c r="QS132" s="43"/>
      <c r="QT132" s="21" t="str">
        <f t="shared" si="571"/>
        <v/>
      </c>
      <c r="QU132" s="21" t="str">
        <f t="shared" si="572"/>
        <v/>
      </c>
      <c r="QV132" s="21" t="str">
        <f t="shared" si="573"/>
        <v/>
      </c>
      <c r="QW132" s="21" t="str">
        <f t="shared" si="574"/>
        <v/>
      </c>
      <c r="QX132" s="21" t="str">
        <f t="shared" si="575"/>
        <v/>
      </c>
      <c r="QY132" s="21" t="str">
        <f t="shared" si="576"/>
        <v/>
      </c>
      <c r="QZ132" s="21" t="str">
        <f t="shared" si="577"/>
        <v/>
      </c>
      <c r="RA132" s="21" t="str">
        <f t="shared" si="578"/>
        <v/>
      </c>
      <c r="RB132" s="21" t="str">
        <f t="shared" si="579"/>
        <v/>
      </c>
      <c r="RC132" s="21" t="str">
        <f t="shared" si="580"/>
        <v/>
      </c>
      <c r="RD132" s="21" t="str">
        <f t="shared" si="581"/>
        <v/>
      </c>
      <c r="RE132" s="21" t="str">
        <f t="shared" si="582"/>
        <v/>
      </c>
      <c r="RF132" s="21" t="str">
        <f t="shared" si="583"/>
        <v/>
      </c>
      <c r="RG132" s="21" t="str">
        <f t="shared" si="584"/>
        <v>ALTO PARA EDAD GESTACIONAL</v>
      </c>
      <c r="RH132" s="21" t="str">
        <f t="shared" si="585"/>
        <v/>
      </c>
      <c r="RI132" s="21" t="str">
        <f t="shared" si="586"/>
        <v/>
      </c>
      <c r="RJ132" s="21" t="str">
        <f t="shared" si="587"/>
        <v/>
      </c>
      <c r="RK132" s="21" t="str">
        <f t="shared" si="588"/>
        <v/>
      </c>
      <c r="RL132" s="21" t="str">
        <f t="shared" si="589"/>
        <v/>
      </c>
      <c r="RM132" s="21" t="str">
        <f t="shared" si="590"/>
        <v/>
      </c>
      <c r="RN132" s="21" t="str">
        <f t="shared" si="591"/>
        <v/>
      </c>
      <c r="RO132" s="21" t="str">
        <f t="shared" si="592"/>
        <v/>
      </c>
      <c r="RP132" s="21" t="str">
        <f t="shared" si="593"/>
        <v/>
      </c>
      <c r="RQ132" s="21" t="str">
        <f t="shared" si="594"/>
        <v/>
      </c>
      <c r="RR132" s="21" t="str">
        <f t="shared" si="595"/>
        <v/>
      </c>
      <c r="RS132" s="21" t="str">
        <f t="shared" si="596"/>
        <v/>
      </c>
      <c r="RT132" s="21" t="str">
        <f t="shared" si="597"/>
        <v/>
      </c>
      <c r="RU132" s="21" t="str">
        <f t="shared" si="598"/>
        <v/>
      </c>
      <c r="RV132" s="21">
        <f t="shared" si="599"/>
        <v>-1</v>
      </c>
      <c r="RW132" s="284">
        <f>IF(OR(Tabla1[[#This Row],[FUM FORMULA CONFIABLE]]="",Tabla1[[#This Row],[FUM FORMULA CONFIABLE]]="SD"),"",IF(Tabla1[[#This Row],[FUM FORMULA CONFIABLE]]="CORREGIDA",Tabla1[[#This Row],[FUM X ECO 1]],Tabla1[[#This Row],[FUM x AMENORREA]]))</f>
        <v>44969</v>
      </c>
      <c r="RX132" s="21">
        <f>IF(AND(Tabla1[[#This Row],[FUM X ECO 1]]="",Tabla1[[#This Row],[FUM x AMENORREA]]=""),"",IF(AND(Tabla1[[#This Row],[FUM X ECO 1]]="",Tabla1[[#This Row],[FUM x AMENORREA]]&lt;&gt;""),"X",SUM(Tabla1[[#This Row],[FUM X ECO 1]]-Tabla1[[#This Row],[FUM x AMENORREA]])))</f>
        <v>1.5</v>
      </c>
      <c r="RY132" s="21">
        <f t="shared" si="671"/>
        <v>0</v>
      </c>
    </row>
    <row r="133" spans="1:493" ht="45" customHeight="1" x14ac:dyDescent="0.25">
      <c r="A133" s="109" t="s">
        <v>1393</v>
      </c>
      <c r="B133" s="43"/>
      <c r="C133" s="43" t="s">
        <v>845</v>
      </c>
      <c r="D133" s="124"/>
      <c r="E133" s="43" t="s">
        <v>1394</v>
      </c>
      <c r="F133" s="43" t="s">
        <v>1395</v>
      </c>
      <c r="G133" s="43" t="s">
        <v>1284</v>
      </c>
      <c r="H133" s="43" t="s">
        <v>1182</v>
      </c>
      <c r="I133" s="109" t="s">
        <v>851</v>
      </c>
      <c r="J133" s="110">
        <v>1059594142</v>
      </c>
      <c r="K133" s="43" t="s">
        <v>852</v>
      </c>
      <c r="L133" s="175" t="s">
        <v>1509</v>
      </c>
      <c r="M133" s="22">
        <v>38054</v>
      </c>
      <c r="N133" s="213">
        <f t="shared" ca="1" si="600"/>
        <v>19.668493150684931</v>
      </c>
      <c r="O133" s="22">
        <v>45013</v>
      </c>
      <c r="P133" s="214" t="str">
        <f t="shared" si="437"/>
        <v>SI</v>
      </c>
      <c r="Q133" s="26" t="s">
        <v>855</v>
      </c>
      <c r="R133" s="22">
        <v>45013</v>
      </c>
      <c r="S133" s="21" t="s">
        <v>856</v>
      </c>
      <c r="T133" s="24" t="s">
        <v>690</v>
      </c>
      <c r="U133" s="21" t="s">
        <v>857</v>
      </c>
      <c r="V133" s="21" t="s">
        <v>858</v>
      </c>
      <c r="W133" s="21" t="s">
        <v>1259</v>
      </c>
      <c r="X133" s="21"/>
      <c r="Y133" s="21" t="s">
        <v>859</v>
      </c>
      <c r="Z133" s="21">
        <v>3008443510</v>
      </c>
      <c r="AA133" s="21" t="s">
        <v>860</v>
      </c>
      <c r="AB133" s="27" t="s">
        <v>861</v>
      </c>
      <c r="AC133" s="26" t="s">
        <v>897</v>
      </c>
      <c r="AD133" s="38" t="s">
        <v>1546</v>
      </c>
      <c r="AE133" s="26" t="s">
        <v>854</v>
      </c>
      <c r="AF133" s="26" t="s">
        <v>854</v>
      </c>
      <c r="AG133" s="23" t="s">
        <v>864</v>
      </c>
      <c r="AH133" s="23" t="s">
        <v>864</v>
      </c>
      <c r="AI133" s="24" t="s">
        <v>863</v>
      </c>
      <c r="AJ133" s="23" t="s">
        <v>864</v>
      </c>
      <c r="AK133" s="220" t="str">
        <f>IF(AND(AD133="",AE133="",AF133="",AG133="",AH133="",AI133="",AJ133=""),"",IF(OR(Tabla1[[#This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EVALUACIÓN",IF(AND(O133="",R133=""),"",IF(AND(OR(O133&gt;0,R133&gt;0),NG133&gt;=0,NG133&lt;2),"SIN RIESGO",IF(AND(OR(O133&gt;0,R133&gt;0),NG133&gt;=2),"CON RIESGO","ASD")))))</f>
        <v>SIN RIESGO</v>
      </c>
      <c r="AL133" s="23" t="s">
        <v>864</v>
      </c>
      <c r="AM133" s="26" t="s">
        <v>864</v>
      </c>
      <c r="AN133" s="26" t="s">
        <v>864</v>
      </c>
      <c r="AO133" s="26" t="s">
        <v>864</v>
      </c>
      <c r="AP133" s="26" t="s">
        <v>864</v>
      </c>
      <c r="AQ133" s="26" t="s">
        <v>864</v>
      </c>
      <c r="AR133" s="26" t="s">
        <v>864</v>
      </c>
      <c r="AS133" s="21">
        <v>1</v>
      </c>
      <c r="AT133" s="21">
        <v>1</v>
      </c>
      <c r="AU133" s="21">
        <v>0</v>
      </c>
      <c r="AV133" s="26" t="s">
        <v>864</v>
      </c>
      <c r="AW133" s="21">
        <v>0</v>
      </c>
      <c r="AX133" s="26" t="s">
        <v>864</v>
      </c>
      <c r="AY133" s="26" t="s">
        <v>864</v>
      </c>
      <c r="AZ133" s="26" t="s">
        <v>864</v>
      </c>
      <c r="BA133" s="26" t="s">
        <v>864</v>
      </c>
      <c r="BB133" s="26" t="s">
        <v>864</v>
      </c>
      <c r="BC133" s="26" t="s">
        <v>864</v>
      </c>
      <c r="BD133" s="26" t="s">
        <v>864</v>
      </c>
      <c r="BE133" s="26" t="s">
        <v>864</v>
      </c>
      <c r="BF133" s="26" t="s">
        <v>864</v>
      </c>
      <c r="BG133" s="26" t="s">
        <v>864</v>
      </c>
      <c r="BH133" s="26" t="s">
        <v>864</v>
      </c>
      <c r="BI133" s="26" t="s">
        <v>864</v>
      </c>
      <c r="BJ133" s="26" t="s">
        <v>864</v>
      </c>
      <c r="BK133" s="26" t="s">
        <v>864</v>
      </c>
      <c r="BL133" s="26" t="s">
        <v>864</v>
      </c>
      <c r="BM133" s="26" t="s">
        <v>864</v>
      </c>
      <c r="BN133" s="22">
        <v>43150</v>
      </c>
      <c r="BO133" s="22">
        <v>44895</v>
      </c>
      <c r="BP133" s="21" t="s">
        <v>1380</v>
      </c>
      <c r="BQ133" s="222">
        <f t="shared" si="601"/>
        <v>58.396666666666718</v>
      </c>
      <c r="BR133" s="223">
        <f t="shared" si="602"/>
        <v>44901.9</v>
      </c>
      <c r="BS133" s="224">
        <f t="shared" si="603"/>
        <v>15.871428571428364</v>
      </c>
      <c r="BT133" s="216" t="str">
        <f t="shared" si="604"/>
        <v>II TRIM</v>
      </c>
      <c r="BU133" s="214" t="str">
        <f t="shared" ca="1" si="605"/>
        <v/>
      </c>
      <c r="BV133" s="25"/>
      <c r="BW133" s="22">
        <v>45016</v>
      </c>
      <c r="BX133" s="28">
        <v>16.3</v>
      </c>
      <c r="BY133" s="28"/>
      <c r="BZ133" s="22">
        <v>45051</v>
      </c>
      <c r="CA133" s="21">
        <v>21</v>
      </c>
      <c r="CB133" s="26" t="s">
        <v>864</v>
      </c>
      <c r="CC133" s="26" t="s">
        <v>864</v>
      </c>
      <c r="CD133" s="26"/>
      <c r="CE133" s="26" t="s">
        <v>864</v>
      </c>
      <c r="CF133" s="22" t="s">
        <v>1517</v>
      </c>
      <c r="CG133" s="21">
        <v>1.64</v>
      </c>
      <c r="CH133" s="21">
        <v>53.4</v>
      </c>
      <c r="CI133" s="214">
        <f t="shared" si="606"/>
        <v>19.854253420582989</v>
      </c>
      <c r="CJ133" s="225" t="e">
        <f>IF(AND(CI133&lt;10,CH133="SD"),"SIN DATO PESO PREGESTACION O I TRIM",IF(AND(OR(R133&gt;0,O133&gt;0),CI133="X"),"INGRESAR DATO DE PESO",IF(CI133="SD","INGRESAR DATO DE TALLA Y PESO",IF(AND(OR(Tabla1[[#This Row],[MOMENTO EN QUE SE REALIZA EL PESO AL INGRESO A CPN]]="PREGESTACIÓN",NZ133="Menor"),CI133&lt;18.5),"BAJO PESO",IF(AND(OR(Tabla1[[#This Row],[MOMENTO EN QUE SE REALIZA EL PESO AL INGRESO A CPN]]="PREGESTACIÓN",NZ133="Menor"),CI133&lt;25),"NORMAL",IF(AND(OR(Tabla1[[#This Row],[MOMENTO EN QUE SE REALIZA EL PESO AL INGRESO A CPN]]="PREGESTACIÓN",NZ133="Menor"),CI133&lt;30),"SOBREPESO",IF(AND(OR(Tabla1[[#This Row],[MOMENTO EN QUE SE REALIZA EL PESO AL INGRESO A CPN]]="PREGESTACIÓN",NZ133="Menor"),CI133&gt;=30,CI133&lt;50),"OBESIDAD",IF(AND(BS133&gt;0,Tabla1[[#This Row],[MOMENTO EN QUE SE REALIZA EL PESO AL INGRESO A CPN]]="GESTACIÓN"),HLOOKUP(NZ133,$OA$2:PH133,NY133),""))))))))</f>
        <v>#REF!</v>
      </c>
      <c r="CK133" s="212">
        <f t="shared" si="607"/>
        <v>45121</v>
      </c>
      <c r="CL133" s="21">
        <v>56.4</v>
      </c>
      <c r="CM133" s="214">
        <f t="shared" si="608"/>
        <v>20.969660916121359</v>
      </c>
      <c r="CN133" s="216">
        <f t="shared" si="609"/>
        <v>31</v>
      </c>
      <c r="CO133" s="216" t="e">
        <f>IF(PI133="","",IF(PI133&gt;0,HLOOKUP(PI133,$PJ$2:QQ133,NY133),""))</f>
        <v>#REF!</v>
      </c>
      <c r="CP133" s="21">
        <v>29</v>
      </c>
      <c r="CQ133" s="216" t="e">
        <f>IF(QR133="Menor","NO APLICA-MENOR 13 SEM",IF(AND(CC133="SI",CN133&gt;23),"NO APLICA- GEMELAR",IF(QR133="","",IF(QR133&gt;0,HLOOKUP(QR133,$QS$2:RU133,NY133),""))))</f>
        <v>#REF!</v>
      </c>
      <c r="CR133" s="21"/>
      <c r="CS133" s="21"/>
      <c r="CT133" s="217" t="str">
        <f>IF(R133="","",IF(AND(BS133&gt;1,BS133&lt;12,Tabla1[[#This Row],[T.A. SISTOLICA - ANTES DE SEMANA 12]]="",Tabla1[[#This Row],[T.A. DIASTOLICA - ANTES DE SEMANA 12]]=""),"REGISTRE DATO TA ANTES SEMANA 12",IF(AND(BS133&gt;11,BS133&lt;43,Tabla1[[#This Row],[T.A. SISTOLICA - ANTES DE SEMANA 12]]="",Tabla1[[#This Row],[T.A. DIASTOLICA - ANTES DE SEMANA 12]]=""),"NO APLICA REGISTRO TA-INGRESO TARDIO",IF(AND(OR(O133&gt;0,R133&gt;0),OR(CR133&gt;=140,CS133&gt;=90)),"DEFINIR ESTADIO HTA",IF(AND(OR(O133&gt;0,R133&gt;0),AND(CR133&gt;120,CR133&lt;=139)),"PRE HTA SEGUIMIENTO",IF(AND(OR(O133&gt;0,R133&gt;0),AND(CS133&gt;80,CS133&lt;=89)),"PRE HTA SEGUIMIENTO",IF(AND(OR(O133&gt;0,R133&gt;0),AND(CR133&gt;=80,CR133&lt;=120)),"APARENTEMENTE NORMAL",IF(AND(OR(O133&gt;0,R133&gt;0),AND(CS133&gt;=50,CS133&lt;=80)),"APARENTEMENTE NORMAL",IF(AND(OR(O133&gt;0,R133&gt;0),AND(CR133&gt;1,CR133&lt;=70),AND(CS133&gt;1,CS133&lt;=40)),"HIPOTENSIÓN","")))))))))</f>
        <v>NO APLICA REGISTRO TA-INGRESO TARDIO</v>
      </c>
      <c r="CU133" s="21"/>
      <c r="CV133" s="21"/>
      <c r="CW133" s="217" t="str">
        <f ca="1">IF(R133="","",IF(AND(CN133&gt;19,CN133&lt;27,Tabla1[[#This Row],[T.A. SISTOLICA (Entre semana 20 y 26)]]="",Tabla1[[#This Row],[T.A. DIATOLICA (Entre semana 20 y 26)]]=""),"ACUDE A CONTROL SEM 20 A 26 REGISTRE TA AHORA",IF(AND(BS133&gt;1,BS133&lt;27,BU133&gt;19,Tabla1[[#This Row],[T.A. SISTOLICA (Entre semana 20 y 26)]]="",Tabla1[[#This Row],[T.A. DIATOLICA (Entre semana 20 y 26)]]=""),"COMPLETE REGISTRO TA CONTROL SEM 20 A26 ",IF(AND(BS133&gt;26,BS133&lt;43,Tabla1[[#This Row],[T.A. SISTOLICA (Entre semana 20 y 26)]]="",Tabla1[[#This Row],[T.A. DIATOLICA (Entre semana 20 y 26)]]=""),"NO APLICA REGISTRO TA-INGRESO TARDIO",IF(AND(OR(O133&gt;0,R133&gt;0),OR(CU133&gt;=140,CV133&gt;=90)),"ALTO RIESGO PREECLAMPSIA,DEFINIR ESTADIO HTA",IF(AND(OR(O133&gt;0,R133&gt;0),AND(CU133&gt;120,CU133&lt;=139)),"PRE HTA SEGUIMIENTO,RIESGO HIPERTENSION INDUCIDA POR EL EMBARAZO",IF(AND(OR(O133&gt;0,R133&gt;0),AND(CV133&gt;80,CV133&lt;=89)),"PRE HTA SEGUIMIENTO, RIESGO HIPERTENSION INDUCIDA POR EL EMBARAZO",IF(AND(OR(O133&lt;&gt;"",R133&lt;&gt;""),CS133&lt;&gt;"",CV133&lt;&gt;"",CS133&lt;=CV133),"VIGILAR CIFRAS PRESION ARTERIAL",IF(AND(OR(O133&gt;0,R133&gt;0),AND(CU133&gt;120,CU133&lt;=139)),"PRE HTA SEGUIMIENTO",IF(AND(OR(O133&gt;0,R133&gt;0),AND(CU133&gt;1,CU133&lt;=70),AND(CV133&gt;1,CV133&lt;=40)),"HIPOTENSIÓN",IF(AND(OR(O133&lt;&gt;"",R133&lt;&gt;""),CS133&lt;&gt;"",CV133&lt;&gt;"",CS133&gt;CV133),"APARENTEMENTE NORMAL",IF(AND(OR(O133&gt;0,R133&gt;0),AND(CU133&gt;=80,CU133&lt;=120)),"APARENTEMENTE NORMAL",IF(AND(OR(O133&gt;0,R133&gt;0),AND(CV133&gt;=50,CV133&lt;=80)),"APARENTEMENTE NORMAL","")))))))))))))</f>
        <v xml:space="preserve">COMPLETE REGISTRO TA CONTROL SEM 20 A26 </v>
      </c>
      <c r="CX133" s="21">
        <v>100</v>
      </c>
      <c r="CY133" s="21">
        <v>60</v>
      </c>
      <c r="CZ133" s="216" t="str">
        <f t="shared" si="498"/>
        <v>APARENTEMENTE NORMAL</v>
      </c>
      <c r="DA133" s="21">
        <v>100</v>
      </c>
      <c r="DB133" s="21">
        <v>60</v>
      </c>
      <c r="DC133" s="217" t="str">
        <f t="shared" si="610"/>
        <v>APARENTEMENTE NORMAL</v>
      </c>
      <c r="DD133" s="22">
        <v>45013</v>
      </c>
      <c r="DE133" s="22">
        <v>45013</v>
      </c>
      <c r="DF133" s="22">
        <v>45044</v>
      </c>
      <c r="DG133" s="22">
        <v>45121</v>
      </c>
      <c r="DH133" s="22"/>
      <c r="DI133" s="22"/>
      <c r="DJ133" s="22"/>
      <c r="DK133" s="22"/>
      <c r="DL133" s="22"/>
      <c r="DM133" s="22"/>
      <c r="DN133" s="22"/>
      <c r="DO133" s="22"/>
      <c r="DP133" s="22"/>
      <c r="DQ133" s="22"/>
      <c r="DR133" s="28">
        <v>1</v>
      </c>
      <c r="DS133" s="22"/>
      <c r="DT133" s="22"/>
      <c r="DU133" s="216" t="str">
        <f t="shared" ca="1" si="438"/>
        <v>CONCERTAR PLAN DE PARTO INMEDIATO</v>
      </c>
      <c r="DV133" s="226" t="str">
        <f t="shared" si="439"/>
        <v>ACTIVA INGRESO A CPN</v>
      </c>
      <c r="DW1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3" s="216" t="e">
        <f t="shared" ca="1" si="611"/>
        <v>#REF!</v>
      </c>
      <c r="DY133" s="212">
        <f>IF(R133="","",IF(R133&gt;0,MAX(Tabla1[[#This Row],[FECHA C2]:[FECHA C13]],Tabla1[[#This Row],[FECHA CONSULTA PRIMERA VEZ PROGRAMA CPN ]])))</f>
        <v>45121</v>
      </c>
      <c r="DZ133" s="216">
        <f t="shared" si="612"/>
        <v>31</v>
      </c>
      <c r="EA133" s="222">
        <f>IF(R133&gt;0,SUM(COUNTA(DF133:DQ133)+COUNTA(Tabla1[[#This Row],[FECHA CONSULTA PRIMERA VEZ PROGRAMA CPN ]])),"")</f>
        <v>3</v>
      </c>
      <c r="EB133" s="222" t="str">
        <f t="shared" si="613"/>
        <v>NO</v>
      </c>
      <c r="EC133" s="214">
        <f t="shared" si="614"/>
        <v>8</v>
      </c>
      <c r="ED133" s="227">
        <f t="shared" si="615"/>
        <v>0.375</v>
      </c>
      <c r="EE133" s="22">
        <v>45013</v>
      </c>
      <c r="EF133" s="22">
        <v>45013</v>
      </c>
      <c r="EG133" s="22">
        <v>45013</v>
      </c>
      <c r="EH133" s="22"/>
      <c r="EI133" s="22">
        <v>45013</v>
      </c>
      <c r="EJ133" s="22"/>
      <c r="EK133" s="22"/>
      <c r="EL133" s="21"/>
      <c r="EM133" s="21">
        <v>13.1</v>
      </c>
      <c r="EN133" s="22">
        <v>45010</v>
      </c>
      <c r="EO133" s="222">
        <f t="shared" si="616"/>
        <v>15.442857142856935</v>
      </c>
      <c r="EP133" s="214" t="str">
        <f t="shared" si="617"/>
        <v>NORMAL- SUMINISTRAR SULFATO FERROSO</v>
      </c>
      <c r="EQ133" s="216" t="str">
        <f t="shared" si="618"/>
        <v>II TRIM</v>
      </c>
      <c r="ER133" s="24">
        <v>13</v>
      </c>
      <c r="ES133" s="22">
        <v>45013</v>
      </c>
      <c r="ET133" s="29">
        <f t="shared" ca="1" si="440"/>
        <v>15.871428571428364</v>
      </c>
      <c r="EU133" s="25" t="str">
        <f t="shared" si="619"/>
        <v>NORMAL- SUMINISTRAR SULFATO FERROSO</v>
      </c>
      <c r="EV133" s="24" t="s">
        <v>1510</v>
      </c>
      <c r="EW133" s="24">
        <v>45013</v>
      </c>
      <c r="EX133" s="22"/>
      <c r="EY133" s="29">
        <f t="shared" si="453"/>
        <v>15.871428571428364</v>
      </c>
      <c r="EZ133" s="25" t="str">
        <f t="shared" si="454"/>
        <v>SIN RIESGO DE ISOINMUNIZACIÓN</v>
      </c>
      <c r="FA133" s="21">
        <v>66</v>
      </c>
      <c r="FB133" s="22">
        <v>45013</v>
      </c>
      <c r="FC133" s="29">
        <f t="shared" si="620"/>
        <v>15.871428571428364</v>
      </c>
      <c r="FD133" s="29"/>
      <c r="FE133" s="29"/>
      <c r="FF133" s="29"/>
      <c r="FG133" s="21" t="str">
        <f t="shared" ca="1" si="621"/>
        <v/>
      </c>
      <c r="FH133" s="31"/>
      <c r="FI133" s="29" t="str">
        <f t="shared" si="622"/>
        <v>TOMAR EXAMEN</v>
      </c>
      <c r="FJ133" s="22"/>
      <c r="FK133" s="22"/>
      <c r="FL133" s="29" t="str">
        <f t="shared" ca="1" si="623"/>
        <v>NO APLICA-INGRESO TARDIO</v>
      </c>
      <c r="FM133" s="22" t="s">
        <v>867</v>
      </c>
      <c r="FN133" s="32">
        <v>45013</v>
      </c>
      <c r="FO133" s="29">
        <f t="shared" ca="1" si="441"/>
        <v>15.871428571428364</v>
      </c>
      <c r="FP133" s="22"/>
      <c r="FQ133" s="32"/>
      <c r="FR133" s="29" t="str">
        <f t="shared" ca="1" si="442"/>
        <v>TOMA INMEDIATA DE TAMIZAJE</v>
      </c>
      <c r="FS133" s="22"/>
      <c r="FT133" s="32"/>
      <c r="FU133" s="29" t="str">
        <f>IF(AND(FJ133="",FM133="",FP133="",FS133=""),"",IF(OR(OR(Tabla1[[#This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3" s="28"/>
      <c r="FW133" s="22"/>
      <c r="FX133" s="29" t="str">
        <f t="shared" si="624"/>
        <v>TOMAR EXAMEN</v>
      </c>
      <c r="FY133" s="22"/>
      <c r="FZ133" s="22"/>
      <c r="GA133" s="29" t="str">
        <f t="shared" ca="1" si="497"/>
        <v>NO APLICA-INGRESO TARDIO</v>
      </c>
      <c r="GB133" s="22" t="s">
        <v>868</v>
      </c>
      <c r="GC133" s="22">
        <v>45013</v>
      </c>
      <c r="GD133" s="29">
        <f t="shared" ca="1" si="490"/>
        <v>15.871428571428364</v>
      </c>
      <c r="GE133" s="22"/>
      <c r="GF133" s="22"/>
      <c r="GG133" s="29" t="str">
        <f t="shared" ca="1" si="444"/>
        <v>TOMA INMEDIATA DE TAMIZAJE</v>
      </c>
      <c r="GH133" s="22"/>
      <c r="GI133" s="29"/>
      <c r="GJ133" s="22"/>
      <c r="GK133" s="22"/>
      <c r="GL133" s="22"/>
      <c r="GM133" s="22"/>
      <c r="GN133" s="28"/>
      <c r="GO133" s="22"/>
      <c r="GP133" s="29" t="str">
        <f t="shared" si="625"/>
        <v>TOMAR EXAMEN</v>
      </c>
      <c r="GQ133" s="28"/>
      <c r="GR133" s="28"/>
      <c r="GS133" s="22" t="str">
        <f t="shared" si="626"/>
        <v/>
      </c>
      <c r="GT133" s="22"/>
      <c r="GU133" s="29" t="str">
        <f t="shared" si="627"/>
        <v>TOMAR EXAMEN</v>
      </c>
      <c r="GV133" s="21" t="str">
        <f t="shared" si="628"/>
        <v>POR DEFINIR</v>
      </c>
      <c r="GW133" s="28"/>
      <c r="GX133" s="30"/>
      <c r="GY133" s="21"/>
      <c r="GZ133" s="21"/>
      <c r="HA133" s="21"/>
      <c r="HB133" s="21"/>
      <c r="HC133" s="21"/>
      <c r="HD133" s="21"/>
      <c r="HE133" s="21"/>
      <c r="HF133" s="22"/>
      <c r="HG133" s="22" t="str">
        <f>IF(OR(O133&gt;0,R133&gt;0),CONCATENATE(IF(Tabla1[[#This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3" s="22" t="e">
        <f t="shared" si="629"/>
        <v>#REF!</v>
      </c>
      <c r="HI133" s="22" t="e">
        <f t="shared" ca="1" si="630"/>
        <v>#REF!</v>
      </c>
      <c r="HJ133" s="21"/>
      <c r="HK133" s="21" t="str">
        <f t="shared" si="631"/>
        <v>SIN ANTECEDENTES DE RIESGO</v>
      </c>
      <c r="HL133" s="24" t="str">
        <f t="shared" si="632"/>
        <v>APARENTEMENTE NORMAL</v>
      </c>
      <c r="HM133" s="21" t="e">
        <f t="shared" ca="1" si="633"/>
        <v>#REF!</v>
      </c>
      <c r="HN133" s="30" t="str">
        <f t="shared" si="445"/>
        <v>ACTIVA INGRESO A CPN</v>
      </c>
      <c r="HO133" s="21"/>
      <c r="HP133" s="21"/>
      <c r="HQ133" s="21">
        <v>45013</v>
      </c>
      <c r="HR133" s="21" t="str">
        <f>IF(R133="","",IF(Tabla1[[#This Row],[ALARMA FACTORES DE RIESGO COMPLICACIONES HIPERTENSIVAS3]]="SIN ANTECEDENTES DE RIESGO","No Aplica para suministro de ASA",IF(AND(Tabla1[[#This Row],[FECHA INICIO DE SUMINISTRO DE ASA]]&gt;0,RV133&lt;12),"Inicia ASA ANTES de Sem 12",IF(AND(RV133&gt;11,RV133&lt;17,OR(HK133="RIESGO ALTO DE COMPLICACIONES HIPERTENSIVAS VER MANEJO GUIA SUMINISTRO ASA Y CALCIO",HK133="RIESGO MODERADO (2 O MAS CRITERIOS) VER MANEJO GUIA SUMINISTRO ASA Y CALCIO")),"Inicio oportuno de ASA",IF(AND(RV133&gt;12,OR(HK133="RIESGO ALTO DE COMPLICACIONES HIPERTENSIVAS VER MANEJO GUIA SUMINISTRO ASA Y CALCIO",HK133="RIESGO MODERADO (2 O MAS CRITERIOS) VER MANEJO GUIA SUMINISTRO ASA Y CALCIO")),"Inicio no oportuno mayor a 16 semanas",IF(AND(BU133&lt;12,OR(HK133="RIESGO ALTO DE COMPLICACIONES HIPERTENSIVAS VER MANEJO GUIA SUMINISTRO ASA Y CALCIO",HK133="RIESGO MODERADO (2 O MAS CRITERIOS) VER MANEJO GUIA SUMINISTRO ASA Y CALCIO")),"Pendiente Inicio de ASA a la semana 12",IF(AND(BU133&gt;11,BU133&lt;17,OR(HK133="RIESGO ALTO DE COMPLICACIONES HIPERTENSIVAS VER MANEJO GUIA SUMINISTRO ASA Y CALCIO",HK133="RIESGO MODERADO (2 O MAS CRITERIOS) VER MANEJO GUIA SUMINISTRO ASA Y CALCIO")),"Iniciar de inmediato ASA",IF(AND(BU133&gt;16,OR(HK133="RIESGO ALTO DE COMPLICACIONES HIPERTENSIVAS VER MANEJO GUIA SUMINISTRO ASA Y CALCIO",HK133="RIESGO MODERADO (2 O MAS CRITERIOS) VER MANEJO GUIA SUMINISTRO ASA Y CALCIO")),"Pierde Oportunidad, Inicio tardío de ASA","XXXXX"))))))))</f>
        <v>No Aplica para suministro de ASA</v>
      </c>
      <c r="HS133" s="22">
        <v>45013</v>
      </c>
      <c r="HT133" s="22" t="s">
        <v>870</v>
      </c>
      <c r="HU133" s="22"/>
      <c r="HV133" s="22"/>
      <c r="HW133" s="22">
        <v>45013</v>
      </c>
      <c r="HX133" s="22" t="s">
        <v>870</v>
      </c>
      <c r="HY133" s="22">
        <v>45013</v>
      </c>
      <c r="HZ133" s="28">
        <f t="shared" si="634"/>
        <v>15.871428571428364</v>
      </c>
      <c r="IA133" s="26"/>
      <c r="IB133" s="26"/>
      <c r="IC133" s="111"/>
      <c r="ID133" s="22">
        <v>45051</v>
      </c>
      <c r="IE133" s="22" t="str">
        <f t="shared" ca="1" si="635"/>
        <v>VACUNA APLICADA ENTRE SEMANA 20 Y SEMANA 26</v>
      </c>
      <c r="IF133" s="22"/>
      <c r="IG133" s="22">
        <f t="shared" si="636"/>
        <v>45181.9</v>
      </c>
      <c r="IH133" s="29">
        <f t="shared" ca="1" si="637"/>
        <v>-51.099999999998545</v>
      </c>
      <c r="II133" s="22" t="str">
        <f t="shared" ca="1" si="638"/>
        <v>POSIBLEMENTE NACIO</v>
      </c>
      <c r="IJ133" s="22"/>
      <c r="IK133" s="21"/>
      <c r="IL133" s="21"/>
      <c r="IM133" s="34"/>
      <c r="IN133" s="349"/>
      <c r="IO133" s="21"/>
      <c r="IP133" s="29" t="str">
        <f t="shared" si="489"/>
        <v/>
      </c>
      <c r="IQ133" s="35"/>
      <c r="IR133" s="21"/>
      <c r="IS133" s="21"/>
      <c r="IT133" s="21"/>
      <c r="IU133" s="21"/>
      <c r="IV133" s="21"/>
      <c r="IW133" s="21"/>
      <c r="IX133" s="21"/>
      <c r="IY133" s="21"/>
      <c r="IZ133" s="21"/>
      <c r="JA133" s="21"/>
      <c r="JB133" s="30"/>
      <c r="JC133" s="21"/>
      <c r="JD133" s="36"/>
      <c r="JE133" s="21" t="str">
        <f t="shared" si="491"/>
        <v/>
      </c>
      <c r="JF133" s="30"/>
      <c r="JG133" s="21"/>
      <c r="JH133" s="21"/>
      <c r="JI133" s="21"/>
      <c r="JJ133" s="30"/>
      <c r="JK133" s="22"/>
      <c r="JL133" s="22"/>
      <c r="JM133" s="21"/>
      <c r="JN133" s="36"/>
      <c r="JO133" s="21" t="str">
        <f t="shared" si="492"/>
        <v/>
      </c>
      <c r="JP133" s="22"/>
      <c r="JQ133" s="21"/>
      <c r="JR133" s="21"/>
      <c r="JS133" s="21"/>
      <c r="JT133" s="30"/>
      <c r="JU133" s="22"/>
      <c r="JV133" s="22"/>
      <c r="JW133" s="33"/>
      <c r="JX133" s="28" t="str">
        <f t="shared" si="493"/>
        <v/>
      </c>
      <c r="JY133" s="33"/>
      <c r="JZ133" s="28" t="str">
        <f t="shared" si="494"/>
        <v/>
      </c>
      <c r="KA133" s="21"/>
      <c r="KB133" s="21"/>
      <c r="KC133" s="21"/>
      <c r="KD133" s="37"/>
      <c r="KE133" s="28"/>
      <c r="KF133" s="28"/>
      <c r="KG133" s="28"/>
      <c r="KH133" s="39"/>
      <c r="KI133" s="39"/>
      <c r="KJ133" s="66"/>
      <c r="KK133" s="39"/>
      <c r="KL133" s="39"/>
      <c r="KM133" s="66"/>
      <c r="KN133" s="39"/>
      <c r="KO133" s="39"/>
      <c r="KP133" s="39"/>
      <c r="KQ133" s="39"/>
      <c r="KR133" s="39"/>
      <c r="KS133" s="39"/>
      <c r="KT133" s="39"/>
      <c r="KU133" s="38"/>
      <c r="KV133" s="38"/>
      <c r="KW133" s="38"/>
      <c r="KX133" s="38"/>
      <c r="KY133" s="38"/>
      <c r="KZ133" s="38"/>
      <c r="LA133" s="38"/>
      <c r="LB133" s="38"/>
      <c r="LC133" s="38"/>
      <c r="LD133" s="38"/>
      <c r="LE133" s="38"/>
      <c r="LF133" s="38"/>
      <c r="LG133" s="38"/>
      <c r="LH133" s="38"/>
      <c r="LI133" s="38"/>
      <c r="LJ133" s="38"/>
      <c r="LK133" s="38"/>
      <c r="LL133" s="38"/>
      <c r="LM133" s="38"/>
      <c r="LN133" s="38"/>
      <c r="LO133" s="38"/>
      <c r="LP133" s="38"/>
      <c r="LQ133" s="38"/>
      <c r="LR133" s="38"/>
      <c r="LS133" s="38"/>
      <c r="LT133" s="38"/>
      <c r="LU133" s="38"/>
      <c r="LV133" s="38"/>
      <c r="LW133" s="38"/>
      <c r="LX133" s="38"/>
      <c r="LY133" s="38"/>
      <c r="LZ133" s="38"/>
      <c r="MA133" s="38"/>
      <c r="MB133" s="38"/>
      <c r="MC133" s="38"/>
      <c r="MD133" s="38"/>
      <c r="ME133" s="38"/>
      <c r="MF133" s="38"/>
      <c r="MG133" s="38"/>
      <c r="MH133" s="43">
        <f t="shared" si="639"/>
        <v>0</v>
      </c>
      <c r="MI133" s="43" t="str">
        <f t="shared" si="640"/>
        <v/>
      </c>
      <c r="MJ133" s="43" t="str">
        <f t="shared" si="641"/>
        <v/>
      </c>
      <c r="MK133" s="43">
        <f t="shared" si="642"/>
        <v>0</v>
      </c>
      <c r="ML1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3" s="43">
        <f t="shared" si="643"/>
        <v>15.871428571428364</v>
      </c>
      <c r="MN133" s="43">
        <f t="shared" si="644"/>
        <v>3</v>
      </c>
      <c r="MO133" s="43">
        <f t="shared" si="645"/>
        <v>2023</v>
      </c>
      <c r="MP133" s="43" t="str">
        <f t="shared" si="646"/>
        <v>I TRIMESTRE AÑO</v>
      </c>
      <c r="MQ133" s="43">
        <f t="shared" si="647"/>
        <v>18.78011388523872</v>
      </c>
      <c r="MR133" s="43">
        <f t="shared" si="648"/>
        <v>0</v>
      </c>
      <c r="MS133" s="43" t="str">
        <f t="shared" si="649"/>
        <v>DE 14 A 19AÑOS</v>
      </c>
      <c r="MT133" s="43">
        <f t="shared" si="650"/>
        <v>0</v>
      </c>
      <c r="MU133" s="43">
        <f t="shared" si="651"/>
        <v>0</v>
      </c>
      <c r="MV133" s="43">
        <f t="shared" si="652"/>
        <v>0</v>
      </c>
      <c r="MW133" s="43">
        <f t="shared" si="653"/>
        <v>0</v>
      </c>
      <c r="MX133" s="43" t="str">
        <f t="shared" si="654"/>
        <v/>
      </c>
      <c r="MY133" s="43" t="str">
        <f t="shared" ca="1" si="495"/>
        <v/>
      </c>
      <c r="MZ133" s="43" t="str">
        <f t="shared" si="655"/>
        <v/>
      </c>
      <c r="NA133" s="43" t="str">
        <f t="shared" si="656"/>
        <v/>
      </c>
      <c r="NB133" s="43" t="str">
        <f t="shared" si="657"/>
        <v/>
      </c>
      <c r="NC133" s="43" t="str">
        <f t="shared" si="658"/>
        <v/>
      </c>
      <c r="ND133" s="43">
        <f t="shared" ca="1" si="659"/>
        <v>0</v>
      </c>
      <c r="NE133" s="43">
        <f>IF(OR(O133&gt;0,R133&gt;0),SUM(COUNTIF(Tabla1[[#This Row],[AÑOS AL INICIO5 CPN]],"&gt;=40"),COUNTIF(AS133,"0"),COUNTIF(AR133,"SI"),COUNTIF(CC133,"SI"),COUNTIF(BQ133,"&gt;119"),COUNTIF(CI133,"&gt;=35")),"")</f>
        <v>0</v>
      </c>
      <c r="NF133" s="43">
        <f t="shared" si="660"/>
        <v>21.299999999999791</v>
      </c>
      <c r="NG133" s="43">
        <f t="shared" si="661"/>
        <v>0</v>
      </c>
      <c r="NH133" s="43">
        <f t="shared" si="662"/>
        <v>114.10000000000001</v>
      </c>
      <c r="NI1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CPN",P133="NO"),"Z",IF(AND(Tabla1[[#This Row],[CITA PROXIMO CONTROL]]="CITA MANUAL",Tabla1[[#This Row],[GESTANTES ACTUALES]]="ACTIVA INGRESO A CPN"),"W",IF(AND(Tabla1[[#This Row],[GESTANTES ACTUALES]]="SALIO PROGRAMA",IN133=""),"S",IF(AND(Tabla1[[#This Row],[CITA PROXIMO CONTROL]]&gt;0,IN133=""),(Tabla1[[#This Row],[CITA PROXIMO CONTROL]]-TODAY()),"SD"))))))))</f>
        <v>#REF!</v>
      </c>
      <c r="NJ133" s="43">
        <f>MONTH(Tabla1[[#This Row],[FECHA DE SALIDA  DEL PROGRAMA]])</f>
        <v>1</v>
      </c>
      <c r="NK133" s="43">
        <f>YEAR(Tabla1[[#This Row],[FECHA DE SALIDA  DEL PROGRAMA]])</f>
        <v>1900</v>
      </c>
      <c r="NL133" s="43" t="str">
        <f t="shared" si="663"/>
        <v>X</v>
      </c>
      <c r="NM133" s="43" t="str">
        <f t="shared" si="500"/>
        <v>NO</v>
      </c>
      <c r="NN133" s="43" t="str">
        <f ca="1">IF(AND(O133&gt;0,R133=""),"NO CPN",IF(AND(O133="",R133=""),"",IF(AND(R133&gt;0,Tabla1[[#This Row],[SEMANAS DE GESTACION ACTUALIZADAS]]&lt;=12),"NO APLICA",IF(AND(FH133&lt;&gt;"",FN133&lt;&gt;""),"SI","NO"))))</f>
        <v>NO</v>
      </c>
      <c r="NO133" s="43" t="str">
        <f ca="1">IF(AND(O133&gt;0,R133=""),"NO CPN",IF(AND(O133="",R133=""),"",IF(AND(R133&gt;0,Tabla1[[#This Row],[SEMANAS DE GESTACION ACTUALIZADAS]]&lt;=27),"NO APLICA",IF(AND(ES133&lt;&gt;"",FQ133&lt;&gt;"",GF133&lt;&gt;""),"SI","NO"))))</f>
        <v>NO</v>
      </c>
      <c r="NP133" s="204" t="str">
        <f t="shared" si="664"/>
        <v>II TRIM</v>
      </c>
      <c r="NQ133" s="21" t="str">
        <f t="shared" si="499"/>
        <v/>
      </c>
      <c r="NR133" s="21" t="str">
        <f t="shared" ca="1" si="496"/>
        <v>REVISAR FUM O FECHA SALIDA PROGRAMA</v>
      </c>
      <c r="NS133" s="205">
        <f t="shared" ca="1" si="665"/>
        <v>1</v>
      </c>
      <c r="NT133" s="21">
        <f t="shared" ca="1" si="666"/>
        <v>1</v>
      </c>
      <c r="NU133" s="21" t="str">
        <f t="shared" ca="1" si="667"/>
        <v>POR DEFINIR</v>
      </c>
      <c r="NV133" s="21" t="str">
        <f t="shared" ca="1" si="668"/>
        <v>POR DEFINIR</v>
      </c>
      <c r="NW133" s="206" t="str">
        <f>IF(AND(O133="",R133=""),"",IF(OR(AND(Tabla1[[#This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3" s="207" t="str">
        <f t="shared" ca="1" si="669"/>
        <v>VACUNADA</v>
      </c>
      <c r="NY133" s="43">
        <f>ROW(Tabla1[[#This Row],['# DE TAMIZAJES SIFILIS TOMADOS ]])</f>
        <v>133</v>
      </c>
      <c r="NZ133" s="43">
        <f t="shared" si="501"/>
        <v>15</v>
      </c>
      <c r="OA133" s="43" t="str">
        <f t="shared" si="502"/>
        <v/>
      </c>
      <c r="OB133" s="43" t="str">
        <f t="shared" si="503"/>
        <v/>
      </c>
      <c r="OC133" s="43" t="str">
        <f t="shared" si="504"/>
        <v/>
      </c>
      <c r="OD133" s="43" t="str">
        <f t="shared" si="505"/>
        <v/>
      </c>
      <c r="OE133" s="43" t="str">
        <f t="shared" si="506"/>
        <v/>
      </c>
      <c r="OF133" s="43" t="str">
        <f t="shared" si="507"/>
        <v/>
      </c>
      <c r="OG133" s="43" t="str">
        <f t="shared" si="508"/>
        <v>BAJO PESO</v>
      </c>
      <c r="OH133" s="43" t="str">
        <f t="shared" si="509"/>
        <v/>
      </c>
      <c r="OI133" s="43" t="str">
        <f t="shared" si="510"/>
        <v/>
      </c>
      <c r="OJ133" s="43" t="str">
        <f t="shared" si="511"/>
        <v/>
      </c>
      <c r="OK133" s="43" t="str">
        <f t="shared" si="512"/>
        <v/>
      </c>
      <c r="OL133" s="43" t="str">
        <f t="shared" si="513"/>
        <v/>
      </c>
      <c r="OM133" s="43" t="str">
        <f t="shared" si="514"/>
        <v/>
      </c>
      <c r="ON133" s="43" t="str">
        <f t="shared" si="515"/>
        <v/>
      </c>
      <c r="OO133" s="43" t="str">
        <f t="shared" si="516"/>
        <v/>
      </c>
      <c r="OP133" s="43" t="str">
        <f t="shared" si="517"/>
        <v/>
      </c>
      <c r="OQ133" s="43" t="str">
        <f t="shared" si="518"/>
        <v/>
      </c>
      <c r="OR133" s="43" t="str">
        <f t="shared" si="519"/>
        <v/>
      </c>
      <c r="OS133" s="43" t="str">
        <f t="shared" si="520"/>
        <v/>
      </c>
      <c r="OT133" s="43" t="str">
        <f t="shared" si="521"/>
        <v/>
      </c>
      <c r="OU133" s="43" t="str">
        <f t="shared" si="522"/>
        <v/>
      </c>
      <c r="OV133" s="110" t="str">
        <f t="shared" si="523"/>
        <v/>
      </c>
      <c r="OW133" s="43" t="str">
        <f t="shared" si="524"/>
        <v/>
      </c>
      <c r="OX133" s="43" t="str">
        <f t="shared" si="525"/>
        <v/>
      </c>
      <c r="OY133" s="43" t="str">
        <f t="shared" si="526"/>
        <v/>
      </c>
      <c r="OZ133" s="43" t="str">
        <f t="shared" si="527"/>
        <v/>
      </c>
      <c r="PA133" s="43" t="str">
        <f t="shared" si="528"/>
        <v/>
      </c>
      <c r="PB133" s="43" t="str">
        <f t="shared" si="529"/>
        <v/>
      </c>
      <c r="PC133" s="43" t="str">
        <f t="shared" si="530"/>
        <v/>
      </c>
      <c r="PD133" s="43" t="str">
        <f t="shared" si="531"/>
        <v/>
      </c>
      <c r="PE133" s="43" t="str">
        <f t="shared" si="532"/>
        <v/>
      </c>
      <c r="PF133" s="43" t="str">
        <f t="shared" si="533"/>
        <v/>
      </c>
      <c r="PG133" s="43" t="str">
        <f t="shared" si="534"/>
        <v/>
      </c>
      <c r="PH133" s="43" t="str">
        <f t="shared" si="535"/>
        <v/>
      </c>
      <c r="PI133" s="43">
        <f t="shared" si="536"/>
        <v>31</v>
      </c>
      <c r="PJ133" s="43" t="str">
        <f t="shared" si="537"/>
        <v/>
      </c>
      <c r="PK133" s="43" t="str">
        <f t="shared" si="538"/>
        <v/>
      </c>
      <c r="PL133" s="43" t="str">
        <f t="shared" si="539"/>
        <v/>
      </c>
      <c r="PM133" s="43" t="str">
        <f t="shared" si="540"/>
        <v/>
      </c>
      <c r="PN133" s="43" t="str">
        <f t="shared" si="541"/>
        <v/>
      </c>
      <c r="PO133" s="43" t="str">
        <f t="shared" si="542"/>
        <v/>
      </c>
      <c r="PP133" s="43" t="str">
        <f t="shared" si="543"/>
        <v/>
      </c>
      <c r="PQ133" s="43" t="str">
        <f t="shared" si="544"/>
        <v/>
      </c>
      <c r="PR133" s="43" t="str">
        <f t="shared" si="545"/>
        <v/>
      </c>
      <c r="PS133" s="43" t="str">
        <f t="shared" si="546"/>
        <v/>
      </c>
      <c r="PT133" s="43" t="str">
        <f t="shared" si="547"/>
        <v/>
      </c>
      <c r="PU133" s="43" t="str">
        <f t="shared" si="548"/>
        <v/>
      </c>
      <c r="PV133" s="43" t="str">
        <f t="shared" si="549"/>
        <v/>
      </c>
      <c r="PW133" s="43" t="str">
        <f t="shared" si="550"/>
        <v/>
      </c>
      <c r="PX133" s="43" t="str">
        <f t="shared" si="551"/>
        <v/>
      </c>
      <c r="PY133" s="43" t="str">
        <f t="shared" si="552"/>
        <v/>
      </c>
      <c r="PZ133" s="43" t="str">
        <f t="shared" si="553"/>
        <v/>
      </c>
      <c r="QA133" s="43" t="str">
        <f t="shared" si="554"/>
        <v/>
      </c>
      <c r="QB133" s="43" t="str">
        <f t="shared" si="555"/>
        <v/>
      </c>
      <c r="QC133" s="43" t="str">
        <f t="shared" si="556"/>
        <v/>
      </c>
      <c r="QD133" s="43" t="str">
        <f t="shared" si="557"/>
        <v/>
      </c>
      <c r="QE133" s="43" t="str">
        <f t="shared" si="558"/>
        <v/>
      </c>
      <c r="QF133" s="43" t="str">
        <f t="shared" si="559"/>
        <v>BAJO PESO</v>
      </c>
      <c r="QG133" s="43" t="str">
        <f t="shared" si="560"/>
        <v/>
      </c>
      <c r="QH133" s="43" t="str">
        <f t="shared" si="561"/>
        <v/>
      </c>
      <c r="QI133" s="43" t="str">
        <f t="shared" si="562"/>
        <v/>
      </c>
      <c r="QJ133" s="43" t="str">
        <f t="shared" si="563"/>
        <v/>
      </c>
      <c r="QK133" s="43" t="str">
        <f t="shared" si="564"/>
        <v/>
      </c>
      <c r="QL133" s="43" t="str">
        <f t="shared" si="565"/>
        <v/>
      </c>
      <c r="QM133" s="43" t="str">
        <f t="shared" si="566"/>
        <v/>
      </c>
      <c r="QN133" s="43" t="str">
        <f t="shared" si="567"/>
        <v/>
      </c>
      <c r="QO133" s="43" t="str">
        <f t="shared" si="568"/>
        <v/>
      </c>
      <c r="QP133" s="43" t="str">
        <f t="shared" si="569"/>
        <v/>
      </c>
      <c r="QQ133" s="43" t="str">
        <f t="shared" si="570"/>
        <v/>
      </c>
      <c r="QR133" s="43">
        <f t="shared" si="670"/>
        <v>31</v>
      </c>
      <c r="QS133" s="43"/>
      <c r="QT133" s="21" t="str">
        <f t="shared" si="571"/>
        <v/>
      </c>
      <c r="QU133" s="21" t="str">
        <f t="shared" si="572"/>
        <v/>
      </c>
      <c r="QV133" s="21" t="str">
        <f t="shared" si="573"/>
        <v/>
      </c>
      <c r="QW133" s="21" t="str">
        <f t="shared" si="574"/>
        <v/>
      </c>
      <c r="QX133" s="21" t="str">
        <f t="shared" si="575"/>
        <v/>
      </c>
      <c r="QY133" s="21" t="str">
        <f t="shared" si="576"/>
        <v/>
      </c>
      <c r="QZ133" s="21" t="str">
        <f t="shared" si="577"/>
        <v/>
      </c>
      <c r="RA133" s="21" t="str">
        <f t="shared" si="578"/>
        <v/>
      </c>
      <c r="RB133" s="21" t="str">
        <f t="shared" si="579"/>
        <v/>
      </c>
      <c r="RC133" s="21" t="str">
        <f t="shared" si="580"/>
        <v/>
      </c>
      <c r="RD133" s="21" t="str">
        <f t="shared" si="581"/>
        <v/>
      </c>
      <c r="RE133" s="21" t="str">
        <f t="shared" si="582"/>
        <v/>
      </c>
      <c r="RF133" s="21" t="str">
        <f t="shared" si="583"/>
        <v/>
      </c>
      <c r="RG133" s="21" t="str">
        <f t="shared" si="584"/>
        <v/>
      </c>
      <c r="RH133" s="21" t="str">
        <f t="shared" si="585"/>
        <v/>
      </c>
      <c r="RI133" s="21" t="str">
        <f t="shared" si="586"/>
        <v/>
      </c>
      <c r="RJ133" s="21" t="str">
        <f t="shared" si="587"/>
        <v/>
      </c>
      <c r="RK133" s="21" t="str">
        <f t="shared" si="588"/>
        <v/>
      </c>
      <c r="RL133" s="21" t="str">
        <f t="shared" si="589"/>
        <v>ADECUADO PARA EDAD GESTACIONAL</v>
      </c>
      <c r="RM133" s="21" t="str">
        <f t="shared" si="590"/>
        <v/>
      </c>
      <c r="RN133" s="21" t="str">
        <f t="shared" si="591"/>
        <v/>
      </c>
      <c r="RO133" s="21" t="str">
        <f t="shared" si="592"/>
        <v/>
      </c>
      <c r="RP133" s="21" t="str">
        <f t="shared" si="593"/>
        <v/>
      </c>
      <c r="RQ133" s="21" t="str">
        <f t="shared" si="594"/>
        <v/>
      </c>
      <c r="RR133" s="21" t="str">
        <f t="shared" si="595"/>
        <v/>
      </c>
      <c r="RS133" s="21" t="str">
        <f t="shared" si="596"/>
        <v/>
      </c>
      <c r="RT133" s="21" t="str">
        <f t="shared" si="597"/>
        <v/>
      </c>
      <c r="RU133" s="21" t="str">
        <f t="shared" si="598"/>
        <v/>
      </c>
      <c r="RV133" s="21">
        <f t="shared" si="599"/>
        <v>15.871428571428364</v>
      </c>
      <c r="RW133" s="284">
        <f>IF(OR(Tabla1[[#This Row],[FUM FORMULA CONFIABLE]]="",Tabla1[[#This Row],[FUM FORMULA CONFIABLE]]="SD"),"",IF(Tabla1[[#This Row],[FUM FORMULA CONFIABLE]]="CORREGIDA",Tabla1[[#This Row],[FUM X ECO 1]],Tabla1[[#This Row],[FUM x AMENORREA]]))</f>
        <v>44901.9</v>
      </c>
      <c r="RX133" s="21">
        <f>IF(AND(Tabla1[[#This Row],[FUM X ECO 1]]="",Tabla1[[#This Row],[FUM x AMENORREA]]=""),"",IF(AND(Tabla1[[#This Row],[FUM X ECO 1]]="",Tabla1[[#This Row],[FUM x AMENORREA]]&lt;&gt;""),"X",SUM(Tabla1[[#This Row],[FUM X ECO 1]]-Tabla1[[#This Row],[FUM x AMENORREA]])))</f>
        <v>6.9000000000014552</v>
      </c>
      <c r="RY133" s="21">
        <f t="shared" si="671"/>
        <v>1</v>
      </c>
    </row>
    <row r="134" spans="1:493" ht="45" customHeight="1" x14ac:dyDescent="0.25">
      <c r="A134" s="109" t="s">
        <v>1396</v>
      </c>
      <c r="B134" s="43" t="s">
        <v>1397</v>
      </c>
      <c r="C134" s="43" t="s">
        <v>845</v>
      </c>
      <c r="D134" s="124"/>
      <c r="E134" s="43" t="s">
        <v>979</v>
      </c>
      <c r="F134" s="43" t="s">
        <v>943</v>
      </c>
      <c r="G134" s="43" t="s">
        <v>1217</v>
      </c>
      <c r="H134" s="43" t="s">
        <v>1398</v>
      </c>
      <c r="I134" s="109" t="s">
        <v>851</v>
      </c>
      <c r="J134" s="110">
        <v>1002846528</v>
      </c>
      <c r="K134" s="43" t="s">
        <v>852</v>
      </c>
      <c r="L134" s="175" t="s">
        <v>1509</v>
      </c>
      <c r="M134" s="22">
        <v>35970</v>
      </c>
      <c r="N134" s="213">
        <f t="shared" ca="1" si="600"/>
        <v>25.378082191780823</v>
      </c>
      <c r="O134" s="22">
        <v>45001</v>
      </c>
      <c r="P134" s="214" t="str">
        <f t="shared" si="437"/>
        <v>SI</v>
      </c>
      <c r="Q134" s="26" t="s">
        <v>855</v>
      </c>
      <c r="R134" s="22">
        <v>45001</v>
      </c>
      <c r="S134" s="21" t="s">
        <v>856</v>
      </c>
      <c r="T134" s="24" t="s">
        <v>690</v>
      </c>
      <c r="U134" s="21" t="s">
        <v>857</v>
      </c>
      <c r="V134" s="21" t="s">
        <v>858</v>
      </c>
      <c r="W134" s="21" t="s">
        <v>955</v>
      </c>
      <c r="X134" s="21"/>
      <c r="Y134" s="21" t="s">
        <v>955</v>
      </c>
      <c r="Z134" s="21">
        <v>3163644216</v>
      </c>
      <c r="AA134" s="21" t="s">
        <v>860</v>
      </c>
      <c r="AB134" s="27" t="s">
        <v>861</v>
      </c>
      <c r="AC134" s="26" t="s">
        <v>897</v>
      </c>
      <c r="AD134" s="38" t="s">
        <v>1546</v>
      </c>
      <c r="AE134" s="26" t="s">
        <v>854</v>
      </c>
      <c r="AF134" s="26" t="s">
        <v>854</v>
      </c>
      <c r="AG134" s="23" t="s">
        <v>864</v>
      </c>
      <c r="AH134" s="23" t="s">
        <v>864</v>
      </c>
      <c r="AI134" s="24" t="s">
        <v>863</v>
      </c>
      <c r="AJ134" s="23" t="s">
        <v>864</v>
      </c>
      <c r="AK134" s="220" t="str">
        <f>IF(AND(AD134="",AE134="",AF134="",AG134="",AH134="",AI134="",AJ134=""),"",IF(OR(Tabla1[[#This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EVALUACIÓN",IF(AND(O134="",R134=""),"",IF(AND(OR(O134&gt;0,R134&gt;0),NG134&gt;=0,NG134&lt;2),"SIN RIESGO",IF(AND(OR(O134&gt;0,R134&gt;0),NG134&gt;=2),"CON RIESGO","ASD")))))</f>
        <v>SIN RIESGO</v>
      </c>
      <c r="AL134" s="23" t="s">
        <v>864</v>
      </c>
      <c r="AM134" s="26" t="s">
        <v>864</v>
      </c>
      <c r="AN134" s="26" t="s">
        <v>864</v>
      </c>
      <c r="AO134" s="26" t="s">
        <v>864</v>
      </c>
      <c r="AP134" s="26" t="s">
        <v>864</v>
      </c>
      <c r="AQ134" s="26" t="s">
        <v>864</v>
      </c>
      <c r="AR134" s="26" t="s">
        <v>864</v>
      </c>
      <c r="AS134" s="21">
        <v>1</v>
      </c>
      <c r="AT134" s="21">
        <v>1</v>
      </c>
      <c r="AU134" s="21">
        <v>0</v>
      </c>
      <c r="AV134" s="26" t="s">
        <v>864</v>
      </c>
      <c r="AW134" s="21">
        <v>0</v>
      </c>
      <c r="AX134" s="26" t="s">
        <v>864</v>
      </c>
      <c r="AY134" s="26" t="s">
        <v>864</v>
      </c>
      <c r="AZ134" s="26" t="s">
        <v>864</v>
      </c>
      <c r="BA134" s="26" t="s">
        <v>864</v>
      </c>
      <c r="BB134" s="26" t="s">
        <v>864</v>
      </c>
      <c r="BC134" s="26" t="s">
        <v>864</v>
      </c>
      <c r="BD134" s="26" t="s">
        <v>864</v>
      </c>
      <c r="BE134" s="26" t="s">
        <v>864</v>
      </c>
      <c r="BF134" s="26" t="s">
        <v>864</v>
      </c>
      <c r="BG134" s="26" t="s">
        <v>864</v>
      </c>
      <c r="BH134" s="26" t="s">
        <v>864</v>
      </c>
      <c r="BI134" s="26" t="s">
        <v>864</v>
      </c>
      <c r="BJ134" s="26" t="s">
        <v>864</v>
      </c>
      <c r="BK134" s="26" t="s">
        <v>864</v>
      </c>
      <c r="BL134" s="26" t="s">
        <v>864</v>
      </c>
      <c r="BM134" s="26" t="s">
        <v>864</v>
      </c>
      <c r="BN134" s="22">
        <v>43945</v>
      </c>
      <c r="BO134" s="22">
        <v>44922</v>
      </c>
      <c r="BP134" s="21" t="s">
        <v>854</v>
      </c>
      <c r="BQ134" s="222">
        <f t="shared" si="601"/>
        <v>32.56666666666667</v>
      </c>
      <c r="BR134" s="223">
        <f t="shared" si="602"/>
        <v>44922.9</v>
      </c>
      <c r="BS134" s="224">
        <f t="shared" si="603"/>
        <v>11.285714285714286</v>
      </c>
      <c r="BT134" s="216" t="str">
        <f t="shared" si="604"/>
        <v>II TRIM</v>
      </c>
      <c r="BU134" s="214" t="str">
        <f t="shared" ca="1" si="605"/>
        <v/>
      </c>
      <c r="BV134" s="25"/>
      <c r="BW134" s="22">
        <v>45016</v>
      </c>
      <c r="BX134" s="28">
        <v>13.3</v>
      </c>
      <c r="BY134" s="28"/>
      <c r="BZ134" s="22"/>
      <c r="CA134" s="21"/>
      <c r="CB134" s="26" t="s">
        <v>864</v>
      </c>
      <c r="CC134" s="26" t="s">
        <v>864</v>
      </c>
      <c r="CD134" s="26"/>
      <c r="CE134" s="26" t="s">
        <v>864</v>
      </c>
      <c r="CF134" s="22" t="s">
        <v>1517</v>
      </c>
      <c r="CG134" s="21">
        <v>1.48</v>
      </c>
      <c r="CH134" s="21">
        <v>72.2</v>
      </c>
      <c r="CI134" s="214">
        <f t="shared" si="606"/>
        <v>32.962016070124179</v>
      </c>
      <c r="CJ134" s="225" t="e">
        <f>IF(AND(CI134&lt;10,CH134="SD"),"SIN DATO PESO PREGESTACION O I TRIM",IF(AND(OR(R134&gt;0,O134&gt;0),CI134="X"),"INGRESAR DATO DE PESO",IF(CI134="SD","INGRESAR DATO DE TALLA Y PESO",IF(AND(OR(Tabla1[[#This Row],[MOMENTO EN QUE SE REALIZA EL PESO AL INGRESO A CPN]]="PREGESTACIÓN",NZ134="Menor"),CI134&lt;18.5),"BAJO PESO",IF(AND(OR(Tabla1[[#This Row],[MOMENTO EN QUE SE REALIZA EL PESO AL INGRESO A CPN]]="PREGESTACIÓN",NZ134="Menor"),CI134&lt;25),"NORMAL",IF(AND(OR(Tabla1[[#This Row],[MOMENTO EN QUE SE REALIZA EL PESO AL INGRESO A CPN]]="PREGESTACIÓN",NZ134="Menor"),CI134&lt;30),"SOBREPESO",IF(AND(OR(Tabla1[[#This Row],[MOMENTO EN QUE SE REALIZA EL PESO AL INGRESO A CPN]]="PREGESTACIÓN",NZ134="Menor"),CI134&gt;=30,CI134&lt;50),"OBESIDAD",IF(AND(BS134&gt;0,Tabla1[[#This Row],[MOMENTO EN QUE SE REALIZA EL PESO AL INGRESO A CPN]]="GESTACIÓN"),HLOOKUP(NZ134,$OA$2:PH134,NY134),""))))))))</f>
        <v>#REF!</v>
      </c>
      <c r="CK134" s="212">
        <f t="shared" si="607"/>
        <v>45134</v>
      </c>
      <c r="CL134" s="21">
        <v>80</v>
      </c>
      <c r="CM134" s="214">
        <f t="shared" si="608"/>
        <v>36.523009495982471</v>
      </c>
      <c r="CN134" s="216">
        <f t="shared" si="609"/>
        <v>30</v>
      </c>
      <c r="CO134" s="216" t="e">
        <f>IF(PI134="","",IF(PI134&gt;0,HLOOKUP(PI134,$PJ$2:QQ134,NY134),""))</f>
        <v>#REF!</v>
      </c>
      <c r="CP134" s="21">
        <v>33</v>
      </c>
      <c r="CQ134" s="216" t="e">
        <f>IF(QR134="Menor","NO APLICA-MENOR 13 SEM",IF(AND(CC134="SI",CN134&gt;23),"NO APLICA- GEMELAR",IF(QR134="","",IF(QR134&gt;0,HLOOKUP(QR134,$QS$2:RU134,NY134),""))))</f>
        <v>#REF!</v>
      </c>
      <c r="CR134" s="21">
        <v>100</v>
      </c>
      <c r="CS134" s="21">
        <v>60</v>
      </c>
      <c r="CT134" s="217" t="str">
        <f>IF(R134="","",IF(AND(BS134&gt;1,BS134&lt;12,Tabla1[[#This Row],[T.A. SISTOLICA - ANTES DE SEMANA 12]]="",Tabla1[[#This Row],[T.A. DIASTOLICA - ANTES DE SEMANA 12]]=""),"REGISTRE DATO TA ANTES SEMANA 12",IF(AND(BS134&gt;11,BS134&lt;43,Tabla1[[#This Row],[T.A. SISTOLICA - ANTES DE SEMANA 12]]="",Tabla1[[#This Row],[T.A. DIASTOLICA - ANTES DE SEMANA 12]]=""),"NO APLICA REGISTRO TA-INGRESO TARDIO",IF(AND(OR(O134&gt;0,R134&gt;0),OR(CR134&gt;=140,CS134&gt;=90)),"DEFINIR ESTADIO HTA",IF(AND(OR(O134&gt;0,R134&gt;0),AND(CR134&gt;120,CR134&lt;=139)),"PRE HTA SEGUIMIENTO",IF(AND(OR(O134&gt;0,R134&gt;0),AND(CS134&gt;80,CS134&lt;=89)),"PRE HTA SEGUIMIENTO",IF(AND(OR(O134&gt;0,R134&gt;0),AND(CR134&gt;=80,CR134&lt;=120)),"APARENTEMENTE NORMAL",IF(AND(OR(O134&gt;0,R134&gt;0),AND(CS134&gt;=50,CS134&lt;=80)),"APARENTEMENTE NORMAL",IF(AND(OR(O134&gt;0,R134&gt;0),AND(CR134&gt;1,CR134&lt;=70),AND(CS134&gt;1,CS134&lt;=40)),"HIPOTENSIÓN","")))))))))</f>
        <v>APARENTEMENTE NORMAL</v>
      </c>
      <c r="CU134" s="21">
        <v>100</v>
      </c>
      <c r="CV134" s="21">
        <v>60</v>
      </c>
      <c r="CW134" s="217" t="str">
        <f ca="1">IF(R134="","",IF(AND(CN134&gt;19,CN134&lt;27,Tabla1[[#This Row],[T.A. SISTOLICA (Entre semana 20 y 26)]]="",Tabla1[[#This Row],[T.A. DIATOLICA (Entre semana 20 y 26)]]=""),"ACUDE A CONTROL SEM 20 A 26 REGISTRE TA AHORA",IF(AND(BS134&gt;1,BS134&lt;27,BU134&gt;19,Tabla1[[#This Row],[T.A. SISTOLICA (Entre semana 20 y 26)]]="",Tabla1[[#This Row],[T.A. DIATOLICA (Entre semana 20 y 26)]]=""),"COMPLETE REGISTRO TA CONTROL SEM 20 A26 ",IF(AND(BS134&gt;26,BS134&lt;43,Tabla1[[#This Row],[T.A. SISTOLICA (Entre semana 20 y 26)]]="",Tabla1[[#This Row],[T.A. DIATOLICA (Entre semana 20 y 26)]]=""),"NO APLICA REGISTRO TA-INGRESO TARDIO",IF(AND(OR(O134&gt;0,R134&gt;0),OR(CU134&gt;=140,CV134&gt;=90)),"ALTO RIESGO PREECLAMPSIA,DEFINIR ESTADIO HTA",IF(AND(OR(O134&gt;0,R134&gt;0),AND(CU134&gt;120,CU134&lt;=139)),"PRE HTA SEGUIMIENTO,RIESGO HIPERTENSION INDUCIDA POR EL EMBARAZO",IF(AND(OR(O134&gt;0,R134&gt;0),AND(CV134&gt;80,CV134&lt;=89)),"PRE HTA SEGUIMIENTO, RIESGO HIPERTENSION INDUCIDA POR EL EMBARAZO",IF(AND(OR(O134&lt;&gt;"",R134&lt;&gt;""),CS134&lt;&gt;"",CV134&lt;&gt;"",CS134&lt;=CV134),"VIGILAR CIFRAS PRESION ARTERIAL",IF(AND(OR(O134&gt;0,R134&gt;0),AND(CU134&gt;120,CU134&lt;=139)),"PRE HTA SEGUIMIENTO",IF(AND(OR(O134&gt;0,R134&gt;0),AND(CU134&gt;1,CU134&lt;=70),AND(CV134&gt;1,CV134&lt;=40)),"HIPOTENSIÓN",IF(AND(OR(O134&lt;&gt;"",R134&lt;&gt;""),CS134&lt;&gt;"",CV134&lt;&gt;"",CS134&gt;CV134),"APARENTEMENTE NORMAL",IF(AND(OR(O134&gt;0,R134&gt;0),AND(CU134&gt;=80,CU134&lt;=120)),"APARENTEMENTE NORMAL",IF(AND(OR(O134&gt;0,R134&gt;0),AND(CV134&gt;=50,CV134&lt;=80)),"APARENTEMENTE NORMAL","")))))))))))))</f>
        <v>VIGILAR CIFRAS PRESION ARTERIAL</v>
      </c>
      <c r="CX134" s="21"/>
      <c r="CY134" s="21"/>
      <c r="CZ134" s="216" t="str">
        <f t="shared" si="498"/>
        <v/>
      </c>
      <c r="DA134" s="21">
        <v>115</v>
      </c>
      <c r="DB134" s="21">
        <v>85</v>
      </c>
      <c r="DC134" s="217" t="str">
        <f t="shared" si="610"/>
        <v>PRE HTA,RIESGO ALTO PREECLAMPSIA</v>
      </c>
      <c r="DD134" s="22">
        <v>45001</v>
      </c>
      <c r="DE134" s="22">
        <v>45001</v>
      </c>
      <c r="DF134" s="22">
        <v>45065</v>
      </c>
      <c r="DG134" s="22">
        <v>45104</v>
      </c>
      <c r="DH134" s="22">
        <v>45134</v>
      </c>
      <c r="DI134" s="22"/>
      <c r="DJ134" s="22"/>
      <c r="DK134" s="22"/>
      <c r="DL134" s="22"/>
      <c r="DM134" s="22"/>
      <c r="DN134" s="22"/>
      <c r="DO134" s="22"/>
      <c r="DP134" s="22"/>
      <c r="DQ134" s="22"/>
      <c r="DR134" s="28">
        <v>1</v>
      </c>
      <c r="DS134" s="22"/>
      <c r="DT134" s="22"/>
      <c r="DU134" s="216" t="str">
        <f t="shared" ca="1" si="438"/>
        <v>CONCERTAR PLAN DE PARTO INMEDIATO</v>
      </c>
      <c r="DV134" s="226" t="str">
        <f t="shared" si="439"/>
        <v>ACTIVA INGRESO A CPN</v>
      </c>
      <c r="DW1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4" s="216" t="e">
        <f t="shared" ca="1" si="611"/>
        <v>#REF!</v>
      </c>
      <c r="DY134" s="212">
        <f>IF(R134="","",IF(R134&gt;0,MAX(Tabla1[[#This Row],[FECHA C2]:[FECHA C13]],Tabla1[[#This Row],[FECHA CONSULTA PRIMERA VEZ PROGRAMA CPN ]])))</f>
        <v>45134</v>
      </c>
      <c r="DZ134" s="216">
        <f t="shared" si="612"/>
        <v>30</v>
      </c>
      <c r="EA134" s="222">
        <f>IF(R134&gt;0,SUM(COUNTA(DF134:DQ134)+COUNTA(Tabla1[[#This Row],[FECHA CONSULTA PRIMERA VEZ PROGRAMA CPN ]])),"")</f>
        <v>4</v>
      </c>
      <c r="EB134" s="222" t="str">
        <f t="shared" si="613"/>
        <v>SI</v>
      </c>
      <c r="EC134" s="214">
        <f t="shared" si="614"/>
        <v>9</v>
      </c>
      <c r="ED134" s="227">
        <f t="shared" si="615"/>
        <v>0.44444444444444442</v>
      </c>
      <c r="EE134" s="22">
        <v>45003</v>
      </c>
      <c r="EF134" s="22">
        <v>45003</v>
      </c>
      <c r="EG134" s="22">
        <v>45003</v>
      </c>
      <c r="EH134" s="22"/>
      <c r="EI134" s="22">
        <v>45003</v>
      </c>
      <c r="EJ134" s="22"/>
      <c r="EK134" s="22"/>
      <c r="EL134" s="21"/>
      <c r="EM134" s="21">
        <v>13.6</v>
      </c>
      <c r="EN134" s="22">
        <v>45016</v>
      </c>
      <c r="EO134" s="222">
        <f t="shared" si="616"/>
        <v>13.428571428571429</v>
      </c>
      <c r="EP134" s="214" t="str">
        <f t="shared" si="617"/>
        <v>NORMAL- SUMINISTRAR SULFATO FERROSO</v>
      </c>
      <c r="EQ134" s="216" t="str">
        <f t="shared" si="618"/>
        <v>II TRIM</v>
      </c>
      <c r="ER134" s="24"/>
      <c r="ES134" s="22"/>
      <c r="ET134" s="29" t="str">
        <f t="shared" ca="1" si="440"/>
        <v>TOMA DE HEMOGLOBINA TARDÍA</v>
      </c>
      <c r="EU134" s="25" t="str">
        <f t="shared" si="619"/>
        <v/>
      </c>
      <c r="EV134" s="24" t="s">
        <v>1510</v>
      </c>
      <c r="EW134" s="32">
        <v>45016</v>
      </c>
      <c r="EX134" s="22"/>
      <c r="EY134" s="29">
        <f t="shared" si="453"/>
        <v>13.428571428571429</v>
      </c>
      <c r="EZ134" s="25" t="str">
        <f t="shared" si="454"/>
        <v>SIN RIESGO DE ISOINMUNIZACIÓN</v>
      </c>
      <c r="FA134" s="21">
        <v>90</v>
      </c>
      <c r="FB134" s="22">
        <v>45016</v>
      </c>
      <c r="FC134" s="29">
        <f t="shared" si="620"/>
        <v>13.428571428571429</v>
      </c>
      <c r="FD134" s="29"/>
      <c r="FE134" s="29"/>
      <c r="FF134" s="29"/>
      <c r="FG134" s="21" t="str">
        <f t="shared" ca="1" si="621"/>
        <v/>
      </c>
      <c r="FH134" s="31"/>
      <c r="FI134" s="29" t="str">
        <f t="shared" si="622"/>
        <v>TOMAR EXAMEN</v>
      </c>
      <c r="FJ134" s="22"/>
      <c r="FK134" s="22"/>
      <c r="FL134" s="29" t="str">
        <f t="shared" ca="1" si="623"/>
        <v>PIERDE TOMA DE TAMIZAJE</v>
      </c>
      <c r="FM134" s="22" t="s">
        <v>867</v>
      </c>
      <c r="FN134" s="32">
        <v>45016</v>
      </c>
      <c r="FO134" s="29">
        <f t="shared" ca="1" si="441"/>
        <v>13.428571428571429</v>
      </c>
      <c r="FP134" s="22"/>
      <c r="FQ134" s="32"/>
      <c r="FR134" s="29" t="str">
        <f t="shared" ca="1" si="442"/>
        <v>TOMA INMEDIATA DE TAMIZAJE</v>
      </c>
      <c r="FS134" s="22"/>
      <c r="FT134" s="32"/>
      <c r="FU134" s="29" t="str">
        <f>IF(AND(FJ134="",FM134="",FP134="",FS134=""),"",IF(OR(OR(Tabla1[[#This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4" s="28"/>
      <c r="FW134" s="22"/>
      <c r="FX134" s="29" t="str">
        <f t="shared" si="624"/>
        <v>TOMAR EXAMEN</v>
      </c>
      <c r="FY134" s="22" t="s">
        <v>868</v>
      </c>
      <c r="FZ134" s="22">
        <v>45001</v>
      </c>
      <c r="GA134" s="29">
        <f t="shared" ca="1" si="497"/>
        <v>11.285714285714286</v>
      </c>
      <c r="GB134" s="22" t="s">
        <v>868</v>
      </c>
      <c r="GC134" s="22">
        <v>45016</v>
      </c>
      <c r="GD134" s="29">
        <f t="shared" ca="1" si="490"/>
        <v>13.428571428571429</v>
      </c>
      <c r="GE134" s="22"/>
      <c r="GF134" s="22"/>
      <c r="GG134" s="29" t="str">
        <f t="shared" ca="1" si="444"/>
        <v>TOMA INMEDIATA DE TAMIZAJE</v>
      </c>
      <c r="GH134" s="22"/>
      <c r="GI134" s="29"/>
      <c r="GJ134" s="22"/>
      <c r="GK134" s="22"/>
      <c r="GL134" s="22"/>
      <c r="GM134" s="22"/>
      <c r="GN134" s="28" t="s">
        <v>869</v>
      </c>
      <c r="GO134" s="22">
        <v>45016</v>
      </c>
      <c r="GP134" s="29">
        <f t="shared" si="625"/>
        <v>13.428571428571429</v>
      </c>
      <c r="GQ134" s="28" t="s">
        <v>869</v>
      </c>
      <c r="GR134" s="28" t="s">
        <v>869</v>
      </c>
      <c r="GS134" s="22" t="str">
        <f t="shared" si="626"/>
        <v>CONTROL Igm</v>
      </c>
      <c r="GT134" s="22">
        <v>45016</v>
      </c>
      <c r="GU134" s="29">
        <f t="shared" si="627"/>
        <v>13.428571428571429</v>
      </c>
      <c r="GV134" s="21" t="str">
        <f t="shared" si="628"/>
        <v>II TRIM</v>
      </c>
      <c r="GW134" s="28"/>
      <c r="GX134" s="30"/>
      <c r="GY134" s="21"/>
      <c r="GZ134" s="21"/>
      <c r="HA134" s="21"/>
      <c r="HB134" s="21"/>
      <c r="HC134" s="21"/>
      <c r="HD134" s="21"/>
      <c r="HE134" s="21"/>
      <c r="HF134" s="22"/>
      <c r="HG134" s="22" t="str">
        <f>IF(OR(O134&gt;0,R134&gt;0),CONCATENATE(IF(Tabla1[[#This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4" s="22" t="e">
        <f t="shared" si="629"/>
        <v>#REF!</v>
      </c>
      <c r="HI134" s="22" t="e">
        <f t="shared" ca="1" si="630"/>
        <v>#REF!</v>
      </c>
      <c r="HJ134" s="21"/>
      <c r="HK134" s="21" t="str">
        <f t="shared" si="631"/>
        <v>SIN ANTECEDENTES DE RIESGO</v>
      </c>
      <c r="HL134" s="24" t="str">
        <f t="shared" si="632"/>
        <v>PRE HTA,RIESGO ALTO PREECLAMPSIA</v>
      </c>
      <c r="HM134" s="21" t="e">
        <f t="shared" ca="1" si="633"/>
        <v>#REF!</v>
      </c>
      <c r="HN134" s="30" t="str">
        <f t="shared" si="445"/>
        <v>ACTIVA INGRESO A CPN</v>
      </c>
      <c r="HO134" s="21"/>
      <c r="HP134" s="21"/>
      <c r="HQ134" s="349">
        <v>45001</v>
      </c>
      <c r="HR134" s="21" t="str">
        <f>IF(R134="","",IF(Tabla1[[#This Row],[ALARMA FACTORES DE RIESGO COMPLICACIONES HIPERTENSIVAS3]]="SIN ANTECEDENTES DE RIESGO","No Aplica para suministro de ASA",IF(AND(Tabla1[[#This Row],[FECHA INICIO DE SUMINISTRO DE ASA]]&gt;0,RV134&lt;12),"Inicia ASA ANTES de Sem 12",IF(AND(RV134&gt;11,RV134&lt;17,OR(HK134="RIESGO ALTO DE COMPLICACIONES HIPERTENSIVAS VER MANEJO GUIA SUMINISTRO ASA Y CALCIO",HK134="RIESGO MODERADO (2 O MAS CRITERIOS) VER MANEJO GUIA SUMINISTRO ASA Y CALCIO")),"Inicio oportuno de ASA",IF(AND(RV134&gt;12,OR(HK134="RIESGO ALTO DE COMPLICACIONES HIPERTENSIVAS VER MANEJO GUIA SUMINISTRO ASA Y CALCIO",HK134="RIESGO MODERADO (2 O MAS CRITERIOS) VER MANEJO GUIA SUMINISTRO ASA Y CALCIO")),"Inicio no oportuno mayor a 16 semanas",IF(AND(BU134&lt;12,OR(HK134="RIESGO ALTO DE COMPLICACIONES HIPERTENSIVAS VER MANEJO GUIA SUMINISTRO ASA Y CALCIO",HK134="RIESGO MODERADO (2 O MAS CRITERIOS) VER MANEJO GUIA SUMINISTRO ASA Y CALCIO")),"Pendiente Inicio de ASA a la semana 12",IF(AND(BU134&gt;11,BU134&lt;17,OR(HK134="RIESGO ALTO DE COMPLICACIONES HIPERTENSIVAS VER MANEJO GUIA SUMINISTRO ASA Y CALCIO",HK134="RIESGO MODERADO (2 O MAS CRITERIOS) VER MANEJO GUIA SUMINISTRO ASA Y CALCIO")),"Iniciar de inmediato ASA",IF(AND(BU134&gt;16,OR(HK134="RIESGO ALTO DE COMPLICACIONES HIPERTENSIVAS VER MANEJO GUIA SUMINISTRO ASA Y CALCIO",HK134="RIESGO MODERADO (2 O MAS CRITERIOS) VER MANEJO GUIA SUMINISTRO ASA Y CALCIO")),"Pierde Oportunidad, Inicio tardío de ASA","XXXXX"))))))))</f>
        <v>No Aplica para suministro de ASA</v>
      </c>
      <c r="HS134" s="22">
        <v>45001</v>
      </c>
      <c r="HT134" s="22" t="s">
        <v>870</v>
      </c>
      <c r="HU134" s="22">
        <v>45001</v>
      </c>
      <c r="HV134" s="22" t="s">
        <v>870</v>
      </c>
      <c r="HW134" s="22">
        <v>45001</v>
      </c>
      <c r="HX134" s="22" t="s">
        <v>870</v>
      </c>
      <c r="HY134" s="22">
        <v>45001</v>
      </c>
      <c r="HZ134" s="28">
        <f t="shared" si="634"/>
        <v>11.285714285714286</v>
      </c>
      <c r="IA134" s="26" t="s">
        <v>864</v>
      </c>
      <c r="IB134" s="26"/>
      <c r="IC134" s="111"/>
      <c r="ID134" s="22"/>
      <c r="IE134" s="22" t="str">
        <f t="shared" ca="1" si="635"/>
        <v/>
      </c>
      <c r="IF134" s="22"/>
      <c r="IG134" s="22">
        <f t="shared" si="636"/>
        <v>45202</v>
      </c>
      <c r="IH134" s="29">
        <f t="shared" ca="1" si="637"/>
        <v>-31</v>
      </c>
      <c r="II134" s="22" t="str">
        <f t="shared" ca="1" si="638"/>
        <v>POSIBLEMENTE NACIO</v>
      </c>
      <c r="IJ134" s="22"/>
      <c r="IK134" s="21"/>
      <c r="IL134" s="21"/>
      <c r="IM134" s="34"/>
      <c r="IN134" s="22"/>
      <c r="IO134" s="21"/>
      <c r="IP134" s="29" t="str">
        <f t="shared" si="489"/>
        <v/>
      </c>
      <c r="IQ134" s="35"/>
      <c r="IR134" s="21"/>
      <c r="IS134" s="21"/>
      <c r="IT134" s="21"/>
      <c r="IU134" s="21"/>
      <c r="IV134" s="21"/>
      <c r="IW134" s="21"/>
      <c r="IX134" s="21"/>
      <c r="IY134" s="21"/>
      <c r="IZ134" s="21"/>
      <c r="JA134" s="21"/>
      <c r="JB134" s="30"/>
      <c r="JC134" s="21"/>
      <c r="JD134" s="36"/>
      <c r="JE134" s="21" t="str">
        <f t="shared" si="491"/>
        <v/>
      </c>
      <c r="JF134" s="30"/>
      <c r="JG134" s="21"/>
      <c r="JH134" s="21"/>
      <c r="JI134" s="21"/>
      <c r="JJ134" s="30"/>
      <c r="JK134" s="22"/>
      <c r="JL134" s="22"/>
      <c r="JM134" s="21"/>
      <c r="JN134" s="36"/>
      <c r="JO134" s="21" t="str">
        <f t="shared" si="492"/>
        <v/>
      </c>
      <c r="JP134" s="22"/>
      <c r="JQ134" s="21"/>
      <c r="JR134" s="21"/>
      <c r="JS134" s="21"/>
      <c r="JT134" s="30"/>
      <c r="JU134" s="22"/>
      <c r="JV134" s="22"/>
      <c r="JW134" s="33"/>
      <c r="JX134" s="28" t="str">
        <f t="shared" si="493"/>
        <v/>
      </c>
      <c r="JY134" s="33"/>
      <c r="JZ134" s="28" t="str">
        <f t="shared" si="494"/>
        <v/>
      </c>
      <c r="KA134" s="21"/>
      <c r="KB134" s="21"/>
      <c r="KC134" s="21"/>
      <c r="KD134" s="37"/>
      <c r="KE134" s="28"/>
      <c r="KF134" s="28"/>
      <c r="KG134" s="28"/>
      <c r="KH134" s="39"/>
      <c r="KI134" s="39"/>
      <c r="KJ134" s="66"/>
      <c r="KK134" s="39"/>
      <c r="KL134" s="39"/>
      <c r="KM134" s="66"/>
      <c r="KN134" s="39"/>
      <c r="KO134" s="39"/>
      <c r="KP134" s="39"/>
      <c r="KQ134" s="39"/>
      <c r="KR134" s="39"/>
      <c r="KS134" s="39"/>
      <c r="KT134" s="39"/>
      <c r="KU134" s="38"/>
      <c r="KV134" s="38"/>
      <c r="KW134" s="38"/>
      <c r="KX134" s="38"/>
      <c r="KY134" s="38"/>
      <c r="KZ134" s="38"/>
      <c r="LA134" s="38"/>
      <c r="LB134" s="38"/>
      <c r="LC134" s="38"/>
      <c r="LD134" s="38"/>
      <c r="LE134" s="38"/>
      <c r="LF134" s="38"/>
      <c r="LG134" s="38"/>
      <c r="LH134" s="38"/>
      <c r="LI134" s="38"/>
      <c r="LJ134" s="38"/>
      <c r="LK134" s="38"/>
      <c r="LL134" s="38"/>
      <c r="LM134" s="38"/>
      <c r="LN134" s="38"/>
      <c r="LO134" s="38"/>
      <c r="LP134" s="38"/>
      <c r="LQ134" s="38"/>
      <c r="LR134" s="38"/>
      <c r="LS134" s="38"/>
      <c r="LT134" s="38"/>
      <c r="LU134" s="38"/>
      <c r="LV134" s="38"/>
      <c r="LW134" s="38"/>
      <c r="LX134" s="38"/>
      <c r="LY134" s="38"/>
      <c r="LZ134" s="38"/>
      <c r="MA134" s="38"/>
      <c r="MB134" s="38"/>
      <c r="MC134" s="38"/>
      <c r="MD134" s="38"/>
      <c r="ME134" s="38"/>
      <c r="MF134" s="38"/>
      <c r="MG134" s="38"/>
      <c r="MH134" s="43">
        <f t="shared" si="639"/>
        <v>0</v>
      </c>
      <c r="MI134" s="43" t="str">
        <f t="shared" si="640"/>
        <v/>
      </c>
      <c r="MJ134" s="43" t="str">
        <f t="shared" si="641"/>
        <v/>
      </c>
      <c r="MK134" s="43">
        <f t="shared" si="642"/>
        <v>0</v>
      </c>
      <c r="ML1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4" s="43">
        <f t="shared" si="643"/>
        <v>11.285714285714286</v>
      </c>
      <c r="MN134" s="43">
        <f t="shared" si="644"/>
        <v>3</v>
      </c>
      <c r="MO134" s="43">
        <f t="shared" si="645"/>
        <v>2023</v>
      </c>
      <c r="MP134" s="43" t="str">
        <f t="shared" si="646"/>
        <v>I TRIMESTRE AÑO</v>
      </c>
      <c r="MQ134" s="43">
        <f t="shared" si="647"/>
        <v>24.370346035917649</v>
      </c>
      <c r="MR134" s="43">
        <f t="shared" si="648"/>
        <v>0</v>
      </c>
      <c r="MS134" s="43" t="str">
        <f t="shared" si="649"/>
        <v xml:space="preserve"> DE 20 A 24 AÑOS</v>
      </c>
      <c r="MT134" s="43">
        <f t="shared" si="650"/>
        <v>0</v>
      </c>
      <c r="MU134" s="43">
        <f t="shared" si="651"/>
        <v>0</v>
      </c>
      <c r="MV134" s="43">
        <f t="shared" si="652"/>
        <v>0</v>
      </c>
      <c r="MW134" s="43">
        <f t="shared" si="653"/>
        <v>0</v>
      </c>
      <c r="MX134" s="43" t="str">
        <f t="shared" si="654"/>
        <v/>
      </c>
      <c r="MY134" s="43" t="str">
        <f t="shared" ca="1" si="495"/>
        <v/>
      </c>
      <c r="MZ134" s="43" t="str">
        <f t="shared" si="655"/>
        <v/>
      </c>
      <c r="NA134" s="43" t="str">
        <f t="shared" si="656"/>
        <v/>
      </c>
      <c r="NB134" s="43" t="str">
        <f t="shared" si="657"/>
        <v/>
      </c>
      <c r="NC134" s="43" t="str">
        <f t="shared" si="658"/>
        <v/>
      </c>
      <c r="ND134" s="43">
        <f t="shared" ca="1" si="659"/>
        <v>0</v>
      </c>
      <c r="NE134" s="43">
        <f>IF(OR(O134&gt;0,R134&gt;0),SUM(COUNTIF(Tabla1[[#This Row],[AÑOS AL INICIO5 CPN]],"&gt;=40"),COUNTIF(AS134,"0"),COUNTIF(AR134,"SI"),COUNTIF(CC134,"SI"),COUNTIF(BQ134,"&gt;119"),COUNTIF(CI134,"&gt;=35")),"")</f>
        <v>0</v>
      </c>
      <c r="NF134" s="43" t="str">
        <f t="shared" si="660"/>
        <v/>
      </c>
      <c r="NG134" s="43">
        <f t="shared" si="661"/>
        <v>0</v>
      </c>
      <c r="NH134" s="43">
        <f t="shared" si="662"/>
        <v>93.100000000000009</v>
      </c>
      <c r="NI1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CPN",P134="NO"),"Z",IF(AND(Tabla1[[#This Row],[CITA PROXIMO CONTROL]]="CITA MANUAL",Tabla1[[#This Row],[GESTANTES ACTUALES]]="ACTIVA INGRESO A CPN"),"W",IF(AND(Tabla1[[#This Row],[GESTANTES ACTUALES]]="SALIO PROGRAMA",IN134=""),"S",IF(AND(Tabla1[[#This Row],[CITA PROXIMO CONTROL]]&gt;0,IN134=""),(Tabla1[[#This Row],[CITA PROXIMO CONTROL]]-TODAY()),"SD"))))))))</f>
        <v>#REF!</v>
      </c>
      <c r="NJ134" s="43">
        <f>MONTH(Tabla1[[#This Row],[FECHA DE SALIDA  DEL PROGRAMA]])</f>
        <v>1</v>
      </c>
      <c r="NK134" s="43">
        <f>YEAR(Tabla1[[#This Row],[FECHA DE SALIDA  DEL PROGRAMA]])</f>
        <v>1900</v>
      </c>
      <c r="NL134" s="43" t="str">
        <f t="shared" si="663"/>
        <v>X</v>
      </c>
      <c r="NM134" s="43" t="str">
        <f t="shared" si="500"/>
        <v>NO</v>
      </c>
      <c r="NN134" s="43" t="str">
        <f ca="1">IF(AND(O134&gt;0,R134=""),"NO CPN",IF(AND(O134="",R134=""),"",IF(AND(R134&gt;0,Tabla1[[#This Row],[SEMANAS DE GESTACION ACTUALIZADAS]]&lt;=12),"NO APLICA",IF(AND(FH134&lt;&gt;"",FN134&lt;&gt;""),"SI","NO"))))</f>
        <v>NO</v>
      </c>
      <c r="NO134" s="43" t="str">
        <f ca="1">IF(AND(O134&gt;0,R134=""),"NO CPN",IF(AND(O134="",R134=""),"",IF(AND(R134&gt;0,Tabla1[[#This Row],[SEMANAS DE GESTACION ACTUALIZADAS]]&lt;=27),"NO APLICA",IF(AND(ES134&lt;&gt;"",FQ134&lt;&gt;"",GF134&lt;&gt;""),"SI","NO"))))</f>
        <v>NO</v>
      </c>
      <c r="NP134" s="204" t="str">
        <f t="shared" si="664"/>
        <v>I TRIM</v>
      </c>
      <c r="NQ134" s="21" t="str">
        <f t="shared" si="499"/>
        <v/>
      </c>
      <c r="NR134" s="21" t="str">
        <f t="shared" ca="1" si="496"/>
        <v>REVISAR FUM O FECHA SALIDA PROGRAMA</v>
      </c>
      <c r="NS134" s="205">
        <f t="shared" ca="1" si="665"/>
        <v>1</v>
      </c>
      <c r="NT134" s="21">
        <f t="shared" ca="1" si="666"/>
        <v>2</v>
      </c>
      <c r="NU134" s="21" t="str">
        <f t="shared" ca="1" si="667"/>
        <v>POR DEFINIR</v>
      </c>
      <c r="NV134" s="21" t="str">
        <f t="shared" ca="1" si="668"/>
        <v>POR DEFINIR</v>
      </c>
      <c r="NW134" s="206" t="str">
        <f>IF(AND(O134="",R134=""),"",IF(OR(AND(Tabla1[[#This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4" s="207" t="str">
        <f t="shared" ca="1" si="669"/>
        <v>SIN VACUNAR</v>
      </c>
      <c r="NY134" s="43">
        <f>ROW(Tabla1[[#This Row],['# DE TAMIZAJES SIFILIS TOMADOS ]])</f>
        <v>134</v>
      </c>
      <c r="NZ134" s="43">
        <f t="shared" si="501"/>
        <v>11</v>
      </c>
      <c r="OA134" s="43" t="str">
        <f t="shared" si="502"/>
        <v/>
      </c>
      <c r="OB134" s="43" t="str">
        <f t="shared" si="503"/>
        <v/>
      </c>
      <c r="OC134" s="43" t="str">
        <f t="shared" si="504"/>
        <v>OBESIDAD</v>
      </c>
      <c r="OD134" s="43" t="str">
        <f t="shared" si="505"/>
        <v/>
      </c>
      <c r="OE134" s="43" t="str">
        <f t="shared" si="506"/>
        <v/>
      </c>
      <c r="OF134" s="43" t="str">
        <f t="shared" si="507"/>
        <v/>
      </c>
      <c r="OG134" s="43" t="str">
        <f t="shared" si="508"/>
        <v/>
      </c>
      <c r="OH134" s="43" t="str">
        <f t="shared" si="509"/>
        <v/>
      </c>
      <c r="OI134" s="43" t="str">
        <f t="shared" si="510"/>
        <v/>
      </c>
      <c r="OJ134" s="43" t="str">
        <f t="shared" si="511"/>
        <v/>
      </c>
      <c r="OK134" s="43" t="str">
        <f t="shared" si="512"/>
        <v/>
      </c>
      <c r="OL134" s="43" t="str">
        <f t="shared" si="513"/>
        <v/>
      </c>
      <c r="OM134" s="43" t="str">
        <f t="shared" si="514"/>
        <v/>
      </c>
      <c r="ON134" s="43" t="str">
        <f t="shared" si="515"/>
        <v/>
      </c>
      <c r="OO134" s="43" t="str">
        <f t="shared" si="516"/>
        <v/>
      </c>
      <c r="OP134" s="43" t="str">
        <f t="shared" si="517"/>
        <v/>
      </c>
      <c r="OQ134" s="43" t="str">
        <f t="shared" si="518"/>
        <v/>
      </c>
      <c r="OR134" s="43" t="str">
        <f t="shared" si="519"/>
        <v/>
      </c>
      <c r="OS134" s="43" t="str">
        <f t="shared" si="520"/>
        <v/>
      </c>
      <c r="OT134" s="43" t="str">
        <f t="shared" si="521"/>
        <v/>
      </c>
      <c r="OU134" s="43" t="str">
        <f t="shared" si="522"/>
        <v/>
      </c>
      <c r="OV134" s="110" t="str">
        <f t="shared" si="523"/>
        <v/>
      </c>
      <c r="OW134" s="43" t="str">
        <f t="shared" si="524"/>
        <v/>
      </c>
      <c r="OX134" s="43" t="str">
        <f t="shared" si="525"/>
        <v/>
      </c>
      <c r="OY134" s="43" t="str">
        <f t="shared" si="526"/>
        <v/>
      </c>
      <c r="OZ134" s="43" t="str">
        <f t="shared" si="527"/>
        <v/>
      </c>
      <c r="PA134" s="43" t="str">
        <f t="shared" si="528"/>
        <v/>
      </c>
      <c r="PB134" s="43" t="str">
        <f t="shared" si="529"/>
        <v/>
      </c>
      <c r="PC134" s="43" t="str">
        <f t="shared" si="530"/>
        <v/>
      </c>
      <c r="PD134" s="43" t="str">
        <f t="shared" si="531"/>
        <v/>
      </c>
      <c r="PE134" s="43" t="str">
        <f t="shared" si="532"/>
        <v/>
      </c>
      <c r="PF134" s="43" t="str">
        <f t="shared" si="533"/>
        <v/>
      </c>
      <c r="PG134" s="43" t="str">
        <f t="shared" si="534"/>
        <v/>
      </c>
      <c r="PH134" s="43" t="str">
        <f t="shared" si="535"/>
        <v/>
      </c>
      <c r="PI134" s="43">
        <f t="shared" si="536"/>
        <v>30</v>
      </c>
      <c r="PJ134" s="43" t="str">
        <f t="shared" si="537"/>
        <v/>
      </c>
      <c r="PK134" s="43" t="str">
        <f t="shared" si="538"/>
        <v/>
      </c>
      <c r="PL134" s="43" t="str">
        <f t="shared" si="539"/>
        <v/>
      </c>
      <c r="PM134" s="43" t="str">
        <f t="shared" si="540"/>
        <v/>
      </c>
      <c r="PN134" s="43" t="str">
        <f t="shared" si="541"/>
        <v/>
      </c>
      <c r="PO134" s="43" t="str">
        <f t="shared" si="542"/>
        <v/>
      </c>
      <c r="PP134" s="43" t="str">
        <f t="shared" si="543"/>
        <v/>
      </c>
      <c r="PQ134" s="43" t="str">
        <f t="shared" si="544"/>
        <v/>
      </c>
      <c r="PR134" s="43" t="str">
        <f t="shared" si="545"/>
        <v/>
      </c>
      <c r="PS134" s="43" t="str">
        <f t="shared" si="546"/>
        <v/>
      </c>
      <c r="PT134" s="43" t="str">
        <f t="shared" si="547"/>
        <v/>
      </c>
      <c r="PU134" s="43" t="str">
        <f t="shared" si="548"/>
        <v/>
      </c>
      <c r="PV134" s="43" t="str">
        <f t="shared" si="549"/>
        <v/>
      </c>
      <c r="PW134" s="43" t="str">
        <f t="shared" si="550"/>
        <v/>
      </c>
      <c r="PX134" s="43" t="str">
        <f t="shared" si="551"/>
        <v/>
      </c>
      <c r="PY134" s="43" t="str">
        <f t="shared" si="552"/>
        <v/>
      </c>
      <c r="PZ134" s="43" t="str">
        <f t="shared" si="553"/>
        <v/>
      </c>
      <c r="QA134" s="43" t="str">
        <f t="shared" si="554"/>
        <v/>
      </c>
      <c r="QB134" s="43" t="str">
        <f t="shared" si="555"/>
        <v/>
      </c>
      <c r="QC134" s="43" t="str">
        <f t="shared" si="556"/>
        <v/>
      </c>
      <c r="QD134" s="43" t="str">
        <f t="shared" si="557"/>
        <v/>
      </c>
      <c r="QE134" s="43" t="str">
        <f t="shared" si="558"/>
        <v>OBESIDAD</v>
      </c>
      <c r="QF134" s="43" t="str">
        <f t="shared" si="559"/>
        <v/>
      </c>
      <c r="QG134" s="43" t="str">
        <f t="shared" si="560"/>
        <v/>
      </c>
      <c r="QH134" s="43" t="str">
        <f t="shared" si="561"/>
        <v/>
      </c>
      <c r="QI134" s="43" t="str">
        <f t="shared" si="562"/>
        <v/>
      </c>
      <c r="QJ134" s="43" t="str">
        <f t="shared" si="563"/>
        <v/>
      </c>
      <c r="QK134" s="43" t="str">
        <f t="shared" si="564"/>
        <v/>
      </c>
      <c r="QL134" s="43" t="str">
        <f t="shared" si="565"/>
        <v/>
      </c>
      <c r="QM134" s="43" t="str">
        <f t="shared" si="566"/>
        <v/>
      </c>
      <c r="QN134" s="43" t="str">
        <f t="shared" si="567"/>
        <v/>
      </c>
      <c r="QO134" s="43" t="str">
        <f t="shared" si="568"/>
        <v/>
      </c>
      <c r="QP134" s="43" t="str">
        <f t="shared" si="569"/>
        <v/>
      </c>
      <c r="QQ134" s="43" t="str">
        <f t="shared" si="570"/>
        <v/>
      </c>
      <c r="QR134" s="43">
        <f t="shared" si="670"/>
        <v>30</v>
      </c>
      <c r="QS134" s="43"/>
      <c r="QT134" s="21" t="str">
        <f t="shared" si="571"/>
        <v/>
      </c>
      <c r="QU134" s="21" t="str">
        <f t="shared" si="572"/>
        <v/>
      </c>
      <c r="QV134" s="21" t="str">
        <f t="shared" si="573"/>
        <v/>
      </c>
      <c r="QW134" s="21" t="str">
        <f t="shared" si="574"/>
        <v/>
      </c>
      <c r="QX134" s="21" t="str">
        <f t="shared" si="575"/>
        <v/>
      </c>
      <c r="QY134" s="21" t="str">
        <f t="shared" si="576"/>
        <v/>
      </c>
      <c r="QZ134" s="21" t="str">
        <f t="shared" si="577"/>
        <v/>
      </c>
      <c r="RA134" s="21" t="str">
        <f t="shared" si="578"/>
        <v/>
      </c>
      <c r="RB134" s="21" t="str">
        <f t="shared" si="579"/>
        <v/>
      </c>
      <c r="RC134" s="21" t="str">
        <f t="shared" si="580"/>
        <v/>
      </c>
      <c r="RD134" s="21" t="str">
        <f t="shared" si="581"/>
        <v/>
      </c>
      <c r="RE134" s="21" t="str">
        <f t="shared" si="582"/>
        <v/>
      </c>
      <c r="RF134" s="21" t="str">
        <f t="shared" si="583"/>
        <v/>
      </c>
      <c r="RG134" s="21" t="str">
        <f t="shared" si="584"/>
        <v/>
      </c>
      <c r="RH134" s="21" t="str">
        <f t="shared" si="585"/>
        <v/>
      </c>
      <c r="RI134" s="21" t="str">
        <f t="shared" si="586"/>
        <v/>
      </c>
      <c r="RJ134" s="21" t="str">
        <f t="shared" si="587"/>
        <v/>
      </c>
      <c r="RK134" s="21" t="str">
        <f t="shared" si="588"/>
        <v>ALTO PARA EDAD GESTACIONAL</v>
      </c>
      <c r="RL134" s="21" t="str">
        <f t="shared" si="589"/>
        <v/>
      </c>
      <c r="RM134" s="21" t="str">
        <f t="shared" si="590"/>
        <v/>
      </c>
      <c r="RN134" s="21" t="str">
        <f t="shared" si="591"/>
        <v/>
      </c>
      <c r="RO134" s="21" t="str">
        <f t="shared" si="592"/>
        <v/>
      </c>
      <c r="RP134" s="21" t="str">
        <f t="shared" si="593"/>
        <v/>
      </c>
      <c r="RQ134" s="21" t="str">
        <f t="shared" si="594"/>
        <v/>
      </c>
      <c r="RR134" s="21" t="str">
        <f t="shared" si="595"/>
        <v/>
      </c>
      <c r="RS134" s="21" t="str">
        <f t="shared" si="596"/>
        <v/>
      </c>
      <c r="RT134" s="21" t="str">
        <f t="shared" si="597"/>
        <v/>
      </c>
      <c r="RU134" s="21" t="str">
        <f t="shared" si="598"/>
        <v/>
      </c>
      <c r="RV134" s="21">
        <f t="shared" si="599"/>
        <v>11.285714285714286</v>
      </c>
      <c r="RW134" s="284">
        <f>IF(OR(Tabla1[[#This Row],[FUM FORMULA CONFIABLE]]="",Tabla1[[#This Row],[FUM FORMULA CONFIABLE]]="SD"),"",IF(Tabla1[[#This Row],[FUM FORMULA CONFIABLE]]="CORREGIDA",Tabla1[[#This Row],[FUM X ECO 1]],Tabla1[[#This Row],[FUM x AMENORREA]]))</f>
        <v>44922</v>
      </c>
      <c r="RX134" s="21">
        <f>IF(AND(Tabla1[[#This Row],[FUM X ECO 1]]="",Tabla1[[#This Row],[FUM x AMENORREA]]=""),"",IF(AND(Tabla1[[#This Row],[FUM X ECO 1]]="",Tabla1[[#This Row],[FUM x AMENORREA]]&lt;&gt;""),"X",SUM(Tabla1[[#This Row],[FUM X ECO 1]]-Tabla1[[#This Row],[FUM x AMENORREA]])))</f>
        <v>0.90000000000145519</v>
      </c>
      <c r="RY134" s="21">
        <f t="shared" si="671"/>
        <v>0</v>
      </c>
    </row>
    <row r="135" spans="1:493" ht="45" customHeight="1" x14ac:dyDescent="0.25">
      <c r="A135" s="109"/>
      <c r="B135" s="43" t="s">
        <v>1057</v>
      </c>
      <c r="C135" s="43" t="s">
        <v>845</v>
      </c>
      <c r="D135" s="124"/>
      <c r="E135" s="43" t="s">
        <v>873</v>
      </c>
      <c r="F135" s="43" t="s">
        <v>944</v>
      </c>
      <c r="G135" s="43" t="s">
        <v>1399</v>
      </c>
      <c r="H135" s="43" t="s">
        <v>1400</v>
      </c>
      <c r="I135" s="109" t="s">
        <v>851</v>
      </c>
      <c r="J135" s="110">
        <v>1002848796</v>
      </c>
      <c r="K135" s="43" t="s">
        <v>852</v>
      </c>
      <c r="L135" s="175" t="s">
        <v>1401</v>
      </c>
      <c r="M135" s="22">
        <v>36562</v>
      </c>
      <c r="N135" s="213">
        <f t="shared" ca="1" si="600"/>
        <v>23.756164383561643</v>
      </c>
      <c r="O135" s="22">
        <v>45012</v>
      </c>
      <c r="P135" s="214" t="str">
        <f t="shared" si="437"/>
        <v>SI</v>
      </c>
      <c r="Q135" s="26" t="s">
        <v>855</v>
      </c>
      <c r="R135" s="22">
        <v>45012</v>
      </c>
      <c r="S135" s="21" t="s">
        <v>856</v>
      </c>
      <c r="T135" s="24" t="s">
        <v>690</v>
      </c>
      <c r="U135" s="21" t="s">
        <v>857</v>
      </c>
      <c r="V135" s="21" t="s">
        <v>858</v>
      </c>
      <c r="W135" s="21"/>
      <c r="X135" s="21"/>
      <c r="Y135" s="21"/>
      <c r="Z135" s="21">
        <v>3114036572</v>
      </c>
      <c r="AA135" s="21" t="s">
        <v>860</v>
      </c>
      <c r="AB135" s="27" t="s">
        <v>861</v>
      </c>
      <c r="AC135" s="26" t="s">
        <v>862</v>
      </c>
      <c r="AD135" s="38" t="s">
        <v>1546</v>
      </c>
      <c r="AE135" s="26" t="s">
        <v>854</v>
      </c>
      <c r="AF135" s="26" t="s">
        <v>854</v>
      </c>
      <c r="AG135" s="23" t="s">
        <v>864</v>
      </c>
      <c r="AH135" s="23" t="s">
        <v>864</v>
      </c>
      <c r="AI135" s="24" t="s">
        <v>863</v>
      </c>
      <c r="AJ135" s="23" t="s">
        <v>864</v>
      </c>
      <c r="AK135" s="220" t="str">
        <f>IF(AND(AD135="",AE135="",AF135="",AG135="",AH135="",AI135="",AJ135=""),"",IF(OR(Tabla1[[#This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EVALUACIÓN",IF(AND(O135="",R135=""),"",IF(AND(OR(O135&gt;0,R135&gt;0),NG135&gt;=0,NG135&lt;2),"SIN RIESGO",IF(AND(OR(O135&gt;0,R135&gt;0),NG135&gt;=2),"CON RIESGO","ASD")))))</f>
        <v>SIN RIESGO</v>
      </c>
      <c r="AL135" s="23" t="s">
        <v>864</v>
      </c>
      <c r="AM135" s="26" t="s">
        <v>864</v>
      </c>
      <c r="AN135" s="26" t="s">
        <v>864</v>
      </c>
      <c r="AO135" s="26" t="s">
        <v>864</v>
      </c>
      <c r="AP135" s="26" t="s">
        <v>864</v>
      </c>
      <c r="AQ135" s="26" t="s">
        <v>864</v>
      </c>
      <c r="AR135" s="26" t="s">
        <v>864</v>
      </c>
      <c r="AS135" s="21">
        <v>2</v>
      </c>
      <c r="AT135" s="21">
        <v>2</v>
      </c>
      <c r="AU135" s="21">
        <v>0</v>
      </c>
      <c r="AV135" s="26" t="s">
        <v>864</v>
      </c>
      <c r="AW135" s="21">
        <v>0</v>
      </c>
      <c r="AX135" s="26" t="s">
        <v>864</v>
      </c>
      <c r="AY135" s="26" t="s">
        <v>864</v>
      </c>
      <c r="AZ135" s="26" t="s">
        <v>864</v>
      </c>
      <c r="BA135" s="26" t="s">
        <v>864</v>
      </c>
      <c r="BB135" s="26" t="s">
        <v>864</v>
      </c>
      <c r="BC135" s="26" t="s">
        <v>864</v>
      </c>
      <c r="BD135" s="26" t="s">
        <v>864</v>
      </c>
      <c r="BE135" s="26" t="s">
        <v>864</v>
      </c>
      <c r="BF135" s="26" t="s">
        <v>864</v>
      </c>
      <c r="BG135" s="26" t="s">
        <v>864</v>
      </c>
      <c r="BH135" s="26" t="s">
        <v>864</v>
      </c>
      <c r="BI135" s="26" t="s">
        <v>864</v>
      </c>
      <c r="BJ135" s="26" t="s">
        <v>864</v>
      </c>
      <c r="BK135" s="26" t="s">
        <v>864</v>
      </c>
      <c r="BL135" s="26" t="s">
        <v>864</v>
      </c>
      <c r="BM135" s="26" t="s">
        <v>864</v>
      </c>
      <c r="BN135" s="22">
        <v>44565</v>
      </c>
      <c r="BO135" s="22">
        <v>44909</v>
      </c>
      <c r="BP135" s="21" t="s">
        <v>854</v>
      </c>
      <c r="BQ135" s="222">
        <f t="shared" si="601"/>
        <v>11.466666666666667</v>
      </c>
      <c r="BR135" s="223">
        <f t="shared" si="602"/>
        <v>44911</v>
      </c>
      <c r="BS135" s="224">
        <f t="shared" si="603"/>
        <v>14.714285714285714</v>
      </c>
      <c r="BT135" s="216" t="str">
        <f t="shared" si="604"/>
        <v>II TRIM</v>
      </c>
      <c r="BU135" s="214" t="str">
        <f t="shared" ca="1" si="605"/>
        <v/>
      </c>
      <c r="BV135" s="25" t="s">
        <v>988</v>
      </c>
      <c r="BW135" s="22">
        <v>45016</v>
      </c>
      <c r="BX135" s="28">
        <v>15</v>
      </c>
      <c r="BY135" s="28" t="s">
        <v>988</v>
      </c>
      <c r="BZ135" s="22">
        <v>45121</v>
      </c>
      <c r="CA135" s="21">
        <v>30</v>
      </c>
      <c r="CB135" s="26" t="s">
        <v>854</v>
      </c>
      <c r="CC135" s="26" t="s">
        <v>864</v>
      </c>
      <c r="CD135" s="26" t="s">
        <v>878</v>
      </c>
      <c r="CE135" s="26" t="s">
        <v>864</v>
      </c>
      <c r="CF135" s="22" t="s">
        <v>1517</v>
      </c>
      <c r="CG135" s="21">
        <v>1.42</v>
      </c>
      <c r="CH135" s="21">
        <v>49</v>
      </c>
      <c r="CI135" s="214">
        <f t="shared" si="606"/>
        <v>24.300733981352906</v>
      </c>
      <c r="CJ135" s="225" t="e">
        <f>IF(AND(CI135&lt;10,CH135="SD"),"SIN DATO PESO PREGESTACION O I TRIM",IF(AND(OR(R135&gt;0,O135&gt;0),CI135="X"),"INGRESAR DATO DE PESO",IF(CI135="SD","INGRESAR DATO DE TALLA Y PESO",IF(AND(OR(Tabla1[[#This Row],[MOMENTO EN QUE SE REALIZA EL PESO AL INGRESO A CPN]]="PREGESTACIÓN",NZ135="Menor"),CI135&lt;18.5),"BAJO PESO",IF(AND(OR(Tabla1[[#This Row],[MOMENTO EN QUE SE REALIZA EL PESO AL INGRESO A CPN]]="PREGESTACIÓN",NZ135="Menor"),CI135&lt;25),"NORMAL",IF(AND(OR(Tabla1[[#This Row],[MOMENTO EN QUE SE REALIZA EL PESO AL INGRESO A CPN]]="PREGESTACIÓN",NZ135="Menor"),CI135&lt;30),"SOBREPESO",IF(AND(OR(Tabla1[[#This Row],[MOMENTO EN QUE SE REALIZA EL PESO AL INGRESO A CPN]]="PREGESTACIÓN",NZ135="Menor"),CI135&gt;=30,CI135&lt;50),"OBESIDAD",IF(AND(BS135&gt;0,Tabla1[[#This Row],[MOMENTO EN QUE SE REALIZA EL PESO AL INGRESO A CPN]]="GESTACIÓN"),HLOOKUP(NZ135,$OA$2:PH135,NY135),""))))))))</f>
        <v>#REF!</v>
      </c>
      <c r="CK135" s="212">
        <f t="shared" si="607"/>
        <v>45121</v>
      </c>
      <c r="CL135" s="21">
        <v>50.1</v>
      </c>
      <c r="CM135" s="214">
        <f t="shared" si="608"/>
        <v>24.846260662566952</v>
      </c>
      <c r="CN135" s="216">
        <f t="shared" si="609"/>
        <v>30</v>
      </c>
      <c r="CO135" s="216" t="e">
        <f>IF(PI135="","",IF(PI135&gt;0,HLOOKUP(PI135,$PJ$2:QQ135,NY135),""))</f>
        <v>#REF!</v>
      </c>
      <c r="CP135" s="21">
        <v>21</v>
      </c>
      <c r="CQ135" s="216" t="e">
        <f>IF(QR135="Menor","NO APLICA-MENOR 13 SEM",IF(AND(CC135="SI",CN135&gt;23),"NO APLICA- GEMELAR",IF(QR135="","",IF(QR135&gt;0,HLOOKUP(QR135,$QS$2:RU135,NY135),""))))</f>
        <v>#REF!</v>
      </c>
      <c r="CR135" s="21"/>
      <c r="CS135" s="21"/>
      <c r="CT135" s="217" t="str">
        <f>IF(R135="","",IF(AND(BS135&gt;1,BS135&lt;12,Tabla1[[#This Row],[T.A. SISTOLICA - ANTES DE SEMANA 12]]="",Tabla1[[#This Row],[T.A. DIASTOLICA - ANTES DE SEMANA 12]]=""),"REGISTRE DATO TA ANTES SEMANA 12",IF(AND(BS135&gt;11,BS135&lt;43,Tabla1[[#This Row],[T.A. SISTOLICA - ANTES DE SEMANA 12]]="",Tabla1[[#This Row],[T.A. DIASTOLICA - ANTES DE SEMANA 12]]=""),"NO APLICA REGISTRO TA-INGRESO TARDIO",IF(AND(OR(O135&gt;0,R135&gt;0),OR(CR135&gt;=140,CS135&gt;=90)),"DEFINIR ESTADIO HTA",IF(AND(OR(O135&gt;0,R135&gt;0),AND(CR135&gt;120,CR135&lt;=139)),"PRE HTA SEGUIMIENTO",IF(AND(OR(O135&gt;0,R135&gt;0),AND(CS135&gt;80,CS135&lt;=89)),"PRE HTA SEGUIMIENTO",IF(AND(OR(O135&gt;0,R135&gt;0),AND(CR135&gt;=80,CR135&lt;=120)),"APARENTEMENTE NORMAL",IF(AND(OR(O135&gt;0,R135&gt;0),AND(CS135&gt;=50,CS135&lt;=80)),"APARENTEMENTE NORMAL",IF(AND(OR(O135&gt;0,R135&gt;0),AND(CR135&gt;1,CR135&lt;=70),AND(CS135&gt;1,CS135&lt;=40)),"HIPOTENSIÓN","")))))))))</f>
        <v>NO APLICA REGISTRO TA-INGRESO TARDIO</v>
      </c>
      <c r="CU135" s="21">
        <v>100</v>
      </c>
      <c r="CV135" s="21">
        <v>60</v>
      </c>
      <c r="CW135" s="217" t="str">
        <f ca="1">IF(R135="","",IF(AND(CN135&gt;19,CN135&lt;27,Tabla1[[#This Row],[T.A. SISTOLICA (Entre semana 20 y 26)]]="",Tabla1[[#This Row],[T.A. DIATOLICA (Entre semana 20 y 26)]]=""),"ACUDE A CONTROL SEM 20 A 26 REGISTRE TA AHORA",IF(AND(BS135&gt;1,BS135&lt;27,BU135&gt;19,Tabla1[[#This Row],[T.A. SISTOLICA (Entre semana 20 y 26)]]="",Tabla1[[#This Row],[T.A. DIATOLICA (Entre semana 20 y 26)]]=""),"COMPLETE REGISTRO TA CONTROL SEM 20 A26 ",IF(AND(BS135&gt;26,BS135&lt;43,Tabla1[[#This Row],[T.A. SISTOLICA (Entre semana 20 y 26)]]="",Tabla1[[#This Row],[T.A. DIATOLICA (Entre semana 20 y 26)]]=""),"NO APLICA REGISTRO TA-INGRESO TARDIO",IF(AND(OR(O135&gt;0,R135&gt;0),OR(CU135&gt;=140,CV135&gt;=90)),"ALTO RIESGO PREECLAMPSIA,DEFINIR ESTADIO HTA",IF(AND(OR(O135&gt;0,R135&gt;0),AND(CU135&gt;120,CU135&lt;=139)),"PRE HTA SEGUIMIENTO,RIESGO HIPERTENSION INDUCIDA POR EL EMBARAZO",IF(AND(OR(O135&gt;0,R135&gt;0),AND(CV135&gt;80,CV135&lt;=89)),"PRE HTA SEGUIMIENTO, RIESGO HIPERTENSION INDUCIDA POR EL EMBARAZO",IF(AND(OR(O135&lt;&gt;"",R135&lt;&gt;""),CS135&lt;&gt;"",CV135&lt;&gt;"",CS135&lt;=CV135),"VIGILAR CIFRAS PRESION ARTERIAL",IF(AND(OR(O135&gt;0,R135&gt;0),AND(CU135&gt;120,CU135&lt;=139)),"PRE HTA SEGUIMIENTO",IF(AND(OR(O135&gt;0,R135&gt;0),AND(CU135&gt;1,CU135&lt;=70),AND(CV135&gt;1,CV135&lt;=40)),"HIPOTENSIÓN",IF(AND(OR(O135&lt;&gt;"",R135&lt;&gt;""),CS135&lt;&gt;"",CV135&lt;&gt;"",CS135&gt;CV135),"APARENTEMENTE NORMAL",IF(AND(OR(O135&gt;0,R135&gt;0),AND(CU135&gt;=80,CU135&lt;=120)),"APARENTEMENTE NORMAL",IF(AND(OR(O135&gt;0,R135&gt;0),AND(CV135&gt;=50,CV135&lt;=80)),"APARENTEMENTE NORMAL","")))))))))))))</f>
        <v>APARENTEMENTE NORMAL</v>
      </c>
      <c r="CX135" s="21"/>
      <c r="CY135" s="21"/>
      <c r="CZ135" s="216" t="str">
        <f t="shared" si="498"/>
        <v/>
      </c>
      <c r="DA135" s="21">
        <v>110</v>
      </c>
      <c r="DB135" s="21">
        <v>70</v>
      </c>
      <c r="DC135" s="217" t="str">
        <f t="shared" si="610"/>
        <v>APARENTEMENTE NORMAL</v>
      </c>
      <c r="DD135" s="22">
        <v>45012</v>
      </c>
      <c r="DE135" s="22">
        <v>45012</v>
      </c>
      <c r="DF135" s="22">
        <v>45070</v>
      </c>
      <c r="DG135" s="22">
        <v>45121</v>
      </c>
      <c r="DH135" s="22"/>
      <c r="DI135" s="22"/>
      <c r="DJ135" s="22"/>
      <c r="DK135" s="22"/>
      <c r="DL135" s="22"/>
      <c r="DM135" s="22"/>
      <c r="DN135" s="22"/>
      <c r="DO135" s="22"/>
      <c r="DP135" s="22"/>
      <c r="DQ135" s="22"/>
      <c r="DR135" s="28">
        <v>2</v>
      </c>
      <c r="DS135" s="22"/>
      <c r="DT135" s="22"/>
      <c r="DU135" s="216" t="str">
        <f t="shared" ca="1" si="438"/>
        <v>CONCERTAR PLAN DE PARTO INMEDIATO</v>
      </c>
      <c r="DV135" s="226" t="str">
        <f t="shared" si="439"/>
        <v>ACTIVA INGRESO A CPN</v>
      </c>
      <c r="DW1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5" s="216" t="e">
        <f t="shared" ca="1" si="611"/>
        <v>#REF!</v>
      </c>
      <c r="DY135" s="212">
        <f>IF(R135="","",IF(R135&gt;0,MAX(Tabla1[[#This Row],[FECHA C2]:[FECHA C13]],Tabla1[[#This Row],[FECHA CONSULTA PRIMERA VEZ PROGRAMA CPN ]])))</f>
        <v>45121</v>
      </c>
      <c r="DZ135" s="216">
        <f t="shared" si="612"/>
        <v>30</v>
      </c>
      <c r="EA135" s="222">
        <f>IF(R135&gt;0,SUM(COUNTA(DF135:DQ135)+COUNTA(Tabla1[[#This Row],[FECHA CONSULTA PRIMERA VEZ PROGRAMA CPN ]])),"")</f>
        <v>3</v>
      </c>
      <c r="EB135" s="222" t="str">
        <f t="shared" si="613"/>
        <v>NO</v>
      </c>
      <c r="EC135" s="214">
        <f t="shared" si="614"/>
        <v>8</v>
      </c>
      <c r="ED135" s="227">
        <f t="shared" si="615"/>
        <v>0.375</v>
      </c>
      <c r="EE135" s="22">
        <v>45012</v>
      </c>
      <c r="EF135" s="22">
        <v>45012</v>
      </c>
      <c r="EG135" s="22">
        <v>45012</v>
      </c>
      <c r="EH135" s="22"/>
      <c r="EI135" s="22">
        <v>45012</v>
      </c>
      <c r="EJ135" s="22"/>
      <c r="EK135" s="22"/>
      <c r="EL135" s="21"/>
      <c r="EM135" s="21">
        <v>12.2</v>
      </c>
      <c r="EN135" s="22">
        <v>45087</v>
      </c>
      <c r="EO135" s="222">
        <f t="shared" si="616"/>
        <v>25.428571428571427</v>
      </c>
      <c r="EP135" s="214" t="str">
        <f t="shared" si="617"/>
        <v>NORMAL- SUMINISTRAR SULFATO FERROSO</v>
      </c>
      <c r="EQ135" s="216" t="str">
        <f t="shared" si="618"/>
        <v>II TRIM</v>
      </c>
      <c r="ER135" s="24">
        <v>12.2</v>
      </c>
      <c r="ES135" s="22">
        <v>45087</v>
      </c>
      <c r="ET135" s="29">
        <f t="shared" ca="1" si="440"/>
        <v>25.428571428571427</v>
      </c>
      <c r="EU135" s="25" t="str">
        <f t="shared" si="619"/>
        <v>NORMAL- SUMINISTRAR SULFATO FERROSO</v>
      </c>
      <c r="EV135" s="24" t="s">
        <v>1510</v>
      </c>
      <c r="EW135" s="22">
        <v>45087</v>
      </c>
      <c r="EX135" s="22"/>
      <c r="EY135" s="29">
        <f t="shared" si="453"/>
        <v>25.428571428571427</v>
      </c>
      <c r="EZ135" s="25" t="str">
        <f t="shared" si="454"/>
        <v>SIN RIESGO DE ISOINMUNIZACIÓN</v>
      </c>
      <c r="FA135" s="21">
        <v>66</v>
      </c>
      <c r="FB135" s="22">
        <v>45087</v>
      </c>
      <c r="FC135" s="29" t="str">
        <f t="shared" si="620"/>
        <v>NO APLICA &gt; 23 SEM -TOMAR PTOG</v>
      </c>
      <c r="FD135" s="29"/>
      <c r="FE135" s="29"/>
      <c r="FF135" s="29"/>
      <c r="FG135" s="21" t="str">
        <f t="shared" ca="1" si="621"/>
        <v/>
      </c>
      <c r="FH135" s="31"/>
      <c r="FI135" s="29" t="str">
        <f t="shared" si="622"/>
        <v>TOMAR EXAMEN</v>
      </c>
      <c r="FJ135" s="22"/>
      <c r="FK135" s="22"/>
      <c r="FL135" s="29" t="str">
        <f t="shared" ca="1" si="623"/>
        <v>NO APLICA-INGRESO TARDIO</v>
      </c>
      <c r="FM135" s="22" t="s">
        <v>867</v>
      </c>
      <c r="FN135" s="32">
        <v>45087</v>
      </c>
      <c r="FO135" s="29">
        <f t="shared" ca="1" si="441"/>
        <v>25.428571428571427</v>
      </c>
      <c r="FP135" s="22"/>
      <c r="FQ135" s="32"/>
      <c r="FR135" s="29" t="str">
        <f t="shared" ca="1" si="442"/>
        <v>TOMA INMEDIATA DE TAMIZAJE</v>
      </c>
      <c r="FS135" s="22"/>
      <c r="FT135" s="32"/>
      <c r="FU135" s="29" t="str">
        <f>IF(AND(FJ135="",FM135="",FP135="",FS135=""),"",IF(OR(OR(Tabla1[[#This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5" s="28"/>
      <c r="FW135" s="22"/>
      <c r="FX135" s="29" t="str">
        <f t="shared" si="624"/>
        <v>TOMAR EXAMEN</v>
      </c>
      <c r="FY135" s="22"/>
      <c r="FZ135" s="22"/>
      <c r="GA135" s="29" t="str">
        <f t="shared" ca="1" si="497"/>
        <v>NO APLICA-INGRESO TARDIO</v>
      </c>
      <c r="GB135" s="22" t="s">
        <v>868</v>
      </c>
      <c r="GC135" s="22">
        <v>45087</v>
      </c>
      <c r="GD135" s="29">
        <f t="shared" ca="1" si="490"/>
        <v>25.428571428571427</v>
      </c>
      <c r="GE135" s="22"/>
      <c r="GF135" s="22"/>
      <c r="GG135" s="29" t="str">
        <f t="shared" ca="1" si="444"/>
        <v>TOMA INMEDIATA DE TAMIZAJE</v>
      </c>
      <c r="GH135" s="22"/>
      <c r="GI135" s="29"/>
      <c r="GJ135" s="22"/>
      <c r="GK135" s="22"/>
      <c r="GL135" s="22"/>
      <c r="GM135" s="22"/>
      <c r="GN135" s="28" t="s">
        <v>869</v>
      </c>
      <c r="GO135" s="22">
        <v>45087</v>
      </c>
      <c r="GP135" s="29">
        <f t="shared" si="625"/>
        <v>25.428571428571427</v>
      </c>
      <c r="GQ135" s="28"/>
      <c r="GR135" s="28"/>
      <c r="GS135" s="22" t="str">
        <f t="shared" si="626"/>
        <v/>
      </c>
      <c r="GT135" s="22"/>
      <c r="GU135" s="29" t="str">
        <f t="shared" si="627"/>
        <v>TOMAR EXAMEN</v>
      </c>
      <c r="GV135" s="21" t="str">
        <f t="shared" si="628"/>
        <v>POR DEFINIR</v>
      </c>
      <c r="GW135" s="28"/>
      <c r="GX135" s="30"/>
      <c r="GY135" s="21"/>
      <c r="GZ135" s="21"/>
      <c r="HA135" s="21"/>
      <c r="HB135" s="21"/>
      <c r="HC135" s="21"/>
      <c r="HD135" s="21"/>
      <c r="HE135" s="21"/>
      <c r="HF135" s="22"/>
      <c r="HG135" s="22" t="str">
        <f>IF(OR(O135&gt;0,R135&gt;0),CONCATENATE(IF(Tabla1[[#This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5" s="22" t="e">
        <f t="shared" si="629"/>
        <v>#REF!</v>
      </c>
      <c r="HI135" s="22" t="e">
        <f t="shared" ca="1" si="630"/>
        <v>#REF!</v>
      </c>
      <c r="HJ135" s="21"/>
      <c r="HK135" s="21" t="str">
        <f t="shared" si="631"/>
        <v>SIN ANTECEDENTES DE RIESGO</v>
      </c>
      <c r="HL135" s="24" t="str">
        <f t="shared" si="632"/>
        <v>APARENTEMENTE NORMAL</v>
      </c>
      <c r="HM135" s="21" t="e">
        <f t="shared" ca="1" si="633"/>
        <v>#REF!</v>
      </c>
      <c r="HN135" s="30" t="str">
        <f t="shared" si="445"/>
        <v>ACTIVA INGRESO A CPN</v>
      </c>
      <c r="HO135" s="21"/>
      <c r="HP135" s="21"/>
      <c r="HQ135" s="349"/>
      <c r="HR135" s="21" t="str">
        <f>IF(R135="","",IF(Tabla1[[#This Row],[ALARMA FACTORES DE RIESGO COMPLICACIONES HIPERTENSIVAS3]]="SIN ANTECEDENTES DE RIESGO","No Aplica para suministro de ASA",IF(AND(Tabla1[[#This Row],[FECHA INICIO DE SUMINISTRO DE ASA]]&gt;0,RV135&lt;12),"Inicia ASA ANTES de Sem 12",IF(AND(RV135&gt;11,RV135&lt;17,OR(HK135="RIESGO ALTO DE COMPLICACIONES HIPERTENSIVAS VER MANEJO GUIA SUMINISTRO ASA Y CALCIO",HK135="RIESGO MODERADO (2 O MAS CRITERIOS) VER MANEJO GUIA SUMINISTRO ASA Y CALCIO")),"Inicio oportuno de ASA",IF(AND(RV135&gt;12,OR(HK135="RIESGO ALTO DE COMPLICACIONES HIPERTENSIVAS VER MANEJO GUIA SUMINISTRO ASA Y CALCIO",HK135="RIESGO MODERADO (2 O MAS CRITERIOS) VER MANEJO GUIA SUMINISTRO ASA Y CALCIO")),"Inicio no oportuno mayor a 16 semanas",IF(AND(BU135&lt;12,OR(HK135="RIESGO ALTO DE COMPLICACIONES HIPERTENSIVAS VER MANEJO GUIA SUMINISTRO ASA Y CALCIO",HK135="RIESGO MODERADO (2 O MAS CRITERIOS) VER MANEJO GUIA SUMINISTRO ASA Y CALCIO")),"Pendiente Inicio de ASA a la semana 12",IF(AND(BU135&gt;11,BU135&lt;17,OR(HK135="RIESGO ALTO DE COMPLICACIONES HIPERTENSIVAS VER MANEJO GUIA SUMINISTRO ASA Y CALCIO",HK135="RIESGO MODERADO (2 O MAS CRITERIOS) VER MANEJO GUIA SUMINISTRO ASA Y CALCIO")),"Iniciar de inmediato ASA",IF(AND(BU135&gt;16,OR(HK135="RIESGO ALTO DE COMPLICACIONES HIPERTENSIVAS VER MANEJO GUIA SUMINISTRO ASA Y CALCIO",HK135="RIESGO MODERADO (2 O MAS CRITERIOS) VER MANEJO GUIA SUMINISTRO ASA Y CALCIO")),"Pierde Oportunidad, Inicio tardío de ASA","XXXXX"))))))))</f>
        <v>No Aplica para suministro de ASA</v>
      </c>
      <c r="HS135" s="22"/>
      <c r="HT135" s="22">
        <v>45012</v>
      </c>
      <c r="HU135" s="22"/>
      <c r="HV135" s="22">
        <v>45012</v>
      </c>
      <c r="HW135" s="22">
        <v>45012</v>
      </c>
      <c r="HX135" s="22" t="s">
        <v>1572</v>
      </c>
      <c r="HY135" s="22"/>
      <c r="HZ135" s="28" t="str">
        <f t="shared" si="634"/>
        <v>PENDIENTE CONSULTA</v>
      </c>
      <c r="IA135" s="26"/>
      <c r="IB135" s="26"/>
      <c r="IC135" s="111">
        <v>45121</v>
      </c>
      <c r="ID135" s="111">
        <v>45121</v>
      </c>
      <c r="IE135" s="22" t="str">
        <f t="shared" ca="1" si="635"/>
        <v>VACUNA APLICADA ENTRE SEMANA 27 Y EL PARTO</v>
      </c>
      <c r="IF135" s="22">
        <v>45016</v>
      </c>
      <c r="IG135" s="22">
        <f t="shared" si="636"/>
        <v>45189</v>
      </c>
      <c r="IH135" s="29">
        <f t="shared" ca="1" si="637"/>
        <v>-44</v>
      </c>
      <c r="II135" s="22" t="str">
        <f t="shared" ca="1" si="638"/>
        <v>POSIBLEMENTE NACIO</v>
      </c>
      <c r="IJ135" s="22"/>
      <c r="IK135" s="21"/>
      <c r="IL135" s="21"/>
      <c r="IM135" s="34"/>
      <c r="IN135" s="22"/>
      <c r="IO135" s="21"/>
      <c r="IP135" s="29" t="str">
        <f t="shared" si="489"/>
        <v/>
      </c>
      <c r="IQ135" s="35"/>
      <c r="IR135" s="21"/>
      <c r="IS135" s="21"/>
      <c r="IT135" s="21"/>
      <c r="IU135" s="21"/>
      <c r="IV135" s="21"/>
      <c r="IW135" s="21"/>
      <c r="IX135" s="21"/>
      <c r="IY135" s="21"/>
      <c r="IZ135" s="21"/>
      <c r="JA135" s="21"/>
      <c r="JB135" s="30"/>
      <c r="JC135" s="21"/>
      <c r="JD135" s="36"/>
      <c r="JE135" s="21" t="str">
        <f t="shared" si="491"/>
        <v/>
      </c>
      <c r="JF135" s="30"/>
      <c r="JG135" s="21"/>
      <c r="JH135" s="21"/>
      <c r="JI135" s="21"/>
      <c r="JJ135" s="30"/>
      <c r="JK135" s="22"/>
      <c r="JL135" s="22"/>
      <c r="JM135" s="21"/>
      <c r="JN135" s="36"/>
      <c r="JO135" s="21" t="str">
        <f t="shared" si="492"/>
        <v/>
      </c>
      <c r="JP135" s="22"/>
      <c r="JQ135" s="21"/>
      <c r="JR135" s="21"/>
      <c r="JS135" s="21"/>
      <c r="JT135" s="30"/>
      <c r="JU135" s="22"/>
      <c r="JV135" s="22"/>
      <c r="JW135" s="33"/>
      <c r="JX135" s="28" t="str">
        <f t="shared" si="493"/>
        <v/>
      </c>
      <c r="JY135" s="33"/>
      <c r="JZ135" s="28" t="str">
        <f t="shared" si="494"/>
        <v/>
      </c>
      <c r="KA135" s="21"/>
      <c r="KB135" s="21"/>
      <c r="KC135" s="21"/>
      <c r="KD135" s="37"/>
      <c r="KE135" s="28"/>
      <c r="KF135" s="28"/>
      <c r="KG135" s="28"/>
      <c r="KH135" s="39"/>
      <c r="KI135" s="39"/>
      <c r="KJ135" s="66"/>
      <c r="KK135" s="39"/>
      <c r="KL135" s="39"/>
      <c r="KM135" s="66"/>
      <c r="KN135" s="39"/>
      <c r="KO135" s="39"/>
      <c r="KP135" s="39"/>
      <c r="KQ135" s="39"/>
      <c r="KR135" s="39"/>
      <c r="KS135" s="39"/>
      <c r="KT135" s="39"/>
      <c r="KU135" s="38"/>
      <c r="KV135" s="38"/>
      <c r="KW135" s="38"/>
      <c r="KX135" s="38"/>
      <c r="KY135" s="38"/>
      <c r="KZ135" s="38"/>
      <c r="LA135" s="38"/>
      <c r="LB135" s="38"/>
      <c r="LC135" s="38"/>
      <c r="LD135" s="38"/>
      <c r="LE135" s="38"/>
      <c r="LF135" s="38"/>
      <c r="LG135" s="38"/>
      <c r="LH135" s="38"/>
      <c r="LI135" s="38"/>
      <c r="LJ135" s="38"/>
      <c r="LK135" s="38"/>
      <c r="LL135" s="38"/>
      <c r="LM135" s="38"/>
      <c r="LN135" s="38"/>
      <c r="LO135" s="38"/>
      <c r="LP135" s="38"/>
      <c r="LQ135" s="38"/>
      <c r="LR135" s="38"/>
      <c r="LS135" s="38"/>
      <c r="LT135" s="38"/>
      <c r="LU135" s="38"/>
      <c r="LV135" s="38"/>
      <c r="LW135" s="38"/>
      <c r="LX135" s="38"/>
      <c r="LY135" s="38"/>
      <c r="LZ135" s="38"/>
      <c r="MA135" s="38"/>
      <c r="MB135" s="38"/>
      <c r="MC135" s="38"/>
      <c r="MD135" s="38"/>
      <c r="ME135" s="38"/>
      <c r="MF135" s="38"/>
      <c r="MG135" s="38"/>
      <c r="MH135" s="43">
        <f t="shared" si="639"/>
        <v>0</v>
      </c>
      <c r="MI135" s="43" t="str">
        <f t="shared" si="640"/>
        <v/>
      </c>
      <c r="MJ135" s="43" t="str">
        <f t="shared" si="641"/>
        <v/>
      </c>
      <c r="MK135" s="43">
        <f t="shared" si="642"/>
        <v>0</v>
      </c>
      <c r="ML1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5" s="43">
        <f t="shared" si="643"/>
        <v>14.714285714285714</v>
      </c>
      <c r="MN135" s="43">
        <f t="shared" si="644"/>
        <v>3</v>
      </c>
      <c r="MO135" s="43">
        <f t="shared" si="645"/>
        <v>2023</v>
      </c>
      <c r="MP135" s="43" t="str">
        <f t="shared" si="646"/>
        <v>I TRIMESTRE AÑO</v>
      </c>
      <c r="MQ135" s="43">
        <f t="shared" si="647"/>
        <v>22.807161629434955</v>
      </c>
      <c r="MR135" s="43">
        <f t="shared" si="648"/>
        <v>0</v>
      </c>
      <c r="MS135" s="43" t="str">
        <f t="shared" si="649"/>
        <v xml:space="preserve"> DE 20 A 24 AÑOS</v>
      </c>
      <c r="MT135" s="43">
        <f t="shared" si="650"/>
        <v>0</v>
      </c>
      <c r="MU135" s="43">
        <f t="shared" si="651"/>
        <v>0</v>
      </c>
      <c r="MV135" s="43">
        <f t="shared" si="652"/>
        <v>0</v>
      </c>
      <c r="MW135" s="43">
        <f t="shared" si="653"/>
        <v>0</v>
      </c>
      <c r="MX135" s="43" t="str">
        <f t="shared" si="654"/>
        <v/>
      </c>
      <c r="MY135" s="43" t="str">
        <f t="shared" ca="1" si="495"/>
        <v/>
      </c>
      <c r="MZ135" s="43" t="str">
        <f t="shared" si="655"/>
        <v/>
      </c>
      <c r="NA135" s="43">
        <f t="shared" si="656"/>
        <v>0</v>
      </c>
      <c r="NB135" s="43" t="str">
        <f t="shared" si="657"/>
        <v/>
      </c>
      <c r="NC135" s="43" t="str">
        <f t="shared" si="658"/>
        <v/>
      </c>
      <c r="ND135" s="43">
        <f t="shared" ca="1" si="659"/>
        <v>3</v>
      </c>
      <c r="NE135" s="43">
        <f>IF(OR(O135&gt;0,R135&gt;0),SUM(COUNTIF(Tabla1[[#This Row],[AÑOS AL INICIO5 CPN]],"&gt;=40"),COUNTIF(AS135,"0"),COUNTIF(AR135,"SI"),COUNTIF(CC135,"SI"),COUNTIF(BQ135,"&gt;119"),COUNTIF(CI135,"&gt;=35")),"")</f>
        <v>0</v>
      </c>
      <c r="NF135" s="43">
        <f t="shared" si="660"/>
        <v>30.285714285714285</v>
      </c>
      <c r="NG135" s="43">
        <f t="shared" si="661"/>
        <v>0</v>
      </c>
      <c r="NH135" s="43">
        <f t="shared" si="662"/>
        <v>105</v>
      </c>
      <c r="NI1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CPN",P135="NO"),"Z",IF(AND(Tabla1[[#This Row],[CITA PROXIMO CONTROL]]="CITA MANUAL",Tabla1[[#This Row],[GESTANTES ACTUALES]]="ACTIVA INGRESO A CPN"),"W",IF(AND(Tabla1[[#This Row],[GESTANTES ACTUALES]]="SALIO PROGRAMA",IN135=""),"S",IF(AND(Tabla1[[#This Row],[CITA PROXIMO CONTROL]]&gt;0,IN135=""),(Tabla1[[#This Row],[CITA PROXIMO CONTROL]]-TODAY()),"SD"))))))))</f>
        <v>#REF!</v>
      </c>
      <c r="NJ135" s="43">
        <f>MONTH(Tabla1[[#This Row],[FECHA DE SALIDA  DEL PROGRAMA]])</f>
        <v>1</v>
      </c>
      <c r="NK135" s="43">
        <f>YEAR(Tabla1[[#This Row],[FECHA DE SALIDA  DEL PROGRAMA]])</f>
        <v>1900</v>
      </c>
      <c r="NL135" s="43" t="str">
        <f t="shared" si="663"/>
        <v>X</v>
      </c>
      <c r="NM135" s="43" t="str">
        <f t="shared" si="500"/>
        <v>NO</v>
      </c>
      <c r="NN135" s="43" t="str">
        <f ca="1">IF(AND(O135&gt;0,R135=""),"NO CPN",IF(AND(O135="",R135=""),"",IF(AND(R135&gt;0,Tabla1[[#This Row],[SEMANAS DE GESTACION ACTUALIZADAS]]&lt;=12),"NO APLICA",IF(AND(FH135&lt;&gt;"",FN135&lt;&gt;""),"SI","NO"))))</f>
        <v>NO</v>
      </c>
      <c r="NO135" s="43" t="str">
        <f ca="1">IF(AND(O135&gt;0,R135=""),"NO CPN",IF(AND(O135="",R135=""),"",IF(AND(R135&gt;0,Tabla1[[#This Row],[SEMANAS DE GESTACION ACTUALIZADAS]]&lt;=27),"NO APLICA",IF(AND(ES135&lt;&gt;"",FQ135&lt;&gt;"",GF135&lt;&gt;""),"SI","NO"))))</f>
        <v>NO</v>
      </c>
      <c r="NP135" s="204" t="str">
        <f t="shared" si="664"/>
        <v>II TRIM</v>
      </c>
      <c r="NQ135" s="21" t="str">
        <f t="shared" si="499"/>
        <v/>
      </c>
      <c r="NR135" s="21" t="str">
        <f t="shared" ca="1" si="496"/>
        <v>REVISAR FUM O FECHA SALIDA PROGRAMA</v>
      </c>
      <c r="NS135" s="205">
        <f t="shared" ca="1" si="665"/>
        <v>1</v>
      </c>
      <c r="NT135" s="21">
        <f t="shared" ca="1" si="666"/>
        <v>1</v>
      </c>
      <c r="NU135" s="21" t="str">
        <f t="shared" ca="1" si="667"/>
        <v>POR DEFINIR</v>
      </c>
      <c r="NV135" s="21" t="str">
        <f t="shared" ca="1" si="668"/>
        <v>POR DEFINIR</v>
      </c>
      <c r="NW135" s="206" t="str">
        <f>IF(AND(O135="",R135=""),"",IF(OR(AND(Tabla1[[#This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5" s="207" t="str">
        <f t="shared" ca="1" si="669"/>
        <v>VACUNADA</v>
      </c>
      <c r="NY135" s="43">
        <f>ROW(Tabla1[[#This Row],['# DE TAMIZAJES SIFILIS TOMADOS ]])</f>
        <v>135</v>
      </c>
      <c r="NZ135" s="43">
        <f t="shared" si="501"/>
        <v>14</v>
      </c>
      <c r="OA135" s="43" t="str">
        <f t="shared" si="502"/>
        <v/>
      </c>
      <c r="OB135" s="43" t="str">
        <f t="shared" si="503"/>
        <v/>
      </c>
      <c r="OC135" s="43" t="str">
        <f t="shared" si="504"/>
        <v/>
      </c>
      <c r="OD135" s="43" t="str">
        <f t="shared" si="505"/>
        <v/>
      </c>
      <c r="OE135" s="43" t="str">
        <f t="shared" si="506"/>
        <v/>
      </c>
      <c r="OF135" s="43" t="str">
        <f t="shared" si="507"/>
        <v>NORMAL</v>
      </c>
      <c r="OG135" s="43" t="str">
        <f t="shared" si="508"/>
        <v/>
      </c>
      <c r="OH135" s="43" t="str">
        <f t="shared" si="509"/>
        <v/>
      </c>
      <c r="OI135" s="43" t="str">
        <f t="shared" si="510"/>
        <v/>
      </c>
      <c r="OJ135" s="43" t="str">
        <f t="shared" si="511"/>
        <v/>
      </c>
      <c r="OK135" s="43" t="str">
        <f t="shared" si="512"/>
        <v/>
      </c>
      <c r="OL135" s="43" t="str">
        <f t="shared" si="513"/>
        <v/>
      </c>
      <c r="OM135" s="43" t="str">
        <f t="shared" si="514"/>
        <v/>
      </c>
      <c r="ON135" s="43" t="str">
        <f t="shared" si="515"/>
        <v/>
      </c>
      <c r="OO135" s="43" t="str">
        <f t="shared" si="516"/>
        <v/>
      </c>
      <c r="OP135" s="43" t="str">
        <f t="shared" si="517"/>
        <v/>
      </c>
      <c r="OQ135" s="43" t="str">
        <f t="shared" si="518"/>
        <v/>
      </c>
      <c r="OR135" s="43" t="str">
        <f t="shared" si="519"/>
        <v/>
      </c>
      <c r="OS135" s="43" t="str">
        <f t="shared" si="520"/>
        <v/>
      </c>
      <c r="OT135" s="43" t="str">
        <f t="shared" si="521"/>
        <v/>
      </c>
      <c r="OU135" s="43" t="str">
        <f t="shared" si="522"/>
        <v/>
      </c>
      <c r="OV135" s="110" t="str">
        <f t="shared" si="523"/>
        <v/>
      </c>
      <c r="OW135" s="43" t="str">
        <f t="shared" si="524"/>
        <v/>
      </c>
      <c r="OX135" s="43" t="str">
        <f t="shared" si="525"/>
        <v/>
      </c>
      <c r="OY135" s="43" t="str">
        <f t="shared" si="526"/>
        <v/>
      </c>
      <c r="OZ135" s="43" t="str">
        <f t="shared" si="527"/>
        <v/>
      </c>
      <c r="PA135" s="43" t="str">
        <f t="shared" si="528"/>
        <v/>
      </c>
      <c r="PB135" s="43" t="str">
        <f t="shared" si="529"/>
        <v/>
      </c>
      <c r="PC135" s="43" t="str">
        <f t="shared" si="530"/>
        <v/>
      </c>
      <c r="PD135" s="43" t="str">
        <f t="shared" si="531"/>
        <v/>
      </c>
      <c r="PE135" s="43" t="str">
        <f t="shared" si="532"/>
        <v/>
      </c>
      <c r="PF135" s="43" t="str">
        <f t="shared" si="533"/>
        <v/>
      </c>
      <c r="PG135" s="43" t="str">
        <f t="shared" si="534"/>
        <v/>
      </c>
      <c r="PH135" s="43" t="str">
        <f t="shared" si="535"/>
        <v/>
      </c>
      <c r="PI135" s="43">
        <f t="shared" si="536"/>
        <v>30</v>
      </c>
      <c r="PJ135" s="43" t="str">
        <f t="shared" si="537"/>
        <v/>
      </c>
      <c r="PK135" s="43" t="str">
        <f t="shared" si="538"/>
        <v/>
      </c>
      <c r="PL135" s="43" t="str">
        <f t="shared" si="539"/>
        <v/>
      </c>
      <c r="PM135" s="43" t="str">
        <f t="shared" si="540"/>
        <v/>
      </c>
      <c r="PN135" s="43" t="str">
        <f t="shared" si="541"/>
        <v/>
      </c>
      <c r="PO135" s="43" t="str">
        <f t="shared" si="542"/>
        <v/>
      </c>
      <c r="PP135" s="43" t="str">
        <f t="shared" si="543"/>
        <v/>
      </c>
      <c r="PQ135" s="43" t="str">
        <f t="shared" si="544"/>
        <v/>
      </c>
      <c r="PR135" s="43" t="str">
        <f t="shared" si="545"/>
        <v/>
      </c>
      <c r="PS135" s="43" t="str">
        <f t="shared" si="546"/>
        <v/>
      </c>
      <c r="PT135" s="43" t="str">
        <f t="shared" si="547"/>
        <v/>
      </c>
      <c r="PU135" s="43" t="str">
        <f t="shared" si="548"/>
        <v/>
      </c>
      <c r="PV135" s="43" t="str">
        <f t="shared" si="549"/>
        <v/>
      </c>
      <c r="PW135" s="43" t="str">
        <f t="shared" si="550"/>
        <v/>
      </c>
      <c r="PX135" s="43" t="str">
        <f t="shared" si="551"/>
        <v/>
      </c>
      <c r="PY135" s="43" t="str">
        <f t="shared" si="552"/>
        <v/>
      </c>
      <c r="PZ135" s="43" t="str">
        <f t="shared" si="553"/>
        <v/>
      </c>
      <c r="QA135" s="43" t="str">
        <f t="shared" si="554"/>
        <v/>
      </c>
      <c r="QB135" s="43" t="str">
        <f t="shared" si="555"/>
        <v/>
      </c>
      <c r="QC135" s="43" t="str">
        <f t="shared" si="556"/>
        <v/>
      </c>
      <c r="QD135" s="43" t="str">
        <f t="shared" si="557"/>
        <v/>
      </c>
      <c r="QE135" s="43" t="str">
        <f t="shared" si="558"/>
        <v>NORMAL</v>
      </c>
      <c r="QF135" s="43" t="str">
        <f t="shared" si="559"/>
        <v/>
      </c>
      <c r="QG135" s="43" t="str">
        <f t="shared" si="560"/>
        <v/>
      </c>
      <c r="QH135" s="43" t="str">
        <f t="shared" si="561"/>
        <v/>
      </c>
      <c r="QI135" s="43" t="str">
        <f t="shared" si="562"/>
        <v/>
      </c>
      <c r="QJ135" s="43" t="str">
        <f t="shared" si="563"/>
        <v/>
      </c>
      <c r="QK135" s="43" t="str">
        <f t="shared" si="564"/>
        <v/>
      </c>
      <c r="QL135" s="43" t="str">
        <f t="shared" si="565"/>
        <v/>
      </c>
      <c r="QM135" s="43" t="str">
        <f t="shared" si="566"/>
        <v/>
      </c>
      <c r="QN135" s="43" t="str">
        <f t="shared" si="567"/>
        <v/>
      </c>
      <c r="QO135" s="43" t="str">
        <f t="shared" si="568"/>
        <v/>
      </c>
      <c r="QP135" s="43" t="str">
        <f t="shared" si="569"/>
        <v/>
      </c>
      <c r="QQ135" s="43" t="str">
        <f t="shared" si="570"/>
        <v/>
      </c>
      <c r="QR135" s="43">
        <f t="shared" si="670"/>
        <v>30</v>
      </c>
      <c r="QS135" s="43"/>
      <c r="QT135" s="21" t="str">
        <f t="shared" si="571"/>
        <v/>
      </c>
      <c r="QU135" s="21" t="str">
        <f t="shared" si="572"/>
        <v/>
      </c>
      <c r="QV135" s="21" t="str">
        <f t="shared" si="573"/>
        <v/>
      </c>
      <c r="QW135" s="21" t="str">
        <f t="shared" si="574"/>
        <v/>
      </c>
      <c r="QX135" s="21" t="str">
        <f t="shared" si="575"/>
        <v/>
      </c>
      <c r="QY135" s="21" t="str">
        <f t="shared" si="576"/>
        <v/>
      </c>
      <c r="QZ135" s="21" t="str">
        <f t="shared" si="577"/>
        <v/>
      </c>
      <c r="RA135" s="21" t="str">
        <f t="shared" si="578"/>
        <v/>
      </c>
      <c r="RB135" s="21" t="str">
        <f t="shared" si="579"/>
        <v/>
      </c>
      <c r="RC135" s="21" t="str">
        <f t="shared" si="580"/>
        <v/>
      </c>
      <c r="RD135" s="21" t="str">
        <f t="shared" si="581"/>
        <v/>
      </c>
      <c r="RE135" s="21" t="str">
        <f t="shared" si="582"/>
        <v/>
      </c>
      <c r="RF135" s="21" t="str">
        <f t="shared" si="583"/>
        <v/>
      </c>
      <c r="RG135" s="21" t="str">
        <f t="shared" si="584"/>
        <v/>
      </c>
      <c r="RH135" s="21" t="str">
        <f t="shared" si="585"/>
        <v/>
      </c>
      <c r="RI135" s="21" t="str">
        <f t="shared" si="586"/>
        <v/>
      </c>
      <c r="RJ135" s="21" t="str">
        <f t="shared" si="587"/>
        <v/>
      </c>
      <c r="RK135" s="21" t="str">
        <f t="shared" si="588"/>
        <v>BAJO PARA EDAD GESTACIONAL</v>
      </c>
      <c r="RL135" s="21" t="str">
        <f t="shared" si="589"/>
        <v/>
      </c>
      <c r="RM135" s="21" t="str">
        <f t="shared" si="590"/>
        <v/>
      </c>
      <c r="RN135" s="21" t="str">
        <f t="shared" si="591"/>
        <v/>
      </c>
      <c r="RO135" s="21" t="str">
        <f t="shared" si="592"/>
        <v/>
      </c>
      <c r="RP135" s="21" t="str">
        <f t="shared" si="593"/>
        <v/>
      </c>
      <c r="RQ135" s="21" t="str">
        <f t="shared" si="594"/>
        <v/>
      </c>
      <c r="RR135" s="21" t="str">
        <f t="shared" si="595"/>
        <v/>
      </c>
      <c r="RS135" s="21" t="str">
        <f t="shared" si="596"/>
        <v/>
      </c>
      <c r="RT135" s="21" t="str">
        <f t="shared" si="597"/>
        <v/>
      </c>
      <c r="RU135" s="21" t="str">
        <f t="shared" si="598"/>
        <v/>
      </c>
      <c r="RV135" s="21">
        <f t="shared" si="599"/>
        <v>-1</v>
      </c>
      <c r="RW135" s="284">
        <f>IF(OR(Tabla1[[#This Row],[FUM FORMULA CONFIABLE]]="",Tabla1[[#This Row],[FUM FORMULA CONFIABLE]]="SD"),"",IF(Tabla1[[#This Row],[FUM FORMULA CONFIABLE]]="CORREGIDA",Tabla1[[#This Row],[FUM X ECO 1]],Tabla1[[#This Row],[FUM x AMENORREA]]))</f>
        <v>44909</v>
      </c>
      <c r="RX135" s="21">
        <f>IF(AND(Tabla1[[#This Row],[FUM X ECO 1]]="",Tabla1[[#This Row],[FUM x AMENORREA]]=""),"",IF(AND(Tabla1[[#This Row],[FUM X ECO 1]]="",Tabla1[[#This Row],[FUM x AMENORREA]]&lt;&gt;""),"X",SUM(Tabla1[[#This Row],[FUM X ECO 1]]-Tabla1[[#This Row],[FUM x AMENORREA]])))</f>
        <v>2</v>
      </c>
      <c r="RY135" s="21">
        <f t="shared" si="671"/>
        <v>0</v>
      </c>
    </row>
    <row r="136" spans="1:493" s="338" customFormat="1" ht="45" customHeight="1" x14ac:dyDescent="0.25">
      <c r="A136" s="300"/>
      <c r="B136" s="301"/>
      <c r="C136" s="301" t="s">
        <v>845</v>
      </c>
      <c r="D136" s="302"/>
      <c r="E136" s="301" t="s">
        <v>953</v>
      </c>
      <c r="F136" s="301" t="s">
        <v>1402</v>
      </c>
      <c r="G136" s="301" t="s">
        <v>1403</v>
      </c>
      <c r="H136" s="301" t="s">
        <v>982</v>
      </c>
      <c r="I136" s="300" t="s">
        <v>851</v>
      </c>
      <c r="J136" s="303">
        <v>1002922124</v>
      </c>
      <c r="K136" s="301" t="s">
        <v>852</v>
      </c>
      <c r="L136" s="175" t="s">
        <v>1509</v>
      </c>
      <c r="M136" s="305">
        <v>37178</v>
      </c>
      <c r="N136" s="306">
        <f t="shared" ca="1" si="600"/>
        <v>22.068493150684933</v>
      </c>
      <c r="O136" s="305">
        <v>44998</v>
      </c>
      <c r="P136" s="307" t="str">
        <f t="shared" si="437"/>
        <v>SI</v>
      </c>
      <c r="Q136" s="308" t="s">
        <v>855</v>
      </c>
      <c r="R136" s="305">
        <v>44998</v>
      </c>
      <c r="S136" s="309" t="s">
        <v>856</v>
      </c>
      <c r="T136" s="310" t="s">
        <v>690</v>
      </c>
      <c r="U136" s="309" t="s">
        <v>857</v>
      </c>
      <c r="V136" s="309" t="s">
        <v>858</v>
      </c>
      <c r="W136" s="309" t="s">
        <v>1404</v>
      </c>
      <c r="X136" s="309"/>
      <c r="Y136" s="309" t="s">
        <v>859</v>
      </c>
      <c r="Z136" s="309">
        <v>3163226393</v>
      </c>
      <c r="AA136" s="309" t="s">
        <v>860</v>
      </c>
      <c r="AB136" s="311" t="s">
        <v>861</v>
      </c>
      <c r="AC136" s="308" t="s">
        <v>862</v>
      </c>
      <c r="AD136" s="312" t="s">
        <v>1251</v>
      </c>
      <c r="AE136" s="308" t="s">
        <v>854</v>
      </c>
      <c r="AF136" s="308" t="s">
        <v>854</v>
      </c>
      <c r="AG136" s="313" t="s">
        <v>864</v>
      </c>
      <c r="AH136" s="313" t="s">
        <v>864</v>
      </c>
      <c r="AI136" s="310" t="s">
        <v>863</v>
      </c>
      <c r="AJ136" s="313" t="s">
        <v>864</v>
      </c>
      <c r="AK136" s="314" t="str">
        <f>IF(AND(AD136="",AE136="",AF136="",AG136="",AH136="",AI136="",AJ136=""),"",IF(OR(Tabla1[[#This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EVALUACIÓN",IF(AND(O136="",R136=""),"",IF(AND(OR(O136&gt;0,R136&gt;0),NG136&gt;=0,NG136&lt;2),"SIN RIESGO",IF(AND(OR(O136&gt;0,R136&gt;0),NG136&gt;=2),"CON RIESGO","ASD")))))</f>
        <v>SIN RIESGO</v>
      </c>
      <c r="AL136" s="313" t="s">
        <v>864</v>
      </c>
      <c r="AM136" s="308" t="s">
        <v>864</v>
      </c>
      <c r="AN136" s="308" t="s">
        <v>864</v>
      </c>
      <c r="AO136" s="308" t="s">
        <v>864</v>
      </c>
      <c r="AP136" s="308" t="s">
        <v>864</v>
      </c>
      <c r="AQ136" s="308" t="s">
        <v>864</v>
      </c>
      <c r="AR136" s="308" t="s">
        <v>864</v>
      </c>
      <c r="AS136" s="309">
        <v>1</v>
      </c>
      <c r="AT136" s="309">
        <v>1</v>
      </c>
      <c r="AU136" s="309">
        <v>0</v>
      </c>
      <c r="AV136" s="308" t="s">
        <v>864</v>
      </c>
      <c r="AW136" s="309">
        <v>0</v>
      </c>
      <c r="AX136" s="308" t="s">
        <v>864</v>
      </c>
      <c r="AY136" s="308" t="s">
        <v>864</v>
      </c>
      <c r="AZ136" s="308" t="s">
        <v>864</v>
      </c>
      <c r="BA136" s="308" t="s">
        <v>864</v>
      </c>
      <c r="BB136" s="308" t="s">
        <v>864</v>
      </c>
      <c r="BC136" s="308" t="s">
        <v>864</v>
      </c>
      <c r="BD136" s="308" t="s">
        <v>864</v>
      </c>
      <c r="BE136" s="308" t="s">
        <v>864</v>
      </c>
      <c r="BF136" s="308" t="s">
        <v>864</v>
      </c>
      <c r="BG136" s="308" t="s">
        <v>864</v>
      </c>
      <c r="BH136" s="308" t="s">
        <v>864</v>
      </c>
      <c r="BI136" s="308" t="s">
        <v>864</v>
      </c>
      <c r="BJ136" s="308"/>
      <c r="BK136" s="308"/>
      <c r="BL136" s="308" t="s">
        <v>864</v>
      </c>
      <c r="BM136" s="308" t="s">
        <v>864</v>
      </c>
      <c r="BN136" s="305">
        <v>44533</v>
      </c>
      <c r="BO136" s="305">
        <v>44854</v>
      </c>
      <c r="BP136" s="309" t="s">
        <v>854</v>
      </c>
      <c r="BQ136" s="315">
        <f t="shared" si="601"/>
        <v>10.7</v>
      </c>
      <c r="BR136" s="316">
        <f t="shared" si="602"/>
        <v>44852.2</v>
      </c>
      <c r="BS136" s="317">
        <f t="shared" si="603"/>
        <v>20.571428571428573</v>
      </c>
      <c r="BT136" s="318" t="str">
        <f t="shared" si="604"/>
        <v>II TRIM</v>
      </c>
      <c r="BU136" s="307" t="str">
        <f t="shared" ca="1" si="605"/>
        <v/>
      </c>
      <c r="BV136" s="319"/>
      <c r="BW136" s="305">
        <v>45016</v>
      </c>
      <c r="BX136" s="320">
        <v>23.4</v>
      </c>
      <c r="BY136" s="320"/>
      <c r="BZ136" s="305"/>
      <c r="CA136" s="309"/>
      <c r="CB136" s="308" t="s">
        <v>864</v>
      </c>
      <c r="CC136" s="308" t="s">
        <v>864</v>
      </c>
      <c r="CD136" s="308" t="s">
        <v>865</v>
      </c>
      <c r="CE136" s="308" t="s">
        <v>864</v>
      </c>
      <c r="CF136" s="22" t="s">
        <v>1517</v>
      </c>
      <c r="CG136" s="309"/>
      <c r="CH136" s="309"/>
      <c r="CI136" s="307" t="str">
        <f t="shared" si="606"/>
        <v>SD</v>
      </c>
      <c r="CJ136" s="321" t="str">
        <f>IF(AND(CI136&lt;10,CH136="SD"),"SIN DATO PESO PREGESTACION O I TRIM",IF(AND(OR(R136&gt;0,O136&gt;0),CI136="X"),"INGRESAR DATO DE PESO",IF(CI136="SD","INGRESAR DATO DE TALLA Y PESO",IF(AND(OR(Tabla1[[#This Row],[MOMENTO EN QUE SE REALIZA EL PESO AL INGRESO A CPN]]="PREGESTACIÓN",NZ136="Menor"),CI136&lt;18.5),"BAJO PESO",IF(AND(OR(Tabla1[[#This Row],[MOMENTO EN QUE SE REALIZA EL PESO AL INGRESO A CPN]]="PREGESTACIÓN",NZ136="Menor"),CI136&lt;25),"NORMAL",IF(AND(OR(Tabla1[[#This Row],[MOMENTO EN QUE SE REALIZA EL PESO AL INGRESO A CPN]]="PREGESTACIÓN",NZ136="Menor"),CI136&lt;30),"SOBREPESO",IF(AND(OR(Tabla1[[#This Row],[MOMENTO EN QUE SE REALIZA EL PESO AL INGRESO A CPN]]="PREGESTACIÓN",NZ136="Menor"),CI136&gt;=30,CI136&lt;50),"OBESIDAD",IF(AND(BS136&gt;0,Tabla1[[#This Row],[MOMENTO EN QUE SE REALIZA EL PESO AL INGRESO A CPN]]="GESTACIÓN"),HLOOKUP(NZ136,$OA$2:PH136,NY136),""))))))))</f>
        <v>INGRESAR DATO DE TALLA Y PESO</v>
      </c>
      <c r="CK136" s="322">
        <f t="shared" si="607"/>
        <v>45072</v>
      </c>
      <c r="CL136" s="309">
        <v>57.2</v>
      </c>
      <c r="CM136" s="307" t="str">
        <f t="shared" si="608"/>
        <v>SD</v>
      </c>
      <c r="CN136" s="318">
        <f t="shared" si="609"/>
        <v>31</v>
      </c>
      <c r="CO136" s="318" t="e">
        <f>IF(PI136="","",IF(PI136&gt;0,HLOOKUP(PI136,$PJ$2:QQ136,NY136),""))</f>
        <v>#REF!</v>
      </c>
      <c r="CP136" s="309">
        <v>28</v>
      </c>
      <c r="CQ136" s="318" t="e">
        <f>IF(QR136="Menor","NO APLICA-MENOR 13 SEM",IF(AND(CC136="SI",CN136&gt;23),"NO APLICA- GEMELAR",IF(QR136="","",IF(QR136&gt;0,HLOOKUP(QR136,$QS$2:RU136,NY136),""))))</f>
        <v>#REF!</v>
      </c>
      <c r="CR136" s="309"/>
      <c r="CS136" s="309"/>
      <c r="CT136" s="323" t="str">
        <f>IF(R136="","",IF(AND(BS136&gt;1,BS136&lt;12,Tabla1[[#This Row],[T.A. SISTOLICA - ANTES DE SEMANA 12]]="",Tabla1[[#This Row],[T.A. DIASTOLICA - ANTES DE SEMANA 12]]=""),"REGISTRE DATO TA ANTES SEMANA 12",IF(AND(BS136&gt;11,BS136&lt;43,Tabla1[[#This Row],[T.A. SISTOLICA - ANTES DE SEMANA 12]]="",Tabla1[[#This Row],[T.A. DIASTOLICA - ANTES DE SEMANA 12]]=""),"NO APLICA REGISTRO TA-INGRESO TARDIO",IF(AND(OR(O136&gt;0,R136&gt;0),OR(CR136&gt;=140,CS136&gt;=90)),"DEFINIR ESTADIO HTA",IF(AND(OR(O136&gt;0,R136&gt;0),AND(CR136&gt;120,CR136&lt;=139)),"PRE HTA SEGUIMIENTO",IF(AND(OR(O136&gt;0,R136&gt;0),AND(CS136&gt;80,CS136&lt;=89)),"PRE HTA SEGUIMIENTO",IF(AND(OR(O136&gt;0,R136&gt;0),AND(CR136&gt;=80,CR136&lt;=120)),"APARENTEMENTE NORMAL",IF(AND(OR(O136&gt;0,R136&gt;0),AND(CS136&gt;=50,CS136&lt;=80)),"APARENTEMENTE NORMAL",IF(AND(OR(O136&gt;0,R136&gt;0),AND(CR136&gt;1,CR136&lt;=70),AND(CS136&gt;1,CS136&lt;=40)),"HIPOTENSIÓN","")))))))))</f>
        <v>NO APLICA REGISTRO TA-INGRESO TARDIO</v>
      </c>
      <c r="CU136" s="309">
        <v>90</v>
      </c>
      <c r="CV136" s="309">
        <v>60</v>
      </c>
      <c r="CW136" s="323" t="str">
        <f ca="1">IF(R136="","",IF(AND(CN136&gt;19,CN136&lt;27,Tabla1[[#This Row],[T.A. SISTOLICA (Entre semana 20 y 26)]]="",Tabla1[[#This Row],[T.A. DIATOLICA (Entre semana 20 y 26)]]=""),"ACUDE A CONTROL SEM 20 A 26 REGISTRE TA AHORA",IF(AND(BS136&gt;1,BS136&lt;27,BU136&gt;19,Tabla1[[#This Row],[T.A. SISTOLICA (Entre semana 20 y 26)]]="",Tabla1[[#This Row],[T.A. DIATOLICA (Entre semana 20 y 26)]]=""),"COMPLETE REGISTRO TA CONTROL SEM 20 A26 ",IF(AND(BS136&gt;26,BS136&lt;43,Tabla1[[#This Row],[T.A. SISTOLICA (Entre semana 20 y 26)]]="",Tabla1[[#This Row],[T.A. DIATOLICA (Entre semana 20 y 26)]]=""),"NO APLICA REGISTRO TA-INGRESO TARDIO",IF(AND(OR(O136&gt;0,R136&gt;0),OR(CU136&gt;=140,CV136&gt;=90)),"ALTO RIESGO PREECLAMPSIA,DEFINIR ESTADIO HTA",IF(AND(OR(O136&gt;0,R136&gt;0),AND(CU136&gt;120,CU136&lt;=139)),"PRE HTA SEGUIMIENTO,RIESGO HIPERTENSION INDUCIDA POR EL EMBARAZO",IF(AND(OR(O136&gt;0,R136&gt;0),AND(CV136&gt;80,CV136&lt;=89)),"PRE HTA SEGUIMIENTO, RIESGO HIPERTENSION INDUCIDA POR EL EMBARAZO",IF(AND(OR(O136&lt;&gt;"",R136&lt;&gt;""),CS136&lt;&gt;"",CV136&lt;&gt;"",CS136&lt;=CV136),"VIGILAR CIFRAS PRESION ARTERIAL",IF(AND(OR(O136&gt;0,R136&gt;0),AND(CU136&gt;120,CU136&lt;=139)),"PRE HTA SEGUIMIENTO",IF(AND(OR(O136&gt;0,R136&gt;0),AND(CU136&gt;1,CU136&lt;=70),AND(CV136&gt;1,CV136&lt;=40)),"HIPOTENSIÓN",IF(AND(OR(O136&lt;&gt;"",R136&lt;&gt;""),CS136&lt;&gt;"",CV136&lt;&gt;"",CS136&gt;CV136),"APARENTEMENTE NORMAL",IF(AND(OR(O136&gt;0,R136&gt;0),AND(CU136&gt;=80,CU136&lt;=120)),"APARENTEMENTE NORMAL",IF(AND(OR(O136&gt;0,R136&gt;0),AND(CV136&gt;=50,CV136&lt;=80)),"APARENTEMENTE NORMAL","")))))))))))))</f>
        <v>APARENTEMENTE NORMAL</v>
      </c>
      <c r="CX136" s="309">
        <v>90</v>
      </c>
      <c r="CY136" s="309">
        <v>60</v>
      </c>
      <c r="CZ136" s="318" t="str">
        <f t="shared" si="498"/>
        <v>APARENTEMENTE NORMAL</v>
      </c>
      <c r="DA136" s="309">
        <v>90</v>
      </c>
      <c r="DB136" s="309">
        <v>60</v>
      </c>
      <c r="DC136" s="323" t="str">
        <f t="shared" si="610"/>
        <v>APARENTEMENTE NORMAL</v>
      </c>
      <c r="DD136" s="305">
        <v>44998</v>
      </c>
      <c r="DE136" s="305">
        <v>44998</v>
      </c>
      <c r="DF136" s="305">
        <v>45072</v>
      </c>
      <c r="DG136" s="305"/>
      <c r="DH136" s="305"/>
      <c r="DI136" s="305"/>
      <c r="DJ136" s="305"/>
      <c r="DK136" s="305"/>
      <c r="DL136" s="305"/>
      <c r="DM136" s="305"/>
      <c r="DN136" s="305"/>
      <c r="DO136" s="305"/>
      <c r="DP136" s="305"/>
      <c r="DQ136" s="305"/>
      <c r="DR136" s="320">
        <v>1</v>
      </c>
      <c r="DS136" s="305"/>
      <c r="DT136" s="305"/>
      <c r="DU136" s="318" t="str">
        <f t="shared" ca="1" si="438"/>
        <v>CONCERTAR PLAN DE PARTO INMEDIATO</v>
      </c>
      <c r="DV136" s="324" t="str">
        <f t="shared" si="439"/>
        <v>ACTIVA INGRESO A CPN</v>
      </c>
      <c r="DW136"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6" s="318" t="e">
        <f t="shared" ca="1" si="611"/>
        <v>#REF!</v>
      </c>
      <c r="DY136" s="322">
        <f>IF(R136="","",IF(R136&gt;0,MAX(Tabla1[[#This Row],[FECHA C2]:[FECHA C13]],Tabla1[[#This Row],[FECHA CONSULTA PRIMERA VEZ PROGRAMA CPN ]])))</f>
        <v>45072</v>
      </c>
      <c r="DZ136" s="318">
        <f t="shared" si="612"/>
        <v>31</v>
      </c>
      <c r="EA136" s="315">
        <f>IF(R136&gt;0,SUM(COUNTA(DF136:DQ136)+COUNTA(Tabla1[[#This Row],[FECHA CONSULTA PRIMERA VEZ PROGRAMA CPN ]])),"")</f>
        <v>2</v>
      </c>
      <c r="EB136" s="315" t="str">
        <f t="shared" si="613"/>
        <v>NO</v>
      </c>
      <c r="EC136" s="307">
        <f t="shared" si="614"/>
        <v>6</v>
      </c>
      <c r="ED136" s="325">
        <f t="shared" si="615"/>
        <v>0.33333333333333331</v>
      </c>
      <c r="EE136" s="305">
        <v>44998</v>
      </c>
      <c r="EF136" s="305">
        <v>44998</v>
      </c>
      <c r="EG136" s="305">
        <v>44998</v>
      </c>
      <c r="EH136" s="305"/>
      <c r="EI136" s="305">
        <v>44998</v>
      </c>
      <c r="EJ136" s="305"/>
      <c r="EK136" s="305"/>
      <c r="EL136" s="309"/>
      <c r="EM136" s="309">
        <v>13</v>
      </c>
      <c r="EN136" s="305">
        <v>45016</v>
      </c>
      <c r="EO136" s="315">
        <f t="shared" si="616"/>
        <v>23.142857142857142</v>
      </c>
      <c r="EP136" s="307" t="str">
        <f t="shared" si="617"/>
        <v>NORMAL- SUMINISTRAR SULFATO FERROSO</v>
      </c>
      <c r="EQ136" s="318" t="str">
        <f t="shared" si="618"/>
        <v>II TRIM</v>
      </c>
      <c r="ER136" s="310"/>
      <c r="ES136" s="305"/>
      <c r="ET136" s="326" t="str">
        <f t="shared" ca="1" si="440"/>
        <v>TOMA DE HEMOGLOBINA TARDÍA</v>
      </c>
      <c r="EU136" s="319" t="str">
        <f t="shared" si="619"/>
        <v/>
      </c>
      <c r="EV136" s="310" t="s">
        <v>1510</v>
      </c>
      <c r="EW136" s="310">
        <v>45016</v>
      </c>
      <c r="EX136" s="305"/>
      <c r="EY136" s="326">
        <f t="shared" si="453"/>
        <v>23.142857142857142</v>
      </c>
      <c r="EZ136" s="319" t="str">
        <f t="shared" si="454"/>
        <v>SIN RIESGO DE ISOINMUNIZACIÓN</v>
      </c>
      <c r="FA136" s="309">
        <v>93</v>
      </c>
      <c r="FB136" s="305">
        <v>45016</v>
      </c>
      <c r="FC136" s="326">
        <f t="shared" si="620"/>
        <v>23.142857142857142</v>
      </c>
      <c r="FD136" s="326"/>
      <c r="FE136" s="326"/>
      <c r="FF136" s="326"/>
      <c r="FG136" s="309" t="str">
        <f t="shared" ca="1" si="621"/>
        <v/>
      </c>
      <c r="FH136" s="327"/>
      <c r="FI136" s="326" t="str">
        <f t="shared" si="622"/>
        <v>TOMAR EXAMEN</v>
      </c>
      <c r="FJ136" s="305"/>
      <c r="FK136" s="305"/>
      <c r="FL136" s="326" t="str">
        <f t="shared" ca="1" si="623"/>
        <v>NO APLICA-INGRESO TARDIO</v>
      </c>
      <c r="FM136" s="305" t="s">
        <v>867</v>
      </c>
      <c r="FN136" s="328">
        <v>45016</v>
      </c>
      <c r="FO136" s="326">
        <f t="shared" ca="1" si="441"/>
        <v>23.142857142857142</v>
      </c>
      <c r="FP136" s="305"/>
      <c r="FQ136" s="328"/>
      <c r="FR136" s="326" t="str">
        <f t="shared" ca="1" si="442"/>
        <v>TOMA INMEDIATA DE TAMIZAJE</v>
      </c>
      <c r="FS136" s="305"/>
      <c r="FT136" s="328"/>
      <c r="FU136" s="326" t="str">
        <f>IF(AND(FJ136="",FM136="",FP136="",FS136=""),"",IF(OR(OR(Tabla1[[#This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6" s="320"/>
      <c r="FW136" s="305"/>
      <c r="FX136" s="326" t="str">
        <f t="shared" si="624"/>
        <v>TOMAR EXAMEN</v>
      </c>
      <c r="FY136" s="305">
        <v>44999</v>
      </c>
      <c r="FZ136" s="305">
        <v>44999</v>
      </c>
      <c r="GA136" s="326" t="str">
        <f t="shared" si="497"/>
        <v>REGISTRAR EN II TRIMESTRE</v>
      </c>
      <c r="GB136" s="305" t="s">
        <v>868</v>
      </c>
      <c r="GC136" s="305">
        <v>45016</v>
      </c>
      <c r="GD136" s="326">
        <f t="shared" ca="1" si="490"/>
        <v>23.142857142857142</v>
      </c>
      <c r="GE136" s="305"/>
      <c r="GF136" s="305"/>
      <c r="GG136" s="326" t="str">
        <f t="shared" ca="1" si="444"/>
        <v>TOMA INMEDIATA DE TAMIZAJE</v>
      </c>
      <c r="GH136" s="305"/>
      <c r="GI136" s="326"/>
      <c r="GJ136" s="305"/>
      <c r="GK136" s="305"/>
      <c r="GL136" s="305"/>
      <c r="GM136" s="305"/>
      <c r="GN136" s="320"/>
      <c r="GO136" s="305"/>
      <c r="GP136" s="326" t="str">
        <f t="shared" si="625"/>
        <v>TOMAR EXAMEN</v>
      </c>
      <c r="GQ136" s="320"/>
      <c r="GR136" s="320"/>
      <c r="GS136" s="305" t="str">
        <f t="shared" si="626"/>
        <v/>
      </c>
      <c r="GT136" s="305"/>
      <c r="GU136" s="326" t="str">
        <f t="shared" si="627"/>
        <v>TOMAR EXAMEN</v>
      </c>
      <c r="GV136" s="309" t="str">
        <f t="shared" si="628"/>
        <v>POR DEFINIR</v>
      </c>
      <c r="GW136" s="320"/>
      <c r="GX136" s="329"/>
      <c r="GY136" s="309"/>
      <c r="GZ136" s="309"/>
      <c r="HA136" s="309"/>
      <c r="HB136" s="309"/>
      <c r="HC136" s="309"/>
      <c r="HD136" s="309"/>
      <c r="HE136" s="309"/>
      <c r="HF136" s="305"/>
      <c r="HG136" s="305" t="str">
        <f>IF(OR(O136&gt;0,R136&gt;0),CONCATENATE(IF(Tabla1[[#This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6" s="305" t="e">
        <f t="shared" si="629"/>
        <v>#REF!</v>
      </c>
      <c r="HI136" s="305" t="e">
        <f t="shared" ca="1" si="630"/>
        <v>#REF!</v>
      </c>
      <c r="HJ136" s="309"/>
      <c r="HK136" s="309" t="str">
        <f t="shared" si="631"/>
        <v>SIN ANTECEDENTES DE RIESGO</v>
      </c>
      <c r="HL136" s="310" t="str">
        <f t="shared" si="632"/>
        <v>APARENTEMENTE NORMAL</v>
      </c>
      <c r="HM136" s="309" t="e">
        <f t="shared" ca="1" si="633"/>
        <v>#REF!</v>
      </c>
      <c r="HN136" s="329" t="str">
        <f t="shared" si="445"/>
        <v>ACTIVA INGRESO A CPN</v>
      </c>
      <c r="HO136" s="309"/>
      <c r="HP136" s="309"/>
      <c r="HQ136" s="309">
        <v>44999</v>
      </c>
      <c r="HR136" s="309" t="str">
        <f>IF(R136="","",IF(Tabla1[[#This Row],[ALARMA FACTORES DE RIESGO COMPLICACIONES HIPERTENSIVAS3]]="SIN ANTECEDENTES DE RIESGO","No Aplica para suministro de ASA",IF(AND(Tabla1[[#This Row],[FECHA INICIO DE SUMINISTRO DE ASA]]&gt;0,RV136&lt;12),"Inicia ASA ANTES de Sem 12",IF(AND(RV136&gt;11,RV136&lt;17,OR(HK136="RIESGO ALTO DE COMPLICACIONES HIPERTENSIVAS VER MANEJO GUIA SUMINISTRO ASA Y CALCIO",HK136="RIESGO MODERADO (2 O MAS CRITERIOS) VER MANEJO GUIA SUMINISTRO ASA Y CALCIO")),"Inicio oportuno de ASA",IF(AND(RV136&gt;12,OR(HK136="RIESGO ALTO DE COMPLICACIONES HIPERTENSIVAS VER MANEJO GUIA SUMINISTRO ASA Y CALCIO",HK136="RIESGO MODERADO (2 O MAS CRITERIOS) VER MANEJO GUIA SUMINISTRO ASA Y CALCIO")),"Inicio no oportuno mayor a 16 semanas",IF(AND(BU136&lt;12,OR(HK136="RIESGO ALTO DE COMPLICACIONES HIPERTENSIVAS VER MANEJO GUIA SUMINISTRO ASA Y CALCIO",HK136="RIESGO MODERADO (2 O MAS CRITERIOS) VER MANEJO GUIA SUMINISTRO ASA Y CALCIO")),"Pendiente Inicio de ASA a la semana 12",IF(AND(BU136&gt;11,BU136&lt;17,OR(HK136="RIESGO ALTO DE COMPLICACIONES HIPERTENSIVAS VER MANEJO GUIA SUMINISTRO ASA Y CALCIO",HK136="RIESGO MODERADO (2 O MAS CRITERIOS) VER MANEJO GUIA SUMINISTRO ASA Y CALCIO")),"Iniciar de inmediato ASA",IF(AND(BU136&gt;16,OR(HK136="RIESGO ALTO DE COMPLICACIONES HIPERTENSIVAS VER MANEJO GUIA SUMINISTRO ASA Y CALCIO",HK136="RIESGO MODERADO (2 O MAS CRITERIOS) VER MANEJO GUIA SUMINISTRO ASA Y CALCIO")),"Pierde Oportunidad, Inicio tardío de ASA","XXXXX"))))))))</f>
        <v>No Aplica para suministro de ASA</v>
      </c>
      <c r="HS136" s="305">
        <v>44999</v>
      </c>
      <c r="HT136" s="305" t="s">
        <v>870</v>
      </c>
      <c r="HU136" s="305">
        <v>44999</v>
      </c>
      <c r="HV136" s="305" t="s">
        <v>870</v>
      </c>
      <c r="HW136" s="305">
        <v>44999</v>
      </c>
      <c r="HX136" s="305" t="s">
        <v>870</v>
      </c>
      <c r="HY136" s="305">
        <v>44998</v>
      </c>
      <c r="HZ136" s="320">
        <f t="shared" si="634"/>
        <v>20.571428571428573</v>
      </c>
      <c r="IA136" s="308" t="s">
        <v>864</v>
      </c>
      <c r="IB136" s="308"/>
      <c r="IC136" s="330"/>
      <c r="ID136" s="305"/>
      <c r="IE136" s="305" t="str">
        <f t="shared" ca="1" si="635"/>
        <v/>
      </c>
      <c r="IF136" s="305"/>
      <c r="IG136" s="305">
        <f t="shared" si="636"/>
        <v>45134</v>
      </c>
      <c r="IH136" s="326">
        <f t="shared" ca="1" si="637"/>
        <v>-99</v>
      </c>
      <c r="II136" s="305" t="str">
        <f t="shared" ca="1" si="638"/>
        <v>POSIBLEMENTE NACIO</v>
      </c>
      <c r="IJ136" s="305"/>
      <c r="IK136" s="309"/>
      <c r="IL136" s="309"/>
      <c r="IM136" s="331"/>
      <c r="IN136" s="350"/>
      <c r="IO136" s="309"/>
      <c r="IP136" s="326" t="str">
        <f t="shared" si="489"/>
        <v/>
      </c>
      <c r="IQ136" s="332"/>
      <c r="IR136" s="309"/>
      <c r="IS136" s="309"/>
      <c r="IT136" s="309"/>
      <c r="IU136" s="309"/>
      <c r="IV136" s="309"/>
      <c r="IW136" s="309"/>
      <c r="IX136" s="309"/>
      <c r="IY136" s="309"/>
      <c r="IZ136" s="309"/>
      <c r="JA136" s="309"/>
      <c r="JB136" s="329">
        <v>1</v>
      </c>
      <c r="JC136" s="309" t="s">
        <v>1643</v>
      </c>
      <c r="JD136" s="333">
        <v>2970</v>
      </c>
      <c r="JE136" s="309" t="str">
        <f t="shared" si="491"/>
        <v>PESO ADECUADO EDAD GESTACIONAL</v>
      </c>
      <c r="JF136" s="329"/>
      <c r="JG136" s="309"/>
      <c r="JH136" s="309"/>
      <c r="JI136" s="309" t="s">
        <v>854</v>
      </c>
      <c r="JJ136" s="329" t="s">
        <v>866</v>
      </c>
      <c r="JK136" s="305"/>
      <c r="JL136" s="305"/>
      <c r="JM136" s="309"/>
      <c r="JN136" s="333"/>
      <c r="JO136" s="309" t="str">
        <f t="shared" si="492"/>
        <v/>
      </c>
      <c r="JP136" s="305"/>
      <c r="JQ136" s="309"/>
      <c r="JR136" s="309"/>
      <c r="JS136" s="309"/>
      <c r="JT136" s="329"/>
      <c r="JU136" s="305"/>
      <c r="JV136" s="305"/>
      <c r="JW136" s="334"/>
      <c r="JX136" s="320" t="str">
        <f t="shared" si="493"/>
        <v/>
      </c>
      <c r="JY136" s="334"/>
      <c r="JZ136" s="320" t="str">
        <f t="shared" si="494"/>
        <v/>
      </c>
      <c r="KA136" s="309"/>
      <c r="KB136" s="309"/>
      <c r="KC136" s="309"/>
      <c r="KD136" s="335"/>
      <c r="KE136" s="320"/>
      <c r="KF136" s="320"/>
      <c r="KG136" s="320"/>
      <c r="KH136" s="336"/>
      <c r="KI136" s="336"/>
      <c r="KJ136" s="337"/>
      <c r="KK136" s="336"/>
      <c r="KL136" s="336"/>
      <c r="KM136" s="337"/>
      <c r="KN136" s="336"/>
      <c r="KO136" s="336"/>
      <c r="KP136" s="336"/>
      <c r="KQ136" s="336"/>
      <c r="KR136" s="336"/>
      <c r="KS136" s="336"/>
      <c r="KT136" s="336"/>
      <c r="KU136" s="312"/>
      <c r="KV136" s="312"/>
      <c r="KW136" s="312"/>
      <c r="KX136" s="312"/>
      <c r="KY136" s="312"/>
      <c r="KZ136" s="312"/>
      <c r="LA136" s="312"/>
      <c r="LB136" s="312"/>
      <c r="LC136" s="312"/>
      <c r="LD136" s="312"/>
      <c r="LE136" s="312"/>
      <c r="LF136" s="312"/>
      <c r="LG136" s="312"/>
      <c r="LH136" s="312"/>
      <c r="LI136" s="312"/>
      <c r="LJ136" s="312"/>
      <c r="LK136" s="312"/>
      <c r="LL136" s="312"/>
      <c r="LM136" s="312"/>
      <c r="LN136" s="312"/>
      <c r="LO136" s="312"/>
      <c r="LP136" s="312"/>
      <c r="LQ136" s="312"/>
      <c r="LR136" s="312"/>
      <c r="LS136" s="312"/>
      <c r="LT136" s="312"/>
      <c r="LU136" s="312"/>
      <c r="LV136" s="312"/>
      <c r="LW136" s="312"/>
      <c r="LX136" s="312"/>
      <c r="LY136" s="312"/>
      <c r="LZ136" s="312"/>
      <c r="MA136" s="312"/>
      <c r="MB136" s="312"/>
      <c r="MC136" s="312"/>
      <c r="MD136" s="312"/>
      <c r="ME136" s="312"/>
      <c r="MF136" s="312"/>
      <c r="MG136" s="312"/>
      <c r="MH136" s="43">
        <f t="shared" si="639"/>
        <v>0</v>
      </c>
      <c r="MI136" s="43" t="str">
        <f t="shared" si="640"/>
        <v/>
      </c>
      <c r="MJ136" s="43" t="str">
        <f t="shared" si="641"/>
        <v/>
      </c>
      <c r="MK136" s="43">
        <f t="shared" si="642"/>
        <v>0</v>
      </c>
      <c r="ML1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6" s="43">
        <f t="shared" si="643"/>
        <v>20.571428571428573</v>
      </c>
      <c r="MN136" s="43">
        <f t="shared" si="644"/>
        <v>3</v>
      </c>
      <c r="MO136" s="43">
        <f t="shared" si="645"/>
        <v>2023</v>
      </c>
      <c r="MP136" s="43" t="str">
        <f t="shared" si="646"/>
        <v>I TRIMESTRE AÑO</v>
      </c>
      <c r="MQ136" s="43">
        <f t="shared" si="647"/>
        <v>21.10435830048182</v>
      </c>
      <c r="MR136" s="43">
        <f t="shared" si="648"/>
        <v>0</v>
      </c>
      <c r="MS136" s="43" t="str">
        <f t="shared" si="649"/>
        <v xml:space="preserve"> DE 20 A 24 AÑOS</v>
      </c>
      <c r="MT136" s="43">
        <f t="shared" si="650"/>
        <v>0</v>
      </c>
      <c r="MU136" s="43">
        <f t="shared" si="651"/>
        <v>0</v>
      </c>
      <c r="MV136" s="43">
        <f t="shared" si="652"/>
        <v>0</v>
      </c>
      <c r="MW136" s="43">
        <f t="shared" si="653"/>
        <v>0</v>
      </c>
      <c r="MX136" s="43" t="str">
        <f t="shared" si="654"/>
        <v/>
      </c>
      <c r="MY136" s="43" t="str">
        <f t="shared" ca="1" si="495"/>
        <v/>
      </c>
      <c r="MZ136" s="43" t="str">
        <f t="shared" si="655"/>
        <v/>
      </c>
      <c r="NA136" s="43">
        <f t="shared" si="656"/>
        <v>0</v>
      </c>
      <c r="NB136" s="43" t="str">
        <f t="shared" si="657"/>
        <v/>
      </c>
      <c r="NC136" s="43" t="str">
        <f t="shared" si="658"/>
        <v/>
      </c>
      <c r="ND136" s="43">
        <f t="shared" ca="1" si="659"/>
        <v>0</v>
      </c>
      <c r="NE136" s="43">
        <f>IF(OR(O136&gt;0,R136&gt;0),SUM(COUNTIF(Tabla1[[#This Row],[AÑOS AL INICIO5 CPN]],"&gt;=40"),COUNTIF(AS136,"0"),COUNTIF(AR136,"SI"),COUNTIF(CC136,"SI"),COUNTIF(BQ136,"&gt;119"),COUNTIF(CI136,"&gt;=35")),"")</f>
        <v>0</v>
      </c>
      <c r="NF136" s="43" t="str">
        <f t="shared" si="660"/>
        <v/>
      </c>
      <c r="NG136" s="43">
        <f t="shared" si="661"/>
        <v>0</v>
      </c>
      <c r="NH136" s="43">
        <f t="shared" si="662"/>
        <v>163.79999999999998</v>
      </c>
      <c r="NI1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CPN",P136="NO"),"Z",IF(AND(Tabla1[[#This Row],[CITA PROXIMO CONTROL]]="CITA MANUAL",Tabla1[[#This Row],[GESTANTES ACTUALES]]="ACTIVA INGRESO A CPN"),"W",IF(AND(Tabla1[[#This Row],[GESTANTES ACTUALES]]="SALIO PROGRAMA",IN136=""),"S",IF(AND(Tabla1[[#This Row],[CITA PROXIMO CONTROL]]&gt;0,IN136=""),(Tabla1[[#This Row],[CITA PROXIMO CONTROL]]-TODAY()),"SD"))))))))</f>
        <v>#REF!</v>
      </c>
      <c r="NJ136" s="43">
        <f>MONTH(Tabla1[[#This Row],[FECHA DE SALIDA  DEL PROGRAMA]])</f>
        <v>1</v>
      </c>
      <c r="NK136" s="43">
        <f>YEAR(Tabla1[[#This Row],[FECHA DE SALIDA  DEL PROGRAMA]])</f>
        <v>1900</v>
      </c>
      <c r="NL136" s="43" t="str">
        <f t="shared" si="663"/>
        <v>X</v>
      </c>
      <c r="NM136" s="43" t="str">
        <f t="shared" si="500"/>
        <v>NO</v>
      </c>
      <c r="NN136" s="43" t="str">
        <f ca="1">IF(AND(O136&gt;0,R136=""),"NO CPN",IF(AND(O136="",R136=""),"",IF(AND(R136&gt;0,Tabla1[[#This Row],[SEMANAS DE GESTACION ACTUALIZADAS]]&lt;=12),"NO APLICA",IF(AND(FH136&lt;&gt;"",FN136&lt;&gt;""),"SI","NO"))))</f>
        <v>NO</v>
      </c>
      <c r="NO136" s="43" t="str">
        <f ca="1">IF(AND(O136&gt;0,R136=""),"NO CPN",IF(AND(O136="",R136=""),"",IF(AND(R136&gt;0,Tabla1[[#This Row],[SEMANAS DE GESTACION ACTUALIZADAS]]&lt;=27),"NO APLICA",IF(AND(ES136&lt;&gt;"",FQ136&lt;&gt;"",GF136&lt;&gt;""),"SI","NO"))))</f>
        <v>NO</v>
      </c>
      <c r="NP136" s="204" t="str">
        <f t="shared" si="664"/>
        <v>II TRIM</v>
      </c>
      <c r="NQ136" s="21" t="str">
        <f t="shared" si="499"/>
        <v/>
      </c>
      <c r="NR136" s="21" t="str">
        <f t="shared" ca="1" si="496"/>
        <v>REVISAR FUM O FECHA SALIDA PROGRAMA</v>
      </c>
      <c r="NS136" s="205">
        <f t="shared" ca="1" si="665"/>
        <v>1</v>
      </c>
      <c r="NT136" s="21">
        <f t="shared" ca="1" si="666"/>
        <v>1</v>
      </c>
      <c r="NU136" s="21" t="str">
        <f t="shared" ca="1" si="667"/>
        <v>POR DEFINIR</v>
      </c>
      <c r="NV136" s="21" t="str">
        <f t="shared" ca="1" si="668"/>
        <v>POR DEFINIR</v>
      </c>
      <c r="NW136" s="206" t="str">
        <f>IF(AND(O136="",R136=""),"",IF(OR(AND(Tabla1[[#This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6" s="207" t="str">
        <f t="shared" ca="1" si="669"/>
        <v>SIN VACUNAR</v>
      </c>
      <c r="NY136" s="43">
        <f>ROW(Tabla1[[#This Row],['# DE TAMIZAJES SIFILIS TOMADOS ]])</f>
        <v>136</v>
      </c>
      <c r="NZ136" s="43">
        <f t="shared" si="501"/>
        <v>20</v>
      </c>
      <c r="OA136" s="43" t="str">
        <f t="shared" si="502"/>
        <v/>
      </c>
      <c r="OB136" s="43" t="str">
        <f t="shared" si="503"/>
        <v/>
      </c>
      <c r="OC136" s="43" t="str">
        <f t="shared" si="504"/>
        <v/>
      </c>
      <c r="OD136" s="43" t="str">
        <f t="shared" si="505"/>
        <v/>
      </c>
      <c r="OE136" s="43" t="str">
        <f t="shared" si="506"/>
        <v/>
      </c>
      <c r="OF136" s="43" t="str">
        <f t="shared" si="507"/>
        <v/>
      </c>
      <c r="OG136" s="43" t="str">
        <f t="shared" si="508"/>
        <v/>
      </c>
      <c r="OH136" s="43" t="str">
        <f t="shared" si="509"/>
        <v/>
      </c>
      <c r="OI136" s="43" t="str">
        <f t="shared" si="510"/>
        <v/>
      </c>
      <c r="OJ136" s="43" t="str">
        <f t="shared" si="511"/>
        <v/>
      </c>
      <c r="OK136" s="43" t="str">
        <f t="shared" si="512"/>
        <v/>
      </c>
      <c r="OL136" s="43" t="str">
        <f t="shared" si="513"/>
        <v/>
      </c>
      <c r="OM136" s="43" t="str">
        <f t="shared" si="514"/>
        <v/>
      </c>
      <c r="ON136" s="43" t="str">
        <f t="shared" si="515"/>
        <v/>
      </c>
      <c r="OO136" s="43" t="str">
        <f t="shared" si="516"/>
        <v/>
      </c>
      <c r="OP136" s="43" t="str">
        <f t="shared" si="517"/>
        <v/>
      </c>
      <c r="OQ136" s="43" t="str">
        <f t="shared" si="518"/>
        <v/>
      </c>
      <c r="OR136" s="43" t="str">
        <f t="shared" si="519"/>
        <v/>
      </c>
      <c r="OS136" s="43" t="str">
        <f t="shared" si="520"/>
        <v/>
      </c>
      <c r="OT136" s="43" t="str">
        <f t="shared" si="521"/>
        <v/>
      </c>
      <c r="OU136" s="43" t="str">
        <f t="shared" si="522"/>
        <v/>
      </c>
      <c r="OV136" s="110" t="str">
        <f t="shared" si="523"/>
        <v/>
      </c>
      <c r="OW136" s="43" t="str">
        <f t="shared" si="524"/>
        <v/>
      </c>
      <c r="OX136" s="43" t="str">
        <f t="shared" si="525"/>
        <v/>
      </c>
      <c r="OY136" s="43" t="str">
        <f t="shared" si="526"/>
        <v/>
      </c>
      <c r="OZ136" s="43" t="str">
        <f t="shared" si="527"/>
        <v/>
      </c>
      <c r="PA136" s="43" t="str">
        <f t="shared" si="528"/>
        <v/>
      </c>
      <c r="PB136" s="43" t="str">
        <f t="shared" si="529"/>
        <v/>
      </c>
      <c r="PC136" s="43" t="str">
        <f t="shared" si="530"/>
        <v/>
      </c>
      <c r="PD136" s="43" t="str">
        <f t="shared" si="531"/>
        <v/>
      </c>
      <c r="PE136" s="43" t="str">
        <f t="shared" si="532"/>
        <v/>
      </c>
      <c r="PF136" s="43" t="str">
        <f t="shared" si="533"/>
        <v/>
      </c>
      <c r="PG136" s="43" t="str">
        <f t="shared" si="534"/>
        <v/>
      </c>
      <c r="PH136" s="43" t="str">
        <f t="shared" si="535"/>
        <v/>
      </c>
      <c r="PI136" s="43">
        <f t="shared" si="536"/>
        <v>31</v>
      </c>
      <c r="PJ136" s="43" t="str">
        <f t="shared" si="537"/>
        <v/>
      </c>
      <c r="PK136" s="43" t="str">
        <f t="shared" si="538"/>
        <v/>
      </c>
      <c r="PL136" s="43" t="str">
        <f t="shared" si="539"/>
        <v/>
      </c>
      <c r="PM136" s="43" t="str">
        <f t="shared" si="540"/>
        <v/>
      </c>
      <c r="PN136" s="43" t="str">
        <f t="shared" si="541"/>
        <v/>
      </c>
      <c r="PO136" s="43" t="str">
        <f t="shared" si="542"/>
        <v/>
      </c>
      <c r="PP136" s="43" t="str">
        <f t="shared" si="543"/>
        <v/>
      </c>
      <c r="PQ136" s="43" t="str">
        <f t="shared" si="544"/>
        <v/>
      </c>
      <c r="PR136" s="43" t="str">
        <f t="shared" si="545"/>
        <v/>
      </c>
      <c r="PS136" s="43" t="str">
        <f t="shared" si="546"/>
        <v/>
      </c>
      <c r="PT136" s="43" t="str">
        <f t="shared" si="547"/>
        <v/>
      </c>
      <c r="PU136" s="43" t="str">
        <f t="shared" si="548"/>
        <v/>
      </c>
      <c r="PV136" s="43" t="str">
        <f t="shared" si="549"/>
        <v/>
      </c>
      <c r="PW136" s="43" t="str">
        <f t="shared" si="550"/>
        <v/>
      </c>
      <c r="PX136" s="43" t="str">
        <f t="shared" si="551"/>
        <v/>
      </c>
      <c r="PY136" s="43" t="str">
        <f t="shared" si="552"/>
        <v/>
      </c>
      <c r="PZ136" s="43" t="str">
        <f t="shared" si="553"/>
        <v/>
      </c>
      <c r="QA136" s="43" t="str">
        <f t="shared" si="554"/>
        <v/>
      </c>
      <c r="QB136" s="43" t="str">
        <f t="shared" si="555"/>
        <v/>
      </c>
      <c r="QC136" s="43" t="str">
        <f t="shared" si="556"/>
        <v/>
      </c>
      <c r="QD136" s="43" t="str">
        <f t="shared" si="557"/>
        <v/>
      </c>
      <c r="QE136" s="43" t="str">
        <f t="shared" si="558"/>
        <v/>
      </c>
      <c r="QF136" s="43" t="str">
        <f t="shared" si="559"/>
        <v/>
      </c>
      <c r="QG136" s="43" t="str">
        <f t="shared" si="560"/>
        <v/>
      </c>
      <c r="QH136" s="43" t="str">
        <f t="shared" si="561"/>
        <v/>
      </c>
      <c r="QI136" s="43" t="str">
        <f t="shared" si="562"/>
        <v/>
      </c>
      <c r="QJ136" s="43" t="str">
        <f t="shared" si="563"/>
        <v/>
      </c>
      <c r="QK136" s="43" t="str">
        <f t="shared" si="564"/>
        <v/>
      </c>
      <c r="QL136" s="43" t="str">
        <f t="shared" si="565"/>
        <v/>
      </c>
      <c r="QM136" s="43" t="str">
        <f t="shared" si="566"/>
        <v/>
      </c>
      <c r="QN136" s="43" t="str">
        <f t="shared" si="567"/>
        <v/>
      </c>
      <c r="QO136" s="43" t="str">
        <f t="shared" si="568"/>
        <v/>
      </c>
      <c r="QP136" s="43" t="str">
        <f t="shared" si="569"/>
        <v/>
      </c>
      <c r="QQ136" s="43" t="str">
        <f t="shared" si="570"/>
        <v/>
      </c>
      <c r="QR136" s="43">
        <f t="shared" si="670"/>
        <v>31</v>
      </c>
      <c r="QS136" s="43"/>
      <c r="QT136" s="21" t="str">
        <f t="shared" si="571"/>
        <v/>
      </c>
      <c r="QU136" s="21" t="str">
        <f t="shared" si="572"/>
        <v/>
      </c>
      <c r="QV136" s="21" t="str">
        <f t="shared" si="573"/>
        <v/>
      </c>
      <c r="QW136" s="21" t="str">
        <f t="shared" si="574"/>
        <v/>
      </c>
      <c r="QX136" s="21" t="str">
        <f t="shared" si="575"/>
        <v/>
      </c>
      <c r="QY136" s="21" t="str">
        <f t="shared" si="576"/>
        <v/>
      </c>
      <c r="QZ136" s="21" t="str">
        <f t="shared" si="577"/>
        <v/>
      </c>
      <c r="RA136" s="21" t="str">
        <f t="shared" si="578"/>
        <v/>
      </c>
      <c r="RB136" s="21" t="str">
        <f t="shared" si="579"/>
        <v/>
      </c>
      <c r="RC136" s="21" t="str">
        <f t="shared" si="580"/>
        <v/>
      </c>
      <c r="RD136" s="21" t="str">
        <f t="shared" si="581"/>
        <v/>
      </c>
      <c r="RE136" s="21" t="str">
        <f t="shared" si="582"/>
        <v/>
      </c>
      <c r="RF136" s="21" t="str">
        <f t="shared" si="583"/>
        <v/>
      </c>
      <c r="RG136" s="21" t="str">
        <f t="shared" si="584"/>
        <v/>
      </c>
      <c r="RH136" s="21" t="str">
        <f t="shared" si="585"/>
        <v/>
      </c>
      <c r="RI136" s="21" t="str">
        <f t="shared" si="586"/>
        <v/>
      </c>
      <c r="RJ136" s="21" t="str">
        <f t="shared" si="587"/>
        <v/>
      </c>
      <c r="RK136" s="21" t="str">
        <f t="shared" si="588"/>
        <v/>
      </c>
      <c r="RL136" s="21" t="str">
        <f t="shared" si="589"/>
        <v>ADECUADO PARA EDAD GESTACIONAL</v>
      </c>
      <c r="RM136" s="21" t="str">
        <f t="shared" si="590"/>
        <v/>
      </c>
      <c r="RN136" s="21" t="str">
        <f t="shared" si="591"/>
        <v/>
      </c>
      <c r="RO136" s="21" t="str">
        <f t="shared" si="592"/>
        <v/>
      </c>
      <c r="RP136" s="21" t="str">
        <f t="shared" si="593"/>
        <v/>
      </c>
      <c r="RQ136" s="21" t="str">
        <f t="shared" si="594"/>
        <v/>
      </c>
      <c r="RR136" s="21" t="str">
        <f t="shared" si="595"/>
        <v/>
      </c>
      <c r="RS136" s="21" t="str">
        <f t="shared" si="596"/>
        <v/>
      </c>
      <c r="RT136" s="21" t="str">
        <f t="shared" si="597"/>
        <v/>
      </c>
      <c r="RU136" s="21" t="str">
        <f t="shared" si="598"/>
        <v/>
      </c>
      <c r="RV136" s="21">
        <f t="shared" si="599"/>
        <v>20.714285714285715</v>
      </c>
      <c r="RW136" s="284">
        <f>IF(OR(Tabla1[[#This Row],[FUM FORMULA CONFIABLE]]="",Tabla1[[#This Row],[FUM FORMULA CONFIABLE]]="SD"),"",IF(Tabla1[[#This Row],[FUM FORMULA CONFIABLE]]="CORREGIDA",Tabla1[[#This Row],[FUM X ECO 1]],Tabla1[[#This Row],[FUM x AMENORREA]]))</f>
        <v>44854</v>
      </c>
      <c r="RX136" s="21">
        <f>IF(AND(Tabla1[[#This Row],[FUM X ECO 1]]="",Tabla1[[#This Row],[FUM x AMENORREA]]=""),"",IF(AND(Tabla1[[#This Row],[FUM X ECO 1]]="",Tabla1[[#This Row],[FUM x AMENORREA]]&lt;&gt;""),"X",SUM(Tabla1[[#This Row],[FUM X ECO 1]]-Tabla1[[#This Row],[FUM x AMENORREA]])))</f>
        <v>-1.8000000000029104</v>
      </c>
      <c r="RY136" s="21">
        <f t="shared" si="671"/>
        <v>0</v>
      </c>
    </row>
    <row r="137" spans="1:493" ht="45" customHeight="1" x14ac:dyDescent="0.25">
      <c r="A137" s="109"/>
      <c r="B137" s="43"/>
      <c r="C137" s="43" t="s">
        <v>845</v>
      </c>
      <c r="D137" s="124"/>
      <c r="E137" s="43" t="s">
        <v>1405</v>
      </c>
      <c r="F137" s="43" t="s">
        <v>884</v>
      </c>
      <c r="G137" s="43" t="s">
        <v>1406</v>
      </c>
      <c r="H137" s="43" t="s">
        <v>1407</v>
      </c>
      <c r="I137" s="109" t="s">
        <v>851</v>
      </c>
      <c r="J137" s="110">
        <v>1059601552</v>
      </c>
      <c r="K137" s="43" t="s">
        <v>932</v>
      </c>
      <c r="L137" s="175" t="s">
        <v>1509</v>
      </c>
      <c r="M137" s="22">
        <v>34151</v>
      </c>
      <c r="N137" s="213">
        <f t="shared" ca="1" si="600"/>
        <v>30.361643835616437</v>
      </c>
      <c r="O137" s="22">
        <v>45015</v>
      </c>
      <c r="P137" s="214" t="str">
        <f t="shared" si="437"/>
        <v>SI</v>
      </c>
      <c r="Q137" s="26" t="s">
        <v>855</v>
      </c>
      <c r="R137" s="22">
        <v>45015</v>
      </c>
      <c r="S137" s="21" t="s">
        <v>856</v>
      </c>
      <c r="T137" s="24" t="s">
        <v>690</v>
      </c>
      <c r="U137" s="21" t="s">
        <v>857</v>
      </c>
      <c r="V137" s="21" t="s">
        <v>858</v>
      </c>
      <c r="W137" s="21" t="s">
        <v>1191</v>
      </c>
      <c r="X137" s="21"/>
      <c r="Y137" s="21"/>
      <c r="Z137" s="21">
        <v>3153566843</v>
      </c>
      <c r="AA137" s="21" t="s">
        <v>860</v>
      </c>
      <c r="AB137" s="27" t="s">
        <v>861</v>
      </c>
      <c r="AC137" s="26" t="s">
        <v>897</v>
      </c>
      <c r="AD137" s="38" t="s">
        <v>1546</v>
      </c>
      <c r="AE137" s="26" t="s">
        <v>854</v>
      </c>
      <c r="AF137" s="26" t="s">
        <v>854</v>
      </c>
      <c r="AG137" s="23" t="s">
        <v>864</v>
      </c>
      <c r="AH137" s="23" t="s">
        <v>864</v>
      </c>
      <c r="AI137" s="24" t="s">
        <v>863</v>
      </c>
      <c r="AJ137" s="23" t="s">
        <v>864</v>
      </c>
      <c r="AK137" s="220" t="str">
        <f>IF(AND(AD137="",AE137="",AF137="",AG137="",AH137="",AI137="",AJ137=""),"",IF(OR(Tabla1[[#This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EVALUACIÓN",IF(AND(O137="",R137=""),"",IF(AND(OR(O137&gt;0,R137&gt;0),NG137&gt;=0,NG137&lt;2),"SIN RIESGO",IF(AND(OR(O137&gt;0,R137&gt;0),NG137&gt;=2),"CON RIESGO","ASD")))))</f>
        <v>SIN RIESGO</v>
      </c>
      <c r="AL137" s="23" t="s">
        <v>864</v>
      </c>
      <c r="AM137" s="26" t="s">
        <v>864</v>
      </c>
      <c r="AN137" s="26" t="s">
        <v>864</v>
      </c>
      <c r="AO137" s="26" t="s">
        <v>864</v>
      </c>
      <c r="AP137" s="26" t="s">
        <v>864</v>
      </c>
      <c r="AQ137" s="26" t="s">
        <v>864</v>
      </c>
      <c r="AR137" s="26" t="s">
        <v>864</v>
      </c>
      <c r="AS137" s="21">
        <v>2</v>
      </c>
      <c r="AT137" s="21">
        <v>2</v>
      </c>
      <c r="AU137" s="21">
        <v>0</v>
      </c>
      <c r="AV137" s="26" t="s">
        <v>864</v>
      </c>
      <c r="AW137" s="21">
        <v>0</v>
      </c>
      <c r="AX137" s="26" t="s">
        <v>864</v>
      </c>
      <c r="AY137" s="26" t="s">
        <v>864</v>
      </c>
      <c r="AZ137" s="26" t="s">
        <v>864</v>
      </c>
      <c r="BA137" s="26" t="s">
        <v>864</v>
      </c>
      <c r="BB137" s="26" t="s">
        <v>864</v>
      </c>
      <c r="BC137" s="26" t="s">
        <v>864</v>
      </c>
      <c r="BD137" s="26" t="s">
        <v>864</v>
      </c>
      <c r="BE137" s="26" t="s">
        <v>864</v>
      </c>
      <c r="BF137" s="26" t="s">
        <v>864</v>
      </c>
      <c r="BG137" s="26" t="s">
        <v>864</v>
      </c>
      <c r="BH137" s="26" t="s">
        <v>864</v>
      </c>
      <c r="BI137" s="26" t="s">
        <v>864</v>
      </c>
      <c r="BJ137" s="26" t="s">
        <v>864</v>
      </c>
      <c r="BK137" s="26" t="s">
        <v>864</v>
      </c>
      <c r="BL137" s="26" t="s">
        <v>864</v>
      </c>
      <c r="BM137" s="26" t="s">
        <v>864</v>
      </c>
      <c r="BN137" s="22">
        <v>42811</v>
      </c>
      <c r="BO137" s="22">
        <v>44981</v>
      </c>
      <c r="BP137" s="21" t="s">
        <v>854</v>
      </c>
      <c r="BQ137" s="222">
        <f t="shared" si="601"/>
        <v>72.333333333333329</v>
      </c>
      <c r="BR137" s="223">
        <f t="shared" si="602"/>
        <v>44981</v>
      </c>
      <c r="BS137" s="224">
        <f t="shared" si="603"/>
        <v>4.8571428571428568</v>
      </c>
      <c r="BT137" s="216" t="str">
        <f t="shared" si="604"/>
        <v>I TRIM</v>
      </c>
      <c r="BU137" s="214">
        <f t="shared" ca="1" si="605"/>
        <v>36</v>
      </c>
      <c r="BV137" s="25" t="s">
        <v>988</v>
      </c>
      <c r="BW137" s="22">
        <v>45016</v>
      </c>
      <c r="BX137" s="28">
        <v>5</v>
      </c>
      <c r="BY137" s="28" t="s">
        <v>988</v>
      </c>
      <c r="BZ137" s="22">
        <v>45051</v>
      </c>
      <c r="CA137" s="21">
        <v>11</v>
      </c>
      <c r="CB137" s="26" t="s">
        <v>864</v>
      </c>
      <c r="CC137" s="26" t="s">
        <v>864</v>
      </c>
      <c r="CD137" s="26"/>
      <c r="CE137" s="26" t="s">
        <v>864</v>
      </c>
      <c r="CF137" s="22" t="s">
        <v>1517</v>
      </c>
      <c r="CG137" s="21">
        <v>1.6</v>
      </c>
      <c r="CH137" s="21">
        <v>66.599999999999994</v>
      </c>
      <c r="CI137" s="214">
        <f t="shared" si="606"/>
        <v>26.015624999999993</v>
      </c>
      <c r="CJ137" s="225" t="str">
        <f>IF(AND(CI137&lt;10,CH137="SD"),"SIN DATO PESO PREGESTACION O I TRIM",IF(AND(OR(R137&gt;0,O137&gt;0),CI137="X"),"INGRESAR DATO DE PESO",IF(CI137="SD","INGRESAR DATO DE TALLA Y PESO",IF(AND(OR(Tabla1[[#This Row],[MOMENTO EN QUE SE REALIZA EL PESO AL INGRESO A CPN]]="PREGESTACIÓN",NZ137="Menor"),CI137&lt;18.5),"BAJO PESO",IF(AND(OR(Tabla1[[#This Row],[MOMENTO EN QUE SE REALIZA EL PESO AL INGRESO A CPN]]="PREGESTACIÓN",NZ137="Menor"),CI137&lt;25),"NORMAL",IF(AND(OR(Tabla1[[#This Row],[MOMENTO EN QUE SE REALIZA EL PESO AL INGRESO A CPN]]="PREGESTACIÓN",NZ137="Menor"),CI137&lt;30),"SOBREPESO",IF(AND(OR(Tabla1[[#This Row],[MOMENTO EN QUE SE REALIZA EL PESO AL INGRESO A CPN]]="PREGESTACIÓN",NZ137="Menor"),CI137&gt;=30,CI137&lt;50),"OBESIDAD",IF(AND(BS137&gt;0,Tabla1[[#This Row],[MOMENTO EN QUE SE REALIZA EL PESO AL INGRESO A CPN]]="GESTACIÓN"),HLOOKUP(NZ137,$OA$2:PH137,NY137),""))))))))</f>
        <v>SOBREPESO</v>
      </c>
      <c r="CK137" s="212">
        <f t="shared" si="607"/>
        <v>45142</v>
      </c>
      <c r="CL137" s="21">
        <v>72.5</v>
      </c>
      <c r="CM137" s="214">
        <f t="shared" si="608"/>
        <v>28.320312499999993</v>
      </c>
      <c r="CN137" s="216">
        <f t="shared" si="609"/>
        <v>23</v>
      </c>
      <c r="CO137" s="216" t="e">
        <f>IF(PI137="","",IF(PI137&gt;0,HLOOKUP(PI137,$PJ$2:QQ137,NY137),""))</f>
        <v>#REF!</v>
      </c>
      <c r="CP137" s="21">
        <v>22</v>
      </c>
      <c r="CQ137" s="216" t="e">
        <f>IF(QR137="Menor","NO APLICA-MENOR 13 SEM",IF(AND(CC137="SI",CN137&gt;23),"NO APLICA- GEMELAR",IF(QR137="","",IF(QR137&gt;0,HLOOKUP(QR137,$QS$2:RU137,NY137),""))))</f>
        <v>#REF!</v>
      </c>
      <c r="CR137" s="21">
        <v>90</v>
      </c>
      <c r="CS137" s="21">
        <v>60</v>
      </c>
      <c r="CT137" s="217" t="str">
        <f>IF(R137="","",IF(AND(BS137&gt;1,BS137&lt;12,Tabla1[[#This Row],[T.A. SISTOLICA - ANTES DE SEMANA 12]]="",Tabla1[[#This Row],[T.A. DIASTOLICA - ANTES DE SEMANA 12]]=""),"REGISTRE DATO TA ANTES SEMANA 12",IF(AND(BS137&gt;11,BS137&lt;43,Tabla1[[#This Row],[T.A. SISTOLICA - ANTES DE SEMANA 12]]="",Tabla1[[#This Row],[T.A. DIASTOLICA - ANTES DE SEMANA 12]]=""),"NO APLICA REGISTRO TA-INGRESO TARDIO",IF(AND(OR(O137&gt;0,R137&gt;0),OR(CR137&gt;=140,CS137&gt;=90)),"DEFINIR ESTADIO HTA",IF(AND(OR(O137&gt;0,R137&gt;0),AND(CR137&gt;120,CR137&lt;=139)),"PRE HTA SEGUIMIENTO",IF(AND(OR(O137&gt;0,R137&gt;0),AND(CS137&gt;80,CS137&lt;=89)),"PRE HTA SEGUIMIENTO",IF(AND(OR(O137&gt;0,R137&gt;0),AND(CR137&gt;=80,CR137&lt;=120)),"APARENTEMENTE NORMAL",IF(AND(OR(O137&gt;0,R137&gt;0),AND(CS137&gt;=50,CS137&lt;=80)),"APARENTEMENTE NORMAL",IF(AND(OR(O137&gt;0,R137&gt;0),AND(CR137&gt;1,CR137&lt;=70),AND(CS137&gt;1,CS137&lt;=40)),"HIPOTENSIÓN","")))))))))</f>
        <v>APARENTEMENTE NORMAL</v>
      </c>
      <c r="CU137" s="21">
        <v>120</v>
      </c>
      <c r="CV137" s="21">
        <v>70</v>
      </c>
      <c r="CW137" s="217" t="str">
        <f ca="1">IF(R137="","",IF(AND(CN137&gt;19,CN137&lt;27,Tabla1[[#This Row],[T.A. SISTOLICA (Entre semana 20 y 26)]]="",Tabla1[[#This Row],[T.A. DIATOLICA (Entre semana 20 y 26)]]=""),"ACUDE A CONTROL SEM 20 A 26 REGISTRE TA AHORA",IF(AND(BS137&gt;1,BS137&lt;27,BU137&gt;19,Tabla1[[#This Row],[T.A. SISTOLICA (Entre semana 20 y 26)]]="",Tabla1[[#This Row],[T.A. DIATOLICA (Entre semana 20 y 26)]]=""),"COMPLETE REGISTRO TA CONTROL SEM 20 A26 ",IF(AND(BS137&gt;26,BS137&lt;43,Tabla1[[#This Row],[T.A. SISTOLICA (Entre semana 20 y 26)]]="",Tabla1[[#This Row],[T.A. DIATOLICA (Entre semana 20 y 26)]]=""),"NO APLICA REGISTRO TA-INGRESO TARDIO",IF(AND(OR(O137&gt;0,R137&gt;0),OR(CU137&gt;=140,CV137&gt;=90)),"ALTO RIESGO PREECLAMPSIA,DEFINIR ESTADIO HTA",IF(AND(OR(O137&gt;0,R137&gt;0),AND(CU137&gt;120,CU137&lt;=139)),"PRE HTA SEGUIMIENTO,RIESGO HIPERTENSION INDUCIDA POR EL EMBARAZO",IF(AND(OR(O137&gt;0,R137&gt;0),AND(CV137&gt;80,CV137&lt;=89)),"PRE HTA SEGUIMIENTO, RIESGO HIPERTENSION INDUCIDA POR EL EMBARAZO",IF(AND(OR(O137&lt;&gt;"",R137&lt;&gt;""),CS137&lt;&gt;"",CV137&lt;&gt;"",CS137&lt;=CV137),"VIGILAR CIFRAS PRESION ARTERIAL",IF(AND(OR(O137&gt;0,R137&gt;0),AND(CU137&gt;120,CU137&lt;=139)),"PRE HTA SEGUIMIENTO",IF(AND(OR(O137&gt;0,R137&gt;0),AND(CU137&gt;1,CU137&lt;=70),AND(CV137&gt;1,CV137&lt;=40)),"HIPOTENSIÓN",IF(AND(OR(O137&lt;&gt;"",R137&lt;&gt;""),CS137&lt;&gt;"",CV137&lt;&gt;"",CS137&gt;CV137),"APARENTEMENTE NORMAL",IF(AND(OR(O137&gt;0,R137&gt;0),AND(CU137&gt;=80,CU137&lt;=120)),"APARENTEMENTE NORMAL",IF(AND(OR(O137&gt;0,R137&gt;0),AND(CV137&gt;=50,CV137&lt;=80)),"APARENTEMENTE NORMAL","")))))))))))))</f>
        <v>VIGILAR CIFRAS PRESION ARTERIAL</v>
      </c>
      <c r="CX137" s="21"/>
      <c r="CY137" s="21"/>
      <c r="CZ137" s="216" t="str">
        <f t="shared" si="498"/>
        <v/>
      </c>
      <c r="DA137" s="21">
        <v>110</v>
      </c>
      <c r="DB137" s="21">
        <v>70</v>
      </c>
      <c r="DC137" s="217" t="str">
        <f t="shared" si="610"/>
        <v>APARENTEMENTE NORMAL</v>
      </c>
      <c r="DD137" s="22">
        <v>45015</v>
      </c>
      <c r="DE137" s="22">
        <v>45015</v>
      </c>
      <c r="DF137" s="22">
        <v>45051</v>
      </c>
      <c r="DG137" s="22">
        <v>45092</v>
      </c>
      <c r="DH137" s="22">
        <v>45115</v>
      </c>
      <c r="DI137" s="22">
        <v>45142</v>
      </c>
      <c r="DJ137" s="22"/>
      <c r="DK137" s="22"/>
      <c r="DL137" s="22"/>
      <c r="DM137" s="22"/>
      <c r="DN137" s="22"/>
      <c r="DO137" s="22"/>
      <c r="DP137" s="22"/>
      <c r="DQ137" s="22"/>
      <c r="DR137" s="28">
        <v>1</v>
      </c>
      <c r="DS137" s="22"/>
      <c r="DT137" s="22"/>
      <c r="DU137" s="216" t="str">
        <f t="shared" ca="1" si="438"/>
        <v>CONCERTAR PLAN DE PARTO INMEDIATO</v>
      </c>
      <c r="DV137" s="226" t="str">
        <f t="shared" si="439"/>
        <v>ACTIVA INGRESO A CPN</v>
      </c>
      <c r="DW1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7" s="216" t="e">
        <f t="shared" ca="1" si="611"/>
        <v>#REF!</v>
      </c>
      <c r="DY137" s="212">
        <f>IF(R137="","",IF(R137&gt;0,MAX(Tabla1[[#This Row],[FECHA C2]:[FECHA C13]],Tabla1[[#This Row],[FECHA CONSULTA PRIMERA VEZ PROGRAMA CPN ]])))</f>
        <v>45142</v>
      </c>
      <c r="DZ137" s="216">
        <f t="shared" si="612"/>
        <v>23</v>
      </c>
      <c r="EA137" s="222">
        <f>IF(R137&gt;0,SUM(COUNTA(DF137:DQ137)+COUNTA(Tabla1[[#This Row],[FECHA CONSULTA PRIMERA VEZ PROGRAMA CPN ]])),"")</f>
        <v>5</v>
      </c>
      <c r="EB137" s="222" t="str">
        <f t="shared" si="613"/>
        <v>SI</v>
      </c>
      <c r="EC137" s="214">
        <f t="shared" si="614"/>
        <v>10</v>
      </c>
      <c r="ED137" s="227">
        <f t="shared" si="615"/>
        <v>0.5</v>
      </c>
      <c r="EE137" s="22">
        <v>45015</v>
      </c>
      <c r="EF137" s="22">
        <v>45015</v>
      </c>
      <c r="EG137" s="22">
        <v>45015</v>
      </c>
      <c r="EH137" s="22">
        <v>45035</v>
      </c>
      <c r="EI137" s="22">
        <v>45015</v>
      </c>
      <c r="EJ137" s="22">
        <v>45035</v>
      </c>
      <c r="EK137" s="344">
        <v>45035</v>
      </c>
      <c r="EL137" s="21"/>
      <c r="EM137" s="21">
        <v>13</v>
      </c>
      <c r="EN137" s="22">
        <v>45015</v>
      </c>
      <c r="EO137" s="222">
        <f t="shared" si="616"/>
        <v>4.8571428571428568</v>
      </c>
      <c r="EP137" s="214" t="str">
        <f t="shared" si="617"/>
        <v>NORMAL- SUMINISTRAR SULFATO FERROSO</v>
      </c>
      <c r="EQ137" s="216" t="str">
        <f t="shared" si="618"/>
        <v>I TRIM</v>
      </c>
      <c r="ER137" s="24"/>
      <c r="ES137" s="22"/>
      <c r="ET137" s="29" t="str">
        <f t="shared" ca="1" si="440"/>
        <v>TOMA DE HEMOGLOBINA TARDÍA</v>
      </c>
      <c r="EU137" s="25" t="str">
        <f t="shared" si="619"/>
        <v/>
      </c>
      <c r="EV137" s="24" t="s">
        <v>1510</v>
      </c>
      <c r="EW137" s="32">
        <v>45015</v>
      </c>
      <c r="EX137" s="22"/>
      <c r="EY137" s="29">
        <f t="shared" si="453"/>
        <v>4.8571428571428568</v>
      </c>
      <c r="EZ137" s="25" t="str">
        <f t="shared" si="454"/>
        <v>SIN RIESGO DE ISOINMUNIZACIÓN</v>
      </c>
      <c r="FA137" s="21">
        <v>66</v>
      </c>
      <c r="FB137" s="22">
        <v>45016</v>
      </c>
      <c r="FC137" s="29">
        <f t="shared" si="620"/>
        <v>5</v>
      </c>
      <c r="FD137" s="29"/>
      <c r="FE137" s="29"/>
      <c r="FF137" s="29"/>
      <c r="FG137" s="21" t="str">
        <f t="shared" ca="1" si="621"/>
        <v>TOMAR PTOG</v>
      </c>
      <c r="FH137" s="31"/>
      <c r="FI137" s="29" t="str">
        <f t="shared" si="622"/>
        <v>TOMAR EXAMEN</v>
      </c>
      <c r="FJ137" s="22" t="s">
        <v>867</v>
      </c>
      <c r="FK137" s="22">
        <v>45015</v>
      </c>
      <c r="FL137" s="29">
        <f t="shared" ca="1" si="623"/>
        <v>4.8571428571428568</v>
      </c>
      <c r="FM137" s="22"/>
      <c r="FN137" s="32"/>
      <c r="FO137" s="29" t="str">
        <f t="shared" ca="1" si="441"/>
        <v>PIERDE TOMA DE TAMIZAJE</v>
      </c>
      <c r="FP137" s="22"/>
      <c r="FQ137" s="32"/>
      <c r="FR137" s="29" t="str">
        <f t="shared" ca="1" si="442"/>
        <v>TOMA INMEDIATA DE TAMIZAJE</v>
      </c>
      <c r="FS137" s="22"/>
      <c r="FT137" s="32"/>
      <c r="FU137" s="29" t="str">
        <f>IF(AND(FJ137="",FM137="",FP137="",FS137=""),"",IF(OR(OR(Tabla1[[#This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7" s="28"/>
      <c r="FW137" s="22"/>
      <c r="FX137" s="29" t="str">
        <f t="shared" si="624"/>
        <v>TOMAR EXAMEN</v>
      </c>
      <c r="FY137" s="22">
        <v>45015</v>
      </c>
      <c r="FZ137" s="22">
        <v>45015</v>
      </c>
      <c r="GA137" s="29">
        <f t="shared" ca="1" si="497"/>
        <v>4.8571428571428568</v>
      </c>
      <c r="GB137" s="22"/>
      <c r="GC137" s="22"/>
      <c r="GD137" s="29" t="str">
        <f t="shared" ca="1" si="490"/>
        <v>PIERDE TOMA DE TAMIZAJE</v>
      </c>
      <c r="GE137" s="22"/>
      <c r="GF137" s="22"/>
      <c r="GG137" s="29" t="str">
        <f t="shared" ca="1" si="444"/>
        <v>TOMA INMEDIATA DE TAMIZAJE</v>
      </c>
      <c r="GH137" s="22"/>
      <c r="GI137" s="29"/>
      <c r="GJ137" s="22"/>
      <c r="GK137" s="22"/>
      <c r="GL137" s="22"/>
      <c r="GM137" s="22"/>
      <c r="GN137" s="28" t="s">
        <v>869</v>
      </c>
      <c r="GO137" s="22">
        <v>45019</v>
      </c>
      <c r="GP137" s="29">
        <f t="shared" si="625"/>
        <v>5.4285714285714288</v>
      </c>
      <c r="GQ137" s="28" t="s">
        <v>869</v>
      </c>
      <c r="GR137" s="28" t="s">
        <v>869</v>
      </c>
      <c r="GS137" s="22" t="str">
        <f t="shared" si="626"/>
        <v>CONTROL Igm</v>
      </c>
      <c r="GT137" s="22">
        <v>45015</v>
      </c>
      <c r="GU137" s="29">
        <f t="shared" si="627"/>
        <v>4.8571428571428568</v>
      </c>
      <c r="GV137" s="21" t="str">
        <f t="shared" si="628"/>
        <v>I TRIM</v>
      </c>
      <c r="GW137" s="28" t="s">
        <v>869</v>
      </c>
      <c r="GX137" s="30"/>
      <c r="GY137" s="21"/>
      <c r="GZ137" s="21"/>
      <c r="HA137" s="21"/>
      <c r="HB137" s="21"/>
      <c r="HC137" s="21"/>
      <c r="HD137" s="21"/>
      <c r="HE137" s="21"/>
      <c r="HF137" s="22"/>
      <c r="HG137" s="22" t="str">
        <f>IF(OR(O137&gt;0,R137&gt;0),CONCATENATE(IF(Tabla1[[#This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7" s="22" t="e">
        <f t="shared" si="629"/>
        <v>#REF!</v>
      </c>
      <c r="HI137" s="22" t="e">
        <f t="shared" ca="1" si="630"/>
        <v>#REF!</v>
      </c>
      <c r="HJ137" s="21"/>
      <c r="HK137" s="21" t="str">
        <f t="shared" si="631"/>
        <v>SIN ANTECEDENTES DE RIESGO</v>
      </c>
      <c r="HL137" s="24" t="str">
        <f t="shared" si="632"/>
        <v>APARENTEMENTE NORMAL</v>
      </c>
      <c r="HM137" s="21" t="e">
        <f t="shared" ca="1" si="633"/>
        <v>#REF!</v>
      </c>
      <c r="HN137" s="30" t="str">
        <f t="shared" si="445"/>
        <v>ACTIVA INGRESO A CPN</v>
      </c>
      <c r="HO137" s="21"/>
      <c r="HP137" s="21"/>
      <c r="HQ137" s="349"/>
      <c r="HR137" s="21" t="str">
        <f>IF(R137="","",IF(Tabla1[[#This Row],[ALARMA FACTORES DE RIESGO COMPLICACIONES HIPERTENSIVAS3]]="SIN ANTECEDENTES DE RIESGO","No Aplica para suministro de ASA",IF(AND(Tabla1[[#This Row],[FECHA INICIO DE SUMINISTRO DE ASA]]&gt;0,RV137&lt;12),"Inicia ASA ANTES de Sem 12",IF(AND(RV137&gt;11,RV137&lt;17,OR(HK137="RIESGO ALTO DE COMPLICACIONES HIPERTENSIVAS VER MANEJO GUIA SUMINISTRO ASA Y CALCIO",HK137="RIESGO MODERADO (2 O MAS CRITERIOS) VER MANEJO GUIA SUMINISTRO ASA Y CALCIO")),"Inicio oportuno de ASA",IF(AND(RV137&gt;12,OR(HK137="RIESGO ALTO DE COMPLICACIONES HIPERTENSIVAS VER MANEJO GUIA SUMINISTRO ASA Y CALCIO",HK137="RIESGO MODERADO (2 O MAS CRITERIOS) VER MANEJO GUIA SUMINISTRO ASA Y CALCIO")),"Inicio no oportuno mayor a 16 semanas",IF(AND(BU137&lt;12,OR(HK137="RIESGO ALTO DE COMPLICACIONES HIPERTENSIVAS VER MANEJO GUIA SUMINISTRO ASA Y CALCIO",HK137="RIESGO MODERADO (2 O MAS CRITERIOS) VER MANEJO GUIA SUMINISTRO ASA Y CALCIO")),"Pendiente Inicio de ASA a la semana 12",IF(AND(BU137&gt;11,BU137&lt;17,OR(HK137="RIESGO ALTO DE COMPLICACIONES HIPERTENSIVAS VER MANEJO GUIA SUMINISTRO ASA Y CALCIO",HK137="RIESGO MODERADO (2 O MAS CRITERIOS) VER MANEJO GUIA SUMINISTRO ASA Y CALCIO")),"Iniciar de inmediato ASA",IF(AND(BU137&gt;16,OR(HK137="RIESGO ALTO DE COMPLICACIONES HIPERTENSIVAS VER MANEJO GUIA SUMINISTRO ASA Y CALCIO",HK137="RIESGO MODERADO (2 O MAS CRITERIOS) VER MANEJO GUIA SUMINISTRO ASA Y CALCIO")),"Pierde Oportunidad, Inicio tardío de ASA","XXXXX"))))))))</f>
        <v>No Aplica para suministro de ASA</v>
      </c>
      <c r="HS137" s="22">
        <v>45015</v>
      </c>
      <c r="HT137" s="22" t="s">
        <v>870</v>
      </c>
      <c r="HU137" s="22">
        <v>45015</v>
      </c>
      <c r="HV137" s="22" t="s">
        <v>870</v>
      </c>
      <c r="HW137" s="22"/>
      <c r="HX137" s="22"/>
      <c r="HY137" s="22">
        <v>45015</v>
      </c>
      <c r="HZ137" s="28">
        <f t="shared" si="634"/>
        <v>4.8571428571428568</v>
      </c>
      <c r="IA137" s="26" t="s">
        <v>864</v>
      </c>
      <c r="IB137" s="26"/>
      <c r="IC137" s="111"/>
      <c r="ID137" s="22"/>
      <c r="IE137" s="22" t="str">
        <f t="shared" ca="1" si="635"/>
        <v>INASISTENTE</v>
      </c>
      <c r="IF137" s="22"/>
      <c r="IG137" s="22">
        <f t="shared" si="636"/>
        <v>45261</v>
      </c>
      <c r="IH137" s="29">
        <f t="shared" ca="1" si="637"/>
        <v>28</v>
      </c>
      <c r="II137" s="22" t="str">
        <f t="shared" ca="1" si="638"/>
        <v>MENOS DE 4 SEMANAS</v>
      </c>
      <c r="IJ137" s="22"/>
      <c r="IK137" s="21"/>
      <c r="IL137" s="21"/>
      <c r="IM137" s="34"/>
      <c r="IN137" s="22"/>
      <c r="IO137" s="21"/>
      <c r="IP137" s="29" t="str">
        <f t="shared" si="489"/>
        <v/>
      </c>
      <c r="IQ137" s="35"/>
      <c r="IR137" s="21"/>
      <c r="IS137" s="21"/>
      <c r="IT137" s="21"/>
      <c r="IU137" s="21"/>
      <c r="IV137" s="21"/>
      <c r="IW137" s="21"/>
      <c r="IX137" s="21"/>
      <c r="IY137" s="21"/>
      <c r="IZ137" s="21"/>
      <c r="JA137" s="21"/>
      <c r="JB137" s="30"/>
      <c r="JC137" s="21"/>
      <c r="JD137" s="36"/>
      <c r="JE137" s="21" t="str">
        <f t="shared" si="491"/>
        <v/>
      </c>
      <c r="JF137" s="30"/>
      <c r="JG137" s="21"/>
      <c r="JH137" s="21"/>
      <c r="JI137" s="21"/>
      <c r="JJ137" s="30"/>
      <c r="JK137" s="22"/>
      <c r="JL137" s="22"/>
      <c r="JM137" s="21"/>
      <c r="JN137" s="36"/>
      <c r="JO137" s="21" t="str">
        <f t="shared" si="492"/>
        <v/>
      </c>
      <c r="JP137" s="22"/>
      <c r="JQ137" s="21"/>
      <c r="JR137" s="21"/>
      <c r="JS137" s="21"/>
      <c r="JT137" s="30"/>
      <c r="JU137" s="22"/>
      <c r="JV137" s="22"/>
      <c r="JW137" s="33"/>
      <c r="JX137" s="28" t="str">
        <f t="shared" si="493"/>
        <v/>
      </c>
      <c r="JY137" s="33"/>
      <c r="JZ137" s="28" t="str">
        <f t="shared" si="494"/>
        <v/>
      </c>
      <c r="KA137" s="21"/>
      <c r="KB137" s="21"/>
      <c r="KC137" s="21"/>
      <c r="KD137" s="37"/>
      <c r="KE137" s="28"/>
      <c r="KF137" s="28"/>
      <c r="KG137" s="28"/>
      <c r="KH137" s="39"/>
      <c r="KI137" s="39"/>
      <c r="KJ137" s="66"/>
      <c r="KK137" s="39"/>
      <c r="KL137" s="39"/>
      <c r="KM137" s="66"/>
      <c r="KN137" s="39"/>
      <c r="KO137" s="39"/>
      <c r="KP137" s="39"/>
      <c r="KQ137" s="39"/>
      <c r="KR137" s="39"/>
      <c r="KS137" s="39"/>
      <c r="KT137" s="39"/>
      <c r="KU137" s="38"/>
      <c r="KV137" s="38"/>
      <c r="KW137" s="38"/>
      <c r="KX137" s="38"/>
      <c r="KY137" s="38"/>
      <c r="KZ137" s="38"/>
      <c r="LA137" s="38"/>
      <c r="LB137" s="38"/>
      <c r="LC137" s="38"/>
      <c r="LD137" s="38"/>
      <c r="LE137" s="38"/>
      <c r="LF137" s="38"/>
      <c r="LG137" s="38"/>
      <c r="LH137" s="38"/>
      <c r="LI137" s="38"/>
      <c r="LJ137" s="38"/>
      <c r="LK137" s="38"/>
      <c r="LL137" s="38"/>
      <c r="LM137" s="38"/>
      <c r="LN137" s="38"/>
      <c r="LO137" s="38"/>
      <c r="LP137" s="38"/>
      <c r="LQ137" s="38"/>
      <c r="LR137" s="38"/>
      <c r="LS137" s="38"/>
      <c r="LT137" s="38"/>
      <c r="LU137" s="38"/>
      <c r="LV137" s="38"/>
      <c r="LW137" s="38"/>
      <c r="LX137" s="38"/>
      <c r="LY137" s="38"/>
      <c r="LZ137" s="38"/>
      <c r="MA137" s="38"/>
      <c r="MB137" s="38"/>
      <c r="MC137" s="38"/>
      <c r="MD137" s="38"/>
      <c r="ME137" s="38"/>
      <c r="MF137" s="38"/>
      <c r="MG137" s="38"/>
      <c r="MH137" s="43">
        <f t="shared" si="639"/>
        <v>0</v>
      </c>
      <c r="MI137" s="43" t="str">
        <f t="shared" si="640"/>
        <v/>
      </c>
      <c r="MJ137" s="43" t="str">
        <f t="shared" si="641"/>
        <v/>
      </c>
      <c r="MK137" s="43">
        <f t="shared" si="642"/>
        <v>0</v>
      </c>
      <c r="ML1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7" s="43">
        <f t="shared" si="643"/>
        <v>4.8571428571428568</v>
      </c>
      <c r="MN137" s="43">
        <f t="shared" si="644"/>
        <v>3</v>
      </c>
      <c r="MO137" s="43">
        <f t="shared" si="645"/>
        <v>2023</v>
      </c>
      <c r="MP137" s="43" t="str">
        <f t="shared" si="646"/>
        <v>I TRIMESTRE AÑO</v>
      </c>
      <c r="MQ137" s="43">
        <f t="shared" si="647"/>
        <v>29.31723609286027</v>
      </c>
      <c r="MR137" s="43">
        <f t="shared" si="648"/>
        <v>0</v>
      </c>
      <c r="MS137" s="43" t="str">
        <f t="shared" si="649"/>
        <v xml:space="preserve"> DE 25 A 29 AÑOS</v>
      </c>
      <c r="MT137" s="43">
        <f t="shared" si="650"/>
        <v>0</v>
      </c>
      <c r="MU137" s="43">
        <f t="shared" si="651"/>
        <v>0</v>
      </c>
      <c r="MV137" s="43">
        <f t="shared" si="652"/>
        <v>0</v>
      </c>
      <c r="MW137" s="43">
        <f t="shared" si="653"/>
        <v>0</v>
      </c>
      <c r="MX137" s="43" t="str">
        <f t="shared" si="654"/>
        <v/>
      </c>
      <c r="MY137" s="43" t="str">
        <f t="shared" ca="1" si="495"/>
        <v/>
      </c>
      <c r="MZ137" s="43" t="str">
        <f t="shared" si="655"/>
        <v/>
      </c>
      <c r="NA137" s="43" t="str">
        <f t="shared" si="656"/>
        <v/>
      </c>
      <c r="NB137" s="43" t="str">
        <f t="shared" si="657"/>
        <v/>
      </c>
      <c r="NC137" s="43" t="str">
        <f t="shared" si="658"/>
        <v/>
      </c>
      <c r="ND137" s="43">
        <f t="shared" ca="1" si="659"/>
        <v>0</v>
      </c>
      <c r="NE137" s="43">
        <f>IF(OR(O137&gt;0,R137&gt;0),SUM(COUNTIF(Tabla1[[#This Row],[AÑOS AL INICIO5 CPN]],"&gt;=40"),COUNTIF(AS137,"0"),COUNTIF(AR137,"SI"),COUNTIF(CC137,"SI"),COUNTIF(BQ137,"&gt;119"),COUNTIF(CI137,"&gt;=35")),"")</f>
        <v>0</v>
      </c>
      <c r="NF137" s="43" t="str">
        <f t="shared" si="660"/>
        <v/>
      </c>
      <c r="NG137" s="43">
        <f t="shared" si="661"/>
        <v>0</v>
      </c>
      <c r="NH137" s="43">
        <f t="shared" si="662"/>
        <v>35</v>
      </c>
      <c r="NI1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CPN",P137="NO"),"Z",IF(AND(Tabla1[[#This Row],[CITA PROXIMO CONTROL]]="CITA MANUAL",Tabla1[[#This Row],[GESTANTES ACTUALES]]="ACTIVA INGRESO A CPN"),"W",IF(AND(Tabla1[[#This Row],[GESTANTES ACTUALES]]="SALIO PROGRAMA",IN137=""),"S",IF(AND(Tabla1[[#This Row],[CITA PROXIMO CONTROL]]&gt;0,IN137=""),(Tabla1[[#This Row],[CITA PROXIMO CONTROL]]-TODAY()),"SD"))))))))</f>
        <v>#REF!</v>
      </c>
      <c r="NJ137" s="43">
        <f>MONTH(Tabla1[[#This Row],[FECHA DE SALIDA  DEL PROGRAMA]])</f>
        <v>1</v>
      </c>
      <c r="NK137" s="43">
        <f>YEAR(Tabla1[[#This Row],[FECHA DE SALIDA  DEL PROGRAMA]])</f>
        <v>1900</v>
      </c>
      <c r="NL137" s="43">
        <f t="shared" si="663"/>
        <v>20</v>
      </c>
      <c r="NM137" s="43" t="str">
        <f t="shared" si="500"/>
        <v>NO</v>
      </c>
      <c r="NN137" s="43" t="str">
        <f ca="1">IF(AND(O137&gt;0,R137=""),"NO CPN",IF(AND(O137="",R137=""),"",IF(AND(R137&gt;0,Tabla1[[#This Row],[SEMANAS DE GESTACION ACTUALIZADAS]]&lt;=12),"NO APLICA",IF(AND(FH137&lt;&gt;"",FN137&lt;&gt;""),"SI","NO"))))</f>
        <v>NO</v>
      </c>
      <c r="NO137" s="43" t="str">
        <f ca="1">IF(AND(O137&gt;0,R137=""),"NO CPN",IF(AND(O137="",R137=""),"",IF(AND(R137&gt;0,Tabla1[[#This Row],[SEMANAS DE GESTACION ACTUALIZADAS]]&lt;=27),"NO APLICA",IF(AND(ES137&lt;&gt;"",FQ137&lt;&gt;"",GF137&lt;&gt;""),"SI","NO"))))</f>
        <v>NO</v>
      </c>
      <c r="NP137" s="204" t="str">
        <f t="shared" si="664"/>
        <v>I TRIM</v>
      </c>
      <c r="NQ137" s="21" t="str">
        <f t="shared" si="499"/>
        <v/>
      </c>
      <c r="NR137" s="21">
        <f t="shared" ca="1" si="496"/>
        <v>3</v>
      </c>
      <c r="NS137" s="205">
        <f t="shared" ca="1" si="665"/>
        <v>1</v>
      </c>
      <c r="NT137" s="21">
        <f t="shared" ca="1" si="666"/>
        <v>1</v>
      </c>
      <c r="NU137" s="21" t="str">
        <f t="shared" ca="1" si="667"/>
        <v>INCOMPLETO</v>
      </c>
      <c r="NV137" s="21" t="str">
        <f t="shared" ca="1" si="668"/>
        <v>INCOMPLETO</v>
      </c>
      <c r="NW137" s="206" t="str">
        <f>IF(AND(O137="",R137=""),"",IF(OR(AND(Tabla1[[#This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7" s="207" t="str">
        <f t="shared" ca="1" si="669"/>
        <v>SIN VACUNAR</v>
      </c>
      <c r="NY137" s="43">
        <f>ROW(Tabla1[[#This Row],['# DE TAMIZAJES SIFILIS TOMADOS ]])</f>
        <v>137</v>
      </c>
      <c r="NZ137" s="43" t="str">
        <f t="shared" si="501"/>
        <v>Menor</v>
      </c>
      <c r="OA137" s="43" t="str">
        <f t="shared" si="502"/>
        <v>SOBREPESO</v>
      </c>
      <c r="OB137" s="43" t="str">
        <f t="shared" si="503"/>
        <v/>
      </c>
      <c r="OC137" s="43" t="str">
        <f t="shared" si="504"/>
        <v/>
      </c>
      <c r="OD137" s="43" t="str">
        <f t="shared" si="505"/>
        <v/>
      </c>
      <c r="OE137" s="43" t="str">
        <f t="shared" si="506"/>
        <v/>
      </c>
      <c r="OF137" s="43" t="str">
        <f t="shared" si="507"/>
        <v/>
      </c>
      <c r="OG137" s="43" t="str">
        <f t="shared" si="508"/>
        <v/>
      </c>
      <c r="OH137" s="43" t="str">
        <f t="shared" si="509"/>
        <v/>
      </c>
      <c r="OI137" s="43" t="str">
        <f t="shared" si="510"/>
        <v/>
      </c>
      <c r="OJ137" s="43" t="str">
        <f t="shared" si="511"/>
        <v/>
      </c>
      <c r="OK137" s="43" t="str">
        <f t="shared" si="512"/>
        <v/>
      </c>
      <c r="OL137" s="43" t="str">
        <f t="shared" si="513"/>
        <v/>
      </c>
      <c r="OM137" s="43" t="str">
        <f t="shared" si="514"/>
        <v/>
      </c>
      <c r="ON137" s="43" t="str">
        <f t="shared" si="515"/>
        <v/>
      </c>
      <c r="OO137" s="43" t="str">
        <f t="shared" si="516"/>
        <v/>
      </c>
      <c r="OP137" s="43" t="str">
        <f t="shared" si="517"/>
        <v/>
      </c>
      <c r="OQ137" s="43" t="str">
        <f t="shared" si="518"/>
        <v/>
      </c>
      <c r="OR137" s="43" t="str">
        <f t="shared" si="519"/>
        <v/>
      </c>
      <c r="OS137" s="43" t="str">
        <f t="shared" si="520"/>
        <v/>
      </c>
      <c r="OT137" s="43" t="str">
        <f t="shared" si="521"/>
        <v/>
      </c>
      <c r="OU137" s="43" t="str">
        <f t="shared" si="522"/>
        <v/>
      </c>
      <c r="OV137" s="110" t="str">
        <f t="shared" si="523"/>
        <v/>
      </c>
      <c r="OW137" s="43" t="str">
        <f t="shared" si="524"/>
        <v/>
      </c>
      <c r="OX137" s="43" t="str">
        <f t="shared" si="525"/>
        <v/>
      </c>
      <c r="OY137" s="43" t="str">
        <f t="shared" si="526"/>
        <v/>
      </c>
      <c r="OZ137" s="43" t="str">
        <f t="shared" si="527"/>
        <v/>
      </c>
      <c r="PA137" s="43" t="str">
        <f t="shared" si="528"/>
        <v/>
      </c>
      <c r="PB137" s="43" t="str">
        <f t="shared" si="529"/>
        <v/>
      </c>
      <c r="PC137" s="43" t="str">
        <f t="shared" si="530"/>
        <v/>
      </c>
      <c r="PD137" s="43" t="str">
        <f t="shared" si="531"/>
        <v/>
      </c>
      <c r="PE137" s="43" t="str">
        <f t="shared" si="532"/>
        <v/>
      </c>
      <c r="PF137" s="43" t="str">
        <f t="shared" si="533"/>
        <v/>
      </c>
      <c r="PG137" s="43" t="str">
        <f t="shared" si="534"/>
        <v/>
      </c>
      <c r="PH137" s="43" t="str">
        <f t="shared" si="535"/>
        <v/>
      </c>
      <c r="PI137" s="43">
        <f t="shared" si="536"/>
        <v>23</v>
      </c>
      <c r="PJ137" s="43" t="str">
        <f t="shared" si="537"/>
        <v/>
      </c>
      <c r="PK137" s="43" t="str">
        <f t="shared" si="538"/>
        <v/>
      </c>
      <c r="PL137" s="43" t="str">
        <f t="shared" si="539"/>
        <v/>
      </c>
      <c r="PM137" s="43" t="str">
        <f t="shared" si="540"/>
        <v/>
      </c>
      <c r="PN137" s="43" t="str">
        <f t="shared" si="541"/>
        <v/>
      </c>
      <c r="PO137" s="43" t="str">
        <f t="shared" si="542"/>
        <v/>
      </c>
      <c r="PP137" s="43" t="str">
        <f t="shared" si="543"/>
        <v/>
      </c>
      <c r="PQ137" s="43" t="str">
        <f t="shared" si="544"/>
        <v/>
      </c>
      <c r="PR137" s="43" t="str">
        <f t="shared" si="545"/>
        <v/>
      </c>
      <c r="PS137" s="43" t="str">
        <f t="shared" si="546"/>
        <v/>
      </c>
      <c r="PT137" s="43" t="str">
        <f t="shared" si="547"/>
        <v/>
      </c>
      <c r="PU137" s="43" t="str">
        <f t="shared" si="548"/>
        <v/>
      </c>
      <c r="PV137" s="43" t="str">
        <f t="shared" si="549"/>
        <v/>
      </c>
      <c r="PW137" s="43" t="str">
        <f t="shared" si="550"/>
        <v/>
      </c>
      <c r="PX137" s="43" t="str">
        <f t="shared" si="551"/>
        <v>SOBREPESO</v>
      </c>
      <c r="PY137" s="43" t="str">
        <f t="shared" si="552"/>
        <v/>
      </c>
      <c r="PZ137" s="43" t="str">
        <f t="shared" si="553"/>
        <v/>
      </c>
      <c r="QA137" s="43" t="str">
        <f t="shared" si="554"/>
        <v/>
      </c>
      <c r="QB137" s="43" t="str">
        <f t="shared" si="555"/>
        <v/>
      </c>
      <c r="QC137" s="43" t="str">
        <f t="shared" si="556"/>
        <v/>
      </c>
      <c r="QD137" s="43" t="str">
        <f t="shared" si="557"/>
        <v/>
      </c>
      <c r="QE137" s="43" t="str">
        <f t="shared" si="558"/>
        <v/>
      </c>
      <c r="QF137" s="43" t="str">
        <f t="shared" si="559"/>
        <v/>
      </c>
      <c r="QG137" s="43" t="str">
        <f t="shared" si="560"/>
        <v/>
      </c>
      <c r="QH137" s="43" t="str">
        <f t="shared" si="561"/>
        <v/>
      </c>
      <c r="QI137" s="43" t="str">
        <f t="shared" si="562"/>
        <v/>
      </c>
      <c r="QJ137" s="43" t="str">
        <f t="shared" si="563"/>
        <v/>
      </c>
      <c r="QK137" s="43" t="str">
        <f t="shared" si="564"/>
        <v/>
      </c>
      <c r="QL137" s="43" t="str">
        <f t="shared" si="565"/>
        <v/>
      </c>
      <c r="QM137" s="43" t="str">
        <f t="shared" si="566"/>
        <v/>
      </c>
      <c r="QN137" s="43" t="str">
        <f t="shared" si="567"/>
        <v/>
      </c>
      <c r="QO137" s="43" t="str">
        <f t="shared" si="568"/>
        <v/>
      </c>
      <c r="QP137" s="43" t="str">
        <f t="shared" si="569"/>
        <v/>
      </c>
      <c r="QQ137" s="43" t="str">
        <f t="shared" si="570"/>
        <v/>
      </c>
      <c r="QR137" s="43">
        <f t="shared" si="670"/>
        <v>23</v>
      </c>
      <c r="QS137" s="43"/>
      <c r="QT137" s="21" t="str">
        <f t="shared" si="571"/>
        <v/>
      </c>
      <c r="QU137" s="21" t="str">
        <f t="shared" si="572"/>
        <v/>
      </c>
      <c r="QV137" s="21" t="str">
        <f t="shared" si="573"/>
        <v/>
      </c>
      <c r="QW137" s="21" t="str">
        <f t="shared" si="574"/>
        <v/>
      </c>
      <c r="QX137" s="21" t="str">
        <f t="shared" si="575"/>
        <v/>
      </c>
      <c r="QY137" s="21" t="str">
        <f t="shared" si="576"/>
        <v/>
      </c>
      <c r="QZ137" s="21" t="str">
        <f t="shared" si="577"/>
        <v/>
      </c>
      <c r="RA137" s="21" t="str">
        <f t="shared" si="578"/>
        <v/>
      </c>
      <c r="RB137" s="21" t="str">
        <f t="shared" si="579"/>
        <v/>
      </c>
      <c r="RC137" s="21" t="str">
        <f t="shared" si="580"/>
        <v/>
      </c>
      <c r="RD137" s="21" t="str">
        <f t="shared" si="581"/>
        <v>ADECUADO PARA EDAD GESTACIONAL</v>
      </c>
      <c r="RE137" s="21" t="str">
        <f t="shared" si="582"/>
        <v/>
      </c>
      <c r="RF137" s="21" t="str">
        <f t="shared" si="583"/>
        <v/>
      </c>
      <c r="RG137" s="21" t="str">
        <f t="shared" si="584"/>
        <v/>
      </c>
      <c r="RH137" s="21" t="str">
        <f t="shared" si="585"/>
        <v/>
      </c>
      <c r="RI137" s="21" t="str">
        <f t="shared" si="586"/>
        <v/>
      </c>
      <c r="RJ137" s="21" t="str">
        <f t="shared" si="587"/>
        <v/>
      </c>
      <c r="RK137" s="21" t="str">
        <f t="shared" si="588"/>
        <v/>
      </c>
      <c r="RL137" s="21" t="str">
        <f t="shared" si="589"/>
        <v/>
      </c>
      <c r="RM137" s="21" t="str">
        <f t="shared" si="590"/>
        <v/>
      </c>
      <c r="RN137" s="21" t="str">
        <f t="shared" si="591"/>
        <v/>
      </c>
      <c r="RO137" s="21" t="str">
        <f t="shared" si="592"/>
        <v/>
      </c>
      <c r="RP137" s="21" t="str">
        <f t="shared" si="593"/>
        <v/>
      </c>
      <c r="RQ137" s="21" t="str">
        <f t="shared" si="594"/>
        <v/>
      </c>
      <c r="RR137" s="21" t="str">
        <f t="shared" si="595"/>
        <v/>
      </c>
      <c r="RS137" s="21" t="str">
        <f t="shared" si="596"/>
        <v/>
      </c>
      <c r="RT137" s="21" t="str">
        <f t="shared" si="597"/>
        <v/>
      </c>
      <c r="RU137" s="21" t="str">
        <f t="shared" si="598"/>
        <v/>
      </c>
      <c r="RV137" s="21">
        <f t="shared" si="599"/>
        <v>-1</v>
      </c>
      <c r="RW137" s="284">
        <f>IF(OR(Tabla1[[#This Row],[FUM FORMULA CONFIABLE]]="",Tabla1[[#This Row],[FUM FORMULA CONFIABLE]]="SD"),"",IF(Tabla1[[#This Row],[FUM FORMULA CONFIABLE]]="CORREGIDA",Tabla1[[#This Row],[FUM X ECO 1]],Tabla1[[#This Row],[FUM x AMENORREA]]))</f>
        <v>44981</v>
      </c>
      <c r="RX137" s="21">
        <f>IF(AND(Tabla1[[#This Row],[FUM X ECO 1]]="",Tabla1[[#This Row],[FUM x AMENORREA]]=""),"",IF(AND(Tabla1[[#This Row],[FUM X ECO 1]]="",Tabla1[[#This Row],[FUM x AMENORREA]]&lt;&gt;""),"X",SUM(Tabla1[[#This Row],[FUM X ECO 1]]-Tabla1[[#This Row],[FUM x AMENORREA]])))</f>
        <v>0</v>
      </c>
      <c r="RY137" s="21">
        <f t="shared" si="671"/>
        <v>0</v>
      </c>
    </row>
    <row r="138" spans="1:493" ht="45" customHeight="1" x14ac:dyDescent="0.25">
      <c r="A138" s="109"/>
      <c r="B138" s="43"/>
      <c r="C138" s="43" t="s">
        <v>845</v>
      </c>
      <c r="D138" s="124"/>
      <c r="E138" s="43" t="s">
        <v>1034</v>
      </c>
      <c r="F138" s="43" t="s">
        <v>1166</v>
      </c>
      <c r="G138" s="43" t="s">
        <v>1408</v>
      </c>
      <c r="H138" s="43" t="s">
        <v>1409</v>
      </c>
      <c r="I138" s="109" t="s">
        <v>851</v>
      </c>
      <c r="J138" s="110">
        <v>1005860830</v>
      </c>
      <c r="K138" s="43" t="s">
        <v>852</v>
      </c>
      <c r="L138" s="175" t="s">
        <v>853</v>
      </c>
      <c r="M138" s="22">
        <v>37021</v>
      </c>
      <c r="N138" s="213">
        <f t="shared" ca="1" si="600"/>
        <v>22.4986301369863</v>
      </c>
      <c r="O138" s="22">
        <v>45016</v>
      </c>
      <c r="P138" s="214" t="str">
        <f t="shared" si="437"/>
        <v>SI</v>
      </c>
      <c r="Q138" s="26" t="s">
        <v>855</v>
      </c>
      <c r="R138" s="22">
        <v>45016</v>
      </c>
      <c r="S138" s="21" t="s">
        <v>856</v>
      </c>
      <c r="T138" s="24" t="s">
        <v>690</v>
      </c>
      <c r="U138" s="21" t="s">
        <v>857</v>
      </c>
      <c r="V138" s="21" t="s">
        <v>858</v>
      </c>
      <c r="W138" s="21" t="s">
        <v>1338</v>
      </c>
      <c r="X138" s="21"/>
      <c r="Y138" s="21" t="s">
        <v>859</v>
      </c>
      <c r="Z138" s="21">
        <v>3235010408</v>
      </c>
      <c r="AA138" s="21" t="s">
        <v>860</v>
      </c>
      <c r="AB138" s="27" t="s">
        <v>861</v>
      </c>
      <c r="AC138" s="26" t="s">
        <v>897</v>
      </c>
      <c r="AD138" s="38" t="s">
        <v>1546</v>
      </c>
      <c r="AE138" s="26" t="s">
        <v>854</v>
      </c>
      <c r="AF138" s="26" t="s">
        <v>854</v>
      </c>
      <c r="AG138" s="23" t="s">
        <v>864</v>
      </c>
      <c r="AH138" s="23" t="s">
        <v>864</v>
      </c>
      <c r="AI138" s="24" t="s">
        <v>863</v>
      </c>
      <c r="AJ138" s="23" t="s">
        <v>864</v>
      </c>
      <c r="AK138" s="220" t="str">
        <f>IF(AND(AD138="",AE138="",AF138="",AG138="",AH138="",AI138="",AJ138=""),"",IF(OR(Tabla1[[#This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EVALUACIÓN",IF(AND(O138="",R138=""),"",IF(AND(OR(O138&gt;0,R138&gt;0),NG138&gt;=0,NG138&lt;2),"SIN RIESGO",IF(AND(OR(O138&gt;0,R138&gt;0),NG138&gt;=2),"CON RIESGO","ASD")))))</f>
        <v>SIN RIESGO</v>
      </c>
      <c r="AL138" s="23" t="s">
        <v>864</v>
      </c>
      <c r="AM138" s="26" t="s">
        <v>864</v>
      </c>
      <c r="AN138" s="26" t="s">
        <v>864</v>
      </c>
      <c r="AO138" s="26" t="s">
        <v>864</v>
      </c>
      <c r="AP138" s="26" t="s">
        <v>864</v>
      </c>
      <c r="AQ138" s="26" t="s">
        <v>864</v>
      </c>
      <c r="AR138" s="26" t="s">
        <v>864</v>
      </c>
      <c r="AS138" s="21">
        <v>0</v>
      </c>
      <c r="AT138" s="21">
        <v>0</v>
      </c>
      <c r="AU138" s="21">
        <v>0</v>
      </c>
      <c r="AV138" s="26" t="s">
        <v>864</v>
      </c>
      <c r="AW138" s="21">
        <v>0</v>
      </c>
      <c r="AX138" s="26" t="s">
        <v>864</v>
      </c>
      <c r="AY138" s="26" t="s">
        <v>864</v>
      </c>
      <c r="AZ138" s="26" t="s">
        <v>864</v>
      </c>
      <c r="BA138" s="26" t="s">
        <v>864</v>
      </c>
      <c r="BB138" s="26" t="s">
        <v>864</v>
      </c>
      <c r="BC138" s="26" t="s">
        <v>864</v>
      </c>
      <c r="BD138" s="26" t="s">
        <v>864</v>
      </c>
      <c r="BE138" s="26" t="s">
        <v>864</v>
      </c>
      <c r="BF138" s="26" t="s">
        <v>864</v>
      </c>
      <c r="BG138" s="26" t="s">
        <v>864</v>
      </c>
      <c r="BH138" s="26" t="s">
        <v>864</v>
      </c>
      <c r="BI138" s="26" t="s">
        <v>864</v>
      </c>
      <c r="BJ138" s="26" t="s">
        <v>864</v>
      </c>
      <c r="BK138" s="26" t="s">
        <v>864</v>
      </c>
      <c r="BL138" s="26" t="s">
        <v>864</v>
      </c>
      <c r="BM138" s="26" t="s">
        <v>864</v>
      </c>
      <c r="BN138" s="22"/>
      <c r="BO138" s="22">
        <v>44935</v>
      </c>
      <c r="BP138" s="21" t="s">
        <v>854</v>
      </c>
      <c r="BQ138" s="222">
        <f t="shared" si="601"/>
        <v>0</v>
      </c>
      <c r="BR138" s="223">
        <f t="shared" si="602"/>
        <v>44936.2</v>
      </c>
      <c r="BS138" s="224">
        <f t="shared" si="603"/>
        <v>11.571428571428571</v>
      </c>
      <c r="BT138" s="216" t="str">
        <f t="shared" si="604"/>
        <v>II TRIM</v>
      </c>
      <c r="BU138" s="214">
        <f t="shared" ca="1" si="605"/>
        <v>42.571428571428569</v>
      </c>
      <c r="BV138" s="341"/>
      <c r="BW138" s="22">
        <v>45016</v>
      </c>
      <c r="BX138" s="28">
        <v>11.4</v>
      </c>
      <c r="BY138" s="28"/>
      <c r="BZ138" s="22"/>
      <c r="CA138" s="21"/>
      <c r="CB138" s="26" t="s">
        <v>864</v>
      </c>
      <c r="CC138" s="26" t="s">
        <v>864</v>
      </c>
      <c r="CD138" s="26"/>
      <c r="CE138" s="26" t="s">
        <v>864</v>
      </c>
      <c r="CF138" s="22" t="s">
        <v>1517</v>
      </c>
      <c r="CG138" s="21">
        <v>1.53</v>
      </c>
      <c r="CH138" s="21">
        <v>53</v>
      </c>
      <c r="CI138" s="214">
        <f t="shared" si="606"/>
        <v>22.64086462471699</v>
      </c>
      <c r="CJ138" s="225" t="e">
        <f>IF(AND(CI138&lt;10,CH138="SD"),"SIN DATO PESO PREGESTACION O I TRIM",IF(AND(OR(R138&gt;0,O138&gt;0),CI138="X"),"INGRESAR DATO DE PESO",IF(CI138="SD","INGRESAR DATO DE TALLA Y PESO",IF(AND(OR(Tabla1[[#This Row],[MOMENTO EN QUE SE REALIZA EL PESO AL INGRESO A CPN]]="PREGESTACIÓN",NZ138="Menor"),CI138&lt;18.5),"BAJO PESO",IF(AND(OR(Tabla1[[#This Row],[MOMENTO EN QUE SE REALIZA EL PESO AL INGRESO A CPN]]="PREGESTACIÓN",NZ138="Menor"),CI138&lt;25),"NORMAL",IF(AND(OR(Tabla1[[#This Row],[MOMENTO EN QUE SE REALIZA EL PESO AL INGRESO A CPN]]="PREGESTACIÓN",NZ138="Menor"),CI138&lt;30),"SOBREPESO",IF(AND(OR(Tabla1[[#This Row],[MOMENTO EN QUE SE REALIZA EL PESO AL INGRESO A CPN]]="PREGESTACIÓN",NZ138="Menor"),CI138&gt;=30,CI138&lt;50),"OBESIDAD",IF(AND(BS138&gt;0,Tabla1[[#This Row],[MOMENTO EN QUE SE REALIZA EL PESO AL INGRESO A CPN]]="GESTACIÓN"),HLOOKUP(NZ138,$OA$2:PH138,NY138),""))))))))</f>
        <v>#REF!</v>
      </c>
      <c r="CK138" s="212">
        <f t="shared" si="607"/>
        <v>45149</v>
      </c>
      <c r="CL138" s="21">
        <v>64.8</v>
      </c>
      <c r="CM138" s="214">
        <f t="shared" si="608"/>
        <v>27.681660899653977</v>
      </c>
      <c r="CN138" s="216">
        <f t="shared" si="609"/>
        <v>30</v>
      </c>
      <c r="CO138" s="216" t="e">
        <f>IF(PI138="","",IF(PI138&gt;0,HLOOKUP(PI138,$PJ$2:QQ138,NY138),""))</f>
        <v>#REF!</v>
      </c>
      <c r="CP138" s="21">
        <v>30</v>
      </c>
      <c r="CQ138" s="216" t="e">
        <f>IF(QR138="Menor","NO APLICA-MENOR 13 SEM",IF(AND(CC138="SI",CN138&gt;23),"NO APLICA- GEMELAR",IF(QR138="","",IF(QR138&gt;0,HLOOKUP(QR138,$QS$2:RU138,NY138),""))))</f>
        <v>#REF!</v>
      </c>
      <c r="CR138" s="21">
        <v>90</v>
      </c>
      <c r="CS138" s="21">
        <v>60</v>
      </c>
      <c r="CT138" s="217" t="str">
        <f>IF(R138="","",IF(AND(BS138&gt;1,BS138&lt;12,Tabla1[[#This Row],[T.A. SISTOLICA - ANTES DE SEMANA 12]]="",Tabla1[[#This Row],[T.A. DIASTOLICA - ANTES DE SEMANA 12]]=""),"REGISTRE DATO TA ANTES SEMANA 12",IF(AND(BS138&gt;11,BS138&lt;43,Tabla1[[#This Row],[T.A. SISTOLICA - ANTES DE SEMANA 12]]="",Tabla1[[#This Row],[T.A. DIASTOLICA - ANTES DE SEMANA 12]]=""),"NO APLICA REGISTRO TA-INGRESO TARDIO",IF(AND(OR(O138&gt;0,R138&gt;0),OR(CR138&gt;=140,CS138&gt;=90)),"DEFINIR ESTADIO HTA",IF(AND(OR(O138&gt;0,R138&gt;0),AND(CR138&gt;120,CR138&lt;=139)),"PRE HTA SEGUIMIENTO",IF(AND(OR(O138&gt;0,R138&gt;0),AND(CS138&gt;80,CS138&lt;=89)),"PRE HTA SEGUIMIENTO",IF(AND(OR(O138&gt;0,R138&gt;0),AND(CR138&gt;=80,CR138&lt;=120)),"APARENTEMENTE NORMAL",IF(AND(OR(O138&gt;0,R138&gt;0),AND(CS138&gt;=50,CS138&lt;=80)),"APARENTEMENTE NORMAL",IF(AND(OR(O138&gt;0,R138&gt;0),AND(CR138&gt;1,CR138&lt;=70),AND(CS138&gt;1,CS138&lt;=40)),"HIPOTENSIÓN","")))))))))</f>
        <v>APARENTEMENTE NORMAL</v>
      </c>
      <c r="CU138" s="21">
        <v>90</v>
      </c>
      <c r="CV138" s="21">
        <v>60</v>
      </c>
      <c r="CW138" s="217" t="str">
        <f ca="1">IF(R138="","",IF(AND(CN138&gt;19,CN138&lt;27,Tabla1[[#This Row],[T.A. SISTOLICA (Entre semana 20 y 26)]]="",Tabla1[[#This Row],[T.A. DIATOLICA (Entre semana 20 y 26)]]=""),"ACUDE A CONTROL SEM 20 A 26 REGISTRE TA AHORA",IF(AND(BS138&gt;1,BS138&lt;27,BU138&gt;19,Tabla1[[#This Row],[T.A. SISTOLICA (Entre semana 20 y 26)]]="",Tabla1[[#This Row],[T.A. DIATOLICA (Entre semana 20 y 26)]]=""),"COMPLETE REGISTRO TA CONTROL SEM 20 A26 ",IF(AND(BS138&gt;26,BS138&lt;43,Tabla1[[#This Row],[T.A. SISTOLICA (Entre semana 20 y 26)]]="",Tabla1[[#This Row],[T.A. DIATOLICA (Entre semana 20 y 26)]]=""),"NO APLICA REGISTRO TA-INGRESO TARDIO",IF(AND(OR(O138&gt;0,R138&gt;0),OR(CU138&gt;=140,CV138&gt;=90)),"ALTO RIESGO PREECLAMPSIA,DEFINIR ESTADIO HTA",IF(AND(OR(O138&gt;0,R138&gt;0),AND(CU138&gt;120,CU138&lt;=139)),"PRE HTA SEGUIMIENTO,RIESGO HIPERTENSION INDUCIDA POR EL EMBARAZO",IF(AND(OR(O138&gt;0,R138&gt;0),AND(CV138&gt;80,CV138&lt;=89)),"PRE HTA SEGUIMIENTO, RIESGO HIPERTENSION INDUCIDA POR EL EMBARAZO",IF(AND(OR(O138&lt;&gt;"",R138&lt;&gt;""),CS138&lt;&gt;"",CV138&lt;&gt;"",CS138&lt;=CV138),"VIGILAR CIFRAS PRESION ARTERIAL",IF(AND(OR(O138&gt;0,R138&gt;0),AND(CU138&gt;120,CU138&lt;=139)),"PRE HTA SEGUIMIENTO",IF(AND(OR(O138&gt;0,R138&gt;0),AND(CU138&gt;1,CU138&lt;=70),AND(CV138&gt;1,CV138&lt;=40)),"HIPOTENSIÓN",IF(AND(OR(O138&lt;&gt;"",R138&lt;&gt;""),CS138&lt;&gt;"",CV138&lt;&gt;"",CS138&gt;CV138),"APARENTEMENTE NORMAL",IF(AND(OR(O138&gt;0,R138&gt;0),AND(CU138&gt;=80,CU138&lt;=120)),"APARENTEMENTE NORMAL",IF(AND(OR(O138&gt;0,R138&gt;0),AND(CV138&gt;=50,CV138&lt;=80)),"APARENTEMENTE NORMAL","")))))))))))))</f>
        <v>VIGILAR CIFRAS PRESION ARTERIAL</v>
      </c>
      <c r="CX138" s="21">
        <v>100</v>
      </c>
      <c r="CY138" s="21">
        <v>60</v>
      </c>
      <c r="CZ138" s="216" t="str">
        <f t="shared" si="498"/>
        <v>APARENTEMENTE NORMAL</v>
      </c>
      <c r="DA138" s="21">
        <v>100</v>
      </c>
      <c r="DB138" s="21">
        <v>60</v>
      </c>
      <c r="DC138" s="217" t="str">
        <f t="shared" si="610"/>
        <v>APARENTEMENTE NORMAL</v>
      </c>
      <c r="DD138" s="22">
        <v>45016</v>
      </c>
      <c r="DE138" s="22">
        <v>45016</v>
      </c>
      <c r="DF138" s="22">
        <v>45054</v>
      </c>
      <c r="DG138" s="22">
        <v>45114</v>
      </c>
      <c r="DH138" s="22">
        <v>45149</v>
      </c>
      <c r="DI138" s="22"/>
      <c r="DJ138" s="22"/>
      <c r="DK138" s="22"/>
      <c r="DL138" s="22"/>
      <c r="DM138" s="22"/>
      <c r="DN138" s="22"/>
      <c r="DO138" s="22"/>
      <c r="DP138" s="22"/>
      <c r="DQ138" s="22"/>
      <c r="DR138" s="28">
        <v>1</v>
      </c>
      <c r="DS138" s="22"/>
      <c r="DT138" s="22"/>
      <c r="DU138" s="216" t="str">
        <f t="shared" ca="1" si="438"/>
        <v>CONCERTAR PLAN DE PARTO INMEDIATO</v>
      </c>
      <c r="DV138" s="226" t="str">
        <f t="shared" si="439"/>
        <v>ACTIVA INGRESO A CPN</v>
      </c>
      <c r="DW1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8" s="216" t="e">
        <f t="shared" ca="1" si="611"/>
        <v>#REF!</v>
      </c>
      <c r="DY138" s="212">
        <f>IF(R138="","",IF(R138&gt;0,MAX(Tabla1[[#This Row],[FECHA C2]:[FECHA C13]],Tabla1[[#This Row],[FECHA CONSULTA PRIMERA VEZ PROGRAMA CPN ]])))</f>
        <v>45149</v>
      </c>
      <c r="DZ138" s="216">
        <f t="shared" si="612"/>
        <v>30</v>
      </c>
      <c r="EA138" s="222">
        <f>IF(R138&gt;0,SUM(COUNTA(DF138:DQ138)+COUNTA(Tabla1[[#This Row],[FECHA CONSULTA PRIMERA VEZ PROGRAMA CPN ]])),"")</f>
        <v>4</v>
      </c>
      <c r="EB138" s="222" t="str">
        <f t="shared" si="613"/>
        <v>SI</v>
      </c>
      <c r="EC138" s="214">
        <f t="shared" si="614"/>
        <v>9</v>
      </c>
      <c r="ED138" s="227">
        <f t="shared" si="615"/>
        <v>0.44444444444444442</v>
      </c>
      <c r="EE138" s="22">
        <v>45016</v>
      </c>
      <c r="EF138" s="22">
        <v>45016</v>
      </c>
      <c r="EG138" s="22">
        <v>45016</v>
      </c>
      <c r="EH138" s="22"/>
      <c r="EI138" s="22">
        <v>45016</v>
      </c>
      <c r="EJ138" s="22"/>
      <c r="EK138" s="22"/>
      <c r="EL138" s="21"/>
      <c r="EM138" s="21">
        <v>13</v>
      </c>
      <c r="EN138" s="22">
        <v>45016</v>
      </c>
      <c r="EO138" s="222">
        <f t="shared" si="616"/>
        <v>11.571428571428571</v>
      </c>
      <c r="EP138" s="214" t="str">
        <f t="shared" si="617"/>
        <v>NORMAL- SUMINISTRAR SULFATO FERROSO</v>
      </c>
      <c r="EQ138" s="216" t="str">
        <f t="shared" si="618"/>
        <v>I TRIM</v>
      </c>
      <c r="ER138" s="24">
        <v>13.8</v>
      </c>
      <c r="ES138" s="22">
        <v>45114</v>
      </c>
      <c r="ET138" s="29">
        <f t="shared" ca="1" si="440"/>
        <v>25.571428571428573</v>
      </c>
      <c r="EU138" s="25" t="str">
        <f t="shared" si="619"/>
        <v>NORMAL- SUMINISTRAR SULFATO FERROSO</v>
      </c>
      <c r="EV138" s="24" t="s">
        <v>1510</v>
      </c>
      <c r="EW138" s="32">
        <v>45016</v>
      </c>
      <c r="EX138" s="22"/>
      <c r="EY138" s="29">
        <f t="shared" si="453"/>
        <v>11.571428571428571</v>
      </c>
      <c r="EZ138" s="25" t="str">
        <f t="shared" si="454"/>
        <v>SIN RIESGO DE ISOINMUNIZACIÓN</v>
      </c>
      <c r="FA138" s="21">
        <v>81</v>
      </c>
      <c r="FB138" s="22">
        <v>45016</v>
      </c>
      <c r="FC138" s="29">
        <f t="shared" si="620"/>
        <v>11.571428571428571</v>
      </c>
      <c r="FD138" s="29">
        <v>75</v>
      </c>
      <c r="FE138" s="29">
        <v>100</v>
      </c>
      <c r="FF138" s="29">
        <v>125</v>
      </c>
      <c r="FG138" s="21" t="str">
        <f t="shared" ca="1" si="621"/>
        <v>NORMAL</v>
      </c>
      <c r="FH138" s="31">
        <v>45115</v>
      </c>
      <c r="FI138" s="29">
        <f t="shared" si="622"/>
        <v>25.714285714285715</v>
      </c>
      <c r="FJ138" s="22" t="s">
        <v>867</v>
      </c>
      <c r="FK138" s="22">
        <v>45016</v>
      </c>
      <c r="FL138" s="29">
        <f t="shared" ca="1" si="623"/>
        <v>11.571428571428571</v>
      </c>
      <c r="FM138" s="22" t="s">
        <v>867</v>
      </c>
      <c r="FN138" s="32">
        <v>45115</v>
      </c>
      <c r="FO138" s="29">
        <f t="shared" ca="1" si="441"/>
        <v>25.714285714285715</v>
      </c>
      <c r="FP138" s="22"/>
      <c r="FQ138" s="32"/>
      <c r="FR138" s="29" t="str">
        <f t="shared" ca="1" si="442"/>
        <v>TOMA INMEDIATA DE TAMIZAJE</v>
      </c>
      <c r="FS138" s="22"/>
      <c r="FT138" s="32"/>
      <c r="FU138" s="29" t="str">
        <f>IF(AND(FJ138="",FM138="",FP138="",FS138=""),"",IF(OR(OR(Tabla1[[#This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8" s="28"/>
      <c r="FW138" s="22"/>
      <c r="FX138" s="29" t="str">
        <f t="shared" si="624"/>
        <v>TOMAR EXAMEN</v>
      </c>
      <c r="FY138" s="22">
        <v>45016</v>
      </c>
      <c r="FZ138" s="22">
        <v>45016</v>
      </c>
      <c r="GA138" s="29">
        <f t="shared" ca="1" si="497"/>
        <v>11.571428571428571</v>
      </c>
      <c r="GB138" s="22" t="s">
        <v>868</v>
      </c>
      <c r="GC138" s="22">
        <v>45115</v>
      </c>
      <c r="GD138" s="29">
        <f t="shared" ca="1" si="490"/>
        <v>25.714285714285715</v>
      </c>
      <c r="GE138" s="22"/>
      <c r="GF138" s="22"/>
      <c r="GG138" s="29" t="str">
        <f t="shared" ca="1" si="444"/>
        <v>TOMA INMEDIATA DE TAMIZAJE</v>
      </c>
      <c r="GH138" s="22"/>
      <c r="GI138" s="29"/>
      <c r="GJ138" s="22"/>
      <c r="GK138" s="22"/>
      <c r="GL138" s="22"/>
      <c r="GM138" s="22"/>
      <c r="GN138" s="28" t="s">
        <v>869</v>
      </c>
      <c r="GO138" s="22">
        <v>45016</v>
      </c>
      <c r="GP138" s="29">
        <f t="shared" si="625"/>
        <v>11.571428571428571</v>
      </c>
      <c r="GQ138" s="28" t="s">
        <v>869</v>
      </c>
      <c r="GR138" s="28"/>
      <c r="GS138" s="22" t="str">
        <f t="shared" si="626"/>
        <v>CONTROL Igm</v>
      </c>
      <c r="GT138" s="22">
        <v>45016</v>
      </c>
      <c r="GU138" s="29">
        <f t="shared" si="627"/>
        <v>11.571428571428571</v>
      </c>
      <c r="GV138" s="21" t="str">
        <f t="shared" si="628"/>
        <v>I TRIM</v>
      </c>
      <c r="GW138" s="28"/>
      <c r="GX138" s="30"/>
      <c r="GY138" s="21"/>
      <c r="GZ138" s="21"/>
      <c r="HA138" s="21"/>
      <c r="HB138" s="21"/>
      <c r="HC138" s="21"/>
      <c r="HD138" s="21"/>
      <c r="HE138" s="21"/>
      <c r="HF138" s="22"/>
      <c r="HG138" s="22" t="str">
        <f>IF(OR(O138&gt;0,R138&gt;0),CONCATENATE(IF(Tabla1[[#This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8" s="22" t="e">
        <f t="shared" si="629"/>
        <v>#REF!</v>
      </c>
      <c r="HI138" s="22" t="e">
        <f t="shared" ca="1" si="630"/>
        <v>#REF!</v>
      </c>
      <c r="HJ138" s="21"/>
      <c r="HK138" s="21" t="str">
        <f t="shared" si="631"/>
        <v>SIN ANTECEDENTES DE RIESGO</v>
      </c>
      <c r="HL138" s="24" t="str">
        <f t="shared" si="632"/>
        <v>APARENTEMENTE NORMAL</v>
      </c>
      <c r="HM138" s="21" t="e">
        <f t="shared" ca="1" si="633"/>
        <v>#REF!</v>
      </c>
      <c r="HN138" s="30" t="str">
        <f t="shared" si="445"/>
        <v>ACTIVA INGRESO A CPN</v>
      </c>
      <c r="HO138" s="21"/>
      <c r="HP138" s="21"/>
      <c r="HQ138" s="349">
        <v>45016</v>
      </c>
      <c r="HR138" s="21" t="str">
        <f>IF(R138="","",IF(Tabla1[[#This Row],[ALARMA FACTORES DE RIESGO COMPLICACIONES HIPERTENSIVAS3]]="SIN ANTECEDENTES DE RIESGO","No Aplica para suministro de ASA",IF(AND(Tabla1[[#This Row],[FECHA INICIO DE SUMINISTRO DE ASA]]&gt;0,RV138&lt;12),"Inicia ASA ANTES de Sem 12",IF(AND(RV138&gt;11,RV138&lt;17,OR(HK138="RIESGO ALTO DE COMPLICACIONES HIPERTENSIVAS VER MANEJO GUIA SUMINISTRO ASA Y CALCIO",HK138="RIESGO MODERADO (2 O MAS CRITERIOS) VER MANEJO GUIA SUMINISTRO ASA Y CALCIO")),"Inicio oportuno de ASA",IF(AND(RV138&gt;12,OR(HK138="RIESGO ALTO DE COMPLICACIONES HIPERTENSIVAS VER MANEJO GUIA SUMINISTRO ASA Y CALCIO",HK138="RIESGO MODERADO (2 O MAS CRITERIOS) VER MANEJO GUIA SUMINISTRO ASA Y CALCIO")),"Inicio no oportuno mayor a 16 semanas",IF(AND(BU138&lt;12,OR(HK138="RIESGO ALTO DE COMPLICACIONES HIPERTENSIVAS VER MANEJO GUIA SUMINISTRO ASA Y CALCIO",HK138="RIESGO MODERADO (2 O MAS CRITERIOS) VER MANEJO GUIA SUMINISTRO ASA Y CALCIO")),"Pendiente Inicio de ASA a la semana 12",IF(AND(BU138&gt;11,BU138&lt;17,OR(HK138="RIESGO ALTO DE COMPLICACIONES HIPERTENSIVAS VER MANEJO GUIA SUMINISTRO ASA Y CALCIO",HK138="RIESGO MODERADO (2 O MAS CRITERIOS) VER MANEJO GUIA SUMINISTRO ASA Y CALCIO")),"Iniciar de inmediato ASA",IF(AND(BU138&gt;16,OR(HK138="RIESGO ALTO DE COMPLICACIONES HIPERTENSIVAS VER MANEJO GUIA SUMINISTRO ASA Y CALCIO",HK138="RIESGO MODERADO (2 O MAS CRITERIOS) VER MANEJO GUIA SUMINISTRO ASA Y CALCIO")),"Pierde Oportunidad, Inicio tardío de ASA","XXXXX"))))))))</f>
        <v>No Aplica para suministro de ASA</v>
      </c>
      <c r="HS138" s="22">
        <v>45016</v>
      </c>
      <c r="HT138" s="22" t="s">
        <v>870</v>
      </c>
      <c r="HU138" s="22">
        <v>45016</v>
      </c>
      <c r="HV138" s="22" t="s">
        <v>870</v>
      </c>
      <c r="HW138" s="22"/>
      <c r="HX138" s="22"/>
      <c r="HY138" s="22">
        <v>45016</v>
      </c>
      <c r="HZ138" s="28">
        <f t="shared" si="634"/>
        <v>11.571428571428571</v>
      </c>
      <c r="IA138" s="26" t="s">
        <v>864</v>
      </c>
      <c r="IB138" s="26"/>
      <c r="IC138" s="111"/>
      <c r="ID138" s="22"/>
      <c r="IE138" s="22" t="str">
        <f t="shared" ca="1" si="635"/>
        <v>INASISTENTE</v>
      </c>
      <c r="IF138" s="22"/>
      <c r="IG138" s="22">
        <f t="shared" si="636"/>
        <v>45215</v>
      </c>
      <c r="IH138" s="29">
        <f t="shared" ca="1" si="637"/>
        <v>-18</v>
      </c>
      <c r="II138" s="22" t="str">
        <f t="shared" ca="1" si="638"/>
        <v>POSIBLEMENTE NACIO</v>
      </c>
      <c r="IJ138" s="22"/>
      <c r="IK138" s="21"/>
      <c r="IL138" s="21"/>
      <c r="IM138" s="34"/>
      <c r="IN138" s="22"/>
      <c r="IO138" s="21"/>
      <c r="IP138" s="29" t="str">
        <f t="shared" si="489"/>
        <v/>
      </c>
      <c r="IQ138" s="35"/>
      <c r="IR138" s="21"/>
      <c r="IS138" s="21"/>
      <c r="IT138" s="21"/>
      <c r="IU138" s="21"/>
      <c r="IV138" s="21"/>
      <c r="IW138" s="21"/>
      <c r="IX138" s="21"/>
      <c r="IY138" s="21"/>
      <c r="IZ138" s="21"/>
      <c r="JA138" s="21"/>
      <c r="JB138" s="30"/>
      <c r="JC138" s="21"/>
      <c r="JD138" s="36"/>
      <c r="JE138" s="21" t="str">
        <f t="shared" si="491"/>
        <v/>
      </c>
      <c r="JF138" s="30"/>
      <c r="JG138" s="21"/>
      <c r="JH138" s="21"/>
      <c r="JI138" s="21"/>
      <c r="JJ138" s="30"/>
      <c r="JK138" s="22"/>
      <c r="JL138" s="22"/>
      <c r="JM138" s="21"/>
      <c r="JN138" s="36"/>
      <c r="JO138" s="21" t="str">
        <f t="shared" si="492"/>
        <v/>
      </c>
      <c r="JP138" s="22"/>
      <c r="JQ138" s="21"/>
      <c r="JR138" s="21"/>
      <c r="JS138" s="21"/>
      <c r="JT138" s="30"/>
      <c r="JU138" s="22"/>
      <c r="JV138" s="22"/>
      <c r="JW138" s="33"/>
      <c r="JX138" s="28" t="str">
        <f t="shared" si="493"/>
        <v/>
      </c>
      <c r="JY138" s="33"/>
      <c r="JZ138" s="28" t="str">
        <f t="shared" si="494"/>
        <v/>
      </c>
      <c r="KA138" s="21"/>
      <c r="KB138" s="21"/>
      <c r="KC138" s="21"/>
      <c r="KD138" s="37"/>
      <c r="KE138" s="28"/>
      <c r="KF138" s="28"/>
      <c r="KG138" s="28"/>
      <c r="KH138" s="39"/>
      <c r="KI138" s="39"/>
      <c r="KJ138" s="66"/>
      <c r="KK138" s="39"/>
      <c r="KL138" s="39"/>
      <c r="KM138" s="66"/>
      <c r="KN138" s="39"/>
      <c r="KO138" s="39"/>
      <c r="KP138" s="39"/>
      <c r="KQ138" s="39"/>
      <c r="KR138" s="39"/>
      <c r="KS138" s="39"/>
      <c r="KT138" s="39"/>
      <c r="KU138" s="38"/>
      <c r="KV138" s="38"/>
      <c r="KW138" s="38"/>
      <c r="KX138" s="38"/>
      <c r="KY138" s="38"/>
      <c r="KZ138" s="38"/>
      <c r="LA138" s="38"/>
      <c r="LB138" s="38"/>
      <c r="LC138" s="38"/>
      <c r="LD138" s="38"/>
      <c r="LE138" s="38"/>
      <c r="LF138" s="38"/>
      <c r="LG138" s="38"/>
      <c r="LH138" s="38"/>
      <c r="LI138" s="38"/>
      <c r="LJ138" s="38"/>
      <c r="LK138" s="38"/>
      <c r="LL138" s="38"/>
      <c r="LM138" s="38"/>
      <c r="LN138" s="38"/>
      <c r="LO138" s="38"/>
      <c r="LP138" s="38"/>
      <c r="LQ138" s="38"/>
      <c r="LR138" s="38"/>
      <c r="LS138" s="38"/>
      <c r="LT138" s="38"/>
      <c r="LU138" s="38"/>
      <c r="LV138" s="38"/>
      <c r="LW138" s="38"/>
      <c r="LX138" s="38"/>
      <c r="LY138" s="38"/>
      <c r="LZ138" s="38"/>
      <c r="MA138" s="38"/>
      <c r="MB138" s="38"/>
      <c r="MC138" s="38"/>
      <c r="MD138" s="38"/>
      <c r="ME138" s="38"/>
      <c r="MF138" s="38"/>
      <c r="MG138" s="38"/>
      <c r="MH138" s="43">
        <f t="shared" si="639"/>
        <v>0</v>
      </c>
      <c r="MI138" s="43" t="str">
        <f t="shared" si="640"/>
        <v/>
      </c>
      <c r="MJ138" s="43" t="str">
        <f t="shared" si="641"/>
        <v/>
      </c>
      <c r="MK138" s="43">
        <f t="shared" si="642"/>
        <v>0</v>
      </c>
      <c r="ML1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8" s="43">
        <f t="shared" si="643"/>
        <v>11.571428571428571</v>
      </c>
      <c r="MN138" s="43">
        <f t="shared" si="644"/>
        <v>3</v>
      </c>
      <c r="MO138" s="43">
        <f t="shared" si="645"/>
        <v>2023</v>
      </c>
      <c r="MP138" s="43" t="str">
        <f t="shared" si="646"/>
        <v>I TRIMESTRE AÑO</v>
      </c>
      <c r="MQ138" s="43">
        <f t="shared" si="647"/>
        <v>21.575229960578184</v>
      </c>
      <c r="MR138" s="43">
        <f t="shared" si="648"/>
        <v>0</v>
      </c>
      <c r="MS138" s="43" t="str">
        <f t="shared" si="649"/>
        <v xml:space="preserve"> DE 20 A 24 AÑOS</v>
      </c>
      <c r="MT138" s="43">
        <f t="shared" si="650"/>
        <v>0</v>
      </c>
      <c r="MU138" s="43">
        <f t="shared" si="651"/>
        <v>1</v>
      </c>
      <c r="MV138" s="43">
        <f t="shared" si="652"/>
        <v>0</v>
      </c>
      <c r="MW138" s="43">
        <f t="shared" si="653"/>
        <v>0</v>
      </c>
      <c r="MX138" s="43" t="str">
        <f t="shared" si="654"/>
        <v/>
      </c>
      <c r="MY138" s="43">
        <f t="shared" ca="1" si="495"/>
        <v>1</v>
      </c>
      <c r="MZ138" s="43" t="str">
        <f t="shared" si="655"/>
        <v/>
      </c>
      <c r="NA138" s="43" t="str">
        <f t="shared" si="656"/>
        <v/>
      </c>
      <c r="NB138" s="43" t="str">
        <f t="shared" si="657"/>
        <v/>
      </c>
      <c r="NC138" s="43" t="str">
        <f t="shared" si="658"/>
        <v/>
      </c>
      <c r="ND138" s="43">
        <f t="shared" ca="1" si="659"/>
        <v>2</v>
      </c>
      <c r="NE138" s="43">
        <f>IF(OR(O138&gt;0,R138&gt;0),SUM(COUNTIF(Tabla1[[#This Row],[AÑOS AL INICIO5 CPN]],"&gt;=40"),COUNTIF(AS138,"0"),COUNTIF(AR138,"SI"),COUNTIF(CC138,"SI"),COUNTIF(BQ138,"&gt;119"),COUNTIF(CI138,"&gt;=35")),"")</f>
        <v>1</v>
      </c>
      <c r="NF138" s="43" t="str">
        <f t="shared" si="660"/>
        <v/>
      </c>
      <c r="NG138" s="43">
        <f t="shared" si="661"/>
        <v>0</v>
      </c>
      <c r="NH138" s="43">
        <f t="shared" si="662"/>
        <v>79.8</v>
      </c>
      <c r="NI1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CPN",P138="NO"),"Z",IF(AND(Tabla1[[#This Row],[CITA PROXIMO CONTROL]]="CITA MANUAL",Tabla1[[#This Row],[GESTANTES ACTUALES]]="ACTIVA INGRESO A CPN"),"W",IF(AND(Tabla1[[#This Row],[GESTANTES ACTUALES]]="SALIO PROGRAMA",IN138=""),"S",IF(AND(Tabla1[[#This Row],[CITA PROXIMO CONTROL]]&gt;0,IN138=""),(Tabla1[[#This Row],[CITA PROXIMO CONTROL]]-TODAY()),"SD"))))))))</f>
        <v>#REF!</v>
      </c>
      <c r="NJ138" s="43">
        <f>MONTH(Tabla1[[#This Row],[FECHA DE SALIDA  DEL PROGRAMA]])</f>
        <v>1</v>
      </c>
      <c r="NK138" s="43">
        <f>YEAR(Tabla1[[#This Row],[FECHA DE SALIDA  DEL PROGRAMA]])</f>
        <v>1900</v>
      </c>
      <c r="NL138" s="43" t="str">
        <f t="shared" si="663"/>
        <v>X</v>
      </c>
      <c r="NM138" s="43" t="str">
        <f t="shared" si="500"/>
        <v>NO</v>
      </c>
      <c r="NN138" s="43" t="str">
        <f ca="1">IF(AND(O138&gt;0,R138=""),"NO CPN",IF(AND(O138="",R138=""),"",IF(AND(R138&gt;0,Tabla1[[#This Row],[SEMANAS DE GESTACION ACTUALIZADAS]]&lt;=12),"NO APLICA",IF(AND(FH138&lt;&gt;"",FN138&lt;&gt;""),"SI","NO"))))</f>
        <v>SI</v>
      </c>
      <c r="NO138" s="43" t="str">
        <f ca="1">IF(AND(O138&gt;0,R138=""),"NO CPN",IF(AND(O138="",R138=""),"",IF(AND(R138&gt;0,Tabla1[[#This Row],[SEMANAS DE GESTACION ACTUALIZADAS]]&lt;=27),"NO APLICA",IF(AND(ES138&lt;&gt;"",FQ138&lt;&gt;"",GF138&lt;&gt;""),"SI","NO"))))</f>
        <v>NO</v>
      </c>
      <c r="NP138" s="204" t="str">
        <f t="shared" si="664"/>
        <v>I TRIM</v>
      </c>
      <c r="NQ138" s="21" t="str">
        <f t="shared" si="499"/>
        <v/>
      </c>
      <c r="NR138" s="21">
        <f t="shared" ca="1" si="496"/>
        <v>3</v>
      </c>
      <c r="NS138" s="205">
        <f t="shared" ca="1" si="665"/>
        <v>2</v>
      </c>
      <c r="NT138" s="21">
        <f t="shared" ca="1" si="666"/>
        <v>2</v>
      </c>
      <c r="NU138" s="21" t="str">
        <f t="shared" ca="1" si="667"/>
        <v>INCOMPLETO</v>
      </c>
      <c r="NV138" s="21" t="str">
        <f t="shared" ca="1" si="668"/>
        <v>INCOMPLETO</v>
      </c>
      <c r="NW138" s="206" t="str">
        <f>IF(AND(O138="",R138=""),"",IF(OR(AND(Tabla1[[#This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38" s="207" t="str">
        <f t="shared" ca="1" si="669"/>
        <v>SIN VACUNAR</v>
      </c>
      <c r="NY138" s="43">
        <f>ROW(Tabla1[[#This Row],['# DE TAMIZAJES SIFILIS TOMADOS ]])</f>
        <v>138</v>
      </c>
      <c r="NZ138" s="43">
        <f t="shared" si="501"/>
        <v>11</v>
      </c>
      <c r="OA138" s="43" t="str">
        <f t="shared" si="502"/>
        <v/>
      </c>
      <c r="OB138" s="43" t="str">
        <f t="shared" si="503"/>
        <v/>
      </c>
      <c r="OC138" s="43" t="str">
        <f t="shared" si="504"/>
        <v>NORMAL</v>
      </c>
      <c r="OD138" s="43" t="str">
        <f t="shared" si="505"/>
        <v/>
      </c>
      <c r="OE138" s="43" t="str">
        <f t="shared" si="506"/>
        <v/>
      </c>
      <c r="OF138" s="43" t="str">
        <f t="shared" si="507"/>
        <v/>
      </c>
      <c r="OG138" s="43" t="str">
        <f t="shared" si="508"/>
        <v/>
      </c>
      <c r="OH138" s="43" t="str">
        <f t="shared" si="509"/>
        <v/>
      </c>
      <c r="OI138" s="43" t="str">
        <f t="shared" si="510"/>
        <v/>
      </c>
      <c r="OJ138" s="43" t="str">
        <f t="shared" si="511"/>
        <v/>
      </c>
      <c r="OK138" s="43" t="str">
        <f t="shared" si="512"/>
        <v/>
      </c>
      <c r="OL138" s="43" t="str">
        <f t="shared" si="513"/>
        <v/>
      </c>
      <c r="OM138" s="43" t="str">
        <f t="shared" si="514"/>
        <v/>
      </c>
      <c r="ON138" s="43" t="str">
        <f t="shared" si="515"/>
        <v/>
      </c>
      <c r="OO138" s="43" t="str">
        <f t="shared" si="516"/>
        <v/>
      </c>
      <c r="OP138" s="43" t="str">
        <f t="shared" si="517"/>
        <v/>
      </c>
      <c r="OQ138" s="43" t="str">
        <f t="shared" si="518"/>
        <v/>
      </c>
      <c r="OR138" s="43" t="str">
        <f t="shared" si="519"/>
        <v/>
      </c>
      <c r="OS138" s="43" t="str">
        <f t="shared" si="520"/>
        <v/>
      </c>
      <c r="OT138" s="43" t="str">
        <f t="shared" si="521"/>
        <v/>
      </c>
      <c r="OU138" s="43" t="str">
        <f t="shared" si="522"/>
        <v/>
      </c>
      <c r="OV138" s="110" t="str">
        <f t="shared" si="523"/>
        <v/>
      </c>
      <c r="OW138" s="43" t="str">
        <f t="shared" si="524"/>
        <v/>
      </c>
      <c r="OX138" s="43" t="str">
        <f t="shared" si="525"/>
        <v/>
      </c>
      <c r="OY138" s="43" t="str">
        <f t="shared" si="526"/>
        <v/>
      </c>
      <c r="OZ138" s="43" t="str">
        <f t="shared" si="527"/>
        <v/>
      </c>
      <c r="PA138" s="43" t="str">
        <f t="shared" si="528"/>
        <v/>
      </c>
      <c r="PB138" s="43" t="str">
        <f t="shared" si="529"/>
        <v/>
      </c>
      <c r="PC138" s="43" t="str">
        <f t="shared" si="530"/>
        <v/>
      </c>
      <c r="PD138" s="43" t="str">
        <f t="shared" si="531"/>
        <v/>
      </c>
      <c r="PE138" s="43" t="str">
        <f t="shared" si="532"/>
        <v/>
      </c>
      <c r="PF138" s="43" t="str">
        <f t="shared" si="533"/>
        <v/>
      </c>
      <c r="PG138" s="43" t="str">
        <f t="shared" si="534"/>
        <v/>
      </c>
      <c r="PH138" s="43" t="str">
        <f t="shared" si="535"/>
        <v/>
      </c>
      <c r="PI138" s="43">
        <f t="shared" si="536"/>
        <v>30</v>
      </c>
      <c r="PJ138" s="43" t="str">
        <f t="shared" si="537"/>
        <v/>
      </c>
      <c r="PK138" s="43" t="str">
        <f t="shared" si="538"/>
        <v/>
      </c>
      <c r="PL138" s="43" t="str">
        <f t="shared" si="539"/>
        <v/>
      </c>
      <c r="PM138" s="43" t="str">
        <f t="shared" si="540"/>
        <v/>
      </c>
      <c r="PN138" s="43" t="str">
        <f t="shared" si="541"/>
        <v/>
      </c>
      <c r="PO138" s="43" t="str">
        <f t="shared" si="542"/>
        <v/>
      </c>
      <c r="PP138" s="43" t="str">
        <f t="shared" si="543"/>
        <v/>
      </c>
      <c r="PQ138" s="43" t="str">
        <f t="shared" si="544"/>
        <v/>
      </c>
      <c r="PR138" s="43" t="str">
        <f t="shared" si="545"/>
        <v/>
      </c>
      <c r="PS138" s="43" t="str">
        <f t="shared" si="546"/>
        <v/>
      </c>
      <c r="PT138" s="43" t="str">
        <f t="shared" si="547"/>
        <v/>
      </c>
      <c r="PU138" s="43" t="str">
        <f t="shared" si="548"/>
        <v/>
      </c>
      <c r="PV138" s="43" t="str">
        <f t="shared" si="549"/>
        <v/>
      </c>
      <c r="PW138" s="43" t="str">
        <f t="shared" si="550"/>
        <v/>
      </c>
      <c r="PX138" s="43" t="str">
        <f t="shared" si="551"/>
        <v/>
      </c>
      <c r="PY138" s="43" t="str">
        <f t="shared" si="552"/>
        <v/>
      </c>
      <c r="PZ138" s="43" t="str">
        <f t="shared" si="553"/>
        <v/>
      </c>
      <c r="QA138" s="43" t="str">
        <f t="shared" si="554"/>
        <v/>
      </c>
      <c r="QB138" s="43" t="str">
        <f t="shared" si="555"/>
        <v/>
      </c>
      <c r="QC138" s="43" t="str">
        <f t="shared" si="556"/>
        <v/>
      </c>
      <c r="QD138" s="43" t="str">
        <f t="shared" si="557"/>
        <v/>
      </c>
      <c r="QE138" s="43" t="str">
        <f t="shared" si="558"/>
        <v>NORMAL</v>
      </c>
      <c r="QF138" s="43" t="str">
        <f t="shared" si="559"/>
        <v/>
      </c>
      <c r="QG138" s="43" t="str">
        <f t="shared" si="560"/>
        <v/>
      </c>
      <c r="QH138" s="43" t="str">
        <f t="shared" si="561"/>
        <v/>
      </c>
      <c r="QI138" s="43" t="str">
        <f t="shared" si="562"/>
        <v/>
      </c>
      <c r="QJ138" s="43" t="str">
        <f t="shared" si="563"/>
        <v/>
      </c>
      <c r="QK138" s="43" t="str">
        <f t="shared" si="564"/>
        <v/>
      </c>
      <c r="QL138" s="43" t="str">
        <f t="shared" si="565"/>
        <v/>
      </c>
      <c r="QM138" s="43" t="str">
        <f t="shared" si="566"/>
        <v/>
      </c>
      <c r="QN138" s="43" t="str">
        <f t="shared" si="567"/>
        <v/>
      </c>
      <c r="QO138" s="43" t="str">
        <f t="shared" si="568"/>
        <v/>
      </c>
      <c r="QP138" s="43" t="str">
        <f t="shared" si="569"/>
        <v/>
      </c>
      <c r="QQ138" s="43" t="str">
        <f t="shared" si="570"/>
        <v/>
      </c>
      <c r="QR138" s="43">
        <f t="shared" si="670"/>
        <v>30</v>
      </c>
      <c r="QS138" s="43"/>
      <c r="QT138" s="21" t="str">
        <f t="shared" si="571"/>
        <v/>
      </c>
      <c r="QU138" s="21" t="str">
        <f t="shared" si="572"/>
        <v/>
      </c>
      <c r="QV138" s="21" t="str">
        <f t="shared" si="573"/>
        <v/>
      </c>
      <c r="QW138" s="21" t="str">
        <f t="shared" si="574"/>
        <v/>
      </c>
      <c r="QX138" s="21" t="str">
        <f t="shared" si="575"/>
        <v/>
      </c>
      <c r="QY138" s="21" t="str">
        <f t="shared" si="576"/>
        <v/>
      </c>
      <c r="QZ138" s="21" t="str">
        <f t="shared" si="577"/>
        <v/>
      </c>
      <c r="RA138" s="21" t="str">
        <f t="shared" si="578"/>
        <v/>
      </c>
      <c r="RB138" s="21" t="str">
        <f t="shared" si="579"/>
        <v/>
      </c>
      <c r="RC138" s="21" t="str">
        <f t="shared" si="580"/>
        <v/>
      </c>
      <c r="RD138" s="21" t="str">
        <f t="shared" si="581"/>
        <v/>
      </c>
      <c r="RE138" s="21" t="str">
        <f t="shared" si="582"/>
        <v/>
      </c>
      <c r="RF138" s="21" t="str">
        <f t="shared" si="583"/>
        <v/>
      </c>
      <c r="RG138" s="21" t="str">
        <f t="shared" si="584"/>
        <v/>
      </c>
      <c r="RH138" s="21" t="str">
        <f t="shared" si="585"/>
        <v/>
      </c>
      <c r="RI138" s="21" t="str">
        <f t="shared" si="586"/>
        <v/>
      </c>
      <c r="RJ138" s="21" t="str">
        <f t="shared" si="587"/>
        <v/>
      </c>
      <c r="RK138" s="21" t="str">
        <f t="shared" si="588"/>
        <v>ALTO PARA EDAD GESTACIONAL</v>
      </c>
      <c r="RL138" s="21" t="str">
        <f t="shared" si="589"/>
        <v/>
      </c>
      <c r="RM138" s="21" t="str">
        <f t="shared" si="590"/>
        <v/>
      </c>
      <c r="RN138" s="21" t="str">
        <f t="shared" si="591"/>
        <v/>
      </c>
      <c r="RO138" s="21" t="str">
        <f t="shared" si="592"/>
        <v/>
      </c>
      <c r="RP138" s="21" t="str">
        <f t="shared" si="593"/>
        <v/>
      </c>
      <c r="RQ138" s="21" t="str">
        <f t="shared" si="594"/>
        <v/>
      </c>
      <c r="RR138" s="21" t="str">
        <f t="shared" si="595"/>
        <v/>
      </c>
      <c r="RS138" s="21" t="str">
        <f t="shared" si="596"/>
        <v/>
      </c>
      <c r="RT138" s="21" t="str">
        <f t="shared" si="597"/>
        <v/>
      </c>
      <c r="RU138" s="21" t="str">
        <f t="shared" si="598"/>
        <v/>
      </c>
      <c r="RV138" s="21">
        <f t="shared" si="599"/>
        <v>11.571428571428571</v>
      </c>
      <c r="RW138" s="284">
        <f>IF(OR(Tabla1[[#This Row],[FUM FORMULA CONFIABLE]]="",Tabla1[[#This Row],[FUM FORMULA CONFIABLE]]="SD"),"",IF(Tabla1[[#This Row],[FUM FORMULA CONFIABLE]]="CORREGIDA",Tabla1[[#This Row],[FUM X ECO 1]],Tabla1[[#This Row],[FUM x AMENORREA]]))</f>
        <v>44935</v>
      </c>
      <c r="RX138" s="21">
        <f>IF(AND(Tabla1[[#This Row],[FUM X ECO 1]]="",Tabla1[[#This Row],[FUM x AMENORREA]]=""),"",IF(AND(Tabla1[[#This Row],[FUM X ECO 1]]="",Tabla1[[#This Row],[FUM x AMENORREA]]&lt;&gt;""),"X",SUM(Tabla1[[#This Row],[FUM X ECO 1]]-Tabla1[[#This Row],[FUM x AMENORREA]])))</f>
        <v>1.1999999999970896</v>
      </c>
      <c r="RY138" s="21">
        <f t="shared" si="671"/>
        <v>0</v>
      </c>
    </row>
    <row r="139" spans="1:493" ht="45" customHeight="1" x14ac:dyDescent="0.25">
      <c r="A139" s="109"/>
      <c r="B139" s="43"/>
      <c r="C139" s="43" t="s">
        <v>845</v>
      </c>
      <c r="D139" s="124"/>
      <c r="E139" s="43" t="s">
        <v>1410</v>
      </c>
      <c r="F139" s="43" t="s">
        <v>1411</v>
      </c>
      <c r="G139" s="43" t="s">
        <v>1412</v>
      </c>
      <c r="H139" s="43" t="s">
        <v>1028</v>
      </c>
      <c r="I139" s="109" t="s">
        <v>851</v>
      </c>
      <c r="J139" s="110">
        <v>1059595537</v>
      </c>
      <c r="K139" s="43" t="s">
        <v>852</v>
      </c>
      <c r="L139" s="175" t="s">
        <v>853</v>
      </c>
      <c r="M139" s="22">
        <v>38520</v>
      </c>
      <c r="N139" s="213">
        <f t="shared" ca="1" si="600"/>
        <v>18.391780821917809</v>
      </c>
      <c r="O139" s="22">
        <v>44995</v>
      </c>
      <c r="P139" s="214" t="str">
        <f t="shared" si="437"/>
        <v>SI</v>
      </c>
      <c r="Q139" s="26" t="s">
        <v>855</v>
      </c>
      <c r="R139" s="22">
        <v>44995</v>
      </c>
      <c r="S139" s="21" t="s">
        <v>856</v>
      </c>
      <c r="T139" s="24" t="s">
        <v>690</v>
      </c>
      <c r="U139" s="21" t="s">
        <v>857</v>
      </c>
      <c r="V139" s="21" t="s">
        <v>858</v>
      </c>
      <c r="W139" s="21" t="s">
        <v>911</v>
      </c>
      <c r="X139" s="21"/>
      <c r="Y139" s="21"/>
      <c r="Z139" s="21">
        <v>3216212210</v>
      </c>
      <c r="AA139" s="21" t="s">
        <v>860</v>
      </c>
      <c r="AB139" s="27" t="s">
        <v>861</v>
      </c>
      <c r="AC139" s="26" t="s">
        <v>888</v>
      </c>
      <c r="AD139" s="38" t="s">
        <v>1546</v>
      </c>
      <c r="AE139" s="26" t="s">
        <v>854</v>
      </c>
      <c r="AF139" s="26" t="s">
        <v>854</v>
      </c>
      <c r="AG139" s="23" t="s">
        <v>864</v>
      </c>
      <c r="AH139" s="23" t="s">
        <v>864</v>
      </c>
      <c r="AI139" s="24" t="s">
        <v>863</v>
      </c>
      <c r="AJ139" s="23" t="s">
        <v>864</v>
      </c>
      <c r="AK139" s="220" t="str">
        <f>IF(AND(AD139="",AE139="",AF139="",AG139="",AH139="",AI139="",AJ139=""),"",IF(OR(Tabla1[[#This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EVALUACIÓN",IF(AND(O139="",R139=""),"",IF(AND(OR(O139&gt;0,R139&gt;0),NG139&gt;=0,NG139&lt;2),"SIN RIESGO",IF(AND(OR(O139&gt;0,R139&gt;0),NG139&gt;=2),"CON RIESGO","ASD")))))</f>
        <v>SIN RIESGO</v>
      </c>
      <c r="AL139" s="23" t="s">
        <v>864</v>
      </c>
      <c r="AM139" s="26" t="s">
        <v>864</v>
      </c>
      <c r="AN139" s="26" t="s">
        <v>864</v>
      </c>
      <c r="AO139" s="26" t="s">
        <v>864</v>
      </c>
      <c r="AP139" s="26" t="s">
        <v>864</v>
      </c>
      <c r="AQ139" s="26" t="s">
        <v>864</v>
      </c>
      <c r="AR139" s="26" t="s">
        <v>864</v>
      </c>
      <c r="AS139" s="21">
        <v>0</v>
      </c>
      <c r="AT139" s="21">
        <v>0</v>
      </c>
      <c r="AU139" s="21">
        <v>0</v>
      </c>
      <c r="AV139" s="26" t="s">
        <v>864</v>
      </c>
      <c r="AW139" s="21">
        <v>0</v>
      </c>
      <c r="AX139" s="26" t="s">
        <v>864</v>
      </c>
      <c r="AY139" s="26" t="s">
        <v>864</v>
      </c>
      <c r="AZ139" s="26" t="s">
        <v>864</v>
      </c>
      <c r="BA139" s="26" t="s">
        <v>864</v>
      </c>
      <c r="BB139" s="26" t="s">
        <v>864</v>
      </c>
      <c r="BC139" s="26" t="s">
        <v>864</v>
      </c>
      <c r="BD139" s="26" t="s">
        <v>864</v>
      </c>
      <c r="BE139" s="26" t="s">
        <v>864</v>
      </c>
      <c r="BF139" s="26" t="s">
        <v>864</v>
      </c>
      <c r="BG139" s="26" t="s">
        <v>864</v>
      </c>
      <c r="BH139" s="26" t="s">
        <v>864</v>
      </c>
      <c r="BI139" s="26" t="s">
        <v>864</v>
      </c>
      <c r="BJ139" s="26" t="s">
        <v>864</v>
      </c>
      <c r="BK139" s="26" t="s">
        <v>865</v>
      </c>
      <c r="BL139" s="26" t="s">
        <v>864</v>
      </c>
      <c r="BM139" s="26" t="s">
        <v>864</v>
      </c>
      <c r="BN139" s="22"/>
      <c r="BO139" s="22">
        <v>44884</v>
      </c>
      <c r="BP139" s="21" t="s">
        <v>1380</v>
      </c>
      <c r="BQ139" s="222">
        <f t="shared" si="601"/>
        <v>0</v>
      </c>
      <c r="BR139" s="223">
        <f t="shared" si="602"/>
        <v>44908.9</v>
      </c>
      <c r="BS139" s="224">
        <f t="shared" si="603"/>
        <v>12.299999999999793</v>
      </c>
      <c r="BT139" s="216" t="str">
        <f t="shared" si="604"/>
        <v>II TRIM</v>
      </c>
      <c r="BU139" s="214" t="str">
        <f t="shared" ca="1" si="605"/>
        <v/>
      </c>
      <c r="BV139" s="25"/>
      <c r="BW139" s="22">
        <v>45016</v>
      </c>
      <c r="BX139" s="28">
        <v>15.3</v>
      </c>
      <c r="BY139" s="28"/>
      <c r="BZ139" s="22">
        <v>45016</v>
      </c>
      <c r="CA139" s="21">
        <v>18.600000000000001</v>
      </c>
      <c r="CB139" s="26" t="s">
        <v>864</v>
      </c>
      <c r="CC139" s="26" t="s">
        <v>864</v>
      </c>
      <c r="CD139" s="26"/>
      <c r="CE139" s="26" t="s">
        <v>864</v>
      </c>
      <c r="CF139" s="22" t="s">
        <v>1517</v>
      </c>
      <c r="CG139" s="21">
        <v>1.59</v>
      </c>
      <c r="CH139" s="21">
        <v>48.5</v>
      </c>
      <c r="CI139" s="214">
        <f t="shared" si="606"/>
        <v>19.184367706973614</v>
      </c>
      <c r="CJ139" s="225" t="e">
        <f>IF(AND(CI139&lt;10,CH139="SD"),"SIN DATO PESO PREGESTACION O I TRIM",IF(AND(OR(R139&gt;0,O139&gt;0),CI139="X"),"INGRESAR DATO DE PESO",IF(CI139="SD","INGRESAR DATO DE TALLA Y PESO",IF(AND(OR(Tabla1[[#This Row],[MOMENTO EN QUE SE REALIZA EL PESO AL INGRESO A CPN]]="PREGESTACIÓN",NZ139="Menor"),CI139&lt;18.5),"BAJO PESO",IF(AND(OR(Tabla1[[#This Row],[MOMENTO EN QUE SE REALIZA EL PESO AL INGRESO A CPN]]="PREGESTACIÓN",NZ139="Menor"),CI139&lt;25),"NORMAL",IF(AND(OR(Tabla1[[#This Row],[MOMENTO EN QUE SE REALIZA EL PESO AL INGRESO A CPN]]="PREGESTACIÓN",NZ139="Menor"),CI139&lt;30),"SOBREPESO",IF(AND(OR(Tabla1[[#This Row],[MOMENTO EN QUE SE REALIZA EL PESO AL INGRESO A CPN]]="PREGESTACIÓN",NZ139="Menor"),CI139&gt;=30,CI139&lt;50),"OBESIDAD",IF(AND(BS139&gt;0,Tabla1[[#This Row],[MOMENTO EN QUE SE REALIZA EL PESO AL INGRESO A CPN]]="GESTACIÓN"),HLOOKUP(NZ139,$OA$2:PH139,NY139),""))))))))</f>
        <v>#REF!</v>
      </c>
      <c r="CK139" s="212">
        <f t="shared" si="607"/>
        <v>45164</v>
      </c>
      <c r="CL139" s="21">
        <v>61.7</v>
      </c>
      <c r="CM139" s="214">
        <f t="shared" si="608"/>
        <v>24.405680155057155</v>
      </c>
      <c r="CN139" s="216">
        <f t="shared" si="609"/>
        <v>36</v>
      </c>
      <c r="CO139" s="216" t="e">
        <f>IF(PI139="","",IF(PI139&gt;0,HLOOKUP(PI139,$PJ$2:QQ139,NY139),""))</f>
        <v>#REF!</v>
      </c>
      <c r="CP139" s="21">
        <v>35</v>
      </c>
      <c r="CQ139" s="216" t="e">
        <f>IF(QR139="Menor","NO APLICA-MENOR 13 SEM",IF(AND(CC139="SI",CN139&gt;23),"NO APLICA- GEMELAR",IF(QR139="","",IF(QR139&gt;0,HLOOKUP(QR139,$QS$2:RU139,NY139),""))))</f>
        <v>#REF!</v>
      </c>
      <c r="CR139" s="21"/>
      <c r="CS139" s="21"/>
      <c r="CT139" s="217" t="str">
        <f>IF(R139="","",IF(AND(BS139&gt;1,BS139&lt;12,Tabla1[[#This Row],[T.A. SISTOLICA - ANTES DE SEMANA 12]]="",Tabla1[[#This Row],[T.A. DIASTOLICA - ANTES DE SEMANA 12]]=""),"REGISTRE DATO TA ANTES SEMANA 12",IF(AND(BS139&gt;11,BS139&lt;43,Tabla1[[#This Row],[T.A. SISTOLICA - ANTES DE SEMANA 12]]="",Tabla1[[#This Row],[T.A. DIASTOLICA - ANTES DE SEMANA 12]]=""),"NO APLICA REGISTRO TA-INGRESO TARDIO",IF(AND(OR(O139&gt;0,R139&gt;0),OR(CR139&gt;=140,CS139&gt;=90)),"DEFINIR ESTADIO HTA",IF(AND(OR(O139&gt;0,R139&gt;0),AND(CR139&gt;120,CR139&lt;=139)),"PRE HTA SEGUIMIENTO",IF(AND(OR(O139&gt;0,R139&gt;0),AND(CS139&gt;80,CS139&lt;=89)),"PRE HTA SEGUIMIENTO",IF(AND(OR(O139&gt;0,R139&gt;0),AND(CR139&gt;=80,CR139&lt;=120)),"APARENTEMENTE NORMAL",IF(AND(OR(O139&gt;0,R139&gt;0),AND(CS139&gt;=50,CS139&lt;=80)),"APARENTEMENTE NORMAL",IF(AND(OR(O139&gt;0,R139&gt;0),AND(CR139&gt;1,CR139&lt;=70),AND(CS139&gt;1,CS139&lt;=40)),"HIPOTENSIÓN","")))))))))</f>
        <v>NO APLICA REGISTRO TA-INGRESO TARDIO</v>
      </c>
      <c r="CU139" s="21">
        <v>100</v>
      </c>
      <c r="CV139" s="21">
        <v>60</v>
      </c>
      <c r="CW139" s="217" t="str">
        <f ca="1">IF(R139="","",IF(AND(CN139&gt;19,CN139&lt;27,Tabla1[[#This Row],[T.A. SISTOLICA (Entre semana 20 y 26)]]="",Tabla1[[#This Row],[T.A. DIATOLICA (Entre semana 20 y 26)]]=""),"ACUDE A CONTROL SEM 20 A 26 REGISTRE TA AHORA",IF(AND(BS139&gt;1,BS139&lt;27,BU139&gt;19,Tabla1[[#This Row],[T.A. SISTOLICA (Entre semana 20 y 26)]]="",Tabla1[[#This Row],[T.A. DIATOLICA (Entre semana 20 y 26)]]=""),"COMPLETE REGISTRO TA CONTROL SEM 20 A26 ",IF(AND(BS139&gt;26,BS139&lt;43,Tabla1[[#This Row],[T.A. SISTOLICA (Entre semana 20 y 26)]]="",Tabla1[[#This Row],[T.A. DIATOLICA (Entre semana 20 y 26)]]=""),"NO APLICA REGISTRO TA-INGRESO TARDIO",IF(AND(OR(O139&gt;0,R139&gt;0),OR(CU139&gt;=140,CV139&gt;=90)),"ALTO RIESGO PREECLAMPSIA,DEFINIR ESTADIO HTA",IF(AND(OR(O139&gt;0,R139&gt;0),AND(CU139&gt;120,CU139&lt;=139)),"PRE HTA SEGUIMIENTO,RIESGO HIPERTENSION INDUCIDA POR EL EMBARAZO",IF(AND(OR(O139&gt;0,R139&gt;0),AND(CV139&gt;80,CV139&lt;=89)),"PRE HTA SEGUIMIENTO, RIESGO HIPERTENSION INDUCIDA POR EL EMBARAZO",IF(AND(OR(O139&lt;&gt;"",R139&lt;&gt;""),CS139&lt;&gt;"",CV139&lt;&gt;"",CS139&lt;=CV139),"VIGILAR CIFRAS PRESION ARTERIAL",IF(AND(OR(O139&gt;0,R139&gt;0),AND(CU139&gt;120,CU139&lt;=139)),"PRE HTA SEGUIMIENTO",IF(AND(OR(O139&gt;0,R139&gt;0),AND(CU139&gt;1,CU139&lt;=70),AND(CV139&gt;1,CV139&lt;=40)),"HIPOTENSIÓN",IF(AND(OR(O139&lt;&gt;"",R139&lt;&gt;""),CS139&lt;&gt;"",CV139&lt;&gt;"",CS139&gt;CV139),"APARENTEMENTE NORMAL",IF(AND(OR(O139&gt;0,R139&gt;0),AND(CU139&gt;=80,CU139&lt;=120)),"APARENTEMENTE NORMAL",IF(AND(OR(O139&gt;0,R139&gt;0),AND(CV139&gt;=50,CV139&lt;=80)),"APARENTEMENTE NORMAL","")))))))))))))</f>
        <v>APARENTEMENTE NORMAL</v>
      </c>
      <c r="CX139" s="21"/>
      <c r="CY139" s="21"/>
      <c r="CZ139" s="216" t="str">
        <f t="shared" si="498"/>
        <v/>
      </c>
      <c r="DA139" s="21">
        <v>90</v>
      </c>
      <c r="DB139" s="21">
        <v>60</v>
      </c>
      <c r="DC139" s="217" t="str">
        <f t="shared" si="610"/>
        <v>VIGILAR CIFRAS PRESION ARTERIAL</v>
      </c>
      <c r="DD139" s="22">
        <v>44995</v>
      </c>
      <c r="DE139" s="22">
        <v>44995</v>
      </c>
      <c r="DF139" s="22">
        <v>45027</v>
      </c>
      <c r="DG139" s="22">
        <v>45061</v>
      </c>
      <c r="DH139" s="22"/>
      <c r="DI139" s="22">
        <v>45141</v>
      </c>
      <c r="DJ139" s="22">
        <v>45164</v>
      </c>
      <c r="DK139" s="22"/>
      <c r="DL139" s="22"/>
      <c r="DM139" s="22"/>
      <c r="DN139" s="22"/>
      <c r="DO139" s="22"/>
      <c r="DP139" s="22"/>
      <c r="DQ139" s="22"/>
      <c r="DR139" s="28">
        <v>1</v>
      </c>
      <c r="DS139" s="22"/>
      <c r="DT139" s="22"/>
      <c r="DU139" s="216" t="str">
        <f t="shared" ca="1" si="438"/>
        <v>CONCERTAR PLAN DE PARTO INMEDIATO</v>
      </c>
      <c r="DV139" s="226" t="str">
        <f t="shared" si="439"/>
        <v>ACTIVA INGRESO A CPN</v>
      </c>
      <c r="DW1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39" s="216" t="e">
        <f t="shared" ca="1" si="611"/>
        <v>#REF!</v>
      </c>
      <c r="DY139" s="212">
        <f>IF(R139="","",IF(R139&gt;0,MAX(Tabla1[[#This Row],[FECHA C2]:[FECHA C13]],Tabla1[[#This Row],[FECHA CONSULTA PRIMERA VEZ PROGRAMA CPN ]])))</f>
        <v>45164</v>
      </c>
      <c r="DZ139" s="216">
        <f t="shared" si="612"/>
        <v>36</v>
      </c>
      <c r="EA139" s="222">
        <f>IF(R139&gt;0,SUM(COUNTA(DF139:DQ139)+COUNTA(Tabla1[[#This Row],[FECHA CONSULTA PRIMERA VEZ PROGRAMA CPN ]])),"")</f>
        <v>5</v>
      </c>
      <c r="EB139" s="222" t="str">
        <f t="shared" si="613"/>
        <v>SI</v>
      </c>
      <c r="EC139" s="214">
        <f t="shared" si="614"/>
        <v>8</v>
      </c>
      <c r="ED139" s="227">
        <f t="shared" si="615"/>
        <v>0.625</v>
      </c>
      <c r="EE139" s="22">
        <v>44995</v>
      </c>
      <c r="EF139" s="22">
        <v>44995</v>
      </c>
      <c r="EG139" s="22">
        <v>44995</v>
      </c>
      <c r="EH139" s="22"/>
      <c r="EI139" s="22">
        <v>44995</v>
      </c>
      <c r="EJ139" s="22">
        <v>45140</v>
      </c>
      <c r="EK139" s="22"/>
      <c r="EL139" s="21"/>
      <c r="EM139" s="21">
        <v>13.1</v>
      </c>
      <c r="EN139" s="22">
        <v>44995</v>
      </c>
      <c r="EO139" s="222">
        <f t="shared" si="616"/>
        <v>12.299999999999793</v>
      </c>
      <c r="EP139" s="214" t="str">
        <f t="shared" si="617"/>
        <v>NORMAL- SUMINISTRAR SULFATO FERROSO</v>
      </c>
      <c r="EQ139" s="216" t="str">
        <f t="shared" si="618"/>
        <v>I TRIM</v>
      </c>
      <c r="ER139" s="24"/>
      <c r="ES139" s="22"/>
      <c r="ET139" s="29" t="str">
        <f t="shared" ca="1" si="440"/>
        <v>TOMA DE HEMOGLOBINA TARDÍA</v>
      </c>
      <c r="EU139" s="25" t="str">
        <f t="shared" si="619"/>
        <v/>
      </c>
      <c r="EV139" s="24" t="s">
        <v>1510</v>
      </c>
      <c r="EW139" s="32">
        <v>44995</v>
      </c>
      <c r="EX139" s="22"/>
      <c r="EY139" s="29">
        <f t="shared" si="453"/>
        <v>12.299999999999793</v>
      </c>
      <c r="EZ139" s="25" t="str">
        <f t="shared" si="454"/>
        <v>SIN RIESGO DE ISOINMUNIZACIÓN</v>
      </c>
      <c r="FA139" s="21">
        <v>85</v>
      </c>
      <c r="FB139" s="22">
        <v>44995</v>
      </c>
      <c r="FC139" s="29">
        <f t="shared" si="620"/>
        <v>12.299999999999793</v>
      </c>
      <c r="FD139" s="29"/>
      <c r="FE139" s="29"/>
      <c r="FF139" s="29"/>
      <c r="FG139" s="21" t="str">
        <f t="shared" ca="1" si="621"/>
        <v/>
      </c>
      <c r="FH139" s="31"/>
      <c r="FI139" s="29" t="str">
        <f t="shared" si="622"/>
        <v>TOMAR EXAMEN</v>
      </c>
      <c r="FJ139" s="22"/>
      <c r="FK139" s="22"/>
      <c r="FL139" s="29" t="str">
        <f t="shared" ca="1" si="623"/>
        <v>PIERDE TOMA DE TAMIZAJE</v>
      </c>
      <c r="FM139" s="22" t="s">
        <v>867</v>
      </c>
      <c r="FN139" s="32">
        <v>44995</v>
      </c>
      <c r="FO139" s="29" t="str">
        <f t="shared" ca="1" si="441"/>
        <v>REGISTRAR EN I TRIMESTRE</v>
      </c>
      <c r="FP139" s="22"/>
      <c r="FQ139" s="32"/>
      <c r="FR139" s="29" t="str">
        <f t="shared" ca="1" si="442"/>
        <v>TOMA INMEDIATA DE TAMIZAJE</v>
      </c>
      <c r="FS139" s="22"/>
      <c r="FT139" s="32"/>
      <c r="FU139" s="29" t="str">
        <f>IF(AND(FJ139="",FM139="",FP139="",FS139=""),"",IF(OR(OR(Tabla1[[#This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39" s="28"/>
      <c r="FW139" s="22"/>
      <c r="FX139" s="29" t="str">
        <f t="shared" si="624"/>
        <v>TOMAR EXAMEN</v>
      </c>
      <c r="FY139" s="22">
        <v>44995</v>
      </c>
      <c r="FZ139" s="22">
        <v>44995</v>
      </c>
      <c r="GA139" s="29">
        <f t="shared" ca="1" si="497"/>
        <v>12.299999999999793</v>
      </c>
      <c r="GB139" s="22" t="s">
        <v>868</v>
      </c>
      <c r="GC139" s="22">
        <v>44995</v>
      </c>
      <c r="GD139" s="29" t="str">
        <f t="shared" ca="1" si="490"/>
        <v>REGISTRAR EN I TRIMESTRE</v>
      </c>
      <c r="GE139" s="22"/>
      <c r="GF139" s="22"/>
      <c r="GG139" s="29" t="str">
        <f t="shared" ca="1" si="444"/>
        <v>TOMA INMEDIATA DE TAMIZAJE</v>
      </c>
      <c r="GH139" s="22"/>
      <c r="GI139" s="29"/>
      <c r="GJ139" s="22"/>
      <c r="GK139" s="22"/>
      <c r="GL139" s="22"/>
      <c r="GM139" s="22"/>
      <c r="GN139" s="28"/>
      <c r="GO139" s="22"/>
      <c r="GP139" s="29" t="str">
        <f t="shared" si="625"/>
        <v>TOMAR EXAMEN</v>
      </c>
      <c r="GQ139" s="28" t="s">
        <v>880</v>
      </c>
      <c r="GR139" s="28" t="s">
        <v>869</v>
      </c>
      <c r="GS139" s="22" t="str">
        <f t="shared" si="626"/>
        <v>SE EXCLUYE INFECCION</v>
      </c>
      <c r="GT139" s="22">
        <v>44995</v>
      </c>
      <c r="GU139" s="29">
        <f t="shared" si="627"/>
        <v>15.857142857142858</v>
      </c>
      <c r="GV139" s="21" t="str">
        <f t="shared" si="628"/>
        <v>II TRIM</v>
      </c>
      <c r="GW139" s="28" t="s">
        <v>869</v>
      </c>
      <c r="GX139" s="30"/>
      <c r="GY139" s="21"/>
      <c r="GZ139" s="21"/>
      <c r="HA139" s="21"/>
      <c r="HB139" s="21"/>
      <c r="HC139" s="21"/>
      <c r="HD139" s="21"/>
      <c r="HE139" s="21"/>
      <c r="HF139" s="22"/>
      <c r="HG139" s="22" t="str">
        <f>IF(OR(O139&gt;0,R139&gt;0),CONCATENATE(IF(Tabla1[[#This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39" s="22" t="e">
        <f t="shared" si="629"/>
        <v>#REF!</v>
      </c>
      <c r="HI139" s="22" t="e">
        <f t="shared" ca="1" si="630"/>
        <v>#REF!</v>
      </c>
      <c r="HJ139" s="21"/>
      <c r="HK139" s="21" t="str">
        <f t="shared" si="631"/>
        <v>SIN ANTECEDENTES DE RIESGO</v>
      </c>
      <c r="HL139" s="24" t="str">
        <f t="shared" si="632"/>
        <v>VIGILAR CIFRAS PRESION ARTERIAL</v>
      </c>
      <c r="HM139" s="21" t="e">
        <f t="shared" ca="1" si="633"/>
        <v>#REF!</v>
      </c>
      <c r="HN139" s="30" t="str">
        <f t="shared" si="445"/>
        <v>ACTIVA INGRESO A CPN</v>
      </c>
      <c r="HO139" s="21"/>
      <c r="HP139" s="21"/>
      <c r="HQ139" s="21">
        <v>44995</v>
      </c>
      <c r="HR139" s="21" t="str">
        <f>IF(R139="","",IF(Tabla1[[#This Row],[ALARMA FACTORES DE RIESGO COMPLICACIONES HIPERTENSIVAS3]]="SIN ANTECEDENTES DE RIESGO","No Aplica para suministro de ASA",IF(AND(Tabla1[[#This Row],[FECHA INICIO DE SUMINISTRO DE ASA]]&gt;0,RV139&lt;12),"Inicia ASA ANTES de Sem 12",IF(AND(RV139&gt;11,RV139&lt;17,OR(HK139="RIESGO ALTO DE COMPLICACIONES HIPERTENSIVAS VER MANEJO GUIA SUMINISTRO ASA Y CALCIO",HK139="RIESGO MODERADO (2 O MAS CRITERIOS) VER MANEJO GUIA SUMINISTRO ASA Y CALCIO")),"Inicio oportuno de ASA",IF(AND(RV139&gt;12,OR(HK139="RIESGO ALTO DE COMPLICACIONES HIPERTENSIVAS VER MANEJO GUIA SUMINISTRO ASA Y CALCIO",HK139="RIESGO MODERADO (2 O MAS CRITERIOS) VER MANEJO GUIA SUMINISTRO ASA Y CALCIO")),"Inicio no oportuno mayor a 16 semanas",IF(AND(BU139&lt;12,OR(HK139="RIESGO ALTO DE COMPLICACIONES HIPERTENSIVAS VER MANEJO GUIA SUMINISTRO ASA Y CALCIO",HK139="RIESGO MODERADO (2 O MAS CRITERIOS) VER MANEJO GUIA SUMINISTRO ASA Y CALCIO")),"Pendiente Inicio de ASA a la semana 12",IF(AND(BU139&gt;11,BU139&lt;17,OR(HK139="RIESGO ALTO DE COMPLICACIONES HIPERTENSIVAS VER MANEJO GUIA SUMINISTRO ASA Y CALCIO",HK139="RIESGO MODERADO (2 O MAS CRITERIOS) VER MANEJO GUIA SUMINISTRO ASA Y CALCIO")),"Iniciar de inmediato ASA",IF(AND(BU139&gt;16,OR(HK139="RIESGO ALTO DE COMPLICACIONES HIPERTENSIVAS VER MANEJO GUIA SUMINISTRO ASA Y CALCIO",HK139="RIESGO MODERADO (2 O MAS CRITERIOS) VER MANEJO GUIA SUMINISTRO ASA Y CALCIO")),"Pierde Oportunidad, Inicio tardío de ASA","XXXXX"))))))))</f>
        <v>No Aplica para suministro de ASA</v>
      </c>
      <c r="HS139" s="22">
        <v>44995</v>
      </c>
      <c r="HT139" s="22" t="s">
        <v>870</v>
      </c>
      <c r="HU139" s="22">
        <v>44995</v>
      </c>
      <c r="HV139" s="22" t="s">
        <v>870</v>
      </c>
      <c r="HW139" s="22">
        <v>44995</v>
      </c>
      <c r="HX139" s="22" t="s">
        <v>870</v>
      </c>
      <c r="HY139" s="22">
        <v>44995</v>
      </c>
      <c r="HZ139" s="28">
        <f t="shared" si="634"/>
        <v>12.299999999999793</v>
      </c>
      <c r="IA139" s="26" t="s">
        <v>864</v>
      </c>
      <c r="IB139" s="26"/>
      <c r="IC139" s="111"/>
      <c r="ID139" s="22"/>
      <c r="IE139" s="22" t="str">
        <f t="shared" ca="1" si="635"/>
        <v/>
      </c>
      <c r="IF139" s="22"/>
      <c r="IG139" s="22">
        <f t="shared" si="636"/>
        <v>45188.9</v>
      </c>
      <c r="IH139" s="29">
        <f t="shared" ca="1" si="637"/>
        <v>-44.099999999998545</v>
      </c>
      <c r="II139" s="22" t="str">
        <f t="shared" ca="1" si="638"/>
        <v>POSIBLEMENTE NACIO</v>
      </c>
      <c r="IJ139" s="22"/>
      <c r="IK139" s="21"/>
      <c r="IL139" s="21"/>
      <c r="IM139" s="34"/>
      <c r="IN139" s="349"/>
      <c r="IO139" s="21"/>
      <c r="IP139" s="29" t="str">
        <f t="shared" ref="IP139:IP170" si="672">IF(AND(IN139&gt;0,IK139&lt;&gt;""),SUM(IN139-RW139)/7,"")</f>
        <v/>
      </c>
      <c r="IQ139" s="35"/>
      <c r="IR139" s="21"/>
      <c r="IS139" s="21"/>
      <c r="IT139" s="21"/>
      <c r="IU139" s="21"/>
      <c r="IV139" s="21"/>
      <c r="IW139" s="21"/>
      <c r="IX139" s="21"/>
      <c r="IY139" s="21"/>
      <c r="IZ139" s="21"/>
      <c r="JA139" s="21"/>
      <c r="JB139" s="30"/>
      <c r="JC139" s="21"/>
      <c r="JD139" s="36"/>
      <c r="JE139" s="21" t="str">
        <f t="shared" si="491"/>
        <v/>
      </c>
      <c r="JF139" s="30"/>
      <c r="JG139" s="21"/>
      <c r="JH139" s="21"/>
      <c r="JI139" s="21"/>
      <c r="JJ139" s="30"/>
      <c r="JK139" s="22"/>
      <c r="JL139" s="22"/>
      <c r="JM139" s="21"/>
      <c r="JN139" s="36"/>
      <c r="JO139" s="21" t="str">
        <f t="shared" si="492"/>
        <v/>
      </c>
      <c r="JP139" s="22"/>
      <c r="JQ139" s="21"/>
      <c r="JR139" s="21"/>
      <c r="JS139" s="21"/>
      <c r="JT139" s="30"/>
      <c r="JU139" s="22"/>
      <c r="JV139" s="22"/>
      <c r="JW139" s="33"/>
      <c r="JX139" s="28" t="str">
        <f t="shared" si="493"/>
        <v/>
      </c>
      <c r="JY139" s="33"/>
      <c r="JZ139" s="28" t="str">
        <f t="shared" si="494"/>
        <v/>
      </c>
      <c r="KA139" s="21"/>
      <c r="KB139" s="21"/>
      <c r="KC139" s="21"/>
      <c r="KD139" s="37"/>
      <c r="KE139" s="28"/>
      <c r="KF139" s="28"/>
      <c r="KG139" s="28"/>
      <c r="KH139" s="39"/>
      <c r="KI139" s="39"/>
      <c r="KJ139" s="66"/>
      <c r="KK139" s="39"/>
      <c r="KL139" s="39"/>
      <c r="KM139" s="66"/>
      <c r="KN139" s="39"/>
      <c r="KO139" s="39"/>
      <c r="KP139" s="39"/>
      <c r="KQ139" s="39"/>
      <c r="KR139" s="39"/>
      <c r="KS139" s="39"/>
      <c r="KT139" s="39"/>
      <c r="KU139" s="38"/>
      <c r="KV139" s="38"/>
      <c r="KW139" s="38"/>
      <c r="KX139" s="38"/>
      <c r="KY139" s="38"/>
      <c r="KZ139" s="38"/>
      <c r="LA139" s="38"/>
      <c r="LB139" s="38"/>
      <c r="LC139" s="38"/>
      <c r="LD139" s="38"/>
      <c r="LE139" s="38"/>
      <c r="LF139" s="38"/>
      <c r="LG139" s="38"/>
      <c r="LH139" s="38"/>
      <c r="LI139" s="38"/>
      <c r="LJ139" s="38"/>
      <c r="LK139" s="38"/>
      <c r="LL139" s="38"/>
      <c r="LM139" s="38"/>
      <c r="LN139" s="38"/>
      <c r="LO139" s="38"/>
      <c r="LP139" s="38"/>
      <c r="LQ139" s="38"/>
      <c r="LR139" s="38"/>
      <c r="LS139" s="38"/>
      <c r="LT139" s="38"/>
      <c r="LU139" s="38"/>
      <c r="LV139" s="38"/>
      <c r="LW139" s="38"/>
      <c r="LX139" s="38"/>
      <c r="LY139" s="38"/>
      <c r="LZ139" s="38"/>
      <c r="MA139" s="38"/>
      <c r="MB139" s="38"/>
      <c r="MC139" s="38"/>
      <c r="MD139" s="38"/>
      <c r="ME139" s="38"/>
      <c r="MF139" s="38"/>
      <c r="MG139" s="38"/>
      <c r="MH139" s="43">
        <f t="shared" si="639"/>
        <v>0</v>
      </c>
      <c r="MI139" s="43" t="str">
        <f t="shared" si="640"/>
        <v/>
      </c>
      <c r="MJ139" s="43" t="str">
        <f t="shared" si="641"/>
        <v/>
      </c>
      <c r="MK139" s="43">
        <f t="shared" si="642"/>
        <v>0</v>
      </c>
      <c r="ML1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39" s="43">
        <f t="shared" si="643"/>
        <v>12.299999999999793</v>
      </c>
      <c r="MN139" s="43">
        <f t="shared" si="644"/>
        <v>3</v>
      </c>
      <c r="MO139" s="43">
        <f t="shared" si="645"/>
        <v>2023</v>
      </c>
      <c r="MP139" s="43" t="str">
        <f t="shared" si="646"/>
        <v>I TRIMESTRE AÑO</v>
      </c>
      <c r="MQ139" s="43">
        <f t="shared" si="647"/>
        <v>17.474266316250546</v>
      </c>
      <c r="MR139" s="43">
        <f t="shared" si="648"/>
        <v>0</v>
      </c>
      <c r="MS139" s="43" t="str">
        <f t="shared" si="649"/>
        <v>DE 14 A 19AÑOS</v>
      </c>
      <c r="MT139" s="43">
        <f t="shared" si="650"/>
        <v>0</v>
      </c>
      <c r="MU139" s="43">
        <f t="shared" si="651"/>
        <v>1</v>
      </c>
      <c r="MV139" s="43">
        <f t="shared" si="652"/>
        <v>0</v>
      </c>
      <c r="MW139" s="43">
        <f t="shared" si="653"/>
        <v>0</v>
      </c>
      <c r="MX139" s="43" t="str">
        <f t="shared" si="654"/>
        <v/>
      </c>
      <c r="MY139" s="43" t="str">
        <f t="shared" ca="1" si="495"/>
        <v/>
      </c>
      <c r="MZ139" s="43" t="str">
        <f t="shared" si="655"/>
        <v/>
      </c>
      <c r="NA139" s="43" t="str">
        <f t="shared" si="656"/>
        <v/>
      </c>
      <c r="NB139" s="43" t="str">
        <f t="shared" si="657"/>
        <v/>
      </c>
      <c r="NC139" s="43" t="str">
        <f t="shared" si="658"/>
        <v/>
      </c>
      <c r="ND139" s="43">
        <f t="shared" ca="1" si="659"/>
        <v>1</v>
      </c>
      <c r="NE139" s="43">
        <f>IF(OR(O139&gt;0,R139&gt;0),SUM(COUNTIF(Tabla1[[#This Row],[AÑOS AL INICIO5 CPN]],"&gt;=40"),COUNTIF(AS139,"0"),COUNTIF(AR139,"SI"),COUNTIF(CC139,"SI"),COUNTIF(BQ139,"&gt;119"),COUNTIF(CI139,"&gt;=35")),"")</f>
        <v>1</v>
      </c>
      <c r="NF139" s="43" t="str">
        <f t="shared" si="660"/>
        <v/>
      </c>
      <c r="NG139" s="43">
        <f t="shared" si="661"/>
        <v>0</v>
      </c>
      <c r="NH139" s="43">
        <f t="shared" si="662"/>
        <v>107.10000000000001</v>
      </c>
      <c r="NI1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CPN",P139="NO"),"Z",IF(AND(Tabla1[[#This Row],[CITA PROXIMO CONTROL]]="CITA MANUAL",Tabla1[[#This Row],[GESTANTES ACTUALES]]="ACTIVA INGRESO A CPN"),"W",IF(AND(Tabla1[[#This Row],[GESTANTES ACTUALES]]="SALIO PROGRAMA",IN139=""),"S",IF(AND(Tabla1[[#This Row],[CITA PROXIMO CONTROL]]&gt;0,IN139=""),(Tabla1[[#This Row],[CITA PROXIMO CONTROL]]-TODAY()),"SD"))))))))</f>
        <v>#REF!</v>
      </c>
      <c r="NJ139" s="43">
        <f>MONTH(Tabla1[[#This Row],[FECHA DE SALIDA  DEL PROGRAMA]])</f>
        <v>1</v>
      </c>
      <c r="NK139" s="43">
        <f>YEAR(Tabla1[[#This Row],[FECHA DE SALIDA  DEL PROGRAMA]])</f>
        <v>1900</v>
      </c>
      <c r="NL139" s="43">
        <f t="shared" si="663"/>
        <v>145</v>
      </c>
      <c r="NM139" s="43" t="str">
        <f t="shared" si="500"/>
        <v>NO</v>
      </c>
      <c r="NN139" s="43" t="str">
        <f ca="1">IF(AND(O139&gt;0,R139=""),"NO CPN",IF(AND(O139="",R139=""),"",IF(AND(R139&gt;0,Tabla1[[#This Row],[SEMANAS DE GESTACION ACTUALIZADAS]]&lt;=12),"NO APLICA",IF(AND(FH139&lt;&gt;"",FN139&lt;&gt;""),"SI","NO"))))</f>
        <v>NO</v>
      </c>
      <c r="NO139" s="43" t="str">
        <f ca="1">IF(AND(O139&gt;0,R139=""),"NO CPN",IF(AND(O139="",R139=""),"",IF(AND(R139&gt;0,Tabla1[[#This Row],[SEMANAS DE GESTACION ACTUALIZADAS]]&lt;=27),"NO APLICA",IF(AND(ES139&lt;&gt;"",FQ139&lt;&gt;"",GF139&lt;&gt;""),"SI","NO"))))</f>
        <v>NO</v>
      </c>
      <c r="NP139" s="204" t="str">
        <f t="shared" si="664"/>
        <v>II TRIM</v>
      </c>
      <c r="NQ139" s="21">
        <f t="shared" si="499"/>
        <v>1</v>
      </c>
      <c r="NR139" s="21" t="str">
        <f t="shared" ca="1" si="496"/>
        <v>REVISAR FUM O FECHA SALIDA PROGRAMA</v>
      </c>
      <c r="NS139" s="205">
        <f t="shared" ca="1" si="665"/>
        <v>0</v>
      </c>
      <c r="NT139" s="21">
        <f t="shared" ca="1" si="666"/>
        <v>1</v>
      </c>
      <c r="NU139" s="21" t="str">
        <f t="shared" ca="1" si="667"/>
        <v>POR DEFINIR</v>
      </c>
      <c r="NV139" s="21" t="str">
        <f t="shared" ca="1" si="668"/>
        <v>POR DEFINIR</v>
      </c>
      <c r="NW139" s="206" t="str">
        <f>IF(AND(O139="",R139=""),"",IF(OR(AND(Tabla1[[#This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39" s="207" t="str">
        <f t="shared" ca="1" si="669"/>
        <v>SIN VACUNAR</v>
      </c>
      <c r="NY139" s="43">
        <f>ROW(Tabla1[[#This Row],['# DE TAMIZAJES SIFILIS TOMADOS ]])</f>
        <v>139</v>
      </c>
      <c r="NZ139" s="43">
        <f t="shared" si="501"/>
        <v>12</v>
      </c>
      <c r="OA139" s="43" t="str">
        <f t="shared" si="502"/>
        <v/>
      </c>
      <c r="OB139" s="43" t="str">
        <f t="shared" si="503"/>
        <v/>
      </c>
      <c r="OC139" s="43" t="str">
        <f t="shared" si="504"/>
        <v/>
      </c>
      <c r="OD139" s="43" t="str">
        <f t="shared" si="505"/>
        <v>BAJO PESO</v>
      </c>
      <c r="OE139" s="43" t="str">
        <f t="shared" si="506"/>
        <v/>
      </c>
      <c r="OF139" s="43" t="str">
        <f t="shared" si="507"/>
        <v/>
      </c>
      <c r="OG139" s="43" t="str">
        <f t="shared" si="508"/>
        <v/>
      </c>
      <c r="OH139" s="43" t="str">
        <f t="shared" si="509"/>
        <v/>
      </c>
      <c r="OI139" s="43" t="str">
        <f t="shared" si="510"/>
        <v/>
      </c>
      <c r="OJ139" s="43" t="str">
        <f t="shared" si="511"/>
        <v/>
      </c>
      <c r="OK139" s="43" t="str">
        <f t="shared" si="512"/>
        <v/>
      </c>
      <c r="OL139" s="43" t="str">
        <f t="shared" si="513"/>
        <v/>
      </c>
      <c r="OM139" s="43" t="str">
        <f t="shared" si="514"/>
        <v/>
      </c>
      <c r="ON139" s="43" t="str">
        <f t="shared" si="515"/>
        <v/>
      </c>
      <c r="OO139" s="43" t="str">
        <f t="shared" si="516"/>
        <v/>
      </c>
      <c r="OP139" s="43" t="str">
        <f t="shared" si="517"/>
        <v/>
      </c>
      <c r="OQ139" s="43" t="str">
        <f t="shared" si="518"/>
        <v/>
      </c>
      <c r="OR139" s="43" t="str">
        <f t="shared" si="519"/>
        <v/>
      </c>
      <c r="OS139" s="43" t="str">
        <f t="shared" si="520"/>
        <v/>
      </c>
      <c r="OT139" s="43" t="str">
        <f t="shared" si="521"/>
        <v/>
      </c>
      <c r="OU139" s="43" t="str">
        <f t="shared" si="522"/>
        <v/>
      </c>
      <c r="OV139" s="110" t="str">
        <f t="shared" si="523"/>
        <v/>
      </c>
      <c r="OW139" s="43" t="str">
        <f t="shared" si="524"/>
        <v/>
      </c>
      <c r="OX139" s="43" t="str">
        <f t="shared" si="525"/>
        <v/>
      </c>
      <c r="OY139" s="43" t="str">
        <f t="shared" si="526"/>
        <v/>
      </c>
      <c r="OZ139" s="43" t="str">
        <f t="shared" si="527"/>
        <v/>
      </c>
      <c r="PA139" s="43" t="str">
        <f t="shared" si="528"/>
        <v/>
      </c>
      <c r="PB139" s="43" t="str">
        <f t="shared" si="529"/>
        <v/>
      </c>
      <c r="PC139" s="43" t="str">
        <f t="shared" si="530"/>
        <v/>
      </c>
      <c r="PD139" s="43" t="str">
        <f t="shared" si="531"/>
        <v/>
      </c>
      <c r="PE139" s="43" t="str">
        <f t="shared" si="532"/>
        <v/>
      </c>
      <c r="PF139" s="43" t="str">
        <f t="shared" si="533"/>
        <v/>
      </c>
      <c r="PG139" s="43" t="str">
        <f t="shared" si="534"/>
        <v/>
      </c>
      <c r="PH139" s="43" t="str">
        <f t="shared" si="535"/>
        <v/>
      </c>
      <c r="PI139" s="43">
        <f t="shared" si="536"/>
        <v>36</v>
      </c>
      <c r="PJ139" s="43" t="str">
        <f t="shared" si="537"/>
        <v/>
      </c>
      <c r="PK139" s="43" t="str">
        <f t="shared" si="538"/>
        <v/>
      </c>
      <c r="PL139" s="43" t="str">
        <f t="shared" si="539"/>
        <v/>
      </c>
      <c r="PM139" s="43" t="str">
        <f t="shared" si="540"/>
        <v/>
      </c>
      <c r="PN139" s="43" t="str">
        <f t="shared" si="541"/>
        <v/>
      </c>
      <c r="PO139" s="43" t="str">
        <f t="shared" si="542"/>
        <v/>
      </c>
      <c r="PP139" s="43" t="str">
        <f t="shared" si="543"/>
        <v/>
      </c>
      <c r="PQ139" s="43" t="str">
        <f t="shared" si="544"/>
        <v/>
      </c>
      <c r="PR139" s="43" t="str">
        <f t="shared" si="545"/>
        <v/>
      </c>
      <c r="PS139" s="43" t="str">
        <f t="shared" si="546"/>
        <v/>
      </c>
      <c r="PT139" s="43" t="str">
        <f t="shared" si="547"/>
        <v/>
      </c>
      <c r="PU139" s="43" t="str">
        <f t="shared" si="548"/>
        <v/>
      </c>
      <c r="PV139" s="43" t="str">
        <f t="shared" si="549"/>
        <v/>
      </c>
      <c r="PW139" s="43" t="str">
        <f t="shared" si="550"/>
        <v/>
      </c>
      <c r="PX139" s="43" t="str">
        <f t="shared" si="551"/>
        <v/>
      </c>
      <c r="PY139" s="43" t="str">
        <f t="shared" si="552"/>
        <v/>
      </c>
      <c r="PZ139" s="43" t="str">
        <f t="shared" si="553"/>
        <v/>
      </c>
      <c r="QA139" s="43" t="str">
        <f t="shared" si="554"/>
        <v/>
      </c>
      <c r="QB139" s="43" t="str">
        <f t="shared" si="555"/>
        <v/>
      </c>
      <c r="QC139" s="43" t="str">
        <f t="shared" si="556"/>
        <v/>
      </c>
      <c r="QD139" s="43" t="str">
        <f t="shared" si="557"/>
        <v/>
      </c>
      <c r="QE139" s="43" t="str">
        <f t="shared" si="558"/>
        <v/>
      </c>
      <c r="QF139" s="43" t="str">
        <f t="shared" si="559"/>
        <v/>
      </c>
      <c r="QG139" s="43" t="str">
        <f t="shared" si="560"/>
        <v/>
      </c>
      <c r="QH139" s="43" t="str">
        <f t="shared" si="561"/>
        <v/>
      </c>
      <c r="QI139" s="43" t="str">
        <f t="shared" si="562"/>
        <v/>
      </c>
      <c r="QJ139" s="43" t="str">
        <f t="shared" si="563"/>
        <v/>
      </c>
      <c r="QK139" s="43" t="str">
        <f t="shared" si="564"/>
        <v>NORMAL</v>
      </c>
      <c r="QL139" s="43" t="str">
        <f t="shared" si="565"/>
        <v/>
      </c>
      <c r="QM139" s="43" t="str">
        <f t="shared" si="566"/>
        <v/>
      </c>
      <c r="QN139" s="43" t="str">
        <f t="shared" si="567"/>
        <v/>
      </c>
      <c r="QO139" s="43" t="str">
        <f t="shared" si="568"/>
        <v/>
      </c>
      <c r="QP139" s="43" t="str">
        <f t="shared" si="569"/>
        <v/>
      </c>
      <c r="QQ139" s="43" t="str">
        <f t="shared" si="570"/>
        <v/>
      </c>
      <c r="QR139" s="43">
        <f t="shared" si="670"/>
        <v>36</v>
      </c>
      <c r="QS139" s="43"/>
      <c r="QT139" s="21" t="str">
        <f t="shared" si="571"/>
        <v/>
      </c>
      <c r="QU139" s="21" t="str">
        <f t="shared" si="572"/>
        <v/>
      </c>
      <c r="QV139" s="21" t="str">
        <f t="shared" si="573"/>
        <v/>
      </c>
      <c r="QW139" s="21" t="str">
        <f t="shared" si="574"/>
        <v/>
      </c>
      <c r="QX139" s="21" t="str">
        <f t="shared" si="575"/>
        <v/>
      </c>
      <c r="QY139" s="21" t="str">
        <f t="shared" si="576"/>
        <v/>
      </c>
      <c r="QZ139" s="21" t="str">
        <f t="shared" si="577"/>
        <v/>
      </c>
      <c r="RA139" s="21" t="str">
        <f t="shared" si="578"/>
        <v/>
      </c>
      <c r="RB139" s="21" t="str">
        <f t="shared" si="579"/>
        <v/>
      </c>
      <c r="RC139" s="21" t="str">
        <f t="shared" si="580"/>
        <v/>
      </c>
      <c r="RD139" s="21" t="str">
        <f t="shared" si="581"/>
        <v/>
      </c>
      <c r="RE139" s="21" t="str">
        <f t="shared" si="582"/>
        <v/>
      </c>
      <c r="RF139" s="21" t="str">
        <f t="shared" si="583"/>
        <v/>
      </c>
      <c r="RG139" s="21" t="str">
        <f t="shared" si="584"/>
        <v/>
      </c>
      <c r="RH139" s="21" t="str">
        <f t="shared" si="585"/>
        <v/>
      </c>
      <c r="RI139" s="21" t="str">
        <f t="shared" si="586"/>
        <v/>
      </c>
      <c r="RJ139" s="21" t="str">
        <f t="shared" si="587"/>
        <v/>
      </c>
      <c r="RK139" s="21" t="str">
        <f t="shared" si="588"/>
        <v/>
      </c>
      <c r="RL139" s="21" t="str">
        <f t="shared" si="589"/>
        <v/>
      </c>
      <c r="RM139" s="21" t="str">
        <f t="shared" si="590"/>
        <v/>
      </c>
      <c r="RN139" s="21" t="str">
        <f t="shared" si="591"/>
        <v/>
      </c>
      <c r="RO139" s="21" t="str">
        <f t="shared" si="592"/>
        <v/>
      </c>
      <c r="RP139" s="21" t="str">
        <f t="shared" si="593"/>
        <v/>
      </c>
      <c r="RQ139" s="21" t="str">
        <f t="shared" si="594"/>
        <v>ALTO PARA EDAD GESTACIONAL</v>
      </c>
      <c r="RR139" s="21" t="str">
        <f t="shared" si="595"/>
        <v/>
      </c>
      <c r="RS139" s="21" t="str">
        <f t="shared" si="596"/>
        <v/>
      </c>
      <c r="RT139" s="21" t="str">
        <f t="shared" si="597"/>
        <v/>
      </c>
      <c r="RU139" s="21" t="str">
        <f t="shared" si="598"/>
        <v/>
      </c>
      <c r="RV139" s="21">
        <f t="shared" si="599"/>
        <v>12.299999999999793</v>
      </c>
      <c r="RW139" s="284">
        <f>IF(OR(Tabla1[[#This Row],[FUM FORMULA CONFIABLE]]="",Tabla1[[#This Row],[FUM FORMULA CONFIABLE]]="SD"),"",IF(Tabla1[[#This Row],[FUM FORMULA CONFIABLE]]="CORREGIDA",Tabla1[[#This Row],[FUM X ECO 1]],Tabla1[[#This Row],[FUM x AMENORREA]]))</f>
        <v>44908.9</v>
      </c>
      <c r="RX139" s="21">
        <f>IF(AND(Tabla1[[#This Row],[FUM X ECO 1]]="",Tabla1[[#This Row],[FUM x AMENORREA]]=""),"",IF(AND(Tabla1[[#This Row],[FUM X ECO 1]]="",Tabla1[[#This Row],[FUM x AMENORREA]]&lt;&gt;""),"X",SUM(Tabla1[[#This Row],[FUM X ECO 1]]-Tabla1[[#This Row],[FUM x AMENORREA]])))</f>
        <v>24.900000000001455</v>
      </c>
      <c r="RY139" s="21">
        <f t="shared" si="671"/>
        <v>1</v>
      </c>
    </row>
    <row r="140" spans="1:493" ht="45" customHeight="1" x14ac:dyDescent="0.25">
      <c r="A140" s="109"/>
      <c r="B140" s="43"/>
      <c r="C140" s="43" t="s">
        <v>845</v>
      </c>
      <c r="D140" s="124"/>
      <c r="E140" s="43" t="s">
        <v>1147</v>
      </c>
      <c r="F140" s="43" t="s">
        <v>1091</v>
      </c>
      <c r="G140" s="43" t="s">
        <v>1413</v>
      </c>
      <c r="H140" s="43" t="s">
        <v>1414</v>
      </c>
      <c r="I140" s="109" t="s">
        <v>851</v>
      </c>
      <c r="J140" s="110">
        <v>1059594835</v>
      </c>
      <c r="K140" s="43" t="s">
        <v>852</v>
      </c>
      <c r="L140" s="175" t="s">
        <v>1509</v>
      </c>
      <c r="M140" s="22">
        <v>38404</v>
      </c>
      <c r="N140" s="213">
        <f t="shared" ca="1" si="600"/>
        <v>18.709589041095889</v>
      </c>
      <c r="O140" s="22">
        <v>45016</v>
      </c>
      <c r="P140" s="214" t="str">
        <f t="shared" si="437"/>
        <v>SI</v>
      </c>
      <c r="Q140" s="26" t="s">
        <v>855</v>
      </c>
      <c r="R140" s="22">
        <v>45016</v>
      </c>
      <c r="S140" s="21" t="s">
        <v>856</v>
      </c>
      <c r="T140" s="24" t="s">
        <v>690</v>
      </c>
      <c r="U140" s="21" t="s">
        <v>857</v>
      </c>
      <c r="V140" s="21" t="s">
        <v>858</v>
      </c>
      <c r="W140" s="21" t="s">
        <v>999</v>
      </c>
      <c r="X140" s="21"/>
      <c r="Y140" s="21"/>
      <c r="Z140" s="21">
        <v>3103401583</v>
      </c>
      <c r="AA140" s="21" t="s">
        <v>860</v>
      </c>
      <c r="AB140" s="27" t="s">
        <v>861</v>
      </c>
      <c r="AC140" s="26" t="s">
        <v>888</v>
      </c>
      <c r="AD140" s="38"/>
      <c r="AE140" s="26" t="s">
        <v>854</v>
      </c>
      <c r="AF140" s="26" t="s">
        <v>854</v>
      </c>
      <c r="AG140" s="23" t="s">
        <v>864</v>
      </c>
      <c r="AH140" s="23" t="s">
        <v>864</v>
      </c>
      <c r="AI140" s="24" t="s">
        <v>863</v>
      </c>
      <c r="AJ140" s="23" t="s">
        <v>864</v>
      </c>
      <c r="AK140" s="220" t="str">
        <f>IF(AND(AD140="",AE140="",AF140="",AG140="",AH140="",AI140="",AJ140=""),"",IF(OR(Tabla1[[#This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EVALUACIÓN",IF(AND(O140="",R140=""),"",IF(AND(OR(O140&gt;0,R140&gt;0),NG140&gt;=0,NG140&lt;2),"SIN RIESGO",IF(AND(OR(O140&gt;0,R140&gt;0),NG140&gt;=2),"CON RIESGO","ASD")))))</f>
        <v>SIN RIESGO</v>
      </c>
      <c r="AL140" s="23" t="s">
        <v>864</v>
      </c>
      <c r="AM140" s="26" t="s">
        <v>864</v>
      </c>
      <c r="AN140" s="26" t="s">
        <v>864</v>
      </c>
      <c r="AO140" s="26" t="s">
        <v>864</v>
      </c>
      <c r="AP140" s="26" t="s">
        <v>864</v>
      </c>
      <c r="AQ140" s="26" t="s">
        <v>864</v>
      </c>
      <c r="AR140" s="26" t="s">
        <v>864</v>
      </c>
      <c r="AS140" s="21">
        <v>0</v>
      </c>
      <c r="AT140" s="21">
        <v>0</v>
      </c>
      <c r="AU140" s="21">
        <v>0</v>
      </c>
      <c r="AV140" s="26" t="s">
        <v>864</v>
      </c>
      <c r="AW140" s="21">
        <v>0</v>
      </c>
      <c r="AX140" s="26" t="s">
        <v>864</v>
      </c>
      <c r="AY140" s="26" t="s">
        <v>864</v>
      </c>
      <c r="AZ140" s="26" t="s">
        <v>864</v>
      </c>
      <c r="BA140" s="26" t="s">
        <v>864</v>
      </c>
      <c r="BB140" s="26" t="s">
        <v>864</v>
      </c>
      <c r="BC140" s="26" t="s">
        <v>864</v>
      </c>
      <c r="BD140" s="26" t="s">
        <v>864</v>
      </c>
      <c r="BE140" s="26" t="s">
        <v>864</v>
      </c>
      <c r="BF140" s="26" t="s">
        <v>864</v>
      </c>
      <c r="BG140" s="26" t="s">
        <v>864</v>
      </c>
      <c r="BH140" s="26" t="s">
        <v>864</v>
      </c>
      <c r="BI140" s="26" t="s">
        <v>864</v>
      </c>
      <c r="BJ140" s="26"/>
      <c r="BK140" s="26"/>
      <c r="BL140" s="26" t="s">
        <v>864</v>
      </c>
      <c r="BM140" s="26" t="s">
        <v>864</v>
      </c>
      <c r="BN140" s="22"/>
      <c r="BO140" s="22">
        <v>44788</v>
      </c>
      <c r="BP140" s="21" t="s">
        <v>854</v>
      </c>
      <c r="BQ140" s="222">
        <f t="shared" si="601"/>
        <v>0</v>
      </c>
      <c r="BR140" s="223">
        <f t="shared" si="602"/>
        <v>44862</v>
      </c>
      <c r="BS140" s="224">
        <f t="shared" si="603"/>
        <v>32.571428571428569</v>
      </c>
      <c r="BT140" s="216" t="str">
        <f t="shared" si="604"/>
        <v>III TRIM</v>
      </c>
      <c r="BU140" s="214" t="str">
        <f t="shared" ca="1" si="605"/>
        <v/>
      </c>
      <c r="BV140" s="25"/>
      <c r="BW140" s="22">
        <v>45016</v>
      </c>
      <c r="BX140" s="28">
        <v>22</v>
      </c>
      <c r="BY140" s="28"/>
      <c r="BZ140" s="22"/>
      <c r="CA140" s="21"/>
      <c r="CB140" s="26" t="s">
        <v>864</v>
      </c>
      <c r="CC140" s="26" t="s">
        <v>864</v>
      </c>
      <c r="CD140" s="26" t="s">
        <v>878</v>
      </c>
      <c r="CE140" s="26" t="s">
        <v>864</v>
      </c>
      <c r="CF140" s="22" t="s">
        <v>1517</v>
      </c>
      <c r="CG140" s="21"/>
      <c r="CH140" s="21"/>
      <c r="CI140" s="214" t="str">
        <f t="shared" si="606"/>
        <v>SD</v>
      </c>
      <c r="CJ140" s="225" t="str">
        <f>IF(AND(CI140&lt;10,CH140="SD"),"SIN DATO PESO PREGESTACION O I TRIM",IF(AND(OR(R140&gt;0,O140&gt;0),CI140="X"),"INGRESAR DATO DE PESO",IF(CI140="SD","INGRESAR DATO DE TALLA Y PESO",IF(AND(OR(Tabla1[[#This Row],[MOMENTO EN QUE SE REALIZA EL PESO AL INGRESO A CPN]]="PREGESTACIÓN",NZ140="Menor"),CI140&lt;18.5),"BAJO PESO",IF(AND(OR(Tabla1[[#This Row],[MOMENTO EN QUE SE REALIZA EL PESO AL INGRESO A CPN]]="PREGESTACIÓN",NZ140="Menor"),CI140&lt;25),"NORMAL",IF(AND(OR(Tabla1[[#This Row],[MOMENTO EN QUE SE REALIZA EL PESO AL INGRESO A CPN]]="PREGESTACIÓN",NZ140="Menor"),CI140&lt;30),"SOBREPESO",IF(AND(OR(Tabla1[[#This Row],[MOMENTO EN QUE SE REALIZA EL PESO AL INGRESO A CPN]]="PREGESTACIÓN",NZ140="Menor"),CI140&gt;=30,CI140&lt;50),"OBESIDAD",IF(AND(BS140&gt;0,Tabla1[[#This Row],[MOMENTO EN QUE SE REALIZA EL PESO AL INGRESO A CPN]]="GESTACIÓN"),HLOOKUP(NZ140,$OA$2:PH140,NY140),""))))))))</f>
        <v>INGRESAR DATO DE TALLA Y PESO</v>
      </c>
      <c r="CK140" s="212">
        <f t="shared" si="607"/>
        <v>45062</v>
      </c>
      <c r="CL140" s="21">
        <v>53.7</v>
      </c>
      <c r="CM140" s="214" t="str">
        <f t="shared" si="608"/>
        <v>SD</v>
      </c>
      <c r="CN140" s="216">
        <f t="shared" si="609"/>
        <v>39</v>
      </c>
      <c r="CO140" s="216" t="e">
        <f>IF(PI140="","",IF(PI140&gt;0,HLOOKUP(PI140,$PJ$2:QQ140,NY140),""))</f>
        <v>#REF!</v>
      </c>
      <c r="CP140" s="21"/>
      <c r="CQ140" s="216" t="e">
        <f>IF(QR140="Menor","NO APLICA-MENOR 13 SEM",IF(AND(CC140="SI",CN140&gt;23),"NO APLICA- GEMELAR",IF(QR140="","",IF(QR140&gt;0,HLOOKUP(QR140,$QS$2:RU140,NY140),""))))</f>
        <v>#REF!</v>
      </c>
      <c r="CR140" s="21"/>
      <c r="CS140" s="21"/>
      <c r="CT140" s="217" t="str">
        <f>IF(R140="","",IF(AND(BS140&gt;1,BS140&lt;12,Tabla1[[#This Row],[T.A. SISTOLICA - ANTES DE SEMANA 12]]="",Tabla1[[#This Row],[T.A. DIASTOLICA - ANTES DE SEMANA 12]]=""),"REGISTRE DATO TA ANTES SEMANA 12",IF(AND(BS140&gt;11,BS140&lt;43,Tabla1[[#This Row],[T.A. SISTOLICA - ANTES DE SEMANA 12]]="",Tabla1[[#This Row],[T.A. DIASTOLICA - ANTES DE SEMANA 12]]=""),"NO APLICA REGISTRO TA-INGRESO TARDIO",IF(AND(OR(O140&gt;0,R140&gt;0),OR(CR140&gt;=140,CS140&gt;=90)),"DEFINIR ESTADIO HTA",IF(AND(OR(O140&gt;0,R140&gt;0),AND(CR140&gt;120,CR140&lt;=139)),"PRE HTA SEGUIMIENTO",IF(AND(OR(O140&gt;0,R140&gt;0),AND(CS140&gt;80,CS140&lt;=89)),"PRE HTA SEGUIMIENTO",IF(AND(OR(O140&gt;0,R140&gt;0),AND(CR140&gt;=80,CR140&lt;=120)),"APARENTEMENTE NORMAL",IF(AND(OR(O140&gt;0,R140&gt;0),AND(CS140&gt;=50,CS140&lt;=80)),"APARENTEMENTE NORMAL",IF(AND(OR(O140&gt;0,R140&gt;0),AND(CR140&gt;1,CR140&lt;=70),AND(CS140&gt;1,CS140&lt;=40)),"HIPOTENSIÓN","")))))))))</f>
        <v>NO APLICA REGISTRO TA-INGRESO TARDIO</v>
      </c>
      <c r="CU140" s="21">
        <v>100</v>
      </c>
      <c r="CV140" s="21">
        <v>60</v>
      </c>
      <c r="CW140" s="217" t="str">
        <f ca="1">IF(R140="","",IF(AND(CN140&gt;19,CN140&lt;27,Tabla1[[#This Row],[T.A. SISTOLICA (Entre semana 20 y 26)]]="",Tabla1[[#This Row],[T.A. DIATOLICA (Entre semana 20 y 26)]]=""),"ACUDE A CONTROL SEM 20 A 26 REGISTRE TA AHORA",IF(AND(BS140&gt;1,BS140&lt;27,BU140&gt;19,Tabla1[[#This Row],[T.A. SISTOLICA (Entre semana 20 y 26)]]="",Tabla1[[#This Row],[T.A. DIATOLICA (Entre semana 20 y 26)]]=""),"COMPLETE REGISTRO TA CONTROL SEM 20 A26 ",IF(AND(BS140&gt;26,BS140&lt;43,Tabla1[[#This Row],[T.A. SISTOLICA (Entre semana 20 y 26)]]="",Tabla1[[#This Row],[T.A. DIATOLICA (Entre semana 20 y 26)]]=""),"NO APLICA REGISTRO TA-INGRESO TARDIO",IF(AND(OR(O140&gt;0,R140&gt;0),OR(CU140&gt;=140,CV140&gt;=90)),"ALTO RIESGO PREECLAMPSIA,DEFINIR ESTADIO HTA",IF(AND(OR(O140&gt;0,R140&gt;0),AND(CU140&gt;120,CU140&lt;=139)),"PRE HTA SEGUIMIENTO,RIESGO HIPERTENSION INDUCIDA POR EL EMBARAZO",IF(AND(OR(O140&gt;0,R140&gt;0),AND(CV140&gt;80,CV140&lt;=89)),"PRE HTA SEGUIMIENTO, RIESGO HIPERTENSION INDUCIDA POR EL EMBARAZO",IF(AND(OR(O140&lt;&gt;"",R140&lt;&gt;""),CS140&lt;&gt;"",CV140&lt;&gt;"",CS140&lt;=CV140),"VIGILAR CIFRAS PRESION ARTERIAL",IF(AND(OR(O140&gt;0,R140&gt;0),AND(CU140&gt;120,CU140&lt;=139)),"PRE HTA SEGUIMIENTO",IF(AND(OR(O140&gt;0,R140&gt;0),AND(CU140&gt;1,CU140&lt;=70),AND(CV140&gt;1,CV140&lt;=40)),"HIPOTENSIÓN",IF(AND(OR(O140&lt;&gt;"",R140&lt;&gt;""),CS140&lt;&gt;"",CV140&lt;&gt;"",CS140&gt;CV140),"APARENTEMENTE NORMAL",IF(AND(OR(O140&gt;0,R140&gt;0),AND(CU140&gt;=80,CU140&lt;=120)),"APARENTEMENTE NORMAL",IF(AND(OR(O140&gt;0,R140&gt;0),AND(CV140&gt;=50,CV140&lt;=80)),"APARENTEMENTE NORMAL","")))))))))))))</f>
        <v>APARENTEMENTE NORMAL</v>
      </c>
      <c r="CX140" s="21">
        <v>90</v>
      </c>
      <c r="CY140" s="21">
        <v>60</v>
      </c>
      <c r="CZ140" s="216" t="str">
        <f t="shared" si="498"/>
        <v>APARENTEMENTE NORMAL</v>
      </c>
      <c r="DA140" s="21">
        <v>90</v>
      </c>
      <c r="DB140" s="21">
        <v>70</v>
      </c>
      <c r="DC140" s="217" t="str">
        <f t="shared" si="610"/>
        <v>VIGILAR CIFRAS PRESION ARTERIAL</v>
      </c>
      <c r="DD140" s="22">
        <v>45016</v>
      </c>
      <c r="DE140" s="22">
        <v>45016</v>
      </c>
      <c r="DF140" s="22">
        <v>45062</v>
      </c>
      <c r="DG140" s="22"/>
      <c r="DH140" s="22"/>
      <c r="DI140" s="22"/>
      <c r="DJ140" s="22"/>
      <c r="DK140" s="22"/>
      <c r="DL140" s="22"/>
      <c r="DM140" s="22"/>
      <c r="DN140" s="22"/>
      <c r="DO140" s="22"/>
      <c r="DP140" s="22"/>
      <c r="DQ140" s="22"/>
      <c r="DR140" s="28">
        <v>1</v>
      </c>
      <c r="DS140" s="22"/>
      <c r="DT140" s="22"/>
      <c r="DU140" s="216" t="str">
        <f t="shared" ca="1" si="438"/>
        <v>SALE SIN PLAN DE PARTO</v>
      </c>
      <c r="DV140" s="226" t="str">
        <f t="shared" si="439"/>
        <v>SALIO PROGRAMA</v>
      </c>
      <c r="DW14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0" s="216" t="str">
        <f t="shared" ca="1" si="611"/>
        <v/>
      </c>
      <c r="DY140" s="212">
        <f>IF(R140="","",IF(R140&gt;0,MAX(Tabla1[[#This Row],[FECHA C2]:[FECHA C13]],Tabla1[[#This Row],[FECHA CONSULTA PRIMERA VEZ PROGRAMA CPN ]])))</f>
        <v>45062</v>
      </c>
      <c r="DZ140" s="216">
        <f t="shared" si="612"/>
        <v>39</v>
      </c>
      <c r="EA140" s="222">
        <f>IF(R140&gt;0,SUM(COUNTA(DF140:DQ140)+COUNTA(Tabla1[[#This Row],[FECHA CONSULTA PRIMERA VEZ PROGRAMA CPN ]])),"")</f>
        <v>2</v>
      </c>
      <c r="EB140" s="222" t="str">
        <f t="shared" si="613"/>
        <v>NO</v>
      </c>
      <c r="EC140" s="214">
        <f t="shared" si="614"/>
        <v>3</v>
      </c>
      <c r="ED140" s="227">
        <f t="shared" si="615"/>
        <v>0.66666666666666663</v>
      </c>
      <c r="EE140" s="22">
        <v>45016</v>
      </c>
      <c r="EF140" s="22">
        <v>45016</v>
      </c>
      <c r="EG140" s="22">
        <v>45016</v>
      </c>
      <c r="EH140" s="22"/>
      <c r="EI140" s="22">
        <v>45016</v>
      </c>
      <c r="EJ140" s="22"/>
      <c r="EK140" s="22"/>
      <c r="EL140" s="21"/>
      <c r="EM140" s="21">
        <v>12.7</v>
      </c>
      <c r="EN140" s="22">
        <v>45016</v>
      </c>
      <c r="EO140" s="222">
        <f t="shared" si="616"/>
        <v>32.571428571428569</v>
      </c>
      <c r="EP140" s="214" t="str">
        <f t="shared" si="617"/>
        <v>NORMAL- SUMINISTRAR SULFATO FERROSO</v>
      </c>
      <c r="EQ140" s="216" t="str">
        <f t="shared" si="618"/>
        <v>III TRIM</v>
      </c>
      <c r="ER140" s="24"/>
      <c r="ES140" s="22"/>
      <c r="ET140" s="29" t="str">
        <f t="shared" ca="1" si="440"/>
        <v>SALE SIN TAMIZAJE HEMOGLOBINA SEM 28</v>
      </c>
      <c r="EU140" s="25" t="str">
        <f t="shared" si="619"/>
        <v/>
      </c>
      <c r="EV140" s="24" t="s">
        <v>866</v>
      </c>
      <c r="EW140" s="24">
        <v>45016</v>
      </c>
      <c r="EX140" s="22"/>
      <c r="EY140" s="29">
        <f t="shared" si="453"/>
        <v>32.571428571428569</v>
      </c>
      <c r="EZ140" s="25" t="str">
        <f t="shared" ca="1" si="454"/>
        <v/>
      </c>
      <c r="FA140" s="21">
        <v>83</v>
      </c>
      <c r="FB140" s="22">
        <v>45016</v>
      </c>
      <c r="FC140" s="29" t="str">
        <f t="shared" si="620"/>
        <v>NO APLICA &gt; 23 SEM -TOMAR PTOG</v>
      </c>
      <c r="FD140" s="29"/>
      <c r="FE140" s="29"/>
      <c r="FF140" s="29"/>
      <c r="FG140" s="21" t="str">
        <f t="shared" ca="1" si="621"/>
        <v/>
      </c>
      <c r="FH140" s="31"/>
      <c r="FI140" s="29" t="str">
        <f t="shared" si="622"/>
        <v>TOMAR EXAMEN</v>
      </c>
      <c r="FJ140" s="22"/>
      <c r="FK140" s="22"/>
      <c r="FL140" s="29" t="str">
        <f t="shared" ca="1" si="623"/>
        <v>NO APLICA-INGRESO TARDIO</v>
      </c>
      <c r="FM140" s="22"/>
      <c r="FN140" s="32"/>
      <c r="FO140" s="29" t="str">
        <f t="shared" ca="1" si="441"/>
        <v>NO APLICA-INGRESO TARDIO</v>
      </c>
      <c r="FP140" s="22" t="s">
        <v>867</v>
      </c>
      <c r="FQ140" s="32">
        <v>45016</v>
      </c>
      <c r="FR140" s="29">
        <f t="shared" ca="1" si="442"/>
        <v>32.571428571428569</v>
      </c>
      <c r="FS140" s="22"/>
      <c r="FT140" s="32"/>
      <c r="FU140" s="29" t="str">
        <f>IF(AND(FJ140="",FM140="",FP140="",FS140=""),"",IF(OR(OR(Tabla1[[#This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0" s="28"/>
      <c r="FW140" s="22"/>
      <c r="FX140" s="29" t="str">
        <f t="shared" si="624"/>
        <v>TOMAR EXAMEN</v>
      </c>
      <c r="FY140" s="22">
        <v>45016</v>
      </c>
      <c r="FZ140" s="22">
        <v>45016</v>
      </c>
      <c r="GA140" s="29" t="str">
        <f t="shared" si="497"/>
        <v>REGISTRAR EN III TRIMESTRE</v>
      </c>
      <c r="GB140" s="22"/>
      <c r="GC140" s="22"/>
      <c r="GD140" s="29" t="str">
        <f t="shared" ca="1" si="490"/>
        <v>NO APLICA-INGRESO TARDIO</v>
      </c>
      <c r="GE140" s="22" t="s">
        <v>868</v>
      </c>
      <c r="GF140" s="22">
        <v>45016</v>
      </c>
      <c r="GG140" s="29">
        <f t="shared" ca="1" si="444"/>
        <v>32.571428571428569</v>
      </c>
      <c r="GH140" s="22"/>
      <c r="GI140" s="29"/>
      <c r="GJ140" s="22"/>
      <c r="GK140" s="22"/>
      <c r="GL140" s="22"/>
      <c r="GM140" s="22"/>
      <c r="GN140" s="28"/>
      <c r="GO140" s="22"/>
      <c r="GP140" s="29" t="str">
        <f t="shared" si="625"/>
        <v>TOMAR EXAMEN</v>
      </c>
      <c r="GQ140" s="28"/>
      <c r="GR140" s="28"/>
      <c r="GS140" s="22" t="str">
        <f t="shared" si="626"/>
        <v/>
      </c>
      <c r="GT140" s="22"/>
      <c r="GU140" s="29" t="str">
        <f t="shared" si="627"/>
        <v>TOMAR EXAMEN</v>
      </c>
      <c r="GV140" s="21" t="str">
        <f t="shared" si="628"/>
        <v>POR DEFINIR</v>
      </c>
      <c r="GW140" s="28"/>
      <c r="GX140" s="30"/>
      <c r="GY140" s="21"/>
      <c r="GZ140" s="21"/>
      <c r="HA140" s="21"/>
      <c r="HB140" s="21"/>
      <c r="HC140" s="21"/>
      <c r="HD140" s="21"/>
      <c r="HE140" s="21"/>
      <c r="HF140" s="22"/>
      <c r="HG140" s="22" t="str">
        <f>IF(OR(O140&gt;0,R140&gt;0),CONCATENATE(IF(Tabla1[[#This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0" s="22" t="e">
        <f t="shared" si="629"/>
        <v>#REF!</v>
      </c>
      <c r="HI140" s="22" t="e">
        <f t="shared" ca="1" si="630"/>
        <v>#REF!</v>
      </c>
      <c r="HJ140" s="21"/>
      <c r="HK140" s="21" t="str">
        <f t="shared" si="631"/>
        <v>SIN ANTECEDENTES DE RIESGO</v>
      </c>
      <c r="HL140" s="24" t="str">
        <f t="shared" si="632"/>
        <v>VIGILAR CIFRAS PRESION ARTERIAL</v>
      </c>
      <c r="HM140" s="21" t="str">
        <f t="shared" ca="1" si="633"/>
        <v/>
      </c>
      <c r="HN140" s="30" t="str">
        <f t="shared" si="445"/>
        <v>SALIO PROGRAMA</v>
      </c>
      <c r="HO140" s="21"/>
      <c r="HP140" s="21"/>
      <c r="HQ140" s="21">
        <v>45016</v>
      </c>
      <c r="HR140" s="21" t="str">
        <f>IF(R140="","",IF(Tabla1[[#This Row],[ALARMA FACTORES DE RIESGO COMPLICACIONES HIPERTENSIVAS3]]="SIN ANTECEDENTES DE RIESGO","No Aplica para suministro de ASA",IF(AND(Tabla1[[#This Row],[FECHA INICIO DE SUMINISTRO DE ASA]]&gt;0,RV140&lt;12),"Inicia ASA ANTES de Sem 12",IF(AND(RV140&gt;11,RV140&lt;17,OR(HK140="RIESGO ALTO DE COMPLICACIONES HIPERTENSIVAS VER MANEJO GUIA SUMINISTRO ASA Y CALCIO",HK140="RIESGO MODERADO (2 O MAS CRITERIOS) VER MANEJO GUIA SUMINISTRO ASA Y CALCIO")),"Inicio oportuno de ASA",IF(AND(RV140&gt;12,OR(HK140="RIESGO ALTO DE COMPLICACIONES HIPERTENSIVAS VER MANEJO GUIA SUMINISTRO ASA Y CALCIO",HK140="RIESGO MODERADO (2 O MAS CRITERIOS) VER MANEJO GUIA SUMINISTRO ASA Y CALCIO")),"Inicio no oportuno mayor a 16 semanas",IF(AND(BU140&lt;12,OR(HK140="RIESGO ALTO DE COMPLICACIONES HIPERTENSIVAS VER MANEJO GUIA SUMINISTRO ASA Y CALCIO",HK140="RIESGO MODERADO (2 O MAS CRITERIOS) VER MANEJO GUIA SUMINISTRO ASA Y CALCIO")),"Pendiente Inicio de ASA a la semana 12",IF(AND(BU140&gt;11,BU140&lt;17,OR(HK140="RIESGO ALTO DE COMPLICACIONES HIPERTENSIVAS VER MANEJO GUIA SUMINISTRO ASA Y CALCIO",HK140="RIESGO MODERADO (2 O MAS CRITERIOS) VER MANEJO GUIA SUMINISTRO ASA Y CALCIO")),"Iniciar de inmediato ASA",IF(AND(BU140&gt;16,OR(HK140="RIESGO ALTO DE COMPLICACIONES HIPERTENSIVAS VER MANEJO GUIA SUMINISTRO ASA Y CALCIO",HK140="RIESGO MODERADO (2 O MAS CRITERIOS) VER MANEJO GUIA SUMINISTRO ASA Y CALCIO")),"Pierde Oportunidad, Inicio tardío de ASA","XXXXX"))))))))</f>
        <v>No Aplica para suministro de ASA</v>
      </c>
      <c r="HS140" s="22">
        <v>45016</v>
      </c>
      <c r="HT140" s="22" t="s">
        <v>870</v>
      </c>
      <c r="HU140" s="22">
        <v>45016</v>
      </c>
      <c r="HV140" s="22" t="s">
        <v>870</v>
      </c>
      <c r="HW140" s="22">
        <v>45016</v>
      </c>
      <c r="HX140" s="22" t="s">
        <v>870</v>
      </c>
      <c r="HY140" s="22">
        <v>45016</v>
      </c>
      <c r="HZ140" s="28">
        <f t="shared" si="634"/>
        <v>32.571428571428569</v>
      </c>
      <c r="IA140" s="26" t="s">
        <v>864</v>
      </c>
      <c r="IB140" s="26"/>
      <c r="IC140" s="111"/>
      <c r="ID140" s="22"/>
      <c r="IE140" s="22" t="str">
        <f t="shared" ca="1" si="635"/>
        <v>SALE SIN VACUNA</v>
      </c>
      <c r="IF140" s="22"/>
      <c r="IG140" s="22">
        <f t="shared" si="636"/>
        <v>45068</v>
      </c>
      <c r="IH140" s="29">
        <f t="shared" ca="1" si="637"/>
        <v>-165</v>
      </c>
      <c r="II140" s="22" t="str">
        <f t="shared" ca="1" si="638"/>
        <v>POSIBLEMENTE NACIO</v>
      </c>
      <c r="IJ140" s="22"/>
      <c r="IK140" s="21" t="s">
        <v>898</v>
      </c>
      <c r="IL140" s="21"/>
      <c r="IM140" s="34"/>
      <c r="IN140" s="349">
        <v>45073</v>
      </c>
      <c r="IO140" s="21" t="s">
        <v>1640</v>
      </c>
      <c r="IP140" s="29">
        <f t="shared" si="672"/>
        <v>40.714285714285715</v>
      </c>
      <c r="IQ140" s="35"/>
      <c r="IR140" s="21" t="s">
        <v>879</v>
      </c>
      <c r="IS140" s="21" t="s">
        <v>1641</v>
      </c>
      <c r="IT140" s="21" t="s">
        <v>1642</v>
      </c>
      <c r="IU140" s="21"/>
      <c r="IV140" s="21"/>
      <c r="IW140" s="21"/>
      <c r="IX140" s="21"/>
      <c r="IY140" s="21"/>
      <c r="IZ140" s="21"/>
      <c r="JA140" s="21"/>
      <c r="JB140" s="30">
        <v>1</v>
      </c>
      <c r="JC140" s="21" t="s">
        <v>1647</v>
      </c>
      <c r="JD140" s="36">
        <v>3625</v>
      </c>
      <c r="JE140" s="21" t="str">
        <f t="shared" si="491"/>
        <v>PESO ADECUADO EDAD GESTACIONAL</v>
      </c>
      <c r="JF140" s="30"/>
      <c r="JG140" s="21"/>
      <c r="JH140" s="21"/>
      <c r="JI140" s="21"/>
      <c r="JJ140" s="30"/>
      <c r="JK140" s="22"/>
      <c r="JL140" s="22"/>
      <c r="JM140" s="21"/>
      <c r="JN140" s="36"/>
      <c r="JO140" s="21" t="str">
        <f t="shared" si="492"/>
        <v/>
      </c>
      <c r="JP140" s="22"/>
      <c r="JQ140" s="21"/>
      <c r="JR140" s="21"/>
      <c r="JS140" s="21"/>
      <c r="JT140" s="30"/>
      <c r="JU140" s="22"/>
      <c r="JV140" s="22"/>
      <c r="JW140" s="33"/>
      <c r="JX140" s="28" t="str">
        <f t="shared" si="493"/>
        <v>INASISTENTE</v>
      </c>
      <c r="JY140" s="33"/>
      <c r="JZ140" s="28" t="str">
        <f t="shared" si="494"/>
        <v>INASISTENTE</v>
      </c>
      <c r="KA140" s="21"/>
      <c r="KB140" s="21"/>
      <c r="KC140" s="21"/>
      <c r="KD140" s="37"/>
      <c r="KE140" s="28"/>
      <c r="KF140" s="28"/>
      <c r="KG140" s="28"/>
      <c r="KH140" s="39"/>
      <c r="KI140" s="39"/>
      <c r="KJ140" s="66"/>
      <c r="KK140" s="39"/>
      <c r="KL140" s="39"/>
      <c r="KM140" s="66"/>
      <c r="KN140" s="39"/>
      <c r="KO140" s="39"/>
      <c r="KP140" s="39"/>
      <c r="KQ140" s="39"/>
      <c r="KR140" s="39"/>
      <c r="KS140" s="39"/>
      <c r="KT140" s="39"/>
      <c r="KU140" s="38"/>
      <c r="KV140" s="38"/>
      <c r="KW140" s="38"/>
      <c r="KX140" s="38"/>
      <c r="KY140" s="38"/>
      <c r="KZ140" s="38"/>
      <c r="LA140" s="38"/>
      <c r="LB140" s="38"/>
      <c r="LC140" s="38"/>
      <c r="LD140" s="38"/>
      <c r="LE140" s="38"/>
      <c r="LF140" s="38"/>
      <c r="LG140" s="38"/>
      <c r="LH140" s="38"/>
      <c r="LI140" s="38"/>
      <c r="LJ140" s="38"/>
      <c r="LK140" s="38"/>
      <c r="LL140" s="38"/>
      <c r="LM140" s="38"/>
      <c r="LN140" s="38"/>
      <c r="LO140" s="38"/>
      <c r="LP140" s="38"/>
      <c r="LQ140" s="38"/>
      <c r="LR140" s="38"/>
      <c r="LS140" s="38"/>
      <c r="LT140" s="38"/>
      <c r="LU140" s="38"/>
      <c r="LV140" s="38"/>
      <c r="LW140" s="38"/>
      <c r="LX140" s="38"/>
      <c r="LY140" s="38"/>
      <c r="LZ140" s="38"/>
      <c r="MA140" s="38"/>
      <c r="MB140" s="38"/>
      <c r="MC140" s="38"/>
      <c r="MD140" s="38"/>
      <c r="ME140" s="38"/>
      <c r="MF140" s="38"/>
      <c r="MG140" s="38"/>
      <c r="MH140" s="43">
        <f t="shared" si="639"/>
        <v>0</v>
      </c>
      <c r="MI140" s="43" t="str">
        <f t="shared" si="640"/>
        <v/>
      </c>
      <c r="MJ140" s="43" t="str">
        <f t="shared" si="641"/>
        <v/>
      </c>
      <c r="MK140" s="43">
        <f t="shared" si="642"/>
        <v>0</v>
      </c>
      <c r="ML1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0" s="43">
        <f t="shared" si="643"/>
        <v>32.571428571428569</v>
      </c>
      <c r="MN140" s="43">
        <f t="shared" si="644"/>
        <v>3</v>
      </c>
      <c r="MO140" s="43">
        <f t="shared" si="645"/>
        <v>2023</v>
      </c>
      <c r="MP140" s="43" t="str">
        <f t="shared" si="646"/>
        <v>I TRIMESTRE AÑO</v>
      </c>
      <c r="MQ140" s="43">
        <f t="shared" si="647"/>
        <v>17.849321068769161</v>
      </c>
      <c r="MR140" s="43">
        <f t="shared" si="648"/>
        <v>0</v>
      </c>
      <c r="MS140" s="43" t="str">
        <f t="shared" si="649"/>
        <v>DE 14 A 19AÑOS</v>
      </c>
      <c r="MT140" s="43">
        <f t="shared" si="650"/>
        <v>0</v>
      </c>
      <c r="MU140" s="43">
        <f t="shared" si="651"/>
        <v>1</v>
      </c>
      <c r="MV140" s="43">
        <f t="shared" si="652"/>
        <v>0</v>
      </c>
      <c r="MW140" s="43">
        <f t="shared" si="653"/>
        <v>0</v>
      </c>
      <c r="MX140" s="43" t="str">
        <f t="shared" si="654"/>
        <v/>
      </c>
      <c r="MY140" s="43" t="str">
        <f t="shared" ca="1" si="495"/>
        <v/>
      </c>
      <c r="MZ140" s="43" t="str">
        <f t="shared" si="655"/>
        <v/>
      </c>
      <c r="NA140" s="43">
        <f t="shared" si="656"/>
        <v>0</v>
      </c>
      <c r="NB140" s="43" t="str">
        <f t="shared" si="657"/>
        <v/>
      </c>
      <c r="NC140" s="43" t="str">
        <f t="shared" si="658"/>
        <v/>
      </c>
      <c r="ND140" s="43">
        <f t="shared" ca="1" si="659"/>
        <v>1</v>
      </c>
      <c r="NE140" s="43">
        <f>IF(OR(O140&gt;0,R140&gt;0),SUM(COUNTIF(Tabla1[[#This Row],[AÑOS AL INICIO5 CPN]],"&gt;=40"),COUNTIF(AS140,"0"),COUNTIF(AR140,"SI"),COUNTIF(CC140,"SI"),COUNTIF(BQ140,"&gt;119"),COUNTIF(CI140,"&gt;=35")),"")</f>
        <v>1</v>
      </c>
      <c r="NF140" s="43" t="str">
        <f t="shared" si="660"/>
        <v/>
      </c>
      <c r="NG140" s="43">
        <f t="shared" si="661"/>
        <v>0</v>
      </c>
      <c r="NH140" s="43">
        <f t="shared" si="662"/>
        <v>154</v>
      </c>
      <c r="NI14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CPN",P140="NO"),"Z",IF(AND(Tabla1[[#This Row],[CITA PROXIMO CONTROL]]="CITA MANUAL",Tabla1[[#This Row],[GESTANTES ACTUALES]]="ACTIVA INGRESO A CPN"),"W",IF(AND(Tabla1[[#This Row],[GESTANTES ACTUALES]]="SALIO PROGRAMA",IN140=""),"S",IF(AND(Tabla1[[#This Row],[CITA PROXIMO CONTROL]]&gt;0,IN140=""),(Tabla1[[#This Row],[CITA PROXIMO CONTROL]]-TODAY()),"SD"))))))))</f>
        <v>SD</v>
      </c>
      <c r="NJ140" s="43">
        <f>MONTH(Tabla1[[#This Row],[FECHA DE SALIDA  DEL PROGRAMA]])</f>
        <v>5</v>
      </c>
      <c r="NK140" s="43">
        <f>YEAR(Tabla1[[#This Row],[FECHA DE SALIDA  DEL PROGRAMA]])</f>
        <v>2023</v>
      </c>
      <c r="NL140" s="43" t="str">
        <f t="shared" si="663"/>
        <v>X</v>
      </c>
      <c r="NM140" s="43" t="str">
        <f t="shared" si="500"/>
        <v>NO</v>
      </c>
      <c r="NN140" s="43" t="str">
        <f ca="1">IF(AND(O140&gt;0,R140=""),"NO CPN",IF(AND(O140="",R140=""),"",IF(AND(R140&gt;0,Tabla1[[#This Row],[SEMANAS DE GESTACION ACTUALIZADAS]]&lt;=12),"NO APLICA",IF(AND(FH140&lt;&gt;"",FN140&lt;&gt;""),"SI","NO"))))</f>
        <v>NO</v>
      </c>
      <c r="NO140" s="43" t="str">
        <f ca="1">IF(AND(O140&gt;0,R140=""),"NO CPN",IF(AND(O140="",R140=""),"",IF(AND(R140&gt;0,Tabla1[[#This Row],[SEMANAS DE GESTACION ACTUALIZADAS]]&lt;=27),"NO APLICA",IF(AND(ES140&lt;&gt;"",FQ140&lt;&gt;"",GF140&lt;&gt;""),"SI","NO"))))</f>
        <v>NO</v>
      </c>
      <c r="NP140" s="204" t="str">
        <f t="shared" si="664"/>
        <v>III TRIM</v>
      </c>
      <c r="NQ140" s="21" t="e">
        <f t="shared" si="499"/>
        <v>#VALUE!</v>
      </c>
      <c r="NR140" s="21">
        <f t="shared" si="496"/>
        <v>1</v>
      </c>
      <c r="NS140" s="205">
        <f t="shared" ca="1" si="665"/>
        <v>1</v>
      </c>
      <c r="NT140" s="21">
        <f t="shared" ca="1" si="666"/>
        <v>1</v>
      </c>
      <c r="NU140" s="21" t="str">
        <f t="shared" ca="1" si="667"/>
        <v>COMPLETO</v>
      </c>
      <c r="NV140" s="21" t="str">
        <f t="shared" ca="1" si="668"/>
        <v>COMPLETO</v>
      </c>
      <c r="NW140" s="206" t="str">
        <f>IF(AND(O140="",R140=""),"",IF(OR(AND(Tabla1[[#This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0" s="207" t="str">
        <f t="shared" ca="1" si="669"/>
        <v>SIN VACUNAR</v>
      </c>
      <c r="NY140" s="43">
        <f>ROW(Tabla1[[#This Row],['# DE TAMIZAJES SIFILIS TOMADOS ]])</f>
        <v>140</v>
      </c>
      <c r="NZ140" s="43">
        <f t="shared" si="501"/>
        <v>32</v>
      </c>
      <c r="OA140" s="43" t="str">
        <f t="shared" si="502"/>
        <v/>
      </c>
      <c r="OB140" s="43" t="str">
        <f t="shared" si="503"/>
        <v/>
      </c>
      <c r="OC140" s="43" t="str">
        <f t="shared" si="504"/>
        <v/>
      </c>
      <c r="OD140" s="43" t="str">
        <f t="shared" si="505"/>
        <v/>
      </c>
      <c r="OE140" s="43" t="str">
        <f t="shared" si="506"/>
        <v/>
      </c>
      <c r="OF140" s="43" t="str">
        <f t="shared" si="507"/>
        <v/>
      </c>
      <c r="OG140" s="43" t="str">
        <f t="shared" si="508"/>
        <v/>
      </c>
      <c r="OH140" s="43" t="str">
        <f t="shared" si="509"/>
        <v/>
      </c>
      <c r="OI140" s="43" t="str">
        <f t="shared" si="510"/>
        <v/>
      </c>
      <c r="OJ140" s="43" t="str">
        <f t="shared" si="511"/>
        <v/>
      </c>
      <c r="OK140" s="43" t="str">
        <f t="shared" si="512"/>
        <v/>
      </c>
      <c r="OL140" s="43" t="str">
        <f t="shared" si="513"/>
        <v/>
      </c>
      <c r="OM140" s="43" t="str">
        <f t="shared" si="514"/>
        <v/>
      </c>
      <c r="ON140" s="43" t="str">
        <f t="shared" si="515"/>
        <v/>
      </c>
      <c r="OO140" s="43" t="str">
        <f t="shared" si="516"/>
        <v/>
      </c>
      <c r="OP140" s="43" t="str">
        <f t="shared" si="517"/>
        <v/>
      </c>
      <c r="OQ140" s="43" t="str">
        <f t="shared" si="518"/>
        <v/>
      </c>
      <c r="OR140" s="43" t="str">
        <f t="shared" si="519"/>
        <v/>
      </c>
      <c r="OS140" s="43" t="str">
        <f t="shared" si="520"/>
        <v/>
      </c>
      <c r="OT140" s="43" t="str">
        <f t="shared" si="521"/>
        <v/>
      </c>
      <c r="OU140" s="43" t="str">
        <f t="shared" si="522"/>
        <v/>
      </c>
      <c r="OV140" s="110" t="str">
        <f t="shared" si="523"/>
        <v/>
      </c>
      <c r="OW140" s="43" t="str">
        <f t="shared" si="524"/>
        <v/>
      </c>
      <c r="OX140" s="43" t="str">
        <f t="shared" si="525"/>
        <v/>
      </c>
      <c r="OY140" s="43" t="str">
        <f t="shared" si="526"/>
        <v/>
      </c>
      <c r="OZ140" s="43" t="str">
        <f t="shared" si="527"/>
        <v/>
      </c>
      <c r="PA140" s="43" t="str">
        <f t="shared" si="528"/>
        <v/>
      </c>
      <c r="PB140" s="43" t="str">
        <f t="shared" si="529"/>
        <v/>
      </c>
      <c r="PC140" s="43" t="str">
        <f t="shared" si="530"/>
        <v/>
      </c>
      <c r="PD140" s="43" t="str">
        <f t="shared" si="531"/>
        <v/>
      </c>
      <c r="PE140" s="43" t="str">
        <f t="shared" si="532"/>
        <v/>
      </c>
      <c r="PF140" s="43" t="str">
        <f t="shared" si="533"/>
        <v/>
      </c>
      <c r="PG140" s="43" t="str">
        <f t="shared" si="534"/>
        <v/>
      </c>
      <c r="PH140" s="43" t="str">
        <f t="shared" si="535"/>
        <v/>
      </c>
      <c r="PI140" s="43">
        <f t="shared" si="536"/>
        <v>39</v>
      </c>
      <c r="PJ140" s="43" t="str">
        <f t="shared" si="537"/>
        <v/>
      </c>
      <c r="PK140" s="43" t="str">
        <f t="shared" si="538"/>
        <v/>
      </c>
      <c r="PL140" s="43" t="str">
        <f t="shared" si="539"/>
        <v/>
      </c>
      <c r="PM140" s="43" t="str">
        <f t="shared" si="540"/>
        <v/>
      </c>
      <c r="PN140" s="43" t="str">
        <f t="shared" si="541"/>
        <v/>
      </c>
      <c r="PO140" s="43" t="str">
        <f t="shared" si="542"/>
        <v/>
      </c>
      <c r="PP140" s="43" t="str">
        <f t="shared" si="543"/>
        <v/>
      </c>
      <c r="PQ140" s="43" t="str">
        <f t="shared" si="544"/>
        <v/>
      </c>
      <c r="PR140" s="43" t="str">
        <f t="shared" si="545"/>
        <v/>
      </c>
      <c r="PS140" s="43" t="str">
        <f t="shared" si="546"/>
        <v/>
      </c>
      <c r="PT140" s="43" t="str">
        <f t="shared" si="547"/>
        <v/>
      </c>
      <c r="PU140" s="43" t="str">
        <f t="shared" si="548"/>
        <v/>
      </c>
      <c r="PV140" s="43" t="str">
        <f t="shared" si="549"/>
        <v/>
      </c>
      <c r="PW140" s="43" t="str">
        <f t="shared" si="550"/>
        <v/>
      </c>
      <c r="PX140" s="43" t="str">
        <f t="shared" si="551"/>
        <v/>
      </c>
      <c r="PY140" s="43" t="str">
        <f t="shared" si="552"/>
        <v/>
      </c>
      <c r="PZ140" s="43" t="str">
        <f t="shared" si="553"/>
        <v/>
      </c>
      <c r="QA140" s="43" t="str">
        <f t="shared" si="554"/>
        <v/>
      </c>
      <c r="QB140" s="43" t="str">
        <f t="shared" si="555"/>
        <v/>
      </c>
      <c r="QC140" s="43" t="str">
        <f t="shared" si="556"/>
        <v/>
      </c>
      <c r="QD140" s="43" t="str">
        <f t="shared" si="557"/>
        <v/>
      </c>
      <c r="QE140" s="43" t="str">
        <f t="shared" si="558"/>
        <v/>
      </c>
      <c r="QF140" s="43" t="str">
        <f t="shared" si="559"/>
        <v/>
      </c>
      <c r="QG140" s="43" t="str">
        <f t="shared" si="560"/>
        <v/>
      </c>
      <c r="QH140" s="43" t="str">
        <f t="shared" si="561"/>
        <v/>
      </c>
      <c r="QI140" s="43" t="str">
        <f t="shared" si="562"/>
        <v/>
      </c>
      <c r="QJ140" s="43" t="str">
        <f t="shared" si="563"/>
        <v/>
      </c>
      <c r="QK140" s="43" t="str">
        <f t="shared" si="564"/>
        <v/>
      </c>
      <c r="QL140" s="43" t="str">
        <f t="shared" si="565"/>
        <v/>
      </c>
      <c r="QM140" s="43" t="str">
        <f t="shared" si="566"/>
        <v/>
      </c>
      <c r="QN140" s="43" t="str">
        <f t="shared" si="567"/>
        <v/>
      </c>
      <c r="QO140" s="43" t="str">
        <f t="shared" si="568"/>
        <v/>
      </c>
      <c r="QP140" s="43" t="str">
        <f t="shared" si="569"/>
        <v/>
      </c>
      <c r="QQ140" s="43" t="str">
        <f t="shared" si="570"/>
        <v/>
      </c>
      <c r="QR140" s="43">
        <f t="shared" si="670"/>
        <v>39</v>
      </c>
      <c r="QS140" s="43"/>
      <c r="QT140" s="21" t="str">
        <f t="shared" si="571"/>
        <v/>
      </c>
      <c r="QU140" s="21" t="str">
        <f t="shared" si="572"/>
        <v/>
      </c>
      <c r="QV140" s="21" t="str">
        <f t="shared" si="573"/>
        <v/>
      </c>
      <c r="QW140" s="21" t="str">
        <f t="shared" si="574"/>
        <v/>
      </c>
      <c r="QX140" s="21" t="str">
        <f t="shared" si="575"/>
        <v/>
      </c>
      <c r="QY140" s="21" t="str">
        <f t="shared" si="576"/>
        <v/>
      </c>
      <c r="QZ140" s="21" t="str">
        <f t="shared" si="577"/>
        <v/>
      </c>
      <c r="RA140" s="21" t="str">
        <f t="shared" si="578"/>
        <v/>
      </c>
      <c r="RB140" s="21" t="str">
        <f t="shared" si="579"/>
        <v/>
      </c>
      <c r="RC140" s="21" t="str">
        <f t="shared" si="580"/>
        <v/>
      </c>
      <c r="RD140" s="21" t="str">
        <f t="shared" si="581"/>
        <v/>
      </c>
      <c r="RE140" s="21" t="str">
        <f t="shared" si="582"/>
        <v/>
      </c>
      <c r="RF140" s="21" t="str">
        <f t="shared" si="583"/>
        <v/>
      </c>
      <c r="RG140" s="21" t="str">
        <f t="shared" si="584"/>
        <v/>
      </c>
      <c r="RH140" s="21" t="str">
        <f t="shared" si="585"/>
        <v/>
      </c>
      <c r="RI140" s="21" t="str">
        <f t="shared" si="586"/>
        <v/>
      </c>
      <c r="RJ140" s="21" t="str">
        <f t="shared" si="587"/>
        <v/>
      </c>
      <c r="RK140" s="21" t="str">
        <f t="shared" si="588"/>
        <v/>
      </c>
      <c r="RL140" s="21" t="str">
        <f t="shared" si="589"/>
        <v/>
      </c>
      <c r="RM140" s="21" t="str">
        <f t="shared" si="590"/>
        <v/>
      </c>
      <c r="RN140" s="21" t="str">
        <f t="shared" si="591"/>
        <v/>
      </c>
      <c r="RO140" s="21" t="str">
        <f t="shared" si="592"/>
        <v/>
      </c>
      <c r="RP140" s="21" t="str">
        <f t="shared" si="593"/>
        <v/>
      </c>
      <c r="RQ140" s="21" t="str">
        <f t="shared" si="594"/>
        <v/>
      </c>
      <c r="RR140" s="21" t="str">
        <f t="shared" si="595"/>
        <v/>
      </c>
      <c r="RS140" s="21" t="str">
        <f t="shared" si="596"/>
        <v/>
      </c>
      <c r="RT140" s="21" t="str">
        <f t="shared" si="597"/>
        <v/>
      </c>
      <c r="RU140" s="21" t="str">
        <f t="shared" si="598"/>
        <v/>
      </c>
      <c r="RV140" s="21">
        <f t="shared" si="599"/>
        <v>32.571428571428569</v>
      </c>
      <c r="RW140" s="284">
        <f>IF(OR(Tabla1[[#This Row],[FUM FORMULA CONFIABLE]]="",Tabla1[[#This Row],[FUM FORMULA CONFIABLE]]="SD"),"",IF(Tabla1[[#This Row],[FUM FORMULA CONFIABLE]]="CORREGIDA",Tabla1[[#This Row],[FUM X ECO 1]],Tabla1[[#This Row],[FUM x AMENORREA]]))</f>
        <v>44788</v>
      </c>
      <c r="RX140" s="21">
        <f>IF(AND(Tabla1[[#This Row],[FUM X ECO 1]]="",Tabla1[[#This Row],[FUM x AMENORREA]]=""),"",IF(AND(Tabla1[[#This Row],[FUM X ECO 1]]="",Tabla1[[#This Row],[FUM x AMENORREA]]&lt;&gt;""),"X",SUM(Tabla1[[#This Row],[FUM X ECO 1]]-Tabla1[[#This Row],[FUM x AMENORREA]])))</f>
        <v>74</v>
      </c>
      <c r="RY140" s="21">
        <f t="shared" si="671"/>
        <v>1</v>
      </c>
    </row>
    <row r="141" spans="1:493" ht="45" customHeight="1" x14ac:dyDescent="0.25">
      <c r="A141" s="109"/>
      <c r="B141" s="43"/>
      <c r="C141" s="43" t="s">
        <v>845</v>
      </c>
      <c r="D141" s="124"/>
      <c r="E141" s="43" t="s">
        <v>1415</v>
      </c>
      <c r="F141" s="43" t="s">
        <v>1416</v>
      </c>
      <c r="G141" s="43" t="s">
        <v>1417</v>
      </c>
      <c r="H141" s="43" t="s">
        <v>1418</v>
      </c>
      <c r="I141" s="109" t="s">
        <v>851</v>
      </c>
      <c r="J141" s="110">
        <v>1002847434</v>
      </c>
      <c r="K141" s="43" t="s">
        <v>852</v>
      </c>
      <c r="L141" s="175" t="s">
        <v>853</v>
      </c>
      <c r="M141" s="22">
        <v>37384</v>
      </c>
      <c r="N141" s="213">
        <f t="shared" ca="1" si="600"/>
        <v>21.504109589041096</v>
      </c>
      <c r="O141" s="22">
        <v>45012</v>
      </c>
      <c r="P141" s="214" t="str">
        <f t="shared" si="437"/>
        <v>SI</v>
      </c>
      <c r="Q141" s="26" t="s">
        <v>855</v>
      </c>
      <c r="R141" s="22">
        <v>45012</v>
      </c>
      <c r="S141" s="21" t="s">
        <v>856</v>
      </c>
      <c r="T141" s="24" t="s">
        <v>690</v>
      </c>
      <c r="U141" s="21" t="s">
        <v>857</v>
      </c>
      <c r="V141" s="21" t="s">
        <v>858</v>
      </c>
      <c r="W141" s="21" t="s">
        <v>846</v>
      </c>
      <c r="X141" s="21"/>
      <c r="Y141" s="21"/>
      <c r="Z141" s="21" t="s">
        <v>846</v>
      </c>
      <c r="AA141" s="21" t="s">
        <v>860</v>
      </c>
      <c r="AB141" s="27" t="s">
        <v>861</v>
      </c>
      <c r="AC141" s="26" t="s">
        <v>846</v>
      </c>
      <c r="AD141" s="38" t="s">
        <v>846</v>
      </c>
      <c r="AE141" s="26" t="s">
        <v>854</v>
      </c>
      <c r="AF141" s="26" t="s">
        <v>854</v>
      </c>
      <c r="AG141" s="23" t="s">
        <v>864</v>
      </c>
      <c r="AH141" s="23" t="s">
        <v>864</v>
      </c>
      <c r="AI141" s="24" t="s">
        <v>864</v>
      </c>
      <c r="AJ141" s="23" t="s">
        <v>864</v>
      </c>
      <c r="AK141" s="220" t="str">
        <f>IF(AND(AD141="",AE141="",AF141="",AG141="",AH141="",AI141="",AJ141=""),"",IF(OR(Tabla1[[#This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EVALUACIÓN",IF(AND(O141="",R141=""),"",IF(AND(OR(O141&gt;0,R141&gt;0),NG141&gt;=0,NG141&lt;2),"SIN RIESGO",IF(AND(OR(O141&gt;0,R141&gt;0),NG141&gt;=2),"CON RIESGO","ASD")))))</f>
        <v>SIN RIESGO</v>
      </c>
      <c r="AL141" s="23" t="s">
        <v>864</v>
      </c>
      <c r="AM141" s="26" t="s">
        <v>864</v>
      </c>
      <c r="AN141" s="26" t="s">
        <v>864</v>
      </c>
      <c r="AO141" s="26" t="s">
        <v>864</v>
      </c>
      <c r="AP141" s="26" t="s">
        <v>864</v>
      </c>
      <c r="AQ141" s="26" t="s">
        <v>864</v>
      </c>
      <c r="AR141" s="26" t="s">
        <v>864</v>
      </c>
      <c r="AS141" s="21">
        <v>2</v>
      </c>
      <c r="AT141" s="21">
        <v>2</v>
      </c>
      <c r="AU141" s="21">
        <v>0</v>
      </c>
      <c r="AV141" s="26" t="s">
        <v>864</v>
      </c>
      <c r="AW141" s="21">
        <v>0</v>
      </c>
      <c r="AX141" s="26" t="s">
        <v>864</v>
      </c>
      <c r="AY141" s="26" t="s">
        <v>864</v>
      </c>
      <c r="AZ141" s="26" t="s">
        <v>864</v>
      </c>
      <c r="BA141" s="26" t="s">
        <v>864</v>
      </c>
      <c r="BB141" s="26" t="s">
        <v>864</v>
      </c>
      <c r="BC141" s="26" t="s">
        <v>864</v>
      </c>
      <c r="BD141" s="26" t="s">
        <v>864</v>
      </c>
      <c r="BE141" s="26" t="s">
        <v>864</v>
      </c>
      <c r="BF141" s="26" t="s">
        <v>864</v>
      </c>
      <c r="BG141" s="26" t="s">
        <v>864</v>
      </c>
      <c r="BH141" s="26" t="s">
        <v>864</v>
      </c>
      <c r="BI141" s="26" t="s">
        <v>864</v>
      </c>
      <c r="BJ141" s="26"/>
      <c r="BK141" s="26"/>
      <c r="BL141" s="26" t="s">
        <v>864</v>
      </c>
      <c r="BM141" s="26" t="s">
        <v>864</v>
      </c>
      <c r="BN141" s="22">
        <v>43730</v>
      </c>
      <c r="BO141" s="22"/>
      <c r="BP141" s="21"/>
      <c r="BQ141" s="222" t="str">
        <f t="shared" si="601"/>
        <v/>
      </c>
      <c r="BR141" s="223" t="str">
        <f t="shared" si="602"/>
        <v/>
      </c>
      <c r="BS141" s="224" t="str">
        <f t="shared" si="603"/>
        <v/>
      </c>
      <c r="BT141" s="216" t="str">
        <f t="shared" si="604"/>
        <v/>
      </c>
      <c r="BU141" s="214" t="str">
        <f t="shared" ca="1" si="605"/>
        <v/>
      </c>
      <c r="BV141" s="25"/>
      <c r="BW141" s="22"/>
      <c r="BX141" s="28"/>
      <c r="BY141" s="28"/>
      <c r="BZ141" s="22"/>
      <c r="CA141" s="21"/>
      <c r="CB141" s="26"/>
      <c r="CC141" s="26"/>
      <c r="CD141" s="26"/>
      <c r="CE141" s="26"/>
      <c r="CF141" s="22" t="s">
        <v>1517</v>
      </c>
      <c r="CG141" s="21">
        <v>1.58</v>
      </c>
      <c r="CH141" s="21">
        <v>80</v>
      </c>
      <c r="CI141" s="214">
        <f t="shared" si="606"/>
        <v>32.046146450889275</v>
      </c>
      <c r="CJ141" s="225" t="e">
        <f>IF(AND(CI141&lt;10,CH141="SD"),"SIN DATO PESO PREGESTACION O I TRIM",IF(AND(OR(R141&gt;0,O141&gt;0),CI141="X"),"INGRESAR DATO DE PESO",IF(CI141="SD","INGRESAR DATO DE TALLA Y PESO",IF(AND(OR(Tabla1[[#This Row],[MOMENTO EN QUE SE REALIZA EL PESO AL INGRESO A CPN]]="PREGESTACIÓN",NZ141="Menor"),CI141&lt;18.5),"BAJO PESO",IF(AND(OR(Tabla1[[#This Row],[MOMENTO EN QUE SE REALIZA EL PESO AL INGRESO A CPN]]="PREGESTACIÓN",NZ141="Menor"),CI141&lt;25),"NORMAL",IF(AND(OR(Tabla1[[#This Row],[MOMENTO EN QUE SE REALIZA EL PESO AL INGRESO A CPN]]="PREGESTACIÓN",NZ141="Menor"),CI141&lt;30),"SOBREPESO",IF(AND(OR(Tabla1[[#This Row],[MOMENTO EN QUE SE REALIZA EL PESO AL INGRESO A CPN]]="PREGESTACIÓN",NZ141="Menor"),CI141&gt;=30,CI141&lt;50),"OBESIDAD",IF(AND(BS141&gt;0,Tabla1[[#This Row],[MOMENTO EN QUE SE REALIZA EL PESO AL INGRESO A CPN]]="GESTACIÓN"),HLOOKUP(NZ141,$OA$2:PH141,NY141),""))))))))</f>
        <v>#N/A</v>
      </c>
      <c r="CK141" s="212">
        <f t="shared" si="607"/>
        <v>45012</v>
      </c>
      <c r="CL141" s="21"/>
      <c r="CM141" s="214">
        <f t="shared" si="608"/>
        <v>0</v>
      </c>
      <c r="CN141" s="216" t="str">
        <f t="shared" si="609"/>
        <v>REVISAR FUM O FECHA CPN</v>
      </c>
      <c r="CO141" s="216" t="e">
        <f>IF(PI141="","",IF(PI141&gt;0,HLOOKUP(PI141,$PJ$2:QQ141,NY141),""))</f>
        <v>#REF!</v>
      </c>
      <c r="CP141" s="21"/>
      <c r="CQ141" s="216" t="e">
        <f>IF(QR141="Menor","NO APLICA-MENOR 13 SEM",IF(AND(CC141="SI",CN141&gt;23),"NO APLICA- GEMELAR",IF(QR141="","",IF(QR141&gt;0,HLOOKUP(QR141,$QS$2:RU141,NY141),""))))</f>
        <v>#REF!</v>
      </c>
      <c r="CR141" s="21"/>
      <c r="CS141" s="21"/>
      <c r="CT141" s="217" t="str">
        <f>IF(R141="","",IF(AND(BS141&gt;1,BS141&lt;12,Tabla1[[#This Row],[T.A. SISTOLICA - ANTES DE SEMANA 12]]="",Tabla1[[#This Row],[T.A. DIASTOLICA - ANTES DE SEMANA 12]]=""),"REGISTRE DATO TA ANTES SEMANA 12",IF(AND(BS141&gt;11,BS141&lt;43,Tabla1[[#This Row],[T.A. SISTOLICA - ANTES DE SEMANA 12]]="",Tabla1[[#This Row],[T.A. DIASTOLICA - ANTES DE SEMANA 12]]=""),"NO APLICA REGISTRO TA-INGRESO TARDIO",IF(AND(OR(O141&gt;0,R141&gt;0),OR(CR141&gt;=140,CS141&gt;=90)),"DEFINIR ESTADIO HTA",IF(AND(OR(O141&gt;0,R141&gt;0),AND(CR141&gt;120,CR141&lt;=139)),"PRE HTA SEGUIMIENTO",IF(AND(OR(O141&gt;0,R141&gt;0),AND(CS141&gt;80,CS141&lt;=89)),"PRE HTA SEGUIMIENTO",IF(AND(OR(O141&gt;0,R141&gt;0),AND(CR141&gt;=80,CR141&lt;=120)),"APARENTEMENTE NORMAL",IF(AND(OR(O141&gt;0,R141&gt;0),AND(CS141&gt;=50,CS141&lt;=80)),"APARENTEMENTE NORMAL",IF(AND(OR(O141&gt;0,R141&gt;0),AND(CR141&gt;1,CR141&lt;=70),AND(CS141&gt;1,CS141&lt;=40)),"HIPOTENSIÓN","")))))))))</f>
        <v/>
      </c>
      <c r="CU141" s="21"/>
      <c r="CV141" s="21"/>
      <c r="CW141" s="217" t="str">
        <f ca="1">IF(R141="","",IF(AND(CN141&gt;19,CN141&lt;27,Tabla1[[#This Row],[T.A. SISTOLICA (Entre semana 20 y 26)]]="",Tabla1[[#This Row],[T.A. DIATOLICA (Entre semana 20 y 26)]]=""),"ACUDE A CONTROL SEM 20 A 26 REGISTRE TA AHORA",IF(AND(BS141&gt;1,BS141&lt;27,BU141&gt;19,Tabla1[[#This Row],[T.A. SISTOLICA (Entre semana 20 y 26)]]="",Tabla1[[#This Row],[T.A. DIATOLICA (Entre semana 20 y 26)]]=""),"COMPLETE REGISTRO TA CONTROL SEM 20 A26 ",IF(AND(BS141&gt;26,BS141&lt;43,Tabla1[[#This Row],[T.A. SISTOLICA (Entre semana 20 y 26)]]="",Tabla1[[#This Row],[T.A. DIATOLICA (Entre semana 20 y 26)]]=""),"NO APLICA REGISTRO TA-INGRESO TARDIO",IF(AND(OR(O141&gt;0,R141&gt;0),OR(CU141&gt;=140,CV141&gt;=90)),"ALTO RIESGO PREECLAMPSIA,DEFINIR ESTADIO HTA",IF(AND(OR(O141&gt;0,R141&gt;0),AND(CU141&gt;120,CU141&lt;=139)),"PRE HTA SEGUIMIENTO,RIESGO HIPERTENSION INDUCIDA POR EL EMBARAZO",IF(AND(OR(O141&gt;0,R141&gt;0),AND(CV141&gt;80,CV141&lt;=89)),"PRE HTA SEGUIMIENTO, RIESGO HIPERTENSION INDUCIDA POR EL EMBARAZO",IF(AND(OR(O141&lt;&gt;"",R141&lt;&gt;""),CS141&lt;&gt;"",CV141&lt;&gt;"",CS141&lt;=CV141),"VIGILAR CIFRAS PRESION ARTERIAL",IF(AND(OR(O141&gt;0,R141&gt;0),AND(CU141&gt;120,CU141&lt;=139)),"PRE HTA SEGUIMIENTO",IF(AND(OR(O141&gt;0,R141&gt;0),AND(CU141&gt;1,CU141&lt;=70),AND(CV141&gt;1,CV141&lt;=40)),"HIPOTENSIÓN",IF(AND(OR(O141&lt;&gt;"",R141&lt;&gt;""),CS141&lt;&gt;"",CV141&lt;&gt;"",CS141&gt;CV141),"APARENTEMENTE NORMAL",IF(AND(OR(O141&gt;0,R141&gt;0),AND(CU141&gt;=80,CU141&lt;=120)),"APARENTEMENTE NORMAL",IF(AND(OR(O141&gt;0,R141&gt;0),AND(CV141&gt;=50,CV141&lt;=80)),"APARENTEMENTE NORMAL","")))))))))))))</f>
        <v/>
      </c>
      <c r="CX141" s="21"/>
      <c r="CY141" s="21"/>
      <c r="CZ141" s="216" t="str">
        <f t="shared" si="498"/>
        <v/>
      </c>
      <c r="DA141" s="21"/>
      <c r="DB141" s="21"/>
      <c r="DC141" s="217" t="str">
        <f t="shared" si="610"/>
        <v>REGISTRE DATO PRESIÓN ARTERIAL MENSUAL</v>
      </c>
      <c r="DD141" s="22">
        <v>45012</v>
      </c>
      <c r="DE141" s="22">
        <v>45012</v>
      </c>
      <c r="DF141" s="22"/>
      <c r="DG141" s="22"/>
      <c r="DH141" s="22"/>
      <c r="DI141" s="22"/>
      <c r="DJ141" s="22"/>
      <c r="DK141" s="22"/>
      <c r="DL141" s="22"/>
      <c r="DM141" s="22"/>
      <c r="DN141" s="22"/>
      <c r="DO141" s="22"/>
      <c r="DP141" s="22"/>
      <c r="DQ141" s="22"/>
      <c r="DR141" s="28">
        <v>1</v>
      </c>
      <c r="DS141" s="22"/>
      <c r="DT141" s="22"/>
      <c r="DU141" s="216" t="e">
        <f t="shared" si="438"/>
        <v>#VALUE!</v>
      </c>
      <c r="DV141" s="226" t="str">
        <f t="shared" si="439"/>
        <v>SALIO PROGRAMA</v>
      </c>
      <c r="DW141"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1" s="216" t="str">
        <f t="shared" ca="1" si="611"/>
        <v/>
      </c>
      <c r="DY141" s="212">
        <f>IF(R141="","",IF(R141&gt;0,MAX(Tabla1[[#This Row],[FECHA C2]:[FECHA C13]],Tabla1[[#This Row],[FECHA CONSULTA PRIMERA VEZ PROGRAMA CPN ]])))</f>
        <v>45012</v>
      </c>
      <c r="DZ141" s="216" t="str">
        <f t="shared" si="612"/>
        <v>REVISAR FUM O FECHA CPN</v>
      </c>
      <c r="EA141" s="222">
        <f>IF(R141&gt;0,SUM(COUNTA(DF141:DQ141)+COUNTA(Tabla1[[#This Row],[FECHA CONSULTA PRIMERA VEZ PROGRAMA CPN ]])),"")</f>
        <v>1</v>
      </c>
      <c r="EB141" s="222" t="str">
        <f t="shared" si="613"/>
        <v>NO</v>
      </c>
      <c r="EC141" s="214" t="str">
        <f t="shared" si="614"/>
        <v/>
      </c>
      <c r="ED141" s="227" t="str">
        <f t="shared" si="615"/>
        <v/>
      </c>
      <c r="EE141" s="22">
        <v>45012</v>
      </c>
      <c r="EF141" s="22"/>
      <c r="EG141" s="22">
        <v>45012</v>
      </c>
      <c r="EH141" s="22"/>
      <c r="EI141" s="22">
        <v>45012</v>
      </c>
      <c r="EJ141" s="22"/>
      <c r="EK141" s="22"/>
      <c r="EL141" s="21"/>
      <c r="EM141" s="21"/>
      <c r="EN141" s="22"/>
      <c r="EO141" s="222" t="e">
        <f t="shared" si="616"/>
        <v>#VALUE!</v>
      </c>
      <c r="EP141" s="214" t="str">
        <f t="shared" si="617"/>
        <v/>
      </c>
      <c r="EQ141" s="216" t="e">
        <f t="shared" si="618"/>
        <v>#VALUE!</v>
      </c>
      <c r="ER141" s="24"/>
      <c r="ES141" s="22"/>
      <c r="ET141" s="29" t="e">
        <f t="shared" si="440"/>
        <v>#VALUE!</v>
      </c>
      <c r="EU141" s="25" t="str">
        <f t="shared" si="619"/>
        <v/>
      </c>
      <c r="EV141" s="24"/>
      <c r="EW141" s="24"/>
      <c r="EX141" s="22"/>
      <c r="EY141" s="29" t="e">
        <f t="shared" si="453"/>
        <v>#VALUE!</v>
      </c>
      <c r="EZ141" s="25" t="str">
        <f t="shared" ca="1" si="454"/>
        <v/>
      </c>
      <c r="FA141" s="21"/>
      <c r="FB141" s="22"/>
      <c r="FC141" s="29" t="e">
        <f t="shared" si="620"/>
        <v>#VALUE!</v>
      </c>
      <c r="FD141" s="29"/>
      <c r="FE141" s="29"/>
      <c r="FF141" s="29"/>
      <c r="FG141" s="21" t="e">
        <f t="shared" si="621"/>
        <v>#VALUE!</v>
      </c>
      <c r="FH141" s="31"/>
      <c r="FI141" s="29" t="e">
        <f t="shared" si="622"/>
        <v>#VALUE!</v>
      </c>
      <c r="FJ141" s="22"/>
      <c r="FK141" s="22"/>
      <c r="FL141" s="29" t="e">
        <f t="shared" si="623"/>
        <v>#VALUE!</v>
      </c>
      <c r="FM141" s="22"/>
      <c r="FN141" s="32"/>
      <c r="FO141" s="29" t="e">
        <f t="shared" ca="1" si="441"/>
        <v>#VALUE!</v>
      </c>
      <c r="FP141" s="22"/>
      <c r="FQ141" s="32"/>
      <c r="FR141" s="29" t="e">
        <f t="shared" ca="1" si="442"/>
        <v>#VALUE!</v>
      </c>
      <c r="FS141" s="22"/>
      <c r="FT141" s="32"/>
      <c r="FU141" s="29" t="str">
        <f>IF(AND(FJ141="",FM141="",FP141="",FS141=""),"",IF(OR(OR(Tabla1[[#This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1" s="28"/>
      <c r="FW141" s="22"/>
      <c r="FX141" s="29" t="e">
        <f t="shared" si="624"/>
        <v>#VALUE!</v>
      </c>
      <c r="FY141" s="22"/>
      <c r="FZ141" s="22"/>
      <c r="GA141" s="29" t="e">
        <f t="shared" si="497"/>
        <v>#VALUE!</v>
      </c>
      <c r="GB141" s="22"/>
      <c r="GC141" s="22"/>
      <c r="GD141" s="29" t="e">
        <f t="shared" ca="1" si="490"/>
        <v>#VALUE!</v>
      </c>
      <c r="GE141" s="22"/>
      <c r="GF141" s="22"/>
      <c r="GG141" s="29" t="e">
        <f t="shared" ca="1" si="444"/>
        <v>#VALUE!</v>
      </c>
      <c r="GH141" s="22"/>
      <c r="GI141" s="29"/>
      <c r="GJ141" s="22"/>
      <c r="GK141" s="22"/>
      <c r="GL141" s="22"/>
      <c r="GM141" s="22"/>
      <c r="GN141" s="28"/>
      <c r="GO141" s="22"/>
      <c r="GP141" s="29" t="e">
        <f t="shared" si="625"/>
        <v>#VALUE!</v>
      </c>
      <c r="GQ141" s="28"/>
      <c r="GR141" s="28"/>
      <c r="GS141" s="22" t="str">
        <f t="shared" si="626"/>
        <v/>
      </c>
      <c r="GT141" s="22"/>
      <c r="GU141" s="29" t="str">
        <f t="shared" si="627"/>
        <v>TOMAR EXAMEN</v>
      </c>
      <c r="GV141" s="21" t="str">
        <f t="shared" si="628"/>
        <v>POR DEFINIR</v>
      </c>
      <c r="GW141" s="28"/>
      <c r="GX141" s="30"/>
      <c r="GY141" s="21"/>
      <c r="GZ141" s="21"/>
      <c r="HA141" s="21"/>
      <c r="HB141" s="21"/>
      <c r="HC141" s="21"/>
      <c r="HD141" s="21"/>
      <c r="HE141" s="21"/>
      <c r="HF141" s="22"/>
      <c r="HG141" s="22" t="str">
        <f>IF(OR(O141&gt;0,R141&gt;0),CONCATENATE(IF(Tabla1[[#This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1" s="22" t="e">
        <f t="shared" si="629"/>
        <v>#REF!</v>
      </c>
      <c r="HI141" s="22" t="e">
        <f t="shared" ca="1" si="630"/>
        <v>#REF!</v>
      </c>
      <c r="HJ141" s="21"/>
      <c r="HK141" s="21" t="str">
        <f t="shared" si="631"/>
        <v>SIN ANTECEDENTES DE RIESGO</v>
      </c>
      <c r="HL141" s="24" t="str">
        <f t="shared" si="632"/>
        <v>REGISTRE DATO PRESIÓN ARTERIAL MENSUAL</v>
      </c>
      <c r="HM141" s="21" t="str">
        <f t="shared" ca="1" si="633"/>
        <v/>
      </c>
      <c r="HN141" s="30" t="str">
        <f t="shared" si="445"/>
        <v>SALIO PROGRAMA</v>
      </c>
      <c r="HO141" s="21"/>
      <c r="HP141" s="21"/>
      <c r="HQ141" s="21"/>
      <c r="HR141" s="21" t="str">
        <f>IF(R141="","",IF(Tabla1[[#This Row],[ALARMA FACTORES DE RIESGO COMPLICACIONES HIPERTENSIVAS3]]="SIN ANTECEDENTES DE RIESGO","No Aplica para suministro de ASA",IF(AND(Tabla1[[#This Row],[FECHA INICIO DE SUMINISTRO DE ASA]]&gt;0,RV141&lt;12),"Inicia ASA ANTES de Sem 12",IF(AND(RV141&gt;11,RV141&lt;17,OR(HK141="RIESGO ALTO DE COMPLICACIONES HIPERTENSIVAS VER MANEJO GUIA SUMINISTRO ASA Y CALCIO",HK141="RIESGO MODERADO (2 O MAS CRITERIOS) VER MANEJO GUIA SUMINISTRO ASA Y CALCIO")),"Inicio oportuno de ASA",IF(AND(RV141&gt;12,OR(HK141="RIESGO ALTO DE COMPLICACIONES HIPERTENSIVAS VER MANEJO GUIA SUMINISTRO ASA Y CALCIO",HK141="RIESGO MODERADO (2 O MAS CRITERIOS) VER MANEJO GUIA SUMINISTRO ASA Y CALCIO")),"Inicio no oportuno mayor a 16 semanas",IF(AND(BU141&lt;12,OR(HK141="RIESGO ALTO DE COMPLICACIONES HIPERTENSIVAS VER MANEJO GUIA SUMINISTRO ASA Y CALCIO",HK141="RIESGO MODERADO (2 O MAS CRITERIOS) VER MANEJO GUIA SUMINISTRO ASA Y CALCIO")),"Pendiente Inicio de ASA a la semana 12",IF(AND(BU141&gt;11,BU141&lt;17,OR(HK141="RIESGO ALTO DE COMPLICACIONES HIPERTENSIVAS VER MANEJO GUIA SUMINISTRO ASA Y CALCIO",HK141="RIESGO MODERADO (2 O MAS CRITERIOS) VER MANEJO GUIA SUMINISTRO ASA Y CALCIO")),"Iniciar de inmediato ASA",IF(AND(BU141&gt;16,OR(HK141="RIESGO ALTO DE COMPLICACIONES HIPERTENSIVAS VER MANEJO GUIA SUMINISTRO ASA Y CALCIO",HK141="RIESGO MODERADO (2 O MAS CRITERIOS) VER MANEJO GUIA SUMINISTRO ASA Y CALCIO")),"Pierde Oportunidad, Inicio tardío de ASA","XXXXX"))))))))</f>
        <v>No Aplica para suministro de ASA</v>
      </c>
      <c r="HS141" s="22"/>
      <c r="HT141" s="22"/>
      <c r="HU141" s="22"/>
      <c r="HV141" s="22"/>
      <c r="HW141" s="22"/>
      <c r="HX141" s="22"/>
      <c r="HY141" s="22"/>
      <c r="HZ141" s="28" t="e">
        <f t="shared" si="634"/>
        <v>#VALUE!</v>
      </c>
      <c r="IA141" s="26"/>
      <c r="IB141" s="26"/>
      <c r="IC141" s="111"/>
      <c r="ID141" s="22"/>
      <c r="IE141" s="22" t="str">
        <f t="shared" si="635"/>
        <v>SIN DATO EDAD GESTACIONAL</v>
      </c>
      <c r="IF141" s="22"/>
      <c r="IG141" s="22" t="str">
        <f t="shared" si="636"/>
        <v/>
      </c>
      <c r="IH141" s="29" t="str">
        <f t="shared" ca="1" si="637"/>
        <v/>
      </c>
      <c r="II141" s="22" t="str">
        <f t="shared" ca="1" si="638"/>
        <v/>
      </c>
      <c r="IJ141" s="22"/>
      <c r="IK141" s="21" t="s">
        <v>898</v>
      </c>
      <c r="IL141" s="21"/>
      <c r="IM141" s="34"/>
      <c r="IN141" s="22">
        <v>45058</v>
      </c>
      <c r="IO141" s="21" t="s">
        <v>1640</v>
      </c>
      <c r="IP141" s="29" t="e">
        <f t="shared" si="672"/>
        <v>#VALUE!</v>
      </c>
      <c r="IQ141" s="35"/>
      <c r="IR141" s="21" t="s">
        <v>846</v>
      </c>
      <c r="IS141" s="21" t="s">
        <v>1641</v>
      </c>
      <c r="IT141" s="21" t="s">
        <v>1642</v>
      </c>
      <c r="IU141" s="21"/>
      <c r="IV141" s="21"/>
      <c r="IW141" s="21"/>
      <c r="IX141" s="21"/>
      <c r="IY141" s="21"/>
      <c r="IZ141" s="21"/>
      <c r="JA141" s="21"/>
      <c r="JB141" s="30">
        <v>1</v>
      </c>
      <c r="JC141" s="21" t="s">
        <v>1647</v>
      </c>
      <c r="JD141" s="36">
        <v>3700</v>
      </c>
      <c r="JE141" s="21" t="e">
        <f t="shared" si="491"/>
        <v>#VALUE!</v>
      </c>
      <c r="JF141" s="30"/>
      <c r="JG141" s="21"/>
      <c r="JH141" s="21"/>
      <c r="JI141" s="21"/>
      <c r="JJ141" s="30"/>
      <c r="JK141" s="22"/>
      <c r="JL141" s="22"/>
      <c r="JM141" s="21"/>
      <c r="JN141" s="36"/>
      <c r="JO141" s="21" t="e">
        <f t="shared" si="492"/>
        <v>#VALUE!</v>
      </c>
      <c r="JP141" s="22"/>
      <c r="JQ141" s="21"/>
      <c r="JR141" s="21"/>
      <c r="JS141" s="21"/>
      <c r="JT141" s="30"/>
      <c r="JU141" s="22"/>
      <c r="JV141" s="22"/>
      <c r="JW141" s="33"/>
      <c r="JX141" s="28" t="str">
        <f t="shared" si="493"/>
        <v>INASISTENTE</v>
      </c>
      <c r="JY141" s="33"/>
      <c r="JZ141" s="28" t="str">
        <f t="shared" si="494"/>
        <v>INASISTENTE</v>
      </c>
      <c r="KA141" s="21"/>
      <c r="KB141" s="21"/>
      <c r="KC141" s="21"/>
      <c r="KD141" s="37"/>
      <c r="KE141" s="28"/>
      <c r="KF141" s="28"/>
      <c r="KG141" s="28"/>
      <c r="KH141" s="39"/>
      <c r="KI141" s="39"/>
      <c r="KJ141" s="66"/>
      <c r="KK141" s="39"/>
      <c r="KL141" s="39"/>
      <c r="KM141" s="66"/>
      <c r="KN141" s="39"/>
      <c r="KO141" s="39"/>
      <c r="KP141" s="39"/>
      <c r="KQ141" s="39"/>
      <c r="KR141" s="39"/>
      <c r="KS141" s="39"/>
      <c r="KT141" s="39"/>
      <c r="KU141" s="38"/>
      <c r="KV141" s="38"/>
      <c r="KW141" s="38"/>
      <c r="KX141" s="38"/>
      <c r="KY141" s="38"/>
      <c r="KZ141" s="38"/>
      <c r="LA141" s="38"/>
      <c r="LB141" s="38"/>
      <c r="LC141" s="38"/>
      <c r="LD141" s="38"/>
      <c r="LE141" s="38"/>
      <c r="LF141" s="38"/>
      <c r="LG141" s="38"/>
      <c r="LH141" s="38"/>
      <c r="LI141" s="38"/>
      <c r="LJ141" s="38"/>
      <c r="LK141" s="38"/>
      <c r="LL141" s="38"/>
      <c r="LM141" s="38"/>
      <c r="LN141" s="38"/>
      <c r="LO141" s="38"/>
      <c r="LP141" s="38"/>
      <c r="LQ141" s="38"/>
      <c r="LR141" s="38"/>
      <c r="LS141" s="38"/>
      <c r="LT141" s="38"/>
      <c r="LU141" s="38"/>
      <c r="LV141" s="38"/>
      <c r="LW141" s="38"/>
      <c r="LX141" s="38"/>
      <c r="LY141" s="38"/>
      <c r="LZ141" s="38"/>
      <c r="MA141" s="38"/>
      <c r="MB141" s="38"/>
      <c r="MC141" s="38"/>
      <c r="MD141" s="38"/>
      <c r="ME141" s="38"/>
      <c r="MF141" s="38"/>
      <c r="MG141" s="38"/>
      <c r="MH141" s="43">
        <f t="shared" si="639"/>
        <v>0</v>
      </c>
      <c r="MI141" s="43" t="str">
        <f t="shared" si="640"/>
        <v/>
      </c>
      <c r="MJ141" s="43" t="str">
        <f t="shared" si="641"/>
        <v/>
      </c>
      <c r="MK141" s="43">
        <f t="shared" si="642"/>
        <v>0</v>
      </c>
      <c r="ML1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1" s="43" t="e">
        <f t="shared" si="643"/>
        <v>#VALUE!</v>
      </c>
      <c r="MN141" s="43">
        <f t="shared" si="644"/>
        <v>3</v>
      </c>
      <c r="MO141" s="43">
        <f t="shared" si="645"/>
        <v>2023</v>
      </c>
      <c r="MP141" s="43" t="str">
        <f t="shared" si="646"/>
        <v>I TRIMESTRE AÑO</v>
      </c>
      <c r="MQ141" s="43">
        <f t="shared" si="647"/>
        <v>20.584209373631186</v>
      </c>
      <c r="MR141" s="43">
        <f t="shared" si="648"/>
        <v>0</v>
      </c>
      <c r="MS141" s="43" t="str">
        <f t="shared" si="649"/>
        <v xml:space="preserve"> DE 20 A 24 AÑOS</v>
      </c>
      <c r="MT141" s="43">
        <f t="shared" si="650"/>
        <v>0</v>
      </c>
      <c r="MU141" s="43">
        <f t="shared" si="651"/>
        <v>0</v>
      </c>
      <c r="MV141" s="43">
        <f t="shared" si="652"/>
        <v>0</v>
      </c>
      <c r="MW141" s="43">
        <f t="shared" si="653"/>
        <v>0</v>
      </c>
      <c r="MX141" s="43" t="str">
        <f t="shared" si="654"/>
        <v/>
      </c>
      <c r="MY141" s="43" t="str">
        <f t="shared" ca="1" si="495"/>
        <v/>
      </c>
      <c r="MZ141" s="43" t="str">
        <f t="shared" si="655"/>
        <v/>
      </c>
      <c r="NA141" s="43" t="str">
        <f t="shared" si="656"/>
        <v/>
      </c>
      <c r="NB141" s="43" t="str">
        <f t="shared" si="657"/>
        <v/>
      </c>
      <c r="NC141" s="43" t="str">
        <f t="shared" si="658"/>
        <v/>
      </c>
      <c r="ND141" s="43">
        <f t="shared" ca="1" si="659"/>
        <v>0</v>
      </c>
      <c r="NE141" s="43">
        <f>IF(OR(O141&gt;0,R141&gt;0),SUM(COUNTIF(Tabla1[[#This Row],[AÑOS AL INICIO5 CPN]],"&gt;=40"),COUNTIF(AS141,"0"),COUNTIF(AR141,"SI"),COUNTIF(CC141,"SI"),COUNTIF(BQ141,"&gt;119"),COUNTIF(CI141,"&gt;=35")),"")</f>
        <v>0</v>
      </c>
      <c r="NF141" s="43" t="str">
        <f t="shared" si="660"/>
        <v>SD</v>
      </c>
      <c r="NG141" s="43">
        <f t="shared" si="661"/>
        <v>0</v>
      </c>
      <c r="NH141" s="43" t="str">
        <f t="shared" si="662"/>
        <v/>
      </c>
      <c r="NI141"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CPN",P141="NO"),"Z",IF(AND(Tabla1[[#This Row],[CITA PROXIMO CONTROL]]="CITA MANUAL",Tabla1[[#This Row],[GESTANTES ACTUALES]]="ACTIVA INGRESO A CPN"),"W",IF(AND(Tabla1[[#This Row],[GESTANTES ACTUALES]]="SALIO PROGRAMA",IN141=""),"S",IF(AND(Tabla1[[#This Row],[CITA PROXIMO CONTROL]]&gt;0,IN141=""),(Tabla1[[#This Row],[CITA PROXIMO CONTROL]]-TODAY()),"SD"))))))))</f>
        <v>SD</v>
      </c>
      <c r="NJ141" s="43">
        <f>MONTH(Tabla1[[#This Row],[FECHA DE SALIDA  DEL PROGRAMA]])</f>
        <v>5</v>
      </c>
      <c r="NK141" s="43">
        <f>YEAR(Tabla1[[#This Row],[FECHA DE SALIDA  DEL PROGRAMA]])</f>
        <v>2023</v>
      </c>
      <c r="NL141" s="43" t="str">
        <f t="shared" si="663"/>
        <v>X</v>
      </c>
      <c r="NM141" s="43" t="str">
        <f t="shared" si="500"/>
        <v>NO</v>
      </c>
      <c r="NN141" s="43" t="str">
        <f ca="1">IF(AND(O141&gt;0,R141=""),"NO CPN",IF(AND(O141="",R141=""),"",IF(AND(R141&gt;0,Tabla1[[#This Row],[SEMANAS DE GESTACION ACTUALIZADAS]]&lt;=12),"NO APLICA",IF(AND(FH141&lt;&gt;"",FN141&lt;&gt;""),"SI","NO"))))</f>
        <v>NO</v>
      </c>
      <c r="NO141" s="43" t="str">
        <f ca="1">IF(AND(O141&gt;0,R141=""),"NO CPN",IF(AND(O141="",R141=""),"",IF(AND(R141&gt;0,Tabla1[[#This Row],[SEMANAS DE GESTACION ACTUALIZADAS]]&lt;=27),"NO APLICA",IF(AND(ES141&lt;&gt;"",FQ141&lt;&gt;"",GF141&lt;&gt;""),"SI","NO"))))</f>
        <v>NO</v>
      </c>
      <c r="NP141" s="204" t="str">
        <f t="shared" si="664"/>
        <v/>
      </c>
      <c r="NQ141" s="21" t="str">
        <f t="shared" si="499"/>
        <v/>
      </c>
      <c r="NR141" s="21" t="e">
        <f t="shared" si="496"/>
        <v>#VALUE!</v>
      </c>
      <c r="NS141" s="205">
        <f t="shared" ca="1" si="665"/>
        <v>0</v>
      </c>
      <c r="NT141" s="21">
        <f t="shared" ca="1" si="666"/>
        <v>0</v>
      </c>
      <c r="NU141" s="21" t="e">
        <f t="shared" si="667"/>
        <v>#VALUE!</v>
      </c>
      <c r="NV141" s="21" t="e">
        <f t="shared" si="668"/>
        <v>#VALUE!</v>
      </c>
      <c r="NW141" s="206" t="str">
        <f>IF(AND(O141="",R141=""),"",IF(OR(AND(Tabla1[[#This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1" s="207" t="str">
        <f t="shared" si="669"/>
        <v>SIN VACUNAR</v>
      </c>
      <c r="NY141" s="43">
        <f>ROW(Tabla1[[#This Row],['# DE TAMIZAJES SIFILIS TOMADOS ]])</f>
        <v>141</v>
      </c>
      <c r="NZ141" s="43" t="str">
        <f t="shared" si="501"/>
        <v/>
      </c>
      <c r="OA141" s="43" t="str">
        <f t="shared" si="502"/>
        <v/>
      </c>
      <c r="OB141" s="43" t="str">
        <f t="shared" si="503"/>
        <v/>
      </c>
      <c r="OC141" s="43" t="str">
        <f t="shared" si="504"/>
        <v/>
      </c>
      <c r="OD141" s="43" t="str">
        <f t="shared" si="505"/>
        <v/>
      </c>
      <c r="OE141" s="43" t="str">
        <f t="shared" si="506"/>
        <v/>
      </c>
      <c r="OF141" s="43" t="str">
        <f t="shared" si="507"/>
        <v/>
      </c>
      <c r="OG141" s="43" t="str">
        <f t="shared" si="508"/>
        <v/>
      </c>
      <c r="OH141" s="43" t="str">
        <f t="shared" si="509"/>
        <v/>
      </c>
      <c r="OI141" s="43" t="str">
        <f t="shared" si="510"/>
        <v/>
      </c>
      <c r="OJ141" s="43" t="str">
        <f t="shared" si="511"/>
        <v/>
      </c>
      <c r="OK141" s="43" t="str">
        <f t="shared" si="512"/>
        <v/>
      </c>
      <c r="OL141" s="43" t="str">
        <f t="shared" si="513"/>
        <v/>
      </c>
      <c r="OM141" s="43" t="str">
        <f t="shared" si="514"/>
        <v/>
      </c>
      <c r="ON141" s="43" t="str">
        <f t="shared" si="515"/>
        <v/>
      </c>
      <c r="OO141" s="43" t="str">
        <f t="shared" si="516"/>
        <v/>
      </c>
      <c r="OP141" s="43" t="str">
        <f t="shared" si="517"/>
        <v/>
      </c>
      <c r="OQ141" s="43" t="str">
        <f t="shared" si="518"/>
        <v/>
      </c>
      <c r="OR141" s="43" t="str">
        <f t="shared" si="519"/>
        <v/>
      </c>
      <c r="OS141" s="43" t="str">
        <f t="shared" si="520"/>
        <v/>
      </c>
      <c r="OT141" s="43" t="str">
        <f t="shared" si="521"/>
        <v/>
      </c>
      <c r="OU141" s="43" t="str">
        <f t="shared" si="522"/>
        <v/>
      </c>
      <c r="OV141" s="110" t="str">
        <f t="shared" si="523"/>
        <v/>
      </c>
      <c r="OW141" s="43" t="str">
        <f t="shared" si="524"/>
        <v/>
      </c>
      <c r="OX141" s="43" t="str">
        <f t="shared" si="525"/>
        <v/>
      </c>
      <c r="OY141" s="43" t="str">
        <f t="shared" si="526"/>
        <v/>
      </c>
      <c r="OZ141" s="43" t="str">
        <f t="shared" si="527"/>
        <v/>
      </c>
      <c r="PA141" s="43" t="str">
        <f t="shared" si="528"/>
        <v/>
      </c>
      <c r="PB141" s="43" t="str">
        <f t="shared" si="529"/>
        <v/>
      </c>
      <c r="PC141" s="43" t="str">
        <f t="shared" si="530"/>
        <v/>
      </c>
      <c r="PD141" s="43" t="str">
        <f t="shared" si="531"/>
        <v/>
      </c>
      <c r="PE141" s="43" t="str">
        <f t="shared" si="532"/>
        <v/>
      </c>
      <c r="PF141" s="43" t="str">
        <f t="shared" si="533"/>
        <v/>
      </c>
      <c r="PG141" s="43" t="str">
        <f t="shared" si="534"/>
        <v/>
      </c>
      <c r="PH141" s="43" t="str">
        <f t="shared" si="535"/>
        <v/>
      </c>
      <c r="PI141" s="43" t="str">
        <f t="shared" si="536"/>
        <v>REVISAR FUM O FECHA CPN</v>
      </c>
      <c r="PJ141" s="43" t="str">
        <f t="shared" si="537"/>
        <v/>
      </c>
      <c r="PK141" s="43" t="str">
        <f t="shared" si="538"/>
        <v/>
      </c>
      <c r="PL141" s="43" t="str">
        <f t="shared" si="539"/>
        <v/>
      </c>
      <c r="PM141" s="43" t="str">
        <f t="shared" si="540"/>
        <v/>
      </c>
      <c r="PN141" s="43" t="str">
        <f t="shared" si="541"/>
        <v/>
      </c>
      <c r="PO141" s="43" t="str">
        <f t="shared" si="542"/>
        <v/>
      </c>
      <c r="PP141" s="43" t="str">
        <f t="shared" si="543"/>
        <v/>
      </c>
      <c r="PQ141" s="43" t="str">
        <f t="shared" si="544"/>
        <v/>
      </c>
      <c r="PR141" s="43" t="str">
        <f t="shared" si="545"/>
        <v/>
      </c>
      <c r="PS141" s="43" t="str">
        <f t="shared" si="546"/>
        <v/>
      </c>
      <c r="PT141" s="43" t="str">
        <f t="shared" si="547"/>
        <v/>
      </c>
      <c r="PU141" s="43" t="str">
        <f t="shared" si="548"/>
        <v/>
      </c>
      <c r="PV141" s="43" t="str">
        <f t="shared" si="549"/>
        <v/>
      </c>
      <c r="PW141" s="43" t="str">
        <f t="shared" si="550"/>
        <v/>
      </c>
      <c r="PX141" s="43" t="str">
        <f t="shared" si="551"/>
        <v/>
      </c>
      <c r="PY141" s="43" t="str">
        <f t="shared" si="552"/>
        <v/>
      </c>
      <c r="PZ141" s="43" t="str">
        <f t="shared" si="553"/>
        <v/>
      </c>
      <c r="QA141" s="43" t="str">
        <f t="shared" si="554"/>
        <v/>
      </c>
      <c r="QB141" s="43" t="str">
        <f t="shared" si="555"/>
        <v/>
      </c>
      <c r="QC141" s="43" t="str">
        <f t="shared" si="556"/>
        <v/>
      </c>
      <c r="QD141" s="43" t="str">
        <f t="shared" si="557"/>
        <v/>
      </c>
      <c r="QE141" s="43" t="str">
        <f t="shared" si="558"/>
        <v/>
      </c>
      <c r="QF141" s="43" t="str">
        <f t="shared" si="559"/>
        <v/>
      </c>
      <c r="QG141" s="43" t="str">
        <f t="shared" si="560"/>
        <v/>
      </c>
      <c r="QH141" s="43" t="str">
        <f t="shared" si="561"/>
        <v/>
      </c>
      <c r="QI141" s="43" t="str">
        <f t="shared" si="562"/>
        <v/>
      </c>
      <c r="QJ141" s="43" t="str">
        <f t="shared" si="563"/>
        <v/>
      </c>
      <c r="QK141" s="43" t="str">
        <f t="shared" si="564"/>
        <v/>
      </c>
      <c r="QL141" s="43" t="str">
        <f t="shared" si="565"/>
        <v/>
      </c>
      <c r="QM141" s="43" t="str">
        <f t="shared" si="566"/>
        <v/>
      </c>
      <c r="QN141" s="43" t="str">
        <f t="shared" si="567"/>
        <v/>
      </c>
      <c r="QO141" s="43" t="str">
        <f t="shared" si="568"/>
        <v/>
      </c>
      <c r="QP141" s="43" t="str">
        <f t="shared" si="569"/>
        <v/>
      </c>
      <c r="QQ141" s="43" t="str">
        <f t="shared" si="570"/>
        <v/>
      </c>
      <c r="QR141" s="43" t="str">
        <f t="shared" si="670"/>
        <v>Mayor</v>
      </c>
      <c r="QS141" s="43"/>
      <c r="QT141" s="21" t="str">
        <f t="shared" si="571"/>
        <v/>
      </c>
      <c r="QU141" s="21" t="str">
        <f t="shared" si="572"/>
        <v/>
      </c>
      <c r="QV141" s="21" t="str">
        <f t="shared" si="573"/>
        <v/>
      </c>
      <c r="QW141" s="21" t="str">
        <f t="shared" si="574"/>
        <v/>
      </c>
      <c r="QX141" s="21" t="str">
        <f t="shared" si="575"/>
        <v/>
      </c>
      <c r="QY141" s="21" t="str">
        <f t="shared" si="576"/>
        <v/>
      </c>
      <c r="QZ141" s="21" t="str">
        <f t="shared" si="577"/>
        <v/>
      </c>
      <c r="RA141" s="21" t="str">
        <f t="shared" si="578"/>
        <v/>
      </c>
      <c r="RB141" s="21" t="str">
        <f t="shared" si="579"/>
        <v/>
      </c>
      <c r="RC141" s="21" t="str">
        <f t="shared" si="580"/>
        <v/>
      </c>
      <c r="RD141" s="21" t="str">
        <f t="shared" si="581"/>
        <v/>
      </c>
      <c r="RE141" s="21" t="str">
        <f t="shared" si="582"/>
        <v/>
      </c>
      <c r="RF141" s="21" t="str">
        <f t="shared" si="583"/>
        <v/>
      </c>
      <c r="RG141" s="21" t="str">
        <f t="shared" si="584"/>
        <v/>
      </c>
      <c r="RH141" s="21" t="str">
        <f t="shared" si="585"/>
        <v/>
      </c>
      <c r="RI141" s="21" t="str">
        <f t="shared" si="586"/>
        <v/>
      </c>
      <c r="RJ141" s="21" t="str">
        <f t="shared" si="587"/>
        <v/>
      </c>
      <c r="RK141" s="21" t="str">
        <f t="shared" si="588"/>
        <v/>
      </c>
      <c r="RL141" s="21" t="str">
        <f t="shared" si="589"/>
        <v/>
      </c>
      <c r="RM141" s="21" t="str">
        <f t="shared" si="590"/>
        <v/>
      </c>
      <c r="RN141" s="21" t="str">
        <f t="shared" si="591"/>
        <v/>
      </c>
      <c r="RO141" s="21" t="str">
        <f t="shared" si="592"/>
        <v/>
      </c>
      <c r="RP141" s="21" t="str">
        <f t="shared" si="593"/>
        <v/>
      </c>
      <c r="RQ141" s="21" t="str">
        <f t="shared" si="594"/>
        <v/>
      </c>
      <c r="RR141" s="21" t="str">
        <f t="shared" si="595"/>
        <v/>
      </c>
      <c r="RS141" s="21" t="str">
        <f t="shared" si="596"/>
        <v/>
      </c>
      <c r="RT141" s="21" t="str">
        <f t="shared" si="597"/>
        <v/>
      </c>
      <c r="RU141" s="21" t="str">
        <f t="shared" si="598"/>
        <v/>
      </c>
      <c r="RV141" s="21" t="e">
        <f t="shared" si="599"/>
        <v>#VALUE!</v>
      </c>
      <c r="RW141" s="284" t="str">
        <f>IF(OR(Tabla1[[#This Row],[FUM FORMULA CONFIABLE]]="",Tabla1[[#This Row],[FUM FORMULA CONFIABLE]]="SD"),"",IF(Tabla1[[#This Row],[FUM FORMULA CONFIABLE]]="CORREGIDA",Tabla1[[#This Row],[FUM X ECO 1]],Tabla1[[#This Row],[FUM x AMENORREA]]))</f>
        <v/>
      </c>
      <c r="RX141" s="21" t="str">
        <f>IF(AND(Tabla1[[#This Row],[FUM X ECO 1]]="",Tabla1[[#This Row],[FUM x AMENORREA]]=""),"",IF(AND(Tabla1[[#This Row],[FUM X ECO 1]]="",Tabla1[[#This Row],[FUM x AMENORREA]]&lt;&gt;""),"X",SUM(Tabla1[[#This Row],[FUM X ECO 1]]-Tabla1[[#This Row],[FUM x AMENORREA]])))</f>
        <v/>
      </c>
      <c r="RY141" s="21" t="str">
        <f t="shared" si="671"/>
        <v/>
      </c>
    </row>
    <row r="142" spans="1:493" s="338" customFormat="1" ht="45" customHeight="1" x14ac:dyDescent="0.25">
      <c r="A142" s="300"/>
      <c r="B142" s="301"/>
      <c r="C142" s="301" t="s">
        <v>845</v>
      </c>
      <c r="D142" s="302"/>
      <c r="E142" s="301" t="s">
        <v>974</v>
      </c>
      <c r="F142" s="301" t="s">
        <v>1144</v>
      </c>
      <c r="G142" s="301" t="s">
        <v>1419</v>
      </c>
      <c r="H142" s="301"/>
      <c r="I142" s="300" t="s">
        <v>851</v>
      </c>
      <c r="J142" s="303">
        <v>1059598995</v>
      </c>
      <c r="K142" s="301" t="s">
        <v>852</v>
      </c>
      <c r="L142" s="175" t="s">
        <v>1509</v>
      </c>
      <c r="M142" s="305">
        <v>33067</v>
      </c>
      <c r="N142" s="306">
        <f t="shared" ca="1" si="600"/>
        <v>33.331506849315069</v>
      </c>
      <c r="O142" s="305">
        <v>45014</v>
      </c>
      <c r="P142" s="307" t="str">
        <f t="shared" ref="P142:P203" si="673">IF(AND(O142="",R142&gt;0),"ACUDE ESPONTANEAMENTE",IF(AND(AND(O142&gt;0,R142=""),OR(IN142&gt;0,IK142&lt;&gt;"")),"NA",IF(AND(O142&gt;0,IN142="",R142=""),"NO",IF(AND(O142&gt;0,R142&gt;0),"SI",""))))</f>
        <v>SI</v>
      </c>
      <c r="Q142" s="308" t="s">
        <v>855</v>
      </c>
      <c r="R142" s="305">
        <v>45014</v>
      </c>
      <c r="S142" s="309" t="s">
        <v>856</v>
      </c>
      <c r="T142" s="310" t="s">
        <v>690</v>
      </c>
      <c r="U142" s="309" t="s">
        <v>857</v>
      </c>
      <c r="V142" s="309" t="s">
        <v>858</v>
      </c>
      <c r="W142" s="309" t="s">
        <v>1338</v>
      </c>
      <c r="X142" s="309"/>
      <c r="Y142" s="309"/>
      <c r="Z142" s="309" t="s">
        <v>846</v>
      </c>
      <c r="AA142" s="309" t="s">
        <v>860</v>
      </c>
      <c r="AB142" s="311" t="s">
        <v>861</v>
      </c>
      <c r="AC142" s="308" t="s">
        <v>846</v>
      </c>
      <c r="AD142" s="312" t="s">
        <v>846</v>
      </c>
      <c r="AE142" s="308" t="s">
        <v>854</v>
      </c>
      <c r="AF142" s="308" t="s">
        <v>854</v>
      </c>
      <c r="AG142" s="313" t="s">
        <v>864</v>
      </c>
      <c r="AH142" s="313" t="s">
        <v>864</v>
      </c>
      <c r="AI142" s="310" t="s">
        <v>864</v>
      </c>
      <c r="AJ142" s="313" t="s">
        <v>864</v>
      </c>
      <c r="AK142" s="314" t="str">
        <f>IF(AND(AD142="",AE142="",AF142="",AG142="",AH142="",AI142="",AJ142=""),"",IF(OR(Tabla1[[#This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EVALUACIÓN",IF(AND(O142="",R142=""),"",IF(AND(OR(O142&gt;0,R142&gt;0),NG142&gt;=0,NG142&lt;2),"SIN RIESGO",IF(AND(OR(O142&gt;0,R142&gt;0),NG142&gt;=2),"CON RIESGO","ASD")))))</f>
        <v>SIN RIESGO</v>
      </c>
      <c r="AL142" s="313" t="s">
        <v>864</v>
      </c>
      <c r="AM142" s="308" t="s">
        <v>864</v>
      </c>
      <c r="AN142" s="308" t="s">
        <v>864</v>
      </c>
      <c r="AO142" s="308" t="s">
        <v>864</v>
      </c>
      <c r="AP142" s="308" t="s">
        <v>864</v>
      </c>
      <c r="AQ142" s="308" t="s">
        <v>864</v>
      </c>
      <c r="AR142" s="308" t="s">
        <v>864</v>
      </c>
      <c r="AS142" s="309">
        <v>3</v>
      </c>
      <c r="AT142" s="309">
        <v>3</v>
      </c>
      <c r="AU142" s="309">
        <v>0</v>
      </c>
      <c r="AV142" s="308" t="s">
        <v>864</v>
      </c>
      <c r="AW142" s="309">
        <v>0</v>
      </c>
      <c r="AX142" s="308" t="s">
        <v>864</v>
      </c>
      <c r="AY142" s="308" t="s">
        <v>864</v>
      </c>
      <c r="AZ142" s="308" t="s">
        <v>864</v>
      </c>
      <c r="BA142" s="308" t="s">
        <v>864</v>
      </c>
      <c r="BB142" s="308" t="s">
        <v>864</v>
      </c>
      <c r="BC142" s="308" t="s">
        <v>864</v>
      </c>
      <c r="BD142" s="308" t="s">
        <v>864</v>
      </c>
      <c r="BE142" s="308" t="s">
        <v>864</v>
      </c>
      <c r="BF142" s="308" t="s">
        <v>864</v>
      </c>
      <c r="BG142" s="308" t="s">
        <v>864</v>
      </c>
      <c r="BH142" s="308" t="s">
        <v>864</v>
      </c>
      <c r="BI142" s="308" t="s">
        <v>864</v>
      </c>
      <c r="BJ142" s="308"/>
      <c r="BK142" s="308" t="s">
        <v>864</v>
      </c>
      <c r="BL142" s="308" t="s">
        <v>864</v>
      </c>
      <c r="BM142" s="308" t="s">
        <v>864</v>
      </c>
      <c r="BN142" s="305"/>
      <c r="BO142" s="305">
        <v>44857</v>
      </c>
      <c r="BP142" s="309" t="s">
        <v>854</v>
      </c>
      <c r="BQ142" s="315">
        <f t="shared" si="601"/>
        <v>0</v>
      </c>
      <c r="BR142" s="316">
        <f t="shared" si="602"/>
        <v>44861.3</v>
      </c>
      <c r="BS142" s="317">
        <f t="shared" si="603"/>
        <v>22.428571428571427</v>
      </c>
      <c r="BT142" s="318" t="str">
        <f t="shared" si="604"/>
        <v>II TRIM</v>
      </c>
      <c r="BU142" s="307" t="str">
        <f t="shared" ca="1" si="605"/>
        <v/>
      </c>
      <c r="BV142" s="319" t="s">
        <v>988</v>
      </c>
      <c r="BW142" s="305">
        <v>45072</v>
      </c>
      <c r="BX142" s="320">
        <v>30.1</v>
      </c>
      <c r="BY142" s="320"/>
      <c r="BZ142" s="305"/>
      <c r="CA142" s="309"/>
      <c r="CB142" s="308" t="s">
        <v>864</v>
      </c>
      <c r="CC142" s="308" t="s">
        <v>864</v>
      </c>
      <c r="CD142" s="308"/>
      <c r="CE142" s="308" t="s">
        <v>864</v>
      </c>
      <c r="CF142" s="22" t="s">
        <v>1517</v>
      </c>
      <c r="CG142" s="309">
        <v>1.49</v>
      </c>
      <c r="CH142" s="309">
        <v>56</v>
      </c>
      <c r="CI142" s="307">
        <f t="shared" si="606"/>
        <v>25.224089004999776</v>
      </c>
      <c r="CJ142" s="321" t="e">
        <f>IF(AND(CI142&lt;10,CH142="SD"),"SIN DATO PESO PREGESTACION O I TRIM",IF(AND(OR(R142&gt;0,O142&gt;0),CI142="X"),"INGRESAR DATO DE PESO",IF(CI142="SD","INGRESAR DATO DE TALLA Y PESO",IF(AND(OR(Tabla1[[#This Row],[MOMENTO EN QUE SE REALIZA EL PESO AL INGRESO A CPN]]="PREGESTACIÓN",NZ142="Menor"),CI142&lt;18.5),"BAJO PESO",IF(AND(OR(Tabla1[[#This Row],[MOMENTO EN QUE SE REALIZA EL PESO AL INGRESO A CPN]]="PREGESTACIÓN",NZ142="Menor"),CI142&lt;25),"NORMAL",IF(AND(OR(Tabla1[[#This Row],[MOMENTO EN QUE SE REALIZA EL PESO AL INGRESO A CPN]]="PREGESTACIÓN",NZ142="Menor"),CI142&lt;30),"SOBREPESO",IF(AND(OR(Tabla1[[#This Row],[MOMENTO EN QUE SE REALIZA EL PESO AL INGRESO A CPN]]="PREGESTACIÓN",NZ142="Menor"),CI142&gt;=30,CI142&lt;50),"OBESIDAD",IF(AND(BS142&gt;0,Tabla1[[#This Row],[MOMENTO EN QUE SE REALIZA EL PESO AL INGRESO A CPN]]="GESTACIÓN"),HLOOKUP(NZ142,$OA$2:PH142,NY142),""))))))))</f>
        <v>#REF!</v>
      </c>
      <c r="CK142" s="322">
        <f t="shared" si="607"/>
        <v>45085</v>
      </c>
      <c r="CL142" s="309">
        <v>58</v>
      </c>
      <c r="CM142" s="307">
        <f t="shared" si="608"/>
        <v>26.124949326606909</v>
      </c>
      <c r="CN142" s="318">
        <f t="shared" si="609"/>
        <v>32</v>
      </c>
      <c r="CO142" s="318" t="e">
        <f>IF(PI142="","",IF(PI142&gt;0,HLOOKUP(PI142,$PJ$2:QQ142,NY142),""))</f>
        <v>#REF!</v>
      </c>
      <c r="CP142" s="309">
        <v>32</v>
      </c>
      <c r="CQ142" s="318" t="e">
        <f>IF(QR142="Menor","NO APLICA-MENOR 13 SEM",IF(AND(CC142="SI",CN142&gt;23),"NO APLICA- GEMELAR",IF(QR142="","",IF(QR142&gt;0,HLOOKUP(QR142,$QS$2:RU142,NY142),""))))</f>
        <v>#REF!</v>
      </c>
      <c r="CR142" s="309"/>
      <c r="CS142" s="309"/>
      <c r="CT142" s="323" t="str">
        <f>IF(R142="","",IF(AND(BS142&gt;1,BS142&lt;12,Tabla1[[#This Row],[T.A. SISTOLICA - ANTES DE SEMANA 12]]="",Tabla1[[#This Row],[T.A. DIASTOLICA - ANTES DE SEMANA 12]]=""),"REGISTRE DATO TA ANTES SEMANA 12",IF(AND(BS142&gt;11,BS142&lt;43,Tabla1[[#This Row],[T.A. SISTOLICA - ANTES DE SEMANA 12]]="",Tabla1[[#This Row],[T.A. DIASTOLICA - ANTES DE SEMANA 12]]=""),"NO APLICA REGISTRO TA-INGRESO TARDIO",IF(AND(OR(O142&gt;0,R142&gt;0),OR(CR142&gt;=140,CS142&gt;=90)),"DEFINIR ESTADIO HTA",IF(AND(OR(O142&gt;0,R142&gt;0),AND(CR142&gt;120,CR142&lt;=139)),"PRE HTA SEGUIMIENTO",IF(AND(OR(O142&gt;0,R142&gt;0),AND(CS142&gt;80,CS142&lt;=89)),"PRE HTA SEGUIMIENTO",IF(AND(OR(O142&gt;0,R142&gt;0),AND(CR142&gt;=80,CR142&lt;=120)),"APARENTEMENTE NORMAL",IF(AND(OR(O142&gt;0,R142&gt;0),AND(CS142&gt;=50,CS142&lt;=80)),"APARENTEMENTE NORMAL",IF(AND(OR(O142&gt;0,R142&gt;0),AND(CR142&gt;1,CR142&lt;=70),AND(CS142&gt;1,CS142&lt;=40)),"HIPOTENSIÓN","")))))))))</f>
        <v>NO APLICA REGISTRO TA-INGRESO TARDIO</v>
      </c>
      <c r="CU142" s="309">
        <v>100</v>
      </c>
      <c r="CV142" s="309">
        <v>60</v>
      </c>
      <c r="CW142" s="323" t="str">
        <f ca="1">IF(R142="","",IF(AND(CN142&gt;19,CN142&lt;27,Tabla1[[#This Row],[T.A. SISTOLICA (Entre semana 20 y 26)]]="",Tabla1[[#This Row],[T.A. DIATOLICA (Entre semana 20 y 26)]]=""),"ACUDE A CONTROL SEM 20 A 26 REGISTRE TA AHORA",IF(AND(BS142&gt;1,BS142&lt;27,BU142&gt;19,Tabla1[[#This Row],[T.A. SISTOLICA (Entre semana 20 y 26)]]="",Tabla1[[#This Row],[T.A. DIATOLICA (Entre semana 20 y 26)]]=""),"COMPLETE REGISTRO TA CONTROL SEM 20 A26 ",IF(AND(BS142&gt;26,BS142&lt;43,Tabla1[[#This Row],[T.A. SISTOLICA (Entre semana 20 y 26)]]="",Tabla1[[#This Row],[T.A. DIATOLICA (Entre semana 20 y 26)]]=""),"NO APLICA REGISTRO TA-INGRESO TARDIO",IF(AND(OR(O142&gt;0,R142&gt;0),OR(CU142&gt;=140,CV142&gt;=90)),"ALTO RIESGO PREECLAMPSIA,DEFINIR ESTADIO HTA",IF(AND(OR(O142&gt;0,R142&gt;0),AND(CU142&gt;120,CU142&lt;=139)),"PRE HTA SEGUIMIENTO,RIESGO HIPERTENSION INDUCIDA POR EL EMBARAZO",IF(AND(OR(O142&gt;0,R142&gt;0),AND(CV142&gt;80,CV142&lt;=89)),"PRE HTA SEGUIMIENTO, RIESGO HIPERTENSION INDUCIDA POR EL EMBARAZO",IF(AND(OR(O142&lt;&gt;"",R142&lt;&gt;""),CS142&lt;&gt;"",CV142&lt;&gt;"",CS142&lt;=CV142),"VIGILAR CIFRAS PRESION ARTERIAL",IF(AND(OR(O142&gt;0,R142&gt;0),AND(CU142&gt;120,CU142&lt;=139)),"PRE HTA SEGUIMIENTO",IF(AND(OR(O142&gt;0,R142&gt;0),AND(CU142&gt;1,CU142&lt;=70),AND(CV142&gt;1,CV142&lt;=40)),"HIPOTENSIÓN",IF(AND(OR(O142&lt;&gt;"",R142&lt;&gt;""),CS142&lt;&gt;"",CV142&lt;&gt;"",CS142&gt;CV142),"APARENTEMENTE NORMAL",IF(AND(OR(O142&gt;0,R142&gt;0),AND(CU142&gt;=80,CU142&lt;=120)),"APARENTEMENTE NORMAL",IF(AND(OR(O142&gt;0,R142&gt;0),AND(CV142&gt;=50,CV142&lt;=80)),"APARENTEMENTE NORMAL","")))))))))))))</f>
        <v>APARENTEMENTE NORMAL</v>
      </c>
      <c r="CX142" s="309"/>
      <c r="CY142" s="309"/>
      <c r="CZ142" s="318" t="str">
        <f>IF(R142="","",IF(AND(CN142&gt;31,CN142&lt;35,CX142="",CY142=""),"ACUDE A CONTROL SEM 30 A 34- REGISTRE AHORA",IF(AND(BS142&gt;34,BS142&lt;43,#REF!="",#REF!=""),"NO APLICA-INGRESO TARDIO",IF(AND(OR(O142&gt;0,R142&gt;0),OR(CX142&gt;=140,CY142&gt;=90)),"ESTUDIO INMEDIATO HTA PARA DESCARTAR PREECLAMSIA",IF(AND(OR(O142&gt;0,R142&gt;0),AND(CX142&gt;=130,CX142&lt;=139)),"PRE HTA,RIESGO ALTO PREECLAMPSIA",IF(AND(OR(O142&gt;0,R142&gt;0),AND(CY142&gt;80,CY142&lt;=89)),"PRE HTA,RIESGO ALTO PREECLAMPSIA",IF(AND(OR(O142&gt;0,R142&gt;0),AND(CX142&gt;120,CX142&lt;=129)),"RANGO PREHIPERTENSIVO SEGUIMIENTO HTA",IF(AND(OR(O142&lt;&gt;"",R142&lt;&gt;""),CS142&lt;&gt;"",CY142&lt;&gt;"",CS142&lt;CY142),"VIGILAR CIFRAS PRESION ARTERIAL",IF(AND(OR(O142&lt;&gt;"",R142&lt;&gt;""),CS142&lt;&gt;"",CY142&lt;&gt;"",CS142=CY142),"APARENTEMENTE NORMAL",IF(AND(OR(O142&gt;0,R142&gt;0),CX142&gt;=80,CX142&lt;=120),"APARENTEMENTE NORMAL",IF(AND(OR(O142&gt;0,R142&gt;0),CY142&gt;=50,CY142&lt;=80),"APARENTEMENTE NORMAL","")))))))))))</f>
        <v>ACUDE A CONTROL SEM 30 A 34- REGISTRE AHORA</v>
      </c>
      <c r="DA142" s="309">
        <v>90</v>
      </c>
      <c r="DB142" s="309">
        <v>70</v>
      </c>
      <c r="DC142" s="323" t="str">
        <f t="shared" si="610"/>
        <v>APARENTEMENTE NORMAL</v>
      </c>
      <c r="DD142" s="305">
        <v>45014</v>
      </c>
      <c r="DE142" s="305">
        <v>45014</v>
      </c>
      <c r="DF142" s="305">
        <v>45056</v>
      </c>
      <c r="DG142" s="305">
        <v>45085</v>
      </c>
      <c r="DH142" s="305"/>
      <c r="DI142" s="305"/>
      <c r="DJ142" s="305"/>
      <c r="DK142" s="305"/>
      <c r="DL142" s="305"/>
      <c r="DM142" s="305"/>
      <c r="DN142" s="305"/>
      <c r="DO142" s="305"/>
      <c r="DP142" s="305"/>
      <c r="DQ142" s="305"/>
      <c r="DR142" s="320">
        <v>1</v>
      </c>
      <c r="DS142" s="305"/>
      <c r="DT142" s="305"/>
      <c r="DU142" s="318" t="str">
        <f t="shared" ref="DU142:DU203" ca="1" si="674">IF(AND(BT142="ERROR FUM O INGRESO",DS142&gt;0),"ERROR FUM O INGRESO",IF(AND(DS142="",R142="",O142=""),"",IF(OR(AND(DS142&lt;&gt;"",DS142&lt;RW142),AND(DS142&lt;&gt;"",AND(SUM((DS142-RW142)/7)&gt;0,SUM((DS142-RW142)/7)&lt;28))),"PLAN REALIZADO ANTES III TRIM", IF(AND(DS142="",OR(O142&gt;0,R142&gt;0),AND(BU142&gt;=28, BU142&lt;35,DV142="ACTIVA INGRESO A CPN")),"PLANEAR PLAN DE PARTO", IF(AND(DS142="",OR(O142&gt;0,R142&gt;0),BU142&gt;=35,DV142="ACTIVA INGRESO A CPN"),"CONCERTAR PLAN DE PARTO INMEDIATO", IF(AND(DS142="",OR(O142&gt;0,R142&gt;0),AND(BU142&gt;0, BU142&lt;28),OR(DV142="ACTIVA INGRESO A CPN", DV142=" ACTIVA SIN INGRESO CPN")),"EN ESPERA", IF(AND(DS142="",OR(O142&gt;0,R142&gt;0),AND(IP142&gt;0, IP142&lt;28)),"NO APLICA SALE PROGRAMA ANTES III TRIM", IF(AND(DS142="",OR(O142&gt;0,R142&gt;0),AND(IP142&gt;=28, IP142&lt;35)),"SALE PROGRAMA ANTES SEMANA 35", IF(AND(DS142="",OR(O142&gt;0,R142&gt;0),IP142&gt;35),"SALE SIN PLAN DE PARTO",IF(DS142&gt;0,SUM(DS142-BO142)/7,""))))))))))</f>
        <v>CONCERTAR PLAN DE PARTO INMEDIATO</v>
      </c>
      <c r="DV142" s="324" t="str">
        <f t="shared" ref="DV142:DV203" si="675">IF(AND(R142&lt;&gt;"",IK142="CAMBIO DE RESIDENCIA",IK142="CAMBIO DE IPS",IK142="CAMBIO DE EPS"),"SEGUIMIENTO REPORTE EPS",IF(IK142="IVE","IVE",IF(AND(R142&lt;&gt;"",OR(IK142&lt;&gt;"",IN142&lt;&gt;"")),"SALIO PROGRAMA",IF(AND(AND(R142="",O142&gt;0),OR(IK142&lt;&gt;"",IN142&lt;&gt;"")),"SALE SIN INGRESO CPN",IF(AND(R142="",O142&gt;0,IK142="",IN142=""),"ACTIVA SIN INGRESO CPN",IF(AND(R142&lt;&gt;"",OR(IK142="",IN142="")),"ACTIVA INGRESO A CPN",""))))))</f>
        <v>ACTIVA INGRESO A CPN</v>
      </c>
      <c r="DW142" s="32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2" s="318" t="e">
        <f t="shared" ca="1" si="611"/>
        <v>#REF!</v>
      </c>
      <c r="DY142" s="322">
        <f>IF(R142="","",IF(R142&gt;0,MAX(Tabla1[[#This Row],[FECHA C2]:[FECHA C13]],Tabla1[[#This Row],[FECHA CONSULTA PRIMERA VEZ PROGRAMA CPN ]])))</f>
        <v>45085</v>
      </c>
      <c r="DZ142" s="318">
        <f t="shared" si="612"/>
        <v>32</v>
      </c>
      <c r="EA142" s="315">
        <f>IF(R142&gt;0,SUM(COUNTA(DF142:DQ142)+COUNTA(Tabla1[[#This Row],[FECHA CONSULTA PRIMERA VEZ PROGRAMA CPN ]])),"")</f>
        <v>3</v>
      </c>
      <c r="EB142" s="315" t="str">
        <f t="shared" si="613"/>
        <v>NO</v>
      </c>
      <c r="EC142" s="307">
        <f t="shared" si="614"/>
        <v>6</v>
      </c>
      <c r="ED142" s="325">
        <f t="shared" si="615"/>
        <v>0.5</v>
      </c>
      <c r="EE142" s="305">
        <v>45014</v>
      </c>
      <c r="EF142" s="305"/>
      <c r="EG142" s="305">
        <v>45014</v>
      </c>
      <c r="EH142" s="305"/>
      <c r="EI142" s="305">
        <v>45014</v>
      </c>
      <c r="EJ142" s="305"/>
      <c r="EK142" s="305"/>
      <c r="EL142" s="309"/>
      <c r="EM142" s="309">
        <v>12</v>
      </c>
      <c r="EN142" s="305">
        <v>45062</v>
      </c>
      <c r="EO142" s="315">
        <f t="shared" si="616"/>
        <v>29.285714285714285</v>
      </c>
      <c r="EP142" s="307" t="str">
        <f t="shared" si="617"/>
        <v>NORMAL- SUMINISTRAR SULFATO FERROSO</v>
      </c>
      <c r="EQ142" s="318" t="str">
        <f t="shared" si="618"/>
        <v>III TRIM</v>
      </c>
      <c r="ER142" s="310"/>
      <c r="ES142" s="305"/>
      <c r="ET142" s="326" t="str">
        <f t="shared" ref="ET142:ET203" ca="1" si="676">IF(AND(BT142="ERROR FUM O INGRESO",ES142&gt;0),"ERROR FUM O INGRESO",IF(AND(ES142="",R142="",O142=""),"",IF(OR(AND(ES142&lt;&gt;"",ES142&lt;RW142),AND(ES142&lt;&gt;"",SUM((ES142-RW142)/7)&gt;40)),"CORREGIR FECHA RESULTADO",IF(AND(BU142&gt;1,BU142&lt;23,ER142="",ES142=""),"EN ESPERA PARA TOMA EXAMEN",IF(AND(BU142&gt;22,BU142&lt;26,ER142="",ES142=""),"PROGRAMAR TOMA HEMOGLOBINA A SEM 28",IF(AND(BU142&gt;25,BU142&lt;28,ER142="",ES142=""),"TOMA HEMOGLOBINA A SEM 28 EN 1 SEMANA",IF(AND(BU142&gt;27,BU142&lt;31,ES142="",OR(O142&gt;0,R142&gt;0)),"EN SEMANA 28 TOMA INMEDIATA DE EXAMEN",IF(AND(IP142&gt;0,IP142&lt;28,ES142="",OR(O142&gt;0,R142&gt;0)),"NO APLICA-SALE ANTES SEM 28",IF(AND(IP142&gt;28,IP142&lt;43,ES142="",OR(O142&gt;0,R142&gt;0)),"SALE SIN TAMIZAJE HEMOGLOBINA SEM 28",IF(AND(BS142&gt;0,ES142="",OR(O142&gt;0,R142&gt;0)),"TOMA DE HEMOGLOBINA TARDÍA",IF(ES142&gt;0,SUM(ES142-RW142)/7,"")))))))))))</f>
        <v>TOMA DE HEMOGLOBINA TARDÍA</v>
      </c>
      <c r="EU142" s="319" t="str">
        <f t="shared" si="619"/>
        <v/>
      </c>
      <c r="EV142" s="310" t="s">
        <v>1510</v>
      </c>
      <c r="EW142" s="305">
        <v>44975</v>
      </c>
      <c r="EX142" s="305"/>
      <c r="EY142" s="326">
        <f t="shared" si="453"/>
        <v>16.857142857142858</v>
      </c>
      <c r="EZ142" s="319" t="str">
        <f t="shared" si="454"/>
        <v>SIN RIESGO DE ISOINMUNIZACIÓN</v>
      </c>
      <c r="FA142" s="309">
        <v>83</v>
      </c>
      <c r="FB142" s="305">
        <v>44975</v>
      </c>
      <c r="FC142" s="326">
        <f t="shared" si="620"/>
        <v>16.857142857142858</v>
      </c>
      <c r="FD142" s="326">
        <v>81</v>
      </c>
      <c r="FE142" s="326">
        <v>100</v>
      </c>
      <c r="FF142" s="326">
        <v>101</v>
      </c>
      <c r="FG142" s="309" t="str">
        <f t="shared" ca="1" si="621"/>
        <v>NORMAL</v>
      </c>
      <c r="FH142" s="327">
        <v>45062</v>
      </c>
      <c r="FI142" s="326">
        <f t="shared" si="622"/>
        <v>29.285714285714285</v>
      </c>
      <c r="FJ142" s="305"/>
      <c r="FK142" s="327"/>
      <c r="FL142" s="326" t="str">
        <f t="shared" ca="1" si="623"/>
        <v>NO APLICA-INGRESO TARDIO</v>
      </c>
      <c r="FM142" s="305" t="s">
        <v>867</v>
      </c>
      <c r="FN142" s="328">
        <v>44975</v>
      </c>
      <c r="FO142" s="326">
        <f t="shared" ref="FO142:FO203" ca="1" si="677">IF(AND(BT142="ERROR FUM O INGRESO",FN142&gt;0),"ERROR FUM O INGRESO",IF(AND(FN142="",R142="",O142=""),"",IF(AND(FN142&lt;&gt;"",FN142&lt;RW142), "INCOHERENCIA FUM Y FECHA TAMIZAJE",IF(AND(FN142="",DV142="ACTIVA INGRESO A CPN",AND(BU142&gt;0,BU142&lt;13)),"EN ESPERA-ESTÁ I TRIM", IF(AND(FN142="",AND(BS142&gt;0, BS142&lt;13),OR(O142&gt;0,R142&gt;0),AND(IP142&gt;0,IP142&lt;13)),"NO APLICA-SALIO DEL PROGRAMA I TRIM",IF(AND(FN142&lt;&gt;"",AND(SUM((FN142-RW142)/7)&gt;0,SUM((FN142-RW142)/7)&lt;13)),"REGISTRAR EN I TRIMESTRE",IF(AND(FN142&lt;&gt;"",AND(SUM((FN142-RW142)/7)&gt;=27,SUM((FN142-RW142)/7)&lt;44)),"REGISTRAR EN III TRIMESTRE",IF(AND(FN142="",OR(O142&gt;0,R142&gt;0),AND(BU142&gt;=13,BU142&lt;24),DV142="ACTIVA INGRESO A CPN"),"EN RANGO PARA TOMAR EXAMEN",IF(AND(FN142="",OR(O142&gt;0,R142&gt;0),AND(BU142&gt;=25,BU142&lt;27),DV142="ACTIVA INGRESO A CPN"),"TOMA INMEDIATA DE TAMIZAJE",IF(AND(FN142="",OR(O142&gt;0,R142&gt;0),AND(BS142&gt;=27,BS142&lt;44)),"NO APLICA-INGRESO TARDIO",IF(AND(FN142="",BS142&lt;27,OR(AND(IP142&gt;12,IP142&lt;44),BU142&gt;12)),"PIERDE TOMA DE TAMIZAJE",IF(FN142&gt;0,SUM(FN142-RW142)/7,""))))))))))))</f>
        <v>16.857142857142858</v>
      </c>
      <c r="FP142" s="305"/>
      <c r="FQ142" s="328"/>
      <c r="FR142" s="326" t="str">
        <f t="shared" ref="FR142:FR203" ca="1" si="678">IF(AND(BT142="ERROR FUM O INGRESO",FQ142&gt;0),"ERROR FUM O INGRESO",IF(AND(FQ142="",R142="",O142=""),"",IF(AND(FQ142&lt;&gt;"",FQ142&lt;RW142), "INCOHERENCIA FUM Y FECHA TAMIZAJE",IF(AND(FQ142="",DV142="ACTIVA INGRESO A CPN",AND(BU142&gt;0,BU142&lt;27)),"EN ESPERA-ESTÁ I TRIM O II TRIM", IF(AND(FQ142="",AND(BS142&gt;0, BS142&lt;27),OR(O142&gt;0,R142&gt;0),AND(IP142&gt;0,IP142&lt;27)),"NO APLICA-SALIO DEL PROGRAMA I O II TRIM",IF(AND(FQ142&lt;&gt;"",AND(SUM((FQ142-RW142)/7)&gt;0,SUM((FQ142-RW142)/7)&lt;13)),"REGISTAR EN I TRIMESTRE",IF(AND(FQ142&lt;&gt;"",AND(SUM((FQ142-RW142)/7)&gt;=13,SUM((FQ142-RW142)/7)&lt;27)),"REGISTRAR EN II TRIMESTRE",IF(AND(FQ142="",OR(O142&gt;0,R142&gt;0),AND(BU142&gt;=28,BU142&lt;35),DV142="ACTIVA INGRESO A CPN"),"EN RANGO PARA TOMAR EXAMEN",IF(AND(FQ142="",OR(O142&gt;0,R142&gt;0),BU142&gt;=35, DV142="ACTIVA INGRESO A CPN"),"TOMA INMEDIATA DE TAMIZAJE",IF(AND(FQ142="",DV142= "SALE SIN INGRESO CPN"),"NO APLICA-SIN CPN",IF(AND(FQ142="",AND(IP142&gt;26,IP142&lt;43)),"PIERDE TOMA DE TAMIZAJE",IF(FQ142&gt;0,SUM(FQ142-RW142)/7,""))))))))))))</f>
        <v>TOMA INMEDIATA DE TAMIZAJE</v>
      </c>
      <c r="FS142" s="305"/>
      <c r="FT142" s="328"/>
      <c r="FU142" s="326" t="str">
        <f>IF(AND(FJ142="",FM142="",FP142="",FS142=""),"",IF(OR(OR(Tabla1[[#This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2" s="320"/>
      <c r="FW142" s="305"/>
      <c r="FX142" s="326" t="str">
        <f t="shared" si="624"/>
        <v>TOMAR EXAMEN</v>
      </c>
      <c r="FY142" s="305"/>
      <c r="FZ142" s="305"/>
      <c r="GA142" s="326" t="str">
        <f t="shared" ca="1" si="497"/>
        <v>NO APLICA-INGRESO TARDIO</v>
      </c>
      <c r="GB142" s="305" t="s">
        <v>868</v>
      </c>
      <c r="GC142" s="305">
        <v>44975</v>
      </c>
      <c r="GD142" s="326">
        <f t="shared" ref="GD142:GD173" ca="1" si="679">IF(AND(BT142="ERROR FUM O INGRESO",GC142&gt;0),"ERROR FUM O INGRESO",IF(AND(GC142="",R142="",O142=""),"",IF(AND(GC142&lt;&gt;"",GC142&lt;RW142), "INCOHERENCIA FUM Y FECHA TAMIZAJE",IF(AND(GC142="",DV142="ACTIVA INGRESO A CPN",AND(BU142&gt;0,BU142&lt;13)),"EN ESPERA-ESTÁ I TRIM", IF(AND(GC142="",AND(BS142&gt;0, BS142&lt;12),OR(O142&gt;0,R142&gt;0),AND(IP142&gt;0,IP142&lt;13)),"NO APLICA-SALIO DEL PROGRAMA I TRIM",IF(AND(GC142&lt;&gt;"",AND(SUM((GC142-RW142)/7)&gt;0,SUM((GC142-RW142)/7)&lt;13)),"REGISTRAR EN I TRIMESTRE",IF(AND(GC142&lt;&gt;"",AND(SUM((GC142-RW142)/7)&gt;=27,SUM((GC142-RW142)/7)&lt;44)),"REGISTRAR EN III TRIMESTRE",IF(AND(GC142="",OR(O142&gt;0,R142&gt;0),AND(BU142&gt;=12,BU142&lt;25),DV142="ACTIVA INGRESO A CPN"),"EN RANGO PARA TOMAR EXAMEN",IF(AND(GC142="",OR(O142&gt;0,R142&gt;0),AND(BU142&gt;=25,BU142&lt;27),DV142="ACTIVA INGRESO A CPN"),"TOMA INMEDIATA DE TAMIZAJE",IF(AND(GC142="",OR(O142&gt;0,R142&gt;0),AND(BS142&gt;=27,BS142&lt;43)),"NO APLICA-INGRESO TARDIO",IF(AND(GC142="",BS142&lt;27),"PIERDE TOMA DE TAMIZAJE",IF(GC142&gt;0,SUM(GC142-RW142)/7,""))))))))))))</f>
        <v>16.857142857142858</v>
      </c>
      <c r="GE142" s="305"/>
      <c r="GF142" s="305"/>
      <c r="GG142" s="326" t="str">
        <f t="shared" ref="GG142:GG203" ca="1" si="680">IF(AND(BT142="ERROR FUM O INGRESO",GF142&gt;0),"ERROR FUM O INGRESO",IF(AND(GF142="",R142="",O142=""),"",IF(AND(GF142&lt;&gt;"",GF142&lt;RW142), "INCOHERENCIA FUM Y FECHA TAMIZAJE",IF(AND(GF142="",DV142="ACTIVA INGRESO A CPN",AND(BU142&gt;0,BU142&lt;27)),"EN ESPERA-ESTÁ I TRIM O II TRIM", IF(AND(GF142="",AND(BS142&gt;0, BS142&lt;28),OR(O142&gt;0,R142&gt;0),AND(IP142&gt;0,IP142&lt;28)),"NO APLICA-SALIO DEL PROGRAMA I O II TRIM",IF(AND(GF142&lt;&gt;"",AND(SUM((GF142-RW142)/7)&gt;0,SUM((GF142-RW142)/7)&lt;13)),"REGISTAR EN I TRIMESTRE",IF(AND(GF142&lt;&gt;"",AND(SUM((GF142-RW142)/7)&gt;=13,SUM((GF142-RW142)/7)&lt;27)),"REGISTRAR EN II TRIMESTRE",IF(AND(GF142="",OR(O142&gt;0,R142&gt;0),AND(BU142&gt;=28,BU142&lt;35),DV142="ACTIVA INGRESO A CPN"),"EN RANGO PARA TOMAR EXAMEN",IF(AND(GF142="",OR(O142&gt;0,R142&gt;0),BU142&gt;=35, DV142="ACTIVA INGRESO A CPN"),"TOMA INMEDIATA DE TAMIZAJE",IF(AND(GF142="",DV142= "SALE SIN INGRESO CPN"),"NO APLICA-SIN CPN",IF(AND(GF142="",BS142&lt;44),"PIERDE TOMA DE TAMIZAJE",IF(GF142&gt;0,SUM(GF142-RW142)/7,""))))))))))))</f>
        <v>TOMA INMEDIATA DE TAMIZAJE</v>
      </c>
      <c r="GH142" s="305"/>
      <c r="GI142" s="326"/>
      <c r="GJ142" s="305"/>
      <c r="GK142" s="305"/>
      <c r="GL142" s="305"/>
      <c r="GM142" s="305"/>
      <c r="GN142" s="320" t="s">
        <v>869</v>
      </c>
      <c r="GO142" s="305">
        <v>44975</v>
      </c>
      <c r="GP142" s="326">
        <f t="shared" si="625"/>
        <v>16.857142857142858</v>
      </c>
      <c r="GQ142" s="320" t="s">
        <v>869</v>
      </c>
      <c r="GR142" s="320" t="s">
        <v>869</v>
      </c>
      <c r="GS142" s="305" t="str">
        <f t="shared" si="626"/>
        <v>CONTROL Igm</v>
      </c>
      <c r="GT142" s="305">
        <v>45072</v>
      </c>
      <c r="GU142" s="326">
        <f t="shared" si="627"/>
        <v>30.714285714285715</v>
      </c>
      <c r="GV142" s="309" t="str">
        <f t="shared" si="628"/>
        <v>III TRIM</v>
      </c>
      <c r="GW142" s="320"/>
      <c r="GX142" s="329"/>
      <c r="GY142" s="309"/>
      <c r="GZ142" s="309"/>
      <c r="HA142" s="309"/>
      <c r="HB142" s="309"/>
      <c r="HC142" s="309"/>
      <c r="HD142" s="309"/>
      <c r="HE142" s="309"/>
      <c r="HF142" s="305"/>
      <c r="HG142" s="305" t="str">
        <f>IF(OR(O142&gt;0,R142&gt;0),CONCATENATE(IF(Tabla1[[#This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2" s="305" t="e">
        <f t="shared" si="629"/>
        <v>#REF!</v>
      </c>
      <c r="HI142" s="305" t="e">
        <f t="shared" ca="1" si="630"/>
        <v>#REF!</v>
      </c>
      <c r="HJ142" s="309"/>
      <c r="HK142" s="309" t="str">
        <f t="shared" si="631"/>
        <v>SIN ANTECEDENTES DE RIESGO</v>
      </c>
      <c r="HL142" s="310" t="str">
        <f t="shared" si="632"/>
        <v>APARENTEMENTE NORMAL</v>
      </c>
      <c r="HM142" s="309" t="e">
        <f t="shared" ca="1" si="633"/>
        <v>#REF!</v>
      </c>
      <c r="HN142" s="329" t="str">
        <f t="shared" ref="HN142:HN203" si="681">IF(AND(R142&lt;&gt;"",IK142="CAMBIO DE RESIDENCIA"),"SEGUIMIENTO REPORTE EPS",IF(AND(R142&lt;&gt;"",OR(IK142&lt;&gt;"",IN142&lt;&gt;"")),"SALIO PROGRAMA",IF(AND(AND(R142="",O142&gt;0),OR(IK142&lt;&gt;"",IN142&lt;&gt;"")),"SALE SIN INGRESO CPN",IF(AND(R142="",O142&gt;0,IK142="",IN142=""),"ACTIVA SIN INGRESO CPN",IF(AND(R142&lt;&gt;"",OR(IK142="",IN142="")),"ACTIVA INGRESO A CPN","")))))</f>
        <v>ACTIVA INGRESO A CPN</v>
      </c>
      <c r="HO142" s="309"/>
      <c r="HP142" s="309"/>
      <c r="HQ142" s="309"/>
      <c r="HR142" s="309" t="str">
        <f>IF(R142="","",IF(Tabla1[[#This Row],[ALARMA FACTORES DE RIESGO COMPLICACIONES HIPERTENSIVAS3]]="SIN ANTECEDENTES DE RIESGO","No Aplica para suministro de ASA",IF(AND(Tabla1[[#This Row],[FECHA INICIO DE SUMINISTRO DE ASA]]&gt;0,RV142&lt;12),"Inicia ASA ANTES de Sem 12",IF(AND(RV142&gt;11,RV142&lt;17,OR(HK142="RIESGO ALTO DE COMPLICACIONES HIPERTENSIVAS VER MANEJO GUIA SUMINISTRO ASA Y CALCIO",HK142="RIESGO MODERADO (2 O MAS CRITERIOS) VER MANEJO GUIA SUMINISTRO ASA Y CALCIO")),"Inicio oportuno de ASA",IF(AND(RV142&gt;12,OR(HK142="RIESGO ALTO DE COMPLICACIONES HIPERTENSIVAS VER MANEJO GUIA SUMINISTRO ASA Y CALCIO",HK142="RIESGO MODERADO (2 O MAS CRITERIOS) VER MANEJO GUIA SUMINISTRO ASA Y CALCIO")),"Inicio no oportuno mayor a 16 semanas",IF(AND(BU142&lt;12,OR(HK142="RIESGO ALTO DE COMPLICACIONES HIPERTENSIVAS VER MANEJO GUIA SUMINISTRO ASA Y CALCIO",HK142="RIESGO MODERADO (2 O MAS CRITERIOS) VER MANEJO GUIA SUMINISTRO ASA Y CALCIO")),"Pendiente Inicio de ASA a la semana 12",IF(AND(BU142&gt;11,BU142&lt;17,OR(HK142="RIESGO ALTO DE COMPLICACIONES HIPERTENSIVAS VER MANEJO GUIA SUMINISTRO ASA Y CALCIO",HK142="RIESGO MODERADO (2 O MAS CRITERIOS) VER MANEJO GUIA SUMINISTRO ASA Y CALCIO")),"Iniciar de inmediato ASA",IF(AND(BU142&gt;16,OR(HK142="RIESGO ALTO DE COMPLICACIONES HIPERTENSIVAS VER MANEJO GUIA SUMINISTRO ASA Y CALCIO",HK142="RIESGO MODERADO (2 O MAS CRITERIOS) VER MANEJO GUIA SUMINISTRO ASA Y CALCIO")),"Pierde Oportunidad, Inicio tardío de ASA","XXXXX"))))))))</f>
        <v>No Aplica para suministro de ASA</v>
      </c>
      <c r="HS142" s="305">
        <v>45014</v>
      </c>
      <c r="HT142" s="305" t="s">
        <v>1532</v>
      </c>
      <c r="HU142" s="305"/>
      <c r="HV142" s="305"/>
      <c r="HW142" s="305">
        <v>45014</v>
      </c>
      <c r="HX142" s="305" t="s">
        <v>1511</v>
      </c>
      <c r="HY142" s="305"/>
      <c r="HZ142" s="320" t="str">
        <f t="shared" si="634"/>
        <v>PENDIENTE CONSULTA</v>
      </c>
      <c r="IA142" s="308"/>
      <c r="IB142" s="308"/>
      <c r="IC142" s="330"/>
      <c r="ID142" s="305"/>
      <c r="IE142" s="305" t="str">
        <f t="shared" ca="1" si="635"/>
        <v/>
      </c>
      <c r="IF142" s="305"/>
      <c r="IG142" s="305">
        <f t="shared" si="636"/>
        <v>45137</v>
      </c>
      <c r="IH142" s="326">
        <f t="shared" ca="1" si="637"/>
        <v>-96</v>
      </c>
      <c r="II142" s="305" t="str">
        <f t="shared" ca="1" si="638"/>
        <v>POSIBLEMENTE NACIO</v>
      </c>
      <c r="IJ142" s="305"/>
      <c r="IK142" s="309"/>
      <c r="IL142" s="309"/>
      <c r="IM142" s="331"/>
      <c r="IN142" s="350"/>
      <c r="IO142" s="309"/>
      <c r="IP142" s="326" t="str">
        <f t="shared" si="672"/>
        <v/>
      </c>
      <c r="IQ142" s="332"/>
      <c r="IR142" s="309"/>
      <c r="IS142" s="309"/>
      <c r="IT142" s="309"/>
      <c r="IU142" s="309"/>
      <c r="IV142" s="309"/>
      <c r="IW142" s="309"/>
      <c r="IX142" s="309"/>
      <c r="IY142" s="309"/>
      <c r="IZ142" s="309"/>
      <c r="JA142" s="309"/>
      <c r="JB142" s="329"/>
      <c r="JC142" s="309"/>
      <c r="JD142" s="333"/>
      <c r="JE142" s="309" t="str">
        <f t="shared" ref="JE142:JE173" si="682">IF(AND(JD142&gt;700,JD142&lt;2500,IP142&gt;36),"BAJO PESO AL NACER",IF(AND(JD142&gt;500,JD142&lt;2500,IP142&lt;37),"PREMATURO",IF(AND(JD142&gt;2499,JD142&lt;5000,IP142&lt;37),"ERROR VERIFICAR DATO EDAD GESTACIONAL VS PESO",IF(AND(JD142&gt;2499,JD142&lt;4000,IP142&gt;36),"PESO ADECUADO EDAD GESTACIONAL",IF(AND(JD142&gt;3999,JD142&lt;6000,IP142&gt;36),"PESO GRANDE EDAD GESTACIONAL","")))))</f>
        <v/>
      </c>
      <c r="JF142" s="329"/>
      <c r="JG142" s="309"/>
      <c r="JH142" s="309"/>
      <c r="JI142" s="309"/>
      <c r="JJ142" s="329"/>
      <c r="JK142" s="305"/>
      <c r="JL142" s="305"/>
      <c r="JM142" s="309"/>
      <c r="JN142" s="333"/>
      <c r="JO142" s="309" t="str">
        <f t="shared" ref="JO142:JO173" si="683">IF(AND(JN142&gt;700,JN142&lt;2500,IP142&gt;36,IP142&lt;43),"BAJO PESO AL NACER",IF(AND(JN142&gt;700,JN142&lt;2500,IP142&lt;37),"PREMATURO",IF(AND(JN142&gt;2499,JN142&lt;5000,IP142&lt;37),"ERROR VERIFICAR DATO EDAD GESTACIONAL VS PESO",IF(AND(JN142&gt;2499,JN142&lt;4000,IP142&gt;36,IP142&lt;43),"PESO ADECUADO EDAD GESTACIONAL",IF(AND(JN142&gt;3999,JN142&lt;6000,IP142&gt;36,IP142&lt;43),"PESO GRANDE EDAD GESTACIONAL","")))))</f>
        <v/>
      </c>
      <c r="JP142" s="305"/>
      <c r="JQ142" s="309"/>
      <c r="JR142" s="309"/>
      <c r="JS142" s="309"/>
      <c r="JT142" s="329"/>
      <c r="JU142" s="305"/>
      <c r="JV142" s="305"/>
      <c r="JW142" s="334"/>
      <c r="JX142" s="320" t="str">
        <f t="shared" ref="JX142:JX173" si="684">IF(AND(JW142&lt;&gt;"",JW142&lt;IN142),"INCONSISTENCIA FECHA CONTROL",IF(AND(OR(IK142="Parto",IK142="Cesarea"),JW142&gt;0,IN142&gt;0),SUM(JW142-IN142),IF(AND(OR(IK142="Parto",IK142="Cesarea"),JW142="",IN142&gt;0),"INASISTENTE","")))</f>
        <v/>
      </c>
      <c r="JY142" s="334"/>
      <c r="JZ142" s="320" t="str">
        <f t="shared" ref="JZ142:JZ173" si="685">IF(AND(JY142&lt;&gt;"",JY142&lt;IN142),"INCONSISTENCIA FECHA CONTROL",IF(AND(OR(IK142="Parto",IK142="Cesarea",IK142="Aborto Espontaneo",IK142="Aborto Inducido",IK142="IVE"),JY142&gt;0,IN142&gt;0),SUM(JY142-IN142),IF(AND(JY142&lt;&gt;"",JY142&lt;IN142),"INCONSISTENCIA FECHA CONTROL",IF(AND(OR(IK142="Parto",IK142="Cesarea",IK142="Aborto Espontaneo",IK142="Aborto Inducido",IK142="IVE"),JY142="",IN142&gt;0),"INASISTENTE",""))))</f>
        <v/>
      </c>
      <c r="KA142" s="309"/>
      <c r="KB142" s="309"/>
      <c r="KC142" s="309"/>
      <c r="KD142" s="335"/>
      <c r="KE142" s="320"/>
      <c r="KF142" s="320"/>
      <c r="KG142" s="320"/>
      <c r="KH142" s="336"/>
      <c r="KI142" s="336"/>
      <c r="KJ142" s="337"/>
      <c r="KK142" s="336"/>
      <c r="KL142" s="336"/>
      <c r="KM142" s="337"/>
      <c r="KN142" s="336"/>
      <c r="KO142" s="336"/>
      <c r="KP142" s="336"/>
      <c r="KQ142" s="336"/>
      <c r="KR142" s="336"/>
      <c r="KS142" s="336"/>
      <c r="KT142" s="336"/>
      <c r="KU142" s="312"/>
      <c r="KV142" s="312"/>
      <c r="KW142" s="312"/>
      <c r="KX142" s="312"/>
      <c r="KY142" s="312"/>
      <c r="KZ142" s="312"/>
      <c r="LA142" s="312"/>
      <c r="LB142" s="312"/>
      <c r="LC142" s="312"/>
      <c r="LD142" s="312"/>
      <c r="LE142" s="312"/>
      <c r="LF142" s="312"/>
      <c r="LG142" s="312"/>
      <c r="LH142" s="312"/>
      <c r="LI142" s="312"/>
      <c r="LJ142" s="312"/>
      <c r="LK142" s="312"/>
      <c r="LL142" s="312"/>
      <c r="LM142" s="312"/>
      <c r="LN142" s="312"/>
      <c r="LO142" s="312"/>
      <c r="LP142" s="312"/>
      <c r="LQ142" s="312"/>
      <c r="LR142" s="312"/>
      <c r="LS142" s="312"/>
      <c r="LT142" s="312"/>
      <c r="LU142" s="312"/>
      <c r="LV142" s="312"/>
      <c r="LW142" s="312"/>
      <c r="LX142" s="312"/>
      <c r="LY142" s="312"/>
      <c r="LZ142" s="312"/>
      <c r="MA142" s="312"/>
      <c r="MB142" s="312"/>
      <c r="MC142" s="312"/>
      <c r="MD142" s="312"/>
      <c r="ME142" s="312"/>
      <c r="MF142" s="312"/>
      <c r="MG142" s="312"/>
      <c r="MH142" s="43">
        <f t="shared" si="639"/>
        <v>0</v>
      </c>
      <c r="MI142" s="43" t="str">
        <f t="shared" si="640"/>
        <v/>
      </c>
      <c r="MJ142" s="43" t="str">
        <f t="shared" si="641"/>
        <v/>
      </c>
      <c r="MK142" s="43">
        <f t="shared" si="642"/>
        <v>0</v>
      </c>
      <c r="ML1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2" s="43">
        <f t="shared" si="643"/>
        <v>22.428571428571427</v>
      </c>
      <c r="MN142" s="43">
        <f t="shared" si="644"/>
        <v>3</v>
      </c>
      <c r="MO142" s="43">
        <f t="shared" si="645"/>
        <v>2023</v>
      </c>
      <c r="MP142" s="43" t="str">
        <f t="shared" si="646"/>
        <v>I TRIMESTRE AÑO</v>
      </c>
      <c r="MQ142" s="43">
        <f t="shared" si="647"/>
        <v>32.238282961016203</v>
      </c>
      <c r="MR142" s="43">
        <f t="shared" si="648"/>
        <v>0</v>
      </c>
      <c r="MS142" s="43" t="str">
        <f t="shared" si="649"/>
        <v xml:space="preserve"> DE 30 A 34 AÑOS</v>
      </c>
      <c r="MT142" s="43">
        <f t="shared" si="650"/>
        <v>0</v>
      </c>
      <c r="MU142" s="43">
        <f t="shared" si="651"/>
        <v>0</v>
      </c>
      <c r="MV142" s="43">
        <f t="shared" si="652"/>
        <v>0</v>
      </c>
      <c r="MW142" s="43">
        <f t="shared" si="653"/>
        <v>0</v>
      </c>
      <c r="MX142" s="43" t="str">
        <f t="shared" si="654"/>
        <v/>
      </c>
      <c r="MY142" s="43" t="str">
        <f t="shared" ref="MY142:MY173" ca="1" si="686">IF(AND(AND(BU142&gt;40.9,BU142&lt;43),IN142=""),1,"")</f>
        <v/>
      </c>
      <c r="MZ142" s="43" t="str">
        <f t="shared" si="655"/>
        <v/>
      </c>
      <c r="NA142" s="43" t="str">
        <f t="shared" si="656"/>
        <v/>
      </c>
      <c r="NB142" s="43" t="str">
        <f t="shared" si="657"/>
        <v/>
      </c>
      <c r="NC142" s="43" t="str">
        <f t="shared" si="658"/>
        <v/>
      </c>
      <c r="ND142" s="43">
        <f t="shared" ca="1" si="659"/>
        <v>0</v>
      </c>
      <c r="NE142" s="43">
        <f>IF(OR(O142&gt;0,R142&gt;0),SUM(COUNTIF(Tabla1[[#This Row],[AÑOS AL INICIO5 CPN]],"&gt;=40"),COUNTIF(AS142,"0"),COUNTIF(AR142,"SI"),COUNTIF(CC142,"SI"),COUNTIF(BQ142,"&gt;119"),COUNTIF(CI142,"&gt;=35")),"")</f>
        <v>0</v>
      </c>
      <c r="NF142" s="43" t="str">
        <f t="shared" si="660"/>
        <v/>
      </c>
      <c r="NG142" s="43">
        <f t="shared" si="661"/>
        <v>0</v>
      </c>
      <c r="NH142" s="43">
        <f t="shared" si="662"/>
        <v>210.70000000000002</v>
      </c>
      <c r="NI14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CPN",P142="NO"),"Z",IF(AND(Tabla1[[#This Row],[CITA PROXIMO CONTROL]]="CITA MANUAL",Tabla1[[#This Row],[GESTANTES ACTUALES]]="ACTIVA INGRESO A CPN"),"W",IF(AND(Tabla1[[#This Row],[GESTANTES ACTUALES]]="SALIO PROGRAMA",IN142=""),"S",IF(AND(Tabla1[[#This Row],[CITA PROXIMO CONTROL]]&gt;0,IN142=""),(Tabla1[[#This Row],[CITA PROXIMO CONTROL]]-TODAY()),"SD"))))))))</f>
        <v>#REF!</v>
      </c>
      <c r="NJ142" s="43">
        <f>MONTH(Tabla1[[#This Row],[FECHA DE SALIDA  DEL PROGRAMA]])</f>
        <v>1</v>
      </c>
      <c r="NK142" s="43">
        <f>YEAR(Tabla1[[#This Row],[FECHA DE SALIDA  DEL PROGRAMA]])</f>
        <v>1900</v>
      </c>
      <c r="NL142" s="43" t="str">
        <f t="shared" si="663"/>
        <v>X</v>
      </c>
      <c r="NM142" s="43" t="str">
        <f t="shared" si="500"/>
        <v>NO</v>
      </c>
      <c r="NN142" s="43" t="str">
        <f ca="1">IF(AND(O142&gt;0,R142=""),"NO CPN",IF(AND(O142="",R142=""),"",IF(AND(R142&gt;0,Tabla1[[#This Row],[SEMANAS DE GESTACION ACTUALIZADAS]]&lt;=12),"NO APLICA",IF(AND(FH142&lt;&gt;"",FN142&lt;&gt;""),"SI","NO"))))</f>
        <v>SI</v>
      </c>
      <c r="NO142" s="43" t="str">
        <f ca="1">IF(AND(O142&gt;0,R142=""),"NO CPN",IF(AND(O142="",R142=""),"",IF(AND(R142&gt;0,Tabla1[[#This Row],[SEMANAS DE GESTACION ACTUALIZADAS]]&lt;=27),"NO APLICA",IF(AND(ES142&lt;&gt;"",FQ142&lt;&gt;"",GF142&lt;&gt;""),"SI","NO"))))</f>
        <v>NO</v>
      </c>
      <c r="NP142" s="204" t="str">
        <f t="shared" si="664"/>
        <v>II TRIM</v>
      </c>
      <c r="NQ14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2" s="21" t="str">
        <f t="shared" ref="NR142:NR173" ca="1" si="687">IF(AND(O142="",R142=""),"",IF(AND(BS142&gt;0,BS142&lt;12,IP142&gt;28,IP142&lt;44),3, IF(OR(AND(BS142&gt;=12,BS142&lt;28,IP142&gt;=28,IP142&lt;44),AND(BS142&gt;0,BS142&lt;12,IP142&gt;=12,IP142&lt;29)),2,IF(OR(AND(BS142&gt;=28,BS142&lt;44),AND(BS142&gt;0,BS142&lt;12,IP142&gt;0,IP142&lt;12),AND(BS142&gt;=12,BS142&lt;28,IP142&gt;=12,IP142&lt;28)),1,IF(AND(BS142&gt;0,BS142&lt;12,BU142&gt;=28,BU142&lt;44,DV142="ACTIVA INGRESO A CPN"),3,IF(OR(AND(BS142&gt;0,BS142&lt;12,BU142&gt;=12,BU142&lt;28,DV142="ACTIVA INGRESO A CPN"),AND(BS142&gt;=12,BS142&lt;28,BU142&gt;=28,BU142&lt;44,DV142="ACTIVA INGRESO A CPN")),2,IF(OR(AND(BS142&gt;0,BS142&lt;12,BU142&gt;0,BU142&lt;12,DV142="ACTIVA INGRESO A CPN"),AND(BS142&gt;=12,BS142&lt;28,BU142&gt;=12,BU142&lt;28,DV142="ACTIVA INGRESO A CPN")),1,"REVISAR FUM O FECHA SALIDA PROGRAMA")))))))</f>
        <v>REVISAR FUM O FECHA SALIDA PROGRAMA</v>
      </c>
      <c r="NS142" s="205">
        <f t="shared" ca="1" si="665"/>
        <v>1</v>
      </c>
      <c r="NT142" s="21">
        <f t="shared" ca="1" si="666"/>
        <v>1</v>
      </c>
      <c r="NU142" s="21" t="str">
        <f t="shared" ca="1" si="667"/>
        <v>POR DEFINIR</v>
      </c>
      <c r="NV142" s="21" t="str">
        <f t="shared" ca="1" si="668"/>
        <v>POR DEFINIR</v>
      </c>
      <c r="NW142" s="206" t="str">
        <f>IF(AND(O142="",R142=""),"",IF(OR(AND(Tabla1[[#This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2" s="207" t="str">
        <f t="shared" ca="1" si="669"/>
        <v>SIN VACUNAR</v>
      </c>
      <c r="NY142" s="43">
        <f>ROW(Tabla1[[#This Row],['# DE TAMIZAJES SIFILIS TOMADOS ]])</f>
        <v>142</v>
      </c>
      <c r="NZ142" s="43">
        <f t="shared" si="501"/>
        <v>22</v>
      </c>
      <c r="OA142" s="43" t="str">
        <f t="shared" si="502"/>
        <v/>
      </c>
      <c r="OB142" s="43" t="str">
        <f t="shared" si="503"/>
        <v/>
      </c>
      <c r="OC142" s="43" t="str">
        <f t="shared" si="504"/>
        <v/>
      </c>
      <c r="OD142" s="43" t="str">
        <f t="shared" si="505"/>
        <v/>
      </c>
      <c r="OE142" s="43" t="str">
        <f t="shared" si="506"/>
        <v/>
      </c>
      <c r="OF142" s="43" t="str">
        <f t="shared" si="507"/>
        <v/>
      </c>
      <c r="OG142" s="43" t="str">
        <f t="shared" si="508"/>
        <v/>
      </c>
      <c r="OH142" s="43" t="str">
        <f t="shared" si="509"/>
        <v/>
      </c>
      <c r="OI142" s="43" t="str">
        <f t="shared" si="510"/>
        <v/>
      </c>
      <c r="OJ142" s="43" t="str">
        <f t="shared" si="511"/>
        <v/>
      </c>
      <c r="OK142" s="43" t="str">
        <f t="shared" si="512"/>
        <v/>
      </c>
      <c r="OL142" s="43" t="str">
        <f t="shared" si="513"/>
        <v/>
      </c>
      <c r="OM142" s="43" t="str">
        <f t="shared" si="514"/>
        <v/>
      </c>
      <c r="ON142" s="43" t="str">
        <f t="shared" si="515"/>
        <v>NORMAL</v>
      </c>
      <c r="OO142" s="43" t="str">
        <f t="shared" si="516"/>
        <v/>
      </c>
      <c r="OP142" s="43" t="str">
        <f t="shared" si="517"/>
        <v/>
      </c>
      <c r="OQ142" s="43" t="str">
        <f t="shared" si="518"/>
        <v/>
      </c>
      <c r="OR142" s="43" t="str">
        <f t="shared" si="519"/>
        <v/>
      </c>
      <c r="OS142" s="43" t="str">
        <f t="shared" si="520"/>
        <v/>
      </c>
      <c r="OT142" s="43" t="str">
        <f t="shared" si="521"/>
        <v/>
      </c>
      <c r="OU142" s="43" t="str">
        <f t="shared" si="522"/>
        <v/>
      </c>
      <c r="OV142" s="110" t="str">
        <f t="shared" si="523"/>
        <v/>
      </c>
      <c r="OW142" s="43" t="str">
        <f t="shared" si="524"/>
        <v/>
      </c>
      <c r="OX142" s="43" t="str">
        <f t="shared" si="525"/>
        <v/>
      </c>
      <c r="OY142" s="43" t="str">
        <f t="shared" si="526"/>
        <v/>
      </c>
      <c r="OZ142" s="43" t="str">
        <f t="shared" si="527"/>
        <v/>
      </c>
      <c r="PA142" s="43" t="str">
        <f t="shared" si="528"/>
        <v/>
      </c>
      <c r="PB142" s="43" t="str">
        <f t="shared" si="529"/>
        <v/>
      </c>
      <c r="PC142" s="43" t="str">
        <f t="shared" si="530"/>
        <v/>
      </c>
      <c r="PD142" s="43" t="str">
        <f t="shared" si="531"/>
        <v/>
      </c>
      <c r="PE142" s="43" t="str">
        <f t="shared" si="532"/>
        <v/>
      </c>
      <c r="PF142" s="43" t="str">
        <f t="shared" si="533"/>
        <v/>
      </c>
      <c r="PG142" s="43" t="str">
        <f t="shared" si="534"/>
        <v/>
      </c>
      <c r="PH142" s="43" t="str">
        <f t="shared" si="535"/>
        <v/>
      </c>
      <c r="PI142" s="43">
        <f t="shared" si="536"/>
        <v>32</v>
      </c>
      <c r="PJ142" s="43" t="str">
        <f t="shared" si="537"/>
        <v/>
      </c>
      <c r="PK142" s="43" t="str">
        <f t="shared" si="538"/>
        <v/>
      </c>
      <c r="PL142" s="43" t="str">
        <f t="shared" si="539"/>
        <v/>
      </c>
      <c r="PM142" s="43" t="str">
        <f t="shared" si="540"/>
        <v/>
      </c>
      <c r="PN142" s="43" t="str">
        <f t="shared" si="541"/>
        <v/>
      </c>
      <c r="PO142" s="43" t="str">
        <f t="shared" si="542"/>
        <v/>
      </c>
      <c r="PP142" s="43" t="str">
        <f t="shared" si="543"/>
        <v/>
      </c>
      <c r="PQ142" s="43" t="str">
        <f t="shared" si="544"/>
        <v/>
      </c>
      <c r="PR142" s="43" t="str">
        <f t="shared" si="545"/>
        <v/>
      </c>
      <c r="PS142" s="43" t="str">
        <f t="shared" si="546"/>
        <v/>
      </c>
      <c r="PT142" s="43" t="str">
        <f t="shared" si="547"/>
        <v/>
      </c>
      <c r="PU142" s="43" t="str">
        <f t="shared" si="548"/>
        <v/>
      </c>
      <c r="PV142" s="43" t="str">
        <f t="shared" si="549"/>
        <v/>
      </c>
      <c r="PW142" s="43" t="str">
        <f t="shared" si="550"/>
        <v/>
      </c>
      <c r="PX142" s="43" t="str">
        <f t="shared" si="551"/>
        <v/>
      </c>
      <c r="PY142" s="43" t="str">
        <f t="shared" si="552"/>
        <v/>
      </c>
      <c r="PZ142" s="43" t="str">
        <f t="shared" si="553"/>
        <v/>
      </c>
      <c r="QA142" s="43" t="str">
        <f t="shared" si="554"/>
        <v/>
      </c>
      <c r="QB142" s="43" t="str">
        <f t="shared" si="555"/>
        <v/>
      </c>
      <c r="QC142" s="43" t="str">
        <f t="shared" si="556"/>
        <v/>
      </c>
      <c r="QD142" s="43" t="str">
        <f t="shared" si="557"/>
        <v/>
      </c>
      <c r="QE142" s="43" t="str">
        <f t="shared" si="558"/>
        <v/>
      </c>
      <c r="QF142" s="43" t="str">
        <f t="shared" si="559"/>
        <v/>
      </c>
      <c r="QG142" s="43" t="str">
        <f t="shared" si="560"/>
        <v>NORMAL</v>
      </c>
      <c r="QH142" s="43" t="str">
        <f t="shared" si="561"/>
        <v/>
      </c>
      <c r="QI142" s="43" t="str">
        <f t="shared" si="562"/>
        <v/>
      </c>
      <c r="QJ142" s="43" t="str">
        <f t="shared" si="563"/>
        <v/>
      </c>
      <c r="QK142" s="43" t="str">
        <f t="shared" si="564"/>
        <v/>
      </c>
      <c r="QL142" s="43" t="str">
        <f t="shared" si="565"/>
        <v/>
      </c>
      <c r="QM142" s="43" t="str">
        <f t="shared" si="566"/>
        <v/>
      </c>
      <c r="QN142" s="43" t="str">
        <f t="shared" si="567"/>
        <v/>
      </c>
      <c r="QO142" s="43" t="str">
        <f t="shared" si="568"/>
        <v/>
      </c>
      <c r="QP142" s="43" t="str">
        <f t="shared" si="569"/>
        <v/>
      </c>
      <c r="QQ142" s="43" t="str">
        <f t="shared" si="570"/>
        <v/>
      </c>
      <c r="QR142" s="43">
        <f t="shared" si="670"/>
        <v>32</v>
      </c>
      <c r="QS142" s="43"/>
      <c r="QT142" s="21" t="str">
        <f t="shared" si="571"/>
        <v/>
      </c>
      <c r="QU142" s="21" t="str">
        <f t="shared" si="572"/>
        <v/>
      </c>
      <c r="QV142" s="21" t="str">
        <f t="shared" si="573"/>
        <v/>
      </c>
      <c r="QW142" s="21" t="str">
        <f t="shared" si="574"/>
        <v/>
      </c>
      <c r="QX142" s="21" t="str">
        <f t="shared" si="575"/>
        <v/>
      </c>
      <c r="QY142" s="21" t="str">
        <f t="shared" si="576"/>
        <v/>
      </c>
      <c r="QZ142" s="21" t="str">
        <f t="shared" si="577"/>
        <v/>
      </c>
      <c r="RA142" s="21" t="str">
        <f t="shared" si="578"/>
        <v/>
      </c>
      <c r="RB142" s="21" t="str">
        <f t="shared" si="579"/>
        <v/>
      </c>
      <c r="RC142" s="21" t="str">
        <f t="shared" si="580"/>
        <v/>
      </c>
      <c r="RD142" s="21" t="str">
        <f t="shared" si="581"/>
        <v/>
      </c>
      <c r="RE142" s="21" t="str">
        <f t="shared" si="582"/>
        <v/>
      </c>
      <c r="RF142" s="21" t="str">
        <f t="shared" si="583"/>
        <v/>
      </c>
      <c r="RG142" s="21" t="str">
        <f t="shared" si="584"/>
        <v/>
      </c>
      <c r="RH142" s="21" t="str">
        <f t="shared" si="585"/>
        <v/>
      </c>
      <c r="RI142" s="21" t="str">
        <f t="shared" si="586"/>
        <v/>
      </c>
      <c r="RJ142" s="21" t="str">
        <f t="shared" si="587"/>
        <v/>
      </c>
      <c r="RK142" s="21" t="str">
        <f t="shared" si="588"/>
        <v/>
      </c>
      <c r="RL142" s="21" t="str">
        <f t="shared" si="589"/>
        <v/>
      </c>
      <c r="RM142" s="21" t="str">
        <f t="shared" si="590"/>
        <v>ALTO PARA EDAD GESTACIONAL</v>
      </c>
      <c r="RN142" s="21" t="str">
        <f t="shared" si="591"/>
        <v/>
      </c>
      <c r="RO142" s="21" t="str">
        <f t="shared" si="592"/>
        <v/>
      </c>
      <c r="RP142" s="21" t="str">
        <f t="shared" si="593"/>
        <v/>
      </c>
      <c r="RQ142" s="21" t="str">
        <f t="shared" si="594"/>
        <v/>
      </c>
      <c r="RR142" s="21" t="str">
        <f t="shared" si="595"/>
        <v/>
      </c>
      <c r="RS142" s="21" t="str">
        <f t="shared" si="596"/>
        <v/>
      </c>
      <c r="RT142" s="21" t="str">
        <f t="shared" si="597"/>
        <v/>
      </c>
      <c r="RU142" s="21" t="str">
        <f t="shared" si="598"/>
        <v/>
      </c>
      <c r="RV142" s="21">
        <f t="shared" si="599"/>
        <v>-1</v>
      </c>
      <c r="RW142" s="284">
        <f>IF(OR(Tabla1[[#This Row],[FUM FORMULA CONFIABLE]]="",Tabla1[[#This Row],[FUM FORMULA CONFIABLE]]="SD"),"",IF(Tabla1[[#This Row],[FUM FORMULA CONFIABLE]]="CORREGIDA",Tabla1[[#This Row],[FUM X ECO 1]],Tabla1[[#This Row],[FUM x AMENORREA]]))</f>
        <v>44857</v>
      </c>
      <c r="RX142" s="21">
        <f>IF(AND(Tabla1[[#This Row],[FUM X ECO 1]]="",Tabla1[[#This Row],[FUM x AMENORREA]]=""),"",IF(AND(Tabla1[[#This Row],[FUM X ECO 1]]="",Tabla1[[#This Row],[FUM x AMENORREA]]&lt;&gt;""),"X",SUM(Tabla1[[#This Row],[FUM X ECO 1]]-Tabla1[[#This Row],[FUM x AMENORREA]])))</f>
        <v>4.3000000000029104</v>
      </c>
      <c r="RY142" s="21">
        <f t="shared" si="671"/>
        <v>0</v>
      </c>
    </row>
    <row r="143" spans="1:493" ht="45" customHeight="1" x14ac:dyDescent="0.25">
      <c r="A143" s="109"/>
      <c r="B143" s="43"/>
      <c r="C143" s="43" t="s">
        <v>845</v>
      </c>
      <c r="D143" s="124"/>
      <c r="E143" s="43" t="s">
        <v>953</v>
      </c>
      <c r="F143" s="43" t="s">
        <v>848</v>
      </c>
      <c r="G143" s="43" t="s">
        <v>1420</v>
      </c>
      <c r="H143" s="43"/>
      <c r="I143" s="109" t="s">
        <v>851</v>
      </c>
      <c r="J143" s="110">
        <v>1002846728</v>
      </c>
      <c r="K143" s="43" t="s">
        <v>852</v>
      </c>
      <c r="L143" s="175" t="s">
        <v>853</v>
      </c>
      <c r="M143" s="22">
        <v>35893</v>
      </c>
      <c r="N143" s="213">
        <f t="shared" ca="1" si="600"/>
        <v>25.589041095890412</v>
      </c>
      <c r="O143" s="22">
        <v>45016</v>
      </c>
      <c r="P143" s="214" t="str">
        <f t="shared" si="673"/>
        <v>SI</v>
      </c>
      <c r="Q143" s="26" t="s">
        <v>855</v>
      </c>
      <c r="R143" s="22">
        <v>45016</v>
      </c>
      <c r="S143" s="21" t="s">
        <v>856</v>
      </c>
      <c r="T143" s="24" t="s">
        <v>690</v>
      </c>
      <c r="U143" s="21" t="s">
        <v>857</v>
      </c>
      <c r="V143" s="21" t="s">
        <v>858</v>
      </c>
      <c r="W143" s="21" t="s">
        <v>955</v>
      </c>
      <c r="X143" s="21"/>
      <c r="Y143" s="21"/>
      <c r="Z143" s="21">
        <v>3207551056</v>
      </c>
      <c r="AA143" s="21" t="s">
        <v>860</v>
      </c>
      <c r="AB143" s="27" t="s">
        <v>861</v>
      </c>
      <c r="AC143" s="26" t="s">
        <v>888</v>
      </c>
      <c r="AD143" s="38" t="s">
        <v>1546</v>
      </c>
      <c r="AE143" s="26" t="s">
        <v>854</v>
      </c>
      <c r="AF143" s="26" t="s">
        <v>854</v>
      </c>
      <c r="AG143" s="23" t="s">
        <v>864</v>
      </c>
      <c r="AH143" s="23" t="s">
        <v>864</v>
      </c>
      <c r="AI143" s="24" t="s">
        <v>863</v>
      </c>
      <c r="AJ143" s="23" t="s">
        <v>864</v>
      </c>
      <c r="AK143" s="220" t="str">
        <f>IF(AND(AD143="",AE143="",AF143="",AG143="",AH143="",AI143="",AJ143=""),"",IF(OR(Tabla1[[#This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EVALUACIÓN",IF(AND(O143="",R143=""),"",IF(AND(OR(O143&gt;0,R143&gt;0),NG143&gt;=0,NG143&lt;2),"SIN RIESGO",IF(AND(OR(O143&gt;0,R143&gt;0),NG143&gt;=2),"CON RIESGO","ASD")))))</f>
        <v>SIN RIESGO</v>
      </c>
      <c r="AL143" s="23" t="s">
        <v>864</v>
      </c>
      <c r="AM143" s="26" t="s">
        <v>864</v>
      </c>
      <c r="AN143" s="26" t="s">
        <v>864</v>
      </c>
      <c r="AO143" s="26" t="s">
        <v>864</v>
      </c>
      <c r="AP143" s="26" t="s">
        <v>864</v>
      </c>
      <c r="AQ143" s="26" t="s">
        <v>864</v>
      </c>
      <c r="AR143" s="26" t="s">
        <v>864</v>
      </c>
      <c r="AS143" s="21">
        <v>2</v>
      </c>
      <c r="AT143" s="21">
        <v>2</v>
      </c>
      <c r="AU143" s="21">
        <v>0</v>
      </c>
      <c r="AV143" s="26" t="s">
        <v>864</v>
      </c>
      <c r="AW143" s="21">
        <v>0</v>
      </c>
      <c r="AX143" s="26" t="s">
        <v>864</v>
      </c>
      <c r="AY143" s="26" t="s">
        <v>864</v>
      </c>
      <c r="AZ143" s="26" t="s">
        <v>864</v>
      </c>
      <c r="BA143" s="26" t="s">
        <v>864</v>
      </c>
      <c r="BB143" s="26" t="s">
        <v>864</v>
      </c>
      <c r="BC143" s="26" t="s">
        <v>864</v>
      </c>
      <c r="BD143" s="26" t="s">
        <v>864</v>
      </c>
      <c r="BE143" s="26" t="s">
        <v>864</v>
      </c>
      <c r="BF143" s="26" t="s">
        <v>864</v>
      </c>
      <c r="BG143" s="26" t="s">
        <v>864</v>
      </c>
      <c r="BH143" s="26" t="s">
        <v>864</v>
      </c>
      <c r="BI143" s="26" t="s">
        <v>864</v>
      </c>
      <c r="BJ143" s="26" t="s">
        <v>864</v>
      </c>
      <c r="BK143" s="26" t="s">
        <v>865</v>
      </c>
      <c r="BL143" s="26" t="s">
        <v>864</v>
      </c>
      <c r="BM143" s="26" t="s">
        <v>864</v>
      </c>
      <c r="BN143" s="22">
        <v>42955</v>
      </c>
      <c r="BO143" s="22">
        <v>44989</v>
      </c>
      <c r="BP143" s="21" t="s">
        <v>1380</v>
      </c>
      <c r="BQ143" s="222">
        <f t="shared" si="601"/>
        <v>65.130000000000052</v>
      </c>
      <c r="BR143" s="223">
        <f t="shared" si="602"/>
        <v>44908.9</v>
      </c>
      <c r="BS143" s="224">
        <f t="shared" si="603"/>
        <v>15.299999999999793</v>
      </c>
      <c r="BT143" s="216" t="str">
        <f t="shared" si="604"/>
        <v>II TRIM</v>
      </c>
      <c r="BU143" s="214" t="str">
        <f t="shared" ca="1" si="605"/>
        <v/>
      </c>
      <c r="BV143" s="25" t="s">
        <v>988</v>
      </c>
      <c r="BW143" s="22">
        <v>45051</v>
      </c>
      <c r="BX143" s="28">
        <v>20.3</v>
      </c>
      <c r="BY143" s="28"/>
      <c r="BZ143" s="22"/>
      <c r="CA143" s="21"/>
      <c r="CB143" s="26"/>
      <c r="CC143" s="26"/>
      <c r="CD143" s="26"/>
      <c r="CE143" s="26"/>
      <c r="CF143" s="22" t="s">
        <v>1517</v>
      </c>
      <c r="CG143" s="21">
        <v>1.49</v>
      </c>
      <c r="CH143" s="21">
        <v>65.5</v>
      </c>
      <c r="CI143" s="214">
        <f t="shared" si="606"/>
        <v>29.503175532633666</v>
      </c>
      <c r="CJ143" s="225" t="e">
        <f>IF(AND(CI143&lt;10,CH143="SD"),"SIN DATO PESO PREGESTACION O I TRIM",IF(AND(OR(R143&gt;0,O143&gt;0),CI143="X"),"INGRESAR DATO DE PESO",IF(CI143="SD","INGRESAR DATO DE TALLA Y PESO",IF(AND(OR(Tabla1[[#This Row],[MOMENTO EN QUE SE REALIZA EL PESO AL INGRESO A CPN]]="PREGESTACIÓN",NZ143="Menor"),CI143&lt;18.5),"BAJO PESO",IF(AND(OR(Tabla1[[#This Row],[MOMENTO EN QUE SE REALIZA EL PESO AL INGRESO A CPN]]="PREGESTACIÓN",NZ143="Menor"),CI143&lt;25),"NORMAL",IF(AND(OR(Tabla1[[#This Row],[MOMENTO EN QUE SE REALIZA EL PESO AL INGRESO A CPN]]="PREGESTACIÓN",NZ143="Menor"),CI143&lt;30),"SOBREPESO",IF(AND(OR(Tabla1[[#This Row],[MOMENTO EN QUE SE REALIZA EL PESO AL INGRESO A CPN]]="PREGESTACIÓN",NZ143="Menor"),CI143&gt;=30,CI143&lt;50),"OBESIDAD",IF(AND(BS143&gt;0,Tabla1[[#This Row],[MOMENTO EN QUE SE REALIZA EL PESO AL INGRESO A CPN]]="GESTACIÓN"),HLOOKUP(NZ143,$OA$2:PH143,NY143),""))))))))</f>
        <v>#REF!</v>
      </c>
      <c r="CK143" s="212">
        <f t="shared" si="607"/>
        <v>45051</v>
      </c>
      <c r="CL143" s="21">
        <v>65.5</v>
      </c>
      <c r="CM143" s="214">
        <f t="shared" si="608"/>
        <v>29.503175532633666</v>
      </c>
      <c r="CN143" s="216">
        <f t="shared" si="609"/>
        <v>20</v>
      </c>
      <c r="CO143" s="216" t="e">
        <f>IF(PI143="","",IF(PI143&gt;0,HLOOKUP(PI143,$PJ$2:QQ143,NY143),""))</f>
        <v>#REF!</v>
      </c>
      <c r="CP143" s="21">
        <v>18</v>
      </c>
      <c r="CQ143" s="216" t="e">
        <f>IF(QR143="Menor","NO APLICA-MENOR 13 SEM",IF(AND(CC143="SI",CN143&gt;23),"NO APLICA- GEMELAR",IF(QR143="","",IF(QR143&gt;0,HLOOKUP(QR143,$QS$2:RU143,NY143),""))))</f>
        <v>#REF!</v>
      </c>
      <c r="CR143" s="21">
        <v>90</v>
      </c>
      <c r="CS143" s="21">
        <v>60</v>
      </c>
      <c r="CT143" s="217" t="str">
        <f>IF(R143="","",IF(AND(BS143&gt;1,BS143&lt;12,Tabla1[[#This Row],[T.A. SISTOLICA - ANTES DE SEMANA 12]]="",Tabla1[[#This Row],[T.A. DIASTOLICA - ANTES DE SEMANA 12]]=""),"REGISTRE DATO TA ANTES SEMANA 12",IF(AND(BS143&gt;11,BS143&lt;43,Tabla1[[#This Row],[T.A. SISTOLICA - ANTES DE SEMANA 12]]="",Tabla1[[#This Row],[T.A. DIASTOLICA - ANTES DE SEMANA 12]]=""),"NO APLICA REGISTRO TA-INGRESO TARDIO",IF(AND(OR(O143&gt;0,R143&gt;0),OR(CR143&gt;=140,CS143&gt;=90)),"DEFINIR ESTADIO HTA",IF(AND(OR(O143&gt;0,R143&gt;0),AND(CR143&gt;120,CR143&lt;=139)),"PRE HTA SEGUIMIENTO",IF(AND(OR(O143&gt;0,R143&gt;0),AND(CS143&gt;80,CS143&lt;=89)),"PRE HTA SEGUIMIENTO",IF(AND(OR(O143&gt;0,R143&gt;0),AND(CR143&gt;=80,CR143&lt;=120)),"APARENTEMENTE NORMAL",IF(AND(OR(O143&gt;0,R143&gt;0),AND(CS143&gt;=50,CS143&lt;=80)),"APARENTEMENTE NORMAL",IF(AND(OR(O143&gt;0,R143&gt;0),AND(CR143&gt;1,CR143&lt;=70),AND(CS143&gt;1,CS143&lt;=40)),"HIPOTENSIÓN","")))))))))</f>
        <v>APARENTEMENTE NORMAL</v>
      </c>
      <c r="CU143" s="21">
        <v>90</v>
      </c>
      <c r="CV143" s="21">
        <v>60</v>
      </c>
      <c r="CW143" s="217" t="str">
        <f ca="1">IF(R143="","",IF(AND(CN143&gt;19,CN143&lt;27,Tabla1[[#This Row],[T.A. SISTOLICA (Entre semana 20 y 26)]]="",Tabla1[[#This Row],[T.A. DIATOLICA (Entre semana 20 y 26)]]=""),"ACUDE A CONTROL SEM 20 A 26 REGISTRE TA AHORA",IF(AND(BS143&gt;1,BS143&lt;27,BU143&gt;19,Tabla1[[#This Row],[T.A. SISTOLICA (Entre semana 20 y 26)]]="",Tabla1[[#This Row],[T.A. DIATOLICA (Entre semana 20 y 26)]]=""),"COMPLETE REGISTRO TA CONTROL SEM 20 A26 ",IF(AND(BS143&gt;26,BS143&lt;43,Tabla1[[#This Row],[T.A. SISTOLICA (Entre semana 20 y 26)]]="",Tabla1[[#This Row],[T.A. DIATOLICA (Entre semana 20 y 26)]]=""),"NO APLICA REGISTRO TA-INGRESO TARDIO",IF(AND(OR(O143&gt;0,R143&gt;0),OR(CU143&gt;=140,CV143&gt;=90)),"ALTO RIESGO PREECLAMPSIA,DEFINIR ESTADIO HTA",IF(AND(OR(O143&gt;0,R143&gt;0),AND(CU143&gt;120,CU143&lt;=139)),"PRE HTA SEGUIMIENTO,RIESGO HIPERTENSION INDUCIDA POR EL EMBARAZO",IF(AND(OR(O143&gt;0,R143&gt;0),AND(CV143&gt;80,CV143&lt;=89)),"PRE HTA SEGUIMIENTO, RIESGO HIPERTENSION INDUCIDA POR EL EMBARAZO",IF(AND(OR(O143&lt;&gt;"",R143&lt;&gt;""),CS143&lt;&gt;"",CV143&lt;&gt;"",CS143&lt;=CV143),"VIGILAR CIFRAS PRESION ARTERIAL",IF(AND(OR(O143&gt;0,R143&gt;0),AND(CU143&gt;120,CU143&lt;=139)),"PRE HTA SEGUIMIENTO",IF(AND(OR(O143&gt;0,R143&gt;0),AND(CU143&gt;1,CU143&lt;=70),AND(CV143&gt;1,CV143&lt;=40)),"HIPOTENSIÓN",IF(AND(OR(O143&lt;&gt;"",R143&lt;&gt;""),CS143&lt;&gt;"",CV143&lt;&gt;"",CS143&gt;CV143),"APARENTEMENTE NORMAL",IF(AND(OR(O143&gt;0,R143&gt;0),AND(CU143&gt;=80,CU143&lt;=120)),"APARENTEMENTE NORMAL",IF(AND(OR(O143&gt;0,R143&gt;0),AND(CV143&gt;=50,CV143&lt;=80)),"APARENTEMENTE NORMAL","")))))))))))))</f>
        <v>VIGILAR CIFRAS PRESION ARTERIAL</v>
      </c>
      <c r="CX143" s="21"/>
      <c r="CY143" s="21"/>
      <c r="CZ143" s="216" t="e">
        <f>IF(R143="","",IF(AND(CN143&gt;31,CN143&lt;35,CX143="",CY143=""),"ACUDE A CONTROL SEM 30 A 34- REGISTRE AHORA",IF(AND(BS143&gt;34,BS143&lt;43,#REF!="",#REF!=""),"NO APLICA-INGRESO TARDIO",IF(AND(OR(O143&gt;0,R143&gt;0),OR(CX143&gt;=140,CY143&gt;=90)),"ESTUDIO INMEDIATO HTA PARA DESCARTAR PREECLAMSIA",IF(AND(OR(O143&gt;0,R143&gt;0),AND(CX143&gt;=130,CX143&lt;=139)),"PRE HTA,RIESGO ALTO PREECLAMPSIA",IF(AND(OR(O143&gt;0,R143&gt;0),AND(CY143&gt;80,CY143&lt;=89)),"PRE HTA,RIESGO ALTO PREECLAMPSIA",IF(AND(OR(O143&gt;0,R143&gt;0),AND(CX143&gt;120,CX143&lt;=129)),"RANGO PREHIPERTENSIVO SEGUIMIENTO HTA",IF(AND(OR(O143&lt;&gt;"",R143&lt;&gt;""),CS143&lt;&gt;"",CY143&lt;&gt;"",CS143&lt;CY143),"VIGILAR CIFRAS PRESION ARTERIAL",IF(AND(OR(O143&lt;&gt;"",R143&lt;&gt;""),CS143&lt;&gt;"",CY143&lt;&gt;"",CS143=CY143),"APARENTEMENTE NORMAL",IF(AND(OR(O143&gt;0,R143&gt;0),CX143&gt;=80,CX143&lt;=120),"APARENTEMENTE NORMAL",IF(AND(OR(O143&gt;0,R143&gt;0),CY143&gt;=50,CY143&lt;=80),"APARENTEMENTE NORMAL","")))))))))))</f>
        <v>#REF!</v>
      </c>
      <c r="DA143" s="21">
        <v>90</v>
      </c>
      <c r="DB143" s="21">
        <v>60</v>
      </c>
      <c r="DC143" s="217" t="str">
        <f t="shared" si="610"/>
        <v>APARENTEMENTE NORMAL</v>
      </c>
      <c r="DD143" s="22">
        <v>45016</v>
      </c>
      <c r="DE143" s="22">
        <v>45016</v>
      </c>
      <c r="DF143" s="22">
        <v>45051</v>
      </c>
      <c r="DG143" s="22"/>
      <c r="DH143" s="22"/>
      <c r="DI143" s="22"/>
      <c r="DJ143" s="22"/>
      <c r="DK143" s="22"/>
      <c r="DL143" s="22"/>
      <c r="DM143" s="22"/>
      <c r="DN143" s="22"/>
      <c r="DO143" s="22"/>
      <c r="DP143" s="22"/>
      <c r="DQ143" s="22"/>
      <c r="DR143" s="28">
        <v>1</v>
      </c>
      <c r="DS143" s="22"/>
      <c r="DT143" s="22"/>
      <c r="DU143" s="216" t="str">
        <f t="shared" ca="1" si="674"/>
        <v>CONCERTAR PLAN DE PARTO INMEDIATO</v>
      </c>
      <c r="DV143" s="226" t="str">
        <f t="shared" si="675"/>
        <v>ACTIVA INGRESO A CPN</v>
      </c>
      <c r="DW14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3" s="216" t="e">
        <f t="shared" ca="1" si="611"/>
        <v>#REF!</v>
      </c>
      <c r="DY143" s="212">
        <f>IF(R143="","",IF(R143&gt;0,MAX(Tabla1[[#This Row],[FECHA C2]:[FECHA C13]],Tabla1[[#This Row],[FECHA CONSULTA PRIMERA VEZ PROGRAMA CPN ]])))</f>
        <v>45051</v>
      </c>
      <c r="DZ143" s="216">
        <f t="shared" si="612"/>
        <v>20</v>
      </c>
      <c r="EA143" s="222">
        <f>IF(R143&gt;0,SUM(COUNTA(DF143:DQ143)+COUNTA(Tabla1[[#This Row],[FECHA CONSULTA PRIMERA VEZ PROGRAMA CPN ]])),"")</f>
        <v>2</v>
      </c>
      <c r="EB143" s="222" t="str">
        <f t="shared" si="613"/>
        <v>NO</v>
      </c>
      <c r="EC143" s="214">
        <f t="shared" si="614"/>
        <v>8</v>
      </c>
      <c r="ED143" s="227">
        <f t="shared" si="615"/>
        <v>0.25</v>
      </c>
      <c r="EE143" s="22">
        <v>45016</v>
      </c>
      <c r="EF143" s="22"/>
      <c r="EG143" s="22">
        <v>45016</v>
      </c>
      <c r="EH143" s="22"/>
      <c r="EI143" s="22">
        <v>45016</v>
      </c>
      <c r="EJ143" s="22"/>
      <c r="EK143" s="22"/>
      <c r="EL143" s="21"/>
      <c r="EM143" s="21">
        <v>12.3</v>
      </c>
      <c r="EN143" s="22">
        <v>45016</v>
      </c>
      <c r="EO143" s="222">
        <f t="shared" si="616"/>
        <v>15.299999999999793</v>
      </c>
      <c r="EP143" s="214" t="str">
        <f t="shared" si="617"/>
        <v>NORMAL- SUMINISTRAR SULFATO FERROSO</v>
      </c>
      <c r="EQ143" s="216" t="str">
        <f t="shared" si="618"/>
        <v>II TRIM</v>
      </c>
      <c r="ER143" s="24"/>
      <c r="ES143" s="22"/>
      <c r="ET143" s="29" t="str">
        <f t="shared" ca="1" si="676"/>
        <v>TOMA DE HEMOGLOBINA TARDÍA</v>
      </c>
      <c r="EU143" s="25" t="str">
        <f t="shared" si="619"/>
        <v/>
      </c>
      <c r="EV143" s="24" t="s">
        <v>866</v>
      </c>
      <c r="EW143" s="24">
        <v>45016</v>
      </c>
      <c r="EX143" s="22"/>
      <c r="EY143" s="29">
        <f t="shared" si="453"/>
        <v>15.299999999999793</v>
      </c>
      <c r="EZ143" s="25" t="str">
        <f t="shared" ca="1" si="454"/>
        <v/>
      </c>
      <c r="FA143" s="21">
        <v>12.3</v>
      </c>
      <c r="FB143" s="22">
        <v>45016</v>
      </c>
      <c r="FC143" s="29">
        <f t="shared" si="620"/>
        <v>15.299999999999793</v>
      </c>
      <c r="FD143" s="29"/>
      <c r="FE143" s="29"/>
      <c r="FF143" s="29"/>
      <c r="FG143" s="21" t="str">
        <f t="shared" ca="1" si="621"/>
        <v/>
      </c>
      <c r="FH143" s="31"/>
      <c r="FI143" s="29" t="str">
        <f t="shared" si="622"/>
        <v>TOMAR EXAMEN</v>
      </c>
      <c r="FJ143" s="22" t="s">
        <v>867</v>
      </c>
      <c r="FK143" s="22">
        <v>45016</v>
      </c>
      <c r="FL143" s="29" t="str">
        <f t="shared" si="623"/>
        <v>REGISTRAR EN II TRIMESTRE</v>
      </c>
      <c r="FM143" s="22"/>
      <c r="FN143" s="32"/>
      <c r="FO143" s="29" t="str">
        <f t="shared" ca="1" si="677"/>
        <v>PIERDE TOMA DE TAMIZAJE</v>
      </c>
      <c r="FP143" s="22"/>
      <c r="FQ143" s="32"/>
      <c r="FR143" s="29" t="str">
        <f t="shared" ca="1" si="678"/>
        <v>TOMA INMEDIATA DE TAMIZAJE</v>
      </c>
      <c r="FS143" s="22"/>
      <c r="FT143" s="32"/>
      <c r="FU143" s="29" t="str">
        <f>IF(AND(FJ143="",FM143="",FP143="",FS143=""),"",IF(OR(OR(Tabla1[[#This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3" s="28"/>
      <c r="FW143" s="22"/>
      <c r="FX143" s="29" t="str">
        <f t="shared" si="624"/>
        <v>TOMAR EXAMEN</v>
      </c>
      <c r="FY143" s="22">
        <v>45016</v>
      </c>
      <c r="FZ143" s="22">
        <v>45016</v>
      </c>
      <c r="GA143" s="29" t="str">
        <f t="shared" si="497"/>
        <v>REGISTRAR EN II TRIMESTRE</v>
      </c>
      <c r="GB143" s="22"/>
      <c r="GC143" s="22"/>
      <c r="GD143" s="29" t="str">
        <f t="shared" ca="1" si="679"/>
        <v>PIERDE TOMA DE TAMIZAJE</v>
      </c>
      <c r="GE143" s="22"/>
      <c r="GF143" s="22"/>
      <c r="GG143" s="29" t="str">
        <f t="shared" ca="1" si="680"/>
        <v>TOMA INMEDIATA DE TAMIZAJE</v>
      </c>
      <c r="GH143" s="22"/>
      <c r="GI143" s="29"/>
      <c r="GJ143" s="22"/>
      <c r="GK143" s="22"/>
      <c r="GL143" s="22"/>
      <c r="GM143" s="22"/>
      <c r="GN143" s="28" t="s">
        <v>869</v>
      </c>
      <c r="GO143" s="22">
        <v>45016</v>
      </c>
      <c r="GP143" s="29">
        <f t="shared" si="625"/>
        <v>15.299999999999793</v>
      </c>
      <c r="GQ143" s="28" t="s">
        <v>869</v>
      </c>
      <c r="GR143" s="28" t="s">
        <v>869</v>
      </c>
      <c r="GS143" s="22" t="str">
        <f t="shared" si="626"/>
        <v>CONTROL Igm</v>
      </c>
      <c r="GT143" s="22">
        <v>45016</v>
      </c>
      <c r="GU143" s="29">
        <f t="shared" si="627"/>
        <v>3.8571428571428572</v>
      </c>
      <c r="GV143" s="21" t="str">
        <f t="shared" si="628"/>
        <v>I TRIM</v>
      </c>
      <c r="GW143" s="28" t="s">
        <v>869</v>
      </c>
      <c r="GX143" s="30"/>
      <c r="GY143" s="21"/>
      <c r="GZ143" s="21"/>
      <c r="HA143" s="21"/>
      <c r="HB143" s="21"/>
      <c r="HC143" s="21"/>
      <c r="HD143" s="21"/>
      <c r="HE143" s="21"/>
      <c r="HF143" s="22"/>
      <c r="HG143" s="22" t="str">
        <f>IF(OR(O143&gt;0,R143&gt;0),CONCATENATE(IF(Tabla1[[#This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3" s="22" t="e">
        <f t="shared" si="629"/>
        <v>#REF!</v>
      </c>
      <c r="HI143" s="22" t="e">
        <f t="shared" ca="1" si="630"/>
        <v>#REF!</v>
      </c>
      <c r="HJ143" s="21"/>
      <c r="HK143" s="21" t="str">
        <f t="shared" si="631"/>
        <v>SIN ANTECEDENTES DE RIESGO</v>
      </c>
      <c r="HL143" s="24" t="str">
        <f t="shared" si="632"/>
        <v>APARENTEMENTE NORMAL</v>
      </c>
      <c r="HM143" s="21" t="e">
        <f t="shared" ca="1" si="633"/>
        <v>#REF!</v>
      </c>
      <c r="HN143" s="30" t="str">
        <f t="shared" si="681"/>
        <v>ACTIVA INGRESO A CPN</v>
      </c>
      <c r="HO143" s="21"/>
      <c r="HP143" s="21"/>
      <c r="HQ143" s="21">
        <v>45051</v>
      </c>
      <c r="HR143" s="21" t="str">
        <f>IF(R143="","",IF(Tabla1[[#This Row],[ALARMA FACTORES DE RIESGO COMPLICACIONES HIPERTENSIVAS3]]="SIN ANTECEDENTES DE RIESGO","No Aplica para suministro de ASA",IF(AND(Tabla1[[#This Row],[FECHA INICIO DE SUMINISTRO DE ASA]]&gt;0,RV143&lt;12),"Inicia ASA ANTES de Sem 12",IF(AND(RV143&gt;11,RV143&lt;17,OR(HK143="RIESGO ALTO DE COMPLICACIONES HIPERTENSIVAS VER MANEJO GUIA SUMINISTRO ASA Y CALCIO",HK143="RIESGO MODERADO (2 O MAS CRITERIOS) VER MANEJO GUIA SUMINISTRO ASA Y CALCIO")),"Inicio oportuno de ASA",IF(AND(RV143&gt;12,OR(HK143="RIESGO ALTO DE COMPLICACIONES HIPERTENSIVAS VER MANEJO GUIA SUMINISTRO ASA Y CALCIO",HK143="RIESGO MODERADO (2 O MAS CRITERIOS) VER MANEJO GUIA SUMINISTRO ASA Y CALCIO")),"Inicio no oportuno mayor a 16 semanas",IF(AND(BU143&lt;12,OR(HK143="RIESGO ALTO DE COMPLICACIONES HIPERTENSIVAS VER MANEJO GUIA SUMINISTRO ASA Y CALCIO",HK143="RIESGO MODERADO (2 O MAS CRITERIOS) VER MANEJO GUIA SUMINISTRO ASA Y CALCIO")),"Pendiente Inicio de ASA a la semana 12",IF(AND(BU143&gt;11,BU143&lt;17,OR(HK143="RIESGO ALTO DE COMPLICACIONES HIPERTENSIVAS VER MANEJO GUIA SUMINISTRO ASA Y CALCIO",HK143="RIESGO MODERADO (2 O MAS CRITERIOS) VER MANEJO GUIA SUMINISTRO ASA Y CALCIO")),"Iniciar de inmediato ASA",IF(AND(BU143&gt;16,OR(HK143="RIESGO ALTO DE COMPLICACIONES HIPERTENSIVAS VER MANEJO GUIA SUMINISTRO ASA Y CALCIO",HK143="RIESGO MODERADO (2 O MAS CRITERIOS) VER MANEJO GUIA SUMINISTRO ASA Y CALCIO")),"Pierde Oportunidad, Inicio tardío de ASA","XXXXX"))))))))</f>
        <v>No Aplica para suministro de ASA</v>
      </c>
      <c r="HS143" s="22">
        <v>45051</v>
      </c>
      <c r="HT143" s="22" t="s">
        <v>870</v>
      </c>
      <c r="HU143" s="22"/>
      <c r="HV143" s="22">
        <v>45051</v>
      </c>
      <c r="HW143" s="22" t="s">
        <v>870</v>
      </c>
      <c r="HX143" s="22"/>
      <c r="HY143" s="22">
        <v>45016</v>
      </c>
      <c r="HZ143" s="28">
        <f t="shared" si="634"/>
        <v>15.299999999999793</v>
      </c>
      <c r="IA143" s="26"/>
      <c r="IB143" s="26"/>
      <c r="IC143" s="111"/>
      <c r="ID143" s="22"/>
      <c r="IE143" s="22" t="str">
        <f t="shared" ca="1" si="635"/>
        <v/>
      </c>
      <c r="IF143" s="22"/>
      <c r="IG143" s="22">
        <f t="shared" si="636"/>
        <v>45188.9</v>
      </c>
      <c r="IH143" s="29">
        <f t="shared" ca="1" si="637"/>
        <v>-44.099999999998545</v>
      </c>
      <c r="II143" s="22" t="str">
        <f t="shared" ca="1" si="638"/>
        <v>POSIBLEMENTE NACIO</v>
      </c>
      <c r="IJ143" s="22"/>
      <c r="IK143" s="21"/>
      <c r="IL143" s="21" t="s">
        <v>1639</v>
      </c>
      <c r="IM143" s="34"/>
      <c r="IN143" s="349"/>
      <c r="IO143" s="21"/>
      <c r="IP143" s="29" t="str">
        <f t="shared" si="672"/>
        <v/>
      </c>
      <c r="IQ143" s="35"/>
      <c r="IR143" s="21"/>
      <c r="IS143" s="21"/>
      <c r="IT143" s="21"/>
      <c r="IU143" s="21"/>
      <c r="IV143" s="21"/>
      <c r="IW143" s="21"/>
      <c r="IX143" s="21"/>
      <c r="IY143" s="21"/>
      <c r="IZ143" s="21"/>
      <c r="JA143" s="21"/>
      <c r="JB143" s="30"/>
      <c r="JC143" s="21"/>
      <c r="JD143" s="36"/>
      <c r="JE143" s="21" t="str">
        <f t="shared" si="682"/>
        <v/>
      </c>
      <c r="JF143" s="30"/>
      <c r="JG143" s="21"/>
      <c r="JH143" s="21"/>
      <c r="JI143" s="21"/>
      <c r="JJ143" s="30"/>
      <c r="JK143" s="22"/>
      <c r="JL143" s="22"/>
      <c r="JM143" s="21"/>
      <c r="JN143" s="36"/>
      <c r="JO143" s="21" t="str">
        <f t="shared" si="683"/>
        <v/>
      </c>
      <c r="JP143" s="22"/>
      <c r="JQ143" s="21"/>
      <c r="JR143" s="21"/>
      <c r="JS143" s="21"/>
      <c r="JT143" s="30"/>
      <c r="JU143" s="22"/>
      <c r="JV143" s="22"/>
      <c r="JW143" s="33"/>
      <c r="JX143" s="28" t="str">
        <f t="shared" si="684"/>
        <v/>
      </c>
      <c r="JY143" s="33"/>
      <c r="JZ143" s="28" t="str">
        <f t="shared" si="685"/>
        <v/>
      </c>
      <c r="KA143" s="21"/>
      <c r="KB143" s="21"/>
      <c r="KC143" s="21"/>
      <c r="KD143" s="37"/>
      <c r="KE143" s="28"/>
      <c r="KF143" s="28"/>
      <c r="KG143" s="28"/>
      <c r="KH143" s="39"/>
      <c r="KI143" s="39"/>
      <c r="KJ143" s="66"/>
      <c r="KK143" s="39"/>
      <c r="KL143" s="39"/>
      <c r="KM143" s="66"/>
      <c r="KN143" s="39"/>
      <c r="KO143" s="39"/>
      <c r="KP143" s="39"/>
      <c r="KQ143" s="39"/>
      <c r="KR143" s="39"/>
      <c r="KS143" s="39"/>
      <c r="KT143" s="39"/>
      <c r="KU143" s="38"/>
      <c r="KV143" s="38"/>
      <c r="KW143" s="38"/>
      <c r="KX143" s="38"/>
      <c r="KY143" s="38"/>
      <c r="KZ143" s="38"/>
      <c r="LA143" s="38"/>
      <c r="LB143" s="38"/>
      <c r="LC143" s="38"/>
      <c r="LD143" s="38"/>
      <c r="LE143" s="38"/>
      <c r="LF143" s="38"/>
      <c r="LG143" s="38"/>
      <c r="LH143" s="38"/>
      <c r="LI143" s="38"/>
      <c r="LJ143" s="38"/>
      <c r="LK143" s="38"/>
      <c r="LL143" s="38"/>
      <c r="LM143" s="38"/>
      <c r="LN143" s="38"/>
      <c r="LO143" s="38"/>
      <c r="LP143" s="38"/>
      <c r="LQ143" s="38"/>
      <c r="LR143" s="38"/>
      <c r="LS143" s="38"/>
      <c r="LT143" s="38"/>
      <c r="LU143" s="38"/>
      <c r="LV143" s="38"/>
      <c r="LW143" s="38"/>
      <c r="LX143" s="38"/>
      <c r="LY143" s="38"/>
      <c r="LZ143" s="38"/>
      <c r="MA143" s="38"/>
      <c r="MB143" s="38"/>
      <c r="MC143" s="38"/>
      <c r="MD143" s="38"/>
      <c r="ME143" s="38"/>
      <c r="MF143" s="38"/>
      <c r="MG143" s="38"/>
      <c r="MH143" s="43">
        <f t="shared" si="639"/>
        <v>0</v>
      </c>
      <c r="MI143" s="43" t="str">
        <f t="shared" si="640"/>
        <v/>
      </c>
      <c r="MJ143" s="43" t="str">
        <f t="shared" si="641"/>
        <v/>
      </c>
      <c r="MK143" s="43">
        <f t="shared" si="642"/>
        <v>0</v>
      </c>
      <c r="ML1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3" s="43">
        <f t="shared" si="643"/>
        <v>15.299999999999793</v>
      </c>
      <c r="MN143" s="43">
        <f t="shared" si="644"/>
        <v>3</v>
      </c>
      <c r="MO143" s="43">
        <f t="shared" si="645"/>
        <v>2023</v>
      </c>
      <c r="MP143" s="43" t="str">
        <f t="shared" si="646"/>
        <v>I TRIMESTRE AÑO</v>
      </c>
      <c r="MQ143" s="43">
        <f t="shared" si="647"/>
        <v>24.619469995619799</v>
      </c>
      <c r="MR143" s="43">
        <f t="shared" si="648"/>
        <v>0</v>
      </c>
      <c r="MS143" s="43" t="str">
        <f t="shared" si="649"/>
        <v xml:space="preserve"> DE 20 A 24 AÑOS</v>
      </c>
      <c r="MT143" s="43">
        <f t="shared" si="650"/>
        <v>0</v>
      </c>
      <c r="MU143" s="43">
        <f t="shared" si="651"/>
        <v>0</v>
      </c>
      <c r="MV143" s="43">
        <f t="shared" si="652"/>
        <v>0</v>
      </c>
      <c r="MW143" s="43">
        <f t="shared" si="653"/>
        <v>0</v>
      </c>
      <c r="MX143" s="43" t="str">
        <f t="shared" si="654"/>
        <v/>
      </c>
      <c r="MY143" s="43" t="str">
        <f t="shared" ca="1" si="686"/>
        <v/>
      </c>
      <c r="MZ143" s="43" t="str">
        <f t="shared" si="655"/>
        <v/>
      </c>
      <c r="NA143" s="43" t="str">
        <f t="shared" si="656"/>
        <v/>
      </c>
      <c r="NB143" s="43" t="str">
        <f t="shared" si="657"/>
        <v/>
      </c>
      <c r="NC143" s="43" t="str">
        <f t="shared" si="658"/>
        <v/>
      </c>
      <c r="ND143" s="43">
        <f t="shared" ca="1" si="659"/>
        <v>0</v>
      </c>
      <c r="NE143" s="43">
        <f>IF(OR(O143&gt;0,R143&gt;0),SUM(COUNTIF(Tabla1[[#This Row],[AÑOS AL INICIO5 CPN]],"&gt;=40"),COUNTIF(AS143,"0"),COUNTIF(AR143,"SI"),COUNTIF(CC143,"SI"),COUNTIF(BQ143,"&gt;119"),COUNTIF(CI143,"&gt;=35")),"")</f>
        <v>0</v>
      </c>
      <c r="NF143" s="43" t="str">
        <f t="shared" si="660"/>
        <v/>
      </c>
      <c r="NG143" s="43">
        <f t="shared" si="661"/>
        <v>0</v>
      </c>
      <c r="NH143" s="43">
        <f t="shared" si="662"/>
        <v>142.1</v>
      </c>
      <c r="NI14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CPN",P143="NO"),"Z",IF(AND(Tabla1[[#This Row],[CITA PROXIMO CONTROL]]="CITA MANUAL",Tabla1[[#This Row],[GESTANTES ACTUALES]]="ACTIVA INGRESO A CPN"),"W",IF(AND(Tabla1[[#This Row],[GESTANTES ACTUALES]]="SALIO PROGRAMA",IN143=""),"S",IF(AND(Tabla1[[#This Row],[CITA PROXIMO CONTROL]]&gt;0,IN143=""),(Tabla1[[#This Row],[CITA PROXIMO CONTROL]]-TODAY()),"SD"))))))))</f>
        <v>#REF!</v>
      </c>
      <c r="NJ143" s="43">
        <f>MONTH(Tabla1[[#This Row],[FECHA DE SALIDA  DEL PROGRAMA]])</f>
        <v>1</v>
      </c>
      <c r="NK143" s="43">
        <f>YEAR(Tabla1[[#This Row],[FECHA DE SALIDA  DEL PROGRAMA]])</f>
        <v>1900</v>
      </c>
      <c r="NL143" s="43" t="str">
        <f t="shared" si="663"/>
        <v>X</v>
      </c>
      <c r="NM143" s="43" t="str">
        <f t="shared" si="500"/>
        <v>NO</v>
      </c>
      <c r="NN143" s="43" t="str">
        <f ca="1">IF(AND(O143&gt;0,R143=""),"NO CPN",IF(AND(O143="",R143=""),"",IF(AND(R143&gt;0,Tabla1[[#This Row],[SEMANAS DE GESTACION ACTUALIZADAS]]&lt;=12),"NO APLICA",IF(AND(FH143&lt;&gt;"",FN143&lt;&gt;""),"SI","NO"))))</f>
        <v>NO</v>
      </c>
      <c r="NO143" s="43" t="str">
        <f ca="1">IF(AND(O143&gt;0,R143=""),"NO CPN",IF(AND(O143="",R143=""),"",IF(AND(R143&gt;0,Tabla1[[#This Row],[SEMANAS DE GESTACION ACTUALIZADAS]]&lt;=27),"NO APLICA",IF(AND(ES143&lt;&gt;"",FQ143&lt;&gt;"",GF143&lt;&gt;""),"SI","NO"))))</f>
        <v>NO</v>
      </c>
      <c r="NP143" s="204" t="str">
        <f t="shared" si="664"/>
        <v>II TRIM</v>
      </c>
      <c r="NQ14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43" s="21" t="str">
        <f t="shared" ca="1" si="687"/>
        <v>REVISAR FUM O FECHA SALIDA PROGRAMA</v>
      </c>
      <c r="NS143" s="205">
        <f t="shared" ca="1" si="665"/>
        <v>0</v>
      </c>
      <c r="NT143" s="21">
        <f t="shared" ca="1" si="666"/>
        <v>0</v>
      </c>
      <c r="NU143" s="21" t="str">
        <f t="shared" ca="1" si="667"/>
        <v>POR DEFINIR</v>
      </c>
      <c r="NV143" s="21" t="str">
        <f t="shared" ca="1" si="668"/>
        <v>POR DEFINIR</v>
      </c>
      <c r="NW143" s="206" t="str">
        <f>IF(AND(O143="",R143=""),"",IF(OR(AND(Tabla1[[#This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3" s="207" t="str">
        <f t="shared" ca="1" si="669"/>
        <v>SIN VACUNAR</v>
      </c>
      <c r="NY143" s="43">
        <f>ROW(Tabla1[[#This Row],['# DE TAMIZAJES SIFILIS TOMADOS ]])</f>
        <v>143</v>
      </c>
      <c r="NZ143" s="43">
        <f t="shared" si="501"/>
        <v>15</v>
      </c>
      <c r="OA143" s="43" t="str">
        <f t="shared" si="502"/>
        <v/>
      </c>
      <c r="OB143" s="43" t="str">
        <f t="shared" si="503"/>
        <v/>
      </c>
      <c r="OC143" s="43" t="str">
        <f t="shared" si="504"/>
        <v/>
      </c>
      <c r="OD143" s="43" t="str">
        <f t="shared" si="505"/>
        <v/>
      </c>
      <c r="OE143" s="43" t="str">
        <f t="shared" si="506"/>
        <v/>
      </c>
      <c r="OF143" s="43" t="str">
        <f t="shared" si="507"/>
        <v/>
      </c>
      <c r="OG143" s="43" t="str">
        <f t="shared" si="508"/>
        <v>SOBREPESO</v>
      </c>
      <c r="OH143" s="43" t="str">
        <f t="shared" si="509"/>
        <v/>
      </c>
      <c r="OI143" s="43" t="str">
        <f t="shared" si="510"/>
        <v/>
      </c>
      <c r="OJ143" s="43" t="str">
        <f t="shared" si="511"/>
        <v/>
      </c>
      <c r="OK143" s="43" t="str">
        <f t="shared" si="512"/>
        <v/>
      </c>
      <c r="OL143" s="43" t="str">
        <f t="shared" si="513"/>
        <v/>
      </c>
      <c r="OM143" s="43" t="str">
        <f t="shared" si="514"/>
        <v/>
      </c>
      <c r="ON143" s="43" t="str">
        <f t="shared" si="515"/>
        <v/>
      </c>
      <c r="OO143" s="43" t="str">
        <f t="shared" si="516"/>
        <v/>
      </c>
      <c r="OP143" s="43" t="str">
        <f t="shared" si="517"/>
        <v/>
      </c>
      <c r="OQ143" s="43" t="str">
        <f t="shared" si="518"/>
        <v/>
      </c>
      <c r="OR143" s="43" t="str">
        <f t="shared" si="519"/>
        <v/>
      </c>
      <c r="OS143" s="43" t="str">
        <f t="shared" si="520"/>
        <v/>
      </c>
      <c r="OT143" s="43" t="str">
        <f t="shared" si="521"/>
        <v/>
      </c>
      <c r="OU143" s="43" t="str">
        <f t="shared" si="522"/>
        <v/>
      </c>
      <c r="OV143" s="110" t="str">
        <f t="shared" si="523"/>
        <v/>
      </c>
      <c r="OW143" s="43" t="str">
        <f t="shared" si="524"/>
        <v/>
      </c>
      <c r="OX143" s="43" t="str">
        <f t="shared" si="525"/>
        <v/>
      </c>
      <c r="OY143" s="43" t="str">
        <f t="shared" si="526"/>
        <v/>
      </c>
      <c r="OZ143" s="43" t="str">
        <f t="shared" si="527"/>
        <v/>
      </c>
      <c r="PA143" s="43" t="str">
        <f t="shared" si="528"/>
        <v/>
      </c>
      <c r="PB143" s="43" t="str">
        <f t="shared" si="529"/>
        <v/>
      </c>
      <c r="PC143" s="43" t="str">
        <f t="shared" si="530"/>
        <v/>
      </c>
      <c r="PD143" s="43" t="str">
        <f t="shared" si="531"/>
        <v/>
      </c>
      <c r="PE143" s="43" t="str">
        <f t="shared" si="532"/>
        <v/>
      </c>
      <c r="PF143" s="43" t="str">
        <f t="shared" si="533"/>
        <v/>
      </c>
      <c r="PG143" s="43" t="str">
        <f t="shared" si="534"/>
        <v/>
      </c>
      <c r="PH143" s="43" t="str">
        <f t="shared" si="535"/>
        <v/>
      </c>
      <c r="PI143" s="43">
        <f t="shared" si="536"/>
        <v>20</v>
      </c>
      <c r="PJ143" s="43" t="str">
        <f t="shared" si="537"/>
        <v/>
      </c>
      <c r="PK143" s="43" t="str">
        <f t="shared" si="538"/>
        <v/>
      </c>
      <c r="PL143" s="43" t="str">
        <f t="shared" si="539"/>
        <v/>
      </c>
      <c r="PM143" s="43" t="str">
        <f t="shared" si="540"/>
        <v/>
      </c>
      <c r="PN143" s="43" t="str">
        <f t="shared" si="541"/>
        <v/>
      </c>
      <c r="PO143" s="43" t="str">
        <f t="shared" si="542"/>
        <v/>
      </c>
      <c r="PP143" s="43" t="str">
        <f t="shared" si="543"/>
        <v/>
      </c>
      <c r="PQ143" s="43" t="str">
        <f t="shared" si="544"/>
        <v/>
      </c>
      <c r="PR143" s="43" t="str">
        <f t="shared" si="545"/>
        <v/>
      </c>
      <c r="PS143" s="43" t="str">
        <f t="shared" si="546"/>
        <v/>
      </c>
      <c r="PT143" s="43" t="str">
        <f t="shared" si="547"/>
        <v/>
      </c>
      <c r="PU143" s="43" t="str">
        <f t="shared" si="548"/>
        <v>SOBREPESO</v>
      </c>
      <c r="PV143" s="43" t="str">
        <f t="shared" si="549"/>
        <v/>
      </c>
      <c r="PW143" s="43" t="str">
        <f t="shared" si="550"/>
        <v/>
      </c>
      <c r="PX143" s="43" t="str">
        <f t="shared" si="551"/>
        <v/>
      </c>
      <c r="PY143" s="43" t="str">
        <f t="shared" si="552"/>
        <v/>
      </c>
      <c r="PZ143" s="43" t="str">
        <f t="shared" si="553"/>
        <v/>
      </c>
      <c r="QA143" s="43" t="str">
        <f t="shared" si="554"/>
        <v/>
      </c>
      <c r="QB143" s="43" t="str">
        <f t="shared" si="555"/>
        <v/>
      </c>
      <c r="QC143" s="43" t="str">
        <f t="shared" si="556"/>
        <v/>
      </c>
      <c r="QD143" s="43" t="str">
        <f t="shared" si="557"/>
        <v/>
      </c>
      <c r="QE143" s="43" t="str">
        <f t="shared" si="558"/>
        <v/>
      </c>
      <c r="QF143" s="43" t="str">
        <f t="shared" si="559"/>
        <v/>
      </c>
      <c r="QG143" s="43" t="str">
        <f t="shared" si="560"/>
        <v/>
      </c>
      <c r="QH143" s="43" t="str">
        <f t="shared" si="561"/>
        <v/>
      </c>
      <c r="QI143" s="43" t="str">
        <f t="shared" si="562"/>
        <v/>
      </c>
      <c r="QJ143" s="43" t="str">
        <f t="shared" si="563"/>
        <v/>
      </c>
      <c r="QK143" s="43" t="str">
        <f t="shared" si="564"/>
        <v/>
      </c>
      <c r="QL143" s="43" t="str">
        <f t="shared" si="565"/>
        <v/>
      </c>
      <c r="QM143" s="43" t="str">
        <f t="shared" si="566"/>
        <v/>
      </c>
      <c r="QN143" s="43" t="str">
        <f t="shared" si="567"/>
        <v/>
      </c>
      <c r="QO143" s="43" t="str">
        <f t="shared" si="568"/>
        <v/>
      </c>
      <c r="QP143" s="43" t="str">
        <f t="shared" si="569"/>
        <v/>
      </c>
      <c r="QQ143" s="43" t="str">
        <f t="shared" si="570"/>
        <v/>
      </c>
      <c r="QR143" s="43">
        <f t="shared" si="670"/>
        <v>20</v>
      </c>
      <c r="QS143" s="43"/>
      <c r="QT143" s="21" t="str">
        <f t="shared" si="571"/>
        <v/>
      </c>
      <c r="QU143" s="21" t="str">
        <f t="shared" si="572"/>
        <v/>
      </c>
      <c r="QV143" s="21" t="str">
        <f t="shared" si="573"/>
        <v/>
      </c>
      <c r="QW143" s="21" t="str">
        <f t="shared" si="574"/>
        <v/>
      </c>
      <c r="QX143" s="21" t="str">
        <f t="shared" si="575"/>
        <v/>
      </c>
      <c r="QY143" s="21" t="str">
        <f t="shared" si="576"/>
        <v/>
      </c>
      <c r="QZ143" s="21" t="str">
        <f t="shared" si="577"/>
        <v/>
      </c>
      <c r="RA143" s="21" t="str">
        <f t="shared" si="578"/>
        <v>ADECUADO PARA EDAD GESTACIONAL</v>
      </c>
      <c r="RB143" s="21" t="str">
        <f t="shared" si="579"/>
        <v/>
      </c>
      <c r="RC143" s="21" t="str">
        <f t="shared" si="580"/>
        <v/>
      </c>
      <c r="RD143" s="21" t="str">
        <f t="shared" si="581"/>
        <v/>
      </c>
      <c r="RE143" s="21" t="str">
        <f t="shared" si="582"/>
        <v/>
      </c>
      <c r="RF143" s="21" t="str">
        <f t="shared" si="583"/>
        <v/>
      </c>
      <c r="RG143" s="21" t="str">
        <f t="shared" si="584"/>
        <v/>
      </c>
      <c r="RH143" s="21" t="str">
        <f t="shared" si="585"/>
        <v/>
      </c>
      <c r="RI143" s="21" t="str">
        <f t="shared" si="586"/>
        <v/>
      </c>
      <c r="RJ143" s="21" t="str">
        <f t="shared" si="587"/>
        <v/>
      </c>
      <c r="RK143" s="21" t="str">
        <f t="shared" si="588"/>
        <v/>
      </c>
      <c r="RL143" s="21" t="str">
        <f t="shared" si="589"/>
        <v/>
      </c>
      <c r="RM143" s="21" t="str">
        <f t="shared" si="590"/>
        <v/>
      </c>
      <c r="RN143" s="21" t="str">
        <f t="shared" si="591"/>
        <v/>
      </c>
      <c r="RO143" s="21" t="str">
        <f t="shared" si="592"/>
        <v/>
      </c>
      <c r="RP143" s="21" t="str">
        <f t="shared" si="593"/>
        <v/>
      </c>
      <c r="RQ143" s="21" t="str">
        <f t="shared" si="594"/>
        <v/>
      </c>
      <c r="RR143" s="21" t="str">
        <f t="shared" si="595"/>
        <v/>
      </c>
      <c r="RS143" s="21" t="str">
        <f t="shared" si="596"/>
        <v/>
      </c>
      <c r="RT143" s="21" t="str">
        <f t="shared" si="597"/>
        <v/>
      </c>
      <c r="RU143" s="21" t="str">
        <f t="shared" si="598"/>
        <v/>
      </c>
      <c r="RV143" s="21">
        <f t="shared" si="599"/>
        <v>20.299999999999791</v>
      </c>
      <c r="RW143" s="284">
        <f>IF(OR(Tabla1[[#This Row],[FUM FORMULA CONFIABLE]]="",Tabla1[[#This Row],[FUM FORMULA CONFIABLE]]="SD"),"",IF(Tabla1[[#This Row],[FUM FORMULA CONFIABLE]]="CORREGIDA",Tabla1[[#This Row],[FUM X ECO 1]],Tabla1[[#This Row],[FUM x AMENORREA]]))</f>
        <v>44908.9</v>
      </c>
      <c r="RX143" s="21">
        <f>IF(AND(Tabla1[[#This Row],[FUM X ECO 1]]="",Tabla1[[#This Row],[FUM x AMENORREA]]=""),"",IF(AND(Tabla1[[#This Row],[FUM X ECO 1]]="",Tabla1[[#This Row],[FUM x AMENORREA]]&lt;&gt;""),"X",SUM(Tabla1[[#This Row],[FUM X ECO 1]]-Tabla1[[#This Row],[FUM x AMENORREA]])))</f>
        <v>-80.099999999998545</v>
      </c>
      <c r="RY143" s="21">
        <f t="shared" si="671"/>
        <v>1</v>
      </c>
    </row>
    <row r="144" spans="1:493" ht="45" customHeight="1" x14ac:dyDescent="0.25">
      <c r="A144" s="109"/>
      <c r="B144" s="43"/>
      <c r="C144" s="43" t="s">
        <v>845</v>
      </c>
      <c r="D144" s="124"/>
      <c r="E144" s="43" t="s">
        <v>944</v>
      </c>
      <c r="F144" s="43" t="s">
        <v>943</v>
      </c>
      <c r="G144" s="43" t="s">
        <v>1421</v>
      </c>
      <c r="H144" s="43"/>
      <c r="I144" s="109" t="s">
        <v>851</v>
      </c>
      <c r="J144" s="110">
        <v>1002846330</v>
      </c>
      <c r="K144" s="43" t="s">
        <v>852</v>
      </c>
      <c r="L144" s="175" t="s">
        <v>1509</v>
      </c>
      <c r="M144" s="22">
        <v>36201</v>
      </c>
      <c r="N144" s="213">
        <f t="shared" ca="1" si="600"/>
        <v>24.745205479452054</v>
      </c>
      <c r="O144" s="22">
        <v>45017</v>
      </c>
      <c r="P144" s="214" t="str">
        <f t="shared" si="673"/>
        <v>SI</v>
      </c>
      <c r="Q144" s="26" t="s">
        <v>855</v>
      </c>
      <c r="R144" s="22">
        <v>45017</v>
      </c>
      <c r="S144" s="21" t="s">
        <v>856</v>
      </c>
      <c r="T144" s="24" t="s">
        <v>690</v>
      </c>
      <c r="U144" s="21" t="s">
        <v>857</v>
      </c>
      <c r="V144" s="21" t="s">
        <v>858</v>
      </c>
      <c r="W144" s="21" t="s">
        <v>1044</v>
      </c>
      <c r="X144" s="21" t="s">
        <v>1044</v>
      </c>
      <c r="Y144" s="21"/>
      <c r="Z144" s="21">
        <v>3147418146</v>
      </c>
      <c r="AA144" s="21" t="s">
        <v>860</v>
      </c>
      <c r="AB144" s="27" t="s">
        <v>861</v>
      </c>
      <c r="AC144" s="26" t="s">
        <v>888</v>
      </c>
      <c r="AD144" s="38" t="s">
        <v>1546</v>
      </c>
      <c r="AE144" s="26" t="s">
        <v>854</v>
      </c>
      <c r="AF144" s="26" t="s">
        <v>854</v>
      </c>
      <c r="AG144" s="23" t="s">
        <v>864</v>
      </c>
      <c r="AH144" s="23" t="s">
        <v>864</v>
      </c>
      <c r="AI144" s="24" t="s">
        <v>863</v>
      </c>
      <c r="AJ144" s="23" t="s">
        <v>864</v>
      </c>
      <c r="AK144" s="220" t="str">
        <f>IF(AND(AD144="",AE144="",AF144="",AG144="",AH144="",AI144="",AJ144=""),"",IF(OR(Tabla1[[#This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EVALUACIÓN",IF(AND(O144="",R144=""),"",IF(AND(OR(O144&gt;0,R144&gt;0),NG144&gt;=0,NG144&lt;2),"SIN RIESGO",IF(AND(OR(O144&gt;0,R144&gt;0),NG144&gt;=2),"CON RIESGO","ASD")))))</f>
        <v>SIN RIESGO</v>
      </c>
      <c r="AL144" s="23" t="s">
        <v>864</v>
      </c>
      <c r="AM144" s="26" t="s">
        <v>864</v>
      </c>
      <c r="AN144" s="26" t="s">
        <v>864</v>
      </c>
      <c r="AO144" s="26" t="s">
        <v>864</v>
      </c>
      <c r="AP144" s="26" t="s">
        <v>864</v>
      </c>
      <c r="AQ144" s="26" t="s">
        <v>864</v>
      </c>
      <c r="AR144" s="26" t="s">
        <v>864</v>
      </c>
      <c r="AS144" s="21">
        <v>1</v>
      </c>
      <c r="AT144" s="21">
        <v>1</v>
      </c>
      <c r="AU144" s="21">
        <v>0</v>
      </c>
      <c r="AV144" s="26" t="s">
        <v>864</v>
      </c>
      <c r="AW144" s="21">
        <v>0</v>
      </c>
      <c r="AX144" s="26" t="s">
        <v>864</v>
      </c>
      <c r="AY144" s="26" t="s">
        <v>864</v>
      </c>
      <c r="AZ144" s="26" t="s">
        <v>864</v>
      </c>
      <c r="BA144" s="26" t="s">
        <v>864</v>
      </c>
      <c r="BB144" s="26" t="s">
        <v>864</v>
      </c>
      <c r="BC144" s="26" t="s">
        <v>864</v>
      </c>
      <c r="BD144" s="26" t="s">
        <v>864</v>
      </c>
      <c r="BE144" s="26" t="s">
        <v>864</v>
      </c>
      <c r="BF144" s="26" t="s">
        <v>864</v>
      </c>
      <c r="BG144" s="26" t="s">
        <v>864</v>
      </c>
      <c r="BH144" s="26" t="s">
        <v>864</v>
      </c>
      <c r="BI144" s="26" t="s">
        <v>864</v>
      </c>
      <c r="BJ144" s="26" t="s">
        <v>864</v>
      </c>
      <c r="BK144" s="26" t="s">
        <v>864</v>
      </c>
      <c r="BL144" s="26" t="s">
        <v>864</v>
      </c>
      <c r="BM144" s="26" t="s">
        <v>864</v>
      </c>
      <c r="BN144" s="22">
        <v>42792</v>
      </c>
      <c r="BO144" s="22">
        <v>44983</v>
      </c>
      <c r="BP144" s="21" t="s">
        <v>1380</v>
      </c>
      <c r="BQ144" s="222">
        <f t="shared" si="601"/>
        <v>72.639999999999901</v>
      </c>
      <c r="BR144" s="223">
        <f t="shared" si="602"/>
        <v>44971.199999999997</v>
      </c>
      <c r="BS144" s="224">
        <f t="shared" si="603"/>
        <v>6.5428571428575584</v>
      </c>
      <c r="BT144" s="216" t="str">
        <f t="shared" si="604"/>
        <v>I TRIM</v>
      </c>
      <c r="BU144" s="214">
        <f t="shared" ca="1" si="605"/>
        <v>37.400000000000418</v>
      </c>
      <c r="BV144" s="25"/>
      <c r="BW144" s="22">
        <v>45051</v>
      </c>
      <c r="BX144" s="28">
        <v>11.4</v>
      </c>
      <c r="BY144" s="28"/>
      <c r="BZ144" s="22"/>
      <c r="CA144" s="21"/>
      <c r="CB144" s="26" t="s">
        <v>864</v>
      </c>
      <c r="CC144" s="26" t="s">
        <v>864</v>
      </c>
      <c r="CD144" s="26"/>
      <c r="CE144" s="26" t="s">
        <v>864</v>
      </c>
      <c r="CF144" s="22" t="s">
        <v>1517</v>
      </c>
      <c r="CG144" s="21">
        <v>1.42</v>
      </c>
      <c r="CH144" s="21">
        <v>41.9</v>
      </c>
      <c r="CI144" s="214">
        <f t="shared" si="606"/>
        <v>20.779607220789526</v>
      </c>
      <c r="CJ144" s="225" t="str">
        <f>IF(AND(CI144&lt;10,CH144="SD"),"SIN DATO PESO PREGESTACION O I TRIM",IF(AND(OR(R144&gt;0,O144&gt;0),CI144="X"),"INGRESAR DATO DE PESO",IF(CI144="SD","INGRESAR DATO DE TALLA Y PESO",IF(AND(OR(Tabla1[[#This Row],[MOMENTO EN QUE SE REALIZA EL PESO AL INGRESO A CPN]]="PREGESTACIÓN",NZ144="Menor"),CI144&lt;18.5),"BAJO PESO",IF(AND(OR(Tabla1[[#This Row],[MOMENTO EN QUE SE REALIZA EL PESO AL INGRESO A CPN]]="PREGESTACIÓN",NZ144="Menor"),CI144&lt;25),"NORMAL",IF(AND(OR(Tabla1[[#This Row],[MOMENTO EN QUE SE REALIZA EL PESO AL INGRESO A CPN]]="PREGESTACIÓN",NZ144="Menor"),CI144&lt;30),"SOBREPESO",IF(AND(OR(Tabla1[[#This Row],[MOMENTO EN QUE SE REALIZA EL PESO AL INGRESO A CPN]]="PREGESTACIÓN",NZ144="Menor"),CI144&gt;=30,CI144&lt;50),"OBESIDAD",IF(AND(BS144&gt;0,Tabla1[[#This Row],[MOMENTO EN QUE SE REALIZA EL PESO AL INGRESO A CPN]]="GESTACIÓN"),HLOOKUP(NZ144,$OA$2:PH144,NY144),""))))))))</f>
        <v>NORMAL</v>
      </c>
      <c r="CK144" s="212">
        <f t="shared" si="607"/>
        <v>45164</v>
      </c>
      <c r="CL144" s="21">
        <v>45.8</v>
      </c>
      <c r="CM144" s="214">
        <f t="shared" si="608"/>
        <v>22.713747272366593</v>
      </c>
      <c r="CN144" s="216">
        <f t="shared" si="609"/>
        <v>27</v>
      </c>
      <c r="CO144" s="216" t="e">
        <f>IF(PI144="","",IF(PI144&gt;0,HLOOKUP(PI144,$PJ$2:QQ144,NY144),""))</f>
        <v>#REF!</v>
      </c>
      <c r="CP144" s="21">
        <v>21</v>
      </c>
      <c r="CQ144" s="216" t="e">
        <f>IF(QR144="Menor","NO APLICA-MENOR 13 SEM",IF(AND(CC144="SI",CN144&gt;23),"NO APLICA- GEMELAR",IF(QR144="","",IF(QR144&gt;0,HLOOKUP(QR144,$QS$2:RU144,NY144),""))))</f>
        <v>#REF!</v>
      </c>
      <c r="CR144" s="21">
        <v>100</v>
      </c>
      <c r="CS144" s="21">
        <v>60</v>
      </c>
      <c r="CT144" s="217" t="str">
        <f>IF(R144="","",IF(AND(BS144&gt;1,BS144&lt;12,Tabla1[[#This Row],[T.A. SISTOLICA - ANTES DE SEMANA 12]]="",Tabla1[[#This Row],[T.A. DIASTOLICA - ANTES DE SEMANA 12]]=""),"REGISTRE DATO TA ANTES SEMANA 12",IF(AND(BS144&gt;11,BS144&lt;43,Tabla1[[#This Row],[T.A. SISTOLICA - ANTES DE SEMANA 12]]="",Tabla1[[#This Row],[T.A. DIASTOLICA - ANTES DE SEMANA 12]]=""),"NO APLICA REGISTRO TA-INGRESO TARDIO",IF(AND(OR(O144&gt;0,R144&gt;0),OR(CR144&gt;=140,CS144&gt;=90)),"DEFINIR ESTADIO HTA",IF(AND(OR(O144&gt;0,R144&gt;0),AND(CR144&gt;120,CR144&lt;=139)),"PRE HTA SEGUIMIENTO",IF(AND(OR(O144&gt;0,R144&gt;0),AND(CS144&gt;80,CS144&lt;=89)),"PRE HTA SEGUIMIENTO",IF(AND(OR(O144&gt;0,R144&gt;0),AND(CR144&gt;=80,CR144&lt;=120)),"APARENTEMENTE NORMAL",IF(AND(OR(O144&gt;0,R144&gt;0),AND(CS144&gt;=50,CS144&lt;=80)),"APARENTEMENTE NORMAL",IF(AND(OR(O144&gt;0,R144&gt;0),AND(CR144&gt;1,CR144&lt;=70),AND(CS144&gt;1,CS144&lt;=40)),"HIPOTENSIÓN","")))))))))</f>
        <v>APARENTEMENTE NORMAL</v>
      </c>
      <c r="CU144" s="21"/>
      <c r="CV144" s="21"/>
      <c r="CW144" s="217" t="str">
        <f ca="1">IF(R144="","",IF(AND(CN144&gt;19,CN144&lt;27,Tabla1[[#This Row],[T.A. SISTOLICA (Entre semana 20 y 26)]]="",Tabla1[[#This Row],[T.A. DIATOLICA (Entre semana 20 y 26)]]=""),"ACUDE A CONTROL SEM 20 A 26 REGISTRE TA AHORA",IF(AND(BS144&gt;1,BS144&lt;27,BU144&gt;19,Tabla1[[#This Row],[T.A. SISTOLICA (Entre semana 20 y 26)]]="",Tabla1[[#This Row],[T.A. DIATOLICA (Entre semana 20 y 26)]]=""),"COMPLETE REGISTRO TA CONTROL SEM 20 A26 ",IF(AND(BS144&gt;26,BS144&lt;43,Tabla1[[#This Row],[T.A. SISTOLICA (Entre semana 20 y 26)]]="",Tabla1[[#This Row],[T.A. DIATOLICA (Entre semana 20 y 26)]]=""),"NO APLICA REGISTRO TA-INGRESO TARDIO",IF(AND(OR(O144&gt;0,R144&gt;0),OR(CU144&gt;=140,CV144&gt;=90)),"ALTO RIESGO PREECLAMPSIA,DEFINIR ESTADIO HTA",IF(AND(OR(O144&gt;0,R144&gt;0),AND(CU144&gt;120,CU144&lt;=139)),"PRE HTA SEGUIMIENTO,RIESGO HIPERTENSION INDUCIDA POR EL EMBARAZO",IF(AND(OR(O144&gt;0,R144&gt;0),AND(CV144&gt;80,CV144&lt;=89)),"PRE HTA SEGUIMIENTO, RIESGO HIPERTENSION INDUCIDA POR EL EMBARAZO",IF(AND(OR(O144&lt;&gt;"",R144&lt;&gt;""),CS144&lt;&gt;"",CV144&lt;&gt;"",CS144&lt;=CV144),"VIGILAR CIFRAS PRESION ARTERIAL",IF(AND(OR(O144&gt;0,R144&gt;0),AND(CU144&gt;120,CU144&lt;=139)),"PRE HTA SEGUIMIENTO",IF(AND(OR(O144&gt;0,R144&gt;0),AND(CU144&gt;1,CU144&lt;=70),AND(CV144&gt;1,CV144&lt;=40)),"HIPOTENSIÓN",IF(AND(OR(O144&lt;&gt;"",R144&lt;&gt;""),CS144&lt;&gt;"",CV144&lt;&gt;"",CS144&gt;CV144),"APARENTEMENTE NORMAL",IF(AND(OR(O144&gt;0,R144&gt;0),AND(CU144&gt;=80,CU144&lt;=120)),"APARENTEMENTE NORMAL",IF(AND(OR(O144&gt;0,R144&gt;0),AND(CV144&gt;=50,CV144&lt;=80)),"APARENTEMENTE NORMAL","")))))))))))))</f>
        <v xml:space="preserve">COMPLETE REGISTRO TA CONTROL SEM 20 A26 </v>
      </c>
      <c r="CX144" s="21"/>
      <c r="CY144" s="21"/>
      <c r="CZ144" s="216" t="str">
        <f t="shared" ref="CZ144:CZ169" si="688">IF(R144="","",IF(AND(CN144&gt;31,CN144&lt;35,CX144="",CY144=""),"ACUDE A CONTROL SEM 30 A 34- REGISTRE AHORA",IF(AND(BS144&gt;34,BS144&lt;43,CX145="",CY145=""),"NO APLICA-INGRESO TARDIO",IF(AND(OR(O144&gt;0,R144&gt;0),OR(CX144&gt;=140,CY144&gt;=90)),"ESTUDIO INMEDIATO HTA PARA DESCARTAR PREECLAMSIA",IF(AND(OR(O144&gt;0,R144&gt;0),AND(CX144&gt;=130,CX144&lt;=139)),"PRE HTA,RIESGO ALTO PREECLAMPSIA",IF(AND(OR(O144&gt;0,R144&gt;0),AND(CY144&gt;80,CY144&lt;=89)),"PRE HTA,RIESGO ALTO PREECLAMPSIA",IF(AND(OR(O144&gt;0,R144&gt;0),AND(CX144&gt;120,CX144&lt;=129)),"RANGO PREHIPERTENSIVO SEGUIMIENTO HTA",IF(AND(OR(O144&lt;&gt;"",R144&lt;&gt;""),CS144&lt;&gt;"",CY144&lt;&gt;"",CS144&lt;CY144),"VIGILAR CIFRAS PRESION ARTERIAL",IF(AND(OR(O144&lt;&gt;"",R144&lt;&gt;""),CS144&lt;&gt;"",CY144&lt;&gt;"",CS144=CY144),"APARENTEMENTE NORMAL",IF(AND(OR(O144&gt;0,R144&gt;0),CX144&gt;=80,CX144&lt;=120),"APARENTEMENTE NORMAL",IF(AND(OR(O144&gt;0,R144&gt;0),CY144&gt;=50,CY144&lt;=80),"APARENTEMENTE NORMAL","")))))))))))</f>
        <v/>
      </c>
      <c r="DA144" s="21">
        <v>90</v>
      </c>
      <c r="DB144" s="21">
        <v>60</v>
      </c>
      <c r="DC144" s="217" t="str">
        <f t="shared" si="610"/>
        <v>APARENTEMENTE NORMAL</v>
      </c>
      <c r="DD144" s="22">
        <v>45017</v>
      </c>
      <c r="DE144" s="22">
        <v>45017</v>
      </c>
      <c r="DF144" s="22">
        <v>45051</v>
      </c>
      <c r="DG144" s="22">
        <v>45092</v>
      </c>
      <c r="DH144" s="22">
        <v>45132</v>
      </c>
      <c r="DI144" s="22">
        <v>45164</v>
      </c>
      <c r="DJ144" s="22"/>
      <c r="DK144" s="22"/>
      <c r="DL144" s="22"/>
      <c r="DM144" s="22"/>
      <c r="DN144" s="22"/>
      <c r="DO144" s="22"/>
      <c r="DP144" s="22"/>
      <c r="DQ144" s="22"/>
      <c r="DR144" s="28">
        <v>1</v>
      </c>
      <c r="DS144" s="22"/>
      <c r="DT144" s="22"/>
      <c r="DU144" s="216" t="str">
        <f t="shared" ca="1" si="674"/>
        <v>CONCERTAR PLAN DE PARTO INMEDIATO</v>
      </c>
      <c r="DV144" s="226" t="str">
        <f t="shared" si="675"/>
        <v>ACTIVA INGRESO A CPN</v>
      </c>
      <c r="DW14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4" s="216" t="e">
        <f t="shared" ca="1" si="611"/>
        <v>#REF!</v>
      </c>
      <c r="DY144" s="212">
        <f>IF(R144="","",IF(R144&gt;0,MAX(Tabla1[[#This Row],[FECHA C2]:[FECHA C13]],Tabla1[[#This Row],[FECHA CONSULTA PRIMERA VEZ PROGRAMA CPN ]])))</f>
        <v>45164</v>
      </c>
      <c r="DZ144" s="216">
        <f t="shared" si="612"/>
        <v>27</v>
      </c>
      <c r="EA144" s="222">
        <f>IF(R144&gt;0,SUM(COUNTA(DF144:DQ144)+COUNTA(Tabla1[[#This Row],[FECHA CONSULTA PRIMERA VEZ PROGRAMA CPN ]])),"")</f>
        <v>5</v>
      </c>
      <c r="EB144" s="222" t="str">
        <f t="shared" si="613"/>
        <v>SI</v>
      </c>
      <c r="EC144" s="214">
        <f t="shared" si="614"/>
        <v>10</v>
      </c>
      <c r="ED144" s="227">
        <f t="shared" si="615"/>
        <v>0.5</v>
      </c>
      <c r="EE144" s="22">
        <v>45017</v>
      </c>
      <c r="EF144" s="22">
        <v>45017</v>
      </c>
      <c r="EG144" s="22">
        <v>45017</v>
      </c>
      <c r="EH144" s="22"/>
      <c r="EI144" s="22">
        <v>45017</v>
      </c>
      <c r="EJ144" s="22">
        <v>45090</v>
      </c>
      <c r="EK144" s="22">
        <v>45090</v>
      </c>
      <c r="EL144" s="21">
        <v>1</v>
      </c>
      <c r="EM144" s="21">
        <v>12.3</v>
      </c>
      <c r="EN144" s="22">
        <v>45019</v>
      </c>
      <c r="EO144" s="222">
        <f t="shared" si="616"/>
        <v>6.828571428571844</v>
      </c>
      <c r="EP144" s="214" t="str">
        <f t="shared" si="617"/>
        <v>NORMAL- SUMINISTRAR SULFATO FERROSO</v>
      </c>
      <c r="EQ144" s="216" t="str">
        <f t="shared" si="618"/>
        <v>I TRIM</v>
      </c>
      <c r="ER144" s="24"/>
      <c r="ES144" s="22"/>
      <c r="ET144" s="29" t="str">
        <f t="shared" ca="1" si="676"/>
        <v>TOMA DE HEMOGLOBINA TARDÍA</v>
      </c>
      <c r="EU144" s="25" t="str">
        <f t="shared" si="619"/>
        <v/>
      </c>
      <c r="EV144" s="24"/>
      <c r="EW144" s="24"/>
      <c r="EX144" s="22"/>
      <c r="EY144" s="29" t="str">
        <f t="shared" si="453"/>
        <v>TOMAR EXAMEN</v>
      </c>
      <c r="EZ144" s="25" t="str">
        <f t="shared" ca="1" si="454"/>
        <v/>
      </c>
      <c r="FA144" s="21">
        <v>75</v>
      </c>
      <c r="FB144" s="22">
        <v>45019</v>
      </c>
      <c r="FC144" s="29">
        <f t="shared" si="620"/>
        <v>6.828571428571844</v>
      </c>
      <c r="FD144" s="29"/>
      <c r="FE144" s="29"/>
      <c r="FF144" s="29"/>
      <c r="FG144" s="21" t="str">
        <f t="shared" ca="1" si="621"/>
        <v>TOMAR PTOG</v>
      </c>
      <c r="FH144" s="31"/>
      <c r="FI144" s="29" t="str">
        <f t="shared" si="622"/>
        <v>TOMAR EXAMEN</v>
      </c>
      <c r="FJ144" s="22" t="s">
        <v>867</v>
      </c>
      <c r="FK144" s="22">
        <v>45019</v>
      </c>
      <c r="FL144" s="29">
        <f t="shared" ca="1" si="623"/>
        <v>6.828571428571844</v>
      </c>
      <c r="FM144" s="22"/>
      <c r="FN144" s="32"/>
      <c r="FO144" s="29" t="str">
        <f t="shared" ca="1" si="677"/>
        <v>PIERDE TOMA DE TAMIZAJE</v>
      </c>
      <c r="FP144" s="22"/>
      <c r="FQ144" s="32"/>
      <c r="FR144" s="29" t="str">
        <f t="shared" ca="1" si="678"/>
        <v>TOMA INMEDIATA DE TAMIZAJE</v>
      </c>
      <c r="FS144" s="22"/>
      <c r="FT144" s="32"/>
      <c r="FU144" s="29" t="str">
        <f>IF(AND(FJ144="",FM144="",FP144="",FS144=""),"",IF(OR(OR(Tabla1[[#This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4" s="28"/>
      <c r="FW144" s="22"/>
      <c r="FX144" s="29" t="str">
        <f t="shared" si="624"/>
        <v>TOMAR EXAMEN</v>
      </c>
      <c r="FY144" s="22">
        <v>45019</v>
      </c>
      <c r="FZ144" s="22">
        <v>45019</v>
      </c>
      <c r="GA144" s="29">
        <f t="shared" ca="1" si="497"/>
        <v>6.828571428571844</v>
      </c>
      <c r="GB144" s="22"/>
      <c r="GC144" s="22"/>
      <c r="GD144" s="29" t="str">
        <f t="shared" ca="1" si="679"/>
        <v>PIERDE TOMA DE TAMIZAJE</v>
      </c>
      <c r="GE144" s="22"/>
      <c r="GF144" s="22"/>
      <c r="GG144" s="29" t="str">
        <f t="shared" ca="1" si="680"/>
        <v>TOMA INMEDIATA DE TAMIZAJE</v>
      </c>
      <c r="GH144" s="22"/>
      <c r="GI144" s="29"/>
      <c r="GJ144" s="22"/>
      <c r="GK144" s="22"/>
      <c r="GL144" s="22"/>
      <c r="GM144" s="22"/>
      <c r="GN144" s="28" t="s">
        <v>869</v>
      </c>
      <c r="GO144" s="22">
        <v>45019</v>
      </c>
      <c r="GP144" s="29">
        <f t="shared" si="625"/>
        <v>6.828571428571844</v>
      </c>
      <c r="GQ144" s="28" t="s">
        <v>869</v>
      </c>
      <c r="GR144" s="28"/>
      <c r="GS144" s="22" t="str">
        <f t="shared" si="626"/>
        <v>CONTROL Igm</v>
      </c>
      <c r="GT144" s="22">
        <v>45019</v>
      </c>
      <c r="GU144" s="29">
        <f t="shared" si="627"/>
        <v>5.1428571428571432</v>
      </c>
      <c r="GV144" s="21" t="str">
        <f t="shared" si="628"/>
        <v>I TRIM</v>
      </c>
      <c r="GW144" s="28" t="s">
        <v>846</v>
      </c>
      <c r="GX144" s="30"/>
      <c r="GY144" s="21"/>
      <c r="GZ144" s="21"/>
      <c r="HA144" s="21"/>
      <c r="HB144" s="21"/>
      <c r="HC144" s="21"/>
      <c r="HD144" s="21"/>
      <c r="HE144" s="21"/>
      <c r="HF144" s="22"/>
      <c r="HG144" s="22" t="str">
        <f>IF(OR(O144&gt;0,R144&gt;0),CONCATENATE(IF(Tabla1[[#This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4" s="22" t="e">
        <f t="shared" si="629"/>
        <v>#REF!</v>
      </c>
      <c r="HI144" s="22" t="e">
        <f t="shared" ca="1" si="630"/>
        <v>#REF!</v>
      </c>
      <c r="HJ144" s="21"/>
      <c r="HK144" s="21" t="str">
        <f t="shared" si="631"/>
        <v>SIN ANTECEDENTES DE RIESGO</v>
      </c>
      <c r="HL144" s="24" t="str">
        <f t="shared" si="632"/>
        <v>APARENTEMENTE NORMAL</v>
      </c>
      <c r="HM144" s="21" t="e">
        <f t="shared" ca="1" si="633"/>
        <v>#REF!</v>
      </c>
      <c r="HN144" s="30" t="str">
        <f t="shared" si="681"/>
        <v>ACTIVA INGRESO A CPN</v>
      </c>
      <c r="HO144" s="21"/>
      <c r="HP144" s="21"/>
      <c r="HQ144" s="349">
        <v>45051</v>
      </c>
      <c r="HR144" s="21" t="str">
        <f>IF(R144="","",IF(Tabla1[[#This Row],[ALARMA FACTORES DE RIESGO COMPLICACIONES HIPERTENSIVAS3]]="SIN ANTECEDENTES DE RIESGO","No Aplica para suministro de ASA",IF(AND(Tabla1[[#This Row],[FECHA INICIO DE SUMINISTRO DE ASA]]&gt;0,RV144&lt;12),"Inicia ASA ANTES de Sem 12",IF(AND(RV144&gt;11,RV144&lt;17,OR(HK144="RIESGO ALTO DE COMPLICACIONES HIPERTENSIVAS VER MANEJO GUIA SUMINISTRO ASA Y CALCIO",HK144="RIESGO MODERADO (2 O MAS CRITERIOS) VER MANEJO GUIA SUMINISTRO ASA Y CALCIO")),"Inicio oportuno de ASA",IF(AND(RV144&gt;12,OR(HK144="RIESGO ALTO DE COMPLICACIONES HIPERTENSIVAS VER MANEJO GUIA SUMINISTRO ASA Y CALCIO",HK144="RIESGO MODERADO (2 O MAS CRITERIOS) VER MANEJO GUIA SUMINISTRO ASA Y CALCIO")),"Inicio no oportuno mayor a 16 semanas",IF(AND(BU144&lt;12,OR(HK144="RIESGO ALTO DE COMPLICACIONES HIPERTENSIVAS VER MANEJO GUIA SUMINISTRO ASA Y CALCIO",HK144="RIESGO MODERADO (2 O MAS CRITERIOS) VER MANEJO GUIA SUMINISTRO ASA Y CALCIO")),"Pendiente Inicio de ASA a la semana 12",IF(AND(BU144&gt;11,BU144&lt;17,OR(HK144="RIESGO ALTO DE COMPLICACIONES HIPERTENSIVAS VER MANEJO GUIA SUMINISTRO ASA Y CALCIO",HK144="RIESGO MODERADO (2 O MAS CRITERIOS) VER MANEJO GUIA SUMINISTRO ASA Y CALCIO")),"Iniciar de inmediato ASA",IF(AND(BU144&gt;16,OR(HK144="RIESGO ALTO DE COMPLICACIONES HIPERTENSIVAS VER MANEJO GUIA SUMINISTRO ASA Y CALCIO",HK144="RIESGO MODERADO (2 O MAS CRITERIOS) VER MANEJO GUIA SUMINISTRO ASA Y CALCIO")),"Pierde Oportunidad, Inicio tardío de ASA","XXXXX"))))))))</f>
        <v>No Aplica para suministro de ASA</v>
      </c>
      <c r="HS144" s="22">
        <v>45051</v>
      </c>
      <c r="HT144" s="22" t="s">
        <v>870</v>
      </c>
      <c r="HU144" s="22">
        <v>45051</v>
      </c>
      <c r="HV144" s="22" t="s">
        <v>870</v>
      </c>
      <c r="HW144" s="22">
        <v>45051</v>
      </c>
      <c r="HX144" s="22" t="s">
        <v>870</v>
      </c>
      <c r="HY144" s="22">
        <v>45017</v>
      </c>
      <c r="HZ144" s="28">
        <f t="shared" si="634"/>
        <v>6.5428571428575584</v>
      </c>
      <c r="IA144" s="26"/>
      <c r="IB144" s="26"/>
      <c r="IC144" s="111"/>
      <c r="ID144" s="22"/>
      <c r="IE144" s="22" t="str">
        <f t="shared" ca="1" si="635"/>
        <v>INASISTENTE</v>
      </c>
      <c r="IF144" s="22"/>
      <c r="IG144" s="22">
        <f t="shared" si="636"/>
        <v>45251.199999999997</v>
      </c>
      <c r="IH144" s="29">
        <f t="shared" ca="1" si="637"/>
        <v>18.19999999999709</v>
      </c>
      <c r="II144" s="22" t="str">
        <f t="shared" ca="1" si="638"/>
        <v>MENOS DE 4 SEMANAS</v>
      </c>
      <c r="IJ144" s="22"/>
      <c r="IK144" s="21"/>
      <c r="IL144" s="21"/>
      <c r="IM144" s="34"/>
      <c r="IN144" s="22"/>
      <c r="IO144" s="21"/>
      <c r="IP144" s="29" t="str">
        <f t="shared" si="672"/>
        <v/>
      </c>
      <c r="IQ144" s="35"/>
      <c r="IR144" s="21"/>
      <c r="IS144" s="21"/>
      <c r="IT144" s="21"/>
      <c r="IU144" s="21"/>
      <c r="IV144" s="21"/>
      <c r="IW144" s="21"/>
      <c r="IX144" s="21"/>
      <c r="IY144" s="21"/>
      <c r="IZ144" s="21"/>
      <c r="JA144" s="21"/>
      <c r="JB144" s="30"/>
      <c r="JC144" s="21"/>
      <c r="JD144" s="36"/>
      <c r="JE144" s="21" t="str">
        <f t="shared" si="682"/>
        <v/>
      </c>
      <c r="JF144" s="30"/>
      <c r="JG144" s="21"/>
      <c r="JH144" s="21"/>
      <c r="JI144" s="21"/>
      <c r="JJ144" s="30"/>
      <c r="JK144" s="22"/>
      <c r="JL144" s="22"/>
      <c r="JM144" s="21"/>
      <c r="JN144" s="36"/>
      <c r="JO144" s="21" t="str">
        <f t="shared" si="683"/>
        <v/>
      </c>
      <c r="JP144" s="22"/>
      <c r="JQ144" s="21"/>
      <c r="JR144" s="21"/>
      <c r="JS144" s="21"/>
      <c r="JT144" s="30"/>
      <c r="JU144" s="22"/>
      <c r="JV144" s="22"/>
      <c r="JW144" s="33"/>
      <c r="JX144" s="28" t="str">
        <f t="shared" si="684"/>
        <v/>
      </c>
      <c r="JY144" s="33"/>
      <c r="JZ144" s="28" t="str">
        <f t="shared" si="685"/>
        <v/>
      </c>
      <c r="KA144" s="21"/>
      <c r="KB144" s="21"/>
      <c r="KC144" s="21"/>
      <c r="KD144" s="37"/>
      <c r="KE144" s="28"/>
      <c r="KF144" s="28"/>
      <c r="KG144" s="28"/>
      <c r="KH144" s="39"/>
      <c r="KI144" s="39"/>
      <c r="KJ144" s="66"/>
      <c r="KK144" s="39"/>
      <c r="KL144" s="39"/>
      <c r="KM144" s="66"/>
      <c r="KN144" s="39"/>
      <c r="KO144" s="39"/>
      <c r="KP144" s="39"/>
      <c r="KQ144" s="39"/>
      <c r="KR144" s="39"/>
      <c r="KS144" s="39"/>
      <c r="KT144" s="39"/>
      <c r="KU144" s="38"/>
      <c r="KV144" s="38"/>
      <c r="KW144" s="38"/>
      <c r="KX144" s="38"/>
      <c r="KY144" s="38"/>
      <c r="KZ144" s="38"/>
      <c r="LA144" s="38"/>
      <c r="LB144" s="38"/>
      <c r="LC144" s="38"/>
      <c r="LD144" s="38"/>
      <c r="LE144" s="38"/>
      <c r="LF144" s="38"/>
      <c r="LG144" s="38"/>
      <c r="LH144" s="38"/>
      <c r="LI144" s="38"/>
      <c r="LJ144" s="38"/>
      <c r="LK144" s="38"/>
      <c r="LL144" s="38"/>
      <c r="LM144" s="38"/>
      <c r="LN144" s="38"/>
      <c r="LO144" s="38"/>
      <c r="LP144" s="38"/>
      <c r="LQ144" s="38"/>
      <c r="LR144" s="38"/>
      <c r="LS144" s="38"/>
      <c r="LT144" s="38"/>
      <c r="LU144" s="38"/>
      <c r="LV144" s="38"/>
      <c r="LW144" s="38"/>
      <c r="LX144" s="38"/>
      <c r="LY144" s="38"/>
      <c r="LZ144" s="38"/>
      <c r="MA144" s="38"/>
      <c r="MB144" s="38"/>
      <c r="MC144" s="38"/>
      <c r="MD144" s="38"/>
      <c r="ME144" s="38"/>
      <c r="MF144" s="38"/>
      <c r="MG144" s="38"/>
      <c r="MH144" s="43">
        <f t="shared" si="639"/>
        <v>0</v>
      </c>
      <c r="MI144" s="43" t="str">
        <f t="shared" si="640"/>
        <v/>
      </c>
      <c r="MJ144" s="43" t="str">
        <f t="shared" si="641"/>
        <v/>
      </c>
      <c r="MK144" s="43">
        <f t="shared" si="642"/>
        <v>0</v>
      </c>
      <c r="ML1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4" s="43">
        <f t="shared" si="643"/>
        <v>6.5428571428575584</v>
      </c>
      <c r="MN144" s="43">
        <f t="shared" si="644"/>
        <v>4</v>
      </c>
      <c r="MO144" s="43">
        <f t="shared" si="645"/>
        <v>2023</v>
      </c>
      <c r="MP144" s="43" t="str">
        <f t="shared" si="646"/>
        <v>II TRIMESTRE AÑO</v>
      </c>
      <c r="MQ144" s="43">
        <f t="shared" si="647"/>
        <v>23.792706964520367</v>
      </c>
      <c r="MR144" s="43">
        <f t="shared" si="648"/>
        <v>0</v>
      </c>
      <c r="MS144" s="43" t="str">
        <f t="shared" si="649"/>
        <v xml:space="preserve"> DE 20 A 24 AÑOS</v>
      </c>
      <c r="MT144" s="43">
        <f t="shared" si="650"/>
        <v>0</v>
      </c>
      <c r="MU144" s="43">
        <f t="shared" si="651"/>
        <v>0</v>
      </c>
      <c r="MV144" s="43">
        <f t="shared" si="652"/>
        <v>0</v>
      </c>
      <c r="MW144" s="43">
        <f t="shared" si="653"/>
        <v>0</v>
      </c>
      <c r="MX144" s="43" t="str">
        <f t="shared" si="654"/>
        <v/>
      </c>
      <c r="MY144" s="43" t="str">
        <f t="shared" ca="1" si="686"/>
        <v/>
      </c>
      <c r="MZ144" s="43" t="str">
        <f t="shared" si="655"/>
        <v/>
      </c>
      <c r="NA144" s="43" t="str">
        <f t="shared" si="656"/>
        <v/>
      </c>
      <c r="NB144" s="43" t="str">
        <f t="shared" si="657"/>
        <v/>
      </c>
      <c r="NC144" s="43" t="str">
        <f t="shared" si="658"/>
        <v/>
      </c>
      <c r="ND144" s="43">
        <f t="shared" ca="1" si="659"/>
        <v>0</v>
      </c>
      <c r="NE144" s="43">
        <f>IF(OR(O144&gt;0,R144&gt;0),SUM(COUNTIF(Tabla1[[#This Row],[AÑOS AL INICIO5 CPN]],"&gt;=40"),COUNTIF(AS144,"0"),COUNTIF(AR144,"SI"),COUNTIF(CC144,"SI"),COUNTIF(BQ144,"&gt;119"),COUNTIF(CI144,"&gt;=35")),"")</f>
        <v>0</v>
      </c>
      <c r="NF144" s="43" t="str">
        <f t="shared" si="660"/>
        <v/>
      </c>
      <c r="NG144" s="43">
        <f t="shared" si="661"/>
        <v>0</v>
      </c>
      <c r="NH144" s="43">
        <f t="shared" si="662"/>
        <v>79.8</v>
      </c>
      <c r="NI14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CPN",P144="NO"),"Z",IF(AND(Tabla1[[#This Row],[CITA PROXIMO CONTROL]]="CITA MANUAL",Tabla1[[#This Row],[GESTANTES ACTUALES]]="ACTIVA INGRESO A CPN"),"W",IF(AND(Tabla1[[#This Row],[GESTANTES ACTUALES]]="SALIO PROGRAMA",IN144=""),"S",IF(AND(Tabla1[[#This Row],[CITA PROXIMO CONTROL]]&gt;0,IN144=""),(Tabla1[[#This Row],[CITA PROXIMO CONTROL]]-TODAY()),"SD"))))))))</f>
        <v>#REF!</v>
      </c>
      <c r="NJ144" s="43">
        <f>MONTH(Tabla1[[#This Row],[FECHA DE SALIDA  DEL PROGRAMA]])</f>
        <v>1</v>
      </c>
      <c r="NK144" s="43">
        <f>YEAR(Tabla1[[#This Row],[FECHA DE SALIDA  DEL PROGRAMA]])</f>
        <v>1900</v>
      </c>
      <c r="NL144" s="43">
        <f t="shared" si="663"/>
        <v>73</v>
      </c>
      <c r="NM144" s="43" t="str">
        <f t="shared" si="500"/>
        <v>NO</v>
      </c>
      <c r="NN144" s="43" t="str">
        <f ca="1">IF(AND(O144&gt;0,R144=""),"NO CPN",IF(AND(O144="",R144=""),"",IF(AND(R144&gt;0,Tabla1[[#This Row],[SEMANAS DE GESTACION ACTUALIZADAS]]&lt;=12),"NO APLICA",IF(AND(FH144&lt;&gt;"",FN144&lt;&gt;""),"SI","NO"))))</f>
        <v>NO</v>
      </c>
      <c r="NO144" s="43" t="str">
        <f ca="1">IF(AND(O144&gt;0,R144=""),"NO CPN",IF(AND(O144="",R144=""),"",IF(AND(R144&gt;0,Tabla1[[#This Row],[SEMANAS DE GESTACION ACTUALIZADAS]]&lt;=27),"NO APLICA",IF(AND(ES144&lt;&gt;"",FQ144&lt;&gt;"",GF144&lt;&gt;""),"SI","NO"))))</f>
        <v>NO</v>
      </c>
      <c r="NP144" s="204" t="str">
        <f t="shared" si="664"/>
        <v>I TRIM</v>
      </c>
      <c r="NQ144" s="21" t="str">
        <f t="shared" ref="NQ144:NQ169" si="689">IF(AND(IP145&gt;0,IP145&lt;37),10,IF(OR(CD145="Transversa",CD145="Oblicua"),9,IF(CC145="SI",8,IF(AND(AT145=0,AW145=0,CC145="NO",CD145="Cefálica",IP145&gt;=37,IT145="INICIO ESPONTÁNEO"),1,IF(AND(AND(AT145=0,AW145=0,CC145="NO",CD145="Cefálica",IP145&gt;=37),OR(IT145="LE HACEN INDUCCIÓN",IT145="LE HACEN CESÁREA SIN INICIO TRABAJO DE PARTO")),2,IF(AND(AT145&gt;=1,AW145=0,CC145="NO",CD145="Cefálica",IP145&gt;=37,IT145="INICIO ESPONTÁNEO"),3,IF(AND(AND(AT145&gt;=1,AW145=0,CC145="NO",CD145="Cefálica",IP145&gt;=37),OR(IT145="LE HACEN INDUCCIÓN",IT145="LE HACEN CESÁREA SIN INICIO TRABAJO DE PARTO")),4,IF(AND(AND(AT145&gt;=1,AW145&gt;=1,CC145="NO",CD145="Cefálica",IP145&gt;=37),OR(IT145="LE HACEN INDUCCIÓN",IT145="LE HACEN CESÁREA SIN INICIO TRABAJO DE PARTO",IT145="INICIO ESPONTÁNEO")),5,IF(AND(AND(AT145=0,AW145=0,CC145="NO",CD145="Podálica",IP145&gt;=1),OR(IT145="LE HACEN INDUCCIÓN",IT145="LE HACEN CESÁREA SIN INICIO TRABAJO DE PARTO",IT145="INICIO ESPONTÁNEO")),6,IF(AND(AND(AT145&gt;=1,CC145="NO",CD145="Podálica",IP145&gt;=1),OR(IT145="LE HACEN INDUCCIÓN",IT145="LE HACEN CESÁREA SIN INICIO TRABAJO DE PARTO",IT145="INICIO ESPONTÁNEO"),OR(AW145=0,AW145&gt;=1)),7,""))))))))))</f>
        <v/>
      </c>
      <c r="NR144" s="21">
        <f t="shared" ca="1" si="687"/>
        <v>3</v>
      </c>
      <c r="NS144" s="205">
        <f t="shared" ca="1" si="665"/>
        <v>1</v>
      </c>
      <c r="NT144" s="21">
        <f t="shared" ca="1" si="666"/>
        <v>1</v>
      </c>
      <c r="NU144" s="21" t="str">
        <f t="shared" ca="1" si="667"/>
        <v>INCOMPLETO</v>
      </c>
      <c r="NV144" s="21" t="str">
        <f t="shared" ca="1" si="668"/>
        <v>INCOMPLETO</v>
      </c>
      <c r="NW144" s="206" t="str">
        <f>IF(AND(O144="",R144=""),"",IF(OR(AND(Tabla1[[#This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4" s="207" t="str">
        <f t="shared" ca="1" si="669"/>
        <v>SIN VACUNAR</v>
      </c>
      <c r="NY144" s="43">
        <f>ROW(Tabla1[[#This Row],['# DE TAMIZAJES SIFILIS TOMADOS ]])</f>
        <v>144</v>
      </c>
      <c r="NZ144" s="43" t="str">
        <f t="shared" si="501"/>
        <v>Menor</v>
      </c>
      <c r="OA144" s="43" t="str">
        <f t="shared" si="502"/>
        <v>NORMAL</v>
      </c>
      <c r="OB144" s="43" t="str">
        <f t="shared" si="503"/>
        <v/>
      </c>
      <c r="OC144" s="43" t="str">
        <f t="shared" si="504"/>
        <v/>
      </c>
      <c r="OD144" s="43" t="str">
        <f t="shared" si="505"/>
        <v/>
      </c>
      <c r="OE144" s="43" t="str">
        <f t="shared" si="506"/>
        <v/>
      </c>
      <c r="OF144" s="43" t="str">
        <f t="shared" si="507"/>
        <v/>
      </c>
      <c r="OG144" s="43" t="str">
        <f t="shared" si="508"/>
        <v/>
      </c>
      <c r="OH144" s="43" t="str">
        <f t="shared" si="509"/>
        <v/>
      </c>
      <c r="OI144" s="43" t="str">
        <f t="shared" si="510"/>
        <v/>
      </c>
      <c r="OJ144" s="43" t="str">
        <f t="shared" si="511"/>
        <v/>
      </c>
      <c r="OK144" s="43" t="str">
        <f t="shared" si="512"/>
        <v/>
      </c>
      <c r="OL144" s="43" t="str">
        <f t="shared" si="513"/>
        <v/>
      </c>
      <c r="OM144" s="43" t="str">
        <f t="shared" si="514"/>
        <v/>
      </c>
      <c r="ON144" s="43" t="str">
        <f t="shared" si="515"/>
        <v/>
      </c>
      <c r="OO144" s="43" t="str">
        <f t="shared" si="516"/>
        <v/>
      </c>
      <c r="OP144" s="43" t="str">
        <f t="shared" si="517"/>
        <v/>
      </c>
      <c r="OQ144" s="43" t="str">
        <f t="shared" si="518"/>
        <v/>
      </c>
      <c r="OR144" s="43" t="str">
        <f t="shared" si="519"/>
        <v/>
      </c>
      <c r="OS144" s="43" t="str">
        <f t="shared" si="520"/>
        <v/>
      </c>
      <c r="OT144" s="43" t="str">
        <f t="shared" si="521"/>
        <v/>
      </c>
      <c r="OU144" s="43" t="str">
        <f t="shared" si="522"/>
        <v/>
      </c>
      <c r="OV144" s="110" t="str">
        <f t="shared" si="523"/>
        <v/>
      </c>
      <c r="OW144" s="43" t="str">
        <f t="shared" si="524"/>
        <v/>
      </c>
      <c r="OX144" s="43" t="str">
        <f t="shared" si="525"/>
        <v/>
      </c>
      <c r="OY144" s="43" t="str">
        <f t="shared" si="526"/>
        <v/>
      </c>
      <c r="OZ144" s="43" t="str">
        <f t="shared" si="527"/>
        <v/>
      </c>
      <c r="PA144" s="43" t="str">
        <f t="shared" si="528"/>
        <v/>
      </c>
      <c r="PB144" s="43" t="str">
        <f t="shared" si="529"/>
        <v/>
      </c>
      <c r="PC144" s="43" t="str">
        <f t="shared" si="530"/>
        <v/>
      </c>
      <c r="PD144" s="43" t="str">
        <f t="shared" si="531"/>
        <v/>
      </c>
      <c r="PE144" s="43" t="str">
        <f t="shared" si="532"/>
        <v/>
      </c>
      <c r="PF144" s="43" t="str">
        <f t="shared" si="533"/>
        <v/>
      </c>
      <c r="PG144" s="43" t="str">
        <f t="shared" si="534"/>
        <v/>
      </c>
      <c r="PH144" s="43" t="str">
        <f t="shared" si="535"/>
        <v/>
      </c>
      <c r="PI144" s="43">
        <f t="shared" si="536"/>
        <v>27</v>
      </c>
      <c r="PJ144" s="43" t="str">
        <f t="shared" si="537"/>
        <v/>
      </c>
      <c r="PK144" s="43" t="str">
        <f t="shared" si="538"/>
        <v/>
      </c>
      <c r="PL144" s="43" t="str">
        <f t="shared" si="539"/>
        <v/>
      </c>
      <c r="PM144" s="43" t="str">
        <f t="shared" si="540"/>
        <v/>
      </c>
      <c r="PN144" s="43" t="str">
        <f t="shared" si="541"/>
        <v/>
      </c>
      <c r="PO144" s="43" t="str">
        <f t="shared" si="542"/>
        <v/>
      </c>
      <c r="PP144" s="43" t="str">
        <f t="shared" si="543"/>
        <v/>
      </c>
      <c r="PQ144" s="43" t="str">
        <f t="shared" si="544"/>
        <v/>
      </c>
      <c r="PR144" s="43" t="str">
        <f t="shared" si="545"/>
        <v/>
      </c>
      <c r="PS144" s="43" t="str">
        <f t="shared" si="546"/>
        <v/>
      </c>
      <c r="PT144" s="43" t="str">
        <f t="shared" si="547"/>
        <v/>
      </c>
      <c r="PU144" s="43" t="str">
        <f t="shared" si="548"/>
        <v/>
      </c>
      <c r="PV144" s="43" t="str">
        <f t="shared" si="549"/>
        <v/>
      </c>
      <c r="PW144" s="43" t="str">
        <f t="shared" si="550"/>
        <v/>
      </c>
      <c r="PX144" s="43" t="str">
        <f t="shared" si="551"/>
        <v/>
      </c>
      <c r="PY144" s="43" t="str">
        <f t="shared" si="552"/>
        <v/>
      </c>
      <c r="PZ144" s="43" t="str">
        <f t="shared" si="553"/>
        <v/>
      </c>
      <c r="QA144" s="43" t="str">
        <f t="shared" si="554"/>
        <v/>
      </c>
      <c r="QB144" s="43" t="str">
        <f t="shared" si="555"/>
        <v>BAJO PESO</v>
      </c>
      <c r="QC144" s="43" t="str">
        <f t="shared" si="556"/>
        <v/>
      </c>
      <c r="QD144" s="43" t="str">
        <f t="shared" si="557"/>
        <v/>
      </c>
      <c r="QE144" s="43" t="str">
        <f t="shared" si="558"/>
        <v/>
      </c>
      <c r="QF144" s="43" t="str">
        <f t="shared" si="559"/>
        <v/>
      </c>
      <c r="QG144" s="43" t="str">
        <f t="shared" si="560"/>
        <v/>
      </c>
      <c r="QH144" s="43" t="str">
        <f t="shared" si="561"/>
        <v/>
      </c>
      <c r="QI144" s="43" t="str">
        <f t="shared" si="562"/>
        <v/>
      </c>
      <c r="QJ144" s="43" t="str">
        <f t="shared" si="563"/>
        <v/>
      </c>
      <c r="QK144" s="43" t="str">
        <f t="shared" si="564"/>
        <v/>
      </c>
      <c r="QL144" s="43" t="str">
        <f t="shared" si="565"/>
        <v/>
      </c>
      <c r="QM144" s="43" t="str">
        <f t="shared" si="566"/>
        <v/>
      </c>
      <c r="QN144" s="43" t="str">
        <f t="shared" si="567"/>
        <v/>
      </c>
      <c r="QO144" s="43" t="str">
        <f t="shared" si="568"/>
        <v/>
      </c>
      <c r="QP144" s="43" t="str">
        <f t="shared" si="569"/>
        <v/>
      </c>
      <c r="QQ144" s="43" t="str">
        <f t="shared" si="570"/>
        <v/>
      </c>
      <c r="QR144" s="43">
        <f t="shared" si="670"/>
        <v>27</v>
      </c>
      <c r="QS144" s="43"/>
      <c r="QT144" s="21" t="str">
        <f t="shared" si="571"/>
        <v/>
      </c>
      <c r="QU144" s="21" t="str">
        <f t="shared" si="572"/>
        <v/>
      </c>
      <c r="QV144" s="21" t="str">
        <f t="shared" si="573"/>
        <v/>
      </c>
      <c r="QW144" s="21" t="str">
        <f t="shared" si="574"/>
        <v/>
      </c>
      <c r="QX144" s="21" t="str">
        <f t="shared" si="575"/>
        <v/>
      </c>
      <c r="QY144" s="21" t="str">
        <f t="shared" si="576"/>
        <v/>
      </c>
      <c r="QZ144" s="21" t="str">
        <f t="shared" si="577"/>
        <v/>
      </c>
      <c r="RA144" s="21" t="str">
        <f t="shared" si="578"/>
        <v/>
      </c>
      <c r="RB144" s="21" t="str">
        <f t="shared" si="579"/>
        <v/>
      </c>
      <c r="RC144" s="21" t="str">
        <f t="shared" si="580"/>
        <v/>
      </c>
      <c r="RD144" s="21" t="str">
        <f t="shared" si="581"/>
        <v/>
      </c>
      <c r="RE144" s="21" t="str">
        <f t="shared" si="582"/>
        <v/>
      </c>
      <c r="RF144" s="21" t="str">
        <f t="shared" si="583"/>
        <v/>
      </c>
      <c r="RG144" s="21" t="str">
        <f t="shared" si="584"/>
        <v/>
      </c>
      <c r="RH144" s="21" t="str">
        <f t="shared" si="585"/>
        <v>ADECUADO PARA EDAD GESTACIONAL</v>
      </c>
      <c r="RI144" s="21" t="str">
        <f t="shared" si="586"/>
        <v/>
      </c>
      <c r="RJ144" s="21" t="str">
        <f t="shared" si="587"/>
        <v/>
      </c>
      <c r="RK144" s="21" t="str">
        <f t="shared" si="588"/>
        <v/>
      </c>
      <c r="RL144" s="21" t="str">
        <f t="shared" si="589"/>
        <v/>
      </c>
      <c r="RM144" s="21" t="str">
        <f t="shared" si="590"/>
        <v/>
      </c>
      <c r="RN144" s="21" t="str">
        <f t="shared" si="591"/>
        <v/>
      </c>
      <c r="RO144" s="21" t="str">
        <f t="shared" si="592"/>
        <v/>
      </c>
      <c r="RP144" s="21" t="str">
        <f t="shared" si="593"/>
        <v/>
      </c>
      <c r="RQ144" s="21" t="str">
        <f t="shared" si="594"/>
        <v/>
      </c>
      <c r="RR144" s="21" t="str">
        <f t="shared" si="595"/>
        <v/>
      </c>
      <c r="RS144" s="21" t="str">
        <f t="shared" si="596"/>
        <v/>
      </c>
      <c r="RT144" s="21" t="str">
        <f t="shared" si="597"/>
        <v/>
      </c>
      <c r="RU144" s="21" t="str">
        <f t="shared" si="598"/>
        <v/>
      </c>
      <c r="RV144" s="21">
        <f t="shared" si="599"/>
        <v>11.400000000000416</v>
      </c>
      <c r="RW144" s="284">
        <f>IF(OR(Tabla1[[#This Row],[FUM FORMULA CONFIABLE]]="",Tabla1[[#This Row],[FUM FORMULA CONFIABLE]]="SD"),"",IF(Tabla1[[#This Row],[FUM FORMULA CONFIABLE]]="CORREGIDA",Tabla1[[#This Row],[FUM X ECO 1]],Tabla1[[#This Row],[FUM x AMENORREA]]))</f>
        <v>44971.199999999997</v>
      </c>
      <c r="RX144" s="21">
        <f>IF(AND(Tabla1[[#This Row],[FUM X ECO 1]]="",Tabla1[[#This Row],[FUM x AMENORREA]]=""),"",IF(AND(Tabla1[[#This Row],[FUM X ECO 1]]="",Tabla1[[#This Row],[FUM x AMENORREA]]&lt;&gt;""),"X",SUM(Tabla1[[#This Row],[FUM X ECO 1]]-Tabla1[[#This Row],[FUM x AMENORREA]])))</f>
        <v>-11.80000000000291</v>
      </c>
      <c r="RY144" s="21">
        <f t="shared" si="671"/>
        <v>1</v>
      </c>
    </row>
    <row r="145" spans="1:493" ht="45" customHeight="1" x14ac:dyDescent="0.25">
      <c r="A145" s="109" t="s">
        <v>1422</v>
      </c>
      <c r="B145" s="43"/>
      <c r="C145" s="43" t="s">
        <v>845</v>
      </c>
      <c r="D145" s="124"/>
      <c r="E145" s="43" t="s">
        <v>848</v>
      </c>
      <c r="F145" s="43" t="s">
        <v>943</v>
      </c>
      <c r="G145" s="43" t="s">
        <v>1423</v>
      </c>
      <c r="H145" s="43"/>
      <c r="I145" s="109" t="s">
        <v>851</v>
      </c>
      <c r="J145" s="110">
        <v>1193097625</v>
      </c>
      <c r="K145" s="43" t="s">
        <v>852</v>
      </c>
      <c r="L145" s="175" t="s">
        <v>1509</v>
      </c>
      <c r="M145" s="22">
        <v>37116</v>
      </c>
      <c r="N145" s="213">
        <f t="shared" ca="1" si="600"/>
        <v>22.238356164383561</v>
      </c>
      <c r="O145" s="22">
        <v>45028</v>
      </c>
      <c r="P145" s="214" t="str">
        <f t="shared" si="673"/>
        <v>SI</v>
      </c>
      <c r="Q145" s="26" t="s">
        <v>855</v>
      </c>
      <c r="R145" s="22">
        <v>45028</v>
      </c>
      <c r="S145" s="21" t="s">
        <v>856</v>
      </c>
      <c r="T145" s="24" t="s">
        <v>690</v>
      </c>
      <c r="U145" s="21" t="s">
        <v>857</v>
      </c>
      <c r="V145" s="21" t="s">
        <v>858</v>
      </c>
      <c r="W145" s="21" t="s">
        <v>1044</v>
      </c>
      <c r="X145" s="21"/>
      <c r="Y145" s="21"/>
      <c r="Z145" s="21">
        <v>3166455769</v>
      </c>
      <c r="AA145" s="21" t="s">
        <v>860</v>
      </c>
      <c r="AB145" s="27" t="s">
        <v>861</v>
      </c>
      <c r="AC145" s="26" t="s">
        <v>862</v>
      </c>
      <c r="AD145" s="38" t="s">
        <v>1546</v>
      </c>
      <c r="AE145" s="26" t="s">
        <v>854</v>
      </c>
      <c r="AF145" s="26" t="s">
        <v>854</v>
      </c>
      <c r="AG145" s="23" t="s">
        <v>864</v>
      </c>
      <c r="AH145" s="23" t="s">
        <v>864</v>
      </c>
      <c r="AI145" s="24" t="s">
        <v>863</v>
      </c>
      <c r="AJ145" s="23" t="s">
        <v>864</v>
      </c>
      <c r="AK145" s="220" t="str">
        <f>IF(AND(AD145="",AE145="",AF145="",AG145="",AH145="",AI145="",AJ145=""),"",IF(OR(Tabla1[[#This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EVALUACIÓN",IF(AND(O145="",R145=""),"",IF(AND(OR(O145&gt;0,R145&gt;0),NG145&gt;=0,NG145&lt;2),"SIN RIESGO",IF(AND(OR(O145&gt;0,R145&gt;0),NG145&gt;=2),"CON RIESGO","ASD")))))</f>
        <v>SIN RIESGO</v>
      </c>
      <c r="AL145" s="23" t="s">
        <v>864</v>
      </c>
      <c r="AM145" s="26" t="s">
        <v>864</v>
      </c>
      <c r="AN145" s="26" t="s">
        <v>864</v>
      </c>
      <c r="AO145" s="26" t="s">
        <v>864</v>
      </c>
      <c r="AP145" s="26" t="s">
        <v>864</v>
      </c>
      <c r="AQ145" s="26" t="s">
        <v>864</v>
      </c>
      <c r="AR145" s="26" t="s">
        <v>864</v>
      </c>
      <c r="AS145" s="21">
        <v>3</v>
      </c>
      <c r="AT145" s="21">
        <v>3</v>
      </c>
      <c r="AU145" s="21">
        <v>0</v>
      </c>
      <c r="AV145" s="26" t="s">
        <v>864</v>
      </c>
      <c r="AW145" s="21">
        <v>0</v>
      </c>
      <c r="AX145" s="26" t="s">
        <v>864</v>
      </c>
      <c r="AY145" s="26" t="s">
        <v>864</v>
      </c>
      <c r="AZ145" s="26" t="s">
        <v>864</v>
      </c>
      <c r="BA145" s="26" t="s">
        <v>864</v>
      </c>
      <c r="BB145" s="26" t="s">
        <v>864</v>
      </c>
      <c r="BC145" s="26" t="s">
        <v>864</v>
      </c>
      <c r="BD145" s="26" t="s">
        <v>864</v>
      </c>
      <c r="BE145" s="26" t="s">
        <v>864</v>
      </c>
      <c r="BF145" s="26" t="s">
        <v>864</v>
      </c>
      <c r="BG145" s="26" t="s">
        <v>864</v>
      </c>
      <c r="BH145" s="26" t="s">
        <v>864</v>
      </c>
      <c r="BI145" s="26" t="s">
        <v>864</v>
      </c>
      <c r="BJ145" s="26" t="s">
        <v>864</v>
      </c>
      <c r="BK145" s="26" t="s">
        <v>864</v>
      </c>
      <c r="BL145" s="26" t="s">
        <v>864</v>
      </c>
      <c r="BM145" s="26" t="s">
        <v>864</v>
      </c>
      <c r="BN145" s="22">
        <v>43926</v>
      </c>
      <c r="BO145" s="22">
        <v>44968</v>
      </c>
      <c r="BP145" s="21" t="s">
        <v>864</v>
      </c>
      <c r="BQ145" s="222">
        <f t="shared" si="601"/>
        <v>34.733333333333334</v>
      </c>
      <c r="BR145" s="223">
        <f t="shared" si="602"/>
        <v>44964.2</v>
      </c>
      <c r="BS145" s="224">
        <f t="shared" si="603"/>
        <v>8.5714285714285712</v>
      </c>
      <c r="BT145" s="216" t="str">
        <f t="shared" si="604"/>
        <v>DEFINIR CON ECO</v>
      </c>
      <c r="BU145" s="214">
        <f t="shared" ca="1" si="605"/>
        <v>37.857142857142854</v>
      </c>
      <c r="BV145" s="25"/>
      <c r="BW145" s="22">
        <v>45051</v>
      </c>
      <c r="BX145" s="28">
        <v>12.4</v>
      </c>
      <c r="BY145" s="28"/>
      <c r="BZ145" s="22"/>
      <c r="CA145" s="21"/>
      <c r="CB145" s="26"/>
      <c r="CC145" s="26"/>
      <c r="CD145" s="26"/>
      <c r="CE145" s="26"/>
      <c r="CF145" s="22" t="s">
        <v>1517</v>
      </c>
      <c r="CG145" s="21">
        <v>1.43</v>
      </c>
      <c r="CH145" s="21">
        <v>46.5</v>
      </c>
      <c r="CI145" s="214">
        <f t="shared" si="606"/>
        <v>22.739498263973793</v>
      </c>
      <c r="CJ145" s="225" t="str">
        <f>IF(AND(CI145&lt;10,CH145="SD"),"SIN DATO PESO PREGESTACION O I TRIM",IF(AND(OR(R145&gt;0,O145&gt;0),CI145="X"),"INGRESAR DATO DE PESO",IF(CI145="SD","INGRESAR DATO DE TALLA Y PESO",IF(AND(OR(Tabla1[[#This Row],[MOMENTO EN QUE SE REALIZA EL PESO AL INGRESO A CPN]]="PREGESTACIÓN",NZ145="Menor"),CI145&lt;18.5),"BAJO PESO",IF(AND(OR(Tabla1[[#This Row],[MOMENTO EN QUE SE REALIZA EL PESO AL INGRESO A CPN]]="PREGESTACIÓN",NZ145="Menor"),CI145&lt;25),"NORMAL",IF(AND(OR(Tabla1[[#This Row],[MOMENTO EN QUE SE REALIZA EL PESO AL INGRESO A CPN]]="PREGESTACIÓN",NZ145="Menor"),CI145&lt;30),"SOBREPESO",IF(AND(OR(Tabla1[[#This Row],[MOMENTO EN QUE SE REALIZA EL PESO AL INGRESO A CPN]]="PREGESTACIÓN",NZ145="Menor"),CI145&gt;=30,CI145&lt;50),"OBESIDAD",IF(AND(BS145&gt;0,Tabla1[[#This Row],[MOMENTO EN QUE SE REALIZA EL PESO AL INGRESO A CPN]]="GESTACIÓN"),HLOOKUP(NZ145,$OA$2:PH145,NY145),""))))))))</f>
        <v>NORMAL</v>
      </c>
      <c r="CK145" s="212">
        <f t="shared" si="607"/>
        <v>45150</v>
      </c>
      <c r="CL145" s="21">
        <v>52.8</v>
      </c>
      <c r="CM145" s="214">
        <f t="shared" si="608"/>
        <v>25.820333512641206</v>
      </c>
      <c r="CN145" s="216">
        <f t="shared" si="609"/>
        <v>26</v>
      </c>
      <c r="CO145" s="216" t="e">
        <f>IF(PI145="","",IF(PI145&gt;0,HLOOKUP(PI145,$PJ$2:QQ145,NY145),""))</f>
        <v>#REF!</v>
      </c>
      <c r="CP145" s="21">
        <v>24</v>
      </c>
      <c r="CQ145" s="216" t="e">
        <f>IF(QR145="Menor","NO APLICA-MENOR 13 SEM",IF(AND(CC145="SI",CN145&gt;23),"NO APLICA- GEMELAR",IF(QR145="","",IF(QR145&gt;0,HLOOKUP(QR145,$QS$2:RU145,NY145),""))))</f>
        <v>#REF!</v>
      </c>
      <c r="CR145" s="21">
        <v>110</v>
      </c>
      <c r="CS145" s="21">
        <v>60</v>
      </c>
      <c r="CT145" s="217" t="str">
        <f>IF(R145="","",IF(AND(BS145&gt;1,BS145&lt;12,Tabla1[[#This Row],[T.A. SISTOLICA - ANTES DE SEMANA 12]]="",Tabla1[[#This Row],[T.A. DIASTOLICA - ANTES DE SEMANA 12]]=""),"REGISTRE DATO TA ANTES SEMANA 12",IF(AND(BS145&gt;11,BS145&lt;43,Tabla1[[#This Row],[T.A. SISTOLICA - ANTES DE SEMANA 12]]="",Tabla1[[#This Row],[T.A. DIASTOLICA - ANTES DE SEMANA 12]]=""),"NO APLICA REGISTRO TA-INGRESO TARDIO",IF(AND(OR(O145&gt;0,R145&gt;0),OR(CR145&gt;=140,CS145&gt;=90)),"DEFINIR ESTADIO HTA",IF(AND(OR(O145&gt;0,R145&gt;0),AND(CR145&gt;120,CR145&lt;=139)),"PRE HTA SEGUIMIENTO",IF(AND(OR(O145&gt;0,R145&gt;0),AND(CS145&gt;80,CS145&lt;=89)),"PRE HTA SEGUIMIENTO",IF(AND(OR(O145&gt;0,R145&gt;0),AND(CR145&gt;=80,CR145&lt;=120)),"APARENTEMENTE NORMAL",IF(AND(OR(O145&gt;0,R145&gt;0),AND(CS145&gt;=50,CS145&lt;=80)),"APARENTEMENTE NORMAL",IF(AND(OR(O145&gt;0,R145&gt;0),AND(CR145&gt;1,CR145&lt;=70),AND(CS145&gt;1,CS145&lt;=40)),"HIPOTENSIÓN","")))))))))</f>
        <v>APARENTEMENTE NORMAL</v>
      </c>
      <c r="CU145" s="21">
        <v>90</v>
      </c>
      <c r="CV145" s="21">
        <v>60</v>
      </c>
      <c r="CW145" s="217" t="str">
        <f ca="1">IF(R145="","",IF(AND(CN145&gt;19,CN145&lt;27,Tabla1[[#This Row],[T.A. SISTOLICA (Entre semana 20 y 26)]]="",Tabla1[[#This Row],[T.A. DIATOLICA (Entre semana 20 y 26)]]=""),"ACUDE A CONTROL SEM 20 A 26 REGISTRE TA AHORA",IF(AND(BS145&gt;1,BS145&lt;27,BU145&gt;19,Tabla1[[#This Row],[T.A. SISTOLICA (Entre semana 20 y 26)]]="",Tabla1[[#This Row],[T.A. DIATOLICA (Entre semana 20 y 26)]]=""),"COMPLETE REGISTRO TA CONTROL SEM 20 A26 ",IF(AND(BS145&gt;26,BS145&lt;43,Tabla1[[#This Row],[T.A. SISTOLICA (Entre semana 20 y 26)]]="",Tabla1[[#This Row],[T.A. DIATOLICA (Entre semana 20 y 26)]]=""),"NO APLICA REGISTRO TA-INGRESO TARDIO",IF(AND(OR(O145&gt;0,R145&gt;0),OR(CU145&gt;=140,CV145&gt;=90)),"ALTO RIESGO PREECLAMPSIA,DEFINIR ESTADIO HTA",IF(AND(OR(O145&gt;0,R145&gt;0),AND(CU145&gt;120,CU145&lt;=139)),"PRE HTA SEGUIMIENTO,RIESGO HIPERTENSION INDUCIDA POR EL EMBARAZO",IF(AND(OR(O145&gt;0,R145&gt;0),AND(CV145&gt;80,CV145&lt;=89)),"PRE HTA SEGUIMIENTO, RIESGO HIPERTENSION INDUCIDA POR EL EMBARAZO",IF(AND(OR(O145&lt;&gt;"",R145&lt;&gt;""),CS145&lt;&gt;"",CV145&lt;&gt;"",CS145&lt;=CV145),"VIGILAR CIFRAS PRESION ARTERIAL",IF(AND(OR(O145&gt;0,R145&gt;0),AND(CU145&gt;120,CU145&lt;=139)),"PRE HTA SEGUIMIENTO",IF(AND(OR(O145&gt;0,R145&gt;0),AND(CU145&gt;1,CU145&lt;=70),AND(CV145&gt;1,CV145&lt;=40)),"HIPOTENSIÓN",IF(AND(OR(O145&lt;&gt;"",R145&lt;&gt;""),CS145&lt;&gt;"",CV145&lt;&gt;"",CS145&gt;CV145),"APARENTEMENTE NORMAL",IF(AND(OR(O145&gt;0,R145&gt;0),AND(CU145&gt;=80,CU145&lt;=120)),"APARENTEMENTE NORMAL",IF(AND(OR(O145&gt;0,R145&gt;0),AND(CV145&gt;=50,CV145&lt;=80)),"APARENTEMENTE NORMAL","")))))))))))))</f>
        <v>VIGILAR CIFRAS PRESION ARTERIAL</v>
      </c>
      <c r="CX145" s="21"/>
      <c r="CY145" s="21"/>
      <c r="CZ145" s="216" t="str">
        <f t="shared" si="688"/>
        <v/>
      </c>
      <c r="DA145" s="21">
        <v>90</v>
      </c>
      <c r="DB145" s="21">
        <v>60</v>
      </c>
      <c r="DC145" s="217" t="str">
        <f t="shared" si="610"/>
        <v>APARENTEMENTE NORMAL</v>
      </c>
      <c r="DD145" s="22">
        <v>45028</v>
      </c>
      <c r="DE145" s="22">
        <v>45028</v>
      </c>
      <c r="DF145" s="22">
        <v>45058</v>
      </c>
      <c r="DG145" s="22">
        <v>45091</v>
      </c>
      <c r="DH145" s="22">
        <v>45120</v>
      </c>
      <c r="DI145" s="22">
        <v>45150</v>
      </c>
      <c r="DJ145" s="22"/>
      <c r="DK145" s="22"/>
      <c r="DL145" s="22"/>
      <c r="DM145" s="22"/>
      <c r="DN145" s="22"/>
      <c r="DO145" s="22"/>
      <c r="DP145" s="22"/>
      <c r="DQ145" s="22"/>
      <c r="DR145" s="28">
        <v>0</v>
      </c>
      <c r="DS145" s="22"/>
      <c r="DT145" s="22"/>
      <c r="DU145" s="216" t="str">
        <f t="shared" ca="1" si="674"/>
        <v>CONCERTAR PLAN DE PARTO INMEDIATO</v>
      </c>
      <c r="DV145" s="226" t="str">
        <f t="shared" si="675"/>
        <v>ACTIVA INGRESO A CPN</v>
      </c>
      <c r="DW14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5" s="216" t="e">
        <f t="shared" ca="1" si="611"/>
        <v>#REF!</v>
      </c>
      <c r="DY145" s="212">
        <f>IF(R145="","",IF(R145&gt;0,MAX(Tabla1[[#This Row],[FECHA C2]:[FECHA C13]],Tabla1[[#This Row],[FECHA CONSULTA PRIMERA VEZ PROGRAMA CPN ]])))</f>
        <v>45150</v>
      </c>
      <c r="DZ145" s="216">
        <f t="shared" si="612"/>
        <v>26</v>
      </c>
      <c r="EA145" s="222">
        <f>IF(R145&gt;0,SUM(COUNTA(DF145:DQ145)+COUNTA(Tabla1[[#This Row],[FECHA CONSULTA PRIMERA VEZ PROGRAMA CPN ]])),"")</f>
        <v>5</v>
      </c>
      <c r="EB145" s="222" t="str">
        <f t="shared" si="613"/>
        <v>SI</v>
      </c>
      <c r="EC145" s="214">
        <f t="shared" si="614"/>
        <v>9</v>
      </c>
      <c r="ED145" s="227">
        <f t="shared" si="615"/>
        <v>0.55555555555555558</v>
      </c>
      <c r="EE145" s="22">
        <v>45028</v>
      </c>
      <c r="EF145" s="22">
        <v>45028</v>
      </c>
      <c r="EG145" s="22">
        <v>45028</v>
      </c>
      <c r="EH145" s="22"/>
      <c r="EI145" s="22">
        <v>45028</v>
      </c>
      <c r="EJ145" s="22"/>
      <c r="EK145" s="22"/>
      <c r="EL145" s="21"/>
      <c r="EM145" s="21">
        <v>11.4</v>
      </c>
      <c r="EN145" s="22">
        <v>45028</v>
      </c>
      <c r="EO145" s="222">
        <f t="shared" si="616"/>
        <v>8.5714285714285712</v>
      </c>
      <c r="EP145" s="214" t="str">
        <f t="shared" si="617"/>
        <v>NORMAL- SUMINISTRAR SULFATO FERROSO</v>
      </c>
      <c r="EQ145" s="216" t="str">
        <f t="shared" si="618"/>
        <v>I TRIM</v>
      </c>
      <c r="ER145" s="24">
        <v>10.7</v>
      </c>
      <c r="ES145" s="22">
        <v>45132</v>
      </c>
      <c r="ET145" s="29">
        <f t="shared" ca="1" si="676"/>
        <v>23.428571428571427</v>
      </c>
      <c r="EU145" s="25" t="str">
        <f t="shared" si="619"/>
        <v>NORMAL- SUMINISTRAR SULFATO FERROSO</v>
      </c>
      <c r="EV145" s="24"/>
      <c r="EW145" s="24"/>
      <c r="EX145" s="22"/>
      <c r="EY145" s="29" t="str">
        <f t="shared" si="453"/>
        <v>TOMAR EXAMEN</v>
      </c>
      <c r="EZ145" s="25" t="str">
        <f t="shared" ca="1" si="454"/>
        <v/>
      </c>
      <c r="FA145" s="21">
        <v>77</v>
      </c>
      <c r="FB145" s="22">
        <v>45028</v>
      </c>
      <c r="FC145" s="29">
        <f t="shared" si="620"/>
        <v>8.5714285714285712</v>
      </c>
      <c r="FD145" s="29">
        <v>82</v>
      </c>
      <c r="FE145" s="29">
        <v>95</v>
      </c>
      <c r="FF145" s="29">
        <v>85</v>
      </c>
      <c r="FG145" s="21" t="str">
        <f t="shared" ca="1" si="621"/>
        <v>NORMAL</v>
      </c>
      <c r="FH145" s="31">
        <v>45153</v>
      </c>
      <c r="FI145" s="29">
        <f t="shared" si="622"/>
        <v>26.428571428571427</v>
      </c>
      <c r="FJ145" s="22" t="s">
        <v>867</v>
      </c>
      <c r="FK145" s="22">
        <v>45028</v>
      </c>
      <c r="FL145" s="29">
        <f t="shared" ca="1" si="623"/>
        <v>8.5714285714285712</v>
      </c>
      <c r="FM145" s="22" t="s">
        <v>867</v>
      </c>
      <c r="FN145" s="32">
        <v>45132</v>
      </c>
      <c r="FO145" s="29">
        <f t="shared" ca="1" si="677"/>
        <v>23.428571428571427</v>
      </c>
      <c r="FP145" s="22"/>
      <c r="FQ145" s="32"/>
      <c r="FR145" s="29" t="str">
        <f t="shared" ca="1" si="678"/>
        <v>TOMA INMEDIATA DE TAMIZAJE</v>
      </c>
      <c r="FS145" s="22"/>
      <c r="FT145" s="32"/>
      <c r="FU145" s="29" t="str">
        <f>IF(AND(FJ145="",FM145="",FP145="",FS145=""),"",IF(OR(OR(Tabla1[[#This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5" s="28"/>
      <c r="FW145" s="22"/>
      <c r="FX145" s="29" t="str">
        <f t="shared" si="624"/>
        <v>TOMAR EXAMEN</v>
      </c>
      <c r="FY145" s="22">
        <v>45028</v>
      </c>
      <c r="FZ145" s="22">
        <v>45028</v>
      </c>
      <c r="GA145" s="29">
        <f t="shared" ca="1" si="497"/>
        <v>8.5714285714285712</v>
      </c>
      <c r="GB145" s="22" t="s">
        <v>868</v>
      </c>
      <c r="GC145" s="22">
        <v>45132</v>
      </c>
      <c r="GD145" s="29">
        <f t="shared" ca="1" si="679"/>
        <v>23.428571428571427</v>
      </c>
      <c r="GE145" s="22"/>
      <c r="GF145" s="22"/>
      <c r="GG145" s="29" t="str">
        <f t="shared" ca="1" si="680"/>
        <v>TOMA INMEDIATA DE TAMIZAJE</v>
      </c>
      <c r="GH145" s="22"/>
      <c r="GI145" s="29"/>
      <c r="GJ145" s="22"/>
      <c r="GK145" s="22"/>
      <c r="GL145" s="22"/>
      <c r="GM145" s="22"/>
      <c r="GN145" s="28" t="s">
        <v>869</v>
      </c>
      <c r="GO145" s="22">
        <v>45028</v>
      </c>
      <c r="GP145" s="29">
        <f t="shared" si="625"/>
        <v>8.5714285714285712</v>
      </c>
      <c r="GQ145" s="28" t="s">
        <v>880</v>
      </c>
      <c r="GR145" s="28" t="s">
        <v>869</v>
      </c>
      <c r="GS145" s="22" t="str">
        <f t="shared" si="626"/>
        <v>SE EXCLUYE INFECCION</v>
      </c>
      <c r="GT145" s="22">
        <v>45028</v>
      </c>
      <c r="GU145" s="29">
        <f t="shared" si="627"/>
        <v>8.5714285714285712</v>
      </c>
      <c r="GV145" s="21" t="str">
        <f t="shared" si="628"/>
        <v>I TRIM</v>
      </c>
      <c r="GW145" s="28" t="s">
        <v>869</v>
      </c>
      <c r="GX145" s="30"/>
      <c r="GY145" s="21"/>
      <c r="GZ145" s="21"/>
      <c r="HA145" s="21"/>
      <c r="HB145" s="21"/>
      <c r="HC145" s="21"/>
      <c r="HD145" s="21"/>
      <c r="HE145" s="21"/>
      <c r="HF145" s="22"/>
      <c r="HG145" s="22" t="str">
        <f>IF(OR(O145&gt;0,R145&gt;0),CONCATENATE(IF(Tabla1[[#This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5" s="22" t="e">
        <f t="shared" si="629"/>
        <v>#REF!</v>
      </c>
      <c r="HI145" s="22" t="e">
        <f t="shared" ca="1" si="630"/>
        <v>#REF!</v>
      </c>
      <c r="HJ145" s="21"/>
      <c r="HK145" s="21" t="str">
        <f t="shared" si="631"/>
        <v>SIN ANTECEDENTES DE RIESGO</v>
      </c>
      <c r="HL145" s="24" t="str">
        <f t="shared" si="632"/>
        <v>APARENTEMENTE NORMAL</v>
      </c>
      <c r="HM145" s="21" t="e">
        <f t="shared" ca="1" si="633"/>
        <v>#REF!</v>
      </c>
      <c r="HN145" s="30" t="str">
        <f t="shared" si="681"/>
        <v>ACTIVA INGRESO A CPN</v>
      </c>
      <c r="HO145" s="21"/>
      <c r="HP145" s="21"/>
      <c r="HQ145" s="349">
        <v>45028</v>
      </c>
      <c r="HR145" s="21" t="str">
        <f>IF(R145="","",IF(Tabla1[[#This Row],[ALARMA FACTORES DE RIESGO COMPLICACIONES HIPERTENSIVAS3]]="SIN ANTECEDENTES DE RIESGO","No Aplica para suministro de ASA",IF(AND(Tabla1[[#This Row],[FECHA INICIO DE SUMINISTRO DE ASA]]&gt;0,RV145&lt;12),"Inicia ASA ANTES de Sem 12",IF(AND(RV145&gt;11,RV145&lt;17,OR(HK145="RIESGO ALTO DE COMPLICACIONES HIPERTENSIVAS VER MANEJO GUIA SUMINISTRO ASA Y CALCIO",HK145="RIESGO MODERADO (2 O MAS CRITERIOS) VER MANEJO GUIA SUMINISTRO ASA Y CALCIO")),"Inicio oportuno de ASA",IF(AND(RV145&gt;12,OR(HK145="RIESGO ALTO DE COMPLICACIONES HIPERTENSIVAS VER MANEJO GUIA SUMINISTRO ASA Y CALCIO",HK145="RIESGO MODERADO (2 O MAS CRITERIOS) VER MANEJO GUIA SUMINISTRO ASA Y CALCIO")),"Inicio no oportuno mayor a 16 semanas",IF(AND(BU145&lt;12,OR(HK145="RIESGO ALTO DE COMPLICACIONES HIPERTENSIVAS VER MANEJO GUIA SUMINISTRO ASA Y CALCIO",HK145="RIESGO MODERADO (2 O MAS CRITERIOS) VER MANEJO GUIA SUMINISTRO ASA Y CALCIO")),"Pendiente Inicio de ASA a la semana 12",IF(AND(BU145&gt;11,BU145&lt;17,OR(HK145="RIESGO ALTO DE COMPLICACIONES HIPERTENSIVAS VER MANEJO GUIA SUMINISTRO ASA Y CALCIO",HK145="RIESGO MODERADO (2 O MAS CRITERIOS) VER MANEJO GUIA SUMINISTRO ASA Y CALCIO")),"Iniciar de inmediato ASA",IF(AND(BU145&gt;16,OR(HK145="RIESGO ALTO DE COMPLICACIONES HIPERTENSIVAS VER MANEJO GUIA SUMINISTRO ASA Y CALCIO",HK145="RIESGO MODERADO (2 O MAS CRITERIOS) VER MANEJO GUIA SUMINISTRO ASA Y CALCIO")),"Pierde Oportunidad, Inicio tardío de ASA","XXXXX"))))))))</f>
        <v>No Aplica para suministro de ASA</v>
      </c>
      <c r="HS145" s="22">
        <v>45028</v>
      </c>
      <c r="HT145" s="22" t="s">
        <v>870</v>
      </c>
      <c r="HU145" s="22"/>
      <c r="HV145" s="22"/>
      <c r="HW145" s="22">
        <v>45028</v>
      </c>
      <c r="HX145" s="22" t="s">
        <v>870</v>
      </c>
      <c r="HY145" s="22">
        <v>45028</v>
      </c>
      <c r="HZ145" s="28">
        <f t="shared" si="634"/>
        <v>8.5714285714285712</v>
      </c>
      <c r="IA145" s="26"/>
      <c r="IB145" s="26"/>
      <c r="IC145" s="111"/>
      <c r="ID145" s="22"/>
      <c r="IE145" s="22" t="str">
        <f t="shared" ca="1" si="635"/>
        <v>INASISTENTE</v>
      </c>
      <c r="IF145" s="22"/>
      <c r="IG145" s="22">
        <f t="shared" si="636"/>
        <v>45248</v>
      </c>
      <c r="IH145" s="29">
        <f t="shared" ca="1" si="637"/>
        <v>15</v>
      </c>
      <c r="II145" s="22" t="str">
        <f t="shared" ca="1" si="638"/>
        <v>MENOS DE 4 SEMANAS</v>
      </c>
      <c r="IJ145" s="22"/>
      <c r="IK145" s="21"/>
      <c r="IL145" s="21"/>
      <c r="IM145" s="34"/>
      <c r="IN145" s="22"/>
      <c r="IO145" s="21"/>
      <c r="IP145" s="29" t="str">
        <f t="shared" si="672"/>
        <v/>
      </c>
      <c r="IQ145" s="35"/>
      <c r="IR145" s="21"/>
      <c r="IS145" s="21"/>
      <c r="IT145" s="21"/>
      <c r="IU145" s="21"/>
      <c r="IV145" s="21"/>
      <c r="IW145" s="21"/>
      <c r="IX145" s="21"/>
      <c r="IY145" s="21"/>
      <c r="IZ145" s="21"/>
      <c r="JA145" s="21"/>
      <c r="JB145" s="30"/>
      <c r="JC145" s="21"/>
      <c r="JD145" s="36"/>
      <c r="JE145" s="21" t="str">
        <f t="shared" si="682"/>
        <v/>
      </c>
      <c r="JF145" s="30"/>
      <c r="JG145" s="21"/>
      <c r="JH145" s="21"/>
      <c r="JI145" s="21"/>
      <c r="JJ145" s="30"/>
      <c r="JK145" s="22"/>
      <c r="JL145" s="22"/>
      <c r="JM145" s="21"/>
      <c r="JN145" s="36"/>
      <c r="JO145" s="21" t="str">
        <f t="shared" si="683"/>
        <v/>
      </c>
      <c r="JP145" s="22"/>
      <c r="JQ145" s="21"/>
      <c r="JR145" s="21"/>
      <c r="JS145" s="21"/>
      <c r="JT145" s="30"/>
      <c r="JU145" s="22"/>
      <c r="JV145" s="22"/>
      <c r="JW145" s="33"/>
      <c r="JX145" s="28" t="str">
        <f t="shared" si="684"/>
        <v/>
      </c>
      <c r="JY145" s="33"/>
      <c r="JZ145" s="28" t="str">
        <f t="shared" si="685"/>
        <v/>
      </c>
      <c r="KA145" s="21"/>
      <c r="KB145" s="21"/>
      <c r="KC145" s="21"/>
      <c r="KD145" s="37"/>
      <c r="KE145" s="28"/>
      <c r="KF145" s="28"/>
      <c r="KG145" s="28"/>
      <c r="KH145" s="39"/>
      <c r="KI145" s="39"/>
      <c r="KJ145" s="66"/>
      <c r="KK145" s="39"/>
      <c r="KL145" s="39"/>
      <c r="KM145" s="66"/>
      <c r="KN145" s="39"/>
      <c r="KO145" s="39"/>
      <c r="KP145" s="39"/>
      <c r="KQ145" s="39"/>
      <c r="KR145" s="39"/>
      <c r="KS145" s="39"/>
      <c r="KT145" s="39"/>
      <c r="KU145" s="38"/>
      <c r="KV145" s="38"/>
      <c r="KW145" s="38"/>
      <c r="KX145" s="38"/>
      <c r="KY145" s="38"/>
      <c r="KZ145" s="38"/>
      <c r="LA145" s="38"/>
      <c r="LB145" s="38"/>
      <c r="LC145" s="38"/>
      <c r="LD145" s="38"/>
      <c r="LE145" s="38"/>
      <c r="LF145" s="38"/>
      <c r="LG145" s="38"/>
      <c r="LH145" s="38"/>
      <c r="LI145" s="38"/>
      <c r="LJ145" s="38"/>
      <c r="LK145" s="38"/>
      <c r="LL145" s="38"/>
      <c r="LM145" s="38"/>
      <c r="LN145" s="38"/>
      <c r="LO145" s="38"/>
      <c r="LP145" s="38"/>
      <c r="LQ145" s="38"/>
      <c r="LR145" s="38"/>
      <c r="LS145" s="38"/>
      <c r="LT145" s="38"/>
      <c r="LU145" s="38"/>
      <c r="LV145" s="38"/>
      <c r="LW145" s="38"/>
      <c r="LX145" s="38"/>
      <c r="LY145" s="38"/>
      <c r="LZ145" s="38"/>
      <c r="MA145" s="38"/>
      <c r="MB145" s="38"/>
      <c r="MC145" s="38"/>
      <c r="MD145" s="38"/>
      <c r="ME145" s="38"/>
      <c r="MF145" s="38"/>
      <c r="MG145" s="38"/>
      <c r="MH145" s="43">
        <f t="shared" si="639"/>
        <v>0</v>
      </c>
      <c r="MI145" s="43" t="str">
        <f t="shared" si="640"/>
        <v/>
      </c>
      <c r="MJ145" s="43" t="str">
        <f t="shared" si="641"/>
        <v/>
      </c>
      <c r="MK145" s="43">
        <f t="shared" si="642"/>
        <v>0</v>
      </c>
      <c r="ML1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5" s="43">
        <f t="shared" si="643"/>
        <v>8.5714285714285712</v>
      </c>
      <c r="MN145" s="43">
        <f t="shared" si="644"/>
        <v>4</v>
      </c>
      <c r="MO145" s="43">
        <f t="shared" si="645"/>
        <v>2023</v>
      </c>
      <c r="MP145" s="43" t="str">
        <f t="shared" si="646"/>
        <v>II TRIMESTRE AÑO</v>
      </c>
      <c r="MQ145" s="43">
        <f t="shared" si="647"/>
        <v>21.350744634253175</v>
      </c>
      <c r="MR145" s="43">
        <f t="shared" si="648"/>
        <v>0</v>
      </c>
      <c r="MS145" s="43" t="str">
        <f t="shared" si="649"/>
        <v xml:space="preserve"> DE 20 A 24 AÑOS</v>
      </c>
      <c r="MT145" s="43">
        <f t="shared" si="650"/>
        <v>0</v>
      </c>
      <c r="MU145" s="43">
        <f t="shared" si="651"/>
        <v>0</v>
      </c>
      <c r="MV145" s="43">
        <f t="shared" si="652"/>
        <v>0</v>
      </c>
      <c r="MW145" s="43">
        <f t="shared" si="653"/>
        <v>0</v>
      </c>
      <c r="MX145" s="43" t="str">
        <f t="shared" si="654"/>
        <v/>
      </c>
      <c r="MY145" s="43" t="str">
        <f t="shared" ca="1" si="686"/>
        <v/>
      </c>
      <c r="MZ145" s="43" t="str">
        <f t="shared" si="655"/>
        <v/>
      </c>
      <c r="NA145" s="43" t="str">
        <f t="shared" si="656"/>
        <v/>
      </c>
      <c r="NB145" s="43" t="str">
        <f t="shared" si="657"/>
        <v/>
      </c>
      <c r="NC145" s="43" t="str">
        <f t="shared" si="658"/>
        <v/>
      </c>
      <c r="ND145" s="43">
        <f t="shared" ca="1" si="659"/>
        <v>0</v>
      </c>
      <c r="NE145" s="43">
        <f>IF(OR(O145&gt;0,R145&gt;0),SUM(COUNTIF(Tabla1[[#This Row],[AÑOS AL INICIO5 CPN]],"&gt;=40"),COUNTIF(AS145,"0"),COUNTIF(AR145,"SI"),COUNTIF(CC145,"SI"),COUNTIF(BQ145,"&gt;119"),COUNTIF(CI145,"&gt;=35")),"")</f>
        <v>0</v>
      </c>
      <c r="NF145" s="43" t="str">
        <f t="shared" si="660"/>
        <v/>
      </c>
      <c r="NG145" s="43">
        <f t="shared" si="661"/>
        <v>0</v>
      </c>
      <c r="NH145" s="43">
        <f t="shared" si="662"/>
        <v>86.8</v>
      </c>
      <c r="NI14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CPN",P145="NO"),"Z",IF(AND(Tabla1[[#This Row],[CITA PROXIMO CONTROL]]="CITA MANUAL",Tabla1[[#This Row],[GESTANTES ACTUALES]]="ACTIVA INGRESO A CPN"),"W",IF(AND(Tabla1[[#This Row],[GESTANTES ACTUALES]]="SALIO PROGRAMA",IN145=""),"S",IF(AND(Tabla1[[#This Row],[CITA PROXIMO CONTROL]]&gt;0,IN145=""),(Tabla1[[#This Row],[CITA PROXIMO CONTROL]]-TODAY()),"SD"))))))))</f>
        <v>#REF!</v>
      </c>
      <c r="NJ145" s="43">
        <f>MONTH(Tabla1[[#This Row],[FECHA DE SALIDA  DEL PROGRAMA]])</f>
        <v>1</v>
      </c>
      <c r="NK145" s="43">
        <f>YEAR(Tabla1[[#This Row],[FECHA DE SALIDA  DEL PROGRAMA]])</f>
        <v>1900</v>
      </c>
      <c r="NL145" s="43" t="str">
        <f t="shared" si="663"/>
        <v>X</v>
      </c>
      <c r="NM145" s="43" t="str">
        <f t="shared" si="500"/>
        <v>NO</v>
      </c>
      <c r="NN145" s="43" t="str">
        <f ca="1">IF(AND(O145&gt;0,R145=""),"NO CPN",IF(AND(O145="",R145=""),"",IF(AND(R145&gt;0,Tabla1[[#This Row],[SEMANAS DE GESTACION ACTUALIZADAS]]&lt;=12),"NO APLICA",IF(AND(FH145&lt;&gt;"",FN145&lt;&gt;""),"SI","NO"))))</f>
        <v>SI</v>
      </c>
      <c r="NO145" s="43" t="str">
        <f ca="1">IF(AND(O145&gt;0,R145=""),"NO CPN",IF(AND(O145="",R145=""),"",IF(AND(R145&gt;0,Tabla1[[#This Row],[SEMANAS DE GESTACION ACTUALIZADAS]]&lt;=27),"NO APLICA",IF(AND(ES145&lt;&gt;"",FQ145&lt;&gt;"",GF145&lt;&gt;""),"SI","NO"))))</f>
        <v>NO</v>
      </c>
      <c r="NP145" s="204" t="str">
        <f t="shared" si="664"/>
        <v>DEFINIR CON ECO</v>
      </c>
      <c r="NQ145" s="21" t="str">
        <f t="shared" si="689"/>
        <v/>
      </c>
      <c r="NR145" s="21">
        <f t="shared" ca="1" si="687"/>
        <v>3</v>
      </c>
      <c r="NS145" s="205">
        <f t="shared" ca="1" si="665"/>
        <v>2</v>
      </c>
      <c r="NT145" s="21">
        <f t="shared" ca="1" si="666"/>
        <v>2</v>
      </c>
      <c r="NU145" s="21" t="str">
        <f t="shared" ca="1" si="667"/>
        <v>INCOMPLETO</v>
      </c>
      <c r="NV145" s="21" t="str">
        <f t="shared" ca="1" si="668"/>
        <v>INCOMPLETO</v>
      </c>
      <c r="NW145" s="206" t="str">
        <f>IF(AND(O145="",R145=""),"",IF(OR(AND(Tabla1[[#This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5" s="207" t="str">
        <f t="shared" ca="1" si="669"/>
        <v>SIN VACUNAR</v>
      </c>
      <c r="NY145" s="43">
        <f>ROW(Tabla1[[#This Row],['# DE TAMIZAJES SIFILIS TOMADOS ]])</f>
        <v>145</v>
      </c>
      <c r="NZ145" s="43" t="str">
        <f t="shared" si="501"/>
        <v>Menor</v>
      </c>
      <c r="OA145" s="43" t="str">
        <f t="shared" si="502"/>
        <v>NORMAL</v>
      </c>
      <c r="OB145" s="43" t="str">
        <f t="shared" si="503"/>
        <v/>
      </c>
      <c r="OC145" s="43" t="str">
        <f t="shared" si="504"/>
        <v/>
      </c>
      <c r="OD145" s="43" t="str">
        <f t="shared" si="505"/>
        <v/>
      </c>
      <c r="OE145" s="43" t="str">
        <f t="shared" si="506"/>
        <v/>
      </c>
      <c r="OF145" s="43" t="str">
        <f t="shared" si="507"/>
        <v/>
      </c>
      <c r="OG145" s="43" t="str">
        <f t="shared" si="508"/>
        <v/>
      </c>
      <c r="OH145" s="43" t="str">
        <f t="shared" si="509"/>
        <v/>
      </c>
      <c r="OI145" s="43" t="str">
        <f t="shared" si="510"/>
        <v/>
      </c>
      <c r="OJ145" s="43" t="str">
        <f t="shared" si="511"/>
        <v/>
      </c>
      <c r="OK145" s="43" t="str">
        <f t="shared" si="512"/>
        <v/>
      </c>
      <c r="OL145" s="43" t="str">
        <f t="shared" si="513"/>
        <v/>
      </c>
      <c r="OM145" s="43" t="str">
        <f t="shared" si="514"/>
        <v/>
      </c>
      <c r="ON145" s="43" t="str">
        <f t="shared" si="515"/>
        <v/>
      </c>
      <c r="OO145" s="43" t="str">
        <f t="shared" si="516"/>
        <v/>
      </c>
      <c r="OP145" s="43" t="str">
        <f t="shared" si="517"/>
        <v/>
      </c>
      <c r="OQ145" s="43" t="str">
        <f t="shared" si="518"/>
        <v/>
      </c>
      <c r="OR145" s="43" t="str">
        <f t="shared" si="519"/>
        <v/>
      </c>
      <c r="OS145" s="43" t="str">
        <f t="shared" si="520"/>
        <v/>
      </c>
      <c r="OT145" s="43" t="str">
        <f t="shared" si="521"/>
        <v/>
      </c>
      <c r="OU145" s="43" t="str">
        <f t="shared" si="522"/>
        <v/>
      </c>
      <c r="OV145" s="110" t="str">
        <f t="shared" si="523"/>
        <v/>
      </c>
      <c r="OW145" s="43" t="str">
        <f t="shared" si="524"/>
        <v/>
      </c>
      <c r="OX145" s="43" t="str">
        <f t="shared" si="525"/>
        <v/>
      </c>
      <c r="OY145" s="43" t="str">
        <f t="shared" si="526"/>
        <v/>
      </c>
      <c r="OZ145" s="43" t="str">
        <f t="shared" si="527"/>
        <v/>
      </c>
      <c r="PA145" s="43" t="str">
        <f t="shared" si="528"/>
        <v/>
      </c>
      <c r="PB145" s="43" t="str">
        <f t="shared" si="529"/>
        <v/>
      </c>
      <c r="PC145" s="43" t="str">
        <f t="shared" si="530"/>
        <v/>
      </c>
      <c r="PD145" s="43" t="str">
        <f t="shared" si="531"/>
        <v/>
      </c>
      <c r="PE145" s="43" t="str">
        <f t="shared" si="532"/>
        <v/>
      </c>
      <c r="PF145" s="43" t="str">
        <f t="shared" si="533"/>
        <v/>
      </c>
      <c r="PG145" s="43" t="str">
        <f t="shared" si="534"/>
        <v/>
      </c>
      <c r="PH145" s="43" t="str">
        <f t="shared" si="535"/>
        <v/>
      </c>
      <c r="PI145" s="43">
        <f t="shared" si="536"/>
        <v>26</v>
      </c>
      <c r="PJ145" s="43" t="str">
        <f t="shared" si="537"/>
        <v/>
      </c>
      <c r="PK145" s="43" t="str">
        <f t="shared" si="538"/>
        <v/>
      </c>
      <c r="PL145" s="43" t="str">
        <f t="shared" si="539"/>
        <v/>
      </c>
      <c r="PM145" s="43" t="str">
        <f t="shared" si="540"/>
        <v/>
      </c>
      <c r="PN145" s="43" t="str">
        <f t="shared" si="541"/>
        <v/>
      </c>
      <c r="PO145" s="43" t="str">
        <f t="shared" si="542"/>
        <v/>
      </c>
      <c r="PP145" s="43" t="str">
        <f t="shared" si="543"/>
        <v/>
      </c>
      <c r="PQ145" s="43" t="str">
        <f t="shared" si="544"/>
        <v/>
      </c>
      <c r="PR145" s="43" t="str">
        <f t="shared" si="545"/>
        <v/>
      </c>
      <c r="PS145" s="43" t="str">
        <f t="shared" si="546"/>
        <v/>
      </c>
      <c r="PT145" s="43" t="str">
        <f t="shared" si="547"/>
        <v/>
      </c>
      <c r="PU145" s="43" t="str">
        <f t="shared" si="548"/>
        <v/>
      </c>
      <c r="PV145" s="43" t="str">
        <f t="shared" si="549"/>
        <v/>
      </c>
      <c r="PW145" s="43" t="str">
        <f t="shared" si="550"/>
        <v/>
      </c>
      <c r="PX145" s="43" t="str">
        <f t="shared" si="551"/>
        <v/>
      </c>
      <c r="PY145" s="43" t="str">
        <f t="shared" si="552"/>
        <v/>
      </c>
      <c r="PZ145" s="43" t="str">
        <f t="shared" si="553"/>
        <v/>
      </c>
      <c r="QA145" s="43" t="str">
        <f t="shared" si="554"/>
        <v>NORMAL</v>
      </c>
      <c r="QB145" s="43" t="str">
        <f t="shared" si="555"/>
        <v/>
      </c>
      <c r="QC145" s="43" t="str">
        <f t="shared" si="556"/>
        <v/>
      </c>
      <c r="QD145" s="43" t="str">
        <f t="shared" si="557"/>
        <v/>
      </c>
      <c r="QE145" s="43" t="str">
        <f t="shared" si="558"/>
        <v/>
      </c>
      <c r="QF145" s="43" t="str">
        <f t="shared" si="559"/>
        <v/>
      </c>
      <c r="QG145" s="43" t="str">
        <f t="shared" si="560"/>
        <v/>
      </c>
      <c r="QH145" s="43" t="str">
        <f t="shared" si="561"/>
        <v/>
      </c>
      <c r="QI145" s="43" t="str">
        <f t="shared" si="562"/>
        <v/>
      </c>
      <c r="QJ145" s="43" t="str">
        <f t="shared" si="563"/>
        <v/>
      </c>
      <c r="QK145" s="43" t="str">
        <f t="shared" si="564"/>
        <v/>
      </c>
      <c r="QL145" s="43" t="str">
        <f t="shared" si="565"/>
        <v/>
      </c>
      <c r="QM145" s="43" t="str">
        <f t="shared" si="566"/>
        <v/>
      </c>
      <c r="QN145" s="43" t="str">
        <f t="shared" si="567"/>
        <v/>
      </c>
      <c r="QO145" s="43" t="str">
        <f t="shared" si="568"/>
        <v/>
      </c>
      <c r="QP145" s="43" t="str">
        <f t="shared" si="569"/>
        <v/>
      </c>
      <c r="QQ145" s="43" t="str">
        <f t="shared" si="570"/>
        <v/>
      </c>
      <c r="QR145" s="43">
        <f t="shared" si="670"/>
        <v>26</v>
      </c>
      <c r="QS145" s="43"/>
      <c r="QT145" s="21" t="str">
        <f t="shared" si="571"/>
        <v/>
      </c>
      <c r="QU145" s="21" t="str">
        <f t="shared" si="572"/>
        <v/>
      </c>
      <c r="QV145" s="21" t="str">
        <f t="shared" si="573"/>
        <v/>
      </c>
      <c r="QW145" s="21" t="str">
        <f t="shared" si="574"/>
        <v/>
      </c>
      <c r="QX145" s="21" t="str">
        <f t="shared" si="575"/>
        <v/>
      </c>
      <c r="QY145" s="21" t="str">
        <f t="shared" si="576"/>
        <v/>
      </c>
      <c r="QZ145" s="21" t="str">
        <f t="shared" si="577"/>
        <v/>
      </c>
      <c r="RA145" s="21" t="str">
        <f t="shared" si="578"/>
        <v/>
      </c>
      <c r="RB145" s="21" t="str">
        <f t="shared" si="579"/>
        <v/>
      </c>
      <c r="RC145" s="21" t="str">
        <f t="shared" si="580"/>
        <v/>
      </c>
      <c r="RD145" s="21" t="str">
        <f t="shared" si="581"/>
        <v/>
      </c>
      <c r="RE145" s="21" t="str">
        <f t="shared" si="582"/>
        <v/>
      </c>
      <c r="RF145" s="21" t="str">
        <f t="shared" si="583"/>
        <v/>
      </c>
      <c r="RG145" s="21" t="str">
        <f t="shared" si="584"/>
        <v>ADECUADO PARA EDAD GESTACIONAL</v>
      </c>
      <c r="RH145" s="21" t="str">
        <f t="shared" si="585"/>
        <v/>
      </c>
      <c r="RI145" s="21" t="str">
        <f t="shared" si="586"/>
        <v/>
      </c>
      <c r="RJ145" s="21" t="str">
        <f t="shared" si="587"/>
        <v/>
      </c>
      <c r="RK145" s="21" t="str">
        <f t="shared" si="588"/>
        <v/>
      </c>
      <c r="RL145" s="21" t="str">
        <f t="shared" si="589"/>
        <v/>
      </c>
      <c r="RM145" s="21" t="str">
        <f t="shared" si="590"/>
        <v/>
      </c>
      <c r="RN145" s="21" t="str">
        <f t="shared" si="591"/>
        <v/>
      </c>
      <c r="RO145" s="21" t="str">
        <f t="shared" si="592"/>
        <v/>
      </c>
      <c r="RP145" s="21" t="str">
        <f t="shared" si="593"/>
        <v/>
      </c>
      <c r="RQ145" s="21" t="str">
        <f t="shared" si="594"/>
        <v/>
      </c>
      <c r="RR145" s="21" t="str">
        <f t="shared" si="595"/>
        <v/>
      </c>
      <c r="RS145" s="21" t="str">
        <f t="shared" si="596"/>
        <v/>
      </c>
      <c r="RT145" s="21" t="str">
        <f t="shared" si="597"/>
        <v/>
      </c>
      <c r="RU145" s="21" t="str">
        <f t="shared" si="598"/>
        <v/>
      </c>
      <c r="RV145" s="21">
        <f t="shared" si="599"/>
        <v>8.5714285714285712</v>
      </c>
      <c r="RW145" s="284">
        <f>IF(OR(Tabla1[[#This Row],[FUM FORMULA CONFIABLE]]="",Tabla1[[#This Row],[FUM FORMULA CONFIABLE]]="SD"),"",IF(Tabla1[[#This Row],[FUM FORMULA CONFIABLE]]="CORREGIDA",Tabla1[[#This Row],[FUM X ECO 1]],Tabla1[[#This Row],[FUM x AMENORREA]]))</f>
        <v>44968</v>
      </c>
      <c r="RX145" s="21">
        <f>IF(AND(Tabla1[[#This Row],[FUM X ECO 1]]="",Tabla1[[#This Row],[FUM x AMENORREA]]=""),"",IF(AND(Tabla1[[#This Row],[FUM X ECO 1]]="",Tabla1[[#This Row],[FUM x AMENORREA]]&lt;&gt;""),"X",SUM(Tabla1[[#This Row],[FUM X ECO 1]]-Tabla1[[#This Row],[FUM x AMENORREA]])))</f>
        <v>-3.8000000000029104</v>
      </c>
      <c r="RY145" s="21">
        <f t="shared" si="671"/>
        <v>0</v>
      </c>
    </row>
    <row r="146" spans="1:493" ht="45" customHeight="1" x14ac:dyDescent="0.25">
      <c r="A146" s="109"/>
      <c r="B146" s="43"/>
      <c r="C146" s="43" t="s">
        <v>845</v>
      </c>
      <c r="D146" s="124"/>
      <c r="E146" s="43" t="s">
        <v>1424</v>
      </c>
      <c r="F146" s="43" t="s">
        <v>1425</v>
      </c>
      <c r="G146" s="43" t="s">
        <v>1192</v>
      </c>
      <c r="H146" s="43" t="s">
        <v>1243</v>
      </c>
      <c r="I146" s="109" t="s">
        <v>851</v>
      </c>
      <c r="J146" s="110">
        <v>1059602162</v>
      </c>
      <c r="K146" s="43" t="s">
        <v>852</v>
      </c>
      <c r="L146" s="175" t="s">
        <v>1509</v>
      </c>
      <c r="M146" s="22">
        <v>33308</v>
      </c>
      <c r="N146" s="213">
        <f t="shared" ca="1" si="600"/>
        <v>32.671232876712331</v>
      </c>
      <c r="O146" s="22">
        <v>45028</v>
      </c>
      <c r="P146" s="214" t="str">
        <f t="shared" si="673"/>
        <v>SI</v>
      </c>
      <c r="Q146" s="26" t="s">
        <v>855</v>
      </c>
      <c r="R146" s="22">
        <v>45028</v>
      </c>
      <c r="S146" s="21" t="s">
        <v>856</v>
      </c>
      <c r="T146" s="24" t="s">
        <v>690</v>
      </c>
      <c r="U146" s="21" t="s">
        <v>857</v>
      </c>
      <c r="V146" s="21" t="s">
        <v>858</v>
      </c>
      <c r="W146" s="21" t="s">
        <v>1062</v>
      </c>
      <c r="X146" s="21" t="s">
        <v>1426</v>
      </c>
      <c r="Y146" s="21"/>
      <c r="Z146" s="21">
        <v>3147896489</v>
      </c>
      <c r="AA146" s="21" t="s">
        <v>860</v>
      </c>
      <c r="AB146" s="27" t="s">
        <v>861</v>
      </c>
      <c r="AC146" s="26" t="s">
        <v>846</v>
      </c>
      <c r="AD146" s="38" t="s">
        <v>846</v>
      </c>
      <c r="AE146" s="26" t="s">
        <v>854</v>
      </c>
      <c r="AF146" s="26" t="s">
        <v>854</v>
      </c>
      <c r="AG146" s="23" t="s">
        <v>864</v>
      </c>
      <c r="AH146" s="23" t="s">
        <v>864</v>
      </c>
      <c r="AI146" s="24" t="s">
        <v>864</v>
      </c>
      <c r="AJ146" s="23" t="s">
        <v>864</v>
      </c>
      <c r="AK146" s="220" t="str">
        <f>IF(AND(AD146="",AE146="",AF146="",AG146="",AH146="",AI146="",AJ146=""),"",IF(OR(Tabla1[[#This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EVALUACIÓN",IF(AND(O146="",R146=""),"",IF(AND(OR(O146&gt;0,R146&gt;0),NG146&gt;=0,NG146&lt;2),"SIN RIESGO",IF(AND(OR(O146&gt;0,R146&gt;0),NG146&gt;=2),"CON RIESGO","ASD")))))</f>
        <v>SIN RIESGO</v>
      </c>
      <c r="AL146" s="23" t="s">
        <v>864</v>
      </c>
      <c r="AM146" s="26" t="s">
        <v>864</v>
      </c>
      <c r="AN146" s="26" t="s">
        <v>864</v>
      </c>
      <c r="AO146" s="26" t="s">
        <v>864</v>
      </c>
      <c r="AP146" s="26" t="s">
        <v>864</v>
      </c>
      <c r="AQ146" s="26" t="s">
        <v>864</v>
      </c>
      <c r="AR146" s="26" t="s">
        <v>864</v>
      </c>
      <c r="AS146" s="21">
        <v>4</v>
      </c>
      <c r="AT146" s="21">
        <v>4</v>
      </c>
      <c r="AU146" s="21">
        <v>0</v>
      </c>
      <c r="AV146" s="26" t="s">
        <v>864</v>
      </c>
      <c r="AW146" s="21">
        <v>0</v>
      </c>
      <c r="AX146" s="26" t="s">
        <v>864</v>
      </c>
      <c r="AY146" s="26" t="s">
        <v>864</v>
      </c>
      <c r="AZ146" s="26" t="s">
        <v>864</v>
      </c>
      <c r="BA146" s="26" t="s">
        <v>864</v>
      </c>
      <c r="BB146" s="26" t="s">
        <v>864</v>
      </c>
      <c r="BC146" s="26" t="s">
        <v>864</v>
      </c>
      <c r="BD146" s="26" t="s">
        <v>864</v>
      </c>
      <c r="BE146" s="26" t="s">
        <v>864</v>
      </c>
      <c r="BF146" s="26" t="s">
        <v>864</v>
      </c>
      <c r="BG146" s="26" t="s">
        <v>864</v>
      </c>
      <c r="BH146" s="26" t="s">
        <v>864</v>
      </c>
      <c r="BI146" s="26" t="s">
        <v>864</v>
      </c>
      <c r="BJ146" s="26" t="s">
        <v>864</v>
      </c>
      <c r="BK146" s="26" t="s">
        <v>864</v>
      </c>
      <c r="BL146" s="26" t="s">
        <v>864</v>
      </c>
      <c r="BM146" s="26" t="s">
        <v>864</v>
      </c>
      <c r="BN146" s="22">
        <v>42354</v>
      </c>
      <c r="BO146" s="22">
        <v>44854</v>
      </c>
      <c r="BP146" s="21" t="s">
        <v>1380</v>
      </c>
      <c r="BQ146" s="222">
        <f t="shared" si="601"/>
        <v>83.063333333333375</v>
      </c>
      <c r="BR146" s="223">
        <f t="shared" si="602"/>
        <v>44845.9</v>
      </c>
      <c r="BS146" s="224">
        <f t="shared" si="603"/>
        <v>26.014285714285506</v>
      </c>
      <c r="BT146" s="216" t="str">
        <f t="shared" si="604"/>
        <v>II TRIM</v>
      </c>
      <c r="BU146" s="214" t="str">
        <f t="shared" ca="1" si="605"/>
        <v/>
      </c>
      <c r="BV146" s="25"/>
      <c r="BW146" s="22">
        <v>45051</v>
      </c>
      <c r="BX146" s="28">
        <v>29.3</v>
      </c>
      <c r="BY146" s="28"/>
      <c r="BZ146" s="22"/>
      <c r="CA146" s="21"/>
      <c r="CB146" s="26"/>
      <c r="CC146" s="26"/>
      <c r="CD146" s="26"/>
      <c r="CE146" s="26" t="s">
        <v>864</v>
      </c>
      <c r="CF146" s="22" t="s">
        <v>1517</v>
      </c>
      <c r="CG146" s="21">
        <v>1.48</v>
      </c>
      <c r="CH146" s="21">
        <v>76.5</v>
      </c>
      <c r="CI146" s="214">
        <f t="shared" si="606"/>
        <v>34.925127830533235</v>
      </c>
      <c r="CJ146" s="225" t="e">
        <f>IF(AND(CI146&lt;10,CH146="SD"),"SIN DATO PESO PREGESTACION O I TRIM",IF(AND(OR(R146&gt;0,O146&gt;0),CI146="X"),"INGRESAR DATO DE PESO",IF(CI146="SD","INGRESAR DATO DE TALLA Y PESO",IF(AND(OR(Tabla1[[#This Row],[MOMENTO EN QUE SE REALIZA EL PESO AL INGRESO A CPN]]="PREGESTACIÓN",NZ146="Menor"),CI146&lt;18.5),"BAJO PESO",IF(AND(OR(Tabla1[[#This Row],[MOMENTO EN QUE SE REALIZA EL PESO AL INGRESO A CPN]]="PREGESTACIÓN",NZ146="Menor"),CI146&lt;25),"NORMAL",IF(AND(OR(Tabla1[[#This Row],[MOMENTO EN QUE SE REALIZA EL PESO AL INGRESO A CPN]]="PREGESTACIÓN",NZ146="Menor"),CI146&lt;30),"SOBREPESO",IF(AND(OR(Tabla1[[#This Row],[MOMENTO EN QUE SE REALIZA EL PESO AL INGRESO A CPN]]="PREGESTACIÓN",NZ146="Menor"),CI146&gt;=30,CI146&lt;50),"OBESIDAD",IF(AND(BS146&gt;0,Tabla1[[#This Row],[MOMENTO EN QUE SE REALIZA EL PESO AL INGRESO A CPN]]="GESTACIÓN"),HLOOKUP(NZ146,$OA$2:PH146,NY146),""))))))))</f>
        <v>#REF!</v>
      </c>
      <c r="CK146" s="212">
        <f t="shared" si="607"/>
        <v>45112</v>
      </c>
      <c r="CL146" s="21">
        <v>81.8</v>
      </c>
      <c r="CM146" s="214">
        <f t="shared" si="608"/>
        <v>37.344777209642075</v>
      </c>
      <c r="CN146" s="216">
        <f t="shared" si="609"/>
        <v>38</v>
      </c>
      <c r="CO146" s="216" t="e">
        <f>IF(PI146="","",IF(PI146&gt;0,HLOOKUP(PI146,$PJ$2:QQ146,NY146),""))</f>
        <v>#REF!</v>
      </c>
      <c r="CP146" s="21">
        <v>35</v>
      </c>
      <c r="CQ146" s="216" t="e">
        <f>IF(QR146="Menor","NO APLICA-MENOR 13 SEM",IF(AND(CC146="SI",CN146&gt;23),"NO APLICA- GEMELAR",IF(QR146="","",IF(QR146&gt;0,HLOOKUP(QR146,$QS$2:RU146,NY146),""))))</f>
        <v>#REF!</v>
      </c>
      <c r="CR146" s="21">
        <v>110</v>
      </c>
      <c r="CS146" s="21">
        <v>60</v>
      </c>
      <c r="CT146" s="217" t="str">
        <f>IF(R146="","",IF(AND(BS146&gt;1,BS146&lt;12,Tabla1[[#This Row],[T.A. SISTOLICA - ANTES DE SEMANA 12]]="",Tabla1[[#This Row],[T.A. DIASTOLICA - ANTES DE SEMANA 12]]=""),"REGISTRE DATO TA ANTES SEMANA 12",IF(AND(BS146&gt;11,BS146&lt;43,Tabla1[[#This Row],[T.A. SISTOLICA - ANTES DE SEMANA 12]]="",Tabla1[[#This Row],[T.A. DIASTOLICA - ANTES DE SEMANA 12]]=""),"NO APLICA REGISTRO TA-INGRESO TARDIO",IF(AND(OR(O146&gt;0,R146&gt;0),OR(CR146&gt;=140,CS146&gt;=90)),"DEFINIR ESTADIO HTA",IF(AND(OR(O146&gt;0,R146&gt;0),AND(CR146&gt;120,CR146&lt;=139)),"PRE HTA SEGUIMIENTO",IF(AND(OR(O146&gt;0,R146&gt;0),AND(CS146&gt;80,CS146&lt;=89)),"PRE HTA SEGUIMIENTO",IF(AND(OR(O146&gt;0,R146&gt;0),AND(CR146&gt;=80,CR146&lt;=120)),"APARENTEMENTE NORMAL",IF(AND(OR(O146&gt;0,R146&gt;0),AND(CS146&gt;=50,CS146&lt;=80)),"APARENTEMENTE NORMAL",IF(AND(OR(O146&gt;0,R146&gt;0),AND(CR146&gt;1,CR146&lt;=70),AND(CS146&gt;1,CS146&lt;=40)),"HIPOTENSIÓN","")))))))))</f>
        <v>APARENTEMENTE NORMAL</v>
      </c>
      <c r="CU146" s="21"/>
      <c r="CV146" s="21"/>
      <c r="CW146" s="217" t="str">
        <f ca="1">IF(R146="","",IF(AND(CN146&gt;19,CN146&lt;27,Tabla1[[#This Row],[T.A. SISTOLICA (Entre semana 20 y 26)]]="",Tabla1[[#This Row],[T.A. DIATOLICA (Entre semana 20 y 26)]]=""),"ACUDE A CONTROL SEM 20 A 26 REGISTRE TA AHORA",IF(AND(BS146&gt;1,BS146&lt;27,BU146&gt;19,Tabla1[[#This Row],[T.A. SISTOLICA (Entre semana 20 y 26)]]="",Tabla1[[#This Row],[T.A. DIATOLICA (Entre semana 20 y 26)]]=""),"COMPLETE REGISTRO TA CONTROL SEM 20 A26 ",IF(AND(BS146&gt;26,BS146&lt;43,Tabla1[[#This Row],[T.A. SISTOLICA (Entre semana 20 y 26)]]="",Tabla1[[#This Row],[T.A. DIATOLICA (Entre semana 20 y 26)]]=""),"NO APLICA REGISTRO TA-INGRESO TARDIO",IF(AND(OR(O146&gt;0,R146&gt;0),OR(CU146&gt;=140,CV146&gt;=90)),"ALTO RIESGO PREECLAMPSIA,DEFINIR ESTADIO HTA",IF(AND(OR(O146&gt;0,R146&gt;0),AND(CU146&gt;120,CU146&lt;=139)),"PRE HTA SEGUIMIENTO,RIESGO HIPERTENSION INDUCIDA POR EL EMBARAZO",IF(AND(OR(O146&gt;0,R146&gt;0),AND(CV146&gt;80,CV146&lt;=89)),"PRE HTA SEGUIMIENTO, RIESGO HIPERTENSION INDUCIDA POR EL EMBARAZO",IF(AND(OR(O146&lt;&gt;"",R146&lt;&gt;""),CS146&lt;&gt;"",CV146&lt;&gt;"",CS146&lt;=CV146),"VIGILAR CIFRAS PRESION ARTERIAL",IF(AND(OR(O146&gt;0,R146&gt;0),AND(CU146&gt;120,CU146&lt;=139)),"PRE HTA SEGUIMIENTO",IF(AND(OR(O146&gt;0,R146&gt;0),AND(CU146&gt;1,CU146&lt;=70),AND(CV146&gt;1,CV146&lt;=40)),"HIPOTENSIÓN",IF(AND(OR(O146&lt;&gt;"",R146&lt;&gt;""),CS146&lt;&gt;"",CV146&lt;&gt;"",CS146&gt;CV146),"APARENTEMENTE NORMAL",IF(AND(OR(O146&gt;0,R146&gt;0),AND(CU146&gt;=80,CU146&lt;=120)),"APARENTEMENTE NORMAL",IF(AND(OR(O146&gt;0,R146&gt;0),AND(CV146&gt;=50,CV146&lt;=80)),"APARENTEMENTE NORMAL","")))))))))))))</f>
        <v xml:space="preserve">COMPLETE REGISTRO TA CONTROL SEM 20 A26 </v>
      </c>
      <c r="CX146" s="21"/>
      <c r="CY146" s="21"/>
      <c r="CZ146" s="216" t="str">
        <f t="shared" si="688"/>
        <v/>
      </c>
      <c r="DA146" s="21">
        <v>100</v>
      </c>
      <c r="DB146" s="21">
        <v>70</v>
      </c>
      <c r="DC146" s="217" t="str">
        <f t="shared" si="610"/>
        <v>APARENTEMENTE NORMAL</v>
      </c>
      <c r="DD146" s="22">
        <v>45028</v>
      </c>
      <c r="DE146" s="22">
        <v>45028</v>
      </c>
      <c r="DF146" s="22">
        <v>45078</v>
      </c>
      <c r="DG146" s="22">
        <v>45112</v>
      </c>
      <c r="DH146" s="22"/>
      <c r="DI146" s="22"/>
      <c r="DJ146" s="22"/>
      <c r="DK146" s="22"/>
      <c r="DL146" s="22"/>
      <c r="DM146" s="22"/>
      <c r="DN146" s="22"/>
      <c r="DO146" s="22"/>
      <c r="DP146" s="22"/>
      <c r="DQ146" s="22"/>
      <c r="DR146" s="28"/>
      <c r="DS146" s="22"/>
      <c r="DT146" s="22"/>
      <c r="DU146" s="216" t="str">
        <f t="shared" ca="1" si="674"/>
        <v>SALE SIN PLAN DE PARTO</v>
      </c>
      <c r="DV146" s="226" t="str">
        <f t="shared" si="675"/>
        <v>SALIO PROGRAMA</v>
      </c>
      <c r="DW14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46" s="216" t="str">
        <f t="shared" ca="1" si="611"/>
        <v/>
      </c>
      <c r="DY146" s="212">
        <f>IF(R146="","",IF(R146&gt;0,MAX(Tabla1[[#This Row],[FECHA C2]:[FECHA C13]],Tabla1[[#This Row],[FECHA CONSULTA PRIMERA VEZ PROGRAMA CPN ]])))</f>
        <v>45112</v>
      </c>
      <c r="DZ146" s="216">
        <f t="shared" si="612"/>
        <v>38</v>
      </c>
      <c r="EA146" s="222">
        <f>IF(R146&gt;0,SUM(COUNTA(DF146:DQ146)+COUNTA(Tabla1[[#This Row],[FECHA CONSULTA PRIMERA VEZ PROGRAMA CPN ]])),"")</f>
        <v>3</v>
      </c>
      <c r="EB146" s="222" t="str">
        <f t="shared" si="613"/>
        <v>NO</v>
      </c>
      <c r="EC146" s="214">
        <f t="shared" si="614"/>
        <v>5</v>
      </c>
      <c r="ED146" s="227">
        <f t="shared" si="615"/>
        <v>0.6</v>
      </c>
      <c r="EE146" s="22">
        <v>45028</v>
      </c>
      <c r="EF146" s="22">
        <v>45051</v>
      </c>
      <c r="EG146" s="22">
        <v>45028</v>
      </c>
      <c r="EH146" s="22"/>
      <c r="EI146" s="22">
        <v>45028</v>
      </c>
      <c r="EJ146" s="22"/>
      <c r="EK146" s="22"/>
      <c r="EL146" s="21"/>
      <c r="EM146" s="21">
        <v>12.3</v>
      </c>
      <c r="EN146" s="22">
        <v>45051</v>
      </c>
      <c r="EO146" s="222">
        <f t="shared" si="616"/>
        <v>29.299999999999791</v>
      </c>
      <c r="EP146" s="214" t="str">
        <f t="shared" si="617"/>
        <v>NORMAL- SUMINISTRAR SULFATO FERROSO</v>
      </c>
      <c r="EQ146" s="216" t="str">
        <f t="shared" si="618"/>
        <v>III TRIM</v>
      </c>
      <c r="ER146" s="24">
        <v>12.1</v>
      </c>
      <c r="ES146" s="22">
        <v>45089</v>
      </c>
      <c r="ET146" s="29">
        <f t="shared" ca="1" si="676"/>
        <v>34.728571428571222</v>
      </c>
      <c r="EU146" s="25" t="str">
        <f t="shared" si="619"/>
        <v>NORMAL- SUMINISTRAR SULFATO FERROSO</v>
      </c>
      <c r="EV146" s="24" t="s">
        <v>1628</v>
      </c>
      <c r="EW146" s="32">
        <v>45051</v>
      </c>
      <c r="EX146" s="22"/>
      <c r="EY146" s="29">
        <f t="shared" si="453"/>
        <v>29.299999999999791</v>
      </c>
      <c r="EZ146" s="25" t="str">
        <f t="shared" ca="1" si="454"/>
        <v>TOMAR COOMBS INMEDIATO PARA DEFINIR MANEJO</v>
      </c>
      <c r="FA146" s="21">
        <v>64</v>
      </c>
      <c r="FB146" s="22">
        <v>45051</v>
      </c>
      <c r="FC146" s="29" t="str">
        <f t="shared" si="620"/>
        <v>NO APLICA &gt; 23 SEM -TOMAR PTOG</v>
      </c>
      <c r="FD146" s="29">
        <v>67</v>
      </c>
      <c r="FE146" s="29">
        <v>129</v>
      </c>
      <c r="FF146" s="29">
        <v>125</v>
      </c>
      <c r="FG146" s="21" t="str">
        <f t="shared" ca="1" si="621"/>
        <v>NORMAL</v>
      </c>
      <c r="FH146" s="31">
        <v>45089</v>
      </c>
      <c r="FI146" s="29">
        <f t="shared" si="622"/>
        <v>34.728571428571222</v>
      </c>
      <c r="FJ146" s="22"/>
      <c r="FK146" s="22"/>
      <c r="FL146" s="29" t="str">
        <f t="shared" ca="1" si="623"/>
        <v>NO APLICA-INGRESO TARDIO</v>
      </c>
      <c r="FM146" s="22"/>
      <c r="FN146" s="32"/>
      <c r="FO146" s="29" t="str">
        <f t="shared" ca="1" si="677"/>
        <v>PIERDE TOMA DE TAMIZAJE</v>
      </c>
      <c r="FP146" s="22" t="s">
        <v>867</v>
      </c>
      <c r="FQ146" s="32">
        <v>45051</v>
      </c>
      <c r="FR146" s="29">
        <f t="shared" ca="1" si="678"/>
        <v>29.299999999999791</v>
      </c>
      <c r="FS146" s="22"/>
      <c r="FT146" s="32"/>
      <c r="FU146" s="29" t="str">
        <f>IF(AND(FJ146="",FM146="",FP146="",FS146=""),"",IF(OR(OR(Tabla1[[#This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6" s="28"/>
      <c r="FW146" s="22"/>
      <c r="FX146" s="29" t="str">
        <f t="shared" si="624"/>
        <v>TOMAR EXAMEN</v>
      </c>
      <c r="FY146" s="22"/>
      <c r="FZ146" s="22"/>
      <c r="GA146" s="29" t="str">
        <f t="shared" ca="1" si="497"/>
        <v>NO APLICA-INGRESO TARDIO</v>
      </c>
      <c r="GB146" s="22"/>
      <c r="GC146" s="22"/>
      <c r="GD146" s="29" t="str">
        <f t="shared" ca="1" si="679"/>
        <v>PIERDE TOMA DE TAMIZAJE</v>
      </c>
      <c r="GE146" s="22" t="s">
        <v>868</v>
      </c>
      <c r="GF146" s="22">
        <v>45051</v>
      </c>
      <c r="GG146" s="29">
        <f t="shared" ca="1" si="680"/>
        <v>29.299999999999791</v>
      </c>
      <c r="GH146" s="22"/>
      <c r="GI146" s="29"/>
      <c r="GJ146" s="22"/>
      <c r="GK146" s="22"/>
      <c r="GL146" s="22"/>
      <c r="GM146" s="22"/>
      <c r="GN146" s="28" t="s">
        <v>869</v>
      </c>
      <c r="GO146" s="22">
        <v>45051</v>
      </c>
      <c r="GP146" s="29">
        <f t="shared" si="625"/>
        <v>29.299999999999791</v>
      </c>
      <c r="GQ146" s="28" t="s">
        <v>869</v>
      </c>
      <c r="GR146" s="28" t="s">
        <v>869</v>
      </c>
      <c r="GS146" s="22" t="str">
        <f t="shared" si="626"/>
        <v>CONTROL Igm</v>
      </c>
      <c r="GT146" s="22">
        <v>45051</v>
      </c>
      <c r="GU146" s="29">
        <f t="shared" si="627"/>
        <v>28.142857142857142</v>
      </c>
      <c r="GV146" s="21" t="str">
        <f t="shared" si="628"/>
        <v>III TRIM</v>
      </c>
      <c r="GW146" s="28"/>
      <c r="GX146" s="30"/>
      <c r="GY146" s="21"/>
      <c r="GZ146" s="21"/>
      <c r="HA146" s="21"/>
      <c r="HB146" s="21"/>
      <c r="HC146" s="21"/>
      <c r="HD146" s="21"/>
      <c r="HE146" s="21"/>
      <c r="HF146" s="22"/>
      <c r="HG146" s="22" t="str">
        <f>IF(OR(O146&gt;0,R146&gt;0),CONCATENATE(IF(Tabla1[[#This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6" s="22" t="e">
        <f t="shared" si="629"/>
        <v>#REF!</v>
      </c>
      <c r="HI146" s="22" t="e">
        <f t="shared" ca="1" si="630"/>
        <v>#REF!</v>
      </c>
      <c r="HJ146" s="21"/>
      <c r="HK146" s="21" t="str">
        <f t="shared" si="631"/>
        <v>SIN ANTECEDENTES DE RIESGO</v>
      </c>
      <c r="HL146" s="24" t="str">
        <f t="shared" si="632"/>
        <v>APARENTEMENTE NORMAL</v>
      </c>
      <c r="HM146" s="21" t="str">
        <f t="shared" ca="1" si="633"/>
        <v/>
      </c>
      <c r="HN146" s="30" t="str">
        <f t="shared" si="681"/>
        <v>SALIO PROGRAMA</v>
      </c>
      <c r="HO146" s="21"/>
      <c r="HP146" s="21"/>
      <c r="HQ146" s="21"/>
      <c r="HR146" s="21" t="str">
        <f>IF(R146="","",IF(Tabla1[[#This Row],[ALARMA FACTORES DE RIESGO COMPLICACIONES HIPERTENSIVAS3]]="SIN ANTECEDENTES DE RIESGO","No Aplica para suministro de ASA",IF(AND(Tabla1[[#This Row],[FECHA INICIO DE SUMINISTRO DE ASA]]&gt;0,RV146&lt;12),"Inicia ASA ANTES de Sem 12",IF(AND(RV146&gt;11,RV146&lt;17,OR(HK146="RIESGO ALTO DE COMPLICACIONES HIPERTENSIVAS VER MANEJO GUIA SUMINISTRO ASA Y CALCIO",HK146="RIESGO MODERADO (2 O MAS CRITERIOS) VER MANEJO GUIA SUMINISTRO ASA Y CALCIO")),"Inicio oportuno de ASA",IF(AND(RV146&gt;12,OR(HK146="RIESGO ALTO DE COMPLICACIONES HIPERTENSIVAS VER MANEJO GUIA SUMINISTRO ASA Y CALCIO",HK146="RIESGO MODERADO (2 O MAS CRITERIOS) VER MANEJO GUIA SUMINISTRO ASA Y CALCIO")),"Inicio no oportuno mayor a 16 semanas",IF(AND(BU146&lt;12,OR(HK146="RIESGO ALTO DE COMPLICACIONES HIPERTENSIVAS VER MANEJO GUIA SUMINISTRO ASA Y CALCIO",HK146="RIESGO MODERADO (2 O MAS CRITERIOS) VER MANEJO GUIA SUMINISTRO ASA Y CALCIO")),"Pendiente Inicio de ASA a la semana 12",IF(AND(BU146&gt;11,BU146&lt;17,OR(HK146="RIESGO ALTO DE COMPLICACIONES HIPERTENSIVAS VER MANEJO GUIA SUMINISTRO ASA Y CALCIO",HK146="RIESGO MODERADO (2 O MAS CRITERIOS) VER MANEJO GUIA SUMINISTRO ASA Y CALCIO")),"Iniciar de inmediato ASA",IF(AND(BU146&gt;16,OR(HK146="RIESGO ALTO DE COMPLICACIONES HIPERTENSIVAS VER MANEJO GUIA SUMINISTRO ASA Y CALCIO",HK146="RIESGO MODERADO (2 O MAS CRITERIOS) VER MANEJO GUIA SUMINISTRO ASA Y CALCIO")),"Pierde Oportunidad, Inicio tardío de ASA","XXXXX"))))))))</f>
        <v>No Aplica para suministro de ASA</v>
      </c>
      <c r="HS146" s="22">
        <v>45028</v>
      </c>
      <c r="HT146" s="22" t="s">
        <v>1518</v>
      </c>
      <c r="HU146" s="22"/>
      <c r="HV146" s="22"/>
      <c r="HW146" s="22">
        <v>45028</v>
      </c>
      <c r="HX146" s="22" t="s">
        <v>1511</v>
      </c>
      <c r="HY146" s="22">
        <v>45028</v>
      </c>
      <c r="HZ146" s="28">
        <f t="shared" si="634"/>
        <v>26.014285714285506</v>
      </c>
      <c r="IA146" s="26"/>
      <c r="IB146" s="26"/>
      <c r="IC146" s="111"/>
      <c r="ID146" s="22"/>
      <c r="IE146" s="22" t="str">
        <f t="shared" ca="1" si="635"/>
        <v>SALE SIN VACUNA</v>
      </c>
      <c r="IF146" s="22"/>
      <c r="IG146" s="22">
        <f t="shared" si="636"/>
        <v>45125.9</v>
      </c>
      <c r="IH146" s="29">
        <f t="shared" ca="1" si="637"/>
        <v>-107.09999999999854</v>
      </c>
      <c r="II146" s="22" t="str">
        <f t="shared" ca="1" si="638"/>
        <v>POSIBLEMENTE NACIO</v>
      </c>
      <c r="IJ146" s="22"/>
      <c r="IK146" s="21" t="s">
        <v>898</v>
      </c>
      <c r="IL146" s="21"/>
      <c r="IM146" s="34"/>
      <c r="IN146" s="349">
        <v>45117</v>
      </c>
      <c r="IO146" s="21" t="s">
        <v>1186</v>
      </c>
      <c r="IP146" s="29">
        <f t="shared" si="672"/>
        <v>38.728571428571222</v>
      </c>
      <c r="IQ146" s="35" t="s">
        <v>1650</v>
      </c>
      <c r="IR146" s="21" t="s">
        <v>1651</v>
      </c>
      <c r="IS146" s="21" t="s">
        <v>1646</v>
      </c>
      <c r="IT146" s="21" t="s">
        <v>1642</v>
      </c>
      <c r="IU146" s="21"/>
      <c r="IV146" s="21"/>
      <c r="IW146" s="21"/>
      <c r="IX146" s="21"/>
      <c r="IY146" s="21"/>
      <c r="IZ146" s="21"/>
      <c r="JA146" s="21"/>
      <c r="JB146" s="30">
        <v>1</v>
      </c>
      <c r="JC146" s="21" t="s">
        <v>1647</v>
      </c>
      <c r="JD146" s="36">
        <v>3860</v>
      </c>
      <c r="JE146" s="21" t="str">
        <f t="shared" si="682"/>
        <v>PESO ADECUADO EDAD GESTACIONAL</v>
      </c>
      <c r="JF146" s="30"/>
      <c r="JG146" s="21"/>
      <c r="JH146" s="21"/>
      <c r="JI146" s="309" t="s">
        <v>854</v>
      </c>
      <c r="JJ146" s="329" t="s">
        <v>926</v>
      </c>
      <c r="JK146" s="22"/>
      <c r="JL146" s="22"/>
      <c r="JM146" s="21"/>
      <c r="JN146" s="36"/>
      <c r="JO146" s="21" t="str">
        <f t="shared" si="683"/>
        <v/>
      </c>
      <c r="JP146" s="22"/>
      <c r="JQ146" s="21"/>
      <c r="JR146" s="21"/>
      <c r="JS146" s="21"/>
      <c r="JT146" s="30"/>
      <c r="JU146" s="22"/>
      <c r="JV146" s="22"/>
      <c r="JW146" s="33"/>
      <c r="JX146" s="28" t="str">
        <f t="shared" si="684"/>
        <v>INASISTENTE</v>
      </c>
      <c r="JY146" s="33"/>
      <c r="JZ146" s="28" t="str">
        <f t="shared" si="685"/>
        <v>INASISTENTE</v>
      </c>
      <c r="KA146" s="21"/>
      <c r="KB146" s="21"/>
      <c r="KC146" s="21"/>
      <c r="KD146" s="37"/>
      <c r="KE146" s="28"/>
      <c r="KF146" s="28"/>
      <c r="KG146" s="28"/>
      <c r="KH146" s="39"/>
      <c r="KI146" s="39"/>
      <c r="KJ146" s="66"/>
      <c r="KK146" s="39"/>
      <c r="KL146" s="39"/>
      <c r="KM146" s="66"/>
      <c r="KN146" s="39"/>
      <c r="KO146" s="39"/>
      <c r="KP146" s="39"/>
      <c r="KQ146" s="39"/>
      <c r="KR146" s="39"/>
      <c r="KS146" s="39"/>
      <c r="KT146" s="39"/>
      <c r="KU146" s="38"/>
      <c r="KV146" s="38"/>
      <c r="KW146" s="38"/>
      <c r="KX146" s="38"/>
      <c r="KY146" s="38"/>
      <c r="KZ146" s="38"/>
      <c r="LA146" s="38"/>
      <c r="LB146" s="38"/>
      <c r="LC146" s="38"/>
      <c r="LD146" s="38"/>
      <c r="LE146" s="38"/>
      <c r="LF146" s="38"/>
      <c r="LG146" s="38"/>
      <c r="LH146" s="38"/>
      <c r="LI146" s="38"/>
      <c r="LJ146" s="38"/>
      <c r="LK146" s="38"/>
      <c r="LL146" s="38"/>
      <c r="LM146" s="38"/>
      <c r="LN146" s="38"/>
      <c r="LO146" s="38"/>
      <c r="LP146" s="38"/>
      <c r="LQ146" s="38"/>
      <c r="LR146" s="38"/>
      <c r="LS146" s="38"/>
      <c r="LT146" s="38"/>
      <c r="LU146" s="38"/>
      <c r="LV146" s="38"/>
      <c r="LW146" s="38"/>
      <c r="LX146" s="38"/>
      <c r="LY146" s="38"/>
      <c r="LZ146" s="38"/>
      <c r="MA146" s="38"/>
      <c r="MB146" s="38"/>
      <c r="MC146" s="38"/>
      <c r="MD146" s="38"/>
      <c r="ME146" s="38"/>
      <c r="MF146" s="38"/>
      <c r="MG146" s="38"/>
      <c r="MH146" s="43">
        <f t="shared" si="639"/>
        <v>0</v>
      </c>
      <c r="MI146" s="43" t="str">
        <f t="shared" si="640"/>
        <v/>
      </c>
      <c r="MJ146" s="43" t="str">
        <f t="shared" si="641"/>
        <v/>
      </c>
      <c r="MK146" s="43">
        <f t="shared" si="642"/>
        <v>0</v>
      </c>
      <c r="ML1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6" s="43">
        <f t="shared" si="643"/>
        <v>26.014285714285506</v>
      </c>
      <c r="MN146" s="43">
        <f t="shared" si="644"/>
        <v>4</v>
      </c>
      <c r="MO146" s="43">
        <f t="shared" si="645"/>
        <v>2023</v>
      </c>
      <c r="MP146" s="43" t="str">
        <f t="shared" si="646"/>
        <v>II TRIMESTRE AÑO</v>
      </c>
      <c r="MQ146" s="43">
        <f t="shared" si="647"/>
        <v>31.62231712658782</v>
      </c>
      <c r="MR146" s="43">
        <f t="shared" si="648"/>
        <v>0</v>
      </c>
      <c r="MS146" s="43" t="str">
        <f t="shared" si="649"/>
        <v xml:space="preserve"> DE 30 A 34 AÑOS</v>
      </c>
      <c r="MT146" s="43">
        <f t="shared" si="650"/>
        <v>0</v>
      </c>
      <c r="MU146" s="43">
        <f t="shared" si="651"/>
        <v>0</v>
      </c>
      <c r="MV146" s="43">
        <f t="shared" si="652"/>
        <v>0</v>
      </c>
      <c r="MW146" s="43">
        <f t="shared" si="653"/>
        <v>0</v>
      </c>
      <c r="MX146" s="43" t="str">
        <f t="shared" si="654"/>
        <v/>
      </c>
      <c r="MY146" s="43" t="str">
        <f t="shared" ca="1" si="686"/>
        <v/>
      </c>
      <c r="MZ146" s="43" t="str">
        <f t="shared" si="655"/>
        <v/>
      </c>
      <c r="NA146" s="43" t="str">
        <f t="shared" si="656"/>
        <v/>
      </c>
      <c r="NB146" s="43" t="str">
        <f t="shared" si="657"/>
        <v/>
      </c>
      <c r="NC146" s="43" t="str">
        <f t="shared" si="658"/>
        <v/>
      </c>
      <c r="ND146" s="43">
        <f t="shared" ca="1" si="659"/>
        <v>0</v>
      </c>
      <c r="NE146" s="43">
        <f>IF(OR(O146&gt;0,R146&gt;0),SUM(COUNTIF(Tabla1[[#This Row],[AÑOS AL INICIO5 CPN]],"&gt;=40"),COUNTIF(AS146,"0"),COUNTIF(AR146,"SI"),COUNTIF(CC146,"SI"),COUNTIF(BQ146,"&gt;119"),COUNTIF(CI146,"&gt;=35")),"")</f>
        <v>0</v>
      </c>
      <c r="NF146" s="43" t="str">
        <f t="shared" si="660"/>
        <v/>
      </c>
      <c r="NG146" s="43">
        <f t="shared" si="661"/>
        <v>0</v>
      </c>
      <c r="NH146" s="43">
        <f t="shared" si="662"/>
        <v>205.1</v>
      </c>
      <c r="NI14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CPN",P146="NO"),"Z",IF(AND(Tabla1[[#This Row],[CITA PROXIMO CONTROL]]="CITA MANUAL",Tabla1[[#This Row],[GESTANTES ACTUALES]]="ACTIVA INGRESO A CPN"),"W",IF(AND(Tabla1[[#This Row],[GESTANTES ACTUALES]]="SALIO PROGRAMA",IN146=""),"S",IF(AND(Tabla1[[#This Row],[CITA PROXIMO CONTROL]]&gt;0,IN146=""),(Tabla1[[#This Row],[CITA PROXIMO CONTROL]]-TODAY()),"SD"))))))))</f>
        <v>SD</v>
      </c>
      <c r="NJ146" s="43">
        <f>MONTH(Tabla1[[#This Row],[FECHA DE SALIDA  DEL PROGRAMA]])</f>
        <v>7</v>
      </c>
      <c r="NK146" s="43">
        <f>YEAR(Tabla1[[#This Row],[FECHA DE SALIDA  DEL PROGRAMA]])</f>
        <v>2023</v>
      </c>
      <c r="NL146" s="43" t="str">
        <f t="shared" si="663"/>
        <v>X</v>
      </c>
      <c r="NM146" s="43" t="str">
        <f t="shared" si="500"/>
        <v>NO</v>
      </c>
      <c r="NN146" s="43" t="str">
        <f ca="1">IF(AND(O146&gt;0,R146=""),"NO CPN",IF(AND(O146="",R146=""),"",IF(AND(R146&gt;0,Tabla1[[#This Row],[SEMANAS DE GESTACION ACTUALIZADAS]]&lt;=12),"NO APLICA",IF(AND(FH146&lt;&gt;"",FN146&lt;&gt;""),"SI","NO"))))</f>
        <v>NO</v>
      </c>
      <c r="NO146" s="43" t="str">
        <f ca="1">IF(AND(O146&gt;0,R146=""),"NO CPN",IF(AND(O146="",R146=""),"",IF(AND(R146&gt;0,Tabla1[[#This Row],[SEMANAS DE GESTACION ACTUALIZADAS]]&lt;=27),"NO APLICA",IF(AND(ES146&lt;&gt;"",FQ146&lt;&gt;"",GF146&lt;&gt;""),"SI","NO"))))</f>
        <v>SI</v>
      </c>
      <c r="NP146" s="204" t="str">
        <f t="shared" si="664"/>
        <v>II TRIM</v>
      </c>
      <c r="NQ146" s="21" t="str">
        <f t="shared" si="689"/>
        <v/>
      </c>
      <c r="NR146" s="21">
        <f t="shared" si="687"/>
        <v>2</v>
      </c>
      <c r="NS146" s="205">
        <f t="shared" ca="1" si="665"/>
        <v>1</v>
      </c>
      <c r="NT146" s="21">
        <f t="shared" ca="1" si="666"/>
        <v>1</v>
      </c>
      <c r="NU146" s="21" t="str">
        <f t="shared" ca="1" si="667"/>
        <v>INCOMPLETO</v>
      </c>
      <c r="NV146" s="21" t="str">
        <f t="shared" ca="1" si="668"/>
        <v>INCOMPLETO</v>
      </c>
      <c r="NW146" s="206" t="str">
        <f>IF(AND(O146="",R146=""),"",IF(OR(AND(Tabla1[[#This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6" s="207" t="str">
        <f t="shared" ca="1" si="669"/>
        <v>SIN VACUNAR</v>
      </c>
      <c r="NY146" s="43">
        <f>ROW(Tabla1[[#This Row],['# DE TAMIZAJES SIFILIS TOMADOS ]])</f>
        <v>146</v>
      </c>
      <c r="NZ146" s="43">
        <f t="shared" si="501"/>
        <v>26</v>
      </c>
      <c r="OA146" s="43" t="str">
        <f t="shared" si="502"/>
        <v/>
      </c>
      <c r="OB146" s="43" t="str">
        <f t="shared" si="503"/>
        <v/>
      </c>
      <c r="OC146" s="43" t="str">
        <f t="shared" si="504"/>
        <v/>
      </c>
      <c r="OD146" s="43" t="str">
        <f t="shared" si="505"/>
        <v/>
      </c>
      <c r="OE146" s="43" t="str">
        <f t="shared" si="506"/>
        <v/>
      </c>
      <c r="OF146" s="43" t="str">
        <f t="shared" si="507"/>
        <v/>
      </c>
      <c r="OG146" s="43" t="str">
        <f t="shared" si="508"/>
        <v/>
      </c>
      <c r="OH146" s="43" t="str">
        <f t="shared" si="509"/>
        <v/>
      </c>
      <c r="OI146" s="43" t="str">
        <f t="shared" si="510"/>
        <v/>
      </c>
      <c r="OJ146" s="43" t="str">
        <f t="shared" si="511"/>
        <v/>
      </c>
      <c r="OK146" s="43" t="str">
        <f t="shared" si="512"/>
        <v/>
      </c>
      <c r="OL146" s="43" t="str">
        <f t="shared" si="513"/>
        <v/>
      </c>
      <c r="OM146" s="43" t="str">
        <f t="shared" si="514"/>
        <v/>
      </c>
      <c r="ON146" s="43" t="str">
        <f t="shared" si="515"/>
        <v/>
      </c>
      <c r="OO146" s="43" t="str">
        <f t="shared" si="516"/>
        <v/>
      </c>
      <c r="OP146" s="43" t="str">
        <f t="shared" si="517"/>
        <v/>
      </c>
      <c r="OQ146" s="43" t="str">
        <f t="shared" si="518"/>
        <v/>
      </c>
      <c r="OR146" s="43" t="str">
        <f t="shared" si="519"/>
        <v>OBESIDAD</v>
      </c>
      <c r="OS146" s="43" t="str">
        <f t="shared" si="520"/>
        <v/>
      </c>
      <c r="OT146" s="43" t="str">
        <f t="shared" si="521"/>
        <v/>
      </c>
      <c r="OU146" s="43" t="str">
        <f t="shared" si="522"/>
        <v/>
      </c>
      <c r="OV146" s="110" t="str">
        <f t="shared" si="523"/>
        <v/>
      </c>
      <c r="OW146" s="43" t="str">
        <f t="shared" si="524"/>
        <v/>
      </c>
      <c r="OX146" s="43" t="str">
        <f t="shared" si="525"/>
        <v/>
      </c>
      <c r="OY146" s="43" t="str">
        <f t="shared" si="526"/>
        <v/>
      </c>
      <c r="OZ146" s="43" t="str">
        <f t="shared" si="527"/>
        <v/>
      </c>
      <c r="PA146" s="43" t="str">
        <f t="shared" si="528"/>
        <v/>
      </c>
      <c r="PB146" s="43" t="str">
        <f t="shared" si="529"/>
        <v/>
      </c>
      <c r="PC146" s="43" t="str">
        <f t="shared" si="530"/>
        <v/>
      </c>
      <c r="PD146" s="43" t="str">
        <f t="shared" si="531"/>
        <v/>
      </c>
      <c r="PE146" s="43" t="str">
        <f t="shared" si="532"/>
        <v/>
      </c>
      <c r="PF146" s="43" t="str">
        <f t="shared" si="533"/>
        <v/>
      </c>
      <c r="PG146" s="43" t="str">
        <f t="shared" si="534"/>
        <v/>
      </c>
      <c r="PH146" s="43" t="str">
        <f t="shared" si="535"/>
        <v/>
      </c>
      <c r="PI146" s="43">
        <f t="shared" si="536"/>
        <v>38</v>
      </c>
      <c r="PJ146" s="43" t="str">
        <f t="shared" si="537"/>
        <v/>
      </c>
      <c r="PK146" s="43" t="str">
        <f t="shared" si="538"/>
        <v/>
      </c>
      <c r="PL146" s="43" t="str">
        <f t="shared" si="539"/>
        <v/>
      </c>
      <c r="PM146" s="43" t="str">
        <f t="shared" si="540"/>
        <v/>
      </c>
      <c r="PN146" s="43" t="str">
        <f t="shared" si="541"/>
        <v/>
      </c>
      <c r="PO146" s="43" t="str">
        <f t="shared" si="542"/>
        <v/>
      </c>
      <c r="PP146" s="43" t="str">
        <f t="shared" si="543"/>
        <v/>
      </c>
      <c r="PQ146" s="43" t="str">
        <f t="shared" si="544"/>
        <v/>
      </c>
      <c r="PR146" s="43" t="str">
        <f t="shared" si="545"/>
        <v/>
      </c>
      <c r="PS146" s="43" t="str">
        <f t="shared" si="546"/>
        <v/>
      </c>
      <c r="PT146" s="43" t="str">
        <f t="shared" si="547"/>
        <v/>
      </c>
      <c r="PU146" s="43" t="str">
        <f t="shared" si="548"/>
        <v/>
      </c>
      <c r="PV146" s="43" t="str">
        <f t="shared" si="549"/>
        <v/>
      </c>
      <c r="PW146" s="43" t="str">
        <f t="shared" si="550"/>
        <v/>
      </c>
      <c r="PX146" s="43" t="str">
        <f t="shared" si="551"/>
        <v/>
      </c>
      <c r="PY146" s="43" t="str">
        <f t="shared" si="552"/>
        <v/>
      </c>
      <c r="PZ146" s="43" t="str">
        <f t="shared" si="553"/>
        <v/>
      </c>
      <c r="QA146" s="43" t="str">
        <f t="shared" si="554"/>
        <v/>
      </c>
      <c r="QB146" s="43" t="str">
        <f t="shared" si="555"/>
        <v/>
      </c>
      <c r="QC146" s="43" t="str">
        <f t="shared" si="556"/>
        <v/>
      </c>
      <c r="QD146" s="43" t="str">
        <f t="shared" si="557"/>
        <v/>
      </c>
      <c r="QE146" s="43" t="str">
        <f t="shared" si="558"/>
        <v/>
      </c>
      <c r="QF146" s="43" t="str">
        <f t="shared" si="559"/>
        <v/>
      </c>
      <c r="QG146" s="43" t="str">
        <f t="shared" si="560"/>
        <v/>
      </c>
      <c r="QH146" s="43" t="str">
        <f t="shared" si="561"/>
        <v/>
      </c>
      <c r="QI146" s="43" t="str">
        <f t="shared" si="562"/>
        <v/>
      </c>
      <c r="QJ146" s="43" t="str">
        <f t="shared" si="563"/>
        <v/>
      </c>
      <c r="QK146" s="43" t="str">
        <f t="shared" si="564"/>
        <v/>
      </c>
      <c r="QL146" s="43" t="str">
        <f t="shared" si="565"/>
        <v/>
      </c>
      <c r="QM146" s="43" t="str">
        <f t="shared" si="566"/>
        <v>OBESIDAD</v>
      </c>
      <c r="QN146" s="43" t="str">
        <f t="shared" si="567"/>
        <v/>
      </c>
      <c r="QO146" s="43" t="str">
        <f t="shared" si="568"/>
        <v/>
      </c>
      <c r="QP146" s="43" t="str">
        <f t="shared" si="569"/>
        <v/>
      </c>
      <c r="QQ146" s="43" t="str">
        <f t="shared" si="570"/>
        <v/>
      </c>
      <c r="QR146" s="43">
        <f t="shared" si="670"/>
        <v>38</v>
      </c>
      <c r="QS146" s="43"/>
      <c r="QT146" s="21" t="str">
        <f t="shared" si="571"/>
        <v/>
      </c>
      <c r="QU146" s="21" t="str">
        <f t="shared" si="572"/>
        <v/>
      </c>
      <c r="QV146" s="21" t="str">
        <f t="shared" si="573"/>
        <v/>
      </c>
      <c r="QW146" s="21" t="str">
        <f t="shared" si="574"/>
        <v/>
      </c>
      <c r="QX146" s="21" t="str">
        <f t="shared" si="575"/>
        <v/>
      </c>
      <c r="QY146" s="21" t="str">
        <f t="shared" si="576"/>
        <v/>
      </c>
      <c r="QZ146" s="21" t="str">
        <f t="shared" si="577"/>
        <v/>
      </c>
      <c r="RA146" s="21" t="str">
        <f t="shared" si="578"/>
        <v/>
      </c>
      <c r="RB146" s="21" t="str">
        <f t="shared" si="579"/>
        <v/>
      </c>
      <c r="RC146" s="21" t="str">
        <f t="shared" si="580"/>
        <v/>
      </c>
      <c r="RD146" s="21" t="str">
        <f t="shared" si="581"/>
        <v/>
      </c>
      <c r="RE146" s="21" t="str">
        <f t="shared" si="582"/>
        <v/>
      </c>
      <c r="RF146" s="21" t="str">
        <f t="shared" si="583"/>
        <v/>
      </c>
      <c r="RG146" s="21" t="str">
        <f t="shared" si="584"/>
        <v/>
      </c>
      <c r="RH146" s="21" t="str">
        <f t="shared" si="585"/>
        <v/>
      </c>
      <c r="RI146" s="21" t="str">
        <f t="shared" si="586"/>
        <v/>
      </c>
      <c r="RJ146" s="21" t="str">
        <f t="shared" si="587"/>
        <v/>
      </c>
      <c r="RK146" s="21" t="str">
        <f t="shared" si="588"/>
        <v/>
      </c>
      <c r="RL146" s="21" t="str">
        <f t="shared" si="589"/>
        <v/>
      </c>
      <c r="RM146" s="21" t="str">
        <f t="shared" si="590"/>
        <v/>
      </c>
      <c r="RN146" s="21" t="str">
        <f t="shared" si="591"/>
        <v/>
      </c>
      <c r="RO146" s="21" t="str">
        <f t="shared" si="592"/>
        <v/>
      </c>
      <c r="RP146" s="21" t="str">
        <f t="shared" si="593"/>
        <v/>
      </c>
      <c r="RQ146" s="21" t="str">
        <f t="shared" si="594"/>
        <v/>
      </c>
      <c r="RR146" s="21" t="str">
        <f t="shared" si="595"/>
        <v/>
      </c>
      <c r="RS146" s="21" t="str">
        <f t="shared" si="596"/>
        <v>ALTO PARA EDAD GESTACIONAL</v>
      </c>
      <c r="RT146" s="21" t="str">
        <f t="shared" si="597"/>
        <v/>
      </c>
      <c r="RU146" s="21" t="str">
        <f t="shared" si="598"/>
        <v/>
      </c>
      <c r="RV146" s="21">
        <f t="shared" si="599"/>
        <v>-1</v>
      </c>
      <c r="RW146" s="284">
        <f>IF(OR(Tabla1[[#This Row],[FUM FORMULA CONFIABLE]]="",Tabla1[[#This Row],[FUM FORMULA CONFIABLE]]="SD"),"",IF(Tabla1[[#This Row],[FUM FORMULA CONFIABLE]]="CORREGIDA",Tabla1[[#This Row],[FUM X ECO 1]],Tabla1[[#This Row],[FUM x AMENORREA]]))</f>
        <v>44845.9</v>
      </c>
      <c r="RX146" s="21">
        <f>IF(AND(Tabla1[[#This Row],[FUM X ECO 1]]="",Tabla1[[#This Row],[FUM x AMENORREA]]=""),"",IF(AND(Tabla1[[#This Row],[FUM X ECO 1]]="",Tabla1[[#This Row],[FUM x AMENORREA]]&lt;&gt;""),"X",SUM(Tabla1[[#This Row],[FUM X ECO 1]]-Tabla1[[#This Row],[FUM x AMENORREA]])))</f>
        <v>-8.0999999999985448</v>
      </c>
      <c r="RY146" s="21">
        <f t="shared" si="671"/>
        <v>1</v>
      </c>
    </row>
    <row r="147" spans="1:493" ht="45" customHeight="1" x14ac:dyDescent="0.25">
      <c r="A147" s="109"/>
      <c r="B147" s="43"/>
      <c r="C147" s="43" t="s">
        <v>845</v>
      </c>
      <c r="D147" s="124"/>
      <c r="E147" s="43" t="s">
        <v>1427</v>
      </c>
      <c r="F147" s="43" t="s">
        <v>1428</v>
      </c>
      <c r="G147" s="43" t="s">
        <v>1429</v>
      </c>
      <c r="H147" s="43" t="s">
        <v>1430</v>
      </c>
      <c r="I147" s="109" t="s">
        <v>851</v>
      </c>
      <c r="J147" s="110">
        <v>1061528490</v>
      </c>
      <c r="K147" s="43" t="s">
        <v>852</v>
      </c>
      <c r="L147" s="175" t="s">
        <v>1509</v>
      </c>
      <c r="M147" s="22">
        <v>38096</v>
      </c>
      <c r="N147" s="213">
        <f t="shared" ca="1" si="600"/>
        <v>19.553424657534247</v>
      </c>
      <c r="O147" s="22">
        <v>45028</v>
      </c>
      <c r="P147" s="214" t="str">
        <f t="shared" si="673"/>
        <v>SI</v>
      </c>
      <c r="Q147" s="26" t="s">
        <v>855</v>
      </c>
      <c r="R147" s="22">
        <v>45028</v>
      </c>
      <c r="S147" s="21" t="s">
        <v>856</v>
      </c>
      <c r="T147" s="24" t="s">
        <v>690</v>
      </c>
      <c r="U147" s="21" t="s">
        <v>857</v>
      </c>
      <c r="V147" s="21" t="s">
        <v>858</v>
      </c>
      <c r="W147" s="21" t="s">
        <v>1431</v>
      </c>
      <c r="X147" s="21"/>
      <c r="Y147" s="21"/>
      <c r="Z147" s="21">
        <v>3205336525</v>
      </c>
      <c r="AA147" s="21" t="s">
        <v>860</v>
      </c>
      <c r="AB147" s="27" t="s">
        <v>861</v>
      </c>
      <c r="AC147" s="26" t="s">
        <v>897</v>
      </c>
      <c r="AD147" s="38" t="s">
        <v>1546</v>
      </c>
      <c r="AE147" s="26" t="s">
        <v>854</v>
      </c>
      <c r="AF147" s="26" t="s">
        <v>854</v>
      </c>
      <c r="AG147" s="23" t="s">
        <v>864</v>
      </c>
      <c r="AH147" s="23" t="s">
        <v>864</v>
      </c>
      <c r="AI147" s="24" t="s">
        <v>863</v>
      </c>
      <c r="AJ147" s="23" t="s">
        <v>864</v>
      </c>
      <c r="AK147" s="220" t="str">
        <f>IF(AND(AD147="",AE147="",AF147="",AG147="",AH147="",AI147="",AJ147=""),"",IF(OR(Tabla1[[#This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EVALUACIÓN",IF(AND(O147="",R147=""),"",IF(AND(OR(O147&gt;0,R147&gt;0),NG147&gt;=0,NG147&lt;2),"SIN RIESGO",IF(AND(OR(O147&gt;0,R147&gt;0),NG147&gt;=2),"CON RIESGO","ASD")))))</f>
        <v>SIN RIESGO</v>
      </c>
      <c r="AL147" s="23" t="s">
        <v>864</v>
      </c>
      <c r="AM147" s="26" t="s">
        <v>864</v>
      </c>
      <c r="AN147" s="26" t="s">
        <v>864</v>
      </c>
      <c r="AO147" s="26" t="s">
        <v>864</v>
      </c>
      <c r="AP147" s="26" t="s">
        <v>864</v>
      </c>
      <c r="AQ147" s="26" t="s">
        <v>864</v>
      </c>
      <c r="AR147" s="26" t="s">
        <v>864</v>
      </c>
      <c r="AS147" s="21">
        <v>0</v>
      </c>
      <c r="AT147" s="21">
        <v>0</v>
      </c>
      <c r="AU147" s="21">
        <v>0</v>
      </c>
      <c r="AV147" s="26" t="s">
        <v>864</v>
      </c>
      <c r="AW147" s="21">
        <v>0</v>
      </c>
      <c r="AX147" s="26" t="s">
        <v>864</v>
      </c>
      <c r="AY147" s="26" t="s">
        <v>864</v>
      </c>
      <c r="AZ147" s="26" t="s">
        <v>864</v>
      </c>
      <c r="BA147" s="26" t="s">
        <v>864</v>
      </c>
      <c r="BB147" s="26" t="s">
        <v>864</v>
      </c>
      <c r="BC147" s="26" t="s">
        <v>864</v>
      </c>
      <c r="BD147" s="26" t="s">
        <v>864</v>
      </c>
      <c r="BE147" s="26" t="s">
        <v>864</v>
      </c>
      <c r="BF147" s="26" t="s">
        <v>864</v>
      </c>
      <c r="BG147" s="26" t="s">
        <v>864</v>
      </c>
      <c r="BH147" s="26" t="s">
        <v>864</v>
      </c>
      <c r="BI147" s="26" t="s">
        <v>864</v>
      </c>
      <c r="BJ147" s="26" t="s">
        <v>864</v>
      </c>
      <c r="BK147" s="26" t="s">
        <v>864</v>
      </c>
      <c r="BL147" s="26" t="s">
        <v>864</v>
      </c>
      <c r="BM147" s="26" t="s">
        <v>864</v>
      </c>
      <c r="BN147" s="22"/>
      <c r="BO147" s="22">
        <v>44965</v>
      </c>
      <c r="BP147" s="21" t="s">
        <v>864</v>
      </c>
      <c r="BQ147" s="222">
        <f t="shared" si="601"/>
        <v>0</v>
      </c>
      <c r="BR147" s="223" t="str">
        <f t="shared" si="602"/>
        <v/>
      </c>
      <c r="BS147" s="224">
        <f t="shared" si="603"/>
        <v>9</v>
      </c>
      <c r="BT147" s="216" t="str">
        <f t="shared" si="604"/>
        <v>DEFINIR CON ECO</v>
      </c>
      <c r="BU147" s="214">
        <f t="shared" ca="1" si="605"/>
        <v>38.285714285714285</v>
      </c>
      <c r="BV147" s="25"/>
      <c r="BW147" s="22"/>
      <c r="BX147" s="28"/>
      <c r="BY147" s="28"/>
      <c r="BZ147" s="22"/>
      <c r="CA147" s="21"/>
      <c r="CB147" s="26"/>
      <c r="CC147" s="26"/>
      <c r="CD147" s="26"/>
      <c r="CE147" s="26"/>
      <c r="CF147" s="22" t="s">
        <v>1517</v>
      </c>
      <c r="CG147" s="21">
        <v>1.5</v>
      </c>
      <c r="CH147" s="21">
        <v>49</v>
      </c>
      <c r="CI147" s="214">
        <f t="shared" si="606"/>
        <v>21.777777777777779</v>
      </c>
      <c r="CJ147" s="225" t="str">
        <f>IF(AND(CI147&lt;10,CH147="SD"),"SIN DATO PESO PREGESTACION O I TRIM",IF(AND(OR(R147&gt;0,O147&gt;0),CI147="X"),"INGRESAR DATO DE PESO",IF(CI147="SD","INGRESAR DATO DE TALLA Y PESO",IF(AND(OR(Tabla1[[#This Row],[MOMENTO EN QUE SE REALIZA EL PESO AL INGRESO A CPN]]="PREGESTACIÓN",NZ147="Menor"),CI147&lt;18.5),"BAJO PESO",IF(AND(OR(Tabla1[[#This Row],[MOMENTO EN QUE SE REALIZA EL PESO AL INGRESO A CPN]]="PREGESTACIÓN",NZ147="Menor"),CI147&lt;25),"NORMAL",IF(AND(OR(Tabla1[[#This Row],[MOMENTO EN QUE SE REALIZA EL PESO AL INGRESO A CPN]]="PREGESTACIÓN",NZ147="Menor"),CI147&lt;30),"SOBREPESO",IF(AND(OR(Tabla1[[#This Row],[MOMENTO EN QUE SE REALIZA EL PESO AL INGRESO A CPN]]="PREGESTACIÓN",NZ147="Menor"),CI147&gt;=30,CI147&lt;50),"OBESIDAD",IF(AND(BS147&gt;0,Tabla1[[#This Row],[MOMENTO EN QUE SE REALIZA EL PESO AL INGRESO A CPN]]="GESTACIÓN"),HLOOKUP(NZ147,$OA$2:PH147,NY147),""))))))))</f>
        <v>NORMAL</v>
      </c>
      <c r="CK147" s="212">
        <f t="shared" si="607"/>
        <v>45136</v>
      </c>
      <c r="CL147" s="21">
        <v>51.2</v>
      </c>
      <c r="CM147" s="214">
        <f t="shared" si="608"/>
        <v>22.755555555555556</v>
      </c>
      <c r="CN147" s="216">
        <f t="shared" si="609"/>
        <v>24</v>
      </c>
      <c r="CO147" s="216" t="e">
        <f>IF(PI147="","",IF(PI147&gt;0,HLOOKUP(PI147,$PJ$2:QQ147,NY147),""))</f>
        <v>#REF!</v>
      </c>
      <c r="CP147" s="21">
        <v>22</v>
      </c>
      <c r="CQ147" s="216" t="e">
        <f>IF(QR147="Menor","NO APLICA-MENOR 13 SEM",IF(AND(CC147="SI",CN147&gt;23),"NO APLICA- GEMELAR",IF(QR147="","",IF(QR147&gt;0,HLOOKUP(QR147,$QS$2:RU147,NY147),""))))</f>
        <v>#REF!</v>
      </c>
      <c r="CR147" s="21">
        <v>110</v>
      </c>
      <c r="CS147" s="21">
        <v>80</v>
      </c>
      <c r="CT147" s="217" t="str">
        <f>IF(R147="","",IF(AND(BS147&gt;1,BS147&lt;12,Tabla1[[#This Row],[T.A. SISTOLICA - ANTES DE SEMANA 12]]="",Tabla1[[#This Row],[T.A. DIASTOLICA - ANTES DE SEMANA 12]]=""),"REGISTRE DATO TA ANTES SEMANA 12",IF(AND(BS147&gt;11,BS147&lt;43,Tabla1[[#This Row],[T.A. SISTOLICA - ANTES DE SEMANA 12]]="",Tabla1[[#This Row],[T.A. DIASTOLICA - ANTES DE SEMANA 12]]=""),"NO APLICA REGISTRO TA-INGRESO TARDIO",IF(AND(OR(O147&gt;0,R147&gt;0),OR(CR147&gt;=140,CS147&gt;=90)),"DEFINIR ESTADIO HTA",IF(AND(OR(O147&gt;0,R147&gt;0),AND(CR147&gt;120,CR147&lt;=139)),"PRE HTA SEGUIMIENTO",IF(AND(OR(O147&gt;0,R147&gt;0),AND(CS147&gt;80,CS147&lt;=89)),"PRE HTA SEGUIMIENTO",IF(AND(OR(O147&gt;0,R147&gt;0),AND(CR147&gt;=80,CR147&lt;=120)),"APARENTEMENTE NORMAL",IF(AND(OR(O147&gt;0,R147&gt;0),AND(CS147&gt;=50,CS147&lt;=80)),"APARENTEMENTE NORMAL",IF(AND(OR(O147&gt;0,R147&gt;0),AND(CR147&gt;1,CR147&lt;=70),AND(CS147&gt;1,CS147&lt;=40)),"HIPOTENSIÓN","")))))))))</f>
        <v>APARENTEMENTE NORMAL</v>
      </c>
      <c r="CU147" s="21">
        <v>90</v>
      </c>
      <c r="CV147" s="21">
        <v>60</v>
      </c>
      <c r="CW147" s="217" t="str">
        <f ca="1">IF(R147="","",IF(AND(CN147&gt;19,CN147&lt;27,Tabla1[[#This Row],[T.A. SISTOLICA (Entre semana 20 y 26)]]="",Tabla1[[#This Row],[T.A. DIATOLICA (Entre semana 20 y 26)]]=""),"ACUDE A CONTROL SEM 20 A 26 REGISTRE TA AHORA",IF(AND(BS147&gt;1,BS147&lt;27,BU147&gt;19,Tabla1[[#This Row],[T.A. SISTOLICA (Entre semana 20 y 26)]]="",Tabla1[[#This Row],[T.A. DIATOLICA (Entre semana 20 y 26)]]=""),"COMPLETE REGISTRO TA CONTROL SEM 20 A26 ",IF(AND(BS147&gt;26,BS147&lt;43,Tabla1[[#This Row],[T.A. SISTOLICA (Entre semana 20 y 26)]]="",Tabla1[[#This Row],[T.A. DIATOLICA (Entre semana 20 y 26)]]=""),"NO APLICA REGISTRO TA-INGRESO TARDIO",IF(AND(OR(O147&gt;0,R147&gt;0),OR(CU147&gt;=140,CV147&gt;=90)),"ALTO RIESGO PREECLAMPSIA,DEFINIR ESTADIO HTA",IF(AND(OR(O147&gt;0,R147&gt;0),AND(CU147&gt;120,CU147&lt;=139)),"PRE HTA SEGUIMIENTO,RIESGO HIPERTENSION INDUCIDA POR EL EMBARAZO",IF(AND(OR(O147&gt;0,R147&gt;0),AND(CV147&gt;80,CV147&lt;=89)),"PRE HTA SEGUIMIENTO, RIESGO HIPERTENSION INDUCIDA POR EL EMBARAZO",IF(AND(OR(O147&lt;&gt;"",R147&lt;&gt;""),CS147&lt;&gt;"",CV147&lt;&gt;"",CS147&lt;=CV147),"VIGILAR CIFRAS PRESION ARTERIAL",IF(AND(OR(O147&gt;0,R147&gt;0),AND(CU147&gt;120,CU147&lt;=139)),"PRE HTA SEGUIMIENTO",IF(AND(OR(O147&gt;0,R147&gt;0),AND(CU147&gt;1,CU147&lt;=70),AND(CV147&gt;1,CV147&lt;=40)),"HIPOTENSIÓN",IF(AND(OR(O147&lt;&gt;"",R147&lt;&gt;""),CS147&lt;&gt;"",CV147&lt;&gt;"",CS147&gt;CV147),"APARENTEMENTE NORMAL",IF(AND(OR(O147&gt;0,R147&gt;0),AND(CU147&gt;=80,CU147&lt;=120)),"APARENTEMENTE NORMAL",IF(AND(OR(O147&gt;0,R147&gt;0),AND(CV147&gt;=50,CV147&lt;=80)),"APARENTEMENTE NORMAL","")))))))))))))</f>
        <v>APARENTEMENTE NORMAL</v>
      </c>
      <c r="CX147" s="21"/>
      <c r="CY147" s="21"/>
      <c r="CZ147" s="216" t="str">
        <f t="shared" si="688"/>
        <v/>
      </c>
      <c r="DA147" s="21">
        <v>100</v>
      </c>
      <c r="DB147" s="21">
        <v>60</v>
      </c>
      <c r="DC147" s="217" t="str">
        <f t="shared" si="610"/>
        <v>APARENTEMENTE NORMAL</v>
      </c>
      <c r="DD147" s="22">
        <v>45028</v>
      </c>
      <c r="DE147" s="22">
        <v>45028</v>
      </c>
      <c r="DF147" s="22">
        <v>45101</v>
      </c>
      <c r="DG147" s="22">
        <v>45136</v>
      </c>
      <c r="DH147" s="22"/>
      <c r="DI147" s="22"/>
      <c r="DJ147" s="22"/>
      <c r="DK147" s="22"/>
      <c r="DL147" s="22"/>
      <c r="DM147" s="22"/>
      <c r="DN147" s="22"/>
      <c r="DO147" s="22"/>
      <c r="DP147" s="22"/>
      <c r="DQ147" s="22"/>
      <c r="DR147" s="28"/>
      <c r="DS147" s="22"/>
      <c r="DT147" s="22"/>
      <c r="DU147" s="216" t="str">
        <f t="shared" ca="1" si="674"/>
        <v>CONCERTAR PLAN DE PARTO INMEDIATO</v>
      </c>
      <c r="DV147" s="226" t="str">
        <f t="shared" si="675"/>
        <v>ACTIVA INGRESO A CPN</v>
      </c>
      <c r="DW1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7" s="216" t="e">
        <f t="shared" ca="1" si="611"/>
        <v>#REF!</v>
      </c>
      <c r="DY147" s="212">
        <f>IF(R147="","",IF(R147&gt;0,MAX(Tabla1[[#This Row],[FECHA C2]:[FECHA C13]],Tabla1[[#This Row],[FECHA CONSULTA PRIMERA VEZ PROGRAMA CPN ]])))</f>
        <v>45136</v>
      </c>
      <c r="DZ147" s="216">
        <f t="shared" si="612"/>
        <v>24</v>
      </c>
      <c r="EA147" s="222">
        <f>IF(R147&gt;0,SUM(COUNTA(DF147:DQ147)+COUNTA(Tabla1[[#This Row],[FECHA CONSULTA PRIMERA VEZ PROGRAMA CPN ]])),"")</f>
        <v>3</v>
      </c>
      <c r="EB147" s="222" t="str">
        <f t="shared" si="613"/>
        <v>NO</v>
      </c>
      <c r="EC147" s="214">
        <f t="shared" si="614"/>
        <v>9</v>
      </c>
      <c r="ED147" s="227">
        <f t="shared" si="615"/>
        <v>0.33333333333333331</v>
      </c>
      <c r="EE147" s="22">
        <v>45028</v>
      </c>
      <c r="EF147" s="22">
        <v>45028</v>
      </c>
      <c r="EG147" s="22">
        <v>45028</v>
      </c>
      <c r="EH147" s="22"/>
      <c r="EI147" s="22">
        <v>45028</v>
      </c>
      <c r="EJ147" s="22"/>
      <c r="EK147" s="22"/>
      <c r="EL147" s="21"/>
      <c r="EM147" s="21">
        <v>13.1</v>
      </c>
      <c r="EN147" s="22">
        <v>45028</v>
      </c>
      <c r="EO147" s="222">
        <f t="shared" si="616"/>
        <v>9</v>
      </c>
      <c r="EP147" s="214" t="str">
        <f t="shared" si="617"/>
        <v>NORMAL- SUMINISTRAR SULFATO FERROSO</v>
      </c>
      <c r="EQ147" s="216" t="str">
        <f t="shared" si="618"/>
        <v>I TRIM</v>
      </c>
      <c r="ER147" s="24"/>
      <c r="ES147" s="22"/>
      <c r="ET147" s="29" t="str">
        <f t="shared" ca="1" si="676"/>
        <v>TOMA DE HEMOGLOBINA TARDÍA</v>
      </c>
      <c r="EU147" s="25" t="str">
        <f t="shared" si="619"/>
        <v/>
      </c>
      <c r="EV147" s="24"/>
      <c r="EW147" s="32"/>
      <c r="EX147" s="22"/>
      <c r="EY147" s="29" t="str">
        <f t="shared" si="453"/>
        <v>TOMAR EXAMEN</v>
      </c>
      <c r="EZ147" s="25" t="str">
        <f t="shared" ca="1" si="454"/>
        <v/>
      </c>
      <c r="FA147" s="21">
        <v>80</v>
      </c>
      <c r="FB147" s="22">
        <v>45028</v>
      </c>
      <c r="FC147" s="29">
        <f t="shared" si="620"/>
        <v>9</v>
      </c>
      <c r="FD147" s="29"/>
      <c r="FE147" s="29"/>
      <c r="FF147" s="29"/>
      <c r="FG147" s="21" t="str">
        <f t="shared" ca="1" si="621"/>
        <v>TOMAR PTOG</v>
      </c>
      <c r="FH147" s="31"/>
      <c r="FI147" s="29" t="str">
        <f t="shared" si="622"/>
        <v>TOMAR EXAMEN</v>
      </c>
      <c r="FJ147" s="22" t="s">
        <v>867</v>
      </c>
      <c r="FK147" s="22">
        <v>45028</v>
      </c>
      <c r="FL147" s="29">
        <f t="shared" ca="1" si="623"/>
        <v>9</v>
      </c>
      <c r="FM147" s="22"/>
      <c r="FN147" s="32"/>
      <c r="FO147" s="29" t="str">
        <f t="shared" ca="1" si="677"/>
        <v>PIERDE TOMA DE TAMIZAJE</v>
      </c>
      <c r="FP147" s="22"/>
      <c r="FQ147" s="32"/>
      <c r="FR147" s="29" t="str">
        <f t="shared" ca="1" si="678"/>
        <v>TOMA INMEDIATA DE TAMIZAJE</v>
      </c>
      <c r="FS147" s="22"/>
      <c r="FT147" s="32"/>
      <c r="FU147" s="29" t="str">
        <f>IF(AND(FJ147="",FM147="",FP147="",FS147=""),"",IF(OR(OR(Tabla1[[#This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7" s="28"/>
      <c r="FW147" s="22"/>
      <c r="FX147" s="29" t="str">
        <f t="shared" si="624"/>
        <v>TOMAR EXAMEN</v>
      </c>
      <c r="FY147" s="22" t="s">
        <v>868</v>
      </c>
      <c r="FZ147" s="22">
        <v>45028</v>
      </c>
      <c r="GA147" s="29">
        <f t="shared" ca="1" si="497"/>
        <v>9</v>
      </c>
      <c r="GB147" s="22"/>
      <c r="GC147" s="22"/>
      <c r="GD147" s="29" t="str">
        <f t="shared" ca="1" si="679"/>
        <v>PIERDE TOMA DE TAMIZAJE</v>
      </c>
      <c r="GE147" s="22"/>
      <c r="GF147" s="22"/>
      <c r="GG147" s="29" t="str">
        <f t="shared" ca="1" si="680"/>
        <v>TOMA INMEDIATA DE TAMIZAJE</v>
      </c>
      <c r="GH147" s="22"/>
      <c r="GI147" s="29"/>
      <c r="GJ147" s="22"/>
      <c r="GK147" s="22"/>
      <c r="GL147" s="22"/>
      <c r="GM147" s="22"/>
      <c r="GN147" s="28" t="s">
        <v>869</v>
      </c>
      <c r="GO147" s="22">
        <v>45028</v>
      </c>
      <c r="GP147" s="29">
        <f t="shared" si="625"/>
        <v>9</v>
      </c>
      <c r="GQ147" s="28" t="s">
        <v>880</v>
      </c>
      <c r="GR147" s="28" t="s">
        <v>869</v>
      </c>
      <c r="GS147" s="22" t="str">
        <f t="shared" si="626"/>
        <v>SE EXCLUYE INFECCION</v>
      </c>
      <c r="GT147" s="22">
        <v>45028</v>
      </c>
      <c r="GU147" s="29">
        <f t="shared" si="627"/>
        <v>9</v>
      </c>
      <c r="GV147" s="21" t="str">
        <f t="shared" si="628"/>
        <v>I TRIM</v>
      </c>
      <c r="GW147" s="28" t="s">
        <v>869</v>
      </c>
      <c r="GX147" s="30"/>
      <c r="GY147" s="21"/>
      <c r="GZ147" s="21"/>
      <c r="HA147" s="21"/>
      <c r="HB147" s="21"/>
      <c r="HC147" s="21"/>
      <c r="HD147" s="21"/>
      <c r="HE147" s="21"/>
      <c r="HF147" s="22"/>
      <c r="HG147" s="22" t="str">
        <f>IF(OR(O147&gt;0,R147&gt;0),CONCATENATE(IF(Tabla1[[#This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7" s="22" t="e">
        <f t="shared" si="629"/>
        <v>#REF!</v>
      </c>
      <c r="HI147" s="22" t="e">
        <f t="shared" ca="1" si="630"/>
        <v>#REF!</v>
      </c>
      <c r="HJ147" s="21"/>
      <c r="HK147" s="21" t="str">
        <f t="shared" si="631"/>
        <v>SIN ANTECEDENTES DE RIESGO</v>
      </c>
      <c r="HL147" s="24" t="str">
        <f t="shared" si="632"/>
        <v>APARENTEMENTE NORMAL</v>
      </c>
      <c r="HM147" s="21" t="e">
        <f t="shared" ca="1" si="633"/>
        <v>#REF!</v>
      </c>
      <c r="HN147" s="30" t="str">
        <f t="shared" si="681"/>
        <v>ACTIVA INGRESO A CPN</v>
      </c>
      <c r="HO147" s="21"/>
      <c r="HP147" s="21"/>
      <c r="HQ147" s="349"/>
      <c r="HR147" s="21" t="str">
        <f>IF(R147="","",IF(Tabla1[[#This Row],[ALARMA FACTORES DE RIESGO COMPLICACIONES HIPERTENSIVAS3]]="SIN ANTECEDENTES DE RIESGO","No Aplica para suministro de ASA",IF(AND(Tabla1[[#This Row],[FECHA INICIO DE SUMINISTRO DE ASA]]&gt;0,RV147&lt;12),"Inicia ASA ANTES de Sem 12",IF(AND(RV147&gt;11,RV147&lt;17,OR(HK147="RIESGO ALTO DE COMPLICACIONES HIPERTENSIVAS VER MANEJO GUIA SUMINISTRO ASA Y CALCIO",HK147="RIESGO MODERADO (2 O MAS CRITERIOS) VER MANEJO GUIA SUMINISTRO ASA Y CALCIO")),"Inicio oportuno de ASA",IF(AND(RV147&gt;12,OR(HK147="RIESGO ALTO DE COMPLICACIONES HIPERTENSIVAS VER MANEJO GUIA SUMINISTRO ASA Y CALCIO",HK147="RIESGO MODERADO (2 O MAS CRITERIOS) VER MANEJO GUIA SUMINISTRO ASA Y CALCIO")),"Inicio no oportuno mayor a 16 semanas",IF(AND(BU147&lt;12,OR(HK147="RIESGO ALTO DE COMPLICACIONES HIPERTENSIVAS VER MANEJO GUIA SUMINISTRO ASA Y CALCIO",HK147="RIESGO MODERADO (2 O MAS CRITERIOS) VER MANEJO GUIA SUMINISTRO ASA Y CALCIO")),"Pendiente Inicio de ASA a la semana 12",IF(AND(BU147&gt;11,BU147&lt;17,OR(HK147="RIESGO ALTO DE COMPLICACIONES HIPERTENSIVAS VER MANEJO GUIA SUMINISTRO ASA Y CALCIO",HK147="RIESGO MODERADO (2 O MAS CRITERIOS) VER MANEJO GUIA SUMINISTRO ASA Y CALCIO")),"Iniciar de inmediato ASA",IF(AND(BU147&gt;16,OR(HK147="RIESGO ALTO DE COMPLICACIONES HIPERTENSIVAS VER MANEJO GUIA SUMINISTRO ASA Y CALCIO",HK147="RIESGO MODERADO (2 O MAS CRITERIOS) VER MANEJO GUIA SUMINISTRO ASA Y CALCIO")),"Pierde Oportunidad, Inicio tardío de ASA","XXXXX"))))))))</f>
        <v>No Aplica para suministro de ASA</v>
      </c>
      <c r="HS147" s="22"/>
      <c r="HT147" s="22"/>
      <c r="HU147" s="22">
        <v>45028</v>
      </c>
      <c r="HV147" s="22" t="s">
        <v>870</v>
      </c>
      <c r="HW147" s="22">
        <v>45028</v>
      </c>
      <c r="HX147" s="22" t="s">
        <v>870</v>
      </c>
      <c r="HY147" s="22">
        <v>45029</v>
      </c>
      <c r="HZ147" s="28">
        <f t="shared" si="634"/>
        <v>9.1428571428571423</v>
      </c>
      <c r="IA147" s="26"/>
      <c r="IB147" s="26"/>
      <c r="IC147" s="111"/>
      <c r="ID147" s="22"/>
      <c r="IE147" s="22" t="str">
        <f t="shared" ca="1" si="635"/>
        <v>INASISTENTE</v>
      </c>
      <c r="IF147" s="22"/>
      <c r="IG147" s="22">
        <f t="shared" si="636"/>
        <v>45245</v>
      </c>
      <c r="IH147" s="29">
        <f t="shared" ca="1" si="637"/>
        <v>12</v>
      </c>
      <c r="II147" s="22" t="str">
        <f t="shared" ca="1" si="638"/>
        <v>MENOS DE 4 SEMANAS</v>
      </c>
      <c r="IJ147" s="22"/>
      <c r="IK147" s="21"/>
      <c r="IL147" s="21"/>
      <c r="IM147" s="34"/>
      <c r="IN147" s="22"/>
      <c r="IO147" s="21"/>
      <c r="IP147" s="29" t="str">
        <f t="shared" si="672"/>
        <v/>
      </c>
      <c r="IQ147" s="35"/>
      <c r="IR147" s="21"/>
      <c r="IS147" s="21"/>
      <c r="IT147" s="21"/>
      <c r="IU147" s="21"/>
      <c r="IV147" s="21"/>
      <c r="IW147" s="21"/>
      <c r="IX147" s="21"/>
      <c r="IY147" s="21"/>
      <c r="IZ147" s="21"/>
      <c r="JA147" s="21"/>
      <c r="JB147" s="30"/>
      <c r="JC147" s="21"/>
      <c r="JD147" s="36"/>
      <c r="JE147" s="21" t="str">
        <f t="shared" si="682"/>
        <v/>
      </c>
      <c r="JF147" s="30"/>
      <c r="JG147" s="21"/>
      <c r="JH147" s="21"/>
      <c r="JI147" s="21"/>
      <c r="JJ147" s="30"/>
      <c r="JK147" s="22"/>
      <c r="JL147" s="22"/>
      <c r="JM147" s="21"/>
      <c r="JN147" s="36"/>
      <c r="JO147" s="21" t="str">
        <f t="shared" si="683"/>
        <v/>
      </c>
      <c r="JP147" s="22"/>
      <c r="JQ147" s="21"/>
      <c r="JR147" s="21"/>
      <c r="JS147" s="21"/>
      <c r="JT147" s="30"/>
      <c r="JU147" s="22"/>
      <c r="JV147" s="22"/>
      <c r="JW147" s="33"/>
      <c r="JX147" s="28" t="str">
        <f t="shared" si="684"/>
        <v/>
      </c>
      <c r="JY147" s="33"/>
      <c r="JZ147" s="28" t="str">
        <f t="shared" si="685"/>
        <v/>
      </c>
      <c r="KA147" s="21"/>
      <c r="KB147" s="21"/>
      <c r="KC147" s="21"/>
      <c r="KD147" s="37"/>
      <c r="KE147" s="28"/>
      <c r="KF147" s="28"/>
      <c r="KG147" s="28"/>
      <c r="KH147" s="39"/>
      <c r="KI147" s="39"/>
      <c r="KJ147" s="66"/>
      <c r="KK147" s="39"/>
      <c r="KL147" s="39"/>
      <c r="KM147" s="66"/>
      <c r="KN147" s="39"/>
      <c r="KO147" s="39"/>
      <c r="KP147" s="39"/>
      <c r="KQ147" s="39"/>
      <c r="KR147" s="39"/>
      <c r="KS147" s="39"/>
      <c r="KT147" s="39"/>
      <c r="KU147" s="38"/>
      <c r="KV147" s="38"/>
      <c r="KW147" s="38"/>
      <c r="KX147" s="38"/>
      <c r="KY147" s="38"/>
      <c r="KZ147" s="38"/>
      <c r="LA147" s="38"/>
      <c r="LB147" s="38"/>
      <c r="LC147" s="38"/>
      <c r="LD147" s="38"/>
      <c r="LE147" s="38"/>
      <c r="LF147" s="38"/>
      <c r="LG147" s="38"/>
      <c r="LH147" s="38"/>
      <c r="LI147" s="38"/>
      <c r="LJ147" s="38"/>
      <c r="LK147" s="38"/>
      <c r="LL147" s="38"/>
      <c r="LM147" s="38"/>
      <c r="LN147" s="38"/>
      <c r="LO147" s="38"/>
      <c r="LP147" s="38"/>
      <c r="LQ147" s="38"/>
      <c r="LR147" s="38"/>
      <c r="LS147" s="38"/>
      <c r="LT147" s="38"/>
      <c r="LU147" s="38"/>
      <c r="LV147" s="38"/>
      <c r="LW147" s="38"/>
      <c r="LX147" s="38"/>
      <c r="LY147" s="38"/>
      <c r="LZ147" s="38"/>
      <c r="MA147" s="38"/>
      <c r="MB147" s="38"/>
      <c r="MC147" s="38"/>
      <c r="MD147" s="38"/>
      <c r="ME147" s="38"/>
      <c r="MF147" s="38"/>
      <c r="MG147" s="38"/>
      <c r="MH147" s="43">
        <f t="shared" si="639"/>
        <v>0</v>
      </c>
      <c r="MI147" s="43" t="str">
        <f t="shared" si="640"/>
        <v/>
      </c>
      <c r="MJ147" s="43" t="str">
        <f t="shared" si="641"/>
        <v/>
      </c>
      <c r="MK147" s="43">
        <f t="shared" si="642"/>
        <v>0</v>
      </c>
      <c r="ML1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7" s="43">
        <f t="shared" si="643"/>
        <v>9</v>
      </c>
      <c r="MN147" s="43">
        <f t="shared" si="644"/>
        <v>4</v>
      </c>
      <c r="MO147" s="43">
        <f t="shared" si="645"/>
        <v>2023</v>
      </c>
      <c r="MP147" s="43" t="str">
        <f t="shared" si="646"/>
        <v>II TRIMESTRE AÑO</v>
      </c>
      <c r="MQ147" s="43">
        <f t="shared" si="647"/>
        <v>18.706197985107313</v>
      </c>
      <c r="MR147" s="43">
        <f t="shared" si="648"/>
        <v>0</v>
      </c>
      <c r="MS147" s="43" t="str">
        <f t="shared" si="649"/>
        <v>DE 14 A 19AÑOS</v>
      </c>
      <c r="MT147" s="43">
        <f t="shared" si="650"/>
        <v>0</v>
      </c>
      <c r="MU147" s="43">
        <f t="shared" si="651"/>
        <v>1</v>
      </c>
      <c r="MV147" s="43">
        <f t="shared" si="652"/>
        <v>0</v>
      </c>
      <c r="MW147" s="43">
        <f t="shared" si="653"/>
        <v>0</v>
      </c>
      <c r="MX147" s="43" t="str">
        <f t="shared" si="654"/>
        <v/>
      </c>
      <c r="MY147" s="43" t="str">
        <f t="shared" ca="1" si="686"/>
        <v/>
      </c>
      <c r="MZ147" s="43" t="str">
        <f t="shared" si="655"/>
        <v/>
      </c>
      <c r="NA147" s="43" t="str">
        <f t="shared" si="656"/>
        <v/>
      </c>
      <c r="NB147" s="43" t="str">
        <f t="shared" si="657"/>
        <v/>
      </c>
      <c r="NC147" s="43" t="str">
        <f t="shared" si="658"/>
        <v/>
      </c>
      <c r="ND147" s="43">
        <f t="shared" ca="1" si="659"/>
        <v>1</v>
      </c>
      <c r="NE147" s="43">
        <f>IF(OR(O147&gt;0,R147&gt;0),SUM(COUNTIF(Tabla1[[#This Row],[AÑOS AL INICIO5 CPN]],"&gt;=40"),COUNTIF(AS147,"0"),COUNTIF(AR147,"SI"),COUNTIF(CC147,"SI"),COUNTIF(BQ147,"&gt;119"),COUNTIF(CI147,"&gt;=35")),"")</f>
        <v>1</v>
      </c>
      <c r="NF147" s="43" t="str">
        <f t="shared" si="660"/>
        <v/>
      </c>
      <c r="NG147" s="43">
        <f t="shared" si="661"/>
        <v>0</v>
      </c>
      <c r="NH147" s="43" t="str">
        <f t="shared" si="662"/>
        <v/>
      </c>
      <c r="NI1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CPN",P147="NO"),"Z",IF(AND(Tabla1[[#This Row],[CITA PROXIMO CONTROL]]="CITA MANUAL",Tabla1[[#This Row],[GESTANTES ACTUALES]]="ACTIVA INGRESO A CPN"),"W",IF(AND(Tabla1[[#This Row],[GESTANTES ACTUALES]]="SALIO PROGRAMA",IN147=""),"S",IF(AND(Tabla1[[#This Row],[CITA PROXIMO CONTROL]]&gt;0,IN147=""),(Tabla1[[#This Row],[CITA PROXIMO CONTROL]]-TODAY()),"SD"))))))))</f>
        <v>#REF!</v>
      </c>
      <c r="NJ147" s="43">
        <f>MONTH(Tabla1[[#This Row],[FECHA DE SALIDA  DEL PROGRAMA]])</f>
        <v>1</v>
      </c>
      <c r="NK147" s="43">
        <f>YEAR(Tabla1[[#This Row],[FECHA DE SALIDA  DEL PROGRAMA]])</f>
        <v>1900</v>
      </c>
      <c r="NL147" s="43" t="str">
        <f t="shared" si="663"/>
        <v>X</v>
      </c>
      <c r="NM147" s="43" t="str">
        <f t="shared" si="500"/>
        <v>NO</v>
      </c>
      <c r="NN147" s="43" t="str">
        <f ca="1">IF(AND(O147&gt;0,R147=""),"NO CPN",IF(AND(O147="",R147=""),"",IF(AND(R147&gt;0,Tabla1[[#This Row],[SEMANAS DE GESTACION ACTUALIZADAS]]&lt;=12),"NO APLICA",IF(AND(FH147&lt;&gt;"",FN147&lt;&gt;""),"SI","NO"))))</f>
        <v>NO</v>
      </c>
      <c r="NO147" s="43" t="str">
        <f ca="1">IF(AND(O147&gt;0,R147=""),"NO CPN",IF(AND(O147="",R147=""),"",IF(AND(R147&gt;0,Tabla1[[#This Row],[SEMANAS DE GESTACION ACTUALIZADAS]]&lt;=27),"NO APLICA",IF(AND(ES147&lt;&gt;"",FQ147&lt;&gt;"",GF147&lt;&gt;""),"SI","NO"))))</f>
        <v>NO</v>
      </c>
      <c r="NP147" s="204" t="str">
        <f t="shared" si="664"/>
        <v>DEFINIR CON ECO</v>
      </c>
      <c r="NQ147" s="21" t="str">
        <f t="shared" si="689"/>
        <v/>
      </c>
      <c r="NR147" s="21">
        <f t="shared" ca="1" si="687"/>
        <v>3</v>
      </c>
      <c r="NS147" s="205">
        <f t="shared" ca="1" si="665"/>
        <v>1</v>
      </c>
      <c r="NT147" s="21">
        <f t="shared" ca="1" si="666"/>
        <v>1</v>
      </c>
      <c r="NU147" s="21" t="str">
        <f t="shared" ca="1" si="667"/>
        <v>INCOMPLETO</v>
      </c>
      <c r="NV147" s="21" t="str">
        <f t="shared" ca="1" si="668"/>
        <v>INCOMPLETO</v>
      </c>
      <c r="NW147" s="206" t="str">
        <f>IF(AND(O147="",R147=""),"",IF(OR(AND(Tabla1[[#This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7" s="207" t="str">
        <f t="shared" ca="1" si="669"/>
        <v>SIN VACUNAR</v>
      </c>
      <c r="NY147" s="43">
        <f>ROW(Tabla1[[#This Row],['# DE TAMIZAJES SIFILIS TOMADOS ]])</f>
        <v>147</v>
      </c>
      <c r="NZ147" s="43" t="str">
        <f t="shared" si="501"/>
        <v>Menor</v>
      </c>
      <c r="OA147" s="43" t="str">
        <f t="shared" si="502"/>
        <v>NORMAL</v>
      </c>
      <c r="OB147" s="43" t="str">
        <f t="shared" si="503"/>
        <v/>
      </c>
      <c r="OC147" s="43" t="str">
        <f t="shared" si="504"/>
        <v/>
      </c>
      <c r="OD147" s="43" t="str">
        <f t="shared" si="505"/>
        <v/>
      </c>
      <c r="OE147" s="43" t="str">
        <f t="shared" si="506"/>
        <v/>
      </c>
      <c r="OF147" s="43" t="str">
        <f t="shared" si="507"/>
        <v/>
      </c>
      <c r="OG147" s="43" t="str">
        <f t="shared" si="508"/>
        <v/>
      </c>
      <c r="OH147" s="43" t="str">
        <f t="shared" si="509"/>
        <v/>
      </c>
      <c r="OI147" s="43" t="str">
        <f t="shared" si="510"/>
        <v/>
      </c>
      <c r="OJ147" s="43" t="str">
        <f t="shared" si="511"/>
        <v/>
      </c>
      <c r="OK147" s="43" t="str">
        <f t="shared" si="512"/>
        <v/>
      </c>
      <c r="OL147" s="43" t="str">
        <f t="shared" si="513"/>
        <v/>
      </c>
      <c r="OM147" s="43" t="str">
        <f t="shared" si="514"/>
        <v/>
      </c>
      <c r="ON147" s="43" t="str">
        <f t="shared" si="515"/>
        <v/>
      </c>
      <c r="OO147" s="43" t="str">
        <f t="shared" si="516"/>
        <v/>
      </c>
      <c r="OP147" s="43" t="str">
        <f t="shared" si="517"/>
        <v/>
      </c>
      <c r="OQ147" s="43" t="str">
        <f t="shared" si="518"/>
        <v/>
      </c>
      <c r="OR147" s="43" t="str">
        <f t="shared" si="519"/>
        <v/>
      </c>
      <c r="OS147" s="43" t="str">
        <f t="shared" si="520"/>
        <v/>
      </c>
      <c r="OT147" s="43" t="str">
        <f t="shared" si="521"/>
        <v/>
      </c>
      <c r="OU147" s="43" t="str">
        <f t="shared" si="522"/>
        <v/>
      </c>
      <c r="OV147" s="110" t="str">
        <f t="shared" si="523"/>
        <v/>
      </c>
      <c r="OW147" s="43" t="str">
        <f t="shared" si="524"/>
        <v/>
      </c>
      <c r="OX147" s="43" t="str">
        <f t="shared" si="525"/>
        <v/>
      </c>
      <c r="OY147" s="43" t="str">
        <f t="shared" si="526"/>
        <v/>
      </c>
      <c r="OZ147" s="43" t="str">
        <f t="shared" si="527"/>
        <v/>
      </c>
      <c r="PA147" s="43" t="str">
        <f t="shared" si="528"/>
        <v/>
      </c>
      <c r="PB147" s="43" t="str">
        <f t="shared" si="529"/>
        <v/>
      </c>
      <c r="PC147" s="43" t="str">
        <f t="shared" si="530"/>
        <v/>
      </c>
      <c r="PD147" s="43" t="str">
        <f t="shared" si="531"/>
        <v/>
      </c>
      <c r="PE147" s="43" t="str">
        <f t="shared" si="532"/>
        <v/>
      </c>
      <c r="PF147" s="43" t="str">
        <f t="shared" si="533"/>
        <v/>
      </c>
      <c r="PG147" s="43" t="str">
        <f t="shared" si="534"/>
        <v/>
      </c>
      <c r="PH147" s="43" t="str">
        <f t="shared" si="535"/>
        <v/>
      </c>
      <c r="PI147" s="43">
        <f t="shared" si="536"/>
        <v>24</v>
      </c>
      <c r="PJ147" s="43" t="str">
        <f t="shared" si="537"/>
        <v/>
      </c>
      <c r="PK147" s="43" t="str">
        <f t="shared" si="538"/>
        <v/>
      </c>
      <c r="PL147" s="43" t="str">
        <f t="shared" si="539"/>
        <v/>
      </c>
      <c r="PM147" s="43" t="str">
        <f t="shared" si="540"/>
        <v/>
      </c>
      <c r="PN147" s="43" t="str">
        <f t="shared" si="541"/>
        <v/>
      </c>
      <c r="PO147" s="43" t="str">
        <f t="shared" si="542"/>
        <v/>
      </c>
      <c r="PP147" s="43" t="str">
        <f t="shared" si="543"/>
        <v/>
      </c>
      <c r="PQ147" s="43" t="str">
        <f t="shared" si="544"/>
        <v/>
      </c>
      <c r="PR147" s="43" t="str">
        <f t="shared" si="545"/>
        <v/>
      </c>
      <c r="PS147" s="43" t="str">
        <f t="shared" si="546"/>
        <v/>
      </c>
      <c r="PT147" s="43" t="str">
        <f t="shared" si="547"/>
        <v/>
      </c>
      <c r="PU147" s="43" t="str">
        <f t="shared" si="548"/>
        <v/>
      </c>
      <c r="PV147" s="43" t="str">
        <f t="shared" si="549"/>
        <v/>
      </c>
      <c r="PW147" s="43" t="str">
        <f t="shared" si="550"/>
        <v/>
      </c>
      <c r="PX147" s="43" t="str">
        <f t="shared" si="551"/>
        <v/>
      </c>
      <c r="PY147" s="43" t="str">
        <f t="shared" si="552"/>
        <v>NORMAL</v>
      </c>
      <c r="PZ147" s="43" t="str">
        <f t="shared" si="553"/>
        <v/>
      </c>
      <c r="QA147" s="43" t="str">
        <f t="shared" si="554"/>
        <v/>
      </c>
      <c r="QB147" s="43" t="str">
        <f t="shared" si="555"/>
        <v/>
      </c>
      <c r="QC147" s="43" t="str">
        <f t="shared" si="556"/>
        <v/>
      </c>
      <c r="QD147" s="43" t="str">
        <f t="shared" si="557"/>
        <v/>
      </c>
      <c r="QE147" s="43" t="str">
        <f t="shared" si="558"/>
        <v/>
      </c>
      <c r="QF147" s="43" t="str">
        <f t="shared" si="559"/>
        <v/>
      </c>
      <c r="QG147" s="43" t="str">
        <f t="shared" si="560"/>
        <v/>
      </c>
      <c r="QH147" s="43" t="str">
        <f t="shared" si="561"/>
        <v/>
      </c>
      <c r="QI147" s="43" t="str">
        <f t="shared" si="562"/>
        <v/>
      </c>
      <c r="QJ147" s="43" t="str">
        <f t="shared" si="563"/>
        <v/>
      </c>
      <c r="QK147" s="43" t="str">
        <f t="shared" si="564"/>
        <v/>
      </c>
      <c r="QL147" s="43" t="str">
        <f t="shared" si="565"/>
        <v/>
      </c>
      <c r="QM147" s="43" t="str">
        <f t="shared" si="566"/>
        <v/>
      </c>
      <c r="QN147" s="43" t="str">
        <f t="shared" si="567"/>
        <v/>
      </c>
      <c r="QO147" s="43" t="str">
        <f t="shared" si="568"/>
        <v/>
      </c>
      <c r="QP147" s="43" t="str">
        <f t="shared" si="569"/>
        <v/>
      </c>
      <c r="QQ147" s="43" t="str">
        <f t="shared" si="570"/>
        <v/>
      </c>
      <c r="QR147" s="43">
        <f t="shared" si="670"/>
        <v>24</v>
      </c>
      <c r="QS147" s="43"/>
      <c r="QT147" s="21" t="str">
        <f t="shared" si="571"/>
        <v/>
      </c>
      <c r="QU147" s="21" t="str">
        <f t="shared" si="572"/>
        <v/>
      </c>
      <c r="QV147" s="21" t="str">
        <f t="shared" si="573"/>
        <v/>
      </c>
      <c r="QW147" s="21" t="str">
        <f t="shared" si="574"/>
        <v/>
      </c>
      <c r="QX147" s="21" t="str">
        <f t="shared" si="575"/>
        <v/>
      </c>
      <c r="QY147" s="21" t="str">
        <f t="shared" si="576"/>
        <v/>
      </c>
      <c r="QZ147" s="21" t="str">
        <f t="shared" si="577"/>
        <v/>
      </c>
      <c r="RA147" s="21" t="str">
        <f t="shared" si="578"/>
        <v/>
      </c>
      <c r="RB147" s="21" t="str">
        <f t="shared" si="579"/>
        <v/>
      </c>
      <c r="RC147" s="21" t="str">
        <f t="shared" si="580"/>
        <v/>
      </c>
      <c r="RD147" s="21" t="str">
        <f t="shared" si="581"/>
        <v/>
      </c>
      <c r="RE147" s="21" t="str">
        <f t="shared" si="582"/>
        <v>ADECUADO PARA EDAD GESTACIONAL</v>
      </c>
      <c r="RF147" s="21" t="str">
        <f t="shared" si="583"/>
        <v/>
      </c>
      <c r="RG147" s="21" t="str">
        <f t="shared" si="584"/>
        <v/>
      </c>
      <c r="RH147" s="21" t="str">
        <f t="shared" si="585"/>
        <v/>
      </c>
      <c r="RI147" s="21" t="str">
        <f t="shared" si="586"/>
        <v/>
      </c>
      <c r="RJ147" s="21" t="str">
        <f t="shared" si="587"/>
        <v/>
      </c>
      <c r="RK147" s="21" t="str">
        <f t="shared" si="588"/>
        <v/>
      </c>
      <c r="RL147" s="21" t="str">
        <f t="shared" si="589"/>
        <v/>
      </c>
      <c r="RM147" s="21" t="str">
        <f t="shared" si="590"/>
        <v/>
      </c>
      <c r="RN147" s="21" t="str">
        <f t="shared" si="591"/>
        <v/>
      </c>
      <c r="RO147" s="21" t="str">
        <f t="shared" si="592"/>
        <v/>
      </c>
      <c r="RP147" s="21" t="str">
        <f t="shared" si="593"/>
        <v/>
      </c>
      <c r="RQ147" s="21" t="str">
        <f t="shared" si="594"/>
        <v/>
      </c>
      <c r="RR147" s="21" t="str">
        <f t="shared" si="595"/>
        <v/>
      </c>
      <c r="RS147" s="21" t="str">
        <f t="shared" si="596"/>
        <v/>
      </c>
      <c r="RT147" s="21" t="str">
        <f t="shared" si="597"/>
        <v/>
      </c>
      <c r="RU147" s="21" t="str">
        <f t="shared" si="598"/>
        <v/>
      </c>
      <c r="RV147" s="21">
        <f t="shared" si="599"/>
        <v>-1</v>
      </c>
      <c r="RW147" s="284">
        <f>IF(OR(Tabla1[[#This Row],[FUM FORMULA CONFIABLE]]="",Tabla1[[#This Row],[FUM FORMULA CONFIABLE]]="SD"),"",IF(Tabla1[[#This Row],[FUM FORMULA CONFIABLE]]="CORREGIDA",Tabla1[[#This Row],[FUM X ECO 1]],Tabla1[[#This Row],[FUM x AMENORREA]]))</f>
        <v>44965</v>
      </c>
      <c r="RX147" s="21" t="str">
        <f>IF(AND(Tabla1[[#This Row],[FUM X ECO 1]]="",Tabla1[[#This Row],[FUM x AMENORREA]]=""),"",IF(AND(Tabla1[[#This Row],[FUM X ECO 1]]="",Tabla1[[#This Row],[FUM x AMENORREA]]&lt;&gt;""),"X",SUM(Tabla1[[#This Row],[FUM X ECO 1]]-Tabla1[[#This Row],[FUM x AMENORREA]])))</f>
        <v>X</v>
      </c>
      <c r="RY147" s="21" t="str">
        <f t="shared" si="671"/>
        <v>x</v>
      </c>
    </row>
    <row r="148" spans="1:493" ht="45" customHeight="1" x14ac:dyDescent="0.25">
      <c r="A148" s="109"/>
      <c r="B148" s="43"/>
      <c r="C148" s="43" t="s">
        <v>845</v>
      </c>
      <c r="D148" s="124"/>
      <c r="E148" s="43" t="s">
        <v>1144</v>
      </c>
      <c r="F148" s="43" t="s">
        <v>884</v>
      </c>
      <c r="G148" s="43" t="s">
        <v>1432</v>
      </c>
      <c r="H148" s="43" t="s">
        <v>1433</v>
      </c>
      <c r="I148" s="109" t="s">
        <v>1094</v>
      </c>
      <c r="J148" s="110">
        <v>1059596594</v>
      </c>
      <c r="K148" s="43" t="s">
        <v>852</v>
      </c>
      <c r="L148" s="175" t="s">
        <v>1509</v>
      </c>
      <c r="M148" s="22">
        <v>39610</v>
      </c>
      <c r="N148" s="213">
        <f t="shared" ca="1" si="600"/>
        <v>15.405479452054795</v>
      </c>
      <c r="O148" s="22">
        <v>45029</v>
      </c>
      <c r="P148" s="214" t="str">
        <f t="shared" si="673"/>
        <v>SI</v>
      </c>
      <c r="Q148" s="26" t="s">
        <v>855</v>
      </c>
      <c r="R148" s="22">
        <v>45029</v>
      </c>
      <c r="S148" s="21" t="s">
        <v>856</v>
      </c>
      <c r="T148" s="24" t="s">
        <v>690</v>
      </c>
      <c r="U148" s="21" t="s">
        <v>857</v>
      </c>
      <c r="V148" s="21" t="s">
        <v>858</v>
      </c>
      <c r="W148" s="21" t="s">
        <v>893</v>
      </c>
      <c r="X148" s="21"/>
      <c r="Y148" s="21" t="s">
        <v>859</v>
      </c>
      <c r="Z148" s="21" t="s">
        <v>1566</v>
      </c>
      <c r="AA148" s="21" t="s">
        <v>860</v>
      </c>
      <c r="AB148" s="27" t="s">
        <v>861</v>
      </c>
      <c r="AC148" s="26" t="s">
        <v>1434</v>
      </c>
      <c r="AD148" s="38" t="s">
        <v>1546</v>
      </c>
      <c r="AE148" s="26" t="s">
        <v>854</v>
      </c>
      <c r="AF148" s="26" t="s">
        <v>854</v>
      </c>
      <c r="AG148" s="23" t="s">
        <v>864</v>
      </c>
      <c r="AH148" s="23" t="s">
        <v>864</v>
      </c>
      <c r="AI148" s="24" t="s">
        <v>863</v>
      </c>
      <c r="AJ148" s="23" t="s">
        <v>864</v>
      </c>
      <c r="AK148" s="220" t="str">
        <f>IF(AND(AD148="",AE148="",AF148="",AG148="",AH148="",AI148="",AJ148=""),"",IF(OR(Tabla1[[#This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EVALUACIÓN",IF(AND(O148="",R148=""),"",IF(AND(OR(O148&gt;0,R148&gt;0),NG148&gt;=0,NG148&lt;2),"SIN RIESGO",IF(AND(OR(O148&gt;0,R148&gt;0),NG148&gt;=2),"CON RIESGO","ASD")))))</f>
        <v>SIN RIESGO</v>
      </c>
      <c r="AL148" s="23" t="s">
        <v>864</v>
      </c>
      <c r="AM148" s="26" t="s">
        <v>864</v>
      </c>
      <c r="AN148" s="26" t="s">
        <v>864</v>
      </c>
      <c r="AO148" s="26" t="s">
        <v>864</v>
      </c>
      <c r="AP148" s="26" t="s">
        <v>864</v>
      </c>
      <c r="AQ148" s="26" t="s">
        <v>864</v>
      </c>
      <c r="AR148" s="26" t="s">
        <v>864</v>
      </c>
      <c r="AS148" s="21">
        <v>0</v>
      </c>
      <c r="AT148" s="21">
        <v>0</v>
      </c>
      <c r="AU148" s="21">
        <v>0</v>
      </c>
      <c r="AV148" s="26" t="s">
        <v>864</v>
      </c>
      <c r="AW148" s="21">
        <v>0</v>
      </c>
      <c r="AX148" s="26" t="s">
        <v>864</v>
      </c>
      <c r="AY148" s="26" t="s">
        <v>864</v>
      </c>
      <c r="AZ148" s="26" t="s">
        <v>864</v>
      </c>
      <c r="BA148" s="26" t="s">
        <v>864</v>
      </c>
      <c r="BB148" s="26" t="s">
        <v>864</v>
      </c>
      <c r="BC148" s="26" t="s">
        <v>864</v>
      </c>
      <c r="BD148" s="26" t="s">
        <v>864</v>
      </c>
      <c r="BE148" s="26" t="s">
        <v>864</v>
      </c>
      <c r="BF148" s="26" t="s">
        <v>864</v>
      </c>
      <c r="BG148" s="26" t="s">
        <v>864</v>
      </c>
      <c r="BH148" s="26" t="s">
        <v>864</v>
      </c>
      <c r="BI148" s="26" t="s">
        <v>864</v>
      </c>
      <c r="BJ148" s="26" t="s">
        <v>864</v>
      </c>
      <c r="BK148" s="26" t="s">
        <v>864</v>
      </c>
      <c r="BL148" s="26" t="s">
        <v>864</v>
      </c>
      <c r="BM148" s="26" t="s">
        <v>864</v>
      </c>
      <c r="BN148" s="22"/>
      <c r="BO148" s="22">
        <v>44929</v>
      </c>
      <c r="BP148" s="21" t="s">
        <v>854</v>
      </c>
      <c r="BQ148" s="222">
        <f t="shared" si="601"/>
        <v>0</v>
      </c>
      <c r="BR148" s="223">
        <f t="shared" si="602"/>
        <v>44939</v>
      </c>
      <c r="BS148" s="224">
        <f t="shared" si="603"/>
        <v>14.285714285714286</v>
      </c>
      <c r="BT148" s="216" t="str">
        <f t="shared" si="604"/>
        <v>II TRIM</v>
      </c>
      <c r="BU148" s="214" t="str">
        <f t="shared" ca="1" si="605"/>
        <v/>
      </c>
      <c r="BV148" s="25" t="s">
        <v>988</v>
      </c>
      <c r="BW148" s="22">
        <v>45121</v>
      </c>
      <c r="BX148" s="28">
        <v>26</v>
      </c>
      <c r="BY148" s="28"/>
      <c r="BZ148" s="22"/>
      <c r="CA148" s="21"/>
      <c r="CB148" s="26" t="s">
        <v>864</v>
      </c>
      <c r="CC148" s="26" t="s">
        <v>864</v>
      </c>
      <c r="CD148" s="26"/>
      <c r="CE148" s="26" t="s">
        <v>864</v>
      </c>
      <c r="CF148" s="22" t="s">
        <v>1517</v>
      </c>
      <c r="CG148" s="21">
        <v>1.35</v>
      </c>
      <c r="CH148" s="21">
        <v>40</v>
      </c>
      <c r="CI148" s="214">
        <f t="shared" si="606"/>
        <v>21.947873799725649</v>
      </c>
      <c r="CJ148" s="225" t="e">
        <f>IF(AND(CI148&lt;10,CH148="SD"),"SIN DATO PESO PREGESTACION O I TRIM",IF(AND(OR(R148&gt;0,O148&gt;0),CI148="X"),"INGRESAR DATO DE PESO",IF(CI148="SD","INGRESAR DATO DE TALLA Y PESO",IF(AND(OR(Tabla1[[#This Row],[MOMENTO EN QUE SE REALIZA EL PESO AL INGRESO A CPN]]="PREGESTACIÓN",NZ148="Menor"),CI148&lt;18.5),"BAJO PESO",IF(AND(OR(Tabla1[[#This Row],[MOMENTO EN QUE SE REALIZA EL PESO AL INGRESO A CPN]]="PREGESTACIÓN",NZ148="Menor"),CI148&lt;25),"NORMAL",IF(AND(OR(Tabla1[[#This Row],[MOMENTO EN QUE SE REALIZA EL PESO AL INGRESO A CPN]]="PREGESTACIÓN",NZ148="Menor"),CI148&lt;30),"SOBREPESO",IF(AND(OR(Tabla1[[#This Row],[MOMENTO EN QUE SE REALIZA EL PESO AL INGRESO A CPN]]="PREGESTACIÓN",NZ148="Menor"),CI148&gt;=30,CI148&lt;50),"OBESIDAD",IF(AND(BS148&gt;0,Tabla1[[#This Row],[MOMENTO EN QUE SE REALIZA EL PESO AL INGRESO A CPN]]="GESTACIÓN"),HLOOKUP(NZ148,$OA$2:PH148,NY148),""))))))))</f>
        <v>#REF!</v>
      </c>
      <c r="CK148" s="212">
        <f t="shared" si="607"/>
        <v>45120</v>
      </c>
      <c r="CL148" s="21">
        <v>40</v>
      </c>
      <c r="CM148" s="214">
        <f t="shared" si="608"/>
        <v>21.947873799725649</v>
      </c>
      <c r="CN148" s="216">
        <f t="shared" si="609"/>
        <v>27</v>
      </c>
      <c r="CO148" s="216" t="e">
        <f>IF(PI148="","",IF(PI148&gt;0,HLOOKUP(PI148,$PJ$2:QQ148,NY148),""))</f>
        <v>#REF!</v>
      </c>
      <c r="CP148" s="21">
        <v>30</v>
      </c>
      <c r="CQ148" s="216" t="e">
        <f>IF(QR148="Menor","NO APLICA-MENOR 13 SEM",IF(AND(CC148="SI",CN148&gt;23),"NO APLICA- GEMELAR",IF(QR148="","",IF(QR148&gt;0,HLOOKUP(QR148,$QS$2:RU148,NY148),""))))</f>
        <v>#REF!</v>
      </c>
      <c r="CR148" s="21"/>
      <c r="CS148" s="21"/>
      <c r="CT148" s="217" t="str">
        <f>IF(R148="","",IF(AND(BS148&gt;1,BS148&lt;12,Tabla1[[#This Row],[T.A. SISTOLICA - ANTES DE SEMANA 12]]="",Tabla1[[#This Row],[T.A. DIASTOLICA - ANTES DE SEMANA 12]]=""),"REGISTRE DATO TA ANTES SEMANA 12",IF(AND(BS148&gt;11,BS148&lt;43,Tabla1[[#This Row],[T.A. SISTOLICA - ANTES DE SEMANA 12]]="",Tabla1[[#This Row],[T.A. DIASTOLICA - ANTES DE SEMANA 12]]=""),"NO APLICA REGISTRO TA-INGRESO TARDIO",IF(AND(OR(O148&gt;0,R148&gt;0),OR(CR148&gt;=140,CS148&gt;=90)),"DEFINIR ESTADIO HTA",IF(AND(OR(O148&gt;0,R148&gt;0),AND(CR148&gt;120,CR148&lt;=139)),"PRE HTA SEGUIMIENTO",IF(AND(OR(O148&gt;0,R148&gt;0),AND(CS148&gt;80,CS148&lt;=89)),"PRE HTA SEGUIMIENTO",IF(AND(OR(O148&gt;0,R148&gt;0),AND(CR148&gt;=80,CR148&lt;=120)),"APARENTEMENTE NORMAL",IF(AND(OR(O148&gt;0,R148&gt;0),AND(CS148&gt;=50,CS148&lt;=80)),"APARENTEMENTE NORMAL",IF(AND(OR(O148&gt;0,R148&gt;0),AND(CR148&gt;1,CR148&lt;=70),AND(CS148&gt;1,CS148&lt;=40)),"HIPOTENSIÓN","")))))))))</f>
        <v>NO APLICA REGISTRO TA-INGRESO TARDIO</v>
      </c>
      <c r="CU148" s="21"/>
      <c r="CV148" s="21"/>
      <c r="CW148" s="217" t="str">
        <f ca="1">IF(R148="","",IF(AND(CN148&gt;19,CN148&lt;27,Tabla1[[#This Row],[T.A. SISTOLICA (Entre semana 20 y 26)]]="",Tabla1[[#This Row],[T.A. DIATOLICA (Entre semana 20 y 26)]]=""),"ACUDE A CONTROL SEM 20 A 26 REGISTRE TA AHORA",IF(AND(BS148&gt;1,BS148&lt;27,BU148&gt;19,Tabla1[[#This Row],[T.A. SISTOLICA (Entre semana 20 y 26)]]="",Tabla1[[#This Row],[T.A. DIATOLICA (Entre semana 20 y 26)]]=""),"COMPLETE REGISTRO TA CONTROL SEM 20 A26 ",IF(AND(BS148&gt;26,BS148&lt;43,Tabla1[[#This Row],[T.A. SISTOLICA (Entre semana 20 y 26)]]="",Tabla1[[#This Row],[T.A. DIATOLICA (Entre semana 20 y 26)]]=""),"NO APLICA REGISTRO TA-INGRESO TARDIO",IF(AND(OR(O148&gt;0,R148&gt;0),OR(CU148&gt;=140,CV148&gt;=90)),"ALTO RIESGO PREECLAMPSIA,DEFINIR ESTADIO HTA",IF(AND(OR(O148&gt;0,R148&gt;0),AND(CU148&gt;120,CU148&lt;=139)),"PRE HTA SEGUIMIENTO,RIESGO HIPERTENSION INDUCIDA POR EL EMBARAZO",IF(AND(OR(O148&gt;0,R148&gt;0),AND(CV148&gt;80,CV148&lt;=89)),"PRE HTA SEGUIMIENTO, RIESGO HIPERTENSION INDUCIDA POR EL EMBARAZO",IF(AND(OR(O148&lt;&gt;"",R148&lt;&gt;""),CS148&lt;&gt;"",CV148&lt;&gt;"",CS148&lt;=CV148),"VIGILAR CIFRAS PRESION ARTERIAL",IF(AND(OR(O148&gt;0,R148&gt;0),AND(CU148&gt;120,CU148&lt;=139)),"PRE HTA SEGUIMIENTO",IF(AND(OR(O148&gt;0,R148&gt;0),AND(CU148&gt;1,CU148&lt;=70),AND(CV148&gt;1,CV148&lt;=40)),"HIPOTENSIÓN",IF(AND(OR(O148&lt;&gt;"",R148&lt;&gt;""),CS148&lt;&gt;"",CV148&lt;&gt;"",CS148&gt;CV148),"APARENTEMENTE NORMAL",IF(AND(OR(O148&gt;0,R148&gt;0),AND(CU148&gt;=80,CU148&lt;=120)),"APARENTEMENTE NORMAL",IF(AND(OR(O148&gt;0,R148&gt;0),AND(CV148&gt;=50,CV148&lt;=80)),"APARENTEMENTE NORMAL","")))))))))))))</f>
        <v xml:space="preserve">COMPLETE REGISTRO TA CONTROL SEM 20 A26 </v>
      </c>
      <c r="CX148" s="21"/>
      <c r="CY148" s="21"/>
      <c r="CZ148" s="216" t="str">
        <f t="shared" si="688"/>
        <v/>
      </c>
      <c r="DA148" s="21">
        <v>100</v>
      </c>
      <c r="DB148" s="21">
        <v>60</v>
      </c>
      <c r="DC148" s="217" t="str">
        <f t="shared" si="610"/>
        <v>APARENTEMENTE NORMAL</v>
      </c>
      <c r="DD148" s="22">
        <v>45029</v>
      </c>
      <c r="DE148" s="22">
        <v>45029</v>
      </c>
      <c r="DF148" s="22">
        <v>45120</v>
      </c>
      <c r="DG148" s="22"/>
      <c r="DH148" s="22"/>
      <c r="DI148" s="22"/>
      <c r="DJ148" s="22"/>
      <c r="DK148" s="22"/>
      <c r="DL148" s="22"/>
      <c r="DM148" s="22"/>
      <c r="DN148" s="22"/>
      <c r="DO148" s="22"/>
      <c r="DP148" s="22"/>
      <c r="DQ148" s="22"/>
      <c r="DR148" s="28"/>
      <c r="DS148" s="22"/>
      <c r="DT148" s="22"/>
      <c r="DU148" s="216" t="str">
        <f t="shared" ca="1" si="674"/>
        <v>CONCERTAR PLAN DE PARTO INMEDIATO</v>
      </c>
      <c r="DV148" s="226" t="str">
        <f t="shared" si="675"/>
        <v>ACTIVA INGRESO A CPN</v>
      </c>
      <c r="DW14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8" s="216" t="e">
        <f t="shared" ca="1" si="611"/>
        <v>#REF!</v>
      </c>
      <c r="DY148" s="212">
        <f>IF(R148="","",IF(R148&gt;0,MAX(Tabla1[[#This Row],[FECHA C2]:[FECHA C13]],Tabla1[[#This Row],[FECHA CONSULTA PRIMERA VEZ PROGRAMA CPN ]])))</f>
        <v>45120</v>
      </c>
      <c r="DZ148" s="216">
        <f t="shared" si="612"/>
        <v>27</v>
      </c>
      <c r="EA148" s="222">
        <f>IF(R148&gt;0,SUM(COUNTA(DF148:DQ148)+COUNTA(Tabla1[[#This Row],[FECHA CONSULTA PRIMERA VEZ PROGRAMA CPN ]])),"")</f>
        <v>2</v>
      </c>
      <c r="EB148" s="222" t="str">
        <f t="shared" si="613"/>
        <v>NO</v>
      </c>
      <c r="EC148" s="214">
        <f t="shared" si="614"/>
        <v>8</v>
      </c>
      <c r="ED148" s="227">
        <f t="shared" si="615"/>
        <v>0.25</v>
      </c>
      <c r="EE148" s="22">
        <v>45029</v>
      </c>
      <c r="EF148" s="22">
        <v>45121</v>
      </c>
      <c r="EG148" s="22">
        <v>45029</v>
      </c>
      <c r="EH148" s="22"/>
      <c r="EI148" s="22">
        <v>45029</v>
      </c>
      <c r="EJ148" s="22"/>
      <c r="EK148" s="22"/>
      <c r="EL148" s="21"/>
      <c r="EM148" s="21">
        <v>11.4</v>
      </c>
      <c r="EN148" s="22">
        <v>45029</v>
      </c>
      <c r="EO148" s="222">
        <f t="shared" si="616"/>
        <v>14.285714285714286</v>
      </c>
      <c r="EP148" s="214" t="str">
        <f t="shared" si="617"/>
        <v>NORMAL- SUMINISTRAR SULFATO FERROSO</v>
      </c>
      <c r="EQ148" s="216" t="str">
        <f t="shared" si="618"/>
        <v>II TRIM</v>
      </c>
      <c r="ER148" s="24">
        <v>12</v>
      </c>
      <c r="ES148" s="22">
        <v>45121</v>
      </c>
      <c r="ET148" s="29">
        <f t="shared" ca="1" si="676"/>
        <v>27.428571428571427</v>
      </c>
      <c r="EU148" s="25" t="str">
        <f t="shared" si="619"/>
        <v>NORMAL- SUMINISTRAR SULFATO FERROSO</v>
      </c>
      <c r="EV148" s="24"/>
      <c r="EW148" s="24"/>
      <c r="EX148" s="22"/>
      <c r="EY148" s="29" t="str">
        <f t="shared" si="453"/>
        <v>TOMAR EXAMEN</v>
      </c>
      <c r="EZ148" s="25" t="str">
        <f t="shared" ca="1" si="454"/>
        <v/>
      </c>
      <c r="FA148" s="21">
        <v>60</v>
      </c>
      <c r="FB148" s="22">
        <v>45029</v>
      </c>
      <c r="FC148" s="29">
        <f t="shared" si="620"/>
        <v>14.285714285714286</v>
      </c>
      <c r="FD148" s="29">
        <v>53</v>
      </c>
      <c r="FE148" s="29">
        <v>64</v>
      </c>
      <c r="FF148" s="29">
        <v>121</v>
      </c>
      <c r="FG148" s="21" t="str">
        <f t="shared" ca="1" si="621"/>
        <v>NORMAL</v>
      </c>
      <c r="FH148" s="31">
        <v>45121</v>
      </c>
      <c r="FI148" s="29">
        <f t="shared" si="622"/>
        <v>27.428571428571427</v>
      </c>
      <c r="FJ148" s="22"/>
      <c r="FK148" s="22"/>
      <c r="FL148" s="29" t="str">
        <f t="shared" ca="1" si="623"/>
        <v>NO APLICA-INGRESO TARDIO</v>
      </c>
      <c r="FM148" s="22" t="s">
        <v>867</v>
      </c>
      <c r="FN148" s="32">
        <v>45029</v>
      </c>
      <c r="FO148" s="29">
        <f t="shared" ca="1" si="677"/>
        <v>14.285714285714286</v>
      </c>
      <c r="FP148" s="22" t="s">
        <v>867</v>
      </c>
      <c r="FQ148" s="32">
        <v>45121</v>
      </c>
      <c r="FR148" s="29">
        <f t="shared" ca="1" si="678"/>
        <v>27.428571428571427</v>
      </c>
      <c r="FS148" s="22"/>
      <c r="FT148" s="32"/>
      <c r="FU148" s="29" t="str">
        <f>IF(AND(FJ148="",FM148="",FP148="",FS148=""),"",IF(OR(OR(Tabla1[[#This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8" s="28"/>
      <c r="FW148" s="22"/>
      <c r="FX148" s="29" t="str">
        <f t="shared" si="624"/>
        <v>TOMAR EXAMEN</v>
      </c>
      <c r="FY148" s="22"/>
      <c r="FZ148" s="22"/>
      <c r="GA148" s="29" t="str">
        <f t="shared" ca="1" si="497"/>
        <v>NO APLICA-INGRESO TARDIO</v>
      </c>
      <c r="GB148" s="22" t="s">
        <v>868</v>
      </c>
      <c r="GC148" s="22">
        <v>45029</v>
      </c>
      <c r="GD148" s="29">
        <f t="shared" ca="1" si="679"/>
        <v>14.285714285714286</v>
      </c>
      <c r="GE148" s="22"/>
      <c r="GF148" s="22"/>
      <c r="GG148" s="29" t="str">
        <f t="shared" ca="1" si="680"/>
        <v>TOMA INMEDIATA DE TAMIZAJE</v>
      </c>
      <c r="GH148" s="22"/>
      <c r="GI148" s="29"/>
      <c r="GJ148" s="22"/>
      <c r="GK148" s="22"/>
      <c r="GL148" s="22"/>
      <c r="GM148" s="22"/>
      <c r="GN148" s="28" t="s">
        <v>869</v>
      </c>
      <c r="GO148" s="22">
        <v>45029</v>
      </c>
      <c r="GP148" s="29">
        <f t="shared" si="625"/>
        <v>14.285714285714286</v>
      </c>
      <c r="GQ148" s="28" t="s">
        <v>869</v>
      </c>
      <c r="GR148" s="28" t="s">
        <v>869</v>
      </c>
      <c r="GS148" s="22" t="str">
        <f t="shared" si="626"/>
        <v>CONTROL Igm</v>
      </c>
      <c r="GT148" s="22">
        <v>45121</v>
      </c>
      <c r="GU148" s="29">
        <f t="shared" si="627"/>
        <v>27.428571428571427</v>
      </c>
      <c r="GV148" s="21" t="str">
        <f t="shared" si="628"/>
        <v>II TRIM</v>
      </c>
      <c r="GW148" s="28" t="s">
        <v>869</v>
      </c>
      <c r="GX148" s="30"/>
      <c r="GY148" s="21"/>
      <c r="GZ148" s="21"/>
      <c r="HA148" s="21"/>
      <c r="HB148" s="21"/>
      <c r="HC148" s="21"/>
      <c r="HD148" s="21"/>
      <c r="HE148" s="21"/>
      <c r="HF148" s="22"/>
      <c r="HG148" s="22" t="str">
        <f>IF(OR(O148&gt;0,R148&gt;0),CONCATENATE(IF(Tabla1[[#This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8" s="22" t="e">
        <f t="shared" si="629"/>
        <v>#REF!</v>
      </c>
      <c r="HI148" s="22" t="e">
        <f t="shared" ca="1" si="630"/>
        <v>#REF!</v>
      </c>
      <c r="HJ148" s="21"/>
      <c r="HK148" s="21" t="str">
        <f t="shared" si="631"/>
        <v>SIN ANTECEDENTES DE RIESGO</v>
      </c>
      <c r="HL148" s="24" t="str">
        <f t="shared" si="632"/>
        <v>APARENTEMENTE NORMAL</v>
      </c>
      <c r="HM148" s="21" t="e">
        <f t="shared" ca="1" si="633"/>
        <v>#REF!</v>
      </c>
      <c r="HN148" s="30" t="str">
        <f t="shared" si="681"/>
        <v>ACTIVA INGRESO A CPN</v>
      </c>
      <c r="HO148" s="21"/>
      <c r="HP148" s="21"/>
      <c r="HQ148" s="349">
        <v>45029</v>
      </c>
      <c r="HR148" s="21" t="str">
        <f>IF(R148="","",IF(Tabla1[[#This Row],[ALARMA FACTORES DE RIESGO COMPLICACIONES HIPERTENSIVAS3]]="SIN ANTECEDENTES DE RIESGO","No Aplica para suministro de ASA",IF(AND(Tabla1[[#This Row],[FECHA INICIO DE SUMINISTRO DE ASA]]&gt;0,RV148&lt;12),"Inicia ASA ANTES de Sem 12",IF(AND(RV148&gt;11,RV148&lt;17,OR(HK148="RIESGO ALTO DE COMPLICACIONES HIPERTENSIVAS VER MANEJO GUIA SUMINISTRO ASA Y CALCIO",HK148="RIESGO MODERADO (2 O MAS CRITERIOS) VER MANEJO GUIA SUMINISTRO ASA Y CALCIO")),"Inicio oportuno de ASA",IF(AND(RV148&gt;12,OR(HK148="RIESGO ALTO DE COMPLICACIONES HIPERTENSIVAS VER MANEJO GUIA SUMINISTRO ASA Y CALCIO",HK148="RIESGO MODERADO (2 O MAS CRITERIOS) VER MANEJO GUIA SUMINISTRO ASA Y CALCIO")),"Inicio no oportuno mayor a 16 semanas",IF(AND(BU148&lt;12,OR(HK148="RIESGO ALTO DE COMPLICACIONES HIPERTENSIVAS VER MANEJO GUIA SUMINISTRO ASA Y CALCIO",HK148="RIESGO MODERADO (2 O MAS CRITERIOS) VER MANEJO GUIA SUMINISTRO ASA Y CALCIO")),"Pendiente Inicio de ASA a la semana 12",IF(AND(BU148&gt;11,BU148&lt;17,OR(HK148="RIESGO ALTO DE COMPLICACIONES HIPERTENSIVAS VER MANEJO GUIA SUMINISTRO ASA Y CALCIO",HK148="RIESGO MODERADO (2 O MAS CRITERIOS) VER MANEJO GUIA SUMINISTRO ASA Y CALCIO")),"Iniciar de inmediato ASA",IF(AND(BU148&gt;16,OR(HK148="RIESGO ALTO DE COMPLICACIONES HIPERTENSIVAS VER MANEJO GUIA SUMINISTRO ASA Y CALCIO",HK148="RIESGO MODERADO (2 O MAS CRITERIOS) VER MANEJO GUIA SUMINISTRO ASA Y CALCIO")),"Pierde Oportunidad, Inicio tardío de ASA","XXXXX"))))))))</f>
        <v>No Aplica para suministro de ASA</v>
      </c>
      <c r="HS148" s="22">
        <v>45029</v>
      </c>
      <c r="HT148" s="22" t="s">
        <v>870</v>
      </c>
      <c r="HU148" s="22">
        <v>45029</v>
      </c>
      <c r="HV148" s="22" t="s">
        <v>870</v>
      </c>
      <c r="HW148" s="22">
        <v>45029</v>
      </c>
      <c r="HX148" s="22" t="s">
        <v>870</v>
      </c>
      <c r="HY148" s="22">
        <v>45029</v>
      </c>
      <c r="HZ148" s="28">
        <f t="shared" si="634"/>
        <v>14.285714285714286</v>
      </c>
      <c r="IA148" s="26"/>
      <c r="IB148" s="26"/>
      <c r="IC148" s="111">
        <v>45121</v>
      </c>
      <c r="ID148" s="111">
        <v>45121</v>
      </c>
      <c r="IE148" s="22" t="str">
        <f t="shared" ca="1" si="635"/>
        <v>VACUNA APLICADA ENTRE SEMANA 27 Y EL PARTO</v>
      </c>
      <c r="IF148" s="22"/>
      <c r="IG148" s="22">
        <f t="shared" si="636"/>
        <v>45209</v>
      </c>
      <c r="IH148" s="29">
        <f t="shared" ca="1" si="637"/>
        <v>-24</v>
      </c>
      <c r="II148" s="22" t="str">
        <f t="shared" ca="1" si="638"/>
        <v>POSIBLEMENTE NACIO</v>
      </c>
      <c r="IJ148" s="22"/>
      <c r="IK148" s="21"/>
      <c r="IL148" s="21"/>
      <c r="IM148" s="34"/>
      <c r="IN148" s="22"/>
      <c r="IO148" s="21"/>
      <c r="IP148" s="29" t="str">
        <f t="shared" si="672"/>
        <v/>
      </c>
      <c r="IQ148" s="35"/>
      <c r="IR148" s="21"/>
      <c r="IS148" s="21"/>
      <c r="IT148" s="21"/>
      <c r="IU148" s="21"/>
      <c r="IV148" s="21"/>
      <c r="IW148" s="21"/>
      <c r="IX148" s="21"/>
      <c r="IY148" s="21"/>
      <c r="IZ148" s="21"/>
      <c r="JA148" s="21"/>
      <c r="JB148" s="30"/>
      <c r="JC148" s="21"/>
      <c r="JD148" s="36"/>
      <c r="JE148" s="21" t="str">
        <f t="shared" si="682"/>
        <v/>
      </c>
      <c r="JF148" s="30"/>
      <c r="JG148" s="21"/>
      <c r="JH148" s="21"/>
      <c r="JI148" s="21"/>
      <c r="JJ148" s="30"/>
      <c r="JK148" s="22"/>
      <c r="JL148" s="22"/>
      <c r="JM148" s="21"/>
      <c r="JN148" s="36"/>
      <c r="JO148" s="21" t="str">
        <f t="shared" si="683"/>
        <v/>
      </c>
      <c r="JP148" s="22"/>
      <c r="JQ148" s="21"/>
      <c r="JR148" s="21"/>
      <c r="JS148" s="21"/>
      <c r="JT148" s="30"/>
      <c r="JU148" s="22"/>
      <c r="JV148" s="22"/>
      <c r="JW148" s="33"/>
      <c r="JX148" s="28" t="str">
        <f t="shared" si="684"/>
        <v/>
      </c>
      <c r="JY148" s="33"/>
      <c r="JZ148" s="28" t="str">
        <f t="shared" si="685"/>
        <v/>
      </c>
      <c r="KA148" s="21"/>
      <c r="KB148" s="21"/>
      <c r="KC148" s="21"/>
      <c r="KD148" s="37"/>
      <c r="KE148" s="28"/>
      <c r="KF148" s="28"/>
      <c r="KG148" s="28"/>
      <c r="KH148" s="39"/>
      <c r="KI148" s="39"/>
      <c r="KJ148" s="66"/>
      <c r="KK148" s="39"/>
      <c r="KL148" s="39"/>
      <c r="KM148" s="66"/>
      <c r="KN148" s="39"/>
      <c r="KO148" s="39"/>
      <c r="KP148" s="39"/>
      <c r="KQ148" s="39"/>
      <c r="KR148" s="39"/>
      <c r="KS148" s="39"/>
      <c r="KT148" s="39"/>
      <c r="KU148" s="38"/>
      <c r="KV148" s="38"/>
      <c r="KW148" s="38"/>
      <c r="KX148" s="38"/>
      <c r="KY148" s="38"/>
      <c r="KZ148" s="38"/>
      <c r="LA148" s="38"/>
      <c r="LB148" s="38"/>
      <c r="LC148" s="38"/>
      <c r="LD148" s="38"/>
      <c r="LE148" s="38"/>
      <c r="LF148" s="38"/>
      <c r="LG148" s="38"/>
      <c r="LH148" s="38"/>
      <c r="LI148" s="38"/>
      <c r="LJ148" s="38"/>
      <c r="LK148" s="38"/>
      <c r="LL148" s="38"/>
      <c r="LM148" s="38"/>
      <c r="LN148" s="38"/>
      <c r="LO148" s="38"/>
      <c r="LP148" s="38"/>
      <c r="LQ148" s="38"/>
      <c r="LR148" s="38"/>
      <c r="LS148" s="38"/>
      <c r="LT148" s="38"/>
      <c r="LU148" s="38"/>
      <c r="LV148" s="38"/>
      <c r="LW148" s="38"/>
      <c r="LX148" s="38"/>
      <c r="LY148" s="38"/>
      <c r="LZ148" s="38"/>
      <c r="MA148" s="38"/>
      <c r="MB148" s="38"/>
      <c r="MC148" s="38"/>
      <c r="MD148" s="38"/>
      <c r="ME148" s="38"/>
      <c r="MF148" s="38"/>
      <c r="MG148" s="38"/>
      <c r="MH148" s="43">
        <f t="shared" si="639"/>
        <v>0</v>
      </c>
      <c r="MI148" s="43" t="str">
        <f t="shared" si="640"/>
        <v/>
      </c>
      <c r="MJ148" s="43" t="str">
        <f t="shared" si="641"/>
        <v/>
      </c>
      <c r="MK148" s="43">
        <f t="shared" si="642"/>
        <v>0</v>
      </c>
      <c r="ML1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8" s="43">
        <f t="shared" si="643"/>
        <v>14.285714285714286</v>
      </c>
      <c r="MN148" s="43">
        <f t="shared" si="644"/>
        <v>4</v>
      </c>
      <c r="MO148" s="43">
        <f t="shared" si="645"/>
        <v>2023</v>
      </c>
      <c r="MP148" s="43" t="str">
        <f t="shared" si="646"/>
        <v>II TRIMESTRE AÑO</v>
      </c>
      <c r="MQ148" s="43">
        <f t="shared" si="647"/>
        <v>14.624397722295226</v>
      </c>
      <c r="MR148" s="43">
        <f t="shared" si="648"/>
        <v>1</v>
      </c>
      <c r="MS148" s="43" t="str">
        <f t="shared" si="649"/>
        <v>DE 14 A 19AÑOS</v>
      </c>
      <c r="MT148" s="43">
        <f t="shared" si="650"/>
        <v>0</v>
      </c>
      <c r="MU148" s="43">
        <f t="shared" si="651"/>
        <v>1</v>
      </c>
      <c r="MV148" s="43">
        <f t="shared" si="652"/>
        <v>0</v>
      </c>
      <c r="MW148" s="43">
        <f t="shared" si="653"/>
        <v>0</v>
      </c>
      <c r="MX148" s="43" t="str">
        <f t="shared" si="654"/>
        <v/>
      </c>
      <c r="MY148" s="43" t="str">
        <f t="shared" ca="1" si="686"/>
        <v/>
      </c>
      <c r="MZ148" s="43" t="str">
        <f t="shared" si="655"/>
        <v/>
      </c>
      <c r="NA148" s="43" t="str">
        <f t="shared" si="656"/>
        <v/>
      </c>
      <c r="NB148" s="43" t="str">
        <f t="shared" si="657"/>
        <v/>
      </c>
      <c r="NC148" s="43" t="str">
        <f t="shared" si="658"/>
        <v/>
      </c>
      <c r="ND148" s="43">
        <f t="shared" ca="1" si="659"/>
        <v>2</v>
      </c>
      <c r="NE148" s="43">
        <f>IF(OR(O148&gt;0,R148&gt;0),SUM(COUNTIF(Tabla1[[#This Row],[AÑOS AL INICIO5 CPN]],"&gt;=40"),COUNTIF(AS148,"0"),COUNTIF(AR148,"SI"),COUNTIF(CC148,"SI"),COUNTIF(BQ148,"&gt;119"),COUNTIF(CI148,"&gt;=35")),"")</f>
        <v>1</v>
      </c>
      <c r="NF148" s="43">
        <f t="shared" si="660"/>
        <v>27.428571428571427</v>
      </c>
      <c r="NG148" s="43">
        <f t="shared" si="661"/>
        <v>0</v>
      </c>
      <c r="NH148" s="43">
        <f t="shared" si="662"/>
        <v>182</v>
      </c>
      <c r="NI14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CPN",P148="NO"),"Z",IF(AND(Tabla1[[#This Row],[CITA PROXIMO CONTROL]]="CITA MANUAL",Tabla1[[#This Row],[GESTANTES ACTUALES]]="ACTIVA INGRESO A CPN"),"W",IF(AND(Tabla1[[#This Row],[GESTANTES ACTUALES]]="SALIO PROGRAMA",IN148=""),"S",IF(AND(Tabla1[[#This Row],[CITA PROXIMO CONTROL]]&gt;0,IN148=""),(Tabla1[[#This Row],[CITA PROXIMO CONTROL]]-TODAY()),"SD"))))))))</f>
        <v>#REF!</v>
      </c>
      <c r="NJ148" s="43">
        <f>MONTH(Tabla1[[#This Row],[FECHA DE SALIDA  DEL PROGRAMA]])</f>
        <v>1</v>
      </c>
      <c r="NK148" s="43">
        <f>YEAR(Tabla1[[#This Row],[FECHA DE SALIDA  DEL PROGRAMA]])</f>
        <v>1900</v>
      </c>
      <c r="NL148" s="43" t="str">
        <f t="shared" si="663"/>
        <v>X</v>
      </c>
      <c r="NM148" s="43" t="str">
        <f t="shared" si="500"/>
        <v>NO</v>
      </c>
      <c r="NN148" s="43" t="str">
        <f ca="1">IF(AND(O148&gt;0,R148=""),"NO CPN",IF(AND(O148="",R148=""),"",IF(AND(R148&gt;0,Tabla1[[#This Row],[SEMANAS DE GESTACION ACTUALIZADAS]]&lt;=12),"NO APLICA",IF(AND(FH148&lt;&gt;"",FN148&lt;&gt;""),"SI","NO"))))</f>
        <v>SI</v>
      </c>
      <c r="NO148" s="43" t="str">
        <f ca="1">IF(AND(O148&gt;0,R148=""),"NO CPN",IF(AND(O148="",R148=""),"",IF(AND(R148&gt;0,Tabla1[[#This Row],[SEMANAS DE GESTACION ACTUALIZADAS]]&lt;=27),"NO APLICA",IF(AND(ES148&lt;&gt;"",FQ148&lt;&gt;"",GF148&lt;&gt;""),"SI","NO"))))</f>
        <v>NO</v>
      </c>
      <c r="NP148" s="204" t="str">
        <f t="shared" si="664"/>
        <v>II TRIM</v>
      </c>
      <c r="NQ148" s="21" t="str">
        <f t="shared" si="689"/>
        <v/>
      </c>
      <c r="NR148" s="21" t="str">
        <f t="shared" ca="1" si="687"/>
        <v>REVISAR FUM O FECHA SALIDA PROGRAMA</v>
      </c>
      <c r="NS148" s="205">
        <f t="shared" ca="1" si="665"/>
        <v>2</v>
      </c>
      <c r="NT148" s="21">
        <f t="shared" ca="1" si="666"/>
        <v>1</v>
      </c>
      <c r="NU148" s="21" t="str">
        <f t="shared" ca="1" si="667"/>
        <v>POR DEFINIR</v>
      </c>
      <c r="NV148" s="21" t="str">
        <f t="shared" ca="1" si="668"/>
        <v>POR DEFINIR</v>
      </c>
      <c r="NW148" s="206" t="str">
        <f>IF(AND(O148="",R148=""),"",IF(OR(AND(Tabla1[[#This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48" s="207" t="str">
        <f t="shared" ca="1" si="669"/>
        <v>VACUNADA</v>
      </c>
      <c r="NY148" s="43">
        <f>ROW(Tabla1[[#This Row],['# DE TAMIZAJES SIFILIS TOMADOS ]])</f>
        <v>148</v>
      </c>
      <c r="NZ148" s="43">
        <f t="shared" si="501"/>
        <v>14</v>
      </c>
      <c r="OA148" s="43" t="str">
        <f t="shared" si="502"/>
        <v/>
      </c>
      <c r="OB148" s="43" t="str">
        <f t="shared" si="503"/>
        <v/>
      </c>
      <c r="OC148" s="43" t="str">
        <f t="shared" si="504"/>
        <v/>
      </c>
      <c r="OD148" s="43" t="str">
        <f t="shared" si="505"/>
        <v/>
      </c>
      <c r="OE148" s="43" t="str">
        <f t="shared" si="506"/>
        <v/>
      </c>
      <c r="OF148" s="43" t="str">
        <f t="shared" si="507"/>
        <v>NORMAL</v>
      </c>
      <c r="OG148" s="43" t="str">
        <f t="shared" si="508"/>
        <v/>
      </c>
      <c r="OH148" s="43" t="str">
        <f t="shared" si="509"/>
        <v/>
      </c>
      <c r="OI148" s="43" t="str">
        <f t="shared" si="510"/>
        <v/>
      </c>
      <c r="OJ148" s="43" t="str">
        <f t="shared" si="511"/>
        <v/>
      </c>
      <c r="OK148" s="43" t="str">
        <f t="shared" si="512"/>
        <v/>
      </c>
      <c r="OL148" s="43" t="str">
        <f t="shared" si="513"/>
        <v/>
      </c>
      <c r="OM148" s="43" t="str">
        <f t="shared" si="514"/>
        <v/>
      </c>
      <c r="ON148" s="43" t="str">
        <f t="shared" si="515"/>
        <v/>
      </c>
      <c r="OO148" s="43" t="str">
        <f t="shared" si="516"/>
        <v/>
      </c>
      <c r="OP148" s="43" t="str">
        <f t="shared" si="517"/>
        <v/>
      </c>
      <c r="OQ148" s="43" t="str">
        <f t="shared" si="518"/>
        <v/>
      </c>
      <c r="OR148" s="43" t="str">
        <f t="shared" si="519"/>
        <v/>
      </c>
      <c r="OS148" s="43" t="str">
        <f t="shared" si="520"/>
        <v/>
      </c>
      <c r="OT148" s="43" t="str">
        <f t="shared" si="521"/>
        <v/>
      </c>
      <c r="OU148" s="43" t="str">
        <f t="shared" si="522"/>
        <v/>
      </c>
      <c r="OV148" s="110" t="str">
        <f t="shared" si="523"/>
        <v/>
      </c>
      <c r="OW148" s="43" t="str">
        <f t="shared" si="524"/>
        <v/>
      </c>
      <c r="OX148" s="43" t="str">
        <f t="shared" si="525"/>
        <v/>
      </c>
      <c r="OY148" s="43" t="str">
        <f t="shared" si="526"/>
        <v/>
      </c>
      <c r="OZ148" s="43" t="str">
        <f t="shared" si="527"/>
        <v/>
      </c>
      <c r="PA148" s="43" t="str">
        <f t="shared" si="528"/>
        <v/>
      </c>
      <c r="PB148" s="43" t="str">
        <f t="shared" si="529"/>
        <v/>
      </c>
      <c r="PC148" s="43" t="str">
        <f t="shared" si="530"/>
        <v/>
      </c>
      <c r="PD148" s="43" t="str">
        <f t="shared" si="531"/>
        <v/>
      </c>
      <c r="PE148" s="43" t="str">
        <f t="shared" si="532"/>
        <v/>
      </c>
      <c r="PF148" s="43" t="str">
        <f t="shared" si="533"/>
        <v/>
      </c>
      <c r="PG148" s="43" t="str">
        <f t="shared" si="534"/>
        <v/>
      </c>
      <c r="PH148" s="43" t="str">
        <f t="shared" si="535"/>
        <v/>
      </c>
      <c r="PI148" s="43">
        <f t="shared" si="536"/>
        <v>27</v>
      </c>
      <c r="PJ148" s="43" t="str">
        <f t="shared" si="537"/>
        <v/>
      </c>
      <c r="PK148" s="43" t="str">
        <f t="shared" si="538"/>
        <v/>
      </c>
      <c r="PL148" s="43" t="str">
        <f t="shared" si="539"/>
        <v/>
      </c>
      <c r="PM148" s="43" t="str">
        <f t="shared" si="540"/>
        <v/>
      </c>
      <c r="PN148" s="43" t="str">
        <f t="shared" si="541"/>
        <v/>
      </c>
      <c r="PO148" s="43" t="str">
        <f t="shared" si="542"/>
        <v/>
      </c>
      <c r="PP148" s="43" t="str">
        <f t="shared" si="543"/>
        <v/>
      </c>
      <c r="PQ148" s="43" t="str">
        <f t="shared" si="544"/>
        <v/>
      </c>
      <c r="PR148" s="43" t="str">
        <f t="shared" si="545"/>
        <v/>
      </c>
      <c r="PS148" s="43" t="str">
        <f t="shared" si="546"/>
        <v/>
      </c>
      <c r="PT148" s="43" t="str">
        <f t="shared" si="547"/>
        <v/>
      </c>
      <c r="PU148" s="43" t="str">
        <f t="shared" si="548"/>
        <v/>
      </c>
      <c r="PV148" s="43" t="str">
        <f t="shared" si="549"/>
        <v/>
      </c>
      <c r="PW148" s="43" t="str">
        <f t="shared" si="550"/>
        <v/>
      </c>
      <c r="PX148" s="43" t="str">
        <f t="shared" si="551"/>
        <v/>
      </c>
      <c r="PY148" s="43" t="str">
        <f t="shared" si="552"/>
        <v/>
      </c>
      <c r="PZ148" s="43" t="str">
        <f t="shared" si="553"/>
        <v/>
      </c>
      <c r="QA148" s="43" t="str">
        <f t="shared" si="554"/>
        <v/>
      </c>
      <c r="QB148" s="43" t="str">
        <f t="shared" si="555"/>
        <v>BAJO PESO</v>
      </c>
      <c r="QC148" s="43" t="str">
        <f t="shared" si="556"/>
        <v/>
      </c>
      <c r="QD148" s="43" t="str">
        <f t="shared" si="557"/>
        <v/>
      </c>
      <c r="QE148" s="43" t="str">
        <f t="shared" si="558"/>
        <v/>
      </c>
      <c r="QF148" s="43" t="str">
        <f t="shared" si="559"/>
        <v/>
      </c>
      <c r="QG148" s="43" t="str">
        <f t="shared" si="560"/>
        <v/>
      </c>
      <c r="QH148" s="43" t="str">
        <f t="shared" si="561"/>
        <v/>
      </c>
      <c r="QI148" s="43" t="str">
        <f t="shared" si="562"/>
        <v/>
      </c>
      <c r="QJ148" s="43" t="str">
        <f t="shared" si="563"/>
        <v/>
      </c>
      <c r="QK148" s="43" t="str">
        <f t="shared" si="564"/>
        <v/>
      </c>
      <c r="QL148" s="43" t="str">
        <f t="shared" si="565"/>
        <v/>
      </c>
      <c r="QM148" s="43" t="str">
        <f t="shared" si="566"/>
        <v/>
      </c>
      <c r="QN148" s="43" t="str">
        <f t="shared" si="567"/>
        <v/>
      </c>
      <c r="QO148" s="43" t="str">
        <f t="shared" si="568"/>
        <v/>
      </c>
      <c r="QP148" s="43" t="str">
        <f t="shared" si="569"/>
        <v/>
      </c>
      <c r="QQ148" s="43" t="str">
        <f t="shared" si="570"/>
        <v/>
      </c>
      <c r="QR148" s="43">
        <f t="shared" si="670"/>
        <v>27</v>
      </c>
      <c r="QS148" s="43"/>
      <c r="QT148" s="21" t="str">
        <f t="shared" si="571"/>
        <v/>
      </c>
      <c r="QU148" s="21" t="str">
        <f t="shared" si="572"/>
        <v/>
      </c>
      <c r="QV148" s="21" t="str">
        <f t="shared" si="573"/>
        <v/>
      </c>
      <c r="QW148" s="21" t="str">
        <f t="shared" si="574"/>
        <v/>
      </c>
      <c r="QX148" s="21" t="str">
        <f t="shared" si="575"/>
        <v/>
      </c>
      <c r="QY148" s="21" t="str">
        <f t="shared" si="576"/>
        <v/>
      </c>
      <c r="QZ148" s="21" t="str">
        <f t="shared" si="577"/>
        <v/>
      </c>
      <c r="RA148" s="21" t="str">
        <f t="shared" si="578"/>
        <v/>
      </c>
      <c r="RB148" s="21" t="str">
        <f t="shared" si="579"/>
        <v/>
      </c>
      <c r="RC148" s="21" t="str">
        <f t="shared" si="580"/>
        <v/>
      </c>
      <c r="RD148" s="21" t="str">
        <f t="shared" si="581"/>
        <v/>
      </c>
      <c r="RE148" s="21" t="str">
        <f t="shared" si="582"/>
        <v/>
      </c>
      <c r="RF148" s="21" t="str">
        <f t="shared" si="583"/>
        <v/>
      </c>
      <c r="RG148" s="21" t="str">
        <f t="shared" si="584"/>
        <v/>
      </c>
      <c r="RH148" s="21" t="str">
        <f t="shared" si="585"/>
        <v>ALTO PARA EDAD GESTACIONAL</v>
      </c>
      <c r="RI148" s="21" t="str">
        <f t="shared" si="586"/>
        <v/>
      </c>
      <c r="RJ148" s="21" t="str">
        <f t="shared" si="587"/>
        <v/>
      </c>
      <c r="RK148" s="21" t="str">
        <f t="shared" si="588"/>
        <v/>
      </c>
      <c r="RL148" s="21" t="str">
        <f t="shared" si="589"/>
        <v/>
      </c>
      <c r="RM148" s="21" t="str">
        <f t="shared" si="590"/>
        <v/>
      </c>
      <c r="RN148" s="21" t="str">
        <f t="shared" si="591"/>
        <v/>
      </c>
      <c r="RO148" s="21" t="str">
        <f t="shared" si="592"/>
        <v/>
      </c>
      <c r="RP148" s="21" t="str">
        <f t="shared" si="593"/>
        <v/>
      </c>
      <c r="RQ148" s="21" t="str">
        <f t="shared" si="594"/>
        <v/>
      </c>
      <c r="RR148" s="21" t="str">
        <f t="shared" si="595"/>
        <v/>
      </c>
      <c r="RS148" s="21" t="str">
        <f t="shared" si="596"/>
        <v/>
      </c>
      <c r="RT148" s="21" t="str">
        <f t="shared" si="597"/>
        <v/>
      </c>
      <c r="RU148" s="21" t="str">
        <f t="shared" si="598"/>
        <v/>
      </c>
      <c r="RV148" s="21">
        <f t="shared" si="599"/>
        <v>14.285714285714286</v>
      </c>
      <c r="RW148" s="284">
        <f>IF(OR(Tabla1[[#This Row],[FUM FORMULA CONFIABLE]]="",Tabla1[[#This Row],[FUM FORMULA CONFIABLE]]="SD"),"",IF(Tabla1[[#This Row],[FUM FORMULA CONFIABLE]]="CORREGIDA",Tabla1[[#This Row],[FUM X ECO 1]],Tabla1[[#This Row],[FUM x AMENORREA]]))</f>
        <v>44929</v>
      </c>
      <c r="RX148" s="21">
        <f>IF(AND(Tabla1[[#This Row],[FUM X ECO 1]]="",Tabla1[[#This Row],[FUM x AMENORREA]]=""),"",IF(AND(Tabla1[[#This Row],[FUM X ECO 1]]="",Tabla1[[#This Row],[FUM x AMENORREA]]&lt;&gt;""),"X",SUM(Tabla1[[#This Row],[FUM X ECO 1]]-Tabla1[[#This Row],[FUM x AMENORREA]])))</f>
        <v>10</v>
      </c>
      <c r="RY148" s="21">
        <f t="shared" si="671"/>
        <v>1</v>
      </c>
    </row>
    <row r="149" spans="1:493" ht="45" customHeight="1" x14ac:dyDescent="0.25">
      <c r="A149" s="109"/>
      <c r="B149" s="43"/>
      <c r="C149" s="43" t="s">
        <v>845</v>
      </c>
      <c r="D149" s="124"/>
      <c r="E149" s="43" t="s">
        <v>873</v>
      </c>
      <c r="F149" s="43" t="s">
        <v>1435</v>
      </c>
      <c r="G149" s="43" t="s">
        <v>1436</v>
      </c>
      <c r="H149" s="43" t="s">
        <v>1437</v>
      </c>
      <c r="I149" s="109" t="s">
        <v>851</v>
      </c>
      <c r="J149" s="110">
        <v>1059601742</v>
      </c>
      <c r="K149" s="43" t="s">
        <v>852</v>
      </c>
      <c r="L149" s="175" t="s">
        <v>853</v>
      </c>
      <c r="M149" s="22">
        <v>34229</v>
      </c>
      <c r="N149" s="213">
        <f t="shared" ca="1" si="600"/>
        <v>30.147945205479452</v>
      </c>
      <c r="O149" s="22">
        <v>45031</v>
      </c>
      <c r="P149" s="214" t="str">
        <f t="shared" si="673"/>
        <v>SI</v>
      </c>
      <c r="Q149" s="26" t="s">
        <v>855</v>
      </c>
      <c r="R149" s="22">
        <v>45031</v>
      </c>
      <c r="S149" s="21" t="s">
        <v>856</v>
      </c>
      <c r="T149" s="24" t="s">
        <v>690</v>
      </c>
      <c r="U149" s="21" t="s">
        <v>857</v>
      </c>
      <c r="V149" s="21" t="s">
        <v>858</v>
      </c>
      <c r="W149" s="21" t="s">
        <v>1438</v>
      </c>
      <c r="X149" s="21"/>
      <c r="Y149" s="21"/>
      <c r="Z149" s="21">
        <v>3042682783</v>
      </c>
      <c r="AA149" s="21" t="s">
        <v>860</v>
      </c>
      <c r="AB149" s="27" t="s">
        <v>861</v>
      </c>
      <c r="AC149" s="26" t="s">
        <v>877</v>
      </c>
      <c r="AD149" s="38" t="s">
        <v>1546</v>
      </c>
      <c r="AE149" s="26" t="s">
        <v>854</v>
      </c>
      <c r="AF149" s="26" t="s">
        <v>854</v>
      </c>
      <c r="AG149" s="23" t="s">
        <v>864</v>
      </c>
      <c r="AH149" s="23" t="s">
        <v>864</v>
      </c>
      <c r="AI149" s="24" t="s">
        <v>863</v>
      </c>
      <c r="AJ149" s="23" t="s">
        <v>864</v>
      </c>
      <c r="AK149" s="220" t="str">
        <f>IF(AND(AD149="",AE149="",AF149="",AG149="",AH149="",AI149="",AJ149=""),"",IF(OR(Tabla1[[#This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EVALUACIÓN",IF(AND(O149="",R149=""),"",IF(AND(OR(O149&gt;0,R149&gt;0),NG149&gt;=0,NG149&lt;2),"SIN RIESGO",IF(AND(OR(O149&gt;0,R149&gt;0),NG149&gt;=2),"CON RIESGO","ASD")))))</f>
        <v>SIN RIESGO</v>
      </c>
      <c r="AL149" s="23" t="s">
        <v>864</v>
      </c>
      <c r="AM149" s="26" t="s">
        <v>864</v>
      </c>
      <c r="AN149" s="26" t="s">
        <v>864</v>
      </c>
      <c r="AO149" s="26" t="s">
        <v>864</v>
      </c>
      <c r="AP149" s="26" t="s">
        <v>864</v>
      </c>
      <c r="AQ149" s="26" t="s">
        <v>864</v>
      </c>
      <c r="AR149" s="26" t="s">
        <v>864</v>
      </c>
      <c r="AS149" s="21">
        <v>1</v>
      </c>
      <c r="AT149" s="21">
        <v>1</v>
      </c>
      <c r="AU149" s="21">
        <v>0</v>
      </c>
      <c r="AV149" s="26" t="s">
        <v>864</v>
      </c>
      <c r="AW149" s="21">
        <v>0</v>
      </c>
      <c r="AX149" s="26" t="s">
        <v>864</v>
      </c>
      <c r="AY149" s="26" t="s">
        <v>864</v>
      </c>
      <c r="AZ149" s="26" t="s">
        <v>864</v>
      </c>
      <c r="BA149" s="26" t="s">
        <v>864</v>
      </c>
      <c r="BB149" s="26" t="s">
        <v>864</v>
      </c>
      <c r="BC149" s="26" t="s">
        <v>864</v>
      </c>
      <c r="BD149" s="26" t="s">
        <v>864</v>
      </c>
      <c r="BE149" s="26" t="s">
        <v>864</v>
      </c>
      <c r="BF149" s="26" t="s">
        <v>864</v>
      </c>
      <c r="BG149" s="26" t="s">
        <v>864</v>
      </c>
      <c r="BH149" s="26" t="s">
        <v>864</v>
      </c>
      <c r="BI149" s="26" t="s">
        <v>864</v>
      </c>
      <c r="BJ149" s="26" t="s">
        <v>864</v>
      </c>
      <c r="BK149" s="26" t="s">
        <v>864</v>
      </c>
      <c r="BL149" s="26" t="s">
        <v>864</v>
      </c>
      <c r="BM149" s="26" t="s">
        <v>864</v>
      </c>
      <c r="BN149" s="22"/>
      <c r="BO149" s="22">
        <v>44948</v>
      </c>
      <c r="BP149" s="21" t="s">
        <v>1380</v>
      </c>
      <c r="BQ149" s="222">
        <f t="shared" si="601"/>
        <v>0</v>
      </c>
      <c r="BR149" s="223">
        <f t="shared" si="602"/>
        <v>44954.5</v>
      </c>
      <c r="BS149" s="224">
        <f t="shared" si="603"/>
        <v>10.928571428571429</v>
      </c>
      <c r="BT149" s="216" t="str">
        <f t="shared" si="604"/>
        <v>II TRIM</v>
      </c>
      <c r="BU149" s="214">
        <f t="shared" ca="1" si="605"/>
        <v>39.785714285714285</v>
      </c>
      <c r="BV149" s="25" t="s">
        <v>988</v>
      </c>
      <c r="BW149" s="22">
        <v>45021</v>
      </c>
      <c r="BX149" s="28">
        <v>9.5</v>
      </c>
      <c r="BY149" s="28" t="s">
        <v>988</v>
      </c>
      <c r="BZ149" s="22">
        <v>45035</v>
      </c>
      <c r="CA149" s="21">
        <v>12.2</v>
      </c>
      <c r="CB149" s="26" t="s">
        <v>864</v>
      </c>
      <c r="CC149" s="26" t="s">
        <v>864</v>
      </c>
      <c r="CD149" s="26"/>
      <c r="CE149" s="26" t="s">
        <v>864</v>
      </c>
      <c r="CF149" s="22" t="s">
        <v>1517</v>
      </c>
      <c r="CG149" s="21">
        <v>1.51</v>
      </c>
      <c r="CH149" s="21">
        <v>53.5</v>
      </c>
      <c r="CI149" s="214">
        <f t="shared" si="606"/>
        <v>23.463883163019165</v>
      </c>
      <c r="CJ149" s="225" t="e">
        <f>IF(AND(CI149&lt;10,CH149="SD"),"SIN DATO PESO PREGESTACION O I TRIM",IF(AND(OR(R149&gt;0,O149&gt;0),CI149="X"),"INGRESAR DATO DE PESO",IF(CI149="SD","INGRESAR DATO DE TALLA Y PESO",IF(AND(OR(Tabla1[[#This Row],[MOMENTO EN QUE SE REALIZA EL PESO AL INGRESO A CPN]]="PREGESTACIÓN",NZ149="Menor"),CI149&lt;18.5),"BAJO PESO",IF(AND(OR(Tabla1[[#This Row],[MOMENTO EN QUE SE REALIZA EL PESO AL INGRESO A CPN]]="PREGESTACIÓN",NZ149="Menor"),CI149&lt;25),"NORMAL",IF(AND(OR(Tabla1[[#This Row],[MOMENTO EN QUE SE REALIZA EL PESO AL INGRESO A CPN]]="PREGESTACIÓN",NZ149="Menor"),CI149&lt;30),"SOBREPESO",IF(AND(OR(Tabla1[[#This Row],[MOMENTO EN QUE SE REALIZA EL PESO AL INGRESO A CPN]]="PREGESTACIÓN",NZ149="Menor"),CI149&gt;=30,CI149&lt;50),"OBESIDAD",IF(AND(BS149&gt;0,Tabla1[[#This Row],[MOMENTO EN QUE SE REALIZA EL PESO AL INGRESO A CPN]]="GESTACIÓN"),HLOOKUP(NZ149,$OA$2:PH149,NY149),""))))))))</f>
        <v>#REF!</v>
      </c>
      <c r="CK149" s="212">
        <f t="shared" si="607"/>
        <v>45157</v>
      </c>
      <c r="CL149" s="21">
        <v>57.2</v>
      </c>
      <c r="CM149" s="214">
        <f t="shared" si="608"/>
        <v>25.08661900793825</v>
      </c>
      <c r="CN149" s="216">
        <f t="shared" si="609"/>
        <v>28</v>
      </c>
      <c r="CO149" s="216" t="e">
        <f>IF(PI149="","",IF(PI149&gt;0,HLOOKUP(PI149,$PJ$2:QQ149,NY149),""))</f>
        <v>#REF!</v>
      </c>
      <c r="CP149" s="21">
        <v>26</v>
      </c>
      <c r="CQ149" s="216" t="e">
        <f>IF(QR149="Menor","NO APLICA-MENOR 13 SEM",IF(AND(CC149="SI",CN149&gt;23),"NO APLICA- GEMELAR",IF(QR149="","",IF(QR149&gt;0,HLOOKUP(QR149,$QS$2:RU149,NY149),""))))</f>
        <v>#REF!</v>
      </c>
      <c r="CR149" s="21">
        <v>90</v>
      </c>
      <c r="CS149" s="21">
        <v>60</v>
      </c>
      <c r="CT149" s="217" t="str">
        <f>IF(R149="","",IF(AND(BS149&gt;1,BS149&lt;12,Tabla1[[#This Row],[T.A. SISTOLICA - ANTES DE SEMANA 12]]="",Tabla1[[#This Row],[T.A. DIASTOLICA - ANTES DE SEMANA 12]]=""),"REGISTRE DATO TA ANTES SEMANA 12",IF(AND(BS149&gt;11,BS149&lt;43,Tabla1[[#This Row],[T.A. SISTOLICA - ANTES DE SEMANA 12]]="",Tabla1[[#This Row],[T.A. DIASTOLICA - ANTES DE SEMANA 12]]=""),"NO APLICA REGISTRO TA-INGRESO TARDIO",IF(AND(OR(O149&gt;0,R149&gt;0),OR(CR149&gt;=140,CS149&gt;=90)),"DEFINIR ESTADIO HTA",IF(AND(OR(O149&gt;0,R149&gt;0),AND(CR149&gt;120,CR149&lt;=139)),"PRE HTA SEGUIMIENTO",IF(AND(OR(O149&gt;0,R149&gt;0),AND(CS149&gt;80,CS149&lt;=89)),"PRE HTA SEGUIMIENTO",IF(AND(OR(O149&gt;0,R149&gt;0),AND(CR149&gt;=80,CR149&lt;=120)),"APARENTEMENTE NORMAL",IF(AND(OR(O149&gt;0,R149&gt;0),AND(CS149&gt;=50,CS149&lt;=80)),"APARENTEMENTE NORMAL",IF(AND(OR(O149&gt;0,R149&gt;0),AND(CR149&gt;1,CR149&lt;=70),AND(CS149&gt;1,CS149&lt;=40)),"HIPOTENSIÓN","")))))))))</f>
        <v>APARENTEMENTE NORMAL</v>
      </c>
      <c r="CU149" s="21">
        <v>100</v>
      </c>
      <c r="CV149" s="21">
        <v>60</v>
      </c>
      <c r="CW149" s="217" t="str">
        <f ca="1">IF(R149="","",IF(AND(CN149&gt;19,CN149&lt;27,Tabla1[[#This Row],[T.A. SISTOLICA (Entre semana 20 y 26)]]="",Tabla1[[#This Row],[T.A. DIATOLICA (Entre semana 20 y 26)]]=""),"ACUDE A CONTROL SEM 20 A 26 REGISTRE TA AHORA",IF(AND(BS149&gt;1,BS149&lt;27,BU149&gt;19,Tabla1[[#This Row],[T.A. SISTOLICA (Entre semana 20 y 26)]]="",Tabla1[[#This Row],[T.A. DIATOLICA (Entre semana 20 y 26)]]=""),"COMPLETE REGISTRO TA CONTROL SEM 20 A26 ",IF(AND(BS149&gt;26,BS149&lt;43,Tabla1[[#This Row],[T.A. SISTOLICA (Entre semana 20 y 26)]]="",Tabla1[[#This Row],[T.A. DIATOLICA (Entre semana 20 y 26)]]=""),"NO APLICA REGISTRO TA-INGRESO TARDIO",IF(AND(OR(O149&gt;0,R149&gt;0),OR(CU149&gt;=140,CV149&gt;=90)),"ALTO RIESGO PREECLAMPSIA,DEFINIR ESTADIO HTA",IF(AND(OR(O149&gt;0,R149&gt;0),AND(CU149&gt;120,CU149&lt;=139)),"PRE HTA SEGUIMIENTO,RIESGO HIPERTENSION INDUCIDA POR EL EMBARAZO",IF(AND(OR(O149&gt;0,R149&gt;0),AND(CV149&gt;80,CV149&lt;=89)),"PRE HTA SEGUIMIENTO, RIESGO HIPERTENSION INDUCIDA POR EL EMBARAZO",IF(AND(OR(O149&lt;&gt;"",R149&lt;&gt;""),CS149&lt;&gt;"",CV149&lt;&gt;"",CS149&lt;=CV149),"VIGILAR CIFRAS PRESION ARTERIAL",IF(AND(OR(O149&gt;0,R149&gt;0),AND(CU149&gt;120,CU149&lt;=139)),"PRE HTA SEGUIMIENTO",IF(AND(OR(O149&gt;0,R149&gt;0),AND(CU149&gt;1,CU149&lt;=70),AND(CV149&gt;1,CV149&lt;=40)),"HIPOTENSIÓN",IF(AND(OR(O149&lt;&gt;"",R149&lt;&gt;""),CS149&lt;&gt;"",CV149&lt;&gt;"",CS149&gt;CV149),"APARENTEMENTE NORMAL",IF(AND(OR(O149&gt;0,R149&gt;0),AND(CU149&gt;=80,CU149&lt;=120)),"APARENTEMENTE NORMAL",IF(AND(OR(O149&gt;0,R149&gt;0),AND(CV149&gt;=50,CV149&lt;=80)),"APARENTEMENTE NORMAL","")))))))))))))</f>
        <v>VIGILAR CIFRAS PRESION ARTERIAL</v>
      </c>
      <c r="CX149" s="21"/>
      <c r="CY149" s="21"/>
      <c r="CZ149" s="216" t="str">
        <f t="shared" si="688"/>
        <v/>
      </c>
      <c r="DA149" s="21">
        <v>90</v>
      </c>
      <c r="DB149" s="21">
        <v>60</v>
      </c>
      <c r="DC149" s="217" t="str">
        <f t="shared" si="610"/>
        <v>APARENTEMENTE NORMAL</v>
      </c>
      <c r="DD149" s="22">
        <v>45031</v>
      </c>
      <c r="DE149" s="22">
        <v>45031</v>
      </c>
      <c r="DF149" s="22">
        <v>45057</v>
      </c>
      <c r="DG149" s="22">
        <v>45093</v>
      </c>
      <c r="DH149" s="22">
        <v>45129</v>
      </c>
      <c r="DI149" s="22">
        <v>45157</v>
      </c>
      <c r="DJ149" s="22"/>
      <c r="DK149" s="22"/>
      <c r="DL149" s="22"/>
      <c r="DM149" s="22"/>
      <c r="DN149" s="22"/>
      <c r="DO149" s="22"/>
      <c r="DP149" s="22"/>
      <c r="DQ149" s="22"/>
      <c r="DR149" s="28">
        <v>0</v>
      </c>
      <c r="DS149" s="22"/>
      <c r="DT149" s="22"/>
      <c r="DU149" s="216" t="str">
        <f t="shared" ca="1" si="674"/>
        <v>CONCERTAR PLAN DE PARTO INMEDIATO</v>
      </c>
      <c r="DV149" s="226" t="str">
        <f t="shared" si="675"/>
        <v>ACTIVA INGRESO A CPN</v>
      </c>
      <c r="DW14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49" s="216" t="e">
        <f t="shared" ca="1" si="611"/>
        <v>#REF!</v>
      </c>
      <c r="DY149" s="212">
        <f>IF(R149="","",IF(R149&gt;0,MAX(Tabla1[[#This Row],[FECHA C2]:[FECHA C13]],Tabla1[[#This Row],[FECHA CONSULTA PRIMERA VEZ PROGRAMA CPN ]])))</f>
        <v>45157</v>
      </c>
      <c r="DZ149" s="216">
        <f t="shared" si="612"/>
        <v>28</v>
      </c>
      <c r="EA149" s="222">
        <f>IF(R149&gt;0,SUM(COUNTA(DF149:DQ149)+COUNTA(Tabla1[[#This Row],[FECHA CONSULTA PRIMERA VEZ PROGRAMA CPN ]])),"")</f>
        <v>5</v>
      </c>
      <c r="EB149" s="222" t="str">
        <f t="shared" si="613"/>
        <v>SI</v>
      </c>
      <c r="EC149" s="214">
        <f t="shared" si="614"/>
        <v>9</v>
      </c>
      <c r="ED149" s="227">
        <f t="shared" si="615"/>
        <v>0.55555555555555558</v>
      </c>
      <c r="EE149" s="22">
        <v>45031</v>
      </c>
      <c r="EF149" s="22">
        <v>45038</v>
      </c>
      <c r="EG149" s="22">
        <v>45031</v>
      </c>
      <c r="EH149" s="22">
        <v>45035</v>
      </c>
      <c r="EI149" s="22">
        <v>45031</v>
      </c>
      <c r="EJ149" s="22">
        <v>45080</v>
      </c>
      <c r="EK149" s="22">
        <v>45080</v>
      </c>
      <c r="EL149" s="21">
        <v>1</v>
      </c>
      <c r="EM149" s="21">
        <v>14</v>
      </c>
      <c r="EN149" s="22">
        <v>45038</v>
      </c>
      <c r="EO149" s="222">
        <f t="shared" si="616"/>
        <v>11.928571428571429</v>
      </c>
      <c r="EP149" s="214" t="str">
        <f t="shared" si="617"/>
        <v>NORMAL- SUMINISTRAR SULFATO FERROSO</v>
      </c>
      <c r="EQ149" s="216" t="str">
        <f t="shared" si="618"/>
        <v>I TRIM</v>
      </c>
      <c r="ER149" s="24"/>
      <c r="ES149" s="22"/>
      <c r="ET149" s="29" t="str">
        <f t="shared" ca="1" si="676"/>
        <v>TOMA DE HEMOGLOBINA TARDÍA</v>
      </c>
      <c r="EU149" s="25" t="str">
        <f t="shared" si="619"/>
        <v/>
      </c>
      <c r="EV149" s="24" t="s">
        <v>1510</v>
      </c>
      <c r="EW149" s="22">
        <v>45038</v>
      </c>
      <c r="EX149" s="22"/>
      <c r="EY149" s="29">
        <f t="shared" si="453"/>
        <v>11.928571428571429</v>
      </c>
      <c r="EZ149" s="25" t="str">
        <f t="shared" si="454"/>
        <v>SIN RIESGO DE ISOINMUNIZACIÓN</v>
      </c>
      <c r="FA149" s="21">
        <v>71</v>
      </c>
      <c r="FB149" s="22">
        <v>45038</v>
      </c>
      <c r="FC149" s="29">
        <f t="shared" si="620"/>
        <v>11.928571428571429</v>
      </c>
      <c r="FD149" s="29">
        <v>66</v>
      </c>
      <c r="FE149" s="29">
        <v>109</v>
      </c>
      <c r="FF149" s="29">
        <v>111</v>
      </c>
      <c r="FG149" s="21" t="str">
        <f t="shared" ca="1" si="621"/>
        <v>NORMAL</v>
      </c>
      <c r="FH149" s="31">
        <v>45129</v>
      </c>
      <c r="FI149" s="29">
        <f t="shared" si="622"/>
        <v>24.928571428571427</v>
      </c>
      <c r="FJ149" s="22" t="s">
        <v>867</v>
      </c>
      <c r="FK149" s="22">
        <v>45038</v>
      </c>
      <c r="FL149" s="29">
        <f t="shared" ca="1" si="623"/>
        <v>11.928571428571429</v>
      </c>
      <c r="FM149" s="22" t="s">
        <v>867</v>
      </c>
      <c r="FN149" s="32">
        <v>45129</v>
      </c>
      <c r="FO149" s="29">
        <f t="shared" ca="1" si="677"/>
        <v>24.928571428571427</v>
      </c>
      <c r="FP149" s="22"/>
      <c r="FQ149" s="32"/>
      <c r="FR149" s="29" t="str">
        <f t="shared" ca="1" si="678"/>
        <v>TOMA INMEDIATA DE TAMIZAJE</v>
      </c>
      <c r="FS149" s="22"/>
      <c r="FT149" s="32"/>
      <c r="FU149" s="29" t="str">
        <f>IF(AND(FJ149="",FM149="",FP149="",FS149=""),"",IF(OR(OR(Tabla1[[#This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49" s="28"/>
      <c r="FW149" s="22"/>
      <c r="FX149" s="29" t="str">
        <f t="shared" si="624"/>
        <v>TOMAR EXAMEN</v>
      </c>
      <c r="FY149" s="22">
        <v>45031</v>
      </c>
      <c r="FZ149" s="22">
        <v>45031</v>
      </c>
      <c r="GA149" s="29">
        <f t="shared" ca="1" si="497"/>
        <v>10.928571428571429</v>
      </c>
      <c r="GB149" s="22" t="s">
        <v>868</v>
      </c>
      <c r="GC149" s="22">
        <v>45129</v>
      </c>
      <c r="GD149" s="29">
        <f t="shared" ca="1" si="679"/>
        <v>24.928571428571427</v>
      </c>
      <c r="GE149" s="22"/>
      <c r="GF149" s="22"/>
      <c r="GG149" s="29" t="str">
        <f t="shared" ca="1" si="680"/>
        <v>TOMA INMEDIATA DE TAMIZAJE</v>
      </c>
      <c r="GH149" s="22"/>
      <c r="GI149" s="29"/>
      <c r="GJ149" s="22"/>
      <c r="GK149" s="22"/>
      <c r="GL149" s="22"/>
      <c r="GM149" s="22"/>
      <c r="GN149" s="28" t="s">
        <v>869</v>
      </c>
      <c r="GO149" s="22">
        <v>45038</v>
      </c>
      <c r="GP149" s="29">
        <f t="shared" si="625"/>
        <v>11.928571428571429</v>
      </c>
      <c r="GQ149" s="28" t="s">
        <v>869</v>
      </c>
      <c r="GR149" s="28" t="s">
        <v>869</v>
      </c>
      <c r="GS149" s="22" t="str">
        <f t="shared" si="626"/>
        <v>CONTROL Igm</v>
      </c>
      <c r="GT149" s="22">
        <v>45038</v>
      </c>
      <c r="GU149" s="29">
        <f t="shared" si="627"/>
        <v>12.857142857142858</v>
      </c>
      <c r="GV149" s="21" t="str">
        <f t="shared" si="628"/>
        <v>I TRIM</v>
      </c>
      <c r="GW149" s="28"/>
      <c r="GX149" s="30"/>
      <c r="GY149" s="21"/>
      <c r="GZ149" s="21"/>
      <c r="HA149" s="21"/>
      <c r="HB149" s="21"/>
      <c r="HC149" s="21"/>
      <c r="HD149" s="21"/>
      <c r="HE149" s="21"/>
      <c r="HF149" s="22"/>
      <c r="HG149" s="22" t="str">
        <f>IF(OR(O149&gt;0,R149&gt;0),CONCATENATE(IF(Tabla1[[#This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49" s="22" t="e">
        <f t="shared" si="629"/>
        <v>#REF!</v>
      </c>
      <c r="HI149" s="22" t="e">
        <f t="shared" ca="1" si="630"/>
        <v>#REF!</v>
      </c>
      <c r="HJ149" s="21"/>
      <c r="HK149" s="21" t="str">
        <f t="shared" si="631"/>
        <v>SIN ANTECEDENTES DE RIESGO</v>
      </c>
      <c r="HL149" s="24" t="str">
        <f t="shared" si="632"/>
        <v>APARENTEMENTE NORMAL</v>
      </c>
      <c r="HM149" s="21" t="e">
        <f t="shared" ca="1" si="633"/>
        <v>#REF!</v>
      </c>
      <c r="HN149" s="30" t="str">
        <f t="shared" si="681"/>
        <v>ACTIVA INGRESO A CPN</v>
      </c>
      <c r="HO149" s="21"/>
      <c r="HP149" s="21"/>
      <c r="HQ149" s="349">
        <v>45031</v>
      </c>
      <c r="HR149" s="21" t="str">
        <f>IF(R149="","",IF(Tabla1[[#This Row],[ALARMA FACTORES DE RIESGO COMPLICACIONES HIPERTENSIVAS3]]="SIN ANTECEDENTES DE RIESGO","No Aplica para suministro de ASA",IF(AND(Tabla1[[#This Row],[FECHA INICIO DE SUMINISTRO DE ASA]]&gt;0,RV149&lt;12),"Inicia ASA ANTES de Sem 12",IF(AND(RV149&gt;11,RV149&lt;17,OR(HK149="RIESGO ALTO DE COMPLICACIONES HIPERTENSIVAS VER MANEJO GUIA SUMINISTRO ASA Y CALCIO",HK149="RIESGO MODERADO (2 O MAS CRITERIOS) VER MANEJO GUIA SUMINISTRO ASA Y CALCIO")),"Inicio oportuno de ASA",IF(AND(RV149&gt;12,OR(HK149="RIESGO ALTO DE COMPLICACIONES HIPERTENSIVAS VER MANEJO GUIA SUMINISTRO ASA Y CALCIO",HK149="RIESGO MODERADO (2 O MAS CRITERIOS) VER MANEJO GUIA SUMINISTRO ASA Y CALCIO")),"Inicio no oportuno mayor a 16 semanas",IF(AND(BU149&lt;12,OR(HK149="RIESGO ALTO DE COMPLICACIONES HIPERTENSIVAS VER MANEJO GUIA SUMINISTRO ASA Y CALCIO",HK149="RIESGO MODERADO (2 O MAS CRITERIOS) VER MANEJO GUIA SUMINISTRO ASA Y CALCIO")),"Pendiente Inicio de ASA a la semana 12",IF(AND(BU149&gt;11,BU149&lt;17,OR(HK149="RIESGO ALTO DE COMPLICACIONES HIPERTENSIVAS VER MANEJO GUIA SUMINISTRO ASA Y CALCIO",HK149="RIESGO MODERADO (2 O MAS CRITERIOS) VER MANEJO GUIA SUMINISTRO ASA Y CALCIO")),"Iniciar de inmediato ASA",IF(AND(BU149&gt;16,OR(HK149="RIESGO ALTO DE COMPLICACIONES HIPERTENSIVAS VER MANEJO GUIA SUMINISTRO ASA Y CALCIO",HK149="RIESGO MODERADO (2 O MAS CRITERIOS) VER MANEJO GUIA SUMINISTRO ASA Y CALCIO")),"Pierde Oportunidad, Inicio tardío de ASA","XXXXX"))))))))</f>
        <v>No Aplica para suministro de ASA</v>
      </c>
      <c r="HS149" s="22">
        <v>45031</v>
      </c>
      <c r="HT149" s="22" t="s">
        <v>1532</v>
      </c>
      <c r="HU149" s="22">
        <v>45031</v>
      </c>
      <c r="HV149" s="22" t="s">
        <v>1523</v>
      </c>
      <c r="HW149" s="22"/>
      <c r="HX149" s="22"/>
      <c r="HY149" s="22">
        <v>45031</v>
      </c>
      <c r="HZ149" s="28">
        <f t="shared" si="634"/>
        <v>10.928571428571429</v>
      </c>
      <c r="IA149" s="26"/>
      <c r="IB149" s="26"/>
      <c r="IC149" s="111"/>
      <c r="ID149" s="22"/>
      <c r="IE149" s="22" t="str">
        <f t="shared" ca="1" si="635"/>
        <v>INASISTENTE</v>
      </c>
      <c r="IF149" s="22"/>
      <c r="IG149" s="22">
        <f t="shared" si="636"/>
        <v>45234.5</v>
      </c>
      <c r="IH149" s="29">
        <f t="shared" ca="1" si="637"/>
        <v>1.5</v>
      </c>
      <c r="II149" s="22" t="str">
        <f t="shared" ca="1" si="638"/>
        <v>SEMANA DE PARTO</v>
      </c>
      <c r="IJ149" s="22"/>
      <c r="IK149" s="21"/>
      <c r="IL149" s="21"/>
      <c r="IM149" s="34"/>
      <c r="IN149" s="22"/>
      <c r="IO149" s="21"/>
      <c r="IP149" s="29" t="str">
        <f t="shared" si="672"/>
        <v/>
      </c>
      <c r="IQ149" s="35"/>
      <c r="IR149" s="21"/>
      <c r="IS149" s="21"/>
      <c r="IT149" s="21"/>
      <c r="IU149" s="21"/>
      <c r="IV149" s="21"/>
      <c r="IW149" s="21"/>
      <c r="IX149" s="21"/>
      <c r="IY149" s="21"/>
      <c r="IZ149" s="21"/>
      <c r="JA149" s="21"/>
      <c r="JB149" s="30"/>
      <c r="JC149" s="21"/>
      <c r="JD149" s="36"/>
      <c r="JE149" s="21" t="str">
        <f t="shared" si="682"/>
        <v/>
      </c>
      <c r="JF149" s="30"/>
      <c r="JG149" s="21"/>
      <c r="JH149" s="21"/>
      <c r="JI149" s="21"/>
      <c r="JJ149" s="30"/>
      <c r="JK149" s="22"/>
      <c r="JL149" s="22"/>
      <c r="JM149" s="21"/>
      <c r="JN149" s="36"/>
      <c r="JO149" s="21" t="str">
        <f t="shared" si="683"/>
        <v/>
      </c>
      <c r="JP149" s="22"/>
      <c r="JQ149" s="21"/>
      <c r="JR149" s="21"/>
      <c r="JS149" s="21"/>
      <c r="JT149" s="30"/>
      <c r="JU149" s="22"/>
      <c r="JV149" s="22"/>
      <c r="JW149" s="33"/>
      <c r="JX149" s="28" t="str">
        <f t="shared" si="684"/>
        <v/>
      </c>
      <c r="JY149" s="33"/>
      <c r="JZ149" s="28" t="str">
        <f t="shared" si="685"/>
        <v/>
      </c>
      <c r="KA149" s="21"/>
      <c r="KB149" s="21"/>
      <c r="KC149" s="21"/>
      <c r="KD149" s="37"/>
      <c r="KE149" s="28"/>
      <c r="KF149" s="28"/>
      <c r="KG149" s="28"/>
      <c r="KH149" s="39"/>
      <c r="KI149" s="39"/>
      <c r="KJ149" s="66"/>
      <c r="KK149" s="39"/>
      <c r="KL149" s="39"/>
      <c r="KM149" s="66"/>
      <c r="KN149" s="39"/>
      <c r="KO149" s="39"/>
      <c r="KP149" s="39"/>
      <c r="KQ149" s="39"/>
      <c r="KR149" s="39"/>
      <c r="KS149" s="39"/>
      <c r="KT149" s="39"/>
      <c r="KU149" s="38"/>
      <c r="KV149" s="38"/>
      <c r="KW149" s="38"/>
      <c r="KX149" s="38"/>
      <c r="KY149" s="38"/>
      <c r="KZ149" s="38"/>
      <c r="LA149" s="38"/>
      <c r="LB149" s="38"/>
      <c r="LC149" s="38"/>
      <c r="LD149" s="38"/>
      <c r="LE149" s="38"/>
      <c r="LF149" s="38"/>
      <c r="LG149" s="38"/>
      <c r="LH149" s="38"/>
      <c r="LI149" s="38"/>
      <c r="LJ149" s="38"/>
      <c r="LK149" s="38"/>
      <c r="LL149" s="38"/>
      <c r="LM149" s="38"/>
      <c r="LN149" s="38"/>
      <c r="LO149" s="38"/>
      <c r="LP149" s="38"/>
      <c r="LQ149" s="38"/>
      <c r="LR149" s="38"/>
      <c r="LS149" s="38"/>
      <c r="LT149" s="38"/>
      <c r="LU149" s="38"/>
      <c r="LV149" s="38"/>
      <c r="LW149" s="38"/>
      <c r="LX149" s="38"/>
      <c r="LY149" s="38"/>
      <c r="LZ149" s="38"/>
      <c r="MA149" s="38"/>
      <c r="MB149" s="38"/>
      <c r="MC149" s="38"/>
      <c r="MD149" s="38"/>
      <c r="ME149" s="38"/>
      <c r="MF149" s="38"/>
      <c r="MG149" s="38"/>
      <c r="MH149" s="43">
        <f t="shared" si="639"/>
        <v>0</v>
      </c>
      <c r="MI149" s="43" t="str">
        <f t="shared" si="640"/>
        <v/>
      </c>
      <c r="MJ149" s="43" t="str">
        <f t="shared" si="641"/>
        <v/>
      </c>
      <c r="MK149" s="43">
        <f t="shared" si="642"/>
        <v>0</v>
      </c>
      <c r="ML14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49" s="43">
        <f t="shared" si="643"/>
        <v>10.928571428571429</v>
      </c>
      <c r="MN149" s="43">
        <f t="shared" si="644"/>
        <v>4</v>
      </c>
      <c r="MO149" s="43">
        <f t="shared" si="645"/>
        <v>2023</v>
      </c>
      <c r="MP149" s="43" t="str">
        <f t="shared" si="646"/>
        <v>II TRIMESTRE AÑO</v>
      </c>
      <c r="MQ149" s="43">
        <f t="shared" si="647"/>
        <v>29.150240911081909</v>
      </c>
      <c r="MR149" s="43">
        <f t="shared" si="648"/>
        <v>0</v>
      </c>
      <c r="MS149" s="43" t="str">
        <f t="shared" si="649"/>
        <v xml:space="preserve"> DE 25 A 29 AÑOS</v>
      </c>
      <c r="MT149" s="43">
        <f t="shared" si="650"/>
        <v>0</v>
      </c>
      <c r="MU149" s="43">
        <f t="shared" si="651"/>
        <v>0</v>
      </c>
      <c r="MV149" s="43">
        <f t="shared" si="652"/>
        <v>0</v>
      </c>
      <c r="MW149" s="43">
        <f t="shared" si="653"/>
        <v>0</v>
      </c>
      <c r="MX149" s="43" t="str">
        <f t="shared" si="654"/>
        <v/>
      </c>
      <c r="MY149" s="43" t="str">
        <f t="shared" ca="1" si="686"/>
        <v/>
      </c>
      <c r="MZ149" s="43" t="str">
        <f t="shared" si="655"/>
        <v/>
      </c>
      <c r="NA149" s="43" t="str">
        <f t="shared" si="656"/>
        <v/>
      </c>
      <c r="NB149" s="43" t="str">
        <f t="shared" si="657"/>
        <v/>
      </c>
      <c r="NC149" s="43" t="str">
        <f t="shared" si="658"/>
        <v/>
      </c>
      <c r="ND149" s="43">
        <f t="shared" ca="1" si="659"/>
        <v>0</v>
      </c>
      <c r="NE149" s="43">
        <f>IF(OR(O149&gt;0,R149&gt;0),SUM(COUNTIF(Tabla1[[#This Row],[AÑOS AL INICIO5 CPN]],"&gt;=40"),COUNTIF(AS149,"0"),COUNTIF(AR149,"SI"),COUNTIF(CC149,"SI"),COUNTIF(BQ149,"&gt;119"),COUNTIF(CI149,"&gt;=35")),"")</f>
        <v>0</v>
      </c>
      <c r="NF149" s="43" t="str">
        <f t="shared" si="660"/>
        <v/>
      </c>
      <c r="NG149" s="43">
        <f t="shared" si="661"/>
        <v>0</v>
      </c>
      <c r="NH149" s="43">
        <f t="shared" si="662"/>
        <v>66.5</v>
      </c>
      <c r="NI14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CPN",P149="NO"),"Z",IF(AND(Tabla1[[#This Row],[CITA PROXIMO CONTROL]]="CITA MANUAL",Tabla1[[#This Row],[GESTANTES ACTUALES]]="ACTIVA INGRESO A CPN"),"W",IF(AND(Tabla1[[#This Row],[GESTANTES ACTUALES]]="SALIO PROGRAMA",IN149=""),"S",IF(AND(Tabla1[[#This Row],[CITA PROXIMO CONTROL]]&gt;0,IN149=""),(Tabla1[[#This Row],[CITA PROXIMO CONTROL]]-TODAY()),"SD"))))))))</f>
        <v>#REF!</v>
      </c>
      <c r="NJ149" s="43">
        <f>MONTH(Tabla1[[#This Row],[FECHA DE SALIDA  DEL PROGRAMA]])</f>
        <v>1</v>
      </c>
      <c r="NK149" s="43">
        <f>YEAR(Tabla1[[#This Row],[FECHA DE SALIDA  DEL PROGRAMA]])</f>
        <v>1900</v>
      </c>
      <c r="NL149" s="43">
        <f t="shared" si="663"/>
        <v>49</v>
      </c>
      <c r="NM149" s="43" t="str">
        <f t="shared" si="500"/>
        <v>NO</v>
      </c>
      <c r="NN149" s="43" t="str">
        <f ca="1">IF(AND(O149&gt;0,R149=""),"NO CPN",IF(AND(O149="",R149=""),"",IF(AND(R149&gt;0,Tabla1[[#This Row],[SEMANAS DE GESTACION ACTUALIZADAS]]&lt;=12),"NO APLICA",IF(AND(FH149&lt;&gt;"",FN149&lt;&gt;""),"SI","NO"))))</f>
        <v>SI</v>
      </c>
      <c r="NO149" s="43" t="str">
        <f ca="1">IF(AND(O149&gt;0,R149=""),"NO CPN",IF(AND(O149="",R149=""),"",IF(AND(R149&gt;0,Tabla1[[#This Row],[SEMANAS DE GESTACION ACTUALIZADAS]]&lt;=27),"NO APLICA",IF(AND(ES149&lt;&gt;"",FQ149&lt;&gt;"",GF149&lt;&gt;""),"SI","NO"))))</f>
        <v>NO</v>
      </c>
      <c r="NP149" s="204" t="str">
        <f t="shared" si="664"/>
        <v>I TRIM</v>
      </c>
      <c r="NQ149" s="21" t="str">
        <f t="shared" si="689"/>
        <v/>
      </c>
      <c r="NR149" s="21">
        <f t="shared" ca="1" si="687"/>
        <v>3</v>
      </c>
      <c r="NS149" s="205">
        <f t="shared" ca="1" si="665"/>
        <v>2</v>
      </c>
      <c r="NT149" s="21">
        <f t="shared" ca="1" si="666"/>
        <v>2</v>
      </c>
      <c r="NU149" s="21" t="str">
        <f t="shared" ca="1" si="667"/>
        <v>INCOMPLETO</v>
      </c>
      <c r="NV149" s="21" t="str">
        <f t="shared" ca="1" si="668"/>
        <v>INCOMPLETO</v>
      </c>
      <c r="NW149" s="206" t="str">
        <f>IF(AND(O149="",R149=""),"",IF(OR(AND(Tabla1[[#This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49" s="207" t="str">
        <f t="shared" ca="1" si="669"/>
        <v>SIN VACUNAR</v>
      </c>
      <c r="NY149" s="43">
        <f>ROW(Tabla1[[#This Row],['# DE TAMIZAJES SIFILIS TOMADOS ]])</f>
        <v>149</v>
      </c>
      <c r="NZ149" s="43">
        <f t="shared" si="501"/>
        <v>10</v>
      </c>
      <c r="OA149" s="43" t="str">
        <f t="shared" si="502"/>
        <v/>
      </c>
      <c r="OB149" s="43" t="str">
        <f t="shared" si="503"/>
        <v>NORMAL</v>
      </c>
      <c r="OC149" s="43" t="str">
        <f t="shared" si="504"/>
        <v/>
      </c>
      <c r="OD149" s="43" t="str">
        <f t="shared" si="505"/>
        <v/>
      </c>
      <c r="OE149" s="43" t="str">
        <f t="shared" si="506"/>
        <v/>
      </c>
      <c r="OF149" s="43" t="str">
        <f t="shared" si="507"/>
        <v/>
      </c>
      <c r="OG149" s="43" t="str">
        <f t="shared" si="508"/>
        <v/>
      </c>
      <c r="OH149" s="43" t="str">
        <f t="shared" si="509"/>
        <v/>
      </c>
      <c r="OI149" s="43" t="str">
        <f t="shared" si="510"/>
        <v/>
      </c>
      <c r="OJ149" s="43" t="str">
        <f t="shared" si="511"/>
        <v/>
      </c>
      <c r="OK149" s="43" t="str">
        <f t="shared" si="512"/>
        <v/>
      </c>
      <c r="OL149" s="43" t="str">
        <f t="shared" si="513"/>
        <v/>
      </c>
      <c r="OM149" s="43" t="str">
        <f t="shared" si="514"/>
        <v/>
      </c>
      <c r="ON149" s="43" t="str">
        <f t="shared" si="515"/>
        <v/>
      </c>
      <c r="OO149" s="43" t="str">
        <f t="shared" si="516"/>
        <v/>
      </c>
      <c r="OP149" s="43" t="str">
        <f t="shared" si="517"/>
        <v/>
      </c>
      <c r="OQ149" s="43" t="str">
        <f t="shared" si="518"/>
        <v/>
      </c>
      <c r="OR149" s="43" t="str">
        <f t="shared" si="519"/>
        <v/>
      </c>
      <c r="OS149" s="43" t="str">
        <f t="shared" si="520"/>
        <v/>
      </c>
      <c r="OT149" s="43" t="str">
        <f t="shared" si="521"/>
        <v/>
      </c>
      <c r="OU149" s="43" t="str">
        <f t="shared" si="522"/>
        <v/>
      </c>
      <c r="OV149" s="110" t="str">
        <f t="shared" si="523"/>
        <v/>
      </c>
      <c r="OW149" s="43" t="str">
        <f t="shared" si="524"/>
        <v/>
      </c>
      <c r="OX149" s="43" t="str">
        <f t="shared" si="525"/>
        <v/>
      </c>
      <c r="OY149" s="43" t="str">
        <f t="shared" si="526"/>
        <v/>
      </c>
      <c r="OZ149" s="43" t="str">
        <f t="shared" si="527"/>
        <v/>
      </c>
      <c r="PA149" s="43" t="str">
        <f t="shared" si="528"/>
        <v/>
      </c>
      <c r="PB149" s="43" t="str">
        <f t="shared" si="529"/>
        <v/>
      </c>
      <c r="PC149" s="43" t="str">
        <f t="shared" si="530"/>
        <v/>
      </c>
      <c r="PD149" s="43" t="str">
        <f t="shared" si="531"/>
        <v/>
      </c>
      <c r="PE149" s="43" t="str">
        <f t="shared" si="532"/>
        <v/>
      </c>
      <c r="PF149" s="43" t="str">
        <f t="shared" si="533"/>
        <v/>
      </c>
      <c r="PG149" s="43" t="str">
        <f t="shared" si="534"/>
        <v/>
      </c>
      <c r="PH149" s="43" t="str">
        <f t="shared" si="535"/>
        <v/>
      </c>
      <c r="PI149" s="43">
        <f t="shared" si="536"/>
        <v>28</v>
      </c>
      <c r="PJ149" s="43" t="str">
        <f t="shared" si="537"/>
        <v/>
      </c>
      <c r="PK149" s="43" t="str">
        <f t="shared" si="538"/>
        <v/>
      </c>
      <c r="PL149" s="43" t="str">
        <f t="shared" si="539"/>
        <v/>
      </c>
      <c r="PM149" s="43" t="str">
        <f t="shared" si="540"/>
        <v/>
      </c>
      <c r="PN149" s="43" t="str">
        <f t="shared" si="541"/>
        <v/>
      </c>
      <c r="PO149" s="43" t="str">
        <f t="shared" si="542"/>
        <v/>
      </c>
      <c r="PP149" s="43" t="str">
        <f t="shared" si="543"/>
        <v/>
      </c>
      <c r="PQ149" s="43" t="str">
        <f t="shared" si="544"/>
        <v/>
      </c>
      <c r="PR149" s="43" t="str">
        <f t="shared" si="545"/>
        <v/>
      </c>
      <c r="PS149" s="43" t="str">
        <f t="shared" si="546"/>
        <v/>
      </c>
      <c r="PT149" s="43" t="str">
        <f t="shared" si="547"/>
        <v/>
      </c>
      <c r="PU149" s="43" t="str">
        <f t="shared" si="548"/>
        <v/>
      </c>
      <c r="PV149" s="43" t="str">
        <f t="shared" si="549"/>
        <v/>
      </c>
      <c r="PW149" s="43" t="str">
        <f t="shared" si="550"/>
        <v/>
      </c>
      <c r="PX149" s="43" t="str">
        <f t="shared" si="551"/>
        <v/>
      </c>
      <c r="PY149" s="43" t="str">
        <f t="shared" si="552"/>
        <v/>
      </c>
      <c r="PZ149" s="43" t="str">
        <f t="shared" si="553"/>
        <v/>
      </c>
      <c r="QA149" s="43" t="str">
        <f t="shared" si="554"/>
        <v/>
      </c>
      <c r="QB149" s="43" t="str">
        <f t="shared" si="555"/>
        <v/>
      </c>
      <c r="QC149" s="43" t="str">
        <f t="shared" si="556"/>
        <v>NORMAL</v>
      </c>
      <c r="QD149" s="43" t="str">
        <f t="shared" si="557"/>
        <v/>
      </c>
      <c r="QE149" s="43" t="str">
        <f t="shared" si="558"/>
        <v/>
      </c>
      <c r="QF149" s="43" t="str">
        <f t="shared" si="559"/>
        <v/>
      </c>
      <c r="QG149" s="43" t="str">
        <f t="shared" si="560"/>
        <v/>
      </c>
      <c r="QH149" s="43" t="str">
        <f t="shared" si="561"/>
        <v/>
      </c>
      <c r="QI149" s="43" t="str">
        <f t="shared" si="562"/>
        <v/>
      </c>
      <c r="QJ149" s="43" t="str">
        <f t="shared" si="563"/>
        <v/>
      </c>
      <c r="QK149" s="43" t="str">
        <f t="shared" si="564"/>
        <v/>
      </c>
      <c r="QL149" s="43" t="str">
        <f t="shared" si="565"/>
        <v/>
      </c>
      <c r="QM149" s="43" t="str">
        <f t="shared" si="566"/>
        <v/>
      </c>
      <c r="QN149" s="43" t="str">
        <f t="shared" si="567"/>
        <v/>
      </c>
      <c r="QO149" s="43" t="str">
        <f t="shared" si="568"/>
        <v/>
      </c>
      <c r="QP149" s="43" t="str">
        <f t="shared" si="569"/>
        <v/>
      </c>
      <c r="QQ149" s="43" t="str">
        <f t="shared" si="570"/>
        <v/>
      </c>
      <c r="QR149" s="43">
        <f t="shared" si="670"/>
        <v>28</v>
      </c>
      <c r="QS149" s="43"/>
      <c r="QT149" s="21" t="str">
        <f t="shared" si="571"/>
        <v/>
      </c>
      <c r="QU149" s="21" t="str">
        <f t="shared" si="572"/>
        <v/>
      </c>
      <c r="QV149" s="21" t="str">
        <f t="shared" si="573"/>
        <v/>
      </c>
      <c r="QW149" s="21" t="str">
        <f t="shared" si="574"/>
        <v/>
      </c>
      <c r="QX149" s="21" t="str">
        <f t="shared" si="575"/>
        <v/>
      </c>
      <c r="QY149" s="21" t="str">
        <f t="shared" si="576"/>
        <v/>
      </c>
      <c r="QZ149" s="21" t="str">
        <f t="shared" si="577"/>
        <v/>
      </c>
      <c r="RA149" s="21" t="str">
        <f t="shared" si="578"/>
        <v/>
      </c>
      <c r="RB149" s="21" t="str">
        <f t="shared" si="579"/>
        <v/>
      </c>
      <c r="RC149" s="21" t="str">
        <f t="shared" si="580"/>
        <v/>
      </c>
      <c r="RD149" s="21" t="str">
        <f t="shared" si="581"/>
        <v/>
      </c>
      <c r="RE149" s="21" t="str">
        <f t="shared" si="582"/>
        <v/>
      </c>
      <c r="RF149" s="21" t="str">
        <f t="shared" si="583"/>
        <v/>
      </c>
      <c r="RG149" s="21" t="str">
        <f t="shared" si="584"/>
        <v/>
      </c>
      <c r="RH149" s="21" t="str">
        <f t="shared" si="585"/>
        <v/>
      </c>
      <c r="RI149" s="21" t="str">
        <f t="shared" si="586"/>
        <v>ADECUADO PARA EDAD GESTACIONAL</v>
      </c>
      <c r="RJ149" s="21" t="str">
        <f t="shared" si="587"/>
        <v/>
      </c>
      <c r="RK149" s="21" t="str">
        <f t="shared" si="588"/>
        <v/>
      </c>
      <c r="RL149" s="21" t="str">
        <f t="shared" si="589"/>
        <v/>
      </c>
      <c r="RM149" s="21" t="str">
        <f t="shared" si="590"/>
        <v/>
      </c>
      <c r="RN149" s="21" t="str">
        <f t="shared" si="591"/>
        <v/>
      </c>
      <c r="RO149" s="21" t="str">
        <f t="shared" si="592"/>
        <v/>
      </c>
      <c r="RP149" s="21" t="str">
        <f t="shared" si="593"/>
        <v/>
      </c>
      <c r="RQ149" s="21" t="str">
        <f t="shared" si="594"/>
        <v/>
      </c>
      <c r="RR149" s="21" t="str">
        <f t="shared" si="595"/>
        <v/>
      </c>
      <c r="RS149" s="21" t="str">
        <f t="shared" si="596"/>
        <v/>
      </c>
      <c r="RT149" s="21" t="str">
        <f t="shared" si="597"/>
        <v/>
      </c>
      <c r="RU149" s="21" t="str">
        <f t="shared" si="598"/>
        <v/>
      </c>
      <c r="RV149" s="21">
        <f t="shared" si="599"/>
        <v>10.928571428571429</v>
      </c>
      <c r="RW149" s="284">
        <f>IF(OR(Tabla1[[#This Row],[FUM FORMULA CONFIABLE]]="",Tabla1[[#This Row],[FUM FORMULA CONFIABLE]]="SD"),"",IF(Tabla1[[#This Row],[FUM FORMULA CONFIABLE]]="CORREGIDA",Tabla1[[#This Row],[FUM X ECO 1]],Tabla1[[#This Row],[FUM x AMENORREA]]))</f>
        <v>44954.5</v>
      </c>
      <c r="RX149" s="21">
        <f>IF(AND(Tabla1[[#This Row],[FUM X ECO 1]]="",Tabla1[[#This Row],[FUM x AMENORREA]]=""),"",IF(AND(Tabla1[[#This Row],[FUM X ECO 1]]="",Tabla1[[#This Row],[FUM x AMENORREA]]&lt;&gt;""),"X",SUM(Tabla1[[#This Row],[FUM X ECO 1]]-Tabla1[[#This Row],[FUM x AMENORREA]])))</f>
        <v>6.5</v>
      </c>
      <c r="RY149" s="21">
        <f t="shared" si="671"/>
        <v>1</v>
      </c>
    </row>
    <row r="150" spans="1:493" ht="45" customHeight="1" x14ac:dyDescent="0.25">
      <c r="A150" s="109"/>
      <c r="B150" s="43"/>
      <c r="C150" s="43" t="s">
        <v>845</v>
      </c>
      <c r="D150" s="124"/>
      <c r="E150" s="43" t="s">
        <v>1439</v>
      </c>
      <c r="F150" s="43" t="s">
        <v>884</v>
      </c>
      <c r="G150" s="43" t="s">
        <v>1440</v>
      </c>
      <c r="H150" s="43" t="s">
        <v>1294</v>
      </c>
      <c r="I150" s="109" t="s">
        <v>851</v>
      </c>
      <c r="J150" s="110">
        <v>1002847533</v>
      </c>
      <c r="K150" s="43" t="s">
        <v>852</v>
      </c>
      <c r="L150" s="175" t="s">
        <v>853</v>
      </c>
      <c r="M150" s="22">
        <v>36963</v>
      </c>
      <c r="N150" s="213">
        <f t="shared" ca="1" si="600"/>
        <v>22.657534246575342</v>
      </c>
      <c r="O150" s="22">
        <v>45031</v>
      </c>
      <c r="P150" s="214" t="str">
        <f t="shared" si="673"/>
        <v>SI</v>
      </c>
      <c r="Q150" s="26" t="s">
        <v>855</v>
      </c>
      <c r="R150" s="22">
        <v>45031</v>
      </c>
      <c r="S150" s="21" t="s">
        <v>856</v>
      </c>
      <c r="T150" s="24" t="s">
        <v>690</v>
      </c>
      <c r="U150" s="21" t="s">
        <v>857</v>
      </c>
      <c r="V150" s="21" t="s">
        <v>858</v>
      </c>
      <c r="W150" s="21" t="s">
        <v>964</v>
      </c>
      <c r="X150" s="21" t="s">
        <v>964</v>
      </c>
      <c r="Y150" s="21"/>
      <c r="Z150" s="21">
        <v>3207589098</v>
      </c>
      <c r="AA150" s="21" t="s">
        <v>860</v>
      </c>
      <c r="AB150" s="27" t="s">
        <v>861</v>
      </c>
      <c r="AC150" s="26" t="s">
        <v>877</v>
      </c>
      <c r="AD150" s="38" t="s">
        <v>1546</v>
      </c>
      <c r="AE150" s="26" t="s">
        <v>854</v>
      </c>
      <c r="AF150" s="26" t="s">
        <v>854</v>
      </c>
      <c r="AG150" s="23" t="s">
        <v>864</v>
      </c>
      <c r="AH150" s="23" t="s">
        <v>864</v>
      </c>
      <c r="AI150" s="24" t="s">
        <v>863</v>
      </c>
      <c r="AJ150" s="23" t="s">
        <v>864</v>
      </c>
      <c r="AK150" s="220" t="str">
        <f>IF(AND(AD150="",AE150="",AF150="",AG150="",AH150="",AI150="",AJ150=""),"",IF(OR(Tabla1[[#This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EVALUACIÓN",IF(AND(O150="",R150=""),"",IF(AND(OR(O150&gt;0,R150&gt;0),NG150&gt;=0,NG150&lt;2),"SIN RIESGO",IF(AND(OR(O150&gt;0,R150&gt;0),NG150&gt;=2),"CON RIESGO","ASD")))))</f>
        <v>SIN RIESGO</v>
      </c>
      <c r="AL150" s="23" t="s">
        <v>864</v>
      </c>
      <c r="AM150" s="26" t="s">
        <v>864</v>
      </c>
      <c r="AN150" s="26" t="s">
        <v>864</v>
      </c>
      <c r="AO150" s="26" t="s">
        <v>864</v>
      </c>
      <c r="AP150" s="26" t="s">
        <v>864</v>
      </c>
      <c r="AQ150" s="26" t="s">
        <v>864</v>
      </c>
      <c r="AR150" s="26" t="s">
        <v>864</v>
      </c>
      <c r="AS150" s="21">
        <v>2</v>
      </c>
      <c r="AT150" s="21">
        <v>2</v>
      </c>
      <c r="AU150" s="21">
        <v>0</v>
      </c>
      <c r="AV150" s="26" t="s">
        <v>864</v>
      </c>
      <c r="AW150" s="21">
        <v>0</v>
      </c>
      <c r="AX150" s="26" t="s">
        <v>864</v>
      </c>
      <c r="AY150" s="26" t="s">
        <v>864</v>
      </c>
      <c r="AZ150" s="26" t="s">
        <v>864</v>
      </c>
      <c r="BA150" s="26" t="s">
        <v>864</v>
      </c>
      <c r="BB150" s="26" t="s">
        <v>864</v>
      </c>
      <c r="BC150" s="26" t="s">
        <v>864</v>
      </c>
      <c r="BD150" s="26" t="s">
        <v>864</v>
      </c>
      <c r="BE150" s="26" t="s">
        <v>864</v>
      </c>
      <c r="BF150" s="26" t="s">
        <v>864</v>
      </c>
      <c r="BG150" s="26" t="s">
        <v>864</v>
      </c>
      <c r="BH150" s="26" t="s">
        <v>864</v>
      </c>
      <c r="BI150" s="26" t="s">
        <v>864</v>
      </c>
      <c r="BJ150" s="26" t="s">
        <v>864</v>
      </c>
      <c r="BK150" s="26" t="s">
        <v>865</v>
      </c>
      <c r="BL150" s="26" t="s">
        <v>864</v>
      </c>
      <c r="BM150" s="26" t="s">
        <v>864</v>
      </c>
      <c r="BN150" s="22"/>
      <c r="BO150" s="22">
        <v>44944</v>
      </c>
      <c r="BP150" s="21" t="s">
        <v>854</v>
      </c>
      <c r="BQ150" s="222">
        <f t="shared" si="601"/>
        <v>0</v>
      </c>
      <c r="BR150" s="223">
        <f t="shared" si="602"/>
        <v>44978.2</v>
      </c>
      <c r="BS150" s="224">
        <f t="shared" si="603"/>
        <v>12.428571428571429</v>
      </c>
      <c r="BT150" s="216" t="str">
        <f t="shared" si="604"/>
        <v>II TRIM</v>
      </c>
      <c r="BU150" s="214">
        <f t="shared" ca="1" si="605"/>
        <v>41.285714285714285</v>
      </c>
      <c r="BV150" s="25" t="s">
        <v>988</v>
      </c>
      <c r="BW150" s="22">
        <v>45149</v>
      </c>
      <c r="BX150" s="28">
        <v>24.4</v>
      </c>
      <c r="BY150" s="28"/>
      <c r="BZ150" s="22"/>
      <c r="CA150" s="21"/>
      <c r="CB150" s="26" t="s">
        <v>864</v>
      </c>
      <c r="CC150" s="26" t="s">
        <v>864</v>
      </c>
      <c r="CD150" s="26" t="s">
        <v>1087</v>
      </c>
      <c r="CE150" s="26" t="s">
        <v>864</v>
      </c>
      <c r="CF150" s="22" t="s">
        <v>1517</v>
      </c>
      <c r="CG150" s="21">
        <v>1.58</v>
      </c>
      <c r="CH150" s="21">
        <v>61.7</v>
      </c>
      <c r="CI150" s="214">
        <f t="shared" si="606"/>
        <v>24.715590450248357</v>
      </c>
      <c r="CJ150" s="225" t="e">
        <f>IF(AND(CI150&lt;10,CH150="SD"),"SIN DATO PESO PREGESTACION O I TRIM",IF(AND(OR(R150&gt;0,O150&gt;0),CI150="X"),"INGRESAR DATO DE PESO",IF(CI150="SD","INGRESAR DATO DE TALLA Y PESO",IF(AND(OR(Tabla1[[#This Row],[MOMENTO EN QUE SE REALIZA EL PESO AL INGRESO A CPN]]="PREGESTACIÓN",NZ150="Menor"),CI150&lt;18.5),"BAJO PESO",IF(AND(OR(Tabla1[[#This Row],[MOMENTO EN QUE SE REALIZA EL PESO AL INGRESO A CPN]]="PREGESTACIÓN",NZ150="Menor"),CI150&lt;25),"NORMAL",IF(AND(OR(Tabla1[[#This Row],[MOMENTO EN QUE SE REALIZA EL PESO AL INGRESO A CPN]]="PREGESTACIÓN",NZ150="Menor"),CI150&lt;30),"SOBREPESO",IF(AND(OR(Tabla1[[#This Row],[MOMENTO EN QUE SE REALIZA EL PESO AL INGRESO A CPN]]="PREGESTACIÓN",NZ150="Menor"),CI150&gt;=30,CI150&lt;50),"OBESIDAD",IF(AND(BS150&gt;0,Tabla1[[#This Row],[MOMENTO EN QUE SE REALIZA EL PESO AL INGRESO A CPN]]="GESTACIÓN"),HLOOKUP(NZ150,$OA$2:PH150,NY150),""))))))))</f>
        <v>#REF!</v>
      </c>
      <c r="CK150" s="212">
        <f t="shared" si="607"/>
        <v>45149</v>
      </c>
      <c r="CL150" s="21">
        <v>68</v>
      </c>
      <c r="CM150" s="214">
        <f t="shared" si="608"/>
        <v>27.239224483255885</v>
      </c>
      <c r="CN150" s="216">
        <f t="shared" si="609"/>
        <v>29</v>
      </c>
      <c r="CO150" s="216" t="e">
        <f>IF(PI150="","",IF(PI150&gt;0,HLOOKUP(PI150,$PJ$2:QQ150,NY150),""))</f>
        <v>#REF!</v>
      </c>
      <c r="CP150" s="21">
        <v>29</v>
      </c>
      <c r="CQ150" s="216" t="e">
        <f>IF(QR150="Menor","NO APLICA-MENOR 13 SEM",IF(AND(CC150="SI",CN150&gt;23),"NO APLICA- GEMELAR",IF(QR150="","",IF(QR150&gt;0,HLOOKUP(QR150,$QS$2:RU150,NY150),""))))</f>
        <v>#REF!</v>
      </c>
      <c r="CR150" s="21"/>
      <c r="CS150" s="21"/>
      <c r="CT150" s="217" t="str">
        <f>IF(R150="","",IF(AND(BS150&gt;1,BS150&lt;12,Tabla1[[#This Row],[T.A. SISTOLICA - ANTES DE SEMANA 12]]="",Tabla1[[#This Row],[T.A. DIASTOLICA - ANTES DE SEMANA 12]]=""),"REGISTRE DATO TA ANTES SEMANA 12",IF(AND(BS150&gt;11,BS150&lt;43,Tabla1[[#This Row],[T.A. SISTOLICA - ANTES DE SEMANA 12]]="",Tabla1[[#This Row],[T.A. DIASTOLICA - ANTES DE SEMANA 12]]=""),"NO APLICA REGISTRO TA-INGRESO TARDIO",IF(AND(OR(O150&gt;0,R150&gt;0),OR(CR150&gt;=140,CS150&gt;=90)),"DEFINIR ESTADIO HTA",IF(AND(OR(O150&gt;0,R150&gt;0),AND(CR150&gt;120,CR150&lt;=139)),"PRE HTA SEGUIMIENTO",IF(AND(OR(O150&gt;0,R150&gt;0),AND(CS150&gt;80,CS150&lt;=89)),"PRE HTA SEGUIMIENTO",IF(AND(OR(O150&gt;0,R150&gt;0),AND(CR150&gt;=80,CR150&lt;=120)),"APARENTEMENTE NORMAL",IF(AND(OR(O150&gt;0,R150&gt;0),AND(CS150&gt;=50,CS150&lt;=80)),"APARENTEMENTE NORMAL",IF(AND(OR(O150&gt;0,R150&gt;0),AND(CR150&gt;1,CR150&lt;=70),AND(CS150&gt;1,CS150&lt;=40)),"HIPOTENSIÓN","")))))))))</f>
        <v>NO APLICA REGISTRO TA-INGRESO TARDIO</v>
      </c>
      <c r="CU150" s="21"/>
      <c r="CV150" s="21"/>
      <c r="CW150" s="217" t="str">
        <f ca="1">IF(R150="","",IF(AND(CN150&gt;19,CN150&lt;27,Tabla1[[#This Row],[T.A. SISTOLICA (Entre semana 20 y 26)]]="",Tabla1[[#This Row],[T.A. DIATOLICA (Entre semana 20 y 26)]]=""),"ACUDE A CONTROL SEM 20 A 26 REGISTRE TA AHORA",IF(AND(BS150&gt;1,BS150&lt;27,BU150&gt;19,Tabla1[[#This Row],[T.A. SISTOLICA (Entre semana 20 y 26)]]="",Tabla1[[#This Row],[T.A. DIATOLICA (Entre semana 20 y 26)]]=""),"COMPLETE REGISTRO TA CONTROL SEM 20 A26 ",IF(AND(BS150&gt;26,BS150&lt;43,Tabla1[[#This Row],[T.A. SISTOLICA (Entre semana 20 y 26)]]="",Tabla1[[#This Row],[T.A. DIATOLICA (Entre semana 20 y 26)]]=""),"NO APLICA REGISTRO TA-INGRESO TARDIO",IF(AND(OR(O150&gt;0,R150&gt;0),OR(CU150&gt;=140,CV150&gt;=90)),"ALTO RIESGO PREECLAMPSIA,DEFINIR ESTADIO HTA",IF(AND(OR(O150&gt;0,R150&gt;0),AND(CU150&gt;120,CU150&lt;=139)),"PRE HTA SEGUIMIENTO,RIESGO HIPERTENSION INDUCIDA POR EL EMBARAZO",IF(AND(OR(O150&gt;0,R150&gt;0),AND(CV150&gt;80,CV150&lt;=89)),"PRE HTA SEGUIMIENTO, RIESGO HIPERTENSION INDUCIDA POR EL EMBARAZO",IF(AND(OR(O150&lt;&gt;"",R150&lt;&gt;""),CS150&lt;&gt;"",CV150&lt;&gt;"",CS150&lt;=CV150),"VIGILAR CIFRAS PRESION ARTERIAL",IF(AND(OR(O150&gt;0,R150&gt;0),AND(CU150&gt;120,CU150&lt;=139)),"PRE HTA SEGUIMIENTO",IF(AND(OR(O150&gt;0,R150&gt;0),AND(CU150&gt;1,CU150&lt;=70),AND(CV150&gt;1,CV150&lt;=40)),"HIPOTENSIÓN",IF(AND(OR(O150&lt;&gt;"",R150&lt;&gt;""),CS150&lt;&gt;"",CV150&lt;&gt;"",CS150&gt;CV150),"APARENTEMENTE NORMAL",IF(AND(OR(O150&gt;0,R150&gt;0),AND(CU150&gt;=80,CU150&lt;=120)),"APARENTEMENTE NORMAL",IF(AND(OR(O150&gt;0,R150&gt;0),AND(CV150&gt;=50,CV150&lt;=80)),"APARENTEMENTE NORMAL","")))))))))))))</f>
        <v xml:space="preserve">COMPLETE REGISTRO TA CONTROL SEM 20 A26 </v>
      </c>
      <c r="CX150" s="21">
        <v>100</v>
      </c>
      <c r="CY150" s="21">
        <v>60</v>
      </c>
      <c r="CZ150" s="216" t="str">
        <f t="shared" si="688"/>
        <v>APARENTEMENTE NORMAL</v>
      </c>
      <c r="DA150" s="21">
        <v>100</v>
      </c>
      <c r="DB150" s="21">
        <v>60</v>
      </c>
      <c r="DC150" s="217" t="str">
        <f t="shared" si="610"/>
        <v>APARENTEMENTE NORMAL</v>
      </c>
      <c r="DD150" s="22">
        <v>45031</v>
      </c>
      <c r="DE150" s="22">
        <v>45031</v>
      </c>
      <c r="DF150" s="22">
        <v>45149</v>
      </c>
      <c r="DG150" s="22"/>
      <c r="DH150" s="22"/>
      <c r="DI150" s="22"/>
      <c r="DJ150" s="22"/>
      <c r="DK150" s="22"/>
      <c r="DL150" s="22"/>
      <c r="DM150" s="22"/>
      <c r="DN150" s="22"/>
      <c r="DO150" s="22"/>
      <c r="DP150" s="22"/>
      <c r="DQ150" s="22"/>
      <c r="DR150" s="28"/>
      <c r="DS150" s="22"/>
      <c r="DT150" s="22"/>
      <c r="DU150" s="216" t="str">
        <f t="shared" ca="1" si="674"/>
        <v>CONCERTAR PLAN DE PARTO INMEDIATO</v>
      </c>
      <c r="DV150" s="226" t="str">
        <f t="shared" si="675"/>
        <v>ACTIVA INGRESO A CPN</v>
      </c>
      <c r="DW15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0" s="216" t="e">
        <f t="shared" ca="1" si="611"/>
        <v>#REF!</v>
      </c>
      <c r="DY150" s="212">
        <f>IF(R150="","",IF(R150&gt;0,MAX(Tabla1[[#This Row],[FECHA C2]:[FECHA C13]],Tabla1[[#This Row],[FECHA CONSULTA PRIMERA VEZ PROGRAMA CPN ]])))</f>
        <v>45149</v>
      </c>
      <c r="DZ150" s="216">
        <f t="shared" si="612"/>
        <v>29</v>
      </c>
      <c r="EA150" s="222">
        <f>IF(R150&gt;0,SUM(COUNTA(DF150:DQ150)+COUNTA(Tabla1[[#This Row],[FECHA CONSULTA PRIMERA VEZ PROGRAMA CPN ]])),"")</f>
        <v>2</v>
      </c>
      <c r="EB150" s="222" t="str">
        <f t="shared" si="613"/>
        <v>NO</v>
      </c>
      <c r="EC150" s="214">
        <f t="shared" si="614"/>
        <v>8</v>
      </c>
      <c r="ED150" s="227">
        <f t="shared" si="615"/>
        <v>0.25</v>
      </c>
      <c r="EE150" s="22">
        <v>45031</v>
      </c>
      <c r="EF150" s="22">
        <v>45149</v>
      </c>
      <c r="EG150" s="22">
        <v>45031</v>
      </c>
      <c r="EH150" s="22"/>
      <c r="EI150" s="22">
        <v>45031</v>
      </c>
      <c r="EJ150" s="22"/>
      <c r="EK150" s="22"/>
      <c r="EL150" s="21"/>
      <c r="EM150" s="21">
        <v>13.2</v>
      </c>
      <c r="EN150" s="22">
        <v>45031</v>
      </c>
      <c r="EO150" s="222">
        <f t="shared" si="616"/>
        <v>12.428571428571429</v>
      </c>
      <c r="EP150" s="214" t="str">
        <f t="shared" si="617"/>
        <v>NORMAL- SUMINISTRAR SULFATO FERROSO</v>
      </c>
      <c r="EQ150" s="216" t="str">
        <f t="shared" si="618"/>
        <v>I TRIM</v>
      </c>
      <c r="ER150" s="24"/>
      <c r="ES150" s="22"/>
      <c r="ET150" s="29" t="str">
        <f t="shared" ca="1" si="676"/>
        <v>TOMA DE HEMOGLOBINA TARDÍA</v>
      </c>
      <c r="EU150" s="25" t="str">
        <f t="shared" si="619"/>
        <v/>
      </c>
      <c r="EV150" s="24" t="s">
        <v>1510</v>
      </c>
      <c r="EW150" s="32">
        <v>45031</v>
      </c>
      <c r="EX150" s="22"/>
      <c r="EY150" s="29">
        <f t="shared" si="453"/>
        <v>12.428571428571429</v>
      </c>
      <c r="EZ150" s="25" t="str">
        <f t="shared" si="454"/>
        <v>SIN RIESGO DE ISOINMUNIZACIÓN</v>
      </c>
      <c r="FA150" s="21">
        <v>77</v>
      </c>
      <c r="FB150" s="22">
        <v>45031</v>
      </c>
      <c r="FC150" s="29">
        <f t="shared" si="620"/>
        <v>12.428571428571429</v>
      </c>
      <c r="FD150" s="29"/>
      <c r="FE150" s="29"/>
      <c r="FF150" s="29"/>
      <c r="FG150" s="21" t="str">
        <f t="shared" ca="1" si="621"/>
        <v>TOMAR PTOG</v>
      </c>
      <c r="FH150" s="31"/>
      <c r="FI150" s="29" t="str">
        <f t="shared" si="622"/>
        <v>TOMAR EXAMEN</v>
      </c>
      <c r="FJ150" s="22" t="s">
        <v>867</v>
      </c>
      <c r="FK150" s="22">
        <v>45031</v>
      </c>
      <c r="FL150" s="29">
        <f t="shared" ca="1" si="623"/>
        <v>12.428571428571429</v>
      </c>
      <c r="FM150" s="22"/>
      <c r="FN150" s="32"/>
      <c r="FO150" s="29" t="str">
        <f t="shared" ca="1" si="677"/>
        <v>PIERDE TOMA DE TAMIZAJE</v>
      </c>
      <c r="FP150" s="22"/>
      <c r="FQ150" s="32"/>
      <c r="FR150" s="29" t="str">
        <f t="shared" ca="1" si="678"/>
        <v>TOMA INMEDIATA DE TAMIZAJE</v>
      </c>
      <c r="FS150" s="22"/>
      <c r="FT150" s="32"/>
      <c r="FU150" s="29" t="str">
        <f>IF(AND(FJ150="",FM150="",FP150="",FS150=""),"",IF(OR(OR(Tabla1[[#This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0" s="28"/>
      <c r="FW150" s="22"/>
      <c r="FX150" s="29" t="str">
        <f t="shared" si="624"/>
        <v>TOMAR EXAMEN</v>
      </c>
      <c r="FY150" s="22">
        <v>45031</v>
      </c>
      <c r="FZ150" s="22">
        <v>45031</v>
      </c>
      <c r="GA150" s="29">
        <f t="shared" ca="1" si="497"/>
        <v>12.428571428571429</v>
      </c>
      <c r="GB150" s="22"/>
      <c r="GC150" s="22"/>
      <c r="GD150" s="29" t="str">
        <f t="shared" ca="1" si="679"/>
        <v>PIERDE TOMA DE TAMIZAJE</v>
      </c>
      <c r="GE150" s="22"/>
      <c r="GF150" s="22"/>
      <c r="GG150" s="29" t="str">
        <f t="shared" ca="1" si="680"/>
        <v>TOMA INMEDIATA DE TAMIZAJE</v>
      </c>
      <c r="GH150" s="22"/>
      <c r="GI150" s="29"/>
      <c r="GJ150" s="22"/>
      <c r="GK150" s="22"/>
      <c r="GL150" s="22"/>
      <c r="GM150" s="22"/>
      <c r="GN150" s="28" t="s">
        <v>869</v>
      </c>
      <c r="GO150" s="22">
        <v>45031</v>
      </c>
      <c r="GP150" s="29">
        <f t="shared" si="625"/>
        <v>12.428571428571429</v>
      </c>
      <c r="GQ150" s="28" t="s">
        <v>869</v>
      </c>
      <c r="GR150" s="28" t="s">
        <v>869</v>
      </c>
      <c r="GS150" s="22" t="str">
        <f t="shared" si="626"/>
        <v>CONTROL Igm</v>
      </c>
      <c r="GT150" s="22">
        <v>45031</v>
      </c>
      <c r="GU150" s="29">
        <f t="shared" si="627"/>
        <v>12.428571428571429</v>
      </c>
      <c r="GV150" s="21" t="str">
        <f t="shared" si="628"/>
        <v>I TRIM</v>
      </c>
      <c r="GW150" s="28" t="s">
        <v>869</v>
      </c>
      <c r="GX150" s="30"/>
      <c r="GY150" s="21"/>
      <c r="GZ150" s="21"/>
      <c r="HA150" s="21"/>
      <c r="HB150" s="21"/>
      <c r="HC150" s="21"/>
      <c r="HD150" s="21"/>
      <c r="HE150" s="21"/>
      <c r="HF150" s="22"/>
      <c r="HG150" s="22" t="str">
        <f>IF(OR(O150&gt;0,R150&gt;0),CONCATENATE(IF(Tabla1[[#This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0" s="22" t="e">
        <f t="shared" si="629"/>
        <v>#REF!</v>
      </c>
      <c r="HI150" s="22" t="e">
        <f t="shared" ca="1" si="630"/>
        <v>#REF!</v>
      </c>
      <c r="HJ150" s="21"/>
      <c r="HK150" s="21" t="str">
        <f t="shared" si="631"/>
        <v>SIN ANTECEDENTES DE RIESGO</v>
      </c>
      <c r="HL150" s="24" t="str">
        <f t="shared" si="632"/>
        <v>APARENTEMENTE NORMAL</v>
      </c>
      <c r="HM150" s="21" t="e">
        <f t="shared" ca="1" si="633"/>
        <v>#REF!</v>
      </c>
      <c r="HN150" s="30" t="str">
        <f t="shared" si="681"/>
        <v>ACTIVA INGRESO A CPN</v>
      </c>
      <c r="HO150" s="21"/>
      <c r="HP150" s="21"/>
      <c r="HQ150" s="349"/>
      <c r="HR150" s="21" t="str">
        <f>IF(R150="","",IF(Tabla1[[#This Row],[ALARMA FACTORES DE RIESGO COMPLICACIONES HIPERTENSIVAS3]]="SIN ANTECEDENTES DE RIESGO","No Aplica para suministro de ASA",IF(AND(Tabla1[[#This Row],[FECHA INICIO DE SUMINISTRO DE ASA]]&gt;0,RV150&lt;12),"Inicia ASA ANTES de Sem 12",IF(AND(RV150&gt;11,RV150&lt;17,OR(HK150="RIESGO ALTO DE COMPLICACIONES HIPERTENSIVAS VER MANEJO GUIA SUMINISTRO ASA Y CALCIO",HK150="RIESGO MODERADO (2 O MAS CRITERIOS) VER MANEJO GUIA SUMINISTRO ASA Y CALCIO")),"Inicio oportuno de ASA",IF(AND(RV150&gt;12,OR(HK150="RIESGO ALTO DE COMPLICACIONES HIPERTENSIVAS VER MANEJO GUIA SUMINISTRO ASA Y CALCIO",HK150="RIESGO MODERADO (2 O MAS CRITERIOS) VER MANEJO GUIA SUMINISTRO ASA Y CALCIO")),"Inicio no oportuno mayor a 16 semanas",IF(AND(BU150&lt;12,OR(HK150="RIESGO ALTO DE COMPLICACIONES HIPERTENSIVAS VER MANEJO GUIA SUMINISTRO ASA Y CALCIO",HK150="RIESGO MODERADO (2 O MAS CRITERIOS) VER MANEJO GUIA SUMINISTRO ASA Y CALCIO")),"Pendiente Inicio de ASA a la semana 12",IF(AND(BU150&gt;11,BU150&lt;17,OR(HK150="RIESGO ALTO DE COMPLICACIONES HIPERTENSIVAS VER MANEJO GUIA SUMINISTRO ASA Y CALCIO",HK150="RIESGO MODERADO (2 O MAS CRITERIOS) VER MANEJO GUIA SUMINISTRO ASA Y CALCIO")),"Iniciar de inmediato ASA",IF(AND(BU150&gt;16,OR(HK150="RIESGO ALTO DE COMPLICACIONES HIPERTENSIVAS VER MANEJO GUIA SUMINISTRO ASA Y CALCIO",HK150="RIESGO MODERADO (2 O MAS CRITERIOS) VER MANEJO GUIA SUMINISTRO ASA Y CALCIO")),"Pierde Oportunidad, Inicio tardío de ASA","XXXXX"))))))))</f>
        <v>No Aplica para suministro de ASA</v>
      </c>
      <c r="HS150" s="22"/>
      <c r="HT150" s="22"/>
      <c r="HU150" s="22">
        <v>45031</v>
      </c>
      <c r="HV150" s="22" t="s">
        <v>870</v>
      </c>
      <c r="HW150" s="22">
        <v>45031</v>
      </c>
      <c r="HX150" s="22" t="s">
        <v>870</v>
      </c>
      <c r="HY150" s="22"/>
      <c r="HZ150" s="28" t="str">
        <f t="shared" si="634"/>
        <v>PENDIENTE CONSULTA</v>
      </c>
      <c r="IA150" s="26"/>
      <c r="IB150" s="26"/>
      <c r="IC150" s="111"/>
      <c r="ID150" s="22"/>
      <c r="IE150" s="22" t="str">
        <f t="shared" ca="1" si="635"/>
        <v>INASISTENTE</v>
      </c>
      <c r="IF150" s="22"/>
      <c r="IG150" s="22">
        <f t="shared" si="636"/>
        <v>45224</v>
      </c>
      <c r="IH150" s="29">
        <f t="shared" ca="1" si="637"/>
        <v>-9</v>
      </c>
      <c r="II150" s="22" t="str">
        <f t="shared" ca="1" si="638"/>
        <v>POSIBLEMENTE NACIO</v>
      </c>
      <c r="IJ150" s="22"/>
      <c r="IK150" s="21"/>
      <c r="IL150" s="21"/>
      <c r="IM150" s="34"/>
      <c r="IN150" s="22"/>
      <c r="IO150" s="21"/>
      <c r="IP150" s="29" t="str">
        <f t="shared" si="672"/>
        <v/>
      </c>
      <c r="IQ150" s="35"/>
      <c r="IR150" s="21"/>
      <c r="IS150" s="21"/>
      <c r="IT150" s="21"/>
      <c r="IU150" s="21"/>
      <c r="IV150" s="21"/>
      <c r="IW150" s="21"/>
      <c r="IX150" s="21"/>
      <c r="IY150" s="21"/>
      <c r="IZ150" s="21"/>
      <c r="JA150" s="21"/>
      <c r="JB150" s="30"/>
      <c r="JC150" s="21"/>
      <c r="JD150" s="36"/>
      <c r="JE150" s="21" t="str">
        <f t="shared" si="682"/>
        <v/>
      </c>
      <c r="JF150" s="30"/>
      <c r="JG150" s="21"/>
      <c r="JH150" s="21"/>
      <c r="JI150" s="21"/>
      <c r="JJ150" s="30"/>
      <c r="JK150" s="22"/>
      <c r="JL150" s="22"/>
      <c r="JM150" s="21"/>
      <c r="JN150" s="36"/>
      <c r="JO150" s="21" t="str">
        <f t="shared" si="683"/>
        <v/>
      </c>
      <c r="JP150" s="22"/>
      <c r="JQ150" s="21"/>
      <c r="JR150" s="21"/>
      <c r="JS150" s="21"/>
      <c r="JT150" s="30"/>
      <c r="JU150" s="22"/>
      <c r="JV150" s="22"/>
      <c r="JW150" s="33"/>
      <c r="JX150" s="28" t="str">
        <f t="shared" si="684"/>
        <v/>
      </c>
      <c r="JY150" s="33"/>
      <c r="JZ150" s="28" t="str">
        <f t="shared" si="685"/>
        <v/>
      </c>
      <c r="KA150" s="21"/>
      <c r="KB150" s="21"/>
      <c r="KC150" s="21"/>
      <c r="KD150" s="37"/>
      <c r="KE150" s="28"/>
      <c r="KF150" s="28"/>
      <c r="KG150" s="28"/>
      <c r="KH150" s="39"/>
      <c r="KI150" s="39"/>
      <c r="KJ150" s="66"/>
      <c r="KK150" s="39"/>
      <c r="KL150" s="39"/>
      <c r="KM150" s="66"/>
      <c r="KN150" s="39"/>
      <c r="KO150" s="39"/>
      <c r="KP150" s="39"/>
      <c r="KQ150" s="39"/>
      <c r="KR150" s="39"/>
      <c r="KS150" s="39"/>
      <c r="KT150" s="39"/>
      <c r="KU150" s="38"/>
      <c r="KV150" s="38"/>
      <c r="KW150" s="38"/>
      <c r="KX150" s="38"/>
      <c r="KY150" s="38"/>
      <c r="KZ150" s="38"/>
      <c r="LA150" s="38"/>
      <c r="LB150" s="38"/>
      <c r="LC150" s="38"/>
      <c r="LD150" s="38"/>
      <c r="LE150" s="38"/>
      <c r="LF150" s="38"/>
      <c r="LG150" s="38"/>
      <c r="LH150" s="38"/>
      <c r="LI150" s="38"/>
      <c r="LJ150" s="38"/>
      <c r="LK150" s="38"/>
      <c r="LL150" s="38"/>
      <c r="LM150" s="38"/>
      <c r="LN150" s="38"/>
      <c r="LO150" s="38"/>
      <c r="LP150" s="38"/>
      <c r="LQ150" s="38"/>
      <c r="LR150" s="38"/>
      <c r="LS150" s="38"/>
      <c r="LT150" s="38"/>
      <c r="LU150" s="38"/>
      <c r="LV150" s="38"/>
      <c r="LW150" s="38"/>
      <c r="LX150" s="38"/>
      <c r="LY150" s="38"/>
      <c r="LZ150" s="38"/>
      <c r="MA150" s="38"/>
      <c r="MB150" s="38"/>
      <c r="MC150" s="38"/>
      <c r="MD150" s="38"/>
      <c r="ME150" s="38"/>
      <c r="MF150" s="38"/>
      <c r="MG150" s="38"/>
      <c r="MH150" s="43">
        <f t="shared" si="639"/>
        <v>0</v>
      </c>
      <c r="MI150" s="43" t="str">
        <f t="shared" si="640"/>
        <v/>
      </c>
      <c r="MJ150" s="43" t="str">
        <f t="shared" si="641"/>
        <v/>
      </c>
      <c r="MK150" s="43">
        <f t="shared" si="642"/>
        <v>0</v>
      </c>
      <c r="ML15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0" s="43">
        <f t="shared" si="643"/>
        <v>12.428571428571429</v>
      </c>
      <c r="MN150" s="43">
        <f t="shared" si="644"/>
        <v>4</v>
      </c>
      <c r="MO150" s="43">
        <f t="shared" si="645"/>
        <v>2023</v>
      </c>
      <c r="MP150" s="43" t="str">
        <f t="shared" si="646"/>
        <v>II TRIMESTRE AÑO</v>
      </c>
      <c r="MQ150" s="43">
        <f t="shared" si="647"/>
        <v>21.769601401664474</v>
      </c>
      <c r="MR150" s="43">
        <f t="shared" si="648"/>
        <v>0</v>
      </c>
      <c r="MS150" s="43" t="str">
        <f t="shared" si="649"/>
        <v xml:space="preserve"> DE 20 A 24 AÑOS</v>
      </c>
      <c r="MT150" s="43">
        <f t="shared" si="650"/>
        <v>0</v>
      </c>
      <c r="MU150" s="43">
        <f t="shared" si="651"/>
        <v>0</v>
      </c>
      <c r="MV150" s="43">
        <f t="shared" si="652"/>
        <v>0</v>
      </c>
      <c r="MW150" s="43">
        <f t="shared" si="653"/>
        <v>0</v>
      </c>
      <c r="MX150" s="43" t="str">
        <f t="shared" si="654"/>
        <v/>
      </c>
      <c r="MY150" s="43">
        <f t="shared" ca="1" si="686"/>
        <v>1</v>
      </c>
      <c r="MZ150" s="43" t="str">
        <f t="shared" si="655"/>
        <v/>
      </c>
      <c r="NA150" s="43">
        <f t="shared" si="656"/>
        <v>3</v>
      </c>
      <c r="NB150" s="43" t="str">
        <f t="shared" si="657"/>
        <v/>
      </c>
      <c r="NC150" s="43" t="str">
        <f t="shared" si="658"/>
        <v/>
      </c>
      <c r="ND150" s="43">
        <f t="shared" ca="1" si="659"/>
        <v>4</v>
      </c>
      <c r="NE150" s="43">
        <f>IF(OR(O150&gt;0,R150&gt;0),SUM(COUNTIF(Tabla1[[#This Row],[AÑOS AL INICIO5 CPN]],"&gt;=40"),COUNTIF(AS150,"0"),COUNTIF(AR150,"SI"),COUNTIF(CC150,"SI"),COUNTIF(BQ150,"&gt;119"),COUNTIF(CI150,"&gt;=35")),"")</f>
        <v>0</v>
      </c>
      <c r="NF150" s="43" t="str">
        <f t="shared" si="660"/>
        <v/>
      </c>
      <c r="NG150" s="43">
        <f t="shared" si="661"/>
        <v>0</v>
      </c>
      <c r="NH150" s="43">
        <f t="shared" si="662"/>
        <v>170.79999999999998</v>
      </c>
      <c r="NI15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CPN",P150="NO"),"Z",IF(AND(Tabla1[[#This Row],[CITA PROXIMO CONTROL]]="CITA MANUAL",Tabla1[[#This Row],[GESTANTES ACTUALES]]="ACTIVA INGRESO A CPN"),"W",IF(AND(Tabla1[[#This Row],[GESTANTES ACTUALES]]="SALIO PROGRAMA",IN150=""),"S",IF(AND(Tabla1[[#This Row],[CITA PROXIMO CONTROL]]&gt;0,IN150=""),(Tabla1[[#This Row],[CITA PROXIMO CONTROL]]-TODAY()),"SD"))))))))</f>
        <v>#REF!</v>
      </c>
      <c r="NJ150" s="43">
        <f>MONTH(Tabla1[[#This Row],[FECHA DE SALIDA  DEL PROGRAMA]])</f>
        <v>1</v>
      </c>
      <c r="NK150" s="43">
        <f>YEAR(Tabla1[[#This Row],[FECHA DE SALIDA  DEL PROGRAMA]])</f>
        <v>1900</v>
      </c>
      <c r="NL150" s="43" t="str">
        <f t="shared" si="663"/>
        <v>X</v>
      </c>
      <c r="NM150" s="43" t="str">
        <f t="shared" si="500"/>
        <v>NO</v>
      </c>
      <c r="NN150" s="43" t="str">
        <f ca="1">IF(AND(O150&gt;0,R150=""),"NO CPN",IF(AND(O150="",R150=""),"",IF(AND(R150&gt;0,Tabla1[[#This Row],[SEMANAS DE GESTACION ACTUALIZADAS]]&lt;=12),"NO APLICA",IF(AND(FH150&lt;&gt;"",FN150&lt;&gt;""),"SI","NO"))))</f>
        <v>NO</v>
      </c>
      <c r="NO150" s="43" t="str">
        <f ca="1">IF(AND(O150&gt;0,R150=""),"NO CPN",IF(AND(O150="",R150=""),"",IF(AND(R150&gt;0,Tabla1[[#This Row],[SEMANAS DE GESTACION ACTUALIZADAS]]&lt;=27),"NO APLICA",IF(AND(ES150&lt;&gt;"",FQ150&lt;&gt;"",GF150&lt;&gt;""),"SI","NO"))))</f>
        <v>NO</v>
      </c>
      <c r="NP150" s="204" t="str">
        <f t="shared" si="664"/>
        <v>II TRIM</v>
      </c>
      <c r="NQ150" s="21" t="str">
        <f t="shared" si="689"/>
        <v/>
      </c>
      <c r="NR150" s="21">
        <f t="shared" ca="1" si="687"/>
        <v>2</v>
      </c>
      <c r="NS150" s="205">
        <f t="shared" ca="1" si="665"/>
        <v>1</v>
      </c>
      <c r="NT150" s="21">
        <f t="shared" ca="1" si="666"/>
        <v>1</v>
      </c>
      <c r="NU150" s="21" t="str">
        <f t="shared" ca="1" si="667"/>
        <v>INCOMPLETO</v>
      </c>
      <c r="NV150" s="21" t="str">
        <f t="shared" ca="1" si="668"/>
        <v>INCOMPLETO</v>
      </c>
      <c r="NW150" s="206" t="str">
        <f>IF(AND(O150="",R150=""),"",IF(OR(AND(Tabla1[[#This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0" s="207" t="str">
        <f t="shared" ca="1" si="669"/>
        <v>SIN VACUNAR</v>
      </c>
      <c r="NY150" s="43">
        <f>ROW(Tabla1[[#This Row],['# DE TAMIZAJES SIFILIS TOMADOS ]])</f>
        <v>150</v>
      </c>
      <c r="NZ150" s="43">
        <f t="shared" si="501"/>
        <v>12</v>
      </c>
      <c r="OA150" s="43" t="str">
        <f t="shared" si="502"/>
        <v/>
      </c>
      <c r="OB150" s="43" t="str">
        <f t="shared" si="503"/>
        <v/>
      </c>
      <c r="OC150" s="43" t="str">
        <f t="shared" si="504"/>
        <v/>
      </c>
      <c r="OD150" s="43" t="str">
        <f t="shared" si="505"/>
        <v>NORMAL</v>
      </c>
      <c r="OE150" s="43" t="str">
        <f t="shared" si="506"/>
        <v/>
      </c>
      <c r="OF150" s="43" t="str">
        <f t="shared" si="507"/>
        <v/>
      </c>
      <c r="OG150" s="43" t="str">
        <f t="shared" si="508"/>
        <v/>
      </c>
      <c r="OH150" s="43" t="str">
        <f t="shared" si="509"/>
        <v/>
      </c>
      <c r="OI150" s="43" t="str">
        <f t="shared" si="510"/>
        <v/>
      </c>
      <c r="OJ150" s="43" t="str">
        <f t="shared" si="511"/>
        <v/>
      </c>
      <c r="OK150" s="43" t="str">
        <f t="shared" si="512"/>
        <v/>
      </c>
      <c r="OL150" s="43" t="str">
        <f t="shared" si="513"/>
        <v/>
      </c>
      <c r="OM150" s="43" t="str">
        <f t="shared" si="514"/>
        <v/>
      </c>
      <c r="ON150" s="43" t="str">
        <f t="shared" si="515"/>
        <v/>
      </c>
      <c r="OO150" s="43" t="str">
        <f t="shared" si="516"/>
        <v/>
      </c>
      <c r="OP150" s="43" t="str">
        <f t="shared" si="517"/>
        <v/>
      </c>
      <c r="OQ150" s="43" t="str">
        <f t="shared" si="518"/>
        <v/>
      </c>
      <c r="OR150" s="43" t="str">
        <f t="shared" si="519"/>
        <v/>
      </c>
      <c r="OS150" s="43" t="str">
        <f t="shared" si="520"/>
        <v/>
      </c>
      <c r="OT150" s="43" t="str">
        <f t="shared" si="521"/>
        <v/>
      </c>
      <c r="OU150" s="43" t="str">
        <f t="shared" si="522"/>
        <v/>
      </c>
      <c r="OV150" s="110" t="str">
        <f t="shared" si="523"/>
        <v/>
      </c>
      <c r="OW150" s="43" t="str">
        <f t="shared" si="524"/>
        <v/>
      </c>
      <c r="OX150" s="43" t="str">
        <f t="shared" si="525"/>
        <v/>
      </c>
      <c r="OY150" s="43" t="str">
        <f t="shared" si="526"/>
        <v/>
      </c>
      <c r="OZ150" s="43" t="str">
        <f t="shared" si="527"/>
        <v/>
      </c>
      <c r="PA150" s="43" t="str">
        <f t="shared" si="528"/>
        <v/>
      </c>
      <c r="PB150" s="43" t="str">
        <f t="shared" si="529"/>
        <v/>
      </c>
      <c r="PC150" s="43" t="str">
        <f t="shared" si="530"/>
        <v/>
      </c>
      <c r="PD150" s="43" t="str">
        <f t="shared" si="531"/>
        <v/>
      </c>
      <c r="PE150" s="43" t="str">
        <f t="shared" si="532"/>
        <v/>
      </c>
      <c r="PF150" s="43" t="str">
        <f t="shared" si="533"/>
        <v/>
      </c>
      <c r="PG150" s="43" t="str">
        <f t="shared" si="534"/>
        <v/>
      </c>
      <c r="PH150" s="43" t="str">
        <f t="shared" si="535"/>
        <v/>
      </c>
      <c r="PI150" s="43">
        <f t="shared" si="536"/>
        <v>29</v>
      </c>
      <c r="PJ150" s="43" t="str">
        <f t="shared" si="537"/>
        <v/>
      </c>
      <c r="PK150" s="43" t="str">
        <f t="shared" si="538"/>
        <v/>
      </c>
      <c r="PL150" s="43" t="str">
        <f t="shared" si="539"/>
        <v/>
      </c>
      <c r="PM150" s="43" t="str">
        <f t="shared" si="540"/>
        <v/>
      </c>
      <c r="PN150" s="43" t="str">
        <f t="shared" si="541"/>
        <v/>
      </c>
      <c r="PO150" s="43" t="str">
        <f t="shared" si="542"/>
        <v/>
      </c>
      <c r="PP150" s="43" t="str">
        <f t="shared" si="543"/>
        <v/>
      </c>
      <c r="PQ150" s="43" t="str">
        <f t="shared" si="544"/>
        <v/>
      </c>
      <c r="PR150" s="43" t="str">
        <f t="shared" si="545"/>
        <v/>
      </c>
      <c r="PS150" s="43" t="str">
        <f t="shared" si="546"/>
        <v/>
      </c>
      <c r="PT150" s="43" t="str">
        <f t="shared" si="547"/>
        <v/>
      </c>
      <c r="PU150" s="43" t="str">
        <f t="shared" si="548"/>
        <v/>
      </c>
      <c r="PV150" s="43" t="str">
        <f t="shared" si="549"/>
        <v/>
      </c>
      <c r="PW150" s="43" t="str">
        <f t="shared" si="550"/>
        <v/>
      </c>
      <c r="PX150" s="43" t="str">
        <f t="shared" si="551"/>
        <v/>
      </c>
      <c r="PY150" s="43" t="str">
        <f t="shared" si="552"/>
        <v/>
      </c>
      <c r="PZ150" s="43" t="str">
        <f t="shared" si="553"/>
        <v/>
      </c>
      <c r="QA150" s="43" t="str">
        <f t="shared" si="554"/>
        <v/>
      </c>
      <c r="QB150" s="43" t="str">
        <f t="shared" si="555"/>
        <v/>
      </c>
      <c r="QC150" s="43" t="str">
        <f t="shared" si="556"/>
        <v/>
      </c>
      <c r="QD150" s="43" t="str">
        <f t="shared" si="557"/>
        <v>NORMAL</v>
      </c>
      <c r="QE150" s="43" t="str">
        <f t="shared" si="558"/>
        <v/>
      </c>
      <c r="QF150" s="43" t="str">
        <f t="shared" si="559"/>
        <v/>
      </c>
      <c r="QG150" s="43" t="str">
        <f t="shared" si="560"/>
        <v/>
      </c>
      <c r="QH150" s="43" t="str">
        <f t="shared" si="561"/>
        <v/>
      </c>
      <c r="QI150" s="43" t="str">
        <f t="shared" si="562"/>
        <v/>
      </c>
      <c r="QJ150" s="43" t="str">
        <f t="shared" si="563"/>
        <v/>
      </c>
      <c r="QK150" s="43" t="str">
        <f t="shared" si="564"/>
        <v/>
      </c>
      <c r="QL150" s="43" t="str">
        <f t="shared" si="565"/>
        <v/>
      </c>
      <c r="QM150" s="43" t="str">
        <f t="shared" si="566"/>
        <v/>
      </c>
      <c r="QN150" s="43" t="str">
        <f t="shared" si="567"/>
        <v/>
      </c>
      <c r="QO150" s="43" t="str">
        <f t="shared" si="568"/>
        <v/>
      </c>
      <c r="QP150" s="43" t="str">
        <f t="shared" si="569"/>
        <v/>
      </c>
      <c r="QQ150" s="43" t="str">
        <f t="shared" si="570"/>
        <v/>
      </c>
      <c r="QR150" s="43">
        <f t="shared" si="670"/>
        <v>29</v>
      </c>
      <c r="QS150" s="43"/>
      <c r="QT150" s="21" t="str">
        <f t="shared" si="571"/>
        <v/>
      </c>
      <c r="QU150" s="21" t="str">
        <f t="shared" si="572"/>
        <v/>
      </c>
      <c r="QV150" s="21" t="str">
        <f t="shared" si="573"/>
        <v/>
      </c>
      <c r="QW150" s="21" t="str">
        <f t="shared" si="574"/>
        <v/>
      </c>
      <c r="QX150" s="21" t="str">
        <f t="shared" si="575"/>
        <v/>
      </c>
      <c r="QY150" s="21" t="str">
        <f t="shared" si="576"/>
        <v/>
      </c>
      <c r="QZ150" s="21" t="str">
        <f t="shared" si="577"/>
        <v/>
      </c>
      <c r="RA150" s="21" t="str">
        <f t="shared" si="578"/>
        <v/>
      </c>
      <c r="RB150" s="21" t="str">
        <f t="shared" si="579"/>
        <v/>
      </c>
      <c r="RC150" s="21" t="str">
        <f t="shared" si="580"/>
        <v/>
      </c>
      <c r="RD150" s="21" t="str">
        <f t="shared" si="581"/>
        <v/>
      </c>
      <c r="RE150" s="21" t="str">
        <f t="shared" si="582"/>
        <v/>
      </c>
      <c r="RF150" s="21" t="str">
        <f t="shared" si="583"/>
        <v/>
      </c>
      <c r="RG150" s="21" t="str">
        <f t="shared" si="584"/>
        <v/>
      </c>
      <c r="RH150" s="21" t="str">
        <f t="shared" si="585"/>
        <v/>
      </c>
      <c r="RI150" s="21" t="str">
        <f t="shared" si="586"/>
        <v/>
      </c>
      <c r="RJ150" s="21" t="str">
        <f t="shared" si="587"/>
        <v>ALTO PARA EDAD GESTACIONAL</v>
      </c>
      <c r="RK150" s="21" t="str">
        <f t="shared" si="588"/>
        <v/>
      </c>
      <c r="RL150" s="21" t="str">
        <f t="shared" si="589"/>
        <v/>
      </c>
      <c r="RM150" s="21" t="str">
        <f t="shared" si="590"/>
        <v/>
      </c>
      <c r="RN150" s="21" t="str">
        <f t="shared" si="591"/>
        <v/>
      </c>
      <c r="RO150" s="21" t="str">
        <f t="shared" si="592"/>
        <v/>
      </c>
      <c r="RP150" s="21" t="str">
        <f t="shared" si="593"/>
        <v/>
      </c>
      <c r="RQ150" s="21" t="str">
        <f t="shared" si="594"/>
        <v/>
      </c>
      <c r="RR150" s="21" t="str">
        <f t="shared" si="595"/>
        <v/>
      </c>
      <c r="RS150" s="21" t="str">
        <f t="shared" si="596"/>
        <v/>
      </c>
      <c r="RT150" s="21" t="str">
        <f t="shared" si="597"/>
        <v/>
      </c>
      <c r="RU150" s="21" t="str">
        <f t="shared" si="598"/>
        <v/>
      </c>
      <c r="RV150" s="21">
        <f t="shared" si="599"/>
        <v>-1</v>
      </c>
      <c r="RW150" s="284">
        <f>IF(OR(Tabla1[[#This Row],[FUM FORMULA CONFIABLE]]="",Tabla1[[#This Row],[FUM FORMULA CONFIABLE]]="SD"),"",IF(Tabla1[[#This Row],[FUM FORMULA CONFIABLE]]="CORREGIDA",Tabla1[[#This Row],[FUM X ECO 1]],Tabla1[[#This Row],[FUM x AMENORREA]]))</f>
        <v>44944</v>
      </c>
      <c r="RX150" s="21">
        <f>IF(AND(Tabla1[[#This Row],[FUM X ECO 1]]="",Tabla1[[#This Row],[FUM x AMENORREA]]=""),"",IF(AND(Tabla1[[#This Row],[FUM X ECO 1]]="",Tabla1[[#This Row],[FUM x AMENORREA]]&lt;&gt;""),"X",SUM(Tabla1[[#This Row],[FUM X ECO 1]]-Tabla1[[#This Row],[FUM x AMENORREA]])))</f>
        <v>34.19999999999709</v>
      </c>
      <c r="RY150" s="21">
        <f t="shared" si="671"/>
        <v>1</v>
      </c>
    </row>
    <row r="151" spans="1:493" ht="45" customHeight="1" x14ac:dyDescent="0.25">
      <c r="A151" s="109"/>
      <c r="B151" s="43"/>
      <c r="C151" s="43" t="s">
        <v>845</v>
      </c>
      <c r="D151" s="124"/>
      <c r="E151" s="43" t="s">
        <v>1441</v>
      </c>
      <c r="F151" s="43"/>
      <c r="G151" s="43" t="s">
        <v>1284</v>
      </c>
      <c r="H151" s="43" t="s">
        <v>1442</v>
      </c>
      <c r="I151" s="109" t="s">
        <v>851</v>
      </c>
      <c r="J151" s="110">
        <v>1002848635</v>
      </c>
      <c r="K151" s="43" t="s">
        <v>904</v>
      </c>
      <c r="L151" s="175" t="s">
        <v>1509</v>
      </c>
      <c r="M151" s="22">
        <v>36139</v>
      </c>
      <c r="N151" s="213">
        <f t="shared" ca="1" si="600"/>
        <v>24.915068493150685</v>
      </c>
      <c r="O151" s="22">
        <v>44996</v>
      </c>
      <c r="P151" s="214" t="str">
        <f t="shared" si="673"/>
        <v>SI</v>
      </c>
      <c r="Q151" s="26" t="s">
        <v>855</v>
      </c>
      <c r="R151" s="22">
        <v>44996</v>
      </c>
      <c r="S151" s="21" t="s">
        <v>856</v>
      </c>
      <c r="T151" s="24" t="s">
        <v>690</v>
      </c>
      <c r="U151" s="21" t="s">
        <v>857</v>
      </c>
      <c r="V151" s="21" t="s">
        <v>858</v>
      </c>
      <c r="W151" s="21" t="s">
        <v>1331</v>
      </c>
      <c r="X151" s="21"/>
      <c r="Y151" s="21" t="s">
        <v>1595</v>
      </c>
      <c r="Z151" s="21">
        <v>3167703054</v>
      </c>
      <c r="AA151" s="21" t="s">
        <v>860</v>
      </c>
      <c r="AB151" s="27" t="s">
        <v>861</v>
      </c>
      <c r="AC151" s="26" t="s">
        <v>877</v>
      </c>
      <c r="AD151" s="38" t="s">
        <v>1546</v>
      </c>
      <c r="AE151" s="26" t="s">
        <v>854</v>
      </c>
      <c r="AF151" s="26" t="s">
        <v>854</v>
      </c>
      <c r="AG151" s="23" t="s">
        <v>864</v>
      </c>
      <c r="AH151" s="23" t="s">
        <v>864</v>
      </c>
      <c r="AI151" s="24" t="s">
        <v>863</v>
      </c>
      <c r="AJ151" s="23" t="s">
        <v>864</v>
      </c>
      <c r="AK151" s="220" t="str">
        <f>IF(AND(AD151="",AE151="",AF151="",AG151="",AH151="",AI151="",AJ151=""),"",IF(OR(Tabla1[[#This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EVALUACIÓN",IF(AND(O151="",R151=""),"",IF(AND(OR(O151&gt;0,R151&gt;0),NG151&gt;=0,NG151&lt;2),"SIN RIESGO",IF(AND(OR(O151&gt;0,R151&gt;0),NG151&gt;=2),"CON RIESGO","ASD")))))</f>
        <v>SIN RIESGO</v>
      </c>
      <c r="AL151" s="23" t="s">
        <v>864</v>
      </c>
      <c r="AM151" s="26" t="s">
        <v>864</v>
      </c>
      <c r="AN151" s="26" t="s">
        <v>864</v>
      </c>
      <c r="AO151" s="26" t="s">
        <v>864</v>
      </c>
      <c r="AP151" s="26" t="s">
        <v>864</v>
      </c>
      <c r="AQ151" s="26" t="s">
        <v>864</v>
      </c>
      <c r="AR151" s="26" t="s">
        <v>864</v>
      </c>
      <c r="AS151" s="21">
        <v>0</v>
      </c>
      <c r="AT151" s="21">
        <v>0</v>
      </c>
      <c r="AU151" s="21">
        <v>0</v>
      </c>
      <c r="AV151" s="26" t="s">
        <v>864</v>
      </c>
      <c r="AW151" s="21">
        <v>0</v>
      </c>
      <c r="AX151" s="26" t="s">
        <v>864</v>
      </c>
      <c r="AY151" s="26" t="s">
        <v>864</v>
      </c>
      <c r="AZ151" s="26" t="s">
        <v>864</v>
      </c>
      <c r="BA151" s="26" t="s">
        <v>864</v>
      </c>
      <c r="BB151" s="26" t="s">
        <v>864</v>
      </c>
      <c r="BC151" s="26" t="s">
        <v>864</v>
      </c>
      <c r="BD151" s="26" t="s">
        <v>864</v>
      </c>
      <c r="BE151" s="26" t="s">
        <v>864</v>
      </c>
      <c r="BF151" s="26" t="s">
        <v>864</v>
      </c>
      <c r="BG151" s="26" t="s">
        <v>864</v>
      </c>
      <c r="BH151" s="26" t="s">
        <v>864</v>
      </c>
      <c r="BI151" s="26" t="s">
        <v>864</v>
      </c>
      <c r="BJ151" s="26" t="s">
        <v>864</v>
      </c>
      <c r="BK151" s="26" t="s">
        <v>864</v>
      </c>
      <c r="BL151" s="26" t="s">
        <v>864</v>
      </c>
      <c r="BM151" s="26" t="s">
        <v>864</v>
      </c>
      <c r="BN151" s="22"/>
      <c r="BO151" s="22">
        <v>44951</v>
      </c>
      <c r="BP151" s="21" t="s">
        <v>854</v>
      </c>
      <c r="BQ151" s="222">
        <f t="shared" si="601"/>
        <v>0</v>
      </c>
      <c r="BR151" s="223" t="str">
        <f t="shared" si="602"/>
        <v/>
      </c>
      <c r="BS151" s="224">
        <f t="shared" si="603"/>
        <v>6.4285714285714288</v>
      </c>
      <c r="BT151" s="216" t="str">
        <f t="shared" si="604"/>
        <v>I TRIM</v>
      </c>
      <c r="BU151" s="214">
        <f t="shared" ca="1" si="605"/>
        <v>40.285714285714285</v>
      </c>
      <c r="BV151" s="25"/>
      <c r="BW151" s="22"/>
      <c r="BX151" s="28"/>
      <c r="BY151" s="28"/>
      <c r="BZ151" s="22"/>
      <c r="CA151" s="21"/>
      <c r="CB151" s="26"/>
      <c r="CC151" s="26"/>
      <c r="CD151" s="26"/>
      <c r="CE151" s="26"/>
      <c r="CF151" s="22" t="s">
        <v>1517</v>
      </c>
      <c r="CG151" s="21">
        <v>1.52</v>
      </c>
      <c r="CH151" s="21">
        <v>63.7</v>
      </c>
      <c r="CI151" s="214">
        <f t="shared" si="606"/>
        <v>27.570983379501385</v>
      </c>
      <c r="CJ151" s="225" t="str">
        <f>IF(AND(CI151&lt;10,CH151="SD"),"SIN DATO PESO PREGESTACION O I TRIM",IF(AND(OR(R151&gt;0,O151&gt;0),CI151="X"),"INGRESAR DATO DE PESO",IF(CI151="SD","INGRESAR DATO DE TALLA Y PESO",IF(AND(OR(Tabla1[[#This Row],[MOMENTO EN QUE SE REALIZA EL PESO AL INGRESO A CPN]]="PREGESTACIÓN",NZ151="Menor"),CI151&lt;18.5),"BAJO PESO",IF(AND(OR(Tabla1[[#This Row],[MOMENTO EN QUE SE REALIZA EL PESO AL INGRESO A CPN]]="PREGESTACIÓN",NZ151="Menor"),CI151&lt;25),"NORMAL",IF(AND(OR(Tabla1[[#This Row],[MOMENTO EN QUE SE REALIZA EL PESO AL INGRESO A CPN]]="PREGESTACIÓN",NZ151="Menor"),CI151&lt;30),"SOBREPESO",IF(AND(OR(Tabla1[[#This Row],[MOMENTO EN QUE SE REALIZA EL PESO AL INGRESO A CPN]]="PREGESTACIÓN",NZ151="Menor"),CI151&gt;=30,CI151&lt;50),"OBESIDAD",IF(AND(BS151&gt;0,Tabla1[[#This Row],[MOMENTO EN QUE SE REALIZA EL PESO AL INGRESO A CPN]]="GESTACIÓN"),HLOOKUP(NZ151,$OA$2:PH151,NY151),""))))))))</f>
        <v>SOBREPESO</v>
      </c>
      <c r="CK151" s="212">
        <f t="shared" si="607"/>
        <v>45136</v>
      </c>
      <c r="CL151" s="21">
        <v>71.2</v>
      </c>
      <c r="CM151" s="214">
        <f t="shared" si="608"/>
        <v>30.817174515235457</v>
      </c>
      <c r="CN151" s="216">
        <f t="shared" si="609"/>
        <v>26</v>
      </c>
      <c r="CO151" s="216" t="e">
        <f>IF(PI151="","",IF(PI151&gt;0,HLOOKUP(PI151,$PJ$2:QQ151,NY151),""))</f>
        <v>#REF!</v>
      </c>
      <c r="CP151" s="21">
        <v>23</v>
      </c>
      <c r="CQ151" s="216" t="e">
        <f>IF(QR151="Menor","NO APLICA-MENOR 13 SEM",IF(AND(CC151="SI",CN151&gt;23),"NO APLICA- GEMELAR",IF(QR151="","",IF(QR151&gt;0,HLOOKUP(QR151,$QS$2:RU151,NY151),""))))</f>
        <v>#REF!</v>
      </c>
      <c r="CR151" s="21"/>
      <c r="CS151" s="21"/>
      <c r="CT151" s="217" t="str">
        <f>IF(R151="","",IF(AND(BS151&gt;1,BS151&lt;12,Tabla1[[#This Row],[T.A. SISTOLICA - ANTES DE SEMANA 12]]="",Tabla1[[#This Row],[T.A. DIASTOLICA - ANTES DE SEMANA 12]]=""),"REGISTRE DATO TA ANTES SEMANA 12",IF(AND(BS151&gt;11,BS151&lt;43,Tabla1[[#This Row],[T.A. SISTOLICA - ANTES DE SEMANA 12]]="",Tabla1[[#This Row],[T.A. DIASTOLICA - ANTES DE SEMANA 12]]=""),"NO APLICA REGISTRO TA-INGRESO TARDIO",IF(AND(OR(O151&gt;0,R151&gt;0),OR(CR151&gt;=140,CS151&gt;=90)),"DEFINIR ESTADIO HTA",IF(AND(OR(O151&gt;0,R151&gt;0),AND(CR151&gt;120,CR151&lt;=139)),"PRE HTA SEGUIMIENTO",IF(AND(OR(O151&gt;0,R151&gt;0),AND(CS151&gt;80,CS151&lt;=89)),"PRE HTA SEGUIMIENTO",IF(AND(OR(O151&gt;0,R151&gt;0),AND(CR151&gt;=80,CR151&lt;=120)),"APARENTEMENTE NORMAL",IF(AND(OR(O151&gt;0,R151&gt;0),AND(CS151&gt;=50,CS151&lt;=80)),"APARENTEMENTE NORMAL",IF(AND(OR(O151&gt;0,R151&gt;0),AND(CR151&gt;1,CR151&lt;=70),AND(CS151&gt;1,CS151&lt;=40)),"HIPOTENSIÓN","")))))))))</f>
        <v>REGISTRE DATO TA ANTES SEMANA 12</v>
      </c>
      <c r="CU151" s="21">
        <v>90</v>
      </c>
      <c r="CV151" s="21">
        <v>60</v>
      </c>
      <c r="CW151" s="217" t="str">
        <f ca="1">IF(R151="","",IF(AND(CN151&gt;19,CN151&lt;27,Tabla1[[#This Row],[T.A. SISTOLICA (Entre semana 20 y 26)]]="",Tabla1[[#This Row],[T.A. DIATOLICA (Entre semana 20 y 26)]]=""),"ACUDE A CONTROL SEM 20 A 26 REGISTRE TA AHORA",IF(AND(BS151&gt;1,BS151&lt;27,BU151&gt;19,Tabla1[[#This Row],[T.A. SISTOLICA (Entre semana 20 y 26)]]="",Tabla1[[#This Row],[T.A. DIATOLICA (Entre semana 20 y 26)]]=""),"COMPLETE REGISTRO TA CONTROL SEM 20 A26 ",IF(AND(BS151&gt;26,BS151&lt;43,Tabla1[[#This Row],[T.A. SISTOLICA (Entre semana 20 y 26)]]="",Tabla1[[#This Row],[T.A. DIATOLICA (Entre semana 20 y 26)]]=""),"NO APLICA REGISTRO TA-INGRESO TARDIO",IF(AND(OR(O151&gt;0,R151&gt;0),OR(CU151&gt;=140,CV151&gt;=90)),"ALTO RIESGO PREECLAMPSIA,DEFINIR ESTADIO HTA",IF(AND(OR(O151&gt;0,R151&gt;0),AND(CU151&gt;120,CU151&lt;=139)),"PRE HTA SEGUIMIENTO,RIESGO HIPERTENSION INDUCIDA POR EL EMBARAZO",IF(AND(OR(O151&gt;0,R151&gt;0),AND(CV151&gt;80,CV151&lt;=89)),"PRE HTA SEGUIMIENTO, RIESGO HIPERTENSION INDUCIDA POR EL EMBARAZO",IF(AND(OR(O151&lt;&gt;"",R151&lt;&gt;""),CS151&lt;&gt;"",CV151&lt;&gt;"",CS151&lt;=CV151),"VIGILAR CIFRAS PRESION ARTERIAL",IF(AND(OR(O151&gt;0,R151&gt;0),AND(CU151&gt;120,CU151&lt;=139)),"PRE HTA SEGUIMIENTO",IF(AND(OR(O151&gt;0,R151&gt;0),AND(CU151&gt;1,CU151&lt;=70),AND(CV151&gt;1,CV151&lt;=40)),"HIPOTENSIÓN",IF(AND(OR(O151&lt;&gt;"",R151&lt;&gt;""),CS151&lt;&gt;"",CV151&lt;&gt;"",CS151&gt;CV151),"APARENTEMENTE NORMAL",IF(AND(OR(O151&gt;0,R151&gt;0),AND(CU151&gt;=80,CU151&lt;=120)),"APARENTEMENTE NORMAL",IF(AND(OR(O151&gt;0,R151&gt;0),AND(CV151&gt;=50,CV151&lt;=80)),"APARENTEMENTE NORMAL","")))))))))))))</f>
        <v>APARENTEMENTE NORMAL</v>
      </c>
      <c r="CX151" s="21"/>
      <c r="CY151" s="21"/>
      <c r="CZ151" s="216" t="str">
        <f t="shared" si="688"/>
        <v/>
      </c>
      <c r="DA151" s="21">
        <v>90</v>
      </c>
      <c r="DB151" s="21">
        <v>60</v>
      </c>
      <c r="DC151" s="217" t="str">
        <f t="shared" si="610"/>
        <v>APARENTEMENTE NORMAL</v>
      </c>
      <c r="DD151" s="22">
        <v>44996</v>
      </c>
      <c r="DE151" s="22">
        <v>44996</v>
      </c>
      <c r="DF151" s="22">
        <v>45027</v>
      </c>
      <c r="DG151" s="22">
        <v>45063</v>
      </c>
      <c r="DH151" s="22">
        <v>45094</v>
      </c>
      <c r="DI151" s="22">
        <v>45136</v>
      </c>
      <c r="DJ151" s="22"/>
      <c r="DK151" s="22"/>
      <c r="DL151" s="22"/>
      <c r="DM151" s="22"/>
      <c r="DN151" s="22"/>
      <c r="DO151" s="22"/>
      <c r="DP151" s="22"/>
      <c r="DQ151" s="22"/>
      <c r="DR151" s="28"/>
      <c r="DS151" s="22"/>
      <c r="DT151" s="22"/>
      <c r="DU151" s="216" t="str">
        <f t="shared" ca="1" si="674"/>
        <v>CONCERTAR PLAN DE PARTO INMEDIATO</v>
      </c>
      <c r="DV151" s="226" t="str">
        <f t="shared" si="675"/>
        <v>ACTIVA INGRESO A CPN</v>
      </c>
      <c r="DW15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1" s="216" t="e">
        <f t="shared" ca="1" si="611"/>
        <v>#REF!</v>
      </c>
      <c r="DY151" s="212">
        <f>IF(R151="","",IF(R151&gt;0,MAX(Tabla1[[#This Row],[FECHA C2]:[FECHA C13]],Tabla1[[#This Row],[FECHA CONSULTA PRIMERA VEZ PROGRAMA CPN ]])))</f>
        <v>45136</v>
      </c>
      <c r="DZ151" s="216">
        <f t="shared" si="612"/>
        <v>26</v>
      </c>
      <c r="EA151" s="222">
        <f>IF(R151&gt;0,SUM(COUNTA(DF151:DQ151)+COUNTA(Tabla1[[#This Row],[FECHA CONSULTA PRIMERA VEZ PROGRAMA CPN ]])),"")</f>
        <v>5</v>
      </c>
      <c r="EB151" s="222" t="str">
        <f t="shared" si="613"/>
        <v>SI</v>
      </c>
      <c r="EC151" s="214">
        <f t="shared" si="614"/>
        <v>10</v>
      </c>
      <c r="ED151" s="227">
        <f t="shared" si="615"/>
        <v>0.5</v>
      </c>
      <c r="EE151" s="22">
        <v>44996</v>
      </c>
      <c r="EF151" s="22">
        <v>44994</v>
      </c>
      <c r="EG151" s="22">
        <v>44996</v>
      </c>
      <c r="EH151" s="22"/>
      <c r="EI151" s="22">
        <v>44996</v>
      </c>
      <c r="EJ151" s="22">
        <v>44945</v>
      </c>
      <c r="EK151" s="22">
        <v>44945</v>
      </c>
      <c r="EL151" s="21"/>
      <c r="EM151" s="21">
        <v>15.5</v>
      </c>
      <c r="EN151" s="22">
        <v>44996</v>
      </c>
      <c r="EO151" s="222">
        <f t="shared" si="616"/>
        <v>6.4285714285714288</v>
      </c>
      <c r="EP151" s="214" t="str">
        <f t="shared" si="617"/>
        <v>NO DAR SULFATO FERROSO</v>
      </c>
      <c r="EQ151" s="216" t="str">
        <f t="shared" si="618"/>
        <v>I TRIM</v>
      </c>
      <c r="ER151" s="24"/>
      <c r="ES151" s="22"/>
      <c r="ET151" s="29" t="str">
        <f t="shared" ca="1" si="676"/>
        <v>TOMA DE HEMOGLOBINA TARDÍA</v>
      </c>
      <c r="EU151" s="25" t="str">
        <f t="shared" si="619"/>
        <v/>
      </c>
      <c r="EV151" s="24" t="s">
        <v>1510</v>
      </c>
      <c r="EW151" s="32">
        <v>44996</v>
      </c>
      <c r="EX151" s="22"/>
      <c r="EY151" s="29">
        <f t="shared" si="453"/>
        <v>6.4285714285714288</v>
      </c>
      <c r="EZ151" s="25" t="str">
        <f t="shared" si="454"/>
        <v>SIN RIESGO DE ISOINMUNIZACIÓN</v>
      </c>
      <c r="FA151" s="21">
        <v>80</v>
      </c>
      <c r="FB151" s="22">
        <v>44996</v>
      </c>
      <c r="FC151" s="29">
        <f t="shared" si="620"/>
        <v>6.4285714285714288</v>
      </c>
      <c r="FD151" s="29"/>
      <c r="FE151" s="29"/>
      <c r="FF151" s="29"/>
      <c r="FG151" s="21" t="str">
        <f t="shared" ca="1" si="621"/>
        <v>TOMAR PTOG</v>
      </c>
      <c r="FH151" s="31"/>
      <c r="FI151" s="29" t="str">
        <f t="shared" si="622"/>
        <v>TOMAR EXAMEN</v>
      </c>
      <c r="FJ151" s="22" t="s">
        <v>867</v>
      </c>
      <c r="FK151" s="22">
        <v>44996</v>
      </c>
      <c r="FL151" s="29">
        <f t="shared" ca="1" si="623"/>
        <v>6.4285714285714288</v>
      </c>
      <c r="FM151" s="22"/>
      <c r="FN151" s="32"/>
      <c r="FO151" s="29" t="str">
        <f t="shared" ca="1" si="677"/>
        <v>PIERDE TOMA DE TAMIZAJE</v>
      </c>
      <c r="FP151" s="22"/>
      <c r="FQ151" s="32"/>
      <c r="FR151" s="29" t="str">
        <f t="shared" ca="1" si="678"/>
        <v>TOMA INMEDIATA DE TAMIZAJE</v>
      </c>
      <c r="FS151" s="22"/>
      <c r="FT151" s="32"/>
      <c r="FU151" s="29" t="str">
        <f>IF(AND(FJ151="",FM151="",FP151="",FS151=""),"",IF(OR(OR(Tabla1[[#This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1" s="28"/>
      <c r="FW151" s="22"/>
      <c r="FX151" s="29" t="str">
        <f t="shared" si="624"/>
        <v>TOMAR EXAMEN</v>
      </c>
      <c r="FY151" s="22" t="s">
        <v>868</v>
      </c>
      <c r="FZ151" s="22">
        <v>44996</v>
      </c>
      <c r="GA151" s="29">
        <f t="shared" ca="1" si="497"/>
        <v>6.4285714285714288</v>
      </c>
      <c r="GB151" s="22"/>
      <c r="GC151" s="22"/>
      <c r="GD151" s="29" t="str">
        <f t="shared" ca="1" si="679"/>
        <v>PIERDE TOMA DE TAMIZAJE</v>
      </c>
      <c r="GE151" s="22"/>
      <c r="GF151" s="22"/>
      <c r="GG151" s="29" t="str">
        <f t="shared" ca="1" si="680"/>
        <v>TOMA INMEDIATA DE TAMIZAJE</v>
      </c>
      <c r="GH151" s="22"/>
      <c r="GI151" s="29"/>
      <c r="GJ151" s="22"/>
      <c r="GK151" s="22"/>
      <c r="GL151" s="22"/>
      <c r="GM151" s="22"/>
      <c r="GN151" s="28" t="s">
        <v>869</v>
      </c>
      <c r="GO151" s="22">
        <v>44996</v>
      </c>
      <c r="GP151" s="29">
        <f t="shared" si="625"/>
        <v>6.4285714285714288</v>
      </c>
      <c r="GQ151" s="28" t="s">
        <v>869</v>
      </c>
      <c r="GR151" s="28" t="s">
        <v>869</v>
      </c>
      <c r="GS151" s="22" t="str">
        <f t="shared" si="626"/>
        <v>CONTROL Igm</v>
      </c>
      <c r="GT151" s="22">
        <v>44996</v>
      </c>
      <c r="GU151" s="29">
        <f t="shared" si="627"/>
        <v>6.4285714285714288</v>
      </c>
      <c r="GV151" s="21" t="str">
        <f t="shared" si="628"/>
        <v>I TRIM</v>
      </c>
      <c r="GW151" s="28" t="s">
        <v>869</v>
      </c>
      <c r="GX151" s="30"/>
      <c r="GY151" s="21"/>
      <c r="GZ151" s="21"/>
      <c r="HA151" s="21"/>
      <c r="HB151" s="21"/>
      <c r="HC151" s="21"/>
      <c r="HD151" s="21"/>
      <c r="HE151" s="21"/>
      <c r="HF151" s="22"/>
      <c r="HG151" s="22" t="str">
        <f>IF(OR(O151&gt;0,R151&gt;0),CONCATENATE(IF(Tabla1[[#This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1" s="22" t="e">
        <f t="shared" si="629"/>
        <v>#REF!</v>
      </c>
      <c r="HI151" s="22" t="e">
        <f t="shared" ca="1" si="630"/>
        <v>#REF!</v>
      </c>
      <c r="HJ151" s="21"/>
      <c r="HK151" s="21" t="str">
        <f t="shared" si="631"/>
        <v>SIN ANTECEDENTES DE RIESGO</v>
      </c>
      <c r="HL151" s="24" t="str">
        <f t="shared" si="632"/>
        <v>APARENTEMENTE NORMAL</v>
      </c>
      <c r="HM151" s="21" t="e">
        <f t="shared" ca="1" si="633"/>
        <v>#REF!</v>
      </c>
      <c r="HN151" s="30" t="str">
        <f t="shared" si="681"/>
        <v>ACTIVA INGRESO A CPN</v>
      </c>
      <c r="HO151" s="21"/>
      <c r="HP151" s="21"/>
      <c r="HQ151" s="349">
        <v>44996</v>
      </c>
      <c r="HR151" s="21" t="str">
        <f>IF(R151="","",IF(Tabla1[[#This Row],[ALARMA FACTORES DE RIESGO COMPLICACIONES HIPERTENSIVAS3]]="SIN ANTECEDENTES DE RIESGO","No Aplica para suministro de ASA",IF(AND(Tabla1[[#This Row],[FECHA INICIO DE SUMINISTRO DE ASA]]&gt;0,RV151&lt;12),"Inicia ASA ANTES de Sem 12",IF(AND(RV151&gt;11,RV151&lt;17,OR(HK151="RIESGO ALTO DE COMPLICACIONES HIPERTENSIVAS VER MANEJO GUIA SUMINISTRO ASA Y CALCIO",HK151="RIESGO MODERADO (2 O MAS CRITERIOS) VER MANEJO GUIA SUMINISTRO ASA Y CALCIO")),"Inicio oportuno de ASA",IF(AND(RV151&gt;12,OR(HK151="RIESGO ALTO DE COMPLICACIONES HIPERTENSIVAS VER MANEJO GUIA SUMINISTRO ASA Y CALCIO",HK151="RIESGO MODERADO (2 O MAS CRITERIOS) VER MANEJO GUIA SUMINISTRO ASA Y CALCIO")),"Inicio no oportuno mayor a 16 semanas",IF(AND(BU151&lt;12,OR(HK151="RIESGO ALTO DE COMPLICACIONES HIPERTENSIVAS VER MANEJO GUIA SUMINISTRO ASA Y CALCIO",HK151="RIESGO MODERADO (2 O MAS CRITERIOS) VER MANEJO GUIA SUMINISTRO ASA Y CALCIO")),"Pendiente Inicio de ASA a la semana 12",IF(AND(BU151&gt;11,BU151&lt;17,OR(HK151="RIESGO ALTO DE COMPLICACIONES HIPERTENSIVAS VER MANEJO GUIA SUMINISTRO ASA Y CALCIO",HK151="RIESGO MODERADO (2 O MAS CRITERIOS) VER MANEJO GUIA SUMINISTRO ASA Y CALCIO")),"Iniciar de inmediato ASA",IF(AND(BU151&gt;16,OR(HK151="RIESGO ALTO DE COMPLICACIONES HIPERTENSIVAS VER MANEJO GUIA SUMINISTRO ASA Y CALCIO",HK151="RIESGO MODERADO (2 O MAS CRITERIOS) VER MANEJO GUIA SUMINISTRO ASA Y CALCIO")),"Pierde Oportunidad, Inicio tardío de ASA","XXXXX"))))))))</f>
        <v>No Aplica para suministro de ASA</v>
      </c>
      <c r="HS151" s="22">
        <v>44996</v>
      </c>
      <c r="HT151" s="22" t="s">
        <v>870</v>
      </c>
      <c r="HU151" s="22">
        <v>44996</v>
      </c>
      <c r="HV151" s="22" t="s">
        <v>870</v>
      </c>
      <c r="HW151" s="22"/>
      <c r="HX151" s="22"/>
      <c r="HY151" s="22"/>
      <c r="HZ151" s="28" t="str">
        <f t="shared" si="634"/>
        <v>PENDIENTE CONSULTA</v>
      </c>
      <c r="IA151" s="26"/>
      <c r="IB151" s="26"/>
      <c r="IC151" s="111"/>
      <c r="ID151" s="22"/>
      <c r="IE151" s="22" t="str">
        <f t="shared" ca="1" si="635"/>
        <v>INASISTENTE</v>
      </c>
      <c r="IF151" s="22"/>
      <c r="IG151" s="22">
        <f t="shared" si="636"/>
        <v>45231</v>
      </c>
      <c r="IH151" s="29">
        <f t="shared" ca="1" si="637"/>
        <v>-2</v>
      </c>
      <c r="II151" s="22" t="str">
        <f t="shared" ca="1" si="638"/>
        <v>POSIBLEMENTE NACIO</v>
      </c>
      <c r="IJ151" s="22"/>
      <c r="IK151" s="21"/>
      <c r="IL151" s="21"/>
      <c r="IM151" s="34"/>
      <c r="IN151" s="22"/>
      <c r="IO151" s="21"/>
      <c r="IP151" s="29" t="str">
        <f t="shared" si="672"/>
        <v/>
      </c>
      <c r="IQ151" s="35"/>
      <c r="IR151" s="21"/>
      <c r="IS151" s="21"/>
      <c r="IT151" s="21"/>
      <c r="IU151" s="21"/>
      <c r="IV151" s="21"/>
      <c r="IW151" s="21"/>
      <c r="IX151" s="21"/>
      <c r="IY151" s="21"/>
      <c r="IZ151" s="21"/>
      <c r="JA151" s="21"/>
      <c r="JB151" s="30"/>
      <c r="JC151" s="21"/>
      <c r="JD151" s="36"/>
      <c r="JE151" s="21" t="str">
        <f t="shared" si="682"/>
        <v/>
      </c>
      <c r="JF151" s="30"/>
      <c r="JG151" s="21"/>
      <c r="JH151" s="21"/>
      <c r="JI151" s="21"/>
      <c r="JJ151" s="30"/>
      <c r="JK151" s="22"/>
      <c r="JL151" s="22"/>
      <c r="JM151" s="21"/>
      <c r="JN151" s="36"/>
      <c r="JO151" s="21" t="str">
        <f t="shared" si="683"/>
        <v/>
      </c>
      <c r="JP151" s="22"/>
      <c r="JQ151" s="21"/>
      <c r="JR151" s="21"/>
      <c r="JS151" s="21"/>
      <c r="JT151" s="30"/>
      <c r="JU151" s="22"/>
      <c r="JV151" s="22"/>
      <c r="JW151" s="33"/>
      <c r="JX151" s="28" t="str">
        <f t="shared" si="684"/>
        <v/>
      </c>
      <c r="JY151" s="33"/>
      <c r="JZ151" s="28" t="str">
        <f t="shared" si="685"/>
        <v/>
      </c>
      <c r="KA151" s="21"/>
      <c r="KB151" s="21"/>
      <c r="KC151" s="21"/>
      <c r="KD151" s="37"/>
      <c r="KE151" s="28"/>
      <c r="KF151" s="28"/>
      <c r="KG151" s="28"/>
      <c r="KH151" s="39"/>
      <c r="KI151" s="39"/>
      <c r="KJ151" s="66"/>
      <c r="KK151" s="39"/>
      <c r="KL151" s="39"/>
      <c r="KM151" s="66"/>
      <c r="KN151" s="39"/>
      <c r="KO151" s="39"/>
      <c r="KP151" s="39"/>
      <c r="KQ151" s="39"/>
      <c r="KR151" s="39"/>
      <c r="KS151" s="39"/>
      <c r="KT151" s="39"/>
      <c r="KU151" s="38"/>
      <c r="KV151" s="38"/>
      <c r="KW151" s="38"/>
      <c r="KX151" s="38"/>
      <c r="KY151" s="38"/>
      <c r="KZ151" s="38"/>
      <c r="LA151" s="38"/>
      <c r="LB151" s="38"/>
      <c r="LC151" s="38"/>
      <c r="LD151" s="38"/>
      <c r="LE151" s="38"/>
      <c r="LF151" s="38"/>
      <c r="LG151" s="38"/>
      <c r="LH151" s="38"/>
      <c r="LI151" s="38"/>
      <c r="LJ151" s="38"/>
      <c r="LK151" s="38"/>
      <c r="LL151" s="38"/>
      <c r="LM151" s="38"/>
      <c r="LN151" s="38"/>
      <c r="LO151" s="38"/>
      <c r="LP151" s="38"/>
      <c r="LQ151" s="38"/>
      <c r="LR151" s="38"/>
      <c r="LS151" s="38"/>
      <c r="LT151" s="38"/>
      <c r="LU151" s="38"/>
      <c r="LV151" s="38"/>
      <c r="LW151" s="38"/>
      <c r="LX151" s="38"/>
      <c r="LY151" s="38"/>
      <c r="LZ151" s="38"/>
      <c r="MA151" s="38"/>
      <c r="MB151" s="38"/>
      <c r="MC151" s="38"/>
      <c r="MD151" s="38"/>
      <c r="ME151" s="38"/>
      <c r="MF151" s="38"/>
      <c r="MG151" s="38"/>
      <c r="MH151" s="43">
        <f t="shared" si="639"/>
        <v>0</v>
      </c>
      <c r="MI151" s="43" t="str">
        <f t="shared" si="640"/>
        <v/>
      </c>
      <c r="MJ151" s="43" t="str">
        <f t="shared" si="641"/>
        <v/>
      </c>
      <c r="MK151" s="43">
        <f t="shared" si="642"/>
        <v>0</v>
      </c>
      <c r="ML15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1" s="43">
        <f t="shared" si="643"/>
        <v>6.4285714285714288</v>
      </c>
      <c r="MN151" s="43">
        <f t="shared" si="644"/>
        <v>3</v>
      </c>
      <c r="MO151" s="43">
        <f t="shared" si="645"/>
        <v>2023</v>
      </c>
      <c r="MP151" s="43" t="str">
        <f t="shared" si="646"/>
        <v>I TRIMESTRE AÑO</v>
      </c>
      <c r="MQ151" s="43">
        <f t="shared" si="647"/>
        <v>23.90221200175208</v>
      </c>
      <c r="MR151" s="43">
        <f t="shared" si="648"/>
        <v>0</v>
      </c>
      <c r="MS151" s="43" t="str">
        <f t="shared" si="649"/>
        <v xml:space="preserve"> DE 20 A 24 AÑOS</v>
      </c>
      <c r="MT151" s="43">
        <f t="shared" si="650"/>
        <v>0</v>
      </c>
      <c r="MU151" s="43">
        <f t="shared" si="651"/>
        <v>1</v>
      </c>
      <c r="MV151" s="43">
        <f t="shared" si="652"/>
        <v>0</v>
      </c>
      <c r="MW151" s="43">
        <f t="shared" si="653"/>
        <v>0</v>
      </c>
      <c r="MX151" s="43" t="str">
        <f t="shared" si="654"/>
        <v/>
      </c>
      <c r="MY151" s="43" t="str">
        <f t="shared" ca="1" si="686"/>
        <v/>
      </c>
      <c r="MZ151" s="43" t="str">
        <f t="shared" si="655"/>
        <v/>
      </c>
      <c r="NA151" s="43" t="str">
        <f t="shared" si="656"/>
        <v/>
      </c>
      <c r="NB151" s="43" t="str">
        <f t="shared" si="657"/>
        <v/>
      </c>
      <c r="NC151" s="43" t="str">
        <f t="shared" si="658"/>
        <v/>
      </c>
      <c r="ND151" s="43">
        <f t="shared" ca="1" si="659"/>
        <v>1</v>
      </c>
      <c r="NE151" s="43">
        <f>IF(OR(O151&gt;0,R151&gt;0),SUM(COUNTIF(Tabla1[[#This Row],[AÑOS AL INICIO5 CPN]],"&gt;=40"),COUNTIF(AS151,"0"),COUNTIF(AR151,"SI"),COUNTIF(CC151,"SI"),COUNTIF(BQ151,"&gt;119"),COUNTIF(CI151,"&gt;=35")),"")</f>
        <v>1</v>
      </c>
      <c r="NF151" s="43" t="str">
        <f t="shared" si="660"/>
        <v/>
      </c>
      <c r="NG151" s="43">
        <f t="shared" si="661"/>
        <v>0</v>
      </c>
      <c r="NH151" s="43" t="str">
        <f t="shared" si="662"/>
        <v/>
      </c>
      <c r="NI15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CPN",P151="NO"),"Z",IF(AND(Tabla1[[#This Row],[CITA PROXIMO CONTROL]]="CITA MANUAL",Tabla1[[#This Row],[GESTANTES ACTUALES]]="ACTIVA INGRESO A CPN"),"W",IF(AND(Tabla1[[#This Row],[GESTANTES ACTUALES]]="SALIO PROGRAMA",IN151=""),"S",IF(AND(Tabla1[[#This Row],[CITA PROXIMO CONTROL]]&gt;0,IN151=""),(Tabla1[[#This Row],[CITA PROXIMO CONTROL]]-TODAY()),"SD"))))))))</f>
        <v>#REF!</v>
      </c>
      <c r="NJ151" s="43">
        <f>MONTH(Tabla1[[#This Row],[FECHA DE SALIDA  DEL PROGRAMA]])</f>
        <v>1</v>
      </c>
      <c r="NK151" s="43">
        <f>YEAR(Tabla1[[#This Row],[FECHA DE SALIDA  DEL PROGRAMA]])</f>
        <v>1900</v>
      </c>
      <c r="NL151" s="43">
        <f t="shared" si="663"/>
        <v>-51</v>
      </c>
      <c r="NM151" s="43" t="str">
        <f t="shared" si="500"/>
        <v>NO</v>
      </c>
      <c r="NN151" s="43" t="str">
        <f ca="1">IF(AND(O151&gt;0,R151=""),"NO CPN",IF(AND(O151="",R151=""),"",IF(AND(R151&gt;0,Tabla1[[#This Row],[SEMANAS DE GESTACION ACTUALIZADAS]]&lt;=12),"NO APLICA",IF(AND(FH151&lt;&gt;"",FN151&lt;&gt;""),"SI","NO"))))</f>
        <v>NO</v>
      </c>
      <c r="NO151" s="43" t="str">
        <f ca="1">IF(AND(O151&gt;0,R151=""),"NO CPN",IF(AND(O151="",R151=""),"",IF(AND(R151&gt;0,Tabla1[[#This Row],[SEMANAS DE GESTACION ACTUALIZADAS]]&lt;=27),"NO APLICA",IF(AND(ES151&lt;&gt;"",FQ151&lt;&gt;"",GF151&lt;&gt;""),"SI","NO"))))</f>
        <v>NO</v>
      </c>
      <c r="NP151" s="204" t="str">
        <f t="shared" si="664"/>
        <v>I TRIM</v>
      </c>
      <c r="NQ151" s="21" t="str">
        <f t="shared" si="689"/>
        <v/>
      </c>
      <c r="NR151" s="21">
        <f t="shared" ca="1" si="687"/>
        <v>3</v>
      </c>
      <c r="NS151" s="205">
        <f t="shared" ca="1" si="665"/>
        <v>1</v>
      </c>
      <c r="NT151" s="21">
        <f t="shared" ca="1" si="666"/>
        <v>1</v>
      </c>
      <c r="NU151" s="21" t="str">
        <f t="shared" ca="1" si="667"/>
        <v>INCOMPLETO</v>
      </c>
      <c r="NV151" s="21" t="str">
        <f t="shared" ca="1" si="668"/>
        <v>INCOMPLETO</v>
      </c>
      <c r="NW151" s="206" t="str">
        <f>IF(AND(O151="",R151=""),"",IF(OR(AND(Tabla1[[#This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1" s="207" t="str">
        <f t="shared" ca="1" si="669"/>
        <v>SIN VACUNAR</v>
      </c>
      <c r="NY151" s="43">
        <f>ROW(Tabla1[[#This Row],['# DE TAMIZAJES SIFILIS TOMADOS ]])</f>
        <v>151</v>
      </c>
      <c r="NZ151" s="43" t="str">
        <f t="shared" si="501"/>
        <v>Menor</v>
      </c>
      <c r="OA151" s="43" t="str">
        <f t="shared" si="502"/>
        <v>SOBREPESO</v>
      </c>
      <c r="OB151" s="43" t="str">
        <f t="shared" si="503"/>
        <v/>
      </c>
      <c r="OC151" s="43" t="str">
        <f t="shared" si="504"/>
        <v/>
      </c>
      <c r="OD151" s="43" t="str">
        <f t="shared" si="505"/>
        <v/>
      </c>
      <c r="OE151" s="43" t="str">
        <f t="shared" si="506"/>
        <v/>
      </c>
      <c r="OF151" s="43" t="str">
        <f t="shared" si="507"/>
        <v/>
      </c>
      <c r="OG151" s="43" t="str">
        <f t="shared" si="508"/>
        <v/>
      </c>
      <c r="OH151" s="43" t="str">
        <f t="shared" si="509"/>
        <v/>
      </c>
      <c r="OI151" s="43" t="str">
        <f t="shared" si="510"/>
        <v/>
      </c>
      <c r="OJ151" s="43" t="str">
        <f t="shared" si="511"/>
        <v/>
      </c>
      <c r="OK151" s="43" t="str">
        <f t="shared" si="512"/>
        <v/>
      </c>
      <c r="OL151" s="43" t="str">
        <f t="shared" si="513"/>
        <v/>
      </c>
      <c r="OM151" s="43" t="str">
        <f t="shared" si="514"/>
        <v/>
      </c>
      <c r="ON151" s="43" t="str">
        <f t="shared" si="515"/>
        <v/>
      </c>
      <c r="OO151" s="43" t="str">
        <f t="shared" si="516"/>
        <v/>
      </c>
      <c r="OP151" s="43" t="str">
        <f t="shared" si="517"/>
        <v/>
      </c>
      <c r="OQ151" s="43" t="str">
        <f t="shared" si="518"/>
        <v/>
      </c>
      <c r="OR151" s="43" t="str">
        <f t="shared" si="519"/>
        <v/>
      </c>
      <c r="OS151" s="43" t="str">
        <f t="shared" si="520"/>
        <v/>
      </c>
      <c r="OT151" s="43" t="str">
        <f t="shared" si="521"/>
        <v/>
      </c>
      <c r="OU151" s="43" t="str">
        <f t="shared" si="522"/>
        <v/>
      </c>
      <c r="OV151" s="110" t="str">
        <f t="shared" si="523"/>
        <v/>
      </c>
      <c r="OW151" s="43" t="str">
        <f t="shared" si="524"/>
        <v/>
      </c>
      <c r="OX151" s="43" t="str">
        <f t="shared" si="525"/>
        <v/>
      </c>
      <c r="OY151" s="43" t="str">
        <f t="shared" si="526"/>
        <v/>
      </c>
      <c r="OZ151" s="43" t="str">
        <f t="shared" si="527"/>
        <v/>
      </c>
      <c r="PA151" s="43" t="str">
        <f t="shared" si="528"/>
        <v/>
      </c>
      <c r="PB151" s="43" t="str">
        <f t="shared" si="529"/>
        <v/>
      </c>
      <c r="PC151" s="43" t="str">
        <f t="shared" si="530"/>
        <v/>
      </c>
      <c r="PD151" s="43" t="str">
        <f t="shared" si="531"/>
        <v/>
      </c>
      <c r="PE151" s="43" t="str">
        <f t="shared" si="532"/>
        <v/>
      </c>
      <c r="PF151" s="43" t="str">
        <f t="shared" si="533"/>
        <v/>
      </c>
      <c r="PG151" s="43" t="str">
        <f t="shared" si="534"/>
        <v/>
      </c>
      <c r="PH151" s="43" t="str">
        <f t="shared" si="535"/>
        <v/>
      </c>
      <c r="PI151" s="43">
        <f t="shared" si="536"/>
        <v>26</v>
      </c>
      <c r="PJ151" s="43" t="str">
        <f t="shared" si="537"/>
        <v/>
      </c>
      <c r="PK151" s="43" t="str">
        <f t="shared" si="538"/>
        <v/>
      </c>
      <c r="PL151" s="43" t="str">
        <f t="shared" si="539"/>
        <v/>
      </c>
      <c r="PM151" s="43" t="str">
        <f t="shared" si="540"/>
        <v/>
      </c>
      <c r="PN151" s="43" t="str">
        <f t="shared" si="541"/>
        <v/>
      </c>
      <c r="PO151" s="43" t="str">
        <f t="shared" si="542"/>
        <v/>
      </c>
      <c r="PP151" s="43" t="str">
        <f t="shared" si="543"/>
        <v/>
      </c>
      <c r="PQ151" s="43" t="str">
        <f t="shared" si="544"/>
        <v/>
      </c>
      <c r="PR151" s="43" t="str">
        <f t="shared" si="545"/>
        <v/>
      </c>
      <c r="PS151" s="43" t="str">
        <f t="shared" si="546"/>
        <v/>
      </c>
      <c r="PT151" s="43" t="str">
        <f t="shared" si="547"/>
        <v/>
      </c>
      <c r="PU151" s="43" t="str">
        <f t="shared" si="548"/>
        <v/>
      </c>
      <c r="PV151" s="43" t="str">
        <f t="shared" si="549"/>
        <v/>
      </c>
      <c r="PW151" s="43" t="str">
        <f t="shared" si="550"/>
        <v/>
      </c>
      <c r="PX151" s="43" t="str">
        <f t="shared" si="551"/>
        <v/>
      </c>
      <c r="PY151" s="43" t="str">
        <f t="shared" si="552"/>
        <v/>
      </c>
      <c r="PZ151" s="43" t="str">
        <f t="shared" si="553"/>
        <v/>
      </c>
      <c r="QA151" s="43" t="str">
        <f t="shared" si="554"/>
        <v>SOBREPESO</v>
      </c>
      <c r="QB151" s="43" t="str">
        <f t="shared" si="555"/>
        <v/>
      </c>
      <c r="QC151" s="43" t="str">
        <f t="shared" si="556"/>
        <v/>
      </c>
      <c r="QD151" s="43" t="str">
        <f t="shared" si="557"/>
        <v/>
      </c>
      <c r="QE151" s="43" t="str">
        <f t="shared" si="558"/>
        <v/>
      </c>
      <c r="QF151" s="43" t="str">
        <f t="shared" si="559"/>
        <v/>
      </c>
      <c r="QG151" s="43" t="str">
        <f t="shared" si="560"/>
        <v/>
      </c>
      <c r="QH151" s="43" t="str">
        <f t="shared" si="561"/>
        <v/>
      </c>
      <c r="QI151" s="43" t="str">
        <f t="shared" si="562"/>
        <v/>
      </c>
      <c r="QJ151" s="43" t="str">
        <f t="shared" si="563"/>
        <v/>
      </c>
      <c r="QK151" s="43" t="str">
        <f t="shared" si="564"/>
        <v/>
      </c>
      <c r="QL151" s="43" t="str">
        <f t="shared" si="565"/>
        <v/>
      </c>
      <c r="QM151" s="43" t="str">
        <f t="shared" si="566"/>
        <v/>
      </c>
      <c r="QN151" s="43" t="str">
        <f t="shared" si="567"/>
        <v/>
      </c>
      <c r="QO151" s="43" t="str">
        <f t="shared" si="568"/>
        <v/>
      </c>
      <c r="QP151" s="43" t="str">
        <f t="shared" si="569"/>
        <v/>
      </c>
      <c r="QQ151" s="43" t="str">
        <f t="shared" si="570"/>
        <v/>
      </c>
      <c r="QR151" s="43">
        <f t="shared" si="670"/>
        <v>26</v>
      </c>
      <c r="QS151" s="43"/>
      <c r="QT151" s="21" t="str">
        <f t="shared" si="571"/>
        <v/>
      </c>
      <c r="QU151" s="21" t="str">
        <f t="shared" si="572"/>
        <v/>
      </c>
      <c r="QV151" s="21" t="str">
        <f t="shared" si="573"/>
        <v/>
      </c>
      <c r="QW151" s="21" t="str">
        <f t="shared" si="574"/>
        <v/>
      </c>
      <c r="QX151" s="21" t="str">
        <f t="shared" si="575"/>
        <v/>
      </c>
      <c r="QY151" s="21" t="str">
        <f t="shared" si="576"/>
        <v/>
      </c>
      <c r="QZ151" s="21" t="str">
        <f t="shared" si="577"/>
        <v/>
      </c>
      <c r="RA151" s="21" t="str">
        <f t="shared" si="578"/>
        <v/>
      </c>
      <c r="RB151" s="21" t="str">
        <f t="shared" si="579"/>
        <v/>
      </c>
      <c r="RC151" s="21" t="str">
        <f t="shared" si="580"/>
        <v/>
      </c>
      <c r="RD151" s="21" t="str">
        <f t="shared" si="581"/>
        <v/>
      </c>
      <c r="RE151" s="21" t="str">
        <f t="shared" si="582"/>
        <v/>
      </c>
      <c r="RF151" s="21" t="str">
        <f t="shared" si="583"/>
        <v/>
      </c>
      <c r="RG151" s="21" t="str">
        <f t="shared" si="584"/>
        <v>ADECUADO PARA EDAD GESTACIONAL</v>
      </c>
      <c r="RH151" s="21" t="str">
        <f t="shared" si="585"/>
        <v/>
      </c>
      <c r="RI151" s="21" t="str">
        <f t="shared" si="586"/>
        <v/>
      </c>
      <c r="RJ151" s="21" t="str">
        <f t="shared" si="587"/>
        <v/>
      </c>
      <c r="RK151" s="21" t="str">
        <f t="shared" si="588"/>
        <v/>
      </c>
      <c r="RL151" s="21" t="str">
        <f t="shared" si="589"/>
        <v/>
      </c>
      <c r="RM151" s="21" t="str">
        <f t="shared" si="590"/>
        <v/>
      </c>
      <c r="RN151" s="21" t="str">
        <f t="shared" si="591"/>
        <v/>
      </c>
      <c r="RO151" s="21" t="str">
        <f t="shared" si="592"/>
        <v/>
      </c>
      <c r="RP151" s="21" t="str">
        <f t="shared" si="593"/>
        <v/>
      </c>
      <c r="RQ151" s="21" t="str">
        <f t="shared" si="594"/>
        <v/>
      </c>
      <c r="RR151" s="21" t="str">
        <f t="shared" si="595"/>
        <v/>
      </c>
      <c r="RS151" s="21" t="str">
        <f t="shared" si="596"/>
        <v/>
      </c>
      <c r="RT151" s="21" t="str">
        <f t="shared" si="597"/>
        <v/>
      </c>
      <c r="RU151" s="21" t="str">
        <f t="shared" si="598"/>
        <v/>
      </c>
      <c r="RV151" s="21">
        <f t="shared" si="599"/>
        <v>6.4285714285714288</v>
      </c>
      <c r="RW151" s="284">
        <f>IF(OR(Tabla1[[#This Row],[FUM FORMULA CONFIABLE]]="",Tabla1[[#This Row],[FUM FORMULA CONFIABLE]]="SD"),"",IF(Tabla1[[#This Row],[FUM FORMULA CONFIABLE]]="CORREGIDA",Tabla1[[#This Row],[FUM X ECO 1]],Tabla1[[#This Row],[FUM x AMENORREA]]))</f>
        <v>44951</v>
      </c>
      <c r="RX151" s="21" t="str">
        <f>IF(AND(Tabla1[[#This Row],[FUM X ECO 1]]="",Tabla1[[#This Row],[FUM x AMENORREA]]=""),"",IF(AND(Tabla1[[#This Row],[FUM X ECO 1]]="",Tabla1[[#This Row],[FUM x AMENORREA]]&lt;&gt;""),"X",SUM(Tabla1[[#This Row],[FUM X ECO 1]]-Tabla1[[#This Row],[FUM x AMENORREA]])))</f>
        <v>X</v>
      </c>
      <c r="RY151" s="21" t="str">
        <f t="shared" si="671"/>
        <v>x</v>
      </c>
    </row>
    <row r="152" spans="1:493" ht="45" customHeight="1" x14ac:dyDescent="0.25">
      <c r="A152" s="109"/>
      <c r="B152" s="43"/>
      <c r="C152" s="43" t="s">
        <v>845</v>
      </c>
      <c r="D152" s="124"/>
      <c r="E152" s="43" t="s">
        <v>1443</v>
      </c>
      <c r="F152" s="43" t="s">
        <v>1444</v>
      </c>
      <c r="G152" s="43" t="s">
        <v>1445</v>
      </c>
      <c r="H152" s="43"/>
      <c r="I152" s="109" t="s">
        <v>851</v>
      </c>
      <c r="J152" s="110">
        <v>1061757665</v>
      </c>
      <c r="K152" s="43" t="s">
        <v>852</v>
      </c>
      <c r="L152" s="175" t="s">
        <v>853</v>
      </c>
      <c r="M152" s="22">
        <v>34062</v>
      </c>
      <c r="N152" s="213">
        <f t="shared" ca="1" si="600"/>
        <v>30.605479452054794</v>
      </c>
      <c r="O152" s="22">
        <v>44999</v>
      </c>
      <c r="P152" s="214" t="str">
        <f t="shared" si="673"/>
        <v>SI</v>
      </c>
      <c r="Q152" s="26" t="s">
        <v>855</v>
      </c>
      <c r="R152" s="22">
        <v>44999</v>
      </c>
      <c r="S152" s="21" t="s">
        <v>856</v>
      </c>
      <c r="T152" s="24" t="s">
        <v>690</v>
      </c>
      <c r="U152" s="21" t="s">
        <v>857</v>
      </c>
      <c r="V152" s="21" t="s">
        <v>858</v>
      </c>
      <c r="W152" s="21" t="s">
        <v>1200</v>
      </c>
      <c r="X152" s="21"/>
      <c r="Y152" s="21"/>
      <c r="Z152" s="21">
        <v>3137913467</v>
      </c>
      <c r="AA152" s="21" t="s">
        <v>860</v>
      </c>
      <c r="AB152" s="27" t="s">
        <v>861</v>
      </c>
      <c r="AC152" s="26" t="s">
        <v>888</v>
      </c>
      <c r="AD152" s="38" t="s">
        <v>1546</v>
      </c>
      <c r="AE152" s="26" t="s">
        <v>854</v>
      </c>
      <c r="AF152" s="26" t="s">
        <v>854</v>
      </c>
      <c r="AG152" s="23" t="s">
        <v>864</v>
      </c>
      <c r="AH152" s="23" t="s">
        <v>864</v>
      </c>
      <c r="AI152" s="24" t="s">
        <v>863</v>
      </c>
      <c r="AJ152" s="23" t="s">
        <v>864</v>
      </c>
      <c r="AK152" s="220" t="str">
        <f>IF(AND(AD152="",AE152="",AF152="",AG152="",AH152="",AI152="",AJ152=""),"",IF(OR(Tabla1[[#This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EVALUACIÓN",IF(AND(O152="",R152=""),"",IF(AND(OR(O152&gt;0,R152&gt;0),NG152&gt;=0,NG152&lt;2),"SIN RIESGO",IF(AND(OR(O152&gt;0,R152&gt;0),NG152&gt;=2),"CON RIESGO","ASD")))))</f>
        <v>SIN RIESGO</v>
      </c>
      <c r="AL152" s="23" t="s">
        <v>864</v>
      </c>
      <c r="AM152" s="26" t="s">
        <v>864</v>
      </c>
      <c r="AN152" s="26" t="s">
        <v>864</v>
      </c>
      <c r="AO152" s="26" t="s">
        <v>864</v>
      </c>
      <c r="AP152" s="26" t="s">
        <v>864</v>
      </c>
      <c r="AQ152" s="26" t="s">
        <v>864</v>
      </c>
      <c r="AR152" s="26" t="s">
        <v>864</v>
      </c>
      <c r="AS152" s="21">
        <v>1</v>
      </c>
      <c r="AT152" s="21">
        <v>1</v>
      </c>
      <c r="AU152" s="21">
        <v>0</v>
      </c>
      <c r="AV152" s="26" t="s">
        <v>864</v>
      </c>
      <c r="AW152" s="21">
        <v>0</v>
      </c>
      <c r="AX152" s="26" t="s">
        <v>864</v>
      </c>
      <c r="AY152" s="26" t="s">
        <v>864</v>
      </c>
      <c r="AZ152" s="26" t="s">
        <v>864</v>
      </c>
      <c r="BA152" s="26" t="s">
        <v>864</v>
      </c>
      <c r="BB152" s="26" t="s">
        <v>864</v>
      </c>
      <c r="BC152" s="26" t="s">
        <v>864</v>
      </c>
      <c r="BD152" s="26" t="s">
        <v>864</v>
      </c>
      <c r="BE152" s="26" t="s">
        <v>864</v>
      </c>
      <c r="BF152" s="26" t="s">
        <v>864</v>
      </c>
      <c r="BG152" s="26" t="s">
        <v>864</v>
      </c>
      <c r="BH152" s="26" t="s">
        <v>864</v>
      </c>
      <c r="BI152" s="26" t="s">
        <v>864</v>
      </c>
      <c r="BJ152" s="26" t="s">
        <v>864</v>
      </c>
      <c r="BK152" s="26" t="s">
        <v>865</v>
      </c>
      <c r="BL152" s="26" t="s">
        <v>864</v>
      </c>
      <c r="BM152" s="26" t="s">
        <v>864</v>
      </c>
      <c r="BN152" s="22">
        <v>41175</v>
      </c>
      <c r="BO152" s="22">
        <v>44950</v>
      </c>
      <c r="BP152" s="21" t="s">
        <v>854</v>
      </c>
      <c r="BQ152" s="222">
        <f t="shared" si="601"/>
        <v>125.83333333333333</v>
      </c>
      <c r="BR152" s="223">
        <f t="shared" si="602"/>
        <v>44954.5</v>
      </c>
      <c r="BS152" s="224">
        <f t="shared" si="603"/>
        <v>7</v>
      </c>
      <c r="BT152" s="216" t="str">
        <f t="shared" si="604"/>
        <v>I TRIM</v>
      </c>
      <c r="BU152" s="214">
        <f t="shared" ca="1" si="605"/>
        <v>40.428571428571431</v>
      </c>
      <c r="BV152" s="25" t="s">
        <v>1525</v>
      </c>
      <c r="BW152" s="22">
        <v>45035</v>
      </c>
      <c r="BX152" s="28">
        <v>11.5</v>
      </c>
      <c r="BY152" s="28"/>
      <c r="BZ152" s="22"/>
      <c r="CA152" s="21"/>
      <c r="CB152" s="26"/>
      <c r="CC152" s="26"/>
      <c r="CD152" s="26"/>
      <c r="CE152" s="26"/>
      <c r="CF152" s="22" t="s">
        <v>1517</v>
      </c>
      <c r="CG152" s="21">
        <v>1.57</v>
      </c>
      <c r="CH152" s="21">
        <v>87.5</v>
      </c>
      <c r="CI152" s="214">
        <f t="shared" si="606"/>
        <v>35.498397500912816</v>
      </c>
      <c r="CJ152" s="225" t="str">
        <f>IF(AND(CI152&lt;10,CH152="SD"),"SIN DATO PESO PREGESTACION O I TRIM",IF(AND(OR(R152&gt;0,O152&gt;0),CI152="X"),"INGRESAR DATO DE PESO",IF(CI152="SD","INGRESAR DATO DE TALLA Y PESO",IF(AND(OR(Tabla1[[#This Row],[MOMENTO EN QUE SE REALIZA EL PESO AL INGRESO A CPN]]="PREGESTACIÓN",NZ152="Menor"),CI152&lt;18.5),"BAJO PESO",IF(AND(OR(Tabla1[[#This Row],[MOMENTO EN QUE SE REALIZA EL PESO AL INGRESO A CPN]]="PREGESTACIÓN",NZ152="Menor"),CI152&lt;25),"NORMAL",IF(AND(OR(Tabla1[[#This Row],[MOMENTO EN QUE SE REALIZA EL PESO AL INGRESO A CPN]]="PREGESTACIÓN",NZ152="Menor"),CI152&lt;30),"SOBREPESO",IF(AND(OR(Tabla1[[#This Row],[MOMENTO EN QUE SE REALIZA EL PESO AL INGRESO A CPN]]="PREGESTACIÓN",NZ152="Menor"),CI152&gt;=30,CI152&lt;50),"OBESIDAD",IF(AND(BS152&gt;0,Tabla1[[#This Row],[MOMENTO EN QUE SE REALIZA EL PESO AL INGRESO A CPN]]="GESTACIÓN"),HLOOKUP(NZ152,$OA$2:PH152,NY152),""))))))))</f>
        <v>OBESIDAD</v>
      </c>
      <c r="CK152" s="212">
        <f t="shared" si="607"/>
        <v>45143</v>
      </c>
      <c r="CL152" s="21">
        <v>84</v>
      </c>
      <c r="CM152" s="214">
        <f t="shared" si="608"/>
        <v>34.078461600876302</v>
      </c>
      <c r="CN152" s="216">
        <f t="shared" si="609"/>
        <v>27</v>
      </c>
      <c r="CO152" s="216" t="e">
        <f>IF(PI152="","",IF(PI152&gt;0,HLOOKUP(PI152,$PJ$2:QQ152,NY152),""))</f>
        <v>#REF!</v>
      </c>
      <c r="CP152" s="21">
        <v>26</v>
      </c>
      <c r="CQ152" s="216" t="e">
        <f>IF(QR152="Menor","NO APLICA-MENOR 13 SEM",IF(AND(CC152="SI",CN152&gt;23),"NO APLICA- GEMELAR",IF(QR152="","",IF(QR152&gt;0,HLOOKUP(QR152,$QS$2:RU152,NY152),""))))</f>
        <v>#REF!</v>
      </c>
      <c r="CR152" s="21"/>
      <c r="CS152" s="21"/>
      <c r="CT152" s="217" t="str">
        <f>IF(R152="","",IF(AND(BS152&gt;1,BS152&lt;12,Tabla1[[#This Row],[T.A. SISTOLICA - ANTES DE SEMANA 12]]="",Tabla1[[#This Row],[T.A. DIASTOLICA - ANTES DE SEMANA 12]]=""),"REGISTRE DATO TA ANTES SEMANA 12",IF(AND(BS152&gt;11,BS152&lt;43,Tabla1[[#This Row],[T.A. SISTOLICA - ANTES DE SEMANA 12]]="",Tabla1[[#This Row],[T.A. DIASTOLICA - ANTES DE SEMANA 12]]=""),"NO APLICA REGISTRO TA-INGRESO TARDIO",IF(AND(OR(O152&gt;0,R152&gt;0),OR(CR152&gt;=140,CS152&gt;=90)),"DEFINIR ESTADIO HTA",IF(AND(OR(O152&gt;0,R152&gt;0),AND(CR152&gt;120,CR152&lt;=139)),"PRE HTA SEGUIMIENTO",IF(AND(OR(O152&gt;0,R152&gt;0),AND(CS152&gt;80,CS152&lt;=89)),"PRE HTA SEGUIMIENTO",IF(AND(OR(O152&gt;0,R152&gt;0),AND(CR152&gt;=80,CR152&lt;=120)),"APARENTEMENTE NORMAL",IF(AND(OR(O152&gt;0,R152&gt;0),AND(CS152&gt;=50,CS152&lt;=80)),"APARENTEMENTE NORMAL",IF(AND(OR(O152&gt;0,R152&gt;0),AND(CR152&gt;1,CR152&lt;=70),AND(CS152&gt;1,CS152&lt;=40)),"HIPOTENSIÓN","")))))))))</f>
        <v>REGISTRE DATO TA ANTES SEMANA 12</v>
      </c>
      <c r="CU152" s="21">
        <v>100</v>
      </c>
      <c r="CV152" s="21">
        <v>60</v>
      </c>
      <c r="CW152" s="217" t="str">
        <f ca="1">IF(R152="","",IF(AND(CN152&gt;19,CN152&lt;27,Tabla1[[#This Row],[T.A. SISTOLICA (Entre semana 20 y 26)]]="",Tabla1[[#This Row],[T.A. DIATOLICA (Entre semana 20 y 26)]]=""),"ACUDE A CONTROL SEM 20 A 26 REGISTRE TA AHORA",IF(AND(BS152&gt;1,BS152&lt;27,BU152&gt;19,Tabla1[[#This Row],[T.A. SISTOLICA (Entre semana 20 y 26)]]="",Tabla1[[#This Row],[T.A. DIATOLICA (Entre semana 20 y 26)]]=""),"COMPLETE REGISTRO TA CONTROL SEM 20 A26 ",IF(AND(BS152&gt;26,BS152&lt;43,Tabla1[[#This Row],[T.A. SISTOLICA (Entre semana 20 y 26)]]="",Tabla1[[#This Row],[T.A. DIATOLICA (Entre semana 20 y 26)]]=""),"NO APLICA REGISTRO TA-INGRESO TARDIO",IF(AND(OR(O152&gt;0,R152&gt;0),OR(CU152&gt;=140,CV152&gt;=90)),"ALTO RIESGO PREECLAMPSIA,DEFINIR ESTADIO HTA",IF(AND(OR(O152&gt;0,R152&gt;0),AND(CU152&gt;120,CU152&lt;=139)),"PRE HTA SEGUIMIENTO,RIESGO HIPERTENSION INDUCIDA POR EL EMBARAZO",IF(AND(OR(O152&gt;0,R152&gt;0),AND(CV152&gt;80,CV152&lt;=89)),"PRE HTA SEGUIMIENTO, RIESGO HIPERTENSION INDUCIDA POR EL EMBARAZO",IF(AND(OR(O152&lt;&gt;"",R152&lt;&gt;""),CS152&lt;&gt;"",CV152&lt;&gt;"",CS152&lt;=CV152),"VIGILAR CIFRAS PRESION ARTERIAL",IF(AND(OR(O152&gt;0,R152&gt;0),AND(CU152&gt;120,CU152&lt;=139)),"PRE HTA SEGUIMIENTO",IF(AND(OR(O152&gt;0,R152&gt;0),AND(CU152&gt;1,CU152&lt;=70),AND(CV152&gt;1,CV152&lt;=40)),"HIPOTENSIÓN",IF(AND(OR(O152&lt;&gt;"",R152&lt;&gt;""),CS152&lt;&gt;"",CV152&lt;&gt;"",CS152&gt;CV152),"APARENTEMENTE NORMAL",IF(AND(OR(O152&gt;0,R152&gt;0),AND(CU152&gt;=80,CU152&lt;=120)),"APARENTEMENTE NORMAL",IF(AND(OR(O152&gt;0,R152&gt;0),AND(CV152&gt;=50,CV152&lt;=80)),"APARENTEMENTE NORMAL","")))))))))))))</f>
        <v>APARENTEMENTE NORMAL</v>
      </c>
      <c r="CX152" s="21"/>
      <c r="CY152" s="21"/>
      <c r="CZ152" s="216" t="str">
        <f t="shared" si="688"/>
        <v/>
      </c>
      <c r="DA152" s="21">
        <v>90</v>
      </c>
      <c r="DB152" s="21">
        <v>60</v>
      </c>
      <c r="DC152" s="217" t="str">
        <f t="shared" si="610"/>
        <v>APARENTEMENTE NORMAL</v>
      </c>
      <c r="DD152" s="22">
        <v>44999</v>
      </c>
      <c r="DE152" s="22">
        <v>44999</v>
      </c>
      <c r="DF152" s="22">
        <v>45030</v>
      </c>
      <c r="DG152" s="22">
        <v>45093</v>
      </c>
      <c r="DH152" s="22">
        <v>45143</v>
      </c>
      <c r="DI152" s="22"/>
      <c r="DJ152" s="22"/>
      <c r="DK152" s="22"/>
      <c r="DL152" s="22"/>
      <c r="DM152" s="22"/>
      <c r="DN152" s="22"/>
      <c r="DO152" s="22"/>
      <c r="DP152" s="22"/>
      <c r="DQ152" s="22"/>
      <c r="DR152" s="28"/>
      <c r="DS152" s="22"/>
      <c r="DT152" s="22"/>
      <c r="DU152" s="216" t="str">
        <f t="shared" ca="1" si="674"/>
        <v>CONCERTAR PLAN DE PARTO INMEDIATO</v>
      </c>
      <c r="DV152" s="226" t="str">
        <f t="shared" si="675"/>
        <v>ACTIVA INGRESO A CPN</v>
      </c>
      <c r="DW15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2" s="216" t="e">
        <f t="shared" ca="1" si="611"/>
        <v>#REF!</v>
      </c>
      <c r="DY152" s="212">
        <f>IF(R152="","",IF(R152&gt;0,MAX(Tabla1[[#This Row],[FECHA C2]:[FECHA C13]],Tabla1[[#This Row],[FECHA CONSULTA PRIMERA VEZ PROGRAMA CPN ]])))</f>
        <v>45143</v>
      </c>
      <c r="DZ152" s="216">
        <f t="shared" si="612"/>
        <v>27</v>
      </c>
      <c r="EA152" s="222">
        <f>IF(R152&gt;0,SUM(COUNTA(DF152:DQ152)+COUNTA(Tabla1[[#This Row],[FECHA CONSULTA PRIMERA VEZ PROGRAMA CPN ]])),"")</f>
        <v>4</v>
      </c>
      <c r="EB152" s="222" t="str">
        <f t="shared" si="613"/>
        <v>SI</v>
      </c>
      <c r="EC152" s="214">
        <f t="shared" si="614"/>
        <v>10</v>
      </c>
      <c r="ED152" s="227">
        <f t="shared" si="615"/>
        <v>0.4</v>
      </c>
      <c r="EE152" s="22">
        <v>44999</v>
      </c>
      <c r="EF152" s="22">
        <v>44999</v>
      </c>
      <c r="EG152" s="22">
        <v>44999</v>
      </c>
      <c r="EH152" s="22">
        <v>45019</v>
      </c>
      <c r="EI152" s="22">
        <v>44999</v>
      </c>
      <c r="EJ152" s="22">
        <v>45043</v>
      </c>
      <c r="EK152" s="22">
        <v>45043</v>
      </c>
      <c r="EL152" s="21"/>
      <c r="EM152" s="21">
        <v>14.3</v>
      </c>
      <c r="EN152" s="22">
        <v>45020</v>
      </c>
      <c r="EO152" s="222">
        <f t="shared" si="616"/>
        <v>10</v>
      </c>
      <c r="EP152" s="214" t="str">
        <f t="shared" si="617"/>
        <v>NO DAR SULFATO FERROSO</v>
      </c>
      <c r="EQ152" s="216" t="str">
        <f t="shared" si="618"/>
        <v>I TRIM</v>
      </c>
      <c r="ER152" s="24"/>
      <c r="ES152" s="22"/>
      <c r="ET152" s="29" t="str">
        <f t="shared" ca="1" si="676"/>
        <v>TOMA DE HEMOGLOBINA TARDÍA</v>
      </c>
      <c r="EU152" s="25" t="str">
        <f t="shared" si="619"/>
        <v/>
      </c>
      <c r="EV152" s="24"/>
      <c r="EW152" s="24"/>
      <c r="EX152" s="22"/>
      <c r="EY152" s="29" t="str">
        <f t="shared" si="453"/>
        <v>TOMAR EXAMEN</v>
      </c>
      <c r="EZ152" s="25" t="str">
        <f t="shared" ca="1" si="454"/>
        <v/>
      </c>
      <c r="FA152" s="21">
        <v>81</v>
      </c>
      <c r="FB152" s="22">
        <v>45020</v>
      </c>
      <c r="FC152" s="29">
        <f t="shared" si="620"/>
        <v>10</v>
      </c>
      <c r="FD152" s="29"/>
      <c r="FE152" s="29"/>
      <c r="FF152" s="29"/>
      <c r="FG152" s="21" t="str">
        <f t="shared" ca="1" si="621"/>
        <v>TOMAR PTOG</v>
      </c>
      <c r="FH152" s="31"/>
      <c r="FI152" s="29" t="str">
        <f t="shared" si="622"/>
        <v>TOMAR EXAMEN</v>
      </c>
      <c r="FJ152" s="22" t="s">
        <v>867</v>
      </c>
      <c r="FK152" s="22">
        <v>45020</v>
      </c>
      <c r="FL152" s="29">
        <f t="shared" ca="1" si="623"/>
        <v>10</v>
      </c>
      <c r="FM152" s="22"/>
      <c r="FN152" s="32"/>
      <c r="FO152" s="29" t="str">
        <f t="shared" ca="1" si="677"/>
        <v>PIERDE TOMA DE TAMIZAJE</v>
      </c>
      <c r="FP152" s="22"/>
      <c r="FQ152" s="32"/>
      <c r="FR152" s="29" t="str">
        <f t="shared" ca="1" si="678"/>
        <v>TOMA INMEDIATA DE TAMIZAJE</v>
      </c>
      <c r="FS152" s="22"/>
      <c r="FT152" s="32"/>
      <c r="FU152" s="29" t="str">
        <f>IF(AND(FJ152="",FM152="",FP152="",FS152=""),"",IF(OR(OR(Tabla1[[#This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2" s="28"/>
      <c r="FW152" s="22"/>
      <c r="FX152" s="29" t="str">
        <f t="shared" si="624"/>
        <v>TOMAR EXAMEN</v>
      </c>
      <c r="FY152" s="22">
        <v>44999</v>
      </c>
      <c r="FZ152" s="22">
        <v>44999</v>
      </c>
      <c r="GA152" s="29">
        <f t="shared" ca="1" si="497"/>
        <v>7</v>
      </c>
      <c r="GB152" s="22"/>
      <c r="GC152" s="22"/>
      <c r="GD152" s="29" t="str">
        <f t="shared" ca="1" si="679"/>
        <v>PIERDE TOMA DE TAMIZAJE</v>
      </c>
      <c r="GE152" s="22"/>
      <c r="GF152" s="22"/>
      <c r="GG152" s="29" t="str">
        <f t="shared" ca="1" si="680"/>
        <v>TOMA INMEDIATA DE TAMIZAJE</v>
      </c>
      <c r="GH152" s="22"/>
      <c r="GI152" s="29"/>
      <c r="GJ152" s="22"/>
      <c r="GK152" s="22"/>
      <c r="GL152" s="22"/>
      <c r="GM152" s="22"/>
      <c r="GN152" s="28" t="s">
        <v>869</v>
      </c>
      <c r="GO152" s="22">
        <v>45020</v>
      </c>
      <c r="GP152" s="29">
        <f t="shared" si="625"/>
        <v>10</v>
      </c>
      <c r="GQ152" s="28"/>
      <c r="GR152" s="28" t="s">
        <v>869</v>
      </c>
      <c r="GS152" s="22" t="str">
        <f t="shared" si="626"/>
        <v/>
      </c>
      <c r="GT152" s="22">
        <v>45020</v>
      </c>
      <c r="GU152" s="29">
        <f t="shared" si="627"/>
        <v>10</v>
      </c>
      <c r="GV152" s="21" t="str">
        <f t="shared" si="628"/>
        <v>I TRIM</v>
      </c>
      <c r="GW152" s="28" t="s">
        <v>869</v>
      </c>
      <c r="GX152" s="30"/>
      <c r="GY152" s="21"/>
      <c r="GZ152" s="21"/>
      <c r="HA152" s="21"/>
      <c r="HB152" s="21"/>
      <c r="HC152" s="21"/>
      <c r="HD152" s="21"/>
      <c r="HE152" s="21"/>
      <c r="HF152" s="22"/>
      <c r="HG152" s="22" t="str">
        <f>IF(OR(O152&gt;0,R152&gt;0),CONCATENATE(IF(Tabla1[[#This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2" s="22" t="e">
        <f t="shared" si="629"/>
        <v>#REF!</v>
      </c>
      <c r="HI152" s="22" t="str">
        <f t="shared" si="630"/>
        <v>ALTO RIESGO</v>
      </c>
      <c r="HJ152" s="21"/>
      <c r="HK152" s="21" t="str">
        <f t="shared" si="631"/>
        <v>RIESGO MODERADO (2 O MAS CRITERIOS) VER MANEJO GUIA SUMINISTRO ASA Y CALCIO</v>
      </c>
      <c r="HL152" s="24" t="str">
        <f t="shared" si="632"/>
        <v>APARENTEMENTE NORMAL</v>
      </c>
      <c r="HM152" s="21" t="e">
        <f t="shared" ca="1" si="633"/>
        <v>#REF!</v>
      </c>
      <c r="HN152" s="30" t="str">
        <f t="shared" si="681"/>
        <v>ACTIVA INGRESO A CPN</v>
      </c>
      <c r="HO152" s="21"/>
      <c r="HP152" s="21"/>
      <c r="HQ152" s="349"/>
      <c r="HR152" s="21" t="str">
        <f ca="1">IF(R152="","",IF(Tabla1[[#This Row],[ALARMA FACTORES DE RIESGO COMPLICACIONES HIPERTENSIVAS3]]="SIN ANTECEDENTES DE RIESGO","No Aplica para suministro de ASA",IF(AND(Tabla1[[#This Row],[FECHA INICIO DE SUMINISTRO DE ASA]]&gt;0,RV152&lt;12),"Inicia ASA ANTES de Sem 12",IF(AND(RV152&gt;11,RV152&lt;17,OR(HK152="RIESGO ALTO DE COMPLICACIONES HIPERTENSIVAS VER MANEJO GUIA SUMINISTRO ASA Y CALCIO",HK152="RIESGO MODERADO (2 O MAS CRITERIOS) VER MANEJO GUIA SUMINISTRO ASA Y CALCIO")),"Inicio oportuno de ASA",IF(AND(RV152&gt;12,OR(HK152="RIESGO ALTO DE COMPLICACIONES HIPERTENSIVAS VER MANEJO GUIA SUMINISTRO ASA Y CALCIO",HK152="RIESGO MODERADO (2 O MAS CRITERIOS) VER MANEJO GUIA SUMINISTRO ASA Y CALCIO")),"Inicio no oportuno mayor a 16 semanas",IF(AND(BU152&lt;12,OR(HK152="RIESGO ALTO DE COMPLICACIONES HIPERTENSIVAS VER MANEJO GUIA SUMINISTRO ASA Y CALCIO",HK152="RIESGO MODERADO (2 O MAS CRITERIOS) VER MANEJO GUIA SUMINISTRO ASA Y CALCIO")),"Pendiente Inicio de ASA a la semana 12",IF(AND(BU152&gt;11,BU152&lt;17,OR(HK152="RIESGO ALTO DE COMPLICACIONES HIPERTENSIVAS VER MANEJO GUIA SUMINISTRO ASA Y CALCIO",HK152="RIESGO MODERADO (2 O MAS CRITERIOS) VER MANEJO GUIA SUMINISTRO ASA Y CALCIO")),"Iniciar de inmediato ASA",IF(AND(BU152&gt;16,OR(HK152="RIESGO ALTO DE COMPLICACIONES HIPERTENSIVAS VER MANEJO GUIA SUMINISTRO ASA Y CALCIO",HK152="RIESGO MODERADO (2 O MAS CRITERIOS) VER MANEJO GUIA SUMINISTRO ASA Y CALCIO")),"Pierde Oportunidad, Inicio tardío de ASA","XXXXX"))))))))</f>
        <v>Pierde Oportunidad, Inicio tardío de ASA</v>
      </c>
      <c r="HS152" s="22"/>
      <c r="HT152" s="22"/>
      <c r="HU152" s="22">
        <v>44999</v>
      </c>
      <c r="HV152" s="22" t="s">
        <v>870</v>
      </c>
      <c r="HW152" s="22">
        <v>44999</v>
      </c>
      <c r="HX152" s="22" t="s">
        <v>870</v>
      </c>
      <c r="HY152" s="22">
        <v>44999</v>
      </c>
      <c r="HZ152" s="28">
        <f t="shared" si="634"/>
        <v>7</v>
      </c>
      <c r="IA152" s="26"/>
      <c r="IB152" s="26"/>
      <c r="IC152" s="111"/>
      <c r="ID152" s="22"/>
      <c r="IE152" s="22" t="str">
        <f t="shared" ca="1" si="635"/>
        <v>INASISTENTE</v>
      </c>
      <c r="IF152" s="22"/>
      <c r="IG152" s="22">
        <f t="shared" si="636"/>
        <v>45230</v>
      </c>
      <c r="IH152" s="29">
        <f t="shared" ca="1" si="637"/>
        <v>-3</v>
      </c>
      <c r="II152" s="22" t="str">
        <f t="shared" ca="1" si="638"/>
        <v>POSIBLEMENTE NACIO</v>
      </c>
      <c r="IJ152" s="22"/>
      <c r="IK152" s="21"/>
      <c r="IL152" s="21"/>
      <c r="IM152" s="34"/>
      <c r="IN152" s="22"/>
      <c r="IO152" s="21"/>
      <c r="IP152" s="29" t="str">
        <f t="shared" si="672"/>
        <v/>
      </c>
      <c r="IQ152" s="35"/>
      <c r="IR152" s="21"/>
      <c r="IS152" s="21"/>
      <c r="IT152" s="21"/>
      <c r="IU152" s="21"/>
      <c r="IV152" s="21"/>
      <c r="IW152" s="21"/>
      <c r="IX152" s="21"/>
      <c r="IY152" s="21"/>
      <c r="IZ152" s="21"/>
      <c r="JA152" s="21"/>
      <c r="JB152" s="30"/>
      <c r="JC152" s="21"/>
      <c r="JD152" s="36"/>
      <c r="JE152" s="21" t="str">
        <f t="shared" si="682"/>
        <v/>
      </c>
      <c r="JF152" s="30"/>
      <c r="JG152" s="21"/>
      <c r="JH152" s="21"/>
      <c r="JI152" s="21"/>
      <c r="JJ152" s="30"/>
      <c r="JK152" s="22"/>
      <c r="JL152" s="22"/>
      <c r="JM152" s="21"/>
      <c r="JN152" s="36"/>
      <c r="JO152" s="21" t="str">
        <f t="shared" si="683"/>
        <v/>
      </c>
      <c r="JP152" s="22"/>
      <c r="JQ152" s="21"/>
      <c r="JR152" s="21"/>
      <c r="JS152" s="21"/>
      <c r="JT152" s="30"/>
      <c r="JU152" s="22"/>
      <c r="JV152" s="22"/>
      <c r="JW152" s="33"/>
      <c r="JX152" s="28" t="str">
        <f t="shared" si="684"/>
        <v/>
      </c>
      <c r="JY152" s="33"/>
      <c r="JZ152" s="28" t="str">
        <f t="shared" si="685"/>
        <v/>
      </c>
      <c r="KA152" s="21"/>
      <c r="KB152" s="21"/>
      <c r="KC152" s="21"/>
      <c r="KD152" s="37"/>
      <c r="KE152" s="28"/>
      <c r="KF152" s="28"/>
      <c r="KG152" s="28"/>
      <c r="KH152" s="39"/>
      <c r="KI152" s="39"/>
      <c r="KJ152" s="66"/>
      <c r="KK152" s="39"/>
      <c r="KL152" s="39"/>
      <c r="KM152" s="66"/>
      <c r="KN152" s="39"/>
      <c r="KO152" s="39"/>
      <c r="KP152" s="39"/>
      <c r="KQ152" s="39"/>
      <c r="KR152" s="39"/>
      <c r="KS152" s="39"/>
      <c r="KT152" s="39"/>
      <c r="KU152" s="38"/>
      <c r="KV152" s="38"/>
      <c r="KW152" s="38"/>
      <c r="KX152" s="38"/>
      <c r="KY152" s="38"/>
      <c r="KZ152" s="38"/>
      <c r="LA152" s="38"/>
      <c r="LB152" s="38"/>
      <c r="LC152" s="38"/>
      <c r="LD152" s="38"/>
      <c r="LE152" s="38"/>
      <c r="LF152" s="38"/>
      <c r="LG152" s="38"/>
      <c r="LH152" s="38"/>
      <c r="LI152" s="38"/>
      <c r="LJ152" s="38"/>
      <c r="LK152" s="38"/>
      <c r="LL152" s="38"/>
      <c r="LM152" s="38"/>
      <c r="LN152" s="38"/>
      <c r="LO152" s="38"/>
      <c r="LP152" s="38"/>
      <c r="LQ152" s="38"/>
      <c r="LR152" s="38"/>
      <c r="LS152" s="38"/>
      <c r="LT152" s="38"/>
      <c r="LU152" s="38"/>
      <c r="LV152" s="38"/>
      <c r="LW152" s="38"/>
      <c r="LX152" s="38"/>
      <c r="LY152" s="38"/>
      <c r="LZ152" s="38"/>
      <c r="MA152" s="38"/>
      <c r="MB152" s="38"/>
      <c r="MC152" s="38"/>
      <c r="MD152" s="38"/>
      <c r="ME152" s="38"/>
      <c r="MF152" s="38"/>
      <c r="MG152" s="38"/>
      <c r="MH152" s="43">
        <f t="shared" si="639"/>
        <v>0</v>
      </c>
      <c r="MI152" s="43" t="str">
        <f t="shared" si="640"/>
        <v/>
      </c>
      <c r="MJ152" s="43" t="str">
        <f t="shared" si="641"/>
        <v/>
      </c>
      <c r="MK152" s="43">
        <f t="shared" si="642"/>
        <v>0</v>
      </c>
      <c r="ML15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2" s="43">
        <f t="shared" si="643"/>
        <v>7</v>
      </c>
      <c r="MN152" s="43">
        <f t="shared" si="644"/>
        <v>3</v>
      </c>
      <c r="MO152" s="43">
        <f t="shared" si="645"/>
        <v>2023</v>
      </c>
      <c r="MP152" s="43" t="str">
        <f t="shared" si="646"/>
        <v>I TRIMESTRE AÑO</v>
      </c>
      <c r="MQ152" s="43">
        <f t="shared" si="647"/>
        <v>29.514345159877351</v>
      </c>
      <c r="MR152" s="43">
        <f t="shared" si="648"/>
        <v>0</v>
      </c>
      <c r="MS152" s="43" t="str">
        <f t="shared" si="649"/>
        <v xml:space="preserve"> DE 25 A 29 AÑOS</v>
      </c>
      <c r="MT152" s="43">
        <f t="shared" si="650"/>
        <v>0</v>
      </c>
      <c r="MU152" s="43">
        <f t="shared" si="651"/>
        <v>0</v>
      </c>
      <c r="MV152" s="43">
        <f t="shared" si="652"/>
        <v>0</v>
      </c>
      <c r="MW152" s="43">
        <f t="shared" si="653"/>
        <v>0</v>
      </c>
      <c r="MX152" s="43" t="str">
        <f t="shared" si="654"/>
        <v/>
      </c>
      <c r="MY152" s="43" t="str">
        <f t="shared" ca="1" si="686"/>
        <v/>
      </c>
      <c r="MZ152" s="43" t="str">
        <f t="shared" si="655"/>
        <v/>
      </c>
      <c r="NA152" s="43" t="str">
        <f t="shared" si="656"/>
        <v/>
      </c>
      <c r="NB152" s="43" t="str">
        <f t="shared" si="657"/>
        <v/>
      </c>
      <c r="NC152" s="43" t="str">
        <f t="shared" si="658"/>
        <v/>
      </c>
      <c r="ND152" s="43">
        <f t="shared" ca="1" si="659"/>
        <v>0</v>
      </c>
      <c r="NE152" s="43">
        <f>IF(OR(O152&gt;0,R152&gt;0),SUM(COUNTIF(Tabla1[[#This Row],[AÑOS AL INICIO5 CPN]],"&gt;=40"),COUNTIF(AS152,"0"),COUNTIF(AR152,"SI"),COUNTIF(CC152,"SI"),COUNTIF(BQ152,"&gt;119"),COUNTIF(CI152,"&gt;=35")),"")</f>
        <v>2</v>
      </c>
      <c r="NF152" s="43" t="str">
        <f t="shared" si="660"/>
        <v/>
      </c>
      <c r="NG152" s="43">
        <f t="shared" si="661"/>
        <v>0</v>
      </c>
      <c r="NH152" s="43">
        <f t="shared" si="662"/>
        <v>80.5</v>
      </c>
      <c r="NI15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CPN",P152="NO"),"Z",IF(AND(Tabla1[[#This Row],[CITA PROXIMO CONTROL]]="CITA MANUAL",Tabla1[[#This Row],[GESTANTES ACTUALES]]="ACTIVA INGRESO A CPN"),"W",IF(AND(Tabla1[[#This Row],[GESTANTES ACTUALES]]="SALIO PROGRAMA",IN152=""),"S",IF(AND(Tabla1[[#This Row],[CITA PROXIMO CONTROL]]&gt;0,IN152=""),(Tabla1[[#This Row],[CITA PROXIMO CONTROL]]-TODAY()),"SD"))))))))</f>
        <v>#REF!</v>
      </c>
      <c r="NJ152" s="43">
        <f>MONTH(Tabla1[[#This Row],[FECHA DE SALIDA  DEL PROGRAMA]])</f>
        <v>1</v>
      </c>
      <c r="NK152" s="43">
        <f>YEAR(Tabla1[[#This Row],[FECHA DE SALIDA  DEL PROGRAMA]])</f>
        <v>1900</v>
      </c>
      <c r="NL152" s="43">
        <f t="shared" si="663"/>
        <v>44</v>
      </c>
      <c r="NM152" s="43" t="str">
        <f t="shared" si="500"/>
        <v>NO</v>
      </c>
      <c r="NN152" s="43" t="str">
        <f ca="1">IF(AND(O152&gt;0,R152=""),"NO CPN",IF(AND(O152="",R152=""),"",IF(AND(R152&gt;0,Tabla1[[#This Row],[SEMANAS DE GESTACION ACTUALIZADAS]]&lt;=12),"NO APLICA",IF(AND(FH152&lt;&gt;"",FN152&lt;&gt;""),"SI","NO"))))</f>
        <v>NO</v>
      </c>
      <c r="NO152" s="43" t="str">
        <f ca="1">IF(AND(O152&gt;0,R152=""),"NO CPN",IF(AND(O152="",R152=""),"",IF(AND(R152&gt;0,Tabla1[[#This Row],[SEMANAS DE GESTACION ACTUALIZADAS]]&lt;=27),"NO APLICA",IF(AND(ES152&lt;&gt;"",FQ152&lt;&gt;"",GF152&lt;&gt;""),"SI","NO"))))</f>
        <v>NO</v>
      </c>
      <c r="NP152" s="204" t="str">
        <f t="shared" si="664"/>
        <v>I TRIM</v>
      </c>
      <c r="NQ152" s="21" t="str">
        <f t="shared" si="689"/>
        <v/>
      </c>
      <c r="NR152" s="21">
        <f t="shared" ca="1" si="687"/>
        <v>3</v>
      </c>
      <c r="NS152" s="205">
        <f t="shared" ca="1" si="665"/>
        <v>1</v>
      </c>
      <c r="NT152" s="21">
        <f t="shared" ca="1" si="666"/>
        <v>1</v>
      </c>
      <c r="NU152" s="21" t="str">
        <f t="shared" ca="1" si="667"/>
        <v>INCOMPLETO</v>
      </c>
      <c r="NV152" s="21" t="str">
        <f t="shared" ca="1" si="668"/>
        <v>INCOMPLETO</v>
      </c>
      <c r="NW152" s="206" t="str">
        <f>IF(AND(O152="",R152=""),"",IF(OR(AND(Tabla1[[#This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2" s="207" t="str">
        <f t="shared" ca="1" si="669"/>
        <v>SIN VACUNAR</v>
      </c>
      <c r="NY152" s="43">
        <f>ROW(Tabla1[[#This Row],['# DE TAMIZAJES SIFILIS TOMADOS ]])</f>
        <v>152</v>
      </c>
      <c r="NZ152" s="43" t="str">
        <f t="shared" si="501"/>
        <v>Menor</v>
      </c>
      <c r="OA152" s="43" t="str">
        <f t="shared" si="502"/>
        <v>OBESIDAD</v>
      </c>
      <c r="OB152" s="43" t="str">
        <f t="shared" si="503"/>
        <v/>
      </c>
      <c r="OC152" s="43" t="str">
        <f t="shared" si="504"/>
        <v/>
      </c>
      <c r="OD152" s="43" t="str">
        <f t="shared" si="505"/>
        <v/>
      </c>
      <c r="OE152" s="43" t="str">
        <f t="shared" si="506"/>
        <v/>
      </c>
      <c r="OF152" s="43" t="str">
        <f t="shared" si="507"/>
        <v/>
      </c>
      <c r="OG152" s="43" t="str">
        <f t="shared" si="508"/>
        <v/>
      </c>
      <c r="OH152" s="43" t="str">
        <f t="shared" si="509"/>
        <v/>
      </c>
      <c r="OI152" s="43" t="str">
        <f t="shared" si="510"/>
        <v/>
      </c>
      <c r="OJ152" s="43" t="str">
        <f t="shared" si="511"/>
        <v/>
      </c>
      <c r="OK152" s="43" t="str">
        <f t="shared" si="512"/>
        <v/>
      </c>
      <c r="OL152" s="43" t="str">
        <f t="shared" si="513"/>
        <v/>
      </c>
      <c r="OM152" s="43" t="str">
        <f t="shared" si="514"/>
        <v/>
      </c>
      <c r="ON152" s="43" t="str">
        <f t="shared" si="515"/>
        <v/>
      </c>
      <c r="OO152" s="43" t="str">
        <f t="shared" si="516"/>
        <v/>
      </c>
      <c r="OP152" s="43" t="str">
        <f t="shared" si="517"/>
        <v/>
      </c>
      <c r="OQ152" s="43" t="str">
        <f t="shared" si="518"/>
        <v/>
      </c>
      <c r="OR152" s="43" t="str">
        <f t="shared" si="519"/>
        <v/>
      </c>
      <c r="OS152" s="43" t="str">
        <f t="shared" si="520"/>
        <v/>
      </c>
      <c r="OT152" s="43" t="str">
        <f t="shared" si="521"/>
        <v/>
      </c>
      <c r="OU152" s="43" t="str">
        <f t="shared" si="522"/>
        <v/>
      </c>
      <c r="OV152" s="110" t="str">
        <f t="shared" si="523"/>
        <v/>
      </c>
      <c r="OW152" s="43" t="str">
        <f t="shared" si="524"/>
        <v/>
      </c>
      <c r="OX152" s="43" t="str">
        <f t="shared" si="525"/>
        <v/>
      </c>
      <c r="OY152" s="43" t="str">
        <f t="shared" si="526"/>
        <v/>
      </c>
      <c r="OZ152" s="43" t="str">
        <f t="shared" si="527"/>
        <v/>
      </c>
      <c r="PA152" s="43" t="str">
        <f t="shared" si="528"/>
        <v/>
      </c>
      <c r="PB152" s="43" t="str">
        <f t="shared" si="529"/>
        <v/>
      </c>
      <c r="PC152" s="43" t="str">
        <f t="shared" si="530"/>
        <v/>
      </c>
      <c r="PD152" s="43" t="str">
        <f t="shared" si="531"/>
        <v/>
      </c>
      <c r="PE152" s="43" t="str">
        <f t="shared" si="532"/>
        <v/>
      </c>
      <c r="PF152" s="43" t="str">
        <f t="shared" si="533"/>
        <v/>
      </c>
      <c r="PG152" s="43" t="str">
        <f t="shared" si="534"/>
        <v/>
      </c>
      <c r="PH152" s="43" t="str">
        <f t="shared" si="535"/>
        <v/>
      </c>
      <c r="PI152" s="43">
        <f t="shared" si="536"/>
        <v>27</v>
      </c>
      <c r="PJ152" s="43" t="str">
        <f t="shared" si="537"/>
        <v/>
      </c>
      <c r="PK152" s="43" t="str">
        <f t="shared" si="538"/>
        <v/>
      </c>
      <c r="PL152" s="43" t="str">
        <f t="shared" si="539"/>
        <v/>
      </c>
      <c r="PM152" s="43" t="str">
        <f t="shared" si="540"/>
        <v/>
      </c>
      <c r="PN152" s="43" t="str">
        <f t="shared" si="541"/>
        <v/>
      </c>
      <c r="PO152" s="43" t="str">
        <f t="shared" si="542"/>
        <v/>
      </c>
      <c r="PP152" s="43" t="str">
        <f t="shared" si="543"/>
        <v/>
      </c>
      <c r="PQ152" s="43" t="str">
        <f t="shared" si="544"/>
        <v/>
      </c>
      <c r="PR152" s="43" t="str">
        <f t="shared" si="545"/>
        <v/>
      </c>
      <c r="PS152" s="43" t="str">
        <f t="shared" si="546"/>
        <v/>
      </c>
      <c r="PT152" s="43" t="str">
        <f t="shared" si="547"/>
        <v/>
      </c>
      <c r="PU152" s="43" t="str">
        <f t="shared" si="548"/>
        <v/>
      </c>
      <c r="PV152" s="43" t="str">
        <f t="shared" si="549"/>
        <v/>
      </c>
      <c r="PW152" s="43" t="str">
        <f t="shared" si="550"/>
        <v/>
      </c>
      <c r="PX152" s="43" t="str">
        <f t="shared" si="551"/>
        <v/>
      </c>
      <c r="PY152" s="43" t="str">
        <f t="shared" si="552"/>
        <v/>
      </c>
      <c r="PZ152" s="43" t="str">
        <f t="shared" si="553"/>
        <v/>
      </c>
      <c r="QA152" s="43" t="str">
        <f t="shared" si="554"/>
        <v/>
      </c>
      <c r="QB152" s="43" t="str">
        <f t="shared" si="555"/>
        <v>OBESIDAD</v>
      </c>
      <c r="QC152" s="43" t="str">
        <f t="shared" si="556"/>
        <v/>
      </c>
      <c r="QD152" s="43" t="str">
        <f t="shared" si="557"/>
        <v/>
      </c>
      <c r="QE152" s="43" t="str">
        <f t="shared" si="558"/>
        <v/>
      </c>
      <c r="QF152" s="43" t="str">
        <f t="shared" si="559"/>
        <v/>
      </c>
      <c r="QG152" s="43" t="str">
        <f t="shared" si="560"/>
        <v/>
      </c>
      <c r="QH152" s="43" t="str">
        <f t="shared" si="561"/>
        <v/>
      </c>
      <c r="QI152" s="43" t="str">
        <f t="shared" si="562"/>
        <v/>
      </c>
      <c r="QJ152" s="43" t="str">
        <f t="shared" si="563"/>
        <v/>
      </c>
      <c r="QK152" s="43" t="str">
        <f t="shared" si="564"/>
        <v/>
      </c>
      <c r="QL152" s="43" t="str">
        <f t="shared" si="565"/>
        <v/>
      </c>
      <c r="QM152" s="43" t="str">
        <f t="shared" si="566"/>
        <v/>
      </c>
      <c r="QN152" s="43" t="str">
        <f t="shared" si="567"/>
        <v/>
      </c>
      <c r="QO152" s="43" t="str">
        <f t="shared" si="568"/>
        <v/>
      </c>
      <c r="QP152" s="43" t="str">
        <f t="shared" si="569"/>
        <v/>
      </c>
      <c r="QQ152" s="43" t="str">
        <f t="shared" si="570"/>
        <v/>
      </c>
      <c r="QR152" s="43">
        <f t="shared" si="670"/>
        <v>27</v>
      </c>
      <c r="QS152" s="43"/>
      <c r="QT152" s="21" t="str">
        <f t="shared" si="571"/>
        <v/>
      </c>
      <c r="QU152" s="21" t="str">
        <f t="shared" si="572"/>
        <v/>
      </c>
      <c r="QV152" s="21" t="str">
        <f t="shared" si="573"/>
        <v/>
      </c>
      <c r="QW152" s="21" t="str">
        <f t="shared" si="574"/>
        <v/>
      </c>
      <c r="QX152" s="21" t="str">
        <f t="shared" si="575"/>
        <v/>
      </c>
      <c r="QY152" s="21" t="str">
        <f t="shared" si="576"/>
        <v/>
      </c>
      <c r="QZ152" s="21" t="str">
        <f t="shared" si="577"/>
        <v/>
      </c>
      <c r="RA152" s="21" t="str">
        <f t="shared" si="578"/>
        <v/>
      </c>
      <c r="RB152" s="21" t="str">
        <f t="shared" si="579"/>
        <v/>
      </c>
      <c r="RC152" s="21" t="str">
        <f t="shared" si="580"/>
        <v/>
      </c>
      <c r="RD152" s="21" t="str">
        <f t="shared" si="581"/>
        <v/>
      </c>
      <c r="RE152" s="21" t="str">
        <f t="shared" si="582"/>
        <v/>
      </c>
      <c r="RF152" s="21" t="str">
        <f t="shared" si="583"/>
        <v/>
      </c>
      <c r="RG152" s="21" t="str">
        <f t="shared" si="584"/>
        <v/>
      </c>
      <c r="RH152" s="21" t="str">
        <f t="shared" si="585"/>
        <v>ADECUADO PARA EDAD GESTACIONAL</v>
      </c>
      <c r="RI152" s="21" t="str">
        <f t="shared" si="586"/>
        <v/>
      </c>
      <c r="RJ152" s="21" t="str">
        <f t="shared" si="587"/>
        <v/>
      </c>
      <c r="RK152" s="21" t="str">
        <f t="shared" si="588"/>
        <v/>
      </c>
      <c r="RL152" s="21" t="str">
        <f t="shared" si="589"/>
        <v/>
      </c>
      <c r="RM152" s="21" t="str">
        <f t="shared" si="590"/>
        <v/>
      </c>
      <c r="RN152" s="21" t="str">
        <f t="shared" si="591"/>
        <v/>
      </c>
      <c r="RO152" s="21" t="str">
        <f t="shared" si="592"/>
        <v/>
      </c>
      <c r="RP152" s="21" t="str">
        <f t="shared" si="593"/>
        <v/>
      </c>
      <c r="RQ152" s="21" t="str">
        <f t="shared" si="594"/>
        <v/>
      </c>
      <c r="RR152" s="21" t="str">
        <f t="shared" si="595"/>
        <v/>
      </c>
      <c r="RS152" s="21" t="str">
        <f t="shared" si="596"/>
        <v/>
      </c>
      <c r="RT152" s="21" t="str">
        <f t="shared" si="597"/>
        <v/>
      </c>
      <c r="RU152" s="21" t="str">
        <f t="shared" si="598"/>
        <v/>
      </c>
      <c r="RV152" s="21">
        <f t="shared" si="599"/>
        <v>-1</v>
      </c>
      <c r="RW152" s="284">
        <f>IF(OR(Tabla1[[#This Row],[FUM FORMULA CONFIABLE]]="",Tabla1[[#This Row],[FUM FORMULA CONFIABLE]]="SD"),"",IF(Tabla1[[#This Row],[FUM FORMULA CONFIABLE]]="CORREGIDA",Tabla1[[#This Row],[FUM X ECO 1]],Tabla1[[#This Row],[FUM x AMENORREA]]))</f>
        <v>44950</v>
      </c>
      <c r="RX152" s="21">
        <f>IF(AND(Tabla1[[#This Row],[FUM X ECO 1]]="",Tabla1[[#This Row],[FUM x AMENORREA]]=""),"",IF(AND(Tabla1[[#This Row],[FUM X ECO 1]]="",Tabla1[[#This Row],[FUM x AMENORREA]]&lt;&gt;""),"X",SUM(Tabla1[[#This Row],[FUM X ECO 1]]-Tabla1[[#This Row],[FUM x AMENORREA]])))</f>
        <v>4.5</v>
      </c>
      <c r="RY152" s="21">
        <f t="shared" si="671"/>
        <v>0</v>
      </c>
    </row>
    <row r="153" spans="1:493" ht="45" customHeight="1" x14ac:dyDescent="0.25">
      <c r="A153" s="109"/>
      <c r="B153" s="43"/>
      <c r="C153" s="43" t="s">
        <v>845</v>
      </c>
      <c r="D153" s="124"/>
      <c r="E153" s="43" t="s">
        <v>1446</v>
      </c>
      <c r="F153" s="43" t="s">
        <v>1447</v>
      </c>
      <c r="G153" s="43" t="s">
        <v>1047</v>
      </c>
      <c r="H153" s="43"/>
      <c r="I153" s="109" t="s">
        <v>851</v>
      </c>
      <c r="J153" s="110">
        <v>1073246645</v>
      </c>
      <c r="K153" s="43" t="s">
        <v>852</v>
      </c>
      <c r="L153" s="175" t="s">
        <v>846</v>
      </c>
      <c r="M153" s="22">
        <v>35242</v>
      </c>
      <c r="N153" s="213">
        <f t="shared" ca="1" si="600"/>
        <v>27.372602739726027</v>
      </c>
      <c r="O153" s="22">
        <v>45003</v>
      </c>
      <c r="P153" s="214" t="str">
        <f t="shared" si="673"/>
        <v>SI</v>
      </c>
      <c r="Q153" s="26" t="s">
        <v>855</v>
      </c>
      <c r="R153" s="22">
        <v>45003</v>
      </c>
      <c r="S153" s="21" t="s">
        <v>856</v>
      </c>
      <c r="T153" s="24" t="s">
        <v>690</v>
      </c>
      <c r="U153" s="21" t="s">
        <v>857</v>
      </c>
      <c r="V153" s="21" t="s">
        <v>858</v>
      </c>
      <c r="W153" s="21" t="s">
        <v>1062</v>
      </c>
      <c r="X153" s="21"/>
      <c r="Y153" s="21"/>
      <c r="Z153" s="21">
        <v>3114038544</v>
      </c>
      <c r="AA153" s="21" t="s">
        <v>860</v>
      </c>
      <c r="AB153" s="27" t="s">
        <v>861</v>
      </c>
      <c r="AC153" s="26" t="s">
        <v>862</v>
      </c>
      <c r="AD153" s="38" t="s">
        <v>1546</v>
      </c>
      <c r="AE153" s="26" t="s">
        <v>854</v>
      </c>
      <c r="AF153" s="26" t="s">
        <v>854</v>
      </c>
      <c r="AG153" s="23" t="s">
        <v>864</v>
      </c>
      <c r="AH153" s="23" t="s">
        <v>864</v>
      </c>
      <c r="AI153" s="24" t="s">
        <v>863</v>
      </c>
      <c r="AJ153" s="23" t="s">
        <v>864</v>
      </c>
      <c r="AK153" s="220" t="str">
        <f>IF(AND(AD153="",AE153="",AF153="",AG153="",AH153="",AI153="",AJ153=""),"",IF(OR(Tabla1[[#This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EVALUACIÓN",IF(AND(O153="",R153=""),"",IF(AND(OR(O153&gt;0,R153&gt;0),NG153&gt;=0,NG153&lt;2),"SIN RIESGO",IF(AND(OR(O153&gt;0,R153&gt;0),NG153&gt;=2),"CON RIESGO","ASD")))))</f>
        <v>SIN RIESGO</v>
      </c>
      <c r="AL153" s="23" t="s">
        <v>864</v>
      </c>
      <c r="AM153" s="26" t="s">
        <v>864</v>
      </c>
      <c r="AN153" s="26" t="s">
        <v>864</v>
      </c>
      <c r="AO153" s="26" t="s">
        <v>864</v>
      </c>
      <c r="AP153" s="26" t="s">
        <v>864</v>
      </c>
      <c r="AQ153" s="26" t="s">
        <v>864</v>
      </c>
      <c r="AR153" s="26" t="s">
        <v>864</v>
      </c>
      <c r="AS153" s="21">
        <v>3</v>
      </c>
      <c r="AT153" s="21">
        <v>2</v>
      </c>
      <c r="AU153" s="21">
        <v>1</v>
      </c>
      <c r="AV153" s="26" t="s">
        <v>864</v>
      </c>
      <c r="AW153" s="21">
        <v>0</v>
      </c>
      <c r="AX153" s="26" t="s">
        <v>864</v>
      </c>
      <c r="AY153" s="26" t="s">
        <v>864</v>
      </c>
      <c r="AZ153" s="26" t="s">
        <v>854</v>
      </c>
      <c r="BA153" s="26" t="s">
        <v>864</v>
      </c>
      <c r="BB153" s="26" t="s">
        <v>864</v>
      </c>
      <c r="BC153" s="26" t="s">
        <v>864</v>
      </c>
      <c r="BD153" s="26" t="s">
        <v>864</v>
      </c>
      <c r="BE153" s="26" t="s">
        <v>864</v>
      </c>
      <c r="BF153" s="26" t="s">
        <v>864</v>
      </c>
      <c r="BG153" s="26" t="s">
        <v>864</v>
      </c>
      <c r="BH153" s="26" t="s">
        <v>864</v>
      </c>
      <c r="BI153" s="26" t="s">
        <v>864</v>
      </c>
      <c r="BJ153" s="26" t="s">
        <v>864</v>
      </c>
      <c r="BK153" s="26" t="s">
        <v>864</v>
      </c>
      <c r="BL153" s="26" t="s">
        <v>864</v>
      </c>
      <c r="BM153" s="26" t="s">
        <v>864</v>
      </c>
      <c r="BN153" s="22">
        <v>43952</v>
      </c>
      <c r="BO153" s="22">
        <v>44907</v>
      </c>
      <c r="BP153" s="21" t="s">
        <v>864</v>
      </c>
      <c r="BQ153" s="222">
        <f t="shared" si="601"/>
        <v>31.833333333333332</v>
      </c>
      <c r="BR153" s="223">
        <f t="shared" si="602"/>
        <v>44907.5</v>
      </c>
      <c r="BS153" s="224">
        <f t="shared" si="603"/>
        <v>13.714285714285714</v>
      </c>
      <c r="BT153" s="216" t="str">
        <f t="shared" si="604"/>
        <v>DEFINIR CON ECO</v>
      </c>
      <c r="BU153" s="214" t="str">
        <f t="shared" ca="1" si="605"/>
        <v/>
      </c>
      <c r="BV153" s="25"/>
      <c r="BW153" s="22">
        <v>45051</v>
      </c>
      <c r="BX153" s="28">
        <v>20.5</v>
      </c>
      <c r="BY153" s="28"/>
      <c r="BZ153" s="22"/>
      <c r="CA153" s="21"/>
      <c r="CB153" s="26"/>
      <c r="CC153" s="26"/>
      <c r="CD153" s="26"/>
      <c r="CE153" s="26"/>
      <c r="CF153" s="22" t="s">
        <v>1517</v>
      </c>
      <c r="CG153" s="21">
        <v>1.58</v>
      </c>
      <c r="CH153" s="21">
        <v>68.599999999999994</v>
      </c>
      <c r="CI153" s="214">
        <f t="shared" si="606"/>
        <v>27.479570581637553</v>
      </c>
      <c r="CJ153" s="225" t="e">
        <f>IF(AND(CI153&lt;10,CH153="SD"),"SIN DATO PESO PREGESTACION O I TRIM",IF(AND(OR(R153&gt;0,O153&gt;0),CI153="X"),"INGRESAR DATO DE PESO",IF(CI153="SD","INGRESAR DATO DE TALLA Y PESO",IF(AND(OR(Tabla1[[#This Row],[MOMENTO EN QUE SE REALIZA EL PESO AL INGRESO A CPN]]="PREGESTACIÓN",NZ153="Menor"),CI153&lt;18.5),"BAJO PESO",IF(AND(OR(Tabla1[[#This Row],[MOMENTO EN QUE SE REALIZA EL PESO AL INGRESO A CPN]]="PREGESTACIÓN",NZ153="Menor"),CI153&lt;25),"NORMAL",IF(AND(OR(Tabla1[[#This Row],[MOMENTO EN QUE SE REALIZA EL PESO AL INGRESO A CPN]]="PREGESTACIÓN",NZ153="Menor"),CI153&lt;30),"SOBREPESO",IF(AND(OR(Tabla1[[#This Row],[MOMENTO EN QUE SE REALIZA EL PESO AL INGRESO A CPN]]="PREGESTACIÓN",NZ153="Menor"),CI153&gt;=30,CI153&lt;50),"OBESIDAD",IF(AND(BS153&gt;0,Tabla1[[#This Row],[MOMENTO EN QUE SE REALIZA EL PESO AL INGRESO A CPN]]="GESTACIÓN"),HLOOKUP(NZ153,$OA$2:PH153,NY153),""))))))))</f>
        <v>#REF!</v>
      </c>
      <c r="CK153" s="212">
        <f t="shared" si="607"/>
        <v>45161</v>
      </c>
      <c r="CL153" s="21">
        <v>73</v>
      </c>
      <c r="CM153" s="214">
        <f t="shared" si="608"/>
        <v>29.242108636436463</v>
      </c>
      <c r="CN153" s="216">
        <f t="shared" si="609"/>
        <v>36</v>
      </c>
      <c r="CO153" s="216" t="e">
        <f>IF(PI153="","",IF(PI153&gt;0,HLOOKUP(PI153,$PJ$2:QQ153,NY153),""))</f>
        <v>#REF!</v>
      </c>
      <c r="CP153" s="21">
        <v>31</v>
      </c>
      <c r="CQ153" s="216" t="e">
        <f>IF(QR153="Menor","NO APLICA-MENOR 13 SEM",IF(AND(CC153="SI",CN153&gt;23),"NO APLICA- GEMELAR",IF(QR153="","",IF(QR153&gt;0,HLOOKUP(QR153,$QS$2:RU153,NY153),""))))</f>
        <v>#REF!</v>
      </c>
      <c r="CR153" s="21"/>
      <c r="CS153" s="21"/>
      <c r="CT153" s="217" t="str">
        <f>IF(R153="","",IF(AND(BS153&gt;1,BS153&lt;12,Tabla1[[#This Row],[T.A. SISTOLICA - ANTES DE SEMANA 12]]="",Tabla1[[#This Row],[T.A. DIASTOLICA - ANTES DE SEMANA 12]]=""),"REGISTRE DATO TA ANTES SEMANA 12",IF(AND(BS153&gt;11,BS153&lt;43,Tabla1[[#This Row],[T.A. SISTOLICA - ANTES DE SEMANA 12]]="",Tabla1[[#This Row],[T.A. DIASTOLICA - ANTES DE SEMANA 12]]=""),"NO APLICA REGISTRO TA-INGRESO TARDIO",IF(AND(OR(O153&gt;0,R153&gt;0),OR(CR153&gt;=140,CS153&gt;=90)),"DEFINIR ESTADIO HTA",IF(AND(OR(O153&gt;0,R153&gt;0),AND(CR153&gt;120,CR153&lt;=139)),"PRE HTA SEGUIMIENTO",IF(AND(OR(O153&gt;0,R153&gt;0),AND(CS153&gt;80,CS153&lt;=89)),"PRE HTA SEGUIMIENTO",IF(AND(OR(O153&gt;0,R153&gt;0),AND(CR153&gt;=80,CR153&lt;=120)),"APARENTEMENTE NORMAL",IF(AND(OR(O153&gt;0,R153&gt;0),AND(CS153&gt;=50,CS153&lt;=80)),"APARENTEMENTE NORMAL",IF(AND(OR(O153&gt;0,R153&gt;0),AND(CR153&gt;1,CR153&lt;=70),AND(CS153&gt;1,CS153&lt;=40)),"HIPOTENSIÓN","")))))))))</f>
        <v>NO APLICA REGISTRO TA-INGRESO TARDIO</v>
      </c>
      <c r="CU153" s="21"/>
      <c r="CV153" s="21"/>
      <c r="CW153" s="217" t="str">
        <f ca="1">IF(R153="","",IF(AND(CN153&gt;19,CN153&lt;27,Tabla1[[#This Row],[T.A. SISTOLICA (Entre semana 20 y 26)]]="",Tabla1[[#This Row],[T.A. DIATOLICA (Entre semana 20 y 26)]]=""),"ACUDE A CONTROL SEM 20 A 26 REGISTRE TA AHORA",IF(AND(BS153&gt;1,BS153&lt;27,BU153&gt;19,Tabla1[[#This Row],[T.A. SISTOLICA (Entre semana 20 y 26)]]="",Tabla1[[#This Row],[T.A. DIATOLICA (Entre semana 20 y 26)]]=""),"COMPLETE REGISTRO TA CONTROL SEM 20 A26 ",IF(AND(BS153&gt;26,BS153&lt;43,Tabla1[[#This Row],[T.A. SISTOLICA (Entre semana 20 y 26)]]="",Tabla1[[#This Row],[T.A. DIATOLICA (Entre semana 20 y 26)]]=""),"NO APLICA REGISTRO TA-INGRESO TARDIO",IF(AND(OR(O153&gt;0,R153&gt;0),OR(CU153&gt;=140,CV153&gt;=90)),"ALTO RIESGO PREECLAMPSIA,DEFINIR ESTADIO HTA",IF(AND(OR(O153&gt;0,R153&gt;0),AND(CU153&gt;120,CU153&lt;=139)),"PRE HTA SEGUIMIENTO,RIESGO HIPERTENSION INDUCIDA POR EL EMBARAZO",IF(AND(OR(O153&gt;0,R153&gt;0),AND(CV153&gt;80,CV153&lt;=89)),"PRE HTA SEGUIMIENTO, RIESGO HIPERTENSION INDUCIDA POR EL EMBARAZO",IF(AND(OR(O153&lt;&gt;"",R153&lt;&gt;""),CS153&lt;&gt;"",CV153&lt;&gt;"",CS153&lt;=CV153),"VIGILAR CIFRAS PRESION ARTERIAL",IF(AND(OR(O153&gt;0,R153&gt;0),AND(CU153&gt;120,CU153&lt;=139)),"PRE HTA SEGUIMIENTO",IF(AND(OR(O153&gt;0,R153&gt;0),AND(CU153&gt;1,CU153&lt;=70),AND(CV153&gt;1,CV153&lt;=40)),"HIPOTENSIÓN",IF(AND(OR(O153&lt;&gt;"",R153&lt;&gt;""),CS153&lt;&gt;"",CV153&lt;&gt;"",CS153&gt;CV153),"APARENTEMENTE NORMAL",IF(AND(OR(O153&gt;0,R153&gt;0),AND(CU153&gt;=80,CU153&lt;=120)),"APARENTEMENTE NORMAL",IF(AND(OR(O153&gt;0,R153&gt;0),AND(CV153&gt;=50,CV153&lt;=80)),"APARENTEMENTE NORMAL","")))))))))))))</f>
        <v xml:space="preserve">COMPLETE REGISTRO TA CONTROL SEM 20 A26 </v>
      </c>
      <c r="CX153" s="21"/>
      <c r="CY153" s="21"/>
      <c r="CZ153" s="216" t="str">
        <f t="shared" si="688"/>
        <v/>
      </c>
      <c r="DA153" s="21">
        <v>90</v>
      </c>
      <c r="DB153" s="21">
        <v>60</v>
      </c>
      <c r="DC153" s="217" t="str">
        <f t="shared" si="610"/>
        <v>VIGILAR CIFRAS PRESION ARTERIAL</v>
      </c>
      <c r="DD153" s="22">
        <v>45003</v>
      </c>
      <c r="DE153" s="22">
        <v>45003</v>
      </c>
      <c r="DF153" s="22">
        <v>45030</v>
      </c>
      <c r="DG153" s="22">
        <v>45066</v>
      </c>
      <c r="DH153" s="22">
        <v>45094</v>
      </c>
      <c r="DI153" s="22">
        <v>45122</v>
      </c>
      <c r="DJ153" s="22">
        <v>45161</v>
      </c>
      <c r="DK153" s="22"/>
      <c r="DL153" s="22"/>
      <c r="DM153" s="22"/>
      <c r="DN153" s="22"/>
      <c r="DO153" s="22"/>
      <c r="DP153" s="22"/>
      <c r="DQ153" s="22"/>
      <c r="DR153" s="28"/>
      <c r="DS153" s="22"/>
      <c r="DT153" s="22"/>
      <c r="DU153" s="216" t="str">
        <f t="shared" ca="1" si="674"/>
        <v>CONCERTAR PLAN DE PARTO INMEDIATO</v>
      </c>
      <c r="DV153" s="226" t="str">
        <f t="shared" si="675"/>
        <v>ACTIVA INGRESO A CPN</v>
      </c>
      <c r="DW15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3" s="216" t="e">
        <f t="shared" ca="1" si="611"/>
        <v>#REF!</v>
      </c>
      <c r="DY153" s="212">
        <f>IF(R153="","",IF(R153&gt;0,MAX(Tabla1[[#This Row],[FECHA C2]:[FECHA C13]],Tabla1[[#This Row],[FECHA CONSULTA PRIMERA VEZ PROGRAMA CPN ]])))</f>
        <v>45161</v>
      </c>
      <c r="DZ153" s="216">
        <f t="shared" si="612"/>
        <v>36</v>
      </c>
      <c r="EA153" s="222">
        <f>IF(R153&gt;0,SUM(COUNTA(DF153:DQ153)+COUNTA(Tabla1[[#This Row],[FECHA CONSULTA PRIMERA VEZ PROGRAMA CPN ]])),"")</f>
        <v>6</v>
      </c>
      <c r="EB153" s="222" t="str">
        <f t="shared" si="613"/>
        <v>SI</v>
      </c>
      <c r="EC153" s="214">
        <f t="shared" si="614"/>
        <v>8</v>
      </c>
      <c r="ED153" s="227">
        <f t="shared" si="615"/>
        <v>0.75</v>
      </c>
      <c r="EE153" s="22">
        <v>45003</v>
      </c>
      <c r="EF153" s="22">
        <v>45003</v>
      </c>
      <c r="EG153" s="22">
        <v>45003</v>
      </c>
      <c r="EH153" s="22">
        <v>45049</v>
      </c>
      <c r="EI153" s="22">
        <v>45003</v>
      </c>
      <c r="EJ153" s="22">
        <v>45035</v>
      </c>
      <c r="EK153" s="22"/>
      <c r="EL153" s="21"/>
      <c r="EM153" s="21">
        <v>13.5</v>
      </c>
      <c r="EN153" s="22">
        <v>45013</v>
      </c>
      <c r="EO153" s="222">
        <f t="shared" si="616"/>
        <v>15.142857142857142</v>
      </c>
      <c r="EP153" s="214" t="str">
        <f t="shared" si="617"/>
        <v>NORMAL- SUMINISTRAR SULFATO FERROSO</v>
      </c>
      <c r="EQ153" s="216" t="str">
        <f t="shared" si="618"/>
        <v>II TRIM</v>
      </c>
      <c r="ER153" s="24">
        <v>11.8</v>
      </c>
      <c r="ES153" s="22">
        <v>45071</v>
      </c>
      <c r="ET153" s="29">
        <f t="shared" ca="1" si="676"/>
        <v>23.428571428571427</v>
      </c>
      <c r="EU153" s="25" t="str">
        <f t="shared" si="619"/>
        <v>NORMAL- SUMINISTRAR SULFATO FERROSO</v>
      </c>
      <c r="EV153" s="24" t="s">
        <v>1510</v>
      </c>
      <c r="EW153" s="24">
        <v>45013</v>
      </c>
      <c r="EX153" s="22"/>
      <c r="EY153" s="29">
        <f t="shared" si="453"/>
        <v>15.142857142857142</v>
      </c>
      <c r="EZ153" s="25" t="str">
        <f t="shared" si="454"/>
        <v>SIN RIESGO DE ISOINMUNIZACIÓN</v>
      </c>
      <c r="FA153" s="21">
        <v>63</v>
      </c>
      <c r="FB153" s="22">
        <v>45013</v>
      </c>
      <c r="FC153" s="29">
        <f t="shared" si="620"/>
        <v>15.142857142857142</v>
      </c>
      <c r="FD153" s="29">
        <v>60</v>
      </c>
      <c r="FE153" s="29">
        <v>80</v>
      </c>
      <c r="FF153" s="29">
        <v>68</v>
      </c>
      <c r="FG153" s="21" t="str">
        <f t="shared" si="621"/>
        <v xml:space="preserve">NORMAL, NO DESCARTA DIABETES POR REALIZARLO ANTES DE  SEMANA 24, </v>
      </c>
      <c r="FH153" s="31">
        <v>45071</v>
      </c>
      <c r="FI153" s="29">
        <f t="shared" si="622"/>
        <v>23.428571428571427</v>
      </c>
      <c r="FJ153" s="22"/>
      <c r="FK153" s="22"/>
      <c r="FL153" s="29" t="str">
        <f t="shared" ca="1" si="623"/>
        <v>NO APLICA-INGRESO TARDIO</v>
      </c>
      <c r="FM153" s="22"/>
      <c r="FN153" s="32"/>
      <c r="FO153" s="29" t="str">
        <f t="shared" ca="1" si="677"/>
        <v>PIERDE TOMA DE TAMIZAJE</v>
      </c>
      <c r="FP153" s="22"/>
      <c r="FQ153" s="32"/>
      <c r="FR153" s="29" t="str">
        <f t="shared" ca="1" si="678"/>
        <v>TOMA INMEDIATA DE TAMIZAJE</v>
      </c>
      <c r="FS153" s="22"/>
      <c r="FT153" s="32"/>
      <c r="FU153" s="29" t="str">
        <f>IF(AND(FJ153="",FM153="",FP153="",FS153=""),"",IF(OR(OR(Tabla1[[#This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3" s="28"/>
      <c r="FW153" s="22"/>
      <c r="FX153" s="29" t="str">
        <f t="shared" si="624"/>
        <v>TOMAR EXAMEN</v>
      </c>
      <c r="FY153" s="22">
        <v>45003</v>
      </c>
      <c r="FZ153" s="22">
        <v>45003</v>
      </c>
      <c r="GA153" s="29" t="str">
        <f t="shared" si="497"/>
        <v>REGISTRAR EN II TRIMESTRE</v>
      </c>
      <c r="GB153" s="22" t="s">
        <v>868</v>
      </c>
      <c r="GC153" s="22">
        <v>45013</v>
      </c>
      <c r="GD153" s="29">
        <f t="shared" ca="1" si="679"/>
        <v>15.142857142857142</v>
      </c>
      <c r="GE153" s="22"/>
      <c r="GF153" s="22"/>
      <c r="GG153" s="29" t="str">
        <f t="shared" ca="1" si="680"/>
        <v>TOMA INMEDIATA DE TAMIZAJE</v>
      </c>
      <c r="GH153" s="22"/>
      <c r="GI153" s="29"/>
      <c r="GJ153" s="22"/>
      <c r="GK153" s="22"/>
      <c r="GL153" s="22"/>
      <c r="GM153" s="22"/>
      <c r="GN153" s="28" t="s">
        <v>869</v>
      </c>
      <c r="GO153" s="22">
        <v>45013</v>
      </c>
      <c r="GP153" s="29">
        <f t="shared" si="625"/>
        <v>15.142857142857142</v>
      </c>
      <c r="GQ153" s="28"/>
      <c r="GR153" s="28" t="s">
        <v>869</v>
      </c>
      <c r="GS153" s="22" t="str">
        <f t="shared" si="626"/>
        <v/>
      </c>
      <c r="GT153" s="22">
        <v>45013</v>
      </c>
      <c r="GU153" s="29">
        <f t="shared" si="627"/>
        <v>15.142857142857142</v>
      </c>
      <c r="GV153" s="21" t="str">
        <f t="shared" si="628"/>
        <v>II TRIM</v>
      </c>
      <c r="GW153" s="28" t="s">
        <v>869</v>
      </c>
      <c r="GX153" s="30"/>
      <c r="GY153" s="21"/>
      <c r="GZ153" s="21"/>
      <c r="HA153" s="21"/>
      <c r="HB153" s="21"/>
      <c r="HC153" s="21"/>
      <c r="HD153" s="21"/>
      <c r="HE153" s="21"/>
      <c r="HF153" s="22"/>
      <c r="HG153" s="22" t="str">
        <f>IF(OR(O153&gt;0,R153&gt;0),CONCATENATE(IF(Tabla1[[#This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3" s="22" t="e">
        <f t="shared" si="629"/>
        <v>#REF!</v>
      </c>
      <c r="HI153" s="22" t="e">
        <f t="shared" ca="1" si="630"/>
        <v>#REF!</v>
      </c>
      <c r="HJ153" s="21"/>
      <c r="HK153" s="21" t="str">
        <f t="shared" si="631"/>
        <v>SIN ANTECEDENTES DE RIESGO</v>
      </c>
      <c r="HL153" s="24" t="str">
        <f t="shared" si="632"/>
        <v>VIGILAR CIFRAS PRESION ARTERIAL</v>
      </c>
      <c r="HM153" s="21" t="e">
        <f t="shared" ca="1" si="633"/>
        <v>#REF!</v>
      </c>
      <c r="HN153" s="30" t="str">
        <f t="shared" si="681"/>
        <v>ACTIVA INGRESO A CPN</v>
      </c>
      <c r="HO153" s="21"/>
      <c r="HP153" s="21"/>
      <c r="HQ153" s="21">
        <v>45060</v>
      </c>
      <c r="HR153" s="21" t="str">
        <f>IF(R153="","",IF(Tabla1[[#This Row],[ALARMA FACTORES DE RIESGO COMPLICACIONES HIPERTENSIVAS3]]="SIN ANTECEDENTES DE RIESGO","No Aplica para suministro de ASA",IF(AND(Tabla1[[#This Row],[FECHA INICIO DE SUMINISTRO DE ASA]]&gt;0,RV153&lt;12),"Inicia ASA ANTES de Sem 12",IF(AND(RV153&gt;11,RV153&lt;17,OR(HK153="RIESGO ALTO DE COMPLICACIONES HIPERTENSIVAS VER MANEJO GUIA SUMINISTRO ASA Y CALCIO",HK153="RIESGO MODERADO (2 O MAS CRITERIOS) VER MANEJO GUIA SUMINISTRO ASA Y CALCIO")),"Inicio oportuno de ASA",IF(AND(RV153&gt;12,OR(HK153="RIESGO ALTO DE COMPLICACIONES HIPERTENSIVAS VER MANEJO GUIA SUMINISTRO ASA Y CALCIO",HK153="RIESGO MODERADO (2 O MAS CRITERIOS) VER MANEJO GUIA SUMINISTRO ASA Y CALCIO")),"Inicio no oportuno mayor a 16 semanas",IF(AND(BU153&lt;12,OR(HK153="RIESGO ALTO DE COMPLICACIONES HIPERTENSIVAS VER MANEJO GUIA SUMINISTRO ASA Y CALCIO",HK153="RIESGO MODERADO (2 O MAS CRITERIOS) VER MANEJO GUIA SUMINISTRO ASA Y CALCIO")),"Pendiente Inicio de ASA a la semana 12",IF(AND(BU153&gt;11,BU153&lt;17,OR(HK153="RIESGO ALTO DE COMPLICACIONES HIPERTENSIVAS VER MANEJO GUIA SUMINISTRO ASA Y CALCIO",HK153="RIESGO MODERADO (2 O MAS CRITERIOS) VER MANEJO GUIA SUMINISTRO ASA Y CALCIO")),"Iniciar de inmediato ASA",IF(AND(BU153&gt;16,OR(HK153="RIESGO ALTO DE COMPLICACIONES HIPERTENSIVAS VER MANEJO GUIA SUMINISTRO ASA Y CALCIO",HK153="RIESGO MODERADO (2 O MAS CRITERIOS) VER MANEJO GUIA SUMINISTRO ASA Y CALCIO")),"Pierde Oportunidad, Inicio tardío de ASA","XXXXX"))))))))</f>
        <v>No Aplica para suministro de ASA</v>
      </c>
      <c r="HS153" s="22">
        <v>45060</v>
      </c>
      <c r="HT153" s="22" t="s">
        <v>870</v>
      </c>
      <c r="HU153" s="22">
        <v>45060</v>
      </c>
      <c r="HV153" s="22" t="s">
        <v>870</v>
      </c>
      <c r="HW153" s="22">
        <v>45060</v>
      </c>
      <c r="HX153" s="22" t="s">
        <v>870</v>
      </c>
      <c r="HY153" s="22">
        <v>45010</v>
      </c>
      <c r="HZ153" s="28">
        <f t="shared" si="634"/>
        <v>14.714285714285714</v>
      </c>
      <c r="IA153" s="26"/>
      <c r="IB153" s="26"/>
      <c r="IC153" s="111"/>
      <c r="ID153" s="22"/>
      <c r="IE153" s="22" t="str">
        <f t="shared" ca="1" si="635"/>
        <v/>
      </c>
      <c r="IF153" s="22"/>
      <c r="IG153" s="22">
        <f t="shared" si="636"/>
        <v>45187</v>
      </c>
      <c r="IH153" s="29">
        <f t="shared" ca="1" si="637"/>
        <v>-46</v>
      </c>
      <c r="II153" s="22" t="str">
        <f t="shared" ca="1" si="638"/>
        <v>POSIBLEMENTE NACIO</v>
      </c>
      <c r="IJ153" s="22"/>
      <c r="IK153" s="21"/>
      <c r="IL153" s="21"/>
      <c r="IM153" s="34"/>
      <c r="IN153" s="349"/>
      <c r="IO153" s="21"/>
      <c r="IP153" s="29" t="str">
        <f t="shared" si="672"/>
        <v/>
      </c>
      <c r="IQ153" s="35"/>
      <c r="IR153" s="21"/>
      <c r="IS153" s="21"/>
      <c r="IT153" s="21"/>
      <c r="IU153" s="21"/>
      <c r="IV153" s="21"/>
      <c r="IW153" s="21"/>
      <c r="IX153" s="21"/>
      <c r="IY153" s="21"/>
      <c r="IZ153" s="21"/>
      <c r="JA153" s="21"/>
      <c r="JB153" s="30"/>
      <c r="JC153" s="21"/>
      <c r="JD153" s="36"/>
      <c r="JE153" s="21" t="str">
        <f t="shared" si="682"/>
        <v/>
      </c>
      <c r="JF153" s="30"/>
      <c r="JG153" s="21"/>
      <c r="JH153" s="21"/>
      <c r="JI153" s="21"/>
      <c r="JJ153" s="30"/>
      <c r="JK153" s="22"/>
      <c r="JL153" s="22"/>
      <c r="JM153" s="21"/>
      <c r="JN153" s="36"/>
      <c r="JO153" s="21" t="str">
        <f t="shared" si="683"/>
        <v/>
      </c>
      <c r="JP153" s="22"/>
      <c r="JQ153" s="21"/>
      <c r="JR153" s="21"/>
      <c r="JS153" s="21"/>
      <c r="JT153" s="30"/>
      <c r="JU153" s="22"/>
      <c r="JV153" s="22"/>
      <c r="JW153" s="33"/>
      <c r="JX153" s="28" t="str">
        <f t="shared" si="684"/>
        <v/>
      </c>
      <c r="JY153" s="33"/>
      <c r="JZ153" s="28" t="str">
        <f t="shared" si="685"/>
        <v/>
      </c>
      <c r="KA153" s="21"/>
      <c r="KB153" s="21"/>
      <c r="KC153" s="21"/>
      <c r="KD153" s="37"/>
      <c r="KE153" s="28"/>
      <c r="KF153" s="28"/>
      <c r="KG153" s="28"/>
      <c r="KH153" s="39"/>
      <c r="KI153" s="39"/>
      <c r="KJ153" s="66"/>
      <c r="KK153" s="39"/>
      <c r="KL153" s="39"/>
      <c r="KM153" s="66"/>
      <c r="KN153" s="39"/>
      <c r="KO153" s="39"/>
      <c r="KP153" s="39"/>
      <c r="KQ153" s="39"/>
      <c r="KR153" s="39"/>
      <c r="KS153" s="39"/>
      <c r="KT153" s="39"/>
      <c r="KU153" s="38"/>
      <c r="KV153" s="38"/>
      <c r="KW153" s="38"/>
      <c r="KX153" s="38"/>
      <c r="KY153" s="38"/>
      <c r="KZ153" s="38"/>
      <c r="LA153" s="38"/>
      <c r="LB153" s="38"/>
      <c r="LC153" s="38"/>
      <c r="LD153" s="38"/>
      <c r="LE153" s="38"/>
      <c r="LF153" s="38"/>
      <c r="LG153" s="38"/>
      <c r="LH153" s="38"/>
      <c r="LI153" s="38"/>
      <c r="LJ153" s="38"/>
      <c r="LK153" s="38"/>
      <c r="LL153" s="38"/>
      <c r="LM153" s="38"/>
      <c r="LN153" s="38"/>
      <c r="LO153" s="38"/>
      <c r="LP153" s="38"/>
      <c r="LQ153" s="38"/>
      <c r="LR153" s="38"/>
      <c r="LS153" s="38"/>
      <c r="LT153" s="38"/>
      <c r="LU153" s="38"/>
      <c r="LV153" s="38"/>
      <c r="LW153" s="38"/>
      <c r="LX153" s="38"/>
      <c r="LY153" s="38"/>
      <c r="LZ153" s="38"/>
      <c r="MA153" s="38"/>
      <c r="MB153" s="38"/>
      <c r="MC153" s="38"/>
      <c r="MD153" s="38"/>
      <c r="ME153" s="38"/>
      <c r="MF153" s="38"/>
      <c r="MG153" s="38"/>
      <c r="MH153" s="43">
        <f t="shared" si="639"/>
        <v>0</v>
      </c>
      <c r="MI153" s="43" t="str">
        <f t="shared" si="640"/>
        <v/>
      </c>
      <c r="MJ153" s="43" t="str">
        <f t="shared" si="641"/>
        <v/>
      </c>
      <c r="MK153" s="43">
        <f t="shared" si="642"/>
        <v>0</v>
      </c>
      <c r="ML15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3" s="43">
        <f t="shared" si="643"/>
        <v>13.714285714285714</v>
      </c>
      <c r="MN153" s="43">
        <f t="shared" si="644"/>
        <v>3</v>
      </c>
      <c r="MO153" s="43">
        <f t="shared" si="645"/>
        <v>2023</v>
      </c>
      <c r="MP153" s="43" t="str">
        <f t="shared" si="646"/>
        <v>I TRIMESTRE AÑO</v>
      </c>
      <c r="MQ153" s="43">
        <f t="shared" si="647"/>
        <v>26.341436706088476</v>
      </c>
      <c r="MR153" s="43">
        <f t="shared" si="648"/>
        <v>0</v>
      </c>
      <c r="MS153" s="43" t="str">
        <f t="shared" si="649"/>
        <v xml:space="preserve"> DE 25 A 29 AÑOS</v>
      </c>
      <c r="MT153" s="43">
        <f t="shared" si="650"/>
        <v>0</v>
      </c>
      <c r="MU153" s="43">
        <f t="shared" si="651"/>
        <v>0</v>
      </c>
      <c r="MV153" s="43">
        <f t="shared" si="652"/>
        <v>0</v>
      </c>
      <c r="MW153" s="43">
        <f t="shared" si="653"/>
        <v>0</v>
      </c>
      <c r="MX153" s="43" t="str">
        <f t="shared" si="654"/>
        <v/>
      </c>
      <c r="MY153" s="43" t="str">
        <f t="shared" ca="1" si="686"/>
        <v/>
      </c>
      <c r="MZ153" s="43" t="str">
        <f t="shared" si="655"/>
        <v/>
      </c>
      <c r="NA153" s="43" t="str">
        <f t="shared" si="656"/>
        <v/>
      </c>
      <c r="NB153" s="43" t="str">
        <f t="shared" si="657"/>
        <v/>
      </c>
      <c r="NC153" s="43" t="str">
        <f t="shared" si="658"/>
        <v/>
      </c>
      <c r="ND153" s="43">
        <f t="shared" ca="1" si="659"/>
        <v>0</v>
      </c>
      <c r="NE153" s="43">
        <f>IF(OR(O153&gt;0,R153&gt;0),SUM(COUNTIF(Tabla1[[#This Row],[AÑOS AL INICIO5 CPN]],"&gt;=40"),COUNTIF(AS153,"0"),COUNTIF(AR153,"SI"),COUNTIF(CC153,"SI"),COUNTIF(BQ153,"&gt;119"),COUNTIF(CI153,"&gt;=35")),"")</f>
        <v>0</v>
      </c>
      <c r="NF153" s="43" t="str">
        <f t="shared" si="660"/>
        <v/>
      </c>
      <c r="NG153" s="43">
        <f t="shared" si="661"/>
        <v>0</v>
      </c>
      <c r="NH153" s="43">
        <f t="shared" si="662"/>
        <v>143.5</v>
      </c>
      <c r="NI15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CPN",P153="NO"),"Z",IF(AND(Tabla1[[#This Row],[CITA PROXIMO CONTROL]]="CITA MANUAL",Tabla1[[#This Row],[GESTANTES ACTUALES]]="ACTIVA INGRESO A CPN"),"W",IF(AND(Tabla1[[#This Row],[GESTANTES ACTUALES]]="SALIO PROGRAMA",IN153=""),"S",IF(AND(Tabla1[[#This Row],[CITA PROXIMO CONTROL]]&gt;0,IN153=""),(Tabla1[[#This Row],[CITA PROXIMO CONTROL]]-TODAY()),"SD"))))))))</f>
        <v>#REF!</v>
      </c>
      <c r="NJ153" s="43">
        <f>MONTH(Tabla1[[#This Row],[FECHA DE SALIDA  DEL PROGRAMA]])</f>
        <v>1</v>
      </c>
      <c r="NK153" s="43">
        <f>YEAR(Tabla1[[#This Row],[FECHA DE SALIDA  DEL PROGRAMA]])</f>
        <v>1900</v>
      </c>
      <c r="NL153" s="43">
        <f t="shared" si="663"/>
        <v>32</v>
      </c>
      <c r="NM153" s="43" t="str">
        <f t="shared" si="500"/>
        <v>NO</v>
      </c>
      <c r="NN153" s="43" t="str">
        <f ca="1">IF(AND(O153&gt;0,R153=""),"NO CPN",IF(AND(O153="",R153=""),"",IF(AND(R153&gt;0,Tabla1[[#This Row],[SEMANAS DE GESTACION ACTUALIZADAS]]&lt;=12),"NO APLICA",IF(AND(FH153&lt;&gt;"",FN153&lt;&gt;""),"SI","NO"))))</f>
        <v>NO</v>
      </c>
      <c r="NO153" s="43" t="str">
        <f ca="1">IF(AND(O153&gt;0,R153=""),"NO CPN",IF(AND(O153="",R153=""),"",IF(AND(R153&gt;0,Tabla1[[#This Row],[SEMANAS DE GESTACION ACTUALIZADAS]]&lt;=27),"NO APLICA",IF(AND(ES153&lt;&gt;"",FQ153&lt;&gt;"",GF153&lt;&gt;""),"SI","NO"))))</f>
        <v>NO</v>
      </c>
      <c r="NP153" s="204" t="str">
        <f t="shared" si="664"/>
        <v>DEFINIR CON ECO</v>
      </c>
      <c r="NQ153" s="21" t="str">
        <f t="shared" si="689"/>
        <v/>
      </c>
      <c r="NR153" s="21" t="str">
        <f t="shared" ca="1" si="687"/>
        <v>REVISAR FUM O FECHA SALIDA PROGRAMA</v>
      </c>
      <c r="NS153" s="205">
        <f t="shared" ca="1" si="665"/>
        <v>0</v>
      </c>
      <c r="NT153" s="21">
        <f t="shared" ca="1" si="666"/>
        <v>1</v>
      </c>
      <c r="NU153" s="21" t="str">
        <f t="shared" ca="1" si="667"/>
        <v>POR DEFINIR</v>
      </c>
      <c r="NV153" s="21" t="str">
        <f t="shared" ca="1" si="668"/>
        <v>POR DEFINIR</v>
      </c>
      <c r="NW153" s="206" t="str">
        <f>IF(AND(O153="",R153=""),"",IF(OR(AND(Tabla1[[#This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3" s="207" t="str">
        <f t="shared" ca="1" si="669"/>
        <v>SIN VACUNAR</v>
      </c>
      <c r="NY153" s="43">
        <f>ROW(Tabla1[[#This Row],['# DE TAMIZAJES SIFILIS TOMADOS ]])</f>
        <v>153</v>
      </c>
      <c r="NZ153" s="43">
        <f t="shared" si="501"/>
        <v>13</v>
      </c>
      <c r="OA153" s="43" t="str">
        <f t="shared" si="502"/>
        <v/>
      </c>
      <c r="OB153" s="43" t="str">
        <f t="shared" si="503"/>
        <v/>
      </c>
      <c r="OC153" s="43" t="str">
        <f t="shared" si="504"/>
        <v/>
      </c>
      <c r="OD153" s="43" t="str">
        <f t="shared" si="505"/>
        <v/>
      </c>
      <c r="OE153" s="43" t="str">
        <f t="shared" si="506"/>
        <v>SOBREPESO</v>
      </c>
      <c r="OF153" s="43" t="str">
        <f t="shared" si="507"/>
        <v/>
      </c>
      <c r="OG153" s="43" t="str">
        <f t="shared" si="508"/>
        <v/>
      </c>
      <c r="OH153" s="43" t="str">
        <f t="shared" si="509"/>
        <v/>
      </c>
      <c r="OI153" s="43" t="str">
        <f t="shared" si="510"/>
        <v/>
      </c>
      <c r="OJ153" s="43" t="str">
        <f t="shared" si="511"/>
        <v/>
      </c>
      <c r="OK153" s="43" t="str">
        <f t="shared" si="512"/>
        <v/>
      </c>
      <c r="OL153" s="43" t="str">
        <f t="shared" si="513"/>
        <v/>
      </c>
      <c r="OM153" s="43" t="str">
        <f t="shared" si="514"/>
        <v/>
      </c>
      <c r="ON153" s="43" t="str">
        <f t="shared" si="515"/>
        <v/>
      </c>
      <c r="OO153" s="43" t="str">
        <f t="shared" si="516"/>
        <v/>
      </c>
      <c r="OP153" s="43" t="str">
        <f t="shared" si="517"/>
        <v/>
      </c>
      <c r="OQ153" s="43" t="str">
        <f t="shared" si="518"/>
        <v/>
      </c>
      <c r="OR153" s="43" t="str">
        <f t="shared" si="519"/>
        <v/>
      </c>
      <c r="OS153" s="43" t="str">
        <f t="shared" si="520"/>
        <v/>
      </c>
      <c r="OT153" s="43" t="str">
        <f t="shared" si="521"/>
        <v/>
      </c>
      <c r="OU153" s="43" t="str">
        <f t="shared" si="522"/>
        <v/>
      </c>
      <c r="OV153" s="110" t="str">
        <f t="shared" si="523"/>
        <v/>
      </c>
      <c r="OW153" s="43" t="str">
        <f t="shared" si="524"/>
        <v/>
      </c>
      <c r="OX153" s="43" t="str">
        <f t="shared" si="525"/>
        <v/>
      </c>
      <c r="OY153" s="43" t="str">
        <f t="shared" si="526"/>
        <v/>
      </c>
      <c r="OZ153" s="43" t="str">
        <f t="shared" si="527"/>
        <v/>
      </c>
      <c r="PA153" s="43" t="str">
        <f t="shared" si="528"/>
        <v/>
      </c>
      <c r="PB153" s="43" t="str">
        <f t="shared" si="529"/>
        <v/>
      </c>
      <c r="PC153" s="43" t="str">
        <f t="shared" si="530"/>
        <v/>
      </c>
      <c r="PD153" s="43" t="str">
        <f t="shared" si="531"/>
        <v/>
      </c>
      <c r="PE153" s="43" t="str">
        <f t="shared" si="532"/>
        <v/>
      </c>
      <c r="PF153" s="43" t="str">
        <f t="shared" si="533"/>
        <v/>
      </c>
      <c r="PG153" s="43" t="str">
        <f t="shared" si="534"/>
        <v/>
      </c>
      <c r="PH153" s="43" t="str">
        <f t="shared" si="535"/>
        <v/>
      </c>
      <c r="PI153" s="43">
        <f t="shared" si="536"/>
        <v>36</v>
      </c>
      <c r="PJ153" s="43" t="str">
        <f t="shared" si="537"/>
        <v/>
      </c>
      <c r="PK153" s="43" t="str">
        <f t="shared" si="538"/>
        <v/>
      </c>
      <c r="PL153" s="43" t="str">
        <f t="shared" si="539"/>
        <v/>
      </c>
      <c r="PM153" s="43" t="str">
        <f t="shared" si="540"/>
        <v/>
      </c>
      <c r="PN153" s="43" t="str">
        <f t="shared" si="541"/>
        <v/>
      </c>
      <c r="PO153" s="43" t="str">
        <f t="shared" si="542"/>
        <v/>
      </c>
      <c r="PP153" s="43" t="str">
        <f t="shared" si="543"/>
        <v/>
      </c>
      <c r="PQ153" s="43" t="str">
        <f t="shared" si="544"/>
        <v/>
      </c>
      <c r="PR153" s="43" t="str">
        <f t="shared" si="545"/>
        <v/>
      </c>
      <c r="PS153" s="43" t="str">
        <f t="shared" si="546"/>
        <v/>
      </c>
      <c r="PT153" s="43" t="str">
        <f t="shared" si="547"/>
        <v/>
      </c>
      <c r="PU153" s="43" t="str">
        <f t="shared" si="548"/>
        <v/>
      </c>
      <c r="PV153" s="43" t="str">
        <f t="shared" si="549"/>
        <v/>
      </c>
      <c r="PW153" s="43" t="str">
        <f t="shared" si="550"/>
        <v/>
      </c>
      <c r="PX153" s="43" t="str">
        <f t="shared" si="551"/>
        <v/>
      </c>
      <c r="PY153" s="43" t="str">
        <f t="shared" si="552"/>
        <v/>
      </c>
      <c r="PZ153" s="43" t="str">
        <f t="shared" si="553"/>
        <v/>
      </c>
      <c r="QA153" s="43" t="str">
        <f t="shared" si="554"/>
        <v/>
      </c>
      <c r="QB153" s="43" t="str">
        <f t="shared" si="555"/>
        <v/>
      </c>
      <c r="QC153" s="43" t="str">
        <f t="shared" si="556"/>
        <v/>
      </c>
      <c r="QD153" s="43" t="str">
        <f t="shared" si="557"/>
        <v/>
      </c>
      <c r="QE153" s="43" t="str">
        <f t="shared" si="558"/>
        <v/>
      </c>
      <c r="QF153" s="43" t="str">
        <f t="shared" si="559"/>
        <v/>
      </c>
      <c r="QG153" s="43" t="str">
        <f t="shared" si="560"/>
        <v/>
      </c>
      <c r="QH153" s="43" t="str">
        <f t="shared" si="561"/>
        <v/>
      </c>
      <c r="QI153" s="43" t="str">
        <f t="shared" si="562"/>
        <v/>
      </c>
      <c r="QJ153" s="43" t="str">
        <f t="shared" si="563"/>
        <v/>
      </c>
      <c r="QK153" s="43" t="str">
        <f t="shared" si="564"/>
        <v>SOBREPESO</v>
      </c>
      <c r="QL153" s="43" t="str">
        <f t="shared" si="565"/>
        <v/>
      </c>
      <c r="QM153" s="43" t="str">
        <f t="shared" si="566"/>
        <v/>
      </c>
      <c r="QN153" s="43" t="str">
        <f t="shared" si="567"/>
        <v/>
      </c>
      <c r="QO153" s="43" t="str">
        <f t="shared" si="568"/>
        <v/>
      </c>
      <c r="QP153" s="43" t="str">
        <f t="shared" si="569"/>
        <v/>
      </c>
      <c r="QQ153" s="43" t="str">
        <f t="shared" si="570"/>
        <v/>
      </c>
      <c r="QR153" s="43">
        <f t="shared" si="670"/>
        <v>36</v>
      </c>
      <c r="QS153" s="43"/>
      <c r="QT153" s="21" t="str">
        <f t="shared" si="571"/>
        <v/>
      </c>
      <c r="QU153" s="21" t="str">
        <f t="shared" si="572"/>
        <v/>
      </c>
      <c r="QV153" s="21" t="str">
        <f t="shared" si="573"/>
        <v/>
      </c>
      <c r="QW153" s="21" t="str">
        <f t="shared" si="574"/>
        <v/>
      </c>
      <c r="QX153" s="21" t="str">
        <f t="shared" si="575"/>
        <v/>
      </c>
      <c r="QY153" s="21" t="str">
        <f t="shared" si="576"/>
        <v/>
      </c>
      <c r="QZ153" s="21" t="str">
        <f t="shared" si="577"/>
        <v/>
      </c>
      <c r="RA153" s="21" t="str">
        <f t="shared" si="578"/>
        <v/>
      </c>
      <c r="RB153" s="21" t="str">
        <f t="shared" si="579"/>
        <v/>
      </c>
      <c r="RC153" s="21" t="str">
        <f t="shared" si="580"/>
        <v/>
      </c>
      <c r="RD153" s="21" t="str">
        <f t="shared" si="581"/>
        <v/>
      </c>
      <c r="RE153" s="21" t="str">
        <f t="shared" si="582"/>
        <v/>
      </c>
      <c r="RF153" s="21" t="str">
        <f t="shared" si="583"/>
        <v/>
      </c>
      <c r="RG153" s="21" t="str">
        <f t="shared" si="584"/>
        <v/>
      </c>
      <c r="RH153" s="21" t="str">
        <f t="shared" si="585"/>
        <v/>
      </c>
      <c r="RI153" s="21" t="str">
        <f t="shared" si="586"/>
        <v/>
      </c>
      <c r="RJ153" s="21" t="str">
        <f t="shared" si="587"/>
        <v/>
      </c>
      <c r="RK153" s="21" t="str">
        <f t="shared" si="588"/>
        <v/>
      </c>
      <c r="RL153" s="21" t="str">
        <f t="shared" si="589"/>
        <v/>
      </c>
      <c r="RM153" s="21" t="str">
        <f t="shared" si="590"/>
        <v/>
      </c>
      <c r="RN153" s="21" t="str">
        <f t="shared" si="591"/>
        <v/>
      </c>
      <c r="RO153" s="21" t="str">
        <f t="shared" si="592"/>
        <v/>
      </c>
      <c r="RP153" s="21" t="str">
        <f t="shared" si="593"/>
        <v/>
      </c>
      <c r="RQ153" s="21" t="str">
        <f t="shared" si="594"/>
        <v>ADECUADO PARA EDAD GESTACIONAL</v>
      </c>
      <c r="RR153" s="21" t="str">
        <f t="shared" si="595"/>
        <v/>
      </c>
      <c r="RS153" s="21" t="str">
        <f t="shared" si="596"/>
        <v/>
      </c>
      <c r="RT153" s="21" t="str">
        <f t="shared" si="597"/>
        <v/>
      </c>
      <c r="RU153" s="21" t="str">
        <f t="shared" si="598"/>
        <v/>
      </c>
      <c r="RV153" s="21">
        <f t="shared" si="599"/>
        <v>21.857142857142858</v>
      </c>
      <c r="RW153" s="284">
        <f>IF(OR(Tabla1[[#This Row],[FUM FORMULA CONFIABLE]]="",Tabla1[[#This Row],[FUM FORMULA CONFIABLE]]="SD"),"",IF(Tabla1[[#This Row],[FUM FORMULA CONFIABLE]]="CORREGIDA",Tabla1[[#This Row],[FUM X ECO 1]],Tabla1[[#This Row],[FUM x AMENORREA]]))</f>
        <v>44907</v>
      </c>
      <c r="RX153" s="21">
        <f>IF(AND(Tabla1[[#This Row],[FUM X ECO 1]]="",Tabla1[[#This Row],[FUM x AMENORREA]]=""),"",IF(AND(Tabla1[[#This Row],[FUM X ECO 1]]="",Tabla1[[#This Row],[FUM x AMENORREA]]&lt;&gt;""),"X",SUM(Tabla1[[#This Row],[FUM X ECO 1]]-Tabla1[[#This Row],[FUM x AMENORREA]])))</f>
        <v>0.5</v>
      </c>
      <c r="RY153" s="21">
        <f t="shared" si="671"/>
        <v>0</v>
      </c>
    </row>
    <row r="154" spans="1:493" ht="45" customHeight="1" x14ac:dyDescent="0.25">
      <c r="A154" s="109"/>
      <c r="B154" s="43"/>
      <c r="C154" s="43" t="s">
        <v>845</v>
      </c>
      <c r="D154" s="124"/>
      <c r="E154" s="43" t="s">
        <v>1179</v>
      </c>
      <c r="F154" s="43" t="s">
        <v>1435</v>
      </c>
      <c r="G154" s="43" t="s">
        <v>1448</v>
      </c>
      <c r="H154" s="43" t="s">
        <v>1294</v>
      </c>
      <c r="I154" s="109" t="s">
        <v>851</v>
      </c>
      <c r="J154" s="110">
        <v>1059594096</v>
      </c>
      <c r="K154" s="43" t="s">
        <v>852</v>
      </c>
      <c r="L154" s="175" t="s">
        <v>1509</v>
      </c>
      <c r="M154" s="22">
        <v>38058</v>
      </c>
      <c r="N154" s="213">
        <f t="shared" ca="1" si="600"/>
        <v>19.657534246575342</v>
      </c>
      <c r="O154" s="22">
        <v>45036</v>
      </c>
      <c r="P154" s="214" t="str">
        <f t="shared" si="673"/>
        <v>SI</v>
      </c>
      <c r="Q154" s="26" t="s">
        <v>855</v>
      </c>
      <c r="R154" s="22">
        <v>45036</v>
      </c>
      <c r="S154" s="21" t="s">
        <v>856</v>
      </c>
      <c r="T154" s="24" t="s">
        <v>690</v>
      </c>
      <c r="U154" s="21" t="s">
        <v>857</v>
      </c>
      <c r="V154" s="21" t="s">
        <v>858</v>
      </c>
      <c r="W154" s="21" t="s">
        <v>1449</v>
      </c>
      <c r="X154" s="21"/>
      <c r="Y154" s="21"/>
      <c r="Z154" s="21">
        <v>3145901801</v>
      </c>
      <c r="AA154" s="21" t="s">
        <v>860</v>
      </c>
      <c r="AB154" s="27" t="s">
        <v>861</v>
      </c>
      <c r="AC154" s="26" t="s">
        <v>897</v>
      </c>
      <c r="AD154" s="38" t="s">
        <v>1546</v>
      </c>
      <c r="AE154" s="26" t="s">
        <v>854</v>
      </c>
      <c r="AF154" s="26" t="s">
        <v>854</v>
      </c>
      <c r="AG154" s="23" t="s">
        <v>864</v>
      </c>
      <c r="AH154" s="23" t="s">
        <v>864</v>
      </c>
      <c r="AI154" s="24" t="s">
        <v>863</v>
      </c>
      <c r="AJ154" s="23" t="s">
        <v>864</v>
      </c>
      <c r="AK154" s="220" t="str">
        <f>IF(AND(AD154="",AE154="",AF154="",AG154="",AH154="",AI154="",AJ154=""),"",IF(OR(Tabla1[[#This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EVALUACIÓN",IF(AND(O154="",R154=""),"",IF(AND(OR(O154&gt;0,R154&gt;0),NG154&gt;=0,NG154&lt;2),"SIN RIESGO",IF(AND(OR(O154&gt;0,R154&gt;0),NG154&gt;=2),"CON RIESGO","ASD")))))</f>
        <v>SIN RIESGO</v>
      </c>
      <c r="AL154" s="23" t="s">
        <v>864</v>
      </c>
      <c r="AM154" s="26" t="s">
        <v>864</v>
      </c>
      <c r="AN154" s="26" t="s">
        <v>864</v>
      </c>
      <c r="AO154" s="26" t="s">
        <v>864</v>
      </c>
      <c r="AP154" s="26" t="s">
        <v>864</v>
      </c>
      <c r="AQ154" s="26" t="s">
        <v>864</v>
      </c>
      <c r="AR154" s="26" t="s">
        <v>864</v>
      </c>
      <c r="AS154" s="21">
        <v>1</v>
      </c>
      <c r="AT154" s="21">
        <v>1</v>
      </c>
      <c r="AU154" s="21">
        <v>0</v>
      </c>
      <c r="AV154" s="26" t="s">
        <v>864</v>
      </c>
      <c r="AW154" s="21">
        <v>0</v>
      </c>
      <c r="AX154" s="26" t="s">
        <v>864</v>
      </c>
      <c r="AY154" s="26" t="s">
        <v>864</v>
      </c>
      <c r="AZ154" s="26" t="s">
        <v>864</v>
      </c>
      <c r="BA154" s="26" t="s">
        <v>864</v>
      </c>
      <c r="BB154" s="26" t="s">
        <v>864</v>
      </c>
      <c r="BC154" s="26" t="s">
        <v>864</v>
      </c>
      <c r="BD154" s="26" t="s">
        <v>864</v>
      </c>
      <c r="BE154" s="26" t="s">
        <v>864</v>
      </c>
      <c r="BF154" s="26" t="s">
        <v>864</v>
      </c>
      <c r="BG154" s="26" t="s">
        <v>864</v>
      </c>
      <c r="BH154" s="26" t="s">
        <v>864</v>
      </c>
      <c r="BI154" s="26" t="s">
        <v>864</v>
      </c>
      <c r="BJ154" s="26" t="s">
        <v>864</v>
      </c>
      <c r="BK154" s="26" t="s">
        <v>864</v>
      </c>
      <c r="BL154" s="26" t="s">
        <v>864</v>
      </c>
      <c r="BM154" s="26" t="s">
        <v>864</v>
      </c>
      <c r="BN154" s="22"/>
      <c r="BO154" s="22">
        <v>44951</v>
      </c>
      <c r="BP154" s="21" t="s">
        <v>854</v>
      </c>
      <c r="BQ154" s="222">
        <f t="shared" si="601"/>
        <v>0</v>
      </c>
      <c r="BR154" s="223">
        <f t="shared" si="602"/>
        <v>44953</v>
      </c>
      <c r="BS154" s="224">
        <f t="shared" si="603"/>
        <v>12.142857142857142</v>
      </c>
      <c r="BT154" s="216" t="str">
        <f t="shared" si="604"/>
        <v>II TRIM</v>
      </c>
      <c r="BU154" s="214">
        <f t="shared" ca="1" si="605"/>
        <v>40.285714285714285</v>
      </c>
      <c r="BV154" s="25"/>
      <c r="BW154" s="22">
        <v>45051</v>
      </c>
      <c r="BX154" s="28">
        <v>14</v>
      </c>
      <c r="BY154" s="28"/>
      <c r="BZ154" s="22"/>
      <c r="CA154" s="21"/>
      <c r="CB154" s="26"/>
      <c r="CC154" s="26"/>
      <c r="CD154" s="26"/>
      <c r="CE154" s="26" t="s">
        <v>864</v>
      </c>
      <c r="CF154" s="22" t="s">
        <v>1517</v>
      </c>
      <c r="CG154" s="21">
        <v>1.56</v>
      </c>
      <c r="CH154" s="21">
        <v>53</v>
      </c>
      <c r="CI154" s="214">
        <f t="shared" si="606"/>
        <v>21.7784352399737</v>
      </c>
      <c r="CJ154" s="225" t="e">
        <f>IF(AND(CI154&lt;10,CH154="SD"),"SIN DATO PESO PREGESTACION O I TRIM",IF(AND(OR(R154&gt;0,O154&gt;0),CI154="X"),"INGRESAR DATO DE PESO",IF(CI154="SD","INGRESAR DATO DE TALLA Y PESO",IF(AND(OR(Tabla1[[#This Row],[MOMENTO EN QUE SE REALIZA EL PESO AL INGRESO A CPN]]="PREGESTACIÓN",NZ154="Menor"),CI154&lt;18.5),"BAJO PESO",IF(AND(OR(Tabla1[[#This Row],[MOMENTO EN QUE SE REALIZA EL PESO AL INGRESO A CPN]]="PREGESTACIÓN",NZ154="Menor"),CI154&lt;25),"NORMAL",IF(AND(OR(Tabla1[[#This Row],[MOMENTO EN QUE SE REALIZA EL PESO AL INGRESO A CPN]]="PREGESTACIÓN",NZ154="Menor"),CI154&lt;30),"SOBREPESO",IF(AND(OR(Tabla1[[#This Row],[MOMENTO EN QUE SE REALIZA EL PESO AL INGRESO A CPN]]="PREGESTACIÓN",NZ154="Menor"),CI154&gt;=30,CI154&lt;50),"OBESIDAD",IF(AND(BS154&gt;0,Tabla1[[#This Row],[MOMENTO EN QUE SE REALIZA EL PESO AL INGRESO A CPN]]="GESTACIÓN"),HLOOKUP(NZ154,$OA$2:PH154,NY154),""))))))))</f>
        <v>#REF!</v>
      </c>
      <c r="CK154" s="212">
        <f t="shared" si="607"/>
        <v>45136</v>
      </c>
      <c r="CL154" s="21">
        <v>58.9</v>
      </c>
      <c r="CM154" s="214">
        <f t="shared" si="608"/>
        <v>24.202827087442468</v>
      </c>
      <c r="CN154" s="216">
        <f t="shared" si="609"/>
        <v>26</v>
      </c>
      <c r="CO154" s="216" t="e">
        <f>IF(PI154="","",IF(PI154&gt;0,HLOOKUP(PI154,$PJ$2:QQ154,NY154),""))</f>
        <v>#REF!</v>
      </c>
      <c r="CP154" s="21">
        <v>23</v>
      </c>
      <c r="CQ154" s="216" t="e">
        <f>IF(QR154="Menor","NO APLICA-MENOR 13 SEM",IF(AND(CC154="SI",CN154&gt;23),"NO APLICA- GEMELAR",IF(QR154="","",IF(QR154&gt;0,HLOOKUP(QR154,$QS$2:RU154,NY154),""))))</f>
        <v>#REF!</v>
      </c>
      <c r="CR154" s="21">
        <v>90</v>
      </c>
      <c r="CS154" s="21">
        <v>60</v>
      </c>
      <c r="CT154" s="217" t="str">
        <f>IF(R154="","",IF(AND(BS154&gt;1,BS154&lt;12,Tabla1[[#This Row],[T.A. SISTOLICA - ANTES DE SEMANA 12]]="",Tabla1[[#This Row],[T.A. DIASTOLICA - ANTES DE SEMANA 12]]=""),"REGISTRE DATO TA ANTES SEMANA 12",IF(AND(BS154&gt;11,BS154&lt;43,Tabla1[[#This Row],[T.A. SISTOLICA - ANTES DE SEMANA 12]]="",Tabla1[[#This Row],[T.A. DIASTOLICA - ANTES DE SEMANA 12]]=""),"NO APLICA REGISTRO TA-INGRESO TARDIO",IF(AND(OR(O154&gt;0,R154&gt;0),OR(CR154&gt;=140,CS154&gt;=90)),"DEFINIR ESTADIO HTA",IF(AND(OR(O154&gt;0,R154&gt;0),AND(CR154&gt;120,CR154&lt;=139)),"PRE HTA SEGUIMIENTO",IF(AND(OR(O154&gt;0,R154&gt;0),AND(CS154&gt;80,CS154&lt;=89)),"PRE HTA SEGUIMIENTO",IF(AND(OR(O154&gt;0,R154&gt;0),AND(CR154&gt;=80,CR154&lt;=120)),"APARENTEMENTE NORMAL",IF(AND(OR(O154&gt;0,R154&gt;0),AND(CS154&gt;=50,CS154&lt;=80)),"APARENTEMENTE NORMAL",IF(AND(OR(O154&gt;0,R154&gt;0),AND(CR154&gt;1,CR154&lt;=70),AND(CS154&gt;1,CS154&lt;=40)),"HIPOTENSIÓN","")))))))))</f>
        <v>APARENTEMENTE NORMAL</v>
      </c>
      <c r="CU154" s="21">
        <v>90</v>
      </c>
      <c r="CV154" s="21">
        <v>60</v>
      </c>
      <c r="CW154" s="217" t="str">
        <f ca="1">IF(R154="","",IF(AND(CN154&gt;19,CN154&lt;27,Tabla1[[#This Row],[T.A. SISTOLICA (Entre semana 20 y 26)]]="",Tabla1[[#This Row],[T.A. DIATOLICA (Entre semana 20 y 26)]]=""),"ACUDE A CONTROL SEM 20 A 26 REGISTRE TA AHORA",IF(AND(BS154&gt;1,BS154&lt;27,BU154&gt;19,Tabla1[[#This Row],[T.A. SISTOLICA (Entre semana 20 y 26)]]="",Tabla1[[#This Row],[T.A. DIATOLICA (Entre semana 20 y 26)]]=""),"COMPLETE REGISTRO TA CONTROL SEM 20 A26 ",IF(AND(BS154&gt;26,BS154&lt;43,Tabla1[[#This Row],[T.A. SISTOLICA (Entre semana 20 y 26)]]="",Tabla1[[#This Row],[T.A. DIATOLICA (Entre semana 20 y 26)]]=""),"NO APLICA REGISTRO TA-INGRESO TARDIO",IF(AND(OR(O154&gt;0,R154&gt;0),OR(CU154&gt;=140,CV154&gt;=90)),"ALTO RIESGO PREECLAMPSIA,DEFINIR ESTADIO HTA",IF(AND(OR(O154&gt;0,R154&gt;0),AND(CU154&gt;120,CU154&lt;=139)),"PRE HTA SEGUIMIENTO,RIESGO HIPERTENSION INDUCIDA POR EL EMBARAZO",IF(AND(OR(O154&gt;0,R154&gt;0),AND(CV154&gt;80,CV154&lt;=89)),"PRE HTA SEGUIMIENTO, RIESGO HIPERTENSION INDUCIDA POR EL EMBARAZO",IF(AND(OR(O154&lt;&gt;"",R154&lt;&gt;""),CS154&lt;&gt;"",CV154&lt;&gt;"",CS154&lt;=CV154),"VIGILAR CIFRAS PRESION ARTERIAL",IF(AND(OR(O154&gt;0,R154&gt;0),AND(CU154&gt;120,CU154&lt;=139)),"PRE HTA SEGUIMIENTO",IF(AND(OR(O154&gt;0,R154&gt;0),AND(CU154&gt;1,CU154&lt;=70),AND(CV154&gt;1,CV154&lt;=40)),"HIPOTENSIÓN",IF(AND(OR(O154&lt;&gt;"",R154&lt;&gt;""),CS154&lt;&gt;"",CV154&lt;&gt;"",CS154&gt;CV154),"APARENTEMENTE NORMAL",IF(AND(OR(O154&gt;0,R154&gt;0),AND(CU154&gt;=80,CU154&lt;=120)),"APARENTEMENTE NORMAL",IF(AND(OR(O154&gt;0,R154&gt;0),AND(CV154&gt;=50,CV154&lt;=80)),"APARENTEMENTE NORMAL","")))))))))))))</f>
        <v>VIGILAR CIFRAS PRESION ARTERIAL</v>
      </c>
      <c r="CX154" s="21"/>
      <c r="CY154" s="21"/>
      <c r="CZ154" s="216" t="str">
        <f t="shared" si="688"/>
        <v/>
      </c>
      <c r="DA154" s="21">
        <v>90</v>
      </c>
      <c r="DB154" s="21">
        <v>60</v>
      </c>
      <c r="DC154" s="217" t="str">
        <f t="shared" si="610"/>
        <v>APARENTEMENTE NORMAL</v>
      </c>
      <c r="DD154" s="22">
        <v>44999</v>
      </c>
      <c r="DE154" s="22">
        <v>44999</v>
      </c>
      <c r="DF154" s="22">
        <v>45031</v>
      </c>
      <c r="DG154" s="22">
        <v>45063</v>
      </c>
      <c r="DH154" s="22">
        <v>45101</v>
      </c>
      <c r="DI154" s="22">
        <v>45136</v>
      </c>
      <c r="DJ154" s="22"/>
      <c r="DK154" s="22"/>
      <c r="DL154" s="22"/>
      <c r="DM154" s="22"/>
      <c r="DN154" s="22"/>
      <c r="DO154" s="22"/>
      <c r="DP154" s="22"/>
      <c r="DQ154" s="22"/>
      <c r="DR154" s="28">
        <v>0</v>
      </c>
      <c r="DS154" s="22"/>
      <c r="DT154" s="22"/>
      <c r="DU154" s="216" t="str">
        <f t="shared" ca="1" si="674"/>
        <v>CONCERTAR PLAN DE PARTO INMEDIATO</v>
      </c>
      <c r="DV154" s="226" t="str">
        <f t="shared" si="675"/>
        <v>ACTIVA INGRESO A CPN</v>
      </c>
      <c r="DW15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4" s="216" t="e">
        <f t="shared" ca="1" si="611"/>
        <v>#REF!</v>
      </c>
      <c r="DY154" s="212">
        <f>IF(R154="","",IF(R154&gt;0,MAX(Tabla1[[#This Row],[FECHA C2]:[FECHA C13]],Tabla1[[#This Row],[FECHA CONSULTA PRIMERA VEZ PROGRAMA CPN ]])))</f>
        <v>45136</v>
      </c>
      <c r="DZ154" s="216">
        <f t="shared" si="612"/>
        <v>26</v>
      </c>
      <c r="EA154" s="222">
        <f>IF(R154&gt;0,SUM(COUNTA(DF154:DQ154)+COUNTA(Tabla1[[#This Row],[FECHA CONSULTA PRIMERA VEZ PROGRAMA CPN ]])),"")</f>
        <v>5</v>
      </c>
      <c r="EB154" s="222" t="str">
        <f t="shared" si="613"/>
        <v>SI</v>
      </c>
      <c r="EC154" s="214">
        <f t="shared" si="614"/>
        <v>8</v>
      </c>
      <c r="ED154" s="227">
        <f t="shared" si="615"/>
        <v>0.625</v>
      </c>
      <c r="EE154" s="22">
        <v>44999</v>
      </c>
      <c r="EF154" s="22">
        <v>44999</v>
      </c>
      <c r="EG154" s="22">
        <v>44999</v>
      </c>
      <c r="EH154" s="22"/>
      <c r="EI154" s="22">
        <v>44999</v>
      </c>
      <c r="EJ154" s="22"/>
      <c r="EK154" s="22"/>
      <c r="EL154" s="21"/>
      <c r="EM154" s="21">
        <v>15.5</v>
      </c>
      <c r="EN154" s="22">
        <v>45031</v>
      </c>
      <c r="EO154" s="222">
        <f t="shared" si="616"/>
        <v>11.428571428571429</v>
      </c>
      <c r="EP154" s="214" t="str">
        <f t="shared" si="617"/>
        <v>NO DAR SULFATO FERROSO</v>
      </c>
      <c r="EQ154" s="216" t="str">
        <f t="shared" si="618"/>
        <v>I TRIM</v>
      </c>
      <c r="ER154" s="24">
        <v>13.8</v>
      </c>
      <c r="ES154" s="22">
        <v>45119</v>
      </c>
      <c r="ET154" s="29">
        <f t="shared" ca="1" si="676"/>
        <v>24</v>
      </c>
      <c r="EU154" s="25" t="str">
        <f t="shared" si="619"/>
        <v>NORMAL- SUMINISTRAR SULFATO FERROSO</v>
      </c>
      <c r="EV154" s="24" t="s">
        <v>1510</v>
      </c>
      <c r="EW154" s="32">
        <v>45031</v>
      </c>
      <c r="EX154" s="22"/>
      <c r="EY154" s="29">
        <f t="shared" si="453"/>
        <v>11.428571428571429</v>
      </c>
      <c r="EZ154" s="25" t="str">
        <f t="shared" si="454"/>
        <v>SIN RIESGO DE ISOINMUNIZACIÓN</v>
      </c>
      <c r="FA154" s="21">
        <v>74</v>
      </c>
      <c r="FB154" s="22">
        <v>45031</v>
      </c>
      <c r="FC154" s="29">
        <f t="shared" si="620"/>
        <v>11.428571428571429</v>
      </c>
      <c r="FD154" s="29">
        <v>70</v>
      </c>
      <c r="FE154" s="29">
        <v>100</v>
      </c>
      <c r="FF154" s="29">
        <v>109</v>
      </c>
      <c r="FG154" s="21" t="str">
        <f t="shared" ca="1" si="621"/>
        <v>NORMAL</v>
      </c>
      <c r="FH154" s="31">
        <v>45119</v>
      </c>
      <c r="FI154" s="29">
        <f t="shared" si="622"/>
        <v>24</v>
      </c>
      <c r="FJ154" s="22" t="s">
        <v>867</v>
      </c>
      <c r="FK154" s="22">
        <v>45031</v>
      </c>
      <c r="FL154" s="29">
        <f t="shared" ca="1" si="623"/>
        <v>11.428571428571429</v>
      </c>
      <c r="FM154" s="22" t="s">
        <v>867</v>
      </c>
      <c r="FN154" s="31">
        <v>45119</v>
      </c>
      <c r="FO154" s="29">
        <f t="shared" ca="1" si="677"/>
        <v>24</v>
      </c>
      <c r="FP154" s="22"/>
      <c r="FQ154" s="32"/>
      <c r="FR154" s="29" t="str">
        <f t="shared" ca="1" si="678"/>
        <v>TOMA INMEDIATA DE TAMIZAJE</v>
      </c>
      <c r="FS154" s="22"/>
      <c r="FT154" s="32"/>
      <c r="FU154" s="29" t="str">
        <f>IF(AND(FJ154="",FM154="",FP154="",FS154=""),"",IF(OR(OR(Tabla1[[#This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4" s="28"/>
      <c r="FW154" s="22"/>
      <c r="FX154" s="29" t="str">
        <f t="shared" si="624"/>
        <v>TOMAR EXAMEN</v>
      </c>
      <c r="FY154" s="22" t="s">
        <v>868</v>
      </c>
      <c r="FZ154" s="22">
        <v>44999</v>
      </c>
      <c r="GA154" s="29">
        <f t="shared" ca="1" si="497"/>
        <v>6.8571428571428568</v>
      </c>
      <c r="GB154" s="22" t="s">
        <v>868</v>
      </c>
      <c r="GC154" s="31">
        <v>45119</v>
      </c>
      <c r="GD154" s="29">
        <f t="shared" ca="1" si="679"/>
        <v>24</v>
      </c>
      <c r="GE154" s="22"/>
      <c r="GF154" s="22"/>
      <c r="GG154" s="29" t="str">
        <f t="shared" ca="1" si="680"/>
        <v>TOMA INMEDIATA DE TAMIZAJE</v>
      </c>
      <c r="GH154" s="22"/>
      <c r="GI154" s="29"/>
      <c r="GJ154" s="22"/>
      <c r="GK154" s="22"/>
      <c r="GL154" s="22"/>
      <c r="GM154" s="22"/>
      <c r="GN154" s="28" t="s">
        <v>869</v>
      </c>
      <c r="GO154" s="22">
        <v>45031</v>
      </c>
      <c r="GP154" s="29">
        <f t="shared" si="625"/>
        <v>11.428571428571429</v>
      </c>
      <c r="GQ154" s="28" t="s">
        <v>869</v>
      </c>
      <c r="GR154" s="28" t="s">
        <v>869</v>
      </c>
      <c r="GS154" s="22" t="str">
        <f t="shared" si="626"/>
        <v>CONTROL Igm</v>
      </c>
      <c r="GT154" s="22">
        <v>45031</v>
      </c>
      <c r="GU154" s="29">
        <f t="shared" si="627"/>
        <v>11.428571428571429</v>
      </c>
      <c r="GV154" s="21" t="str">
        <f t="shared" si="628"/>
        <v>I TRIM</v>
      </c>
      <c r="GW154" s="28" t="s">
        <v>869</v>
      </c>
      <c r="GX154" s="30"/>
      <c r="GY154" s="21"/>
      <c r="GZ154" s="21"/>
      <c r="HA154" s="21"/>
      <c r="HB154" s="21"/>
      <c r="HC154" s="21"/>
      <c r="HD154" s="21"/>
      <c r="HE154" s="21"/>
      <c r="HF154" s="22"/>
      <c r="HG154" s="22" t="str">
        <f>IF(OR(O154&gt;0,R154&gt;0),CONCATENATE(IF(Tabla1[[#This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4" s="22" t="e">
        <f t="shared" si="629"/>
        <v>#REF!</v>
      </c>
      <c r="HI154" s="22" t="e">
        <f t="shared" ca="1" si="630"/>
        <v>#REF!</v>
      </c>
      <c r="HJ154" s="21"/>
      <c r="HK154" s="21" t="str">
        <f t="shared" si="631"/>
        <v>SIN ANTECEDENTES DE RIESGO</v>
      </c>
      <c r="HL154" s="24" t="str">
        <f t="shared" si="632"/>
        <v>APARENTEMENTE NORMAL</v>
      </c>
      <c r="HM154" s="21" t="e">
        <f t="shared" ca="1" si="633"/>
        <v>#REF!</v>
      </c>
      <c r="HN154" s="30" t="str">
        <f t="shared" si="681"/>
        <v>ACTIVA INGRESO A CPN</v>
      </c>
      <c r="HO154" s="21"/>
      <c r="HP154" s="21"/>
      <c r="HQ154" s="349"/>
      <c r="HR154" s="21" t="str">
        <f>IF(R154="","",IF(Tabla1[[#This Row],[ALARMA FACTORES DE RIESGO COMPLICACIONES HIPERTENSIVAS3]]="SIN ANTECEDENTES DE RIESGO","No Aplica para suministro de ASA",IF(AND(Tabla1[[#This Row],[FECHA INICIO DE SUMINISTRO DE ASA]]&gt;0,RV154&lt;12),"Inicia ASA ANTES de Sem 12",IF(AND(RV154&gt;11,RV154&lt;17,OR(HK154="RIESGO ALTO DE COMPLICACIONES HIPERTENSIVAS VER MANEJO GUIA SUMINISTRO ASA Y CALCIO",HK154="RIESGO MODERADO (2 O MAS CRITERIOS) VER MANEJO GUIA SUMINISTRO ASA Y CALCIO")),"Inicio oportuno de ASA",IF(AND(RV154&gt;12,OR(HK154="RIESGO ALTO DE COMPLICACIONES HIPERTENSIVAS VER MANEJO GUIA SUMINISTRO ASA Y CALCIO",HK154="RIESGO MODERADO (2 O MAS CRITERIOS) VER MANEJO GUIA SUMINISTRO ASA Y CALCIO")),"Inicio no oportuno mayor a 16 semanas",IF(AND(BU154&lt;12,OR(HK154="RIESGO ALTO DE COMPLICACIONES HIPERTENSIVAS VER MANEJO GUIA SUMINISTRO ASA Y CALCIO",HK154="RIESGO MODERADO (2 O MAS CRITERIOS) VER MANEJO GUIA SUMINISTRO ASA Y CALCIO")),"Pendiente Inicio de ASA a la semana 12",IF(AND(BU154&gt;11,BU154&lt;17,OR(HK154="RIESGO ALTO DE COMPLICACIONES HIPERTENSIVAS VER MANEJO GUIA SUMINISTRO ASA Y CALCIO",HK154="RIESGO MODERADO (2 O MAS CRITERIOS) VER MANEJO GUIA SUMINISTRO ASA Y CALCIO")),"Iniciar de inmediato ASA",IF(AND(BU154&gt;16,OR(HK154="RIESGO ALTO DE COMPLICACIONES HIPERTENSIVAS VER MANEJO GUIA SUMINISTRO ASA Y CALCIO",HK154="RIESGO MODERADO (2 O MAS CRITERIOS) VER MANEJO GUIA SUMINISTRO ASA Y CALCIO")),"Pierde Oportunidad, Inicio tardío de ASA","XXXXX"))))))))</f>
        <v>No Aplica para suministro de ASA</v>
      </c>
      <c r="HS154" s="22"/>
      <c r="HT154" s="22"/>
      <c r="HU154" s="22">
        <v>44999</v>
      </c>
      <c r="HV154" s="22" t="s">
        <v>870</v>
      </c>
      <c r="HW154" s="22">
        <v>44999</v>
      </c>
      <c r="HX154" s="22" t="s">
        <v>870</v>
      </c>
      <c r="HY154" s="22">
        <v>45001</v>
      </c>
      <c r="HZ154" s="28">
        <f t="shared" si="634"/>
        <v>7.1428571428571432</v>
      </c>
      <c r="IA154" s="26"/>
      <c r="IB154" s="26"/>
      <c r="IC154" s="111"/>
      <c r="ID154" s="22"/>
      <c r="IE154" s="22" t="str">
        <f t="shared" ca="1" si="635"/>
        <v>INASISTENTE</v>
      </c>
      <c r="IF154" s="22"/>
      <c r="IG154" s="22">
        <f t="shared" si="636"/>
        <v>45231</v>
      </c>
      <c r="IH154" s="29">
        <f t="shared" ca="1" si="637"/>
        <v>-2</v>
      </c>
      <c r="II154" s="22" t="str">
        <f t="shared" ca="1" si="638"/>
        <v>POSIBLEMENTE NACIO</v>
      </c>
      <c r="IJ154" s="22"/>
      <c r="IK154" s="21"/>
      <c r="IL154" s="21"/>
      <c r="IM154" s="34"/>
      <c r="IN154" s="22"/>
      <c r="IO154" s="21"/>
      <c r="IP154" s="29" t="str">
        <f t="shared" si="672"/>
        <v/>
      </c>
      <c r="IQ154" s="35"/>
      <c r="IR154" s="21"/>
      <c r="IS154" s="21"/>
      <c r="IT154" s="21"/>
      <c r="IU154" s="21"/>
      <c r="IV154" s="21"/>
      <c r="IW154" s="21"/>
      <c r="IX154" s="21"/>
      <c r="IY154" s="21"/>
      <c r="IZ154" s="21"/>
      <c r="JA154" s="21"/>
      <c r="JB154" s="30"/>
      <c r="JC154" s="21"/>
      <c r="JD154" s="36"/>
      <c r="JE154" s="21" t="str">
        <f t="shared" si="682"/>
        <v/>
      </c>
      <c r="JF154" s="30"/>
      <c r="JG154" s="21"/>
      <c r="JH154" s="21"/>
      <c r="JI154" s="21"/>
      <c r="JJ154" s="30"/>
      <c r="JK154" s="22"/>
      <c r="JL154" s="22"/>
      <c r="JM154" s="21"/>
      <c r="JN154" s="36"/>
      <c r="JO154" s="21" t="str">
        <f t="shared" si="683"/>
        <v/>
      </c>
      <c r="JP154" s="22"/>
      <c r="JQ154" s="21"/>
      <c r="JR154" s="21"/>
      <c r="JS154" s="21"/>
      <c r="JT154" s="30"/>
      <c r="JU154" s="22"/>
      <c r="JV154" s="22"/>
      <c r="JW154" s="33"/>
      <c r="JX154" s="28" t="str">
        <f t="shared" si="684"/>
        <v/>
      </c>
      <c r="JY154" s="33"/>
      <c r="JZ154" s="28" t="str">
        <f t="shared" si="685"/>
        <v/>
      </c>
      <c r="KA154" s="21"/>
      <c r="KB154" s="21"/>
      <c r="KC154" s="21"/>
      <c r="KD154" s="37"/>
      <c r="KE154" s="28"/>
      <c r="KF154" s="28"/>
      <c r="KG154" s="28"/>
      <c r="KH154" s="39"/>
      <c r="KI154" s="39"/>
      <c r="KJ154" s="66"/>
      <c r="KK154" s="39"/>
      <c r="KL154" s="39"/>
      <c r="KM154" s="66"/>
      <c r="KN154" s="39"/>
      <c r="KO154" s="39"/>
      <c r="KP154" s="39"/>
      <c r="KQ154" s="39"/>
      <c r="KR154" s="39"/>
      <c r="KS154" s="39"/>
      <c r="KT154" s="39"/>
      <c r="KU154" s="38"/>
      <c r="KV154" s="38"/>
      <c r="KW154" s="38"/>
      <c r="KX154" s="38"/>
      <c r="KY154" s="38"/>
      <c r="KZ154" s="38"/>
      <c r="LA154" s="38"/>
      <c r="LB154" s="38"/>
      <c r="LC154" s="38"/>
      <c r="LD154" s="38"/>
      <c r="LE154" s="38"/>
      <c r="LF154" s="38"/>
      <c r="LG154" s="38"/>
      <c r="LH154" s="38"/>
      <c r="LI154" s="38"/>
      <c r="LJ154" s="38"/>
      <c r="LK154" s="38"/>
      <c r="LL154" s="38"/>
      <c r="LM154" s="38"/>
      <c r="LN154" s="38"/>
      <c r="LO154" s="38"/>
      <c r="LP154" s="38"/>
      <c r="LQ154" s="38"/>
      <c r="LR154" s="38"/>
      <c r="LS154" s="38"/>
      <c r="LT154" s="38"/>
      <c r="LU154" s="38"/>
      <c r="LV154" s="38"/>
      <c r="LW154" s="38"/>
      <c r="LX154" s="38"/>
      <c r="LY154" s="38"/>
      <c r="LZ154" s="38"/>
      <c r="MA154" s="38"/>
      <c r="MB154" s="38"/>
      <c r="MC154" s="38"/>
      <c r="MD154" s="38"/>
      <c r="ME154" s="38"/>
      <c r="MF154" s="38"/>
      <c r="MG154" s="38"/>
      <c r="MH154" s="43">
        <f t="shared" si="639"/>
        <v>0</v>
      </c>
      <c r="MI154" s="43" t="str">
        <f t="shared" si="640"/>
        <v/>
      </c>
      <c r="MJ154" s="43" t="str">
        <f t="shared" si="641"/>
        <v/>
      </c>
      <c r="MK154" s="43">
        <f t="shared" si="642"/>
        <v>0</v>
      </c>
      <c r="ML15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4" s="43">
        <f t="shared" si="643"/>
        <v>12.142857142857142</v>
      </c>
      <c r="MN154" s="43">
        <f t="shared" si="644"/>
        <v>4</v>
      </c>
      <c r="MO154" s="43">
        <f t="shared" si="645"/>
        <v>2023</v>
      </c>
      <c r="MP154" s="43" t="str">
        <f t="shared" si="646"/>
        <v>II TRIMESTRE AÑO</v>
      </c>
      <c r="MQ154" s="43">
        <f t="shared" si="647"/>
        <v>18.82939115199299</v>
      </c>
      <c r="MR154" s="43">
        <f t="shared" si="648"/>
        <v>0</v>
      </c>
      <c r="MS154" s="43" t="str">
        <f t="shared" si="649"/>
        <v>DE 14 A 19AÑOS</v>
      </c>
      <c r="MT154" s="43">
        <f t="shared" si="650"/>
        <v>0</v>
      </c>
      <c r="MU154" s="43">
        <f t="shared" si="651"/>
        <v>0</v>
      </c>
      <c r="MV154" s="43">
        <f t="shared" si="652"/>
        <v>0</v>
      </c>
      <c r="MW154" s="43">
        <f t="shared" si="653"/>
        <v>0</v>
      </c>
      <c r="MX154" s="43" t="str">
        <f t="shared" si="654"/>
        <v/>
      </c>
      <c r="MY154" s="43" t="str">
        <f t="shared" ca="1" si="686"/>
        <v/>
      </c>
      <c r="MZ154" s="43" t="str">
        <f t="shared" si="655"/>
        <v/>
      </c>
      <c r="NA154" s="43" t="str">
        <f t="shared" si="656"/>
        <v/>
      </c>
      <c r="NB154" s="43" t="str">
        <f t="shared" si="657"/>
        <v/>
      </c>
      <c r="NC154" s="43" t="str">
        <f t="shared" si="658"/>
        <v/>
      </c>
      <c r="ND154" s="43">
        <f t="shared" ca="1" si="659"/>
        <v>0</v>
      </c>
      <c r="NE154" s="43">
        <f>IF(OR(O154&gt;0,R154&gt;0),SUM(COUNTIF(Tabla1[[#This Row],[AÑOS AL INICIO5 CPN]],"&gt;=40"),COUNTIF(AS154,"0"),COUNTIF(AR154,"SI"),COUNTIF(CC154,"SI"),COUNTIF(BQ154,"&gt;119"),COUNTIF(CI154,"&gt;=35")),"")</f>
        <v>0</v>
      </c>
      <c r="NF154" s="43" t="str">
        <f t="shared" si="660"/>
        <v/>
      </c>
      <c r="NG154" s="43">
        <f t="shared" si="661"/>
        <v>0</v>
      </c>
      <c r="NH154" s="43">
        <f t="shared" si="662"/>
        <v>98</v>
      </c>
      <c r="NI15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CPN",P154="NO"),"Z",IF(AND(Tabla1[[#This Row],[CITA PROXIMO CONTROL]]="CITA MANUAL",Tabla1[[#This Row],[GESTANTES ACTUALES]]="ACTIVA INGRESO A CPN"),"W",IF(AND(Tabla1[[#This Row],[GESTANTES ACTUALES]]="SALIO PROGRAMA",IN154=""),"S",IF(AND(Tabla1[[#This Row],[CITA PROXIMO CONTROL]]&gt;0,IN154=""),(Tabla1[[#This Row],[CITA PROXIMO CONTROL]]-TODAY()),"SD"))))))))</f>
        <v>#REF!</v>
      </c>
      <c r="NJ154" s="43">
        <f>MONTH(Tabla1[[#This Row],[FECHA DE SALIDA  DEL PROGRAMA]])</f>
        <v>1</v>
      </c>
      <c r="NK154" s="43">
        <f>YEAR(Tabla1[[#This Row],[FECHA DE SALIDA  DEL PROGRAMA]])</f>
        <v>1900</v>
      </c>
      <c r="NL154" s="43" t="str">
        <f t="shared" si="663"/>
        <v>X</v>
      </c>
      <c r="NM154" s="43" t="str">
        <f t="shared" si="500"/>
        <v>NO</v>
      </c>
      <c r="NN154" s="43" t="str">
        <f ca="1">IF(AND(O154&gt;0,R154=""),"NO CPN",IF(AND(O154="",R154=""),"",IF(AND(R154&gt;0,Tabla1[[#This Row],[SEMANAS DE GESTACION ACTUALIZADAS]]&lt;=12),"NO APLICA",IF(AND(FH154&lt;&gt;"",FN154&lt;&gt;""),"SI","NO"))))</f>
        <v>SI</v>
      </c>
      <c r="NO154" s="43" t="str">
        <f ca="1">IF(AND(O154&gt;0,R154=""),"NO CPN",IF(AND(O154="",R154=""),"",IF(AND(R154&gt;0,Tabla1[[#This Row],[SEMANAS DE GESTACION ACTUALIZADAS]]&lt;=27),"NO APLICA",IF(AND(ES154&lt;&gt;"",FQ154&lt;&gt;"",GF154&lt;&gt;""),"SI","NO"))))</f>
        <v>NO</v>
      </c>
      <c r="NP154" s="204" t="str">
        <f t="shared" si="664"/>
        <v>II TRIM</v>
      </c>
      <c r="NQ154" s="21">
        <f t="shared" si="689"/>
        <v>3</v>
      </c>
      <c r="NR154" s="21">
        <f t="shared" ca="1" si="687"/>
        <v>2</v>
      </c>
      <c r="NS154" s="205">
        <f t="shared" ca="1" si="665"/>
        <v>2</v>
      </c>
      <c r="NT154" s="21">
        <f t="shared" ca="1" si="666"/>
        <v>2</v>
      </c>
      <c r="NU154" s="21" t="str">
        <f t="shared" ca="1" si="667"/>
        <v>COMPLETO</v>
      </c>
      <c r="NV154" s="21" t="str">
        <f t="shared" ca="1" si="668"/>
        <v>COMPLETO</v>
      </c>
      <c r="NW154" s="206" t="str">
        <f>IF(AND(O154="",R154=""),"",IF(OR(AND(Tabla1[[#This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4" s="207" t="str">
        <f t="shared" ca="1" si="669"/>
        <v>SIN VACUNAR</v>
      </c>
      <c r="NY154" s="43">
        <f>ROW(Tabla1[[#This Row],['# DE TAMIZAJES SIFILIS TOMADOS ]])</f>
        <v>154</v>
      </c>
      <c r="NZ154" s="43">
        <f t="shared" si="501"/>
        <v>12</v>
      </c>
      <c r="OA154" s="43" t="str">
        <f t="shared" si="502"/>
        <v/>
      </c>
      <c r="OB154" s="43" t="str">
        <f t="shared" si="503"/>
        <v/>
      </c>
      <c r="OC154" s="43" t="str">
        <f t="shared" si="504"/>
        <v/>
      </c>
      <c r="OD154" s="43" t="str">
        <f t="shared" si="505"/>
        <v>NORMAL</v>
      </c>
      <c r="OE154" s="43" t="str">
        <f t="shared" si="506"/>
        <v/>
      </c>
      <c r="OF154" s="43" t="str">
        <f t="shared" si="507"/>
        <v/>
      </c>
      <c r="OG154" s="43" t="str">
        <f t="shared" si="508"/>
        <v/>
      </c>
      <c r="OH154" s="43" t="str">
        <f t="shared" si="509"/>
        <v/>
      </c>
      <c r="OI154" s="43" t="str">
        <f t="shared" si="510"/>
        <v/>
      </c>
      <c r="OJ154" s="43" t="str">
        <f t="shared" si="511"/>
        <v/>
      </c>
      <c r="OK154" s="43" t="str">
        <f t="shared" si="512"/>
        <v/>
      </c>
      <c r="OL154" s="43" t="str">
        <f t="shared" si="513"/>
        <v/>
      </c>
      <c r="OM154" s="43" t="str">
        <f t="shared" si="514"/>
        <v/>
      </c>
      <c r="ON154" s="43" t="str">
        <f t="shared" si="515"/>
        <v/>
      </c>
      <c r="OO154" s="43" t="str">
        <f t="shared" si="516"/>
        <v/>
      </c>
      <c r="OP154" s="43" t="str">
        <f t="shared" si="517"/>
        <v/>
      </c>
      <c r="OQ154" s="43" t="str">
        <f t="shared" si="518"/>
        <v/>
      </c>
      <c r="OR154" s="43" t="str">
        <f t="shared" si="519"/>
        <v/>
      </c>
      <c r="OS154" s="43" t="str">
        <f t="shared" si="520"/>
        <v/>
      </c>
      <c r="OT154" s="43" t="str">
        <f t="shared" si="521"/>
        <v/>
      </c>
      <c r="OU154" s="43" t="str">
        <f t="shared" si="522"/>
        <v/>
      </c>
      <c r="OV154" s="110" t="str">
        <f t="shared" si="523"/>
        <v/>
      </c>
      <c r="OW154" s="43" t="str">
        <f t="shared" si="524"/>
        <v/>
      </c>
      <c r="OX154" s="43" t="str">
        <f t="shared" si="525"/>
        <v/>
      </c>
      <c r="OY154" s="43" t="str">
        <f t="shared" si="526"/>
        <v/>
      </c>
      <c r="OZ154" s="43" t="str">
        <f t="shared" si="527"/>
        <v/>
      </c>
      <c r="PA154" s="43" t="str">
        <f t="shared" si="528"/>
        <v/>
      </c>
      <c r="PB154" s="43" t="str">
        <f t="shared" si="529"/>
        <v/>
      </c>
      <c r="PC154" s="43" t="str">
        <f t="shared" si="530"/>
        <v/>
      </c>
      <c r="PD154" s="43" t="str">
        <f t="shared" si="531"/>
        <v/>
      </c>
      <c r="PE154" s="43" t="str">
        <f t="shared" si="532"/>
        <v/>
      </c>
      <c r="PF154" s="43" t="str">
        <f t="shared" si="533"/>
        <v/>
      </c>
      <c r="PG154" s="43" t="str">
        <f t="shared" si="534"/>
        <v/>
      </c>
      <c r="PH154" s="43" t="str">
        <f t="shared" si="535"/>
        <v/>
      </c>
      <c r="PI154" s="43">
        <f t="shared" si="536"/>
        <v>26</v>
      </c>
      <c r="PJ154" s="43" t="str">
        <f t="shared" si="537"/>
        <v/>
      </c>
      <c r="PK154" s="43" t="str">
        <f t="shared" si="538"/>
        <v/>
      </c>
      <c r="PL154" s="43" t="str">
        <f t="shared" si="539"/>
        <v/>
      </c>
      <c r="PM154" s="43" t="str">
        <f t="shared" si="540"/>
        <v/>
      </c>
      <c r="PN154" s="43" t="str">
        <f t="shared" si="541"/>
        <v/>
      </c>
      <c r="PO154" s="43" t="str">
        <f t="shared" si="542"/>
        <v/>
      </c>
      <c r="PP154" s="43" t="str">
        <f t="shared" si="543"/>
        <v/>
      </c>
      <c r="PQ154" s="43" t="str">
        <f t="shared" si="544"/>
        <v/>
      </c>
      <c r="PR154" s="43" t="str">
        <f t="shared" si="545"/>
        <v/>
      </c>
      <c r="PS154" s="43" t="str">
        <f t="shared" si="546"/>
        <v/>
      </c>
      <c r="PT154" s="43" t="str">
        <f t="shared" si="547"/>
        <v/>
      </c>
      <c r="PU154" s="43" t="str">
        <f t="shared" si="548"/>
        <v/>
      </c>
      <c r="PV154" s="43" t="str">
        <f t="shared" si="549"/>
        <v/>
      </c>
      <c r="PW154" s="43" t="str">
        <f t="shared" si="550"/>
        <v/>
      </c>
      <c r="PX154" s="43" t="str">
        <f t="shared" si="551"/>
        <v/>
      </c>
      <c r="PY154" s="43" t="str">
        <f t="shared" si="552"/>
        <v/>
      </c>
      <c r="PZ154" s="43" t="str">
        <f t="shared" si="553"/>
        <v/>
      </c>
      <c r="QA154" s="43" t="str">
        <f t="shared" si="554"/>
        <v>NORMAL</v>
      </c>
      <c r="QB154" s="43" t="str">
        <f t="shared" si="555"/>
        <v/>
      </c>
      <c r="QC154" s="43" t="str">
        <f t="shared" si="556"/>
        <v/>
      </c>
      <c r="QD154" s="43" t="str">
        <f t="shared" si="557"/>
        <v/>
      </c>
      <c r="QE154" s="43" t="str">
        <f t="shared" si="558"/>
        <v/>
      </c>
      <c r="QF154" s="43" t="str">
        <f t="shared" si="559"/>
        <v/>
      </c>
      <c r="QG154" s="43" t="str">
        <f t="shared" si="560"/>
        <v/>
      </c>
      <c r="QH154" s="43" t="str">
        <f t="shared" si="561"/>
        <v/>
      </c>
      <c r="QI154" s="43" t="str">
        <f t="shared" si="562"/>
        <v/>
      </c>
      <c r="QJ154" s="43" t="str">
        <f t="shared" si="563"/>
        <v/>
      </c>
      <c r="QK154" s="43" t="str">
        <f t="shared" si="564"/>
        <v/>
      </c>
      <c r="QL154" s="43" t="str">
        <f t="shared" si="565"/>
        <v/>
      </c>
      <c r="QM154" s="43" t="str">
        <f t="shared" si="566"/>
        <v/>
      </c>
      <c r="QN154" s="43" t="str">
        <f t="shared" si="567"/>
        <v/>
      </c>
      <c r="QO154" s="43" t="str">
        <f t="shared" si="568"/>
        <v/>
      </c>
      <c r="QP154" s="43" t="str">
        <f t="shared" si="569"/>
        <v/>
      </c>
      <c r="QQ154" s="43" t="str">
        <f t="shared" si="570"/>
        <v/>
      </c>
      <c r="QR154" s="43">
        <f t="shared" si="670"/>
        <v>26</v>
      </c>
      <c r="QS154" s="43"/>
      <c r="QT154" s="21" t="str">
        <f t="shared" si="571"/>
        <v/>
      </c>
      <c r="QU154" s="21" t="str">
        <f t="shared" si="572"/>
        <v/>
      </c>
      <c r="QV154" s="21" t="str">
        <f t="shared" si="573"/>
        <v/>
      </c>
      <c r="QW154" s="21" t="str">
        <f t="shared" si="574"/>
        <v/>
      </c>
      <c r="QX154" s="21" t="str">
        <f t="shared" si="575"/>
        <v/>
      </c>
      <c r="QY154" s="21" t="str">
        <f t="shared" si="576"/>
        <v/>
      </c>
      <c r="QZ154" s="21" t="str">
        <f t="shared" si="577"/>
        <v/>
      </c>
      <c r="RA154" s="21" t="str">
        <f t="shared" si="578"/>
        <v/>
      </c>
      <c r="RB154" s="21" t="str">
        <f t="shared" si="579"/>
        <v/>
      </c>
      <c r="RC154" s="21" t="str">
        <f t="shared" si="580"/>
        <v/>
      </c>
      <c r="RD154" s="21" t="str">
        <f t="shared" si="581"/>
        <v/>
      </c>
      <c r="RE154" s="21" t="str">
        <f t="shared" si="582"/>
        <v/>
      </c>
      <c r="RF154" s="21" t="str">
        <f t="shared" si="583"/>
        <v/>
      </c>
      <c r="RG154" s="21" t="str">
        <f t="shared" si="584"/>
        <v>ADECUADO PARA EDAD GESTACIONAL</v>
      </c>
      <c r="RH154" s="21" t="str">
        <f t="shared" si="585"/>
        <v/>
      </c>
      <c r="RI154" s="21" t="str">
        <f t="shared" si="586"/>
        <v/>
      </c>
      <c r="RJ154" s="21" t="str">
        <f t="shared" si="587"/>
        <v/>
      </c>
      <c r="RK154" s="21" t="str">
        <f t="shared" si="588"/>
        <v/>
      </c>
      <c r="RL154" s="21" t="str">
        <f t="shared" si="589"/>
        <v/>
      </c>
      <c r="RM154" s="21" t="str">
        <f t="shared" si="590"/>
        <v/>
      </c>
      <c r="RN154" s="21" t="str">
        <f t="shared" si="591"/>
        <v/>
      </c>
      <c r="RO154" s="21" t="str">
        <f t="shared" si="592"/>
        <v/>
      </c>
      <c r="RP154" s="21" t="str">
        <f t="shared" si="593"/>
        <v/>
      </c>
      <c r="RQ154" s="21" t="str">
        <f t="shared" si="594"/>
        <v/>
      </c>
      <c r="RR154" s="21" t="str">
        <f t="shared" si="595"/>
        <v/>
      </c>
      <c r="RS154" s="21" t="str">
        <f t="shared" si="596"/>
        <v/>
      </c>
      <c r="RT154" s="21" t="str">
        <f t="shared" si="597"/>
        <v/>
      </c>
      <c r="RU154" s="21" t="str">
        <f t="shared" si="598"/>
        <v/>
      </c>
      <c r="RV154" s="21">
        <f t="shared" si="599"/>
        <v>-1</v>
      </c>
      <c r="RW154" s="284">
        <f>IF(OR(Tabla1[[#This Row],[FUM FORMULA CONFIABLE]]="",Tabla1[[#This Row],[FUM FORMULA CONFIABLE]]="SD"),"",IF(Tabla1[[#This Row],[FUM FORMULA CONFIABLE]]="CORREGIDA",Tabla1[[#This Row],[FUM X ECO 1]],Tabla1[[#This Row],[FUM x AMENORREA]]))</f>
        <v>44951</v>
      </c>
      <c r="RX154" s="21">
        <f>IF(AND(Tabla1[[#This Row],[FUM X ECO 1]]="",Tabla1[[#This Row],[FUM x AMENORREA]]=""),"",IF(AND(Tabla1[[#This Row],[FUM X ECO 1]]="",Tabla1[[#This Row],[FUM x AMENORREA]]&lt;&gt;""),"X",SUM(Tabla1[[#This Row],[FUM X ECO 1]]-Tabla1[[#This Row],[FUM x AMENORREA]])))</f>
        <v>2</v>
      </c>
      <c r="RY154" s="21">
        <f t="shared" si="671"/>
        <v>0</v>
      </c>
    </row>
    <row r="155" spans="1:493" ht="45" customHeight="1" x14ac:dyDescent="0.25">
      <c r="A155" s="109"/>
      <c r="B155" s="43"/>
      <c r="C155" s="43" t="s">
        <v>845</v>
      </c>
      <c r="D155" s="124"/>
      <c r="E155" s="43" t="s">
        <v>1342</v>
      </c>
      <c r="F155" s="43" t="s">
        <v>1450</v>
      </c>
      <c r="G155" s="43" t="s">
        <v>1167</v>
      </c>
      <c r="H155" s="43"/>
      <c r="I155" s="109" t="s">
        <v>851</v>
      </c>
      <c r="J155" s="110">
        <v>25547109</v>
      </c>
      <c r="K155" s="43" t="s">
        <v>852</v>
      </c>
      <c r="L155" s="175" t="s">
        <v>1509</v>
      </c>
      <c r="M155" s="22">
        <v>30225</v>
      </c>
      <c r="N155" s="213">
        <f t="shared" ca="1" si="600"/>
        <v>41.11780821917808</v>
      </c>
      <c r="O155" s="22">
        <v>45009</v>
      </c>
      <c r="P155" s="214" t="str">
        <f t="shared" si="673"/>
        <v>SI</v>
      </c>
      <c r="Q155" s="26" t="s">
        <v>855</v>
      </c>
      <c r="R155" s="22">
        <v>45009</v>
      </c>
      <c r="S155" s="21" t="s">
        <v>856</v>
      </c>
      <c r="T155" s="24" t="s">
        <v>690</v>
      </c>
      <c r="U155" s="21" t="s">
        <v>857</v>
      </c>
      <c r="V155" s="21" t="s">
        <v>858</v>
      </c>
      <c r="W155" s="21"/>
      <c r="X155" s="21"/>
      <c r="Y155" s="21"/>
      <c r="Z155" s="21">
        <v>3233365459</v>
      </c>
      <c r="AA155" s="21" t="s">
        <v>860</v>
      </c>
      <c r="AB155" s="27" t="s">
        <v>861</v>
      </c>
      <c r="AC155" s="26" t="s">
        <v>862</v>
      </c>
      <c r="AD155" s="38" t="s">
        <v>1546</v>
      </c>
      <c r="AE155" s="26" t="s">
        <v>854</v>
      </c>
      <c r="AF155" s="26" t="s">
        <v>854</v>
      </c>
      <c r="AG155" s="23" t="s">
        <v>864</v>
      </c>
      <c r="AH155" s="23" t="s">
        <v>864</v>
      </c>
      <c r="AI155" s="24" t="s">
        <v>863</v>
      </c>
      <c r="AJ155" s="23" t="s">
        <v>864</v>
      </c>
      <c r="AK155" s="220" t="str">
        <f>IF(AND(AD155="",AE155="",AF155="",AG155="",AH155="",AI155="",AJ155=""),"",IF(OR(Tabla1[[#This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EVALUACIÓN",IF(AND(O155="",R155=""),"",IF(AND(OR(O155&gt;0,R155&gt;0),NG155&gt;=0,NG155&lt;2),"SIN RIESGO",IF(AND(OR(O155&gt;0,R155&gt;0),NG155&gt;=2),"CON RIESGO","ASD")))))</f>
        <v>SIN RIESGO</v>
      </c>
      <c r="AL155" s="23" t="s">
        <v>864</v>
      </c>
      <c r="AM155" s="26" t="s">
        <v>864</v>
      </c>
      <c r="AN155" s="26" t="s">
        <v>864</v>
      </c>
      <c r="AO155" s="26" t="s">
        <v>864</v>
      </c>
      <c r="AP155" s="26" t="s">
        <v>864</v>
      </c>
      <c r="AQ155" s="26" t="s">
        <v>864</v>
      </c>
      <c r="AR155" s="26" t="s">
        <v>864</v>
      </c>
      <c r="AS155" s="21">
        <v>3</v>
      </c>
      <c r="AT155" s="21">
        <v>3</v>
      </c>
      <c r="AU155" s="21">
        <v>0</v>
      </c>
      <c r="AV155" s="26" t="s">
        <v>864</v>
      </c>
      <c r="AW155" s="21">
        <v>0</v>
      </c>
      <c r="AX155" s="26" t="s">
        <v>864</v>
      </c>
      <c r="AY155" s="26" t="s">
        <v>864</v>
      </c>
      <c r="AZ155" s="26" t="s">
        <v>864</v>
      </c>
      <c r="BA155" s="26" t="s">
        <v>864</v>
      </c>
      <c r="BB155" s="26" t="s">
        <v>864</v>
      </c>
      <c r="BC155" s="26" t="s">
        <v>864</v>
      </c>
      <c r="BD155" s="26" t="s">
        <v>864</v>
      </c>
      <c r="BE155" s="26" t="s">
        <v>864</v>
      </c>
      <c r="BF155" s="26" t="s">
        <v>864</v>
      </c>
      <c r="BG155" s="26" t="s">
        <v>864</v>
      </c>
      <c r="BH155" s="26" t="s">
        <v>864</v>
      </c>
      <c r="BI155" s="26" t="s">
        <v>864</v>
      </c>
      <c r="BJ155" s="26" t="s">
        <v>864</v>
      </c>
      <c r="BK155" s="26" t="s">
        <v>864</v>
      </c>
      <c r="BL155" s="26" t="s">
        <v>864</v>
      </c>
      <c r="BM155" s="26" t="s">
        <v>864</v>
      </c>
      <c r="BN155" s="22">
        <v>39027</v>
      </c>
      <c r="BO155" s="22">
        <v>44881</v>
      </c>
      <c r="BP155" s="21" t="s">
        <v>1380</v>
      </c>
      <c r="BQ155" s="222">
        <f t="shared" si="601"/>
        <v>194.24333333333342</v>
      </c>
      <c r="BR155" s="223">
        <f t="shared" si="602"/>
        <v>44854.3</v>
      </c>
      <c r="BS155" s="224">
        <f t="shared" si="603"/>
        <v>22.099999999999586</v>
      </c>
      <c r="BT155" s="216" t="str">
        <f t="shared" si="604"/>
        <v>II TRIM</v>
      </c>
      <c r="BU155" s="214" t="str">
        <f t="shared" ca="1" si="605"/>
        <v/>
      </c>
      <c r="BV155" s="25" t="s">
        <v>988</v>
      </c>
      <c r="BW155" s="22">
        <v>45016</v>
      </c>
      <c r="BX155" s="28">
        <v>23.1</v>
      </c>
      <c r="BY155" s="28" t="s">
        <v>988</v>
      </c>
      <c r="BZ155" s="22">
        <v>45121</v>
      </c>
      <c r="CA155" s="21">
        <v>38.1</v>
      </c>
      <c r="CB155" s="26" t="s">
        <v>864</v>
      </c>
      <c r="CC155" s="26" t="s">
        <v>864</v>
      </c>
      <c r="CD155" s="26" t="s">
        <v>878</v>
      </c>
      <c r="CE155" s="26" t="s">
        <v>864</v>
      </c>
      <c r="CF155" s="22" t="s">
        <v>1517</v>
      </c>
      <c r="CG155" s="21">
        <v>1.45</v>
      </c>
      <c r="CH155" s="21">
        <v>66.2</v>
      </c>
      <c r="CI155" s="214">
        <f t="shared" si="606"/>
        <v>31.486325802615934</v>
      </c>
      <c r="CJ155" s="225" t="e">
        <f>IF(AND(CI155&lt;10,CH155="SD"),"SIN DATO PESO PREGESTACION O I TRIM",IF(AND(OR(R155&gt;0,O155&gt;0),CI155="X"),"INGRESAR DATO DE PESO",IF(CI155="SD","INGRESAR DATO DE TALLA Y PESO",IF(AND(OR(Tabla1[[#This Row],[MOMENTO EN QUE SE REALIZA EL PESO AL INGRESO A CPN]]="PREGESTACIÓN",NZ155="Menor"),CI155&lt;18.5),"BAJO PESO",IF(AND(OR(Tabla1[[#This Row],[MOMENTO EN QUE SE REALIZA EL PESO AL INGRESO A CPN]]="PREGESTACIÓN",NZ155="Menor"),CI155&lt;25),"NORMAL",IF(AND(OR(Tabla1[[#This Row],[MOMENTO EN QUE SE REALIZA EL PESO AL INGRESO A CPN]]="PREGESTACIÓN",NZ155="Menor"),CI155&lt;30),"SOBREPESO",IF(AND(OR(Tabla1[[#This Row],[MOMENTO EN QUE SE REALIZA EL PESO AL INGRESO A CPN]]="PREGESTACIÓN",NZ155="Menor"),CI155&gt;=30,CI155&lt;50),"OBESIDAD",IF(AND(BS155&gt;0,Tabla1[[#This Row],[MOMENTO EN QUE SE REALIZA EL PESO AL INGRESO A CPN]]="GESTACIÓN"),HLOOKUP(NZ155,$OA$2:PH155,NY155),""))))))))</f>
        <v>#REF!</v>
      </c>
      <c r="CK155" s="212">
        <f t="shared" si="607"/>
        <v>45115</v>
      </c>
      <c r="CL155" s="21">
        <v>71</v>
      </c>
      <c r="CM155" s="214">
        <f t="shared" si="608"/>
        <v>33.769322235434004</v>
      </c>
      <c r="CN155" s="216">
        <f t="shared" si="609"/>
        <v>37</v>
      </c>
      <c r="CO155" s="216" t="e">
        <f>IF(PI155="","",IF(PI155&gt;0,HLOOKUP(PI155,$PJ$2:QQ155,NY155),""))</f>
        <v>#REF!</v>
      </c>
      <c r="CP155" s="21">
        <v>36</v>
      </c>
      <c r="CQ155" s="216" t="e">
        <f>IF(QR155="Menor","NO APLICA-MENOR 13 SEM",IF(AND(CC155="SI",CN155&gt;23),"NO APLICA- GEMELAR",IF(QR155="","",IF(QR155&gt;0,HLOOKUP(QR155,$QS$2:RU155,NY155),""))))</f>
        <v>#REF!</v>
      </c>
      <c r="CR155" s="21"/>
      <c r="CS155" s="21"/>
      <c r="CT155" s="217" t="str">
        <f>IF(R155="","",IF(AND(BS155&gt;1,BS155&lt;12,Tabla1[[#This Row],[T.A. SISTOLICA - ANTES DE SEMANA 12]]="",Tabla1[[#This Row],[T.A. DIASTOLICA - ANTES DE SEMANA 12]]=""),"REGISTRE DATO TA ANTES SEMANA 12",IF(AND(BS155&gt;11,BS155&lt;43,Tabla1[[#This Row],[T.A. SISTOLICA - ANTES DE SEMANA 12]]="",Tabla1[[#This Row],[T.A. DIASTOLICA - ANTES DE SEMANA 12]]=""),"NO APLICA REGISTRO TA-INGRESO TARDIO",IF(AND(OR(O155&gt;0,R155&gt;0),OR(CR155&gt;=140,CS155&gt;=90)),"DEFINIR ESTADIO HTA",IF(AND(OR(O155&gt;0,R155&gt;0),AND(CR155&gt;120,CR155&lt;=139)),"PRE HTA SEGUIMIENTO",IF(AND(OR(O155&gt;0,R155&gt;0),AND(CS155&gt;80,CS155&lt;=89)),"PRE HTA SEGUIMIENTO",IF(AND(OR(O155&gt;0,R155&gt;0),AND(CR155&gt;=80,CR155&lt;=120)),"APARENTEMENTE NORMAL",IF(AND(OR(O155&gt;0,R155&gt;0),AND(CS155&gt;=50,CS155&lt;=80)),"APARENTEMENTE NORMAL",IF(AND(OR(O155&gt;0,R155&gt;0),AND(CR155&gt;1,CR155&lt;=70),AND(CS155&gt;1,CS155&lt;=40)),"HIPOTENSIÓN","")))))))))</f>
        <v>NO APLICA REGISTRO TA-INGRESO TARDIO</v>
      </c>
      <c r="CU155" s="21"/>
      <c r="CV155" s="21"/>
      <c r="CW155" s="217" t="str">
        <f ca="1">IF(R155="","",IF(AND(CN155&gt;19,CN155&lt;27,Tabla1[[#This Row],[T.A. SISTOLICA (Entre semana 20 y 26)]]="",Tabla1[[#This Row],[T.A. DIATOLICA (Entre semana 20 y 26)]]=""),"ACUDE A CONTROL SEM 20 A 26 REGISTRE TA AHORA",IF(AND(BS155&gt;1,BS155&lt;27,BU155&gt;19,Tabla1[[#This Row],[T.A. SISTOLICA (Entre semana 20 y 26)]]="",Tabla1[[#This Row],[T.A. DIATOLICA (Entre semana 20 y 26)]]=""),"COMPLETE REGISTRO TA CONTROL SEM 20 A26 ",IF(AND(BS155&gt;26,BS155&lt;43,Tabla1[[#This Row],[T.A. SISTOLICA (Entre semana 20 y 26)]]="",Tabla1[[#This Row],[T.A. DIATOLICA (Entre semana 20 y 26)]]=""),"NO APLICA REGISTRO TA-INGRESO TARDIO",IF(AND(OR(O155&gt;0,R155&gt;0),OR(CU155&gt;=140,CV155&gt;=90)),"ALTO RIESGO PREECLAMPSIA,DEFINIR ESTADIO HTA",IF(AND(OR(O155&gt;0,R155&gt;0),AND(CU155&gt;120,CU155&lt;=139)),"PRE HTA SEGUIMIENTO,RIESGO HIPERTENSION INDUCIDA POR EL EMBARAZO",IF(AND(OR(O155&gt;0,R155&gt;0),AND(CV155&gt;80,CV155&lt;=89)),"PRE HTA SEGUIMIENTO, RIESGO HIPERTENSION INDUCIDA POR EL EMBARAZO",IF(AND(OR(O155&lt;&gt;"",R155&lt;&gt;""),CS155&lt;&gt;"",CV155&lt;&gt;"",CS155&lt;=CV155),"VIGILAR CIFRAS PRESION ARTERIAL",IF(AND(OR(O155&gt;0,R155&gt;0),AND(CU155&gt;120,CU155&lt;=139)),"PRE HTA SEGUIMIENTO",IF(AND(OR(O155&gt;0,R155&gt;0),AND(CU155&gt;1,CU155&lt;=70),AND(CV155&gt;1,CV155&lt;=40)),"HIPOTENSIÓN",IF(AND(OR(O155&lt;&gt;"",R155&lt;&gt;""),CS155&lt;&gt;"",CV155&lt;&gt;"",CS155&gt;CV155),"APARENTEMENTE NORMAL",IF(AND(OR(O155&gt;0,R155&gt;0),AND(CU155&gt;=80,CU155&lt;=120)),"APARENTEMENTE NORMAL",IF(AND(OR(O155&gt;0,R155&gt;0),AND(CV155&gt;=50,CV155&lt;=80)),"APARENTEMENTE NORMAL","")))))))))))))</f>
        <v xml:space="preserve">COMPLETE REGISTRO TA CONTROL SEM 20 A26 </v>
      </c>
      <c r="CX155" s="21"/>
      <c r="CY155" s="21"/>
      <c r="CZ155" s="216" t="str">
        <f t="shared" si="688"/>
        <v/>
      </c>
      <c r="DA155" s="21">
        <v>100</v>
      </c>
      <c r="DB155" s="21">
        <v>60</v>
      </c>
      <c r="DC155" s="217" t="str">
        <f t="shared" si="610"/>
        <v>VIGILAR CIFRAS PRESION ARTERIAL</v>
      </c>
      <c r="DD155" s="22">
        <v>45009</v>
      </c>
      <c r="DE155" s="22">
        <v>45009</v>
      </c>
      <c r="DF155" s="22">
        <v>45051</v>
      </c>
      <c r="DG155" s="22">
        <v>45085</v>
      </c>
      <c r="DH155" s="22">
        <v>45115</v>
      </c>
      <c r="DI155" s="22"/>
      <c r="DJ155" s="22"/>
      <c r="DK155" s="22"/>
      <c r="DL155" s="22"/>
      <c r="DM155" s="22"/>
      <c r="DN155" s="22"/>
      <c r="DO155" s="22"/>
      <c r="DP155" s="22"/>
      <c r="DQ155" s="22"/>
      <c r="DR155" s="28">
        <v>1</v>
      </c>
      <c r="DS155" s="22"/>
      <c r="DT155" s="22"/>
      <c r="DU155" s="216" t="str">
        <f t="shared" ca="1" si="674"/>
        <v>SALE SIN PLAN DE PARTO</v>
      </c>
      <c r="DV155" s="226" t="str">
        <f t="shared" si="675"/>
        <v>SALIO PROGRAMA</v>
      </c>
      <c r="DW155"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5" s="216" t="str">
        <f t="shared" ca="1" si="611"/>
        <v/>
      </c>
      <c r="DY155" s="212">
        <f>IF(R155="","",IF(R155&gt;0,MAX(Tabla1[[#This Row],[FECHA C2]:[FECHA C13]],Tabla1[[#This Row],[FECHA CONSULTA PRIMERA VEZ PROGRAMA CPN ]])))</f>
        <v>45115</v>
      </c>
      <c r="DZ155" s="216">
        <f t="shared" si="612"/>
        <v>37</v>
      </c>
      <c r="EA155" s="222">
        <f>IF(R155&gt;0,SUM(COUNTA(DF155:DQ155)+COUNTA(Tabla1[[#This Row],[FECHA CONSULTA PRIMERA VEZ PROGRAMA CPN ]])),"")</f>
        <v>4</v>
      </c>
      <c r="EB155" s="222" t="str">
        <f t="shared" si="613"/>
        <v>SI</v>
      </c>
      <c r="EC155" s="214">
        <f t="shared" si="614"/>
        <v>6</v>
      </c>
      <c r="ED155" s="227">
        <f t="shared" si="615"/>
        <v>0.66666666666666663</v>
      </c>
      <c r="EE155" s="22">
        <v>45009</v>
      </c>
      <c r="EF155" s="22">
        <v>45016</v>
      </c>
      <c r="EG155" s="22">
        <v>45009</v>
      </c>
      <c r="EH155" s="22"/>
      <c r="EI155" s="22">
        <v>45009</v>
      </c>
      <c r="EJ155" s="22"/>
      <c r="EK155" s="22"/>
      <c r="EL155" s="21"/>
      <c r="EM155" s="21">
        <v>13.5</v>
      </c>
      <c r="EN155" s="22">
        <v>45009</v>
      </c>
      <c r="EO155" s="222">
        <f t="shared" si="616"/>
        <v>22.099999999999586</v>
      </c>
      <c r="EP155" s="214" t="str">
        <f t="shared" si="617"/>
        <v>NORMAL- SUMINISTRAR SULFATO FERROSO</v>
      </c>
      <c r="EQ155" s="216" t="str">
        <f t="shared" si="618"/>
        <v>II TRIM</v>
      </c>
      <c r="ER155" s="24"/>
      <c r="ES155" s="22"/>
      <c r="ET155" s="29" t="str">
        <f t="shared" ca="1" si="676"/>
        <v>SALE SIN TAMIZAJE HEMOGLOBINA SEM 28</v>
      </c>
      <c r="EU155" s="25" t="str">
        <f t="shared" si="619"/>
        <v/>
      </c>
      <c r="EV155" s="24" t="s">
        <v>1510</v>
      </c>
      <c r="EW155" s="24">
        <v>45009</v>
      </c>
      <c r="EX155" s="22"/>
      <c r="EY155" s="29">
        <f t="shared" si="453"/>
        <v>22.099999999999586</v>
      </c>
      <c r="EZ155" s="25" t="str">
        <f t="shared" si="454"/>
        <v>SIN RIESGO DE ISOINMUNIZACIÓN</v>
      </c>
      <c r="FA155" s="21">
        <v>57</v>
      </c>
      <c r="FB155" s="22">
        <v>45051</v>
      </c>
      <c r="FC155" s="29" t="str">
        <f t="shared" si="620"/>
        <v>NO APLICA &gt; 23 SEM -TOMAR PTOG</v>
      </c>
      <c r="FD155" s="29"/>
      <c r="FE155" s="29"/>
      <c r="FF155" s="29"/>
      <c r="FG155" s="21" t="str">
        <f t="shared" ca="1" si="621"/>
        <v/>
      </c>
      <c r="FH155" s="31"/>
      <c r="FI155" s="29" t="str">
        <f t="shared" si="622"/>
        <v>TOMAR EXAMEN</v>
      </c>
      <c r="FJ155" s="22"/>
      <c r="FK155" s="22"/>
      <c r="FL155" s="29" t="str">
        <f t="shared" ca="1" si="623"/>
        <v>NO APLICA-INGRESO TARDIO</v>
      </c>
      <c r="FM155" s="22" t="s">
        <v>867</v>
      </c>
      <c r="FN155" s="32">
        <v>45009</v>
      </c>
      <c r="FO155" s="29">
        <f t="shared" ca="1" si="677"/>
        <v>22.099999999999586</v>
      </c>
      <c r="FP155" s="22" t="s">
        <v>867</v>
      </c>
      <c r="FQ155" s="32">
        <v>45106</v>
      </c>
      <c r="FR155" s="29">
        <f t="shared" ca="1" si="678"/>
        <v>35.957142857142443</v>
      </c>
      <c r="FS155" s="22"/>
      <c r="FT155" s="32"/>
      <c r="FU155" s="29" t="str">
        <f>IF(AND(FJ155="",FM155="",FP155="",FS155=""),"",IF(OR(OR(Tabla1[[#This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5" s="28"/>
      <c r="FW155" s="22"/>
      <c r="FX155" s="29" t="str">
        <f t="shared" si="624"/>
        <v>TOMAR EXAMEN</v>
      </c>
      <c r="FY155" s="22"/>
      <c r="FZ155" s="22"/>
      <c r="GA155" s="29" t="str">
        <f t="shared" ca="1" si="497"/>
        <v>NO APLICA-INGRESO TARDIO</v>
      </c>
      <c r="GB155" s="22" t="s">
        <v>868</v>
      </c>
      <c r="GC155" s="22">
        <v>45009</v>
      </c>
      <c r="GD155" s="29">
        <f t="shared" ca="1" si="679"/>
        <v>22.099999999999586</v>
      </c>
      <c r="GE155" s="22"/>
      <c r="GF155" s="22"/>
      <c r="GG155" s="29" t="str">
        <f t="shared" ca="1" si="680"/>
        <v>PIERDE TOMA DE TAMIZAJE</v>
      </c>
      <c r="GH155" s="22"/>
      <c r="GI155" s="29"/>
      <c r="GJ155" s="22"/>
      <c r="GK155" s="22"/>
      <c r="GL155" s="22"/>
      <c r="GM155" s="22"/>
      <c r="GN155" s="28" t="s">
        <v>869</v>
      </c>
      <c r="GO155" s="22">
        <v>45009</v>
      </c>
      <c r="GP155" s="29">
        <f t="shared" si="625"/>
        <v>22.099999999999586</v>
      </c>
      <c r="GQ155" s="28" t="s">
        <v>869</v>
      </c>
      <c r="GR155" s="28" t="s">
        <v>869</v>
      </c>
      <c r="GS155" s="22" t="str">
        <f t="shared" si="626"/>
        <v>CONTROL Igm</v>
      </c>
      <c r="GT155" s="22">
        <v>45009</v>
      </c>
      <c r="GU155" s="29">
        <f t="shared" si="627"/>
        <v>18.285714285714285</v>
      </c>
      <c r="GV155" s="21" t="str">
        <f t="shared" si="628"/>
        <v>II TRIM</v>
      </c>
      <c r="GW155" s="28" t="s">
        <v>869</v>
      </c>
      <c r="GX155" s="30"/>
      <c r="GY155" s="21"/>
      <c r="GZ155" s="21"/>
      <c r="HA155" s="21"/>
      <c r="HB155" s="21"/>
      <c r="HC155" s="21"/>
      <c r="HD155" s="21"/>
      <c r="HE155" s="21"/>
      <c r="HF155" s="22"/>
      <c r="HG155" s="22" t="str">
        <f>IF(OR(O155&gt;0,R155&gt;0),CONCATENATE(IF(Tabla1[[#This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5" s="22" t="e">
        <f t="shared" si="629"/>
        <v>#REF!</v>
      </c>
      <c r="HI155" s="22" t="e">
        <f t="shared" ca="1" si="630"/>
        <v>#REF!</v>
      </c>
      <c r="HJ155" s="21"/>
      <c r="HK155" s="21" t="str">
        <f t="shared" si="631"/>
        <v>SIN ANTECEDENTES DE RIESGO</v>
      </c>
      <c r="HL155" s="24" t="str">
        <f t="shared" si="632"/>
        <v>VIGILAR CIFRAS PRESION ARTERIAL</v>
      </c>
      <c r="HM155" s="21" t="str">
        <f t="shared" ca="1" si="633"/>
        <v/>
      </c>
      <c r="HN155" s="30" t="str">
        <f t="shared" si="681"/>
        <v>SALIO PROGRAMA</v>
      </c>
      <c r="HO155" s="21"/>
      <c r="HP155" s="21"/>
      <c r="HQ155" s="21">
        <v>45009</v>
      </c>
      <c r="HR155" s="21" t="str">
        <f>IF(R155="","",IF(Tabla1[[#This Row],[ALARMA FACTORES DE RIESGO COMPLICACIONES HIPERTENSIVAS3]]="SIN ANTECEDENTES DE RIESGO","No Aplica para suministro de ASA",IF(AND(Tabla1[[#This Row],[FECHA INICIO DE SUMINISTRO DE ASA]]&gt;0,RV155&lt;12),"Inicia ASA ANTES de Sem 12",IF(AND(RV155&gt;11,RV155&lt;17,OR(HK155="RIESGO ALTO DE COMPLICACIONES HIPERTENSIVAS VER MANEJO GUIA SUMINISTRO ASA Y CALCIO",HK155="RIESGO MODERADO (2 O MAS CRITERIOS) VER MANEJO GUIA SUMINISTRO ASA Y CALCIO")),"Inicio oportuno de ASA",IF(AND(RV155&gt;12,OR(HK155="RIESGO ALTO DE COMPLICACIONES HIPERTENSIVAS VER MANEJO GUIA SUMINISTRO ASA Y CALCIO",HK155="RIESGO MODERADO (2 O MAS CRITERIOS) VER MANEJO GUIA SUMINISTRO ASA Y CALCIO")),"Inicio no oportuno mayor a 16 semanas",IF(AND(BU155&lt;12,OR(HK155="RIESGO ALTO DE COMPLICACIONES HIPERTENSIVAS VER MANEJO GUIA SUMINISTRO ASA Y CALCIO",HK155="RIESGO MODERADO (2 O MAS CRITERIOS) VER MANEJO GUIA SUMINISTRO ASA Y CALCIO")),"Pendiente Inicio de ASA a la semana 12",IF(AND(BU155&gt;11,BU155&lt;17,OR(HK155="RIESGO ALTO DE COMPLICACIONES HIPERTENSIVAS VER MANEJO GUIA SUMINISTRO ASA Y CALCIO",HK155="RIESGO MODERADO (2 O MAS CRITERIOS) VER MANEJO GUIA SUMINISTRO ASA Y CALCIO")),"Iniciar de inmediato ASA",IF(AND(BU155&gt;16,OR(HK155="RIESGO ALTO DE COMPLICACIONES HIPERTENSIVAS VER MANEJO GUIA SUMINISTRO ASA Y CALCIO",HK155="RIESGO MODERADO (2 O MAS CRITERIOS) VER MANEJO GUIA SUMINISTRO ASA Y CALCIO")),"Pierde Oportunidad, Inicio tardío de ASA","XXXXX"))))))))</f>
        <v>No Aplica para suministro de ASA</v>
      </c>
      <c r="HS155" s="22">
        <v>45009</v>
      </c>
      <c r="HT155" s="22" t="s">
        <v>870</v>
      </c>
      <c r="HU155" s="22"/>
      <c r="HV155" s="22"/>
      <c r="HW155" s="22">
        <v>45009</v>
      </c>
      <c r="HX155" s="22" t="s">
        <v>870</v>
      </c>
      <c r="HY155" s="22">
        <v>45009</v>
      </c>
      <c r="HZ155" s="28">
        <f t="shared" si="634"/>
        <v>22.099999999999586</v>
      </c>
      <c r="IA155" s="26"/>
      <c r="IB155" s="26"/>
      <c r="IC155" s="111">
        <v>45121</v>
      </c>
      <c r="ID155" s="22">
        <v>45016</v>
      </c>
      <c r="IE155" s="22" t="str">
        <f t="shared" ca="1" si="635"/>
        <v>VACUNA APLICADA ENTRE SEMANA 20 Y SEMANA 26</v>
      </c>
      <c r="IF155" s="22"/>
      <c r="IG155" s="22">
        <f t="shared" si="636"/>
        <v>45134.3</v>
      </c>
      <c r="IH155" s="29">
        <f t="shared" ca="1" si="637"/>
        <v>-98.69999999999709</v>
      </c>
      <c r="II155" s="22" t="str">
        <f t="shared" ca="1" si="638"/>
        <v>POSIBLEMENTE NACIO</v>
      </c>
      <c r="IJ155" s="22"/>
      <c r="IK155" s="21" t="s">
        <v>898</v>
      </c>
      <c r="IL155" s="21"/>
      <c r="IM155" s="34"/>
      <c r="IN155" s="349">
        <v>45135</v>
      </c>
      <c r="IO155" s="21" t="s">
        <v>1186</v>
      </c>
      <c r="IP155" s="29">
        <f t="shared" si="672"/>
        <v>40.099999999999582</v>
      </c>
      <c r="IQ155" s="290" t="s">
        <v>1654</v>
      </c>
      <c r="IR155" s="290" t="s">
        <v>1651</v>
      </c>
      <c r="IS155" s="290" t="s">
        <v>1646</v>
      </c>
      <c r="IT155" s="290" t="s">
        <v>1642</v>
      </c>
      <c r="IU155" s="21"/>
      <c r="IV155" s="21"/>
      <c r="IW155" s="21"/>
      <c r="IX155" s="21"/>
      <c r="IY155" s="21"/>
      <c r="IZ155" s="21"/>
      <c r="JA155" s="21"/>
      <c r="JB155" s="30">
        <v>1</v>
      </c>
      <c r="JC155" s="21" t="s">
        <v>1647</v>
      </c>
      <c r="JD155" s="36">
        <v>3170</v>
      </c>
      <c r="JE155" s="21" t="str">
        <f t="shared" si="682"/>
        <v>PESO ADECUADO EDAD GESTACIONAL</v>
      </c>
      <c r="JF155" s="30"/>
      <c r="JG155" s="21"/>
      <c r="JH155" s="21"/>
      <c r="JI155" s="309" t="s">
        <v>854</v>
      </c>
      <c r="JJ155" s="329" t="s">
        <v>926</v>
      </c>
      <c r="JK155" s="22"/>
      <c r="JL155" s="22"/>
      <c r="JM155" s="21"/>
      <c r="JN155" s="36"/>
      <c r="JO155" s="21" t="str">
        <f t="shared" si="683"/>
        <v/>
      </c>
      <c r="JP155" s="22"/>
      <c r="JQ155" s="21"/>
      <c r="JR155" s="21"/>
      <c r="JS155" s="21"/>
      <c r="JT155" s="30"/>
      <c r="JU155" s="22"/>
      <c r="JV155" s="22"/>
      <c r="JW155" s="33"/>
      <c r="JX155" s="28" t="str">
        <f t="shared" si="684"/>
        <v>INASISTENTE</v>
      </c>
      <c r="JY155" s="33"/>
      <c r="JZ155" s="28" t="str">
        <f t="shared" si="685"/>
        <v>INASISTENTE</v>
      </c>
      <c r="KA155" s="21"/>
      <c r="KB155" s="21"/>
      <c r="KC155" s="21"/>
      <c r="KD155" s="37"/>
      <c r="KE155" s="28"/>
      <c r="KF155" s="28"/>
      <c r="KG155" s="28"/>
      <c r="KH155" s="39"/>
      <c r="KI155" s="39"/>
      <c r="KJ155" s="66"/>
      <c r="KK155" s="39"/>
      <c r="KL155" s="39"/>
      <c r="KM155" s="66"/>
      <c r="KN155" s="39"/>
      <c r="KO155" s="39"/>
      <c r="KP155" s="39"/>
      <c r="KQ155" s="39"/>
      <c r="KR155" s="39"/>
      <c r="KS155" s="39"/>
      <c r="KT155" s="39"/>
      <c r="KU155" s="38"/>
      <c r="KV155" s="38"/>
      <c r="KW155" s="38"/>
      <c r="KX155" s="38"/>
      <c r="KY155" s="38"/>
      <c r="KZ155" s="38"/>
      <c r="LA155" s="38"/>
      <c r="LB155" s="38"/>
      <c r="LC155" s="38"/>
      <c r="LD155" s="38"/>
      <c r="LE155" s="38"/>
      <c r="LF155" s="38"/>
      <c r="LG155" s="38"/>
      <c r="LH155" s="38"/>
      <c r="LI155" s="38"/>
      <c r="LJ155" s="38"/>
      <c r="LK155" s="38"/>
      <c r="LL155" s="38"/>
      <c r="LM155" s="38"/>
      <c r="LN155" s="38"/>
      <c r="LO155" s="38"/>
      <c r="LP155" s="38"/>
      <c r="LQ155" s="38"/>
      <c r="LR155" s="38"/>
      <c r="LS155" s="38"/>
      <c r="LT155" s="38"/>
      <c r="LU155" s="38"/>
      <c r="LV155" s="38"/>
      <c r="LW155" s="38"/>
      <c r="LX155" s="38"/>
      <c r="LY155" s="38"/>
      <c r="LZ155" s="38"/>
      <c r="MA155" s="38"/>
      <c r="MB155" s="38"/>
      <c r="MC155" s="38"/>
      <c r="MD155" s="38"/>
      <c r="ME155" s="38"/>
      <c r="MF155" s="38"/>
      <c r="MG155" s="38"/>
      <c r="MH155" s="43">
        <f t="shared" si="639"/>
        <v>0</v>
      </c>
      <c r="MI155" s="43" t="str">
        <f t="shared" si="640"/>
        <v/>
      </c>
      <c r="MJ155" s="43" t="str">
        <f t="shared" si="641"/>
        <v/>
      </c>
      <c r="MK155" s="43">
        <f t="shared" si="642"/>
        <v>0</v>
      </c>
      <c r="ML15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5" s="43">
        <f t="shared" si="643"/>
        <v>22.099999999999586</v>
      </c>
      <c r="MN155" s="43">
        <f t="shared" si="644"/>
        <v>3</v>
      </c>
      <c r="MO155" s="43">
        <f t="shared" si="645"/>
        <v>2023</v>
      </c>
      <c r="MP155" s="43" t="str">
        <f t="shared" si="646"/>
        <v>I TRIMESTRE AÑO</v>
      </c>
      <c r="MQ155" s="43">
        <f t="shared" si="647"/>
        <v>39.895422689443713</v>
      </c>
      <c r="MR155" s="43">
        <f t="shared" si="648"/>
        <v>2</v>
      </c>
      <c r="MS155" s="43" t="str">
        <f t="shared" si="649"/>
        <v xml:space="preserve"> DE 35 A 39 AÑOS</v>
      </c>
      <c r="MT155" s="43">
        <f t="shared" si="650"/>
        <v>0</v>
      </c>
      <c r="MU155" s="43">
        <f t="shared" si="651"/>
        <v>0</v>
      </c>
      <c r="MV155" s="43">
        <f t="shared" si="652"/>
        <v>0</v>
      </c>
      <c r="MW155" s="43">
        <f t="shared" si="653"/>
        <v>0</v>
      </c>
      <c r="MX155" s="43" t="str">
        <f t="shared" si="654"/>
        <v/>
      </c>
      <c r="MY155" s="43" t="str">
        <f t="shared" ca="1" si="686"/>
        <v/>
      </c>
      <c r="MZ155" s="43" t="str">
        <f t="shared" si="655"/>
        <v/>
      </c>
      <c r="NA155" s="43">
        <f t="shared" si="656"/>
        <v>0</v>
      </c>
      <c r="NB155" s="43" t="str">
        <f t="shared" si="657"/>
        <v/>
      </c>
      <c r="NC155" s="43" t="str">
        <f t="shared" si="658"/>
        <v/>
      </c>
      <c r="ND155" s="43">
        <f t="shared" ca="1" si="659"/>
        <v>2</v>
      </c>
      <c r="NE155" s="43">
        <f>IF(OR(O155&gt;0,R155&gt;0),SUM(COUNTIF(Tabla1[[#This Row],[AÑOS AL INICIO5 CPN]],"&gt;=40"),COUNTIF(AS155,"0"),COUNTIF(AR155,"SI"),COUNTIF(CC155,"SI"),COUNTIF(BQ155,"&gt;119"),COUNTIF(CI155,"&gt;=35")),"")</f>
        <v>1</v>
      </c>
      <c r="NF155" s="43">
        <f t="shared" si="660"/>
        <v>23.099999999999586</v>
      </c>
      <c r="NG155" s="43">
        <f t="shared" si="661"/>
        <v>0</v>
      </c>
      <c r="NH155" s="43">
        <f t="shared" si="662"/>
        <v>161.70000000000002</v>
      </c>
      <c r="NI155"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CPN",P155="NO"),"Z",IF(AND(Tabla1[[#This Row],[CITA PROXIMO CONTROL]]="CITA MANUAL",Tabla1[[#This Row],[GESTANTES ACTUALES]]="ACTIVA INGRESO A CPN"),"W",IF(AND(Tabla1[[#This Row],[GESTANTES ACTUALES]]="SALIO PROGRAMA",IN155=""),"S",IF(AND(Tabla1[[#This Row],[CITA PROXIMO CONTROL]]&gt;0,IN155=""),(Tabla1[[#This Row],[CITA PROXIMO CONTROL]]-TODAY()),"SD"))))))))</f>
        <v>SD</v>
      </c>
      <c r="NJ155" s="43">
        <f>MONTH(Tabla1[[#This Row],[FECHA DE SALIDA  DEL PROGRAMA]])</f>
        <v>7</v>
      </c>
      <c r="NK155" s="43">
        <f>YEAR(Tabla1[[#This Row],[FECHA DE SALIDA  DEL PROGRAMA]])</f>
        <v>2023</v>
      </c>
      <c r="NL155" s="43" t="str">
        <f t="shared" si="663"/>
        <v>X</v>
      </c>
      <c r="NM155" s="43" t="str">
        <f t="shared" si="500"/>
        <v>NO</v>
      </c>
      <c r="NN155" s="43" t="str">
        <f ca="1">IF(AND(O155&gt;0,R155=""),"NO CPN",IF(AND(O155="",R155=""),"",IF(AND(R155&gt;0,Tabla1[[#This Row],[SEMANAS DE GESTACION ACTUALIZADAS]]&lt;=12),"NO APLICA",IF(AND(FH155&lt;&gt;"",FN155&lt;&gt;""),"SI","NO"))))</f>
        <v>NO</v>
      </c>
      <c r="NO155" s="43" t="str">
        <f ca="1">IF(AND(O155&gt;0,R155=""),"NO CPN",IF(AND(O155="",R155=""),"",IF(AND(R155&gt;0,Tabla1[[#This Row],[SEMANAS DE GESTACION ACTUALIZADAS]]&lt;=27),"NO APLICA",IF(AND(ES155&lt;&gt;"",FQ155&lt;&gt;"",GF155&lt;&gt;""),"SI","NO"))))</f>
        <v>NO</v>
      </c>
      <c r="NP155" s="204" t="str">
        <f t="shared" si="664"/>
        <v>II TRIM</v>
      </c>
      <c r="NQ155" s="21" t="str">
        <f t="shared" si="689"/>
        <v/>
      </c>
      <c r="NR155" s="21">
        <f t="shared" si="687"/>
        <v>2</v>
      </c>
      <c r="NS155" s="205">
        <f t="shared" ca="1" si="665"/>
        <v>2</v>
      </c>
      <c r="NT155" s="21">
        <f t="shared" ca="1" si="666"/>
        <v>1</v>
      </c>
      <c r="NU155" s="21" t="str">
        <f t="shared" ca="1" si="667"/>
        <v>COMPLETO</v>
      </c>
      <c r="NV155" s="21" t="str">
        <f t="shared" ca="1" si="668"/>
        <v>INCOMPLETO</v>
      </c>
      <c r="NW155" s="206" t="str">
        <f>IF(AND(O155="",R155=""),"",IF(OR(AND(Tabla1[[#This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5" s="207" t="str">
        <f t="shared" ca="1" si="669"/>
        <v>VACUNADA</v>
      </c>
      <c r="NY155" s="43">
        <f>ROW(Tabla1[[#This Row],['# DE TAMIZAJES SIFILIS TOMADOS ]])</f>
        <v>155</v>
      </c>
      <c r="NZ155" s="43">
        <f t="shared" si="501"/>
        <v>22</v>
      </c>
      <c r="OA155" s="43" t="str">
        <f t="shared" si="502"/>
        <v/>
      </c>
      <c r="OB155" s="43" t="str">
        <f t="shared" si="503"/>
        <v/>
      </c>
      <c r="OC155" s="43" t="str">
        <f t="shared" si="504"/>
        <v/>
      </c>
      <c r="OD155" s="43" t="str">
        <f t="shared" si="505"/>
        <v/>
      </c>
      <c r="OE155" s="43" t="str">
        <f t="shared" si="506"/>
        <v/>
      </c>
      <c r="OF155" s="43" t="str">
        <f t="shared" si="507"/>
        <v/>
      </c>
      <c r="OG155" s="43" t="str">
        <f t="shared" si="508"/>
        <v/>
      </c>
      <c r="OH155" s="43" t="str">
        <f t="shared" si="509"/>
        <v/>
      </c>
      <c r="OI155" s="43" t="str">
        <f t="shared" si="510"/>
        <v/>
      </c>
      <c r="OJ155" s="43" t="str">
        <f t="shared" si="511"/>
        <v/>
      </c>
      <c r="OK155" s="43" t="str">
        <f t="shared" si="512"/>
        <v/>
      </c>
      <c r="OL155" s="43" t="str">
        <f t="shared" si="513"/>
        <v/>
      </c>
      <c r="OM155" s="43" t="str">
        <f t="shared" si="514"/>
        <v/>
      </c>
      <c r="ON155" s="43" t="str">
        <f t="shared" si="515"/>
        <v>OBESIDAD</v>
      </c>
      <c r="OO155" s="43" t="str">
        <f t="shared" si="516"/>
        <v/>
      </c>
      <c r="OP155" s="43" t="str">
        <f t="shared" si="517"/>
        <v/>
      </c>
      <c r="OQ155" s="43" t="str">
        <f t="shared" si="518"/>
        <v/>
      </c>
      <c r="OR155" s="43" t="str">
        <f t="shared" si="519"/>
        <v/>
      </c>
      <c r="OS155" s="43" t="str">
        <f t="shared" si="520"/>
        <v/>
      </c>
      <c r="OT155" s="43" t="str">
        <f t="shared" si="521"/>
        <v/>
      </c>
      <c r="OU155" s="43" t="str">
        <f t="shared" si="522"/>
        <v/>
      </c>
      <c r="OV155" s="110" t="str">
        <f t="shared" si="523"/>
        <v/>
      </c>
      <c r="OW155" s="43" t="str">
        <f t="shared" si="524"/>
        <v/>
      </c>
      <c r="OX155" s="43" t="str">
        <f t="shared" si="525"/>
        <v/>
      </c>
      <c r="OY155" s="43" t="str">
        <f t="shared" si="526"/>
        <v/>
      </c>
      <c r="OZ155" s="43" t="str">
        <f t="shared" si="527"/>
        <v/>
      </c>
      <c r="PA155" s="43" t="str">
        <f t="shared" si="528"/>
        <v/>
      </c>
      <c r="PB155" s="43" t="str">
        <f t="shared" si="529"/>
        <v/>
      </c>
      <c r="PC155" s="43" t="str">
        <f t="shared" si="530"/>
        <v/>
      </c>
      <c r="PD155" s="43" t="str">
        <f t="shared" si="531"/>
        <v/>
      </c>
      <c r="PE155" s="43" t="str">
        <f t="shared" si="532"/>
        <v/>
      </c>
      <c r="PF155" s="43" t="str">
        <f t="shared" si="533"/>
        <v/>
      </c>
      <c r="PG155" s="43" t="str">
        <f t="shared" si="534"/>
        <v/>
      </c>
      <c r="PH155" s="43" t="str">
        <f t="shared" si="535"/>
        <v/>
      </c>
      <c r="PI155" s="43">
        <f t="shared" si="536"/>
        <v>37</v>
      </c>
      <c r="PJ155" s="43" t="str">
        <f t="shared" si="537"/>
        <v/>
      </c>
      <c r="PK155" s="43" t="str">
        <f t="shared" si="538"/>
        <v/>
      </c>
      <c r="PL155" s="43" t="str">
        <f t="shared" si="539"/>
        <v/>
      </c>
      <c r="PM155" s="43" t="str">
        <f t="shared" si="540"/>
        <v/>
      </c>
      <c r="PN155" s="43" t="str">
        <f t="shared" si="541"/>
        <v/>
      </c>
      <c r="PO155" s="43" t="str">
        <f t="shared" si="542"/>
        <v/>
      </c>
      <c r="PP155" s="43" t="str">
        <f t="shared" si="543"/>
        <v/>
      </c>
      <c r="PQ155" s="43" t="str">
        <f t="shared" si="544"/>
        <v/>
      </c>
      <c r="PR155" s="43" t="str">
        <f t="shared" si="545"/>
        <v/>
      </c>
      <c r="PS155" s="43" t="str">
        <f t="shared" si="546"/>
        <v/>
      </c>
      <c r="PT155" s="43" t="str">
        <f t="shared" si="547"/>
        <v/>
      </c>
      <c r="PU155" s="43" t="str">
        <f t="shared" si="548"/>
        <v/>
      </c>
      <c r="PV155" s="43" t="str">
        <f t="shared" si="549"/>
        <v/>
      </c>
      <c r="PW155" s="43" t="str">
        <f t="shared" si="550"/>
        <v/>
      </c>
      <c r="PX155" s="43" t="str">
        <f t="shared" si="551"/>
        <v/>
      </c>
      <c r="PY155" s="43" t="str">
        <f t="shared" si="552"/>
        <v/>
      </c>
      <c r="PZ155" s="43" t="str">
        <f t="shared" si="553"/>
        <v/>
      </c>
      <c r="QA155" s="43" t="str">
        <f t="shared" si="554"/>
        <v/>
      </c>
      <c r="QB155" s="43" t="str">
        <f t="shared" si="555"/>
        <v/>
      </c>
      <c r="QC155" s="43" t="str">
        <f t="shared" si="556"/>
        <v/>
      </c>
      <c r="QD155" s="43" t="str">
        <f t="shared" si="557"/>
        <v/>
      </c>
      <c r="QE155" s="43" t="str">
        <f t="shared" si="558"/>
        <v/>
      </c>
      <c r="QF155" s="43" t="str">
        <f t="shared" si="559"/>
        <v/>
      </c>
      <c r="QG155" s="43" t="str">
        <f t="shared" si="560"/>
        <v/>
      </c>
      <c r="QH155" s="43" t="str">
        <f t="shared" si="561"/>
        <v/>
      </c>
      <c r="QI155" s="43" t="str">
        <f t="shared" si="562"/>
        <v/>
      </c>
      <c r="QJ155" s="43" t="str">
        <f t="shared" si="563"/>
        <v/>
      </c>
      <c r="QK155" s="43" t="str">
        <f t="shared" si="564"/>
        <v/>
      </c>
      <c r="QL155" s="43" t="str">
        <f t="shared" si="565"/>
        <v>OBESIDAD</v>
      </c>
      <c r="QM155" s="43" t="str">
        <f t="shared" si="566"/>
        <v/>
      </c>
      <c r="QN155" s="43" t="str">
        <f t="shared" si="567"/>
        <v/>
      </c>
      <c r="QO155" s="43" t="str">
        <f t="shared" si="568"/>
        <v/>
      </c>
      <c r="QP155" s="43" t="str">
        <f t="shared" si="569"/>
        <v/>
      </c>
      <c r="QQ155" s="43" t="str">
        <f t="shared" si="570"/>
        <v/>
      </c>
      <c r="QR155" s="43">
        <f t="shared" si="670"/>
        <v>37</v>
      </c>
      <c r="QS155" s="43"/>
      <c r="QT155" s="21" t="str">
        <f t="shared" si="571"/>
        <v/>
      </c>
      <c r="QU155" s="21" t="str">
        <f t="shared" si="572"/>
        <v/>
      </c>
      <c r="QV155" s="21" t="str">
        <f t="shared" si="573"/>
        <v/>
      </c>
      <c r="QW155" s="21" t="str">
        <f t="shared" si="574"/>
        <v/>
      </c>
      <c r="QX155" s="21" t="str">
        <f t="shared" si="575"/>
        <v/>
      </c>
      <c r="QY155" s="21" t="str">
        <f t="shared" si="576"/>
        <v/>
      </c>
      <c r="QZ155" s="21" t="str">
        <f t="shared" si="577"/>
        <v/>
      </c>
      <c r="RA155" s="21" t="str">
        <f t="shared" si="578"/>
        <v/>
      </c>
      <c r="RB155" s="21" t="str">
        <f t="shared" si="579"/>
        <v/>
      </c>
      <c r="RC155" s="21" t="str">
        <f t="shared" si="580"/>
        <v/>
      </c>
      <c r="RD155" s="21" t="str">
        <f t="shared" si="581"/>
        <v/>
      </c>
      <c r="RE155" s="21" t="str">
        <f t="shared" si="582"/>
        <v/>
      </c>
      <c r="RF155" s="21" t="str">
        <f t="shared" si="583"/>
        <v/>
      </c>
      <c r="RG155" s="21" t="str">
        <f t="shared" si="584"/>
        <v/>
      </c>
      <c r="RH155" s="21" t="str">
        <f t="shared" si="585"/>
        <v/>
      </c>
      <c r="RI155" s="21" t="str">
        <f t="shared" si="586"/>
        <v/>
      </c>
      <c r="RJ155" s="21" t="str">
        <f t="shared" si="587"/>
        <v/>
      </c>
      <c r="RK155" s="21" t="str">
        <f t="shared" si="588"/>
        <v/>
      </c>
      <c r="RL155" s="21" t="str">
        <f t="shared" si="589"/>
        <v/>
      </c>
      <c r="RM155" s="21" t="str">
        <f t="shared" si="590"/>
        <v/>
      </c>
      <c r="RN155" s="21" t="str">
        <f t="shared" si="591"/>
        <v/>
      </c>
      <c r="RO155" s="21" t="str">
        <f t="shared" si="592"/>
        <v/>
      </c>
      <c r="RP155" s="21" t="str">
        <f t="shared" si="593"/>
        <v/>
      </c>
      <c r="RQ155" s="21" t="str">
        <f t="shared" si="594"/>
        <v/>
      </c>
      <c r="RR155" s="21" t="str">
        <f t="shared" si="595"/>
        <v>ALTO PARA EDAD GESTACIONAL</v>
      </c>
      <c r="RS155" s="21" t="str">
        <f t="shared" si="596"/>
        <v/>
      </c>
      <c r="RT155" s="21" t="str">
        <f t="shared" si="597"/>
        <v/>
      </c>
      <c r="RU155" s="21" t="str">
        <f t="shared" si="598"/>
        <v/>
      </c>
      <c r="RV155" s="21">
        <f t="shared" si="599"/>
        <v>22.099999999999586</v>
      </c>
      <c r="RW155" s="284">
        <f>IF(OR(Tabla1[[#This Row],[FUM FORMULA CONFIABLE]]="",Tabla1[[#This Row],[FUM FORMULA CONFIABLE]]="SD"),"",IF(Tabla1[[#This Row],[FUM FORMULA CONFIABLE]]="CORREGIDA",Tabla1[[#This Row],[FUM X ECO 1]],Tabla1[[#This Row],[FUM x AMENORREA]]))</f>
        <v>44854.3</v>
      </c>
      <c r="RX155" s="21">
        <f>IF(AND(Tabla1[[#This Row],[FUM X ECO 1]]="",Tabla1[[#This Row],[FUM x AMENORREA]]=""),"",IF(AND(Tabla1[[#This Row],[FUM X ECO 1]]="",Tabla1[[#This Row],[FUM x AMENORREA]]&lt;&gt;""),"X",SUM(Tabla1[[#This Row],[FUM X ECO 1]]-Tabla1[[#This Row],[FUM x AMENORREA]])))</f>
        <v>-26.69999999999709</v>
      </c>
      <c r="RY155" s="21">
        <f t="shared" si="671"/>
        <v>1</v>
      </c>
    </row>
    <row r="156" spans="1:493" ht="45" customHeight="1" x14ac:dyDescent="0.25">
      <c r="A156" s="109"/>
      <c r="B156" s="43"/>
      <c r="C156" s="43" t="s">
        <v>845</v>
      </c>
      <c r="D156" s="124"/>
      <c r="E156" s="43" t="s">
        <v>1441</v>
      </c>
      <c r="F156" s="43" t="s">
        <v>914</v>
      </c>
      <c r="G156" s="43" t="s">
        <v>1451</v>
      </c>
      <c r="H156" s="43"/>
      <c r="I156" s="109" t="s">
        <v>851</v>
      </c>
      <c r="J156" s="110">
        <v>1059598007</v>
      </c>
      <c r="K156" s="43" t="s">
        <v>852</v>
      </c>
      <c r="L156" s="175" t="s">
        <v>1509</v>
      </c>
      <c r="M156" s="22">
        <v>32317</v>
      </c>
      <c r="N156" s="213">
        <f t="shared" ca="1" si="600"/>
        <v>35.386301369863013</v>
      </c>
      <c r="O156" s="22">
        <v>45045</v>
      </c>
      <c r="P156" s="214" t="str">
        <f t="shared" si="673"/>
        <v>SI</v>
      </c>
      <c r="Q156" s="26" t="s">
        <v>855</v>
      </c>
      <c r="R156" s="22">
        <v>45045</v>
      </c>
      <c r="S156" s="21" t="s">
        <v>856</v>
      </c>
      <c r="T156" s="24" t="s">
        <v>690</v>
      </c>
      <c r="U156" s="21" t="s">
        <v>857</v>
      </c>
      <c r="V156" s="21" t="s">
        <v>858</v>
      </c>
      <c r="W156" s="21" t="s">
        <v>1139</v>
      </c>
      <c r="X156" s="21"/>
      <c r="Y156" s="21" t="s">
        <v>859</v>
      </c>
      <c r="Z156" s="21">
        <v>3137267010</v>
      </c>
      <c r="AA156" s="21" t="s">
        <v>860</v>
      </c>
      <c r="AB156" s="27" t="s">
        <v>861</v>
      </c>
      <c r="AC156" s="26" t="s">
        <v>1434</v>
      </c>
      <c r="AD156" s="38" t="s">
        <v>1546</v>
      </c>
      <c r="AE156" s="26" t="s">
        <v>854</v>
      </c>
      <c r="AF156" s="26" t="s">
        <v>854</v>
      </c>
      <c r="AG156" s="23" t="s">
        <v>864</v>
      </c>
      <c r="AH156" s="23" t="s">
        <v>864</v>
      </c>
      <c r="AI156" s="24" t="s">
        <v>863</v>
      </c>
      <c r="AJ156" s="23" t="s">
        <v>864</v>
      </c>
      <c r="AK156" s="220" t="str">
        <f>IF(AND(AD156="",AE156="",AF156="",AG156="",AH156="",AI156="",AJ156=""),"",IF(OR(Tabla1[[#This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EVALUACIÓN",IF(AND(O156="",R156=""),"",IF(AND(OR(O156&gt;0,R156&gt;0),NG156&gt;=0,NG156&lt;2),"SIN RIESGO",IF(AND(OR(O156&gt;0,R156&gt;0),NG156&gt;=2),"CON RIESGO","ASD")))))</f>
        <v>SIN RIESGO</v>
      </c>
      <c r="AL156" s="23" t="s">
        <v>864</v>
      </c>
      <c r="AM156" s="26" t="s">
        <v>864</v>
      </c>
      <c r="AN156" s="26" t="s">
        <v>864</v>
      </c>
      <c r="AO156" s="26" t="s">
        <v>864</v>
      </c>
      <c r="AP156" s="26" t="s">
        <v>864</v>
      </c>
      <c r="AQ156" s="26" t="s">
        <v>864</v>
      </c>
      <c r="AR156" s="26" t="s">
        <v>864</v>
      </c>
      <c r="AS156" s="21">
        <v>3</v>
      </c>
      <c r="AT156" s="21">
        <v>3</v>
      </c>
      <c r="AU156" s="21">
        <v>0</v>
      </c>
      <c r="AV156" s="26" t="s">
        <v>864</v>
      </c>
      <c r="AW156" s="21">
        <v>0</v>
      </c>
      <c r="AX156" s="26" t="s">
        <v>864</v>
      </c>
      <c r="AY156" s="26" t="s">
        <v>864</v>
      </c>
      <c r="AZ156" s="26" t="s">
        <v>854</v>
      </c>
      <c r="BA156" s="26" t="s">
        <v>864</v>
      </c>
      <c r="BB156" s="26" t="s">
        <v>864</v>
      </c>
      <c r="BC156" s="26" t="s">
        <v>864</v>
      </c>
      <c r="BD156" s="26" t="s">
        <v>864</v>
      </c>
      <c r="BE156" s="26" t="s">
        <v>864</v>
      </c>
      <c r="BF156" s="26" t="s">
        <v>864</v>
      </c>
      <c r="BG156" s="26" t="s">
        <v>864</v>
      </c>
      <c r="BH156" s="26" t="s">
        <v>864</v>
      </c>
      <c r="BI156" s="26" t="s">
        <v>864</v>
      </c>
      <c r="BJ156" s="26" t="s">
        <v>864</v>
      </c>
      <c r="BK156" s="26" t="s">
        <v>864</v>
      </c>
      <c r="BL156" s="26" t="s">
        <v>864</v>
      </c>
      <c r="BM156" s="26" t="s">
        <v>864</v>
      </c>
      <c r="BN156" s="22">
        <v>42058</v>
      </c>
      <c r="BO156" s="22">
        <v>44991</v>
      </c>
      <c r="BP156" s="21" t="s">
        <v>1380</v>
      </c>
      <c r="BQ156" s="222">
        <f t="shared" si="601"/>
        <v>98.039999999999907</v>
      </c>
      <c r="BR156" s="223">
        <f t="shared" si="602"/>
        <v>44999.199999999997</v>
      </c>
      <c r="BS156" s="224">
        <f t="shared" si="603"/>
        <v>6.5428571428575584</v>
      </c>
      <c r="BT156" s="216" t="str">
        <f t="shared" si="604"/>
        <v>I TRIM</v>
      </c>
      <c r="BU156" s="214">
        <f t="shared" ca="1" si="605"/>
        <v>33.400000000000418</v>
      </c>
      <c r="BV156" s="25" t="s">
        <v>1478</v>
      </c>
      <c r="BW156" s="22">
        <v>45051</v>
      </c>
      <c r="BX156" s="28">
        <v>7.4</v>
      </c>
      <c r="BY156" s="28"/>
      <c r="BZ156" s="22"/>
      <c r="CA156" s="21"/>
      <c r="CB156" s="26"/>
      <c r="CC156" s="26"/>
      <c r="CD156" s="26"/>
      <c r="CE156" s="26"/>
      <c r="CF156" s="22" t="s">
        <v>1517</v>
      </c>
      <c r="CG156" s="21">
        <v>1.57</v>
      </c>
      <c r="CH156" s="21">
        <v>78</v>
      </c>
      <c r="CI156" s="214">
        <f t="shared" si="606"/>
        <v>31.644285772242281</v>
      </c>
      <c r="CJ156" s="225" t="str">
        <f>IF(AND(CI156&lt;10,CH156="SD"),"SIN DATO PESO PREGESTACION O I TRIM",IF(AND(OR(R156&gt;0,O156&gt;0),CI156="X"),"INGRESAR DATO DE PESO",IF(CI156="SD","INGRESAR DATO DE TALLA Y PESO",IF(AND(OR(Tabla1[[#This Row],[MOMENTO EN QUE SE REALIZA EL PESO AL INGRESO A CPN]]="PREGESTACIÓN",NZ156="Menor"),CI156&lt;18.5),"BAJO PESO",IF(AND(OR(Tabla1[[#This Row],[MOMENTO EN QUE SE REALIZA EL PESO AL INGRESO A CPN]]="PREGESTACIÓN",NZ156="Menor"),CI156&lt;25),"NORMAL",IF(AND(OR(Tabla1[[#This Row],[MOMENTO EN QUE SE REALIZA EL PESO AL INGRESO A CPN]]="PREGESTACIÓN",NZ156="Menor"),CI156&lt;30),"SOBREPESO",IF(AND(OR(Tabla1[[#This Row],[MOMENTO EN QUE SE REALIZA EL PESO AL INGRESO A CPN]]="PREGESTACIÓN",NZ156="Menor"),CI156&gt;=30,CI156&lt;50),"OBESIDAD",IF(AND(BS156&gt;0,Tabla1[[#This Row],[MOMENTO EN QUE SE REALIZA EL PESO AL INGRESO A CPN]]="GESTACIÓN"),HLOOKUP(NZ156,$OA$2:PH156,NY156),""))))))))</f>
        <v>OBESIDAD</v>
      </c>
      <c r="CK156" s="212">
        <f t="shared" si="607"/>
        <v>45115</v>
      </c>
      <c r="CL156" s="21">
        <v>78.5</v>
      </c>
      <c r="CM156" s="214">
        <f t="shared" si="608"/>
        <v>31.847133757961782</v>
      </c>
      <c r="CN156" s="216">
        <f t="shared" si="609"/>
        <v>16</v>
      </c>
      <c r="CO156" s="216" t="e">
        <f>IF(PI156="","",IF(PI156&gt;0,HLOOKUP(PI156,$PJ$2:QQ156,NY156),""))</f>
        <v>#REF!</v>
      </c>
      <c r="CP156" s="21">
        <v>16</v>
      </c>
      <c r="CQ156" s="216" t="e">
        <f>IF(QR156="Menor","NO APLICA-MENOR 13 SEM",IF(AND(CC156="SI",CN156&gt;23),"NO APLICA- GEMELAR",IF(QR156="","",IF(QR156&gt;0,HLOOKUP(QR156,$QS$2:RU156,NY156),""))))</f>
        <v>#REF!</v>
      </c>
      <c r="CR156" s="21">
        <v>110</v>
      </c>
      <c r="CS156" s="21">
        <v>70</v>
      </c>
      <c r="CT156" s="217" t="str">
        <f>IF(R156="","",IF(AND(BS156&gt;1,BS156&lt;12,Tabla1[[#This Row],[T.A. SISTOLICA - ANTES DE SEMANA 12]]="",Tabla1[[#This Row],[T.A. DIASTOLICA - ANTES DE SEMANA 12]]=""),"REGISTRE DATO TA ANTES SEMANA 12",IF(AND(BS156&gt;11,BS156&lt;43,Tabla1[[#This Row],[T.A. SISTOLICA - ANTES DE SEMANA 12]]="",Tabla1[[#This Row],[T.A. DIASTOLICA - ANTES DE SEMANA 12]]=""),"NO APLICA REGISTRO TA-INGRESO TARDIO",IF(AND(OR(O156&gt;0,R156&gt;0),OR(CR156&gt;=140,CS156&gt;=90)),"DEFINIR ESTADIO HTA",IF(AND(OR(O156&gt;0,R156&gt;0),AND(CR156&gt;120,CR156&lt;=139)),"PRE HTA SEGUIMIENTO",IF(AND(OR(O156&gt;0,R156&gt;0),AND(CS156&gt;80,CS156&lt;=89)),"PRE HTA SEGUIMIENTO",IF(AND(OR(O156&gt;0,R156&gt;0),AND(CR156&gt;=80,CR156&lt;=120)),"APARENTEMENTE NORMAL",IF(AND(OR(O156&gt;0,R156&gt;0),AND(CS156&gt;=50,CS156&lt;=80)),"APARENTEMENTE NORMAL",IF(AND(OR(O156&gt;0,R156&gt;0),AND(CR156&gt;1,CR156&lt;=70),AND(CS156&gt;1,CS156&lt;=40)),"HIPOTENSIÓN","")))))))))</f>
        <v>APARENTEMENTE NORMAL</v>
      </c>
      <c r="CU156" s="21"/>
      <c r="CV156" s="21"/>
      <c r="CW156" s="217" t="str">
        <f ca="1">IF(R156="","",IF(AND(CN156&gt;19,CN156&lt;27,Tabla1[[#This Row],[T.A. SISTOLICA (Entre semana 20 y 26)]]="",Tabla1[[#This Row],[T.A. DIATOLICA (Entre semana 20 y 26)]]=""),"ACUDE A CONTROL SEM 20 A 26 REGISTRE TA AHORA",IF(AND(BS156&gt;1,BS156&lt;27,BU156&gt;19,Tabla1[[#This Row],[T.A. SISTOLICA (Entre semana 20 y 26)]]="",Tabla1[[#This Row],[T.A. DIATOLICA (Entre semana 20 y 26)]]=""),"COMPLETE REGISTRO TA CONTROL SEM 20 A26 ",IF(AND(BS156&gt;26,BS156&lt;43,Tabla1[[#This Row],[T.A. SISTOLICA (Entre semana 20 y 26)]]="",Tabla1[[#This Row],[T.A. DIATOLICA (Entre semana 20 y 26)]]=""),"NO APLICA REGISTRO TA-INGRESO TARDIO",IF(AND(OR(O156&gt;0,R156&gt;0),OR(CU156&gt;=140,CV156&gt;=90)),"ALTO RIESGO PREECLAMPSIA,DEFINIR ESTADIO HTA",IF(AND(OR(O156&gt;0,R156&gt;0),AND(CU156&gt;120,CU156&lt;=139)),"PRE HTA SEGUIMIENTO,RIESGO HIPERTENSION INDUCIDA POR EL EMBARAZO",IF(AND(OR(O156&gt;0,R156&gt;0),AND(CV156&gt;80,CV156&lt;=89)),"PRE HTA SEGUIMIENTO, RIESGO HIPERTENSION INDUCIDA POR EL EMBARAZO",IF(AND(OR(O156&lt;&gt;"",R156&lt;&gt;""),CS156&lt;&gt;"",CV156&lt;&gt;"",CS156&lt;=CV156),"VIGILAR CIFRAS PRESION ARTERIAL",IF(AND(OR(O156&gt;0,R156&gt;0),AND(CU156&gt;120,CU156&lt;=139)),"PRE HTA SEGUIMIENTO",IF(AND(OR(O156&gt;0,R156&gt;0),AND(CU156&gt;1,CU156&lt;=70),AND(CV156&gt;1,CV156&lt;=40)),"HIPOTENSIÓN",IF(AND(OR(O156&lt;&gt;"",R156&lt;&gt;""),CS156&lt;&gt;"",CV156&lt;&gt;"",CS156&gt;CV156),"APARENTEMENTE NORMAL",IF(AND(OR(O156&gt;0,R156&gt;0),AND(CU156&gt;=80,CU156&lt;=120)),"APARENTEMENTE NORMAL",IF(AND(OR(O156&gt;0,R156&gt;0),AND(CV156&gt;=50,CV156&lt;=80)),"APARENTEMENTE NORMAL","")))))))))))))</f>
        <v xml:space="preserve">COMPLETE REGISTRO TA CONTROL SEM 20 A26 </v>
      </c>
      <c r="CX156" s="21"/>
      <c r="CY156" s="21"/>
      <c r="CZ156" s="216" t="str">
        <f t="shared" si="688"/>
        <v/>
      </c>
      <c r="DA156" s="21">
        <v>100</v>
      </c>
      <c r="DB156" s="21">
        <v>60</v>
      </c>
      <c r="DC156" s="217" t="str">
        <f t="shared" si="610"/>
        <v>APARENTEMENTE NORMAL</v>
      </c>
      <c r="DD156" s="22">
        <v>45045</v>
      </c>
      <c r="DE156" s="22">
        <v>45045</v>
      </c>
      <c r="DF156" s="22">
        <v>45087</v>
      </c>
      <c r="DG156" s="22">
        <v>45115</v>
      </c>
      <c r="DH156" s="22"/>
      <c r="DI156" s="22"/>
      <c r="DJ156" s="22"/>
      <c r="DK156" s="22"/>
      <c r="DL156" s="22"/>
      <c r="DM156" s="22"/>
      <c r="DN156" s="22"/>
      <c r="DO156" s="22"/>
      <c r="DP156" s="22"/>
      <c r="DQ156" s="22"/>
      <c r="DR156" s="28">
        <v>1</v>
      </c>
      <c r="DS156" s="22"/>
      <c r="DT156" s="22"/>
      <c r="DU156" s="216" t="str">
        <f t="shared" ca="1" si="674"/>
        <v>PLANEAR PLAN DE PARTO</v>
      </c>
      <c r="DV156" s="226" t="str">
        <f t="shared" si="675"/>
        <v>ACTIVA INGRESO A CPN</v>
      </c>
      <c r="DW15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6" s="216" t="e">
        <f t="shared" ca="1" si="611"/>
        <v>#REF!</v>
      </c>
      <c r="DY156" s="212">
        <f>IF(R156="","",IF(R156&gt;0,MAX(Tabla1[[#This Row],[FECHA C2]:[FECHA C13]],Tabla1[[#This Row],[FECHA CONSULTA PRIMERA VEZ PROGRAMA CPN ]])))</f>
        <v>45115</v>
      </c>
      <c r="DZ156" s="216">
        <f t="shared" si="612"/>
        <v>16</v>
      </c>
      <c r="EA156" s="222">
        <f>IF(R156&gt;0,SUM(COUNTA(DF156:DQ156)+COUNTA(Tabla1[[#This Row],[FECHA CONSULTA PRIMERA VEZ PROGRAMA CPN ]])),"")</f>
        <v>3</v>
      </c>
      <c r="EB156" s="222" t="str">
        <f t="shared" si="613"/>
        <v>NO</v>
      </c>
      <c r="EC156" s="214">
        <f t="shared" si="614"/>
        <v>10</v>
      </c>
      <c r="ED156" s="227">
        <f t="shared" si="615"/>
        <v>0.3</v>
      </c>
      <c r="EE156" s="22">
        <v>45045</v>
      </c>
      <c r="EF156" s="22">
        <v>45051</v>
      </c>
      <c r="EG156" s="22">
        <v>45045</v>
      </c>
      <c r="EH156" s="22"/>
      <c r="EI156" s="22">
        <v>45045</v>
      </c>
      <c r="EJ156" s="22"/>
      <c r="EK156" s="22"/>
      <c r="EL156" s="21"/>
      <c r="EM156" s="21">
        <v>13</v>
      </c>
      <c r="EN156" s="22">
        <v>45051</v>
      </c>
      <c r="EO156" s="222">
        <f t="shared" si="616"/>
        <v>7.400000000000416</v>
      </c>
      <c r="EP156" s="214" t="str">
        <f t="shared" si="617"/>
        <v>NORMAL- SUMINISTRAR SULFATO FERROSO</v>
      </c>
      <c r="EQ156" s="216" t="str">
        <f t="shared" si="618"/>
        <v>I TRIM</v>
      </c>
      <c r="ER156" s="24"/>
      <c r="ES156" s="22"/>
      <c r="ET156" s="29" t="str">
        <f t="shared" ca="1" si="676"/>
        <v>TOMA DE HEMOGLOBINA TARDÍA</v>
      </c>
      <c r="EU156" s="25" t="str">
        <f t="shared" si="619"/>
        <v/>
      </c>
      <c r="EV156" s="24" t="s">
        <v>1510</v>
      </c>
      <c r="EW156" s="32">
        <v>45051</v>
      </c>
      <c r="EX156" s="22"/>
      <c r="EY156" s="29">
        <f t="shared" si="453"/>
        <v>7.400000000000416</v>
      </c>
      <c r="EZ156" s="25" t="str">
        <f t="shared" si="454"/>
        <v>SIN RIESGO DE ISOINMUNIZACIÓN</v>
      </c>
      <c r="FA156" s="21">
        <v>61</v>
      </c>
      <c r="FB156" s="22">
        <v>45051</v>
      </c>
      <c r="FC156" s="29">
        <f t="shared" si="620"/>
        <v>7.400000000000416</v>
      </c>
      <c r="FD156" s="29"/>
      <c r="FE156" s="29"/>
      <c r="FF156" s="29"/>
      <c r="FG156" s="21" t="str">
        <f t="shared" ca="1" si="621"/>
        <v>TOMAR PTOG</v>
      </c>
      <c r="FH156" s="31"/>
      <c r="FI156" s="29" t="str">
        <f t="shared" si="622"/>
        <v>TOMAR EXAMEN</v>
      </c>
      <c r="FJ156" s="22"/>
      <c r="FK156" s="22"/>
      <c r="FL156" s="29" t="str">
        <f t="shared" ca="1" si="623"/>
        <v>PIERDE TOMA DE TAMIZAJE</v>
      </c>
      <c r="FM156" s="22"/>
      <c r="FN156" s="32"/>
      <c r="FO156" s="29" t="str">
        <f t="shared" ca="1" si="677"/>
        <v>PIERDE TOMA DE TAMIZAJE</v>
      </c>
      <c r="FP156" s="22"/>
      <c r="FQ156" s="32"/>
      <c r="FR156" s="29" t="str">
        <f t="shared" ca="1" si="678"/>
        <v>EN RANGO PARA TOMAR EXAMEN</v>
      </c>
      <c r="FS156" s="22"/>
      <c r="FT156" s="32"/>
      <c r="FU156" s="29" t="str">
        <f>IF(AND(FJ156="",FM156="",FP156="",FS156=""),"",IF(OR(OR(Tabla1[[#This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6" s="28"/>
      <c r="FW156" s="22"/>
      <c r="FX156" s="29" t="str">
        <f t="shared" si="624"/>
        <v>TOMAR EXAMEN</v>
      </c>
      <c r="FY156" s="22">
        <v>45044</v>
      </c>
      <c r="FZ156" s="22">
        <v>45044</v>
      </c>
      <c r="GA156" s="29">
        <f t="shared" ca="1" si="497"/>
        <v>6.400000000000416</v>
      </c>
      <c r="GB156" s="22"/>
      <c r="GC156" s="22"/>
      <c r="GD156" s="29" t="str">
        <f t="shared" ca="1" si="679"/>
        <v>PIERDE TOMA DE TAMIZAJE</v>
      </c>
      <c r="GE156" s="22"/>
      <c r="GF156" s="22"/>
      <c r="GG156" s="29" t="str">
        <f t="shared" ca="1" si="680"/>
        <v>EN RANGO PARA TOMAR EXAMEN</v>
      </c>
      <c r="GH156" s="22"/>
      <c r="GI156" s="29"/>
      <c r="GJ156" s="22"/>
      <c r="GK156" s="22"/>
      <c r="GL156" s="22"/>
      <c r="GM156" s="22"/>
      <c r="GN156" s="28"/>
      <c r="GO156" s="22"/>
      <c r="GP156" s="29" t="str">
        <f t="shared" si="625"/>
        <v>TOMAR EXAMEN</v>
      </c>
      <c r="GQ156" s="28"/>
      <c r="GR156" s="28"/>
      <c r="GS156" s="22" t="str">
        <f t="shared" si="626"/>
        <v/>
      </c>
      <c r="GT156" s="22"/>
      <c r="GU156" s="29" t="str">
        <f t="shared" si="627"/>
        <v>TOMAR EXAMEN</v>
      </c>
      <c r="GV156" s="21" t="str">
        <f t="shared" si="628"/>
        <v>POR DEFINIR</v>
      </c>
      <c r="GW156" s="28"/>
      <c r="GX156" s="30"/>
      <c r="GY156" s="21"/>
      <c r="GZ156" s="21"/>
      <c r="HA156" s="21"/>
      <c r="HB156" s="21"/>
      <c r="HC156" s="21"/>
      <c r="HD156" s="21"/>
      <c r="HE156" s="21"/>
      <c r="HF156" s="22"/>
      <c r="HG156" s="22" t="str">
        <f>IF(OR(O156&gt;0,R156&gt;0),CONCATENATE(IF(Tabla1[[#This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6" s="22" t="e">
        <f t="shared" si="629"/>
        <v>#REF!</v>
      </c>
      <c r="HI156" s="22" t="e">
        <f t="shared" ca="1" si="630"/>
        <v>#REF!</v>
      </c>
      <c r="HJ156" s="21"/>
      <c r="HK156" s="21" t="str">
        <f t="shared" si="631"/>
        <v>SIN ANTECEDENTES DE RIESGO</v>
      </c>
      <c r="HL156" s="24" t="str">
        <f t="shared" si="632"/>
        <v>APARENTEMENTE NORMAL</v>
      </c>
      <c r="HM156" s="21" t="e">
        <f t="shared" ca="1" si="633"/>
        <v>#REF!</v>
      </c>
      <c r="HN156" s="30" t="str">
        <f t="shared" si="681"/>
        <v>ACTIVA INGRESO A CPN</v>
      </c>
      <c r="HO156" s="21"/>
      <c r="HP156" s="21"/>
      <c r="HQ156" s="349">
        <v>45045</v>
      </c>
      <c r="HR156" s="21" t="str">
        <f>IF(R156="","",IF(Tabla1[[#This Row],[ALARMA FACTORES DE RIESGO COMPLICACIONES HIPERTENSIVAS3]]="SIN ANTECEDENTES DE RIESGO","No Aplica para suministro de ASA",IF(AND(Tabla1[[#This Row],[FECHA INICIO DE SUMINISTRO DE ASA]]&gt;0,RV156&lt;12),"Inicia ASA ANTES de Sem 12",IF(AND(RV156&gt;11,RV156&lt;17,OR(HK156="RIESGO ALTO DE COMPLICACIONES HIPERTENSIVAS VER MANEJO GUIA SUMINISTRO ASA Y CALCIO",HK156="RIESGO MODERADO (2 O MAS CRITERIOS) VER MANEJO GUIA SUMINISTRO ASA Y CALCIO")),"Inicio oportuno de ASA",IF(AND(RV156&gt;12,OR(HK156="RIESGO ALTO DE COMPLICACIONES HIPERTENSIVAS VER MANEJO GUIA SUMINISTRO ASA Y CALCIO",HK156="RIESGO MODERADO (2 O MAS CRITERIOS) VER MANEJO GUIA SUMINISTRO ASA Y CALCIO")),"Inicio no oportuno mayor a 16 semanas",IF(AND(BU156&lt;12,OR(HK156="RIESGO ALTO DE COMPLICACIONES HIPERTENSIVAS VER MANEJO GUIA SUMINISTRO ASA Y CALCIO",HK156="RIESGO MODERADO (2 O MAS CRITERIOS) VER MANEJO GUIA SUMINISTRO ASA Y CALCIO")),"Pendiente Inicio de ASA a la semana 12",IF(AND(BU156&gt;11,BU156&lt;17,OR(HK156="RIESGO ALTO DE COMPLICACIONES HIPERTENSIVAS VER MANEJO GUIA SUMINISTRO ASA Y CALCIO",HK156="RIESGO MODERADO (2 O MAS CRITERIOS) VER MANEJO GUIA SUMINISTRO ASA Y CALCIO")),"Iniciar de inmediato ASA",IF(AND(BU156&gt;16,OR(HK156="RIESGO ALTO DE COMPLICACIONES HIPERTENSIVAS VER MANEJO GUIA SUMINISTRO ASA Y CALCIO",HK156="RIESGO MODERADO (2 O MAS CRITERIOS) VER MANEJO GUIA SUMINISTRO ASA Y CALCIO")),"Pierde Oportunidad, Inicio tardío de ASA","XXXXX"))))))))</f>
        <v>No Aplica para suministro de ASA</v>
      </c>
      <c r="HS156" s="22">
        <v>45045</v>
      </c>
      <c r="HT156" s="22" t="s">
        <v>870</v>
      </c>
      <c r="HU156" s="22">
        <v>45045</v>
      </c>
      <c r="HV156" s="22" t="s">
        <v>870</v>
      </c>
      <c r="HW156" s="22">
        <v>45045</v>
      </c>
      <c r="HX156" s="22" t="s">
        <v>870</v>
      </c>
      <c r="HY156" s="22"/>
      <c r="HZ156" s="28" t="str">
        <f t="shared" si="634"/>
        <v>PENDIENTE CONSULTA</v>
      </c>
      <c r="IA156" s="26"/>
      <c r="IB156" s="26"/>
      <c r="IC156" s="111"/>
      <c r="ID156" s="22"/>
      <c r="IE156" s="22" t="str">
        <f t="shared" ca="1" si="635"/>
        <v>INASISTENTE</v>
      </c>
      <c r="IF156" s="22"/>
      <c r="IG156" s="22">
        <f t="shared" si="636"/>
        <v>45279.199999999997</v>
      </c>
      <c r="IH156" s="29">
        <f t="shared" ca="1" si="637"/>
        <v>46.19999999999709</v>
      </c>
      <c r="II156" s="22" t="str">
        <f t="shared" ca="1" si="638"/>
        <v>PENDIENTE</v>
      </c>
      <c r="IJ156" s="22"/>
      <c r="IK156" s="21"/>
      <c r="IL156" s="21"/>
      <c r="IM156" s="34"/>
      <c r="IN156" s="22"/>
      <c r="IO156" s="21"/>
      <c r="IP156" s="29" t="str">
        <f t="shared" si="672"/>
        <v/>
      </c>
      <c r="IQ156" s="35"/>
      <c r="IR156" s="21"/>
      <c r="IS156" s="21"/>
      <c r="IT156" s="21"/>
      <c r="IU156" s="21"/>
      <c r="IV156" s="21"/>
      <c r="IW156" s="21"/>
      <c r="IX156" s="21"/>
      <c r="IY156" s="21"/>
      <c r="IZ156" s="21"/>
      <c r="JA156" s="21"/>
      <c r="JB156" s="30"/>
      <c r="JC156" s="21"/>
      <c r="JD156" s="36"/>
      <c r="JE156" s="21" t="str">
        <f t="shared" si="682"/>
        <v/>
      </c>
      <c r="JF156" s="30"/>
      <c r="JG156" s="21"/>
      <c r="JH156" s="21"/>
      <c r="JI156" s="21"/>
      <c r="JJ156" s="30"/>
      <c r="JK156" s="22"/>
      <c r="JL156" s="22"/>
      <c r="JM156" s="21"/>
      <c r="JN156" s="36"/>
      <c r="JO156" s="21" t="str">
        <f t="shared" si="683"/>
        <v/>
      </c>
      <c r="JP156" s="22"/>
      <c r="JQ156" s="21"/>
      <c r="JR156" s="21"/>
      <c r="JS156" s="21"/>
      <c r="JT156" s="30"/>
      <c r="JU156" s="22"/>
      <c r="JV156" s="22"/>
      <c r="JW156" s="33"/>
      <c r="JX156" s="28" t="str">
        <f t="shared" si="684"/>
        <v/>
      </c>
      <c r="JY156" s="33"/>
      <c r="JZ156" s="28" t="str">
        <f t="shared" si="685"/>
        <v/>
      </c>
      <c r="KA156" s="21"/>
      <c r="KB156" s="21"/>
      <c r="KC156" s="21"/>
      <c r="KD156" s="37"/>
      <c r="KE156" s="28"/>
      <c r="KF156" s="28"/>
      <c r="KG156" s="28"/>
      <c r="KH156" s="39"/>
      <c r="KI156" s="39"/>
      <c r="KJ156" s="66"/>
      <c r="KK156" s="39"/>
      <c r="KL156" s="39"/>
      <c r="KM156" s="66"/>
      <c r="KN156" s="39"/>
      <c r="KO156" s="39"/>
      <c r="KP156" s="39"/>
      <c r="KQ156" s="39"/>
      <c r="KR156" s="39"/>
      <c r="KS156" s="39"/>
      <c r="KT156" s="39"/>
      <c r="KU156" s="38"/>
      <c r="KV156" s="38"/>
      <c r="KW156" s="38"/>
      <c r="KX156" s="38"/>
      <c r="KY156" s="38"/>
      <c r="KZ156" s="38"/>
      <c r="LA156" s="38"/>
      <c r="LB156" s="38"/>
      <c r="LC156" s="38"/>
      <c r="LD156" s="38"/>
      <c r="LE156" s="38"/>
      <c r="LF156" s="38"/>
      <c r="LG156" s="38"/>
      <c r="LH156" s="38"/>
      <c r="LI156" s="38"/>
      <c r="LJ156" s="38"/>
      <c r="LK156" s="38"/>
      <c r="LL156" s="38"/>
      <c r="LM156" s="38"/>
      <c r="LN156" s="38"/>
      <c r="LO156" s="38"/>
      <c r="LP156" s="38"/>
      <c r="LQ156" s="38"/>
      <c r="LR156" s="38"/>
      <c r="LS156" s="38"/>
      <c r="LT156" s="38"/>
      <c r="LU156" s="38"/>
      <c r="LV156" s="38"/>
      <c r="LW156" s="38"/>
      <c r="LX156" s="38"/>
      <c r="LY156" s="38"/>
      <c r="LZ156" s="38"/>
      <c r="MA156" s="38"/>
      <c r="MB156" s="38"/>
      <c r="MC156" s="38"/>
      <c r="MD156" s="38"/>
      <c r="ME156" s="38"/>
      <c r="MF156" s="38"/>
      <c r="MG156" s="38"/>
      <c r="MH156" s="43">
        <f t="shared" si="639"/>
        <v>0</v>
      </c>
      <c r="MI156" s="43" t="str">
        <f t="shared" si="640"/>
        <v/>
      </c>
      <c r="MJ156" s="43" t="str">
        <f t="shared" si="641"/>
        <v/>
      </c>
      <c r="MK156" s="43">
        <f t="shared" si="642"/>
        <v>0</v>
      </c>
      <c r="ML15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6" s="43">
        <f t="shared" si="643"/>
        <v>6.5428571428575584</v>
      </c>
      <c r="MN156" s="43">
        <f t="shared" si="644"/>
        <v>4</v>
      </c>
      <c r="MO156" s="43">
        <f t="shared" si="645"/>
        <v>2023</v>
      </c>
      <c r="MP156" s="43" t="str">
        <f t="shared" si="646"/>
        <v>II TRIMESTRE AÑO</v>
      </c>
      <c r="MQ156" s="43">
        <f t="shared" si="647"/>
        <v>34.346254927726676</v>
      </c>
      <c r="MR156" s="43">
        <f t="shared" si="648"/>
        <v>0</v>
      </c>
      <c r="MS156" s="43" t="str">
        <f t="shared" si="649"/>
        <v xml:space="preserve"> DE 30 A 34 AÑOS</v>
      </c>
      <c r="MT156" s="43">
        <f t="shared" si="650"/>
        <v>0</v>
      </c>
      <c r="MU156" s="43">
        <f t="shared" si="651"/>
        <v>0</v>
      </c>
      <c r="MV156" s="43">
        <f t="shared" si="652"/>
        <v>0</v>
      </c>
      <c r="MW156" s="43">
        <f t="shared" si="653"/>
        <v>0</v>
      </c>
      <c r="MX156" s="43" t="str">
        <f t="shared" si="654"/>
        <v/>
      </c>
      <c r="MY156" s="43" t="str">
        <f t="shared" ca="1" si="686"/>
        <v/>
      </c>
      <c r="MZ156" s="43" t="str">
        <f t="shared" si="655"/>
        <v/>
      </c>
      <c r="NA156" s="43" t="str">
        <f t="shared" si="656"/>
        <v/>
      </c>
      <c r="NB156" s="43" t="str">
        <f t="shared" si="657"/>
        <v/>
      </c>
      <c r="NC156" s="43" t="str">
        <f t="shared" si="658"/>
        <v/>
      </c>
      <c r="ND156" s="43">
        <f t="shared" ca="1" si="659"/>
        <v>0</v>
      </c>
      <c r="NE156" s="43">
        <f>IF(OR(O156&gt;0,R156&gt;0),SUM(COUNTIF(Tabla1[[#This Row],[AÑOS AL INICIO5 CPN]],"&gt;=40"),COUNTIF(AS156,"0"),COUNTIF(AR156,"SI"),COUNTIF(CC156,"SI"),COUNTIF(BQ156,"&gt;119"),COUNTIF(CI156,"&gt;=35")),"")</f>
        <v>0</v>
      </c>
      <c r="NF156" s="43" t="str">
        <f t="shared" si="660"/>
        <v/>
      </c>
      <c r="NG156" s="43">
        <f t="shared" si="661"/>
        <v>0</v>
      </c>
      <c r="NH156" s="43">
        <f t="shared" si="662"/>
        <v>51.800000000000004</v>
      </c>
      <c r="NI15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CPN",P156="NO"),"Z",IF(AND(Tabla1[[#This Row],[CITA PROXIMO CONTROL]]="CITA MANUAL",Tabla1[[#This Row],[GESTANTES ACTUALES]]="ACTIVA INGRESO A CPN"),"W",IF(AND(Tabla1[[#This Row],[GESTANTES ACTUALES]]="SALIO PROGRAMA",IN156=""),"S",IF(AND(Tabla1[[#This Row],[CITA PROXIMO CONTROL]]&gt;0,IN156=""),(Tabla1[[#This Row],[CITA PROXIMO CONTROL]]-TODAY()),"SD"))))))))</f>
        <v>#REF!</v>
      </c>
      <c r="NJ156" s="43">
        <f>MONTH(Tabla1[[#This Row],[FECHA DE SALIDA  DEL PROGRAMA]])</f>
        <v>1</v>
      </c>
      <c r="NK156" s="43">
        <f>YEAR(Tabla1[[#This Row],[FECHA DE SALIDA  DEL PROGRAMA]])</f>
        <v>1900</v>
      </c>
      <c r="NL156" s="43" t="str">
        <f t="shared" si="663"/>
        <v>X</v>
      </c>
      <c r="NM156" s="43" t="str">
        <f t="shared" si="500"/>
        <v>NO</v>
      </c>
      <c r="NN156" s="43" t="str">
        <f ca="1">IF(AND(O156&gt;0,R156=""),"NO CPN",IF(AND(O156="",R156=""),"",IF(AND(R156&gt;0,Tabla1[[#This Row],[SEMANAS DE GESTACION ACTUALIZADAS]]&lt;=12),"NO APLICA",IF(AND(FH156&lt;&gt;"",FN156&lt;&gt;""),"SI","NO"))))</f>
        <v>NO</v>
      </c>
      <c r="NO156" s="43" t="str">
        <f ca="1">IF(AND(O156&gt;0,R156=""),"NO CPN",IF(AND(O156="",R156=""),"",IF(AND(R156&gt;0,Tabla1[[#This Row],[SEMANAS DE GESTACION ACTUALIZADAS]]&lt;=27),"NO APLICA",IF(AND(ES156&lt;&gt;"",FQ156&lt;&gt;"",GF156&lt;&gt;""),"SI","NO"))))</f>
        <v>NO</v>
      </c>
      <c r="NP156" s="204" t="str">
        <f t="shared" si="664"/>
        <v>I TRIM</v>
      </c>
      <c r="NQ156" s="21" t="str">
        <f t="shared" si="689"/>
        <v/>
      </c>
      <c r="NR156" s="21">
        <f t="shared" ca="1" si="687"/>
        <v>3</v>
      </c>
      <c r="NS156" s="205">
        <f t="shared" ca="1" si="665"/>
        <v>0</v>
      </c>
      <c r="NT156" s="21">
        <f t="shared" ca="1" si="666"/>
        <v>1</v>
      </c>
      <c r="NU156" s="21" t="str">
        <f t="shared" ca="1" si="667"/>
        <v>INCOMPLETO</v>
      </c>
      <c r="NV156" s="21" t="str">
        <f t="shared" ca="1" si="668"/>
        <v>INCOMPLETO</v>
      </c>
      <c r="NW156" s="206" t="str">
        <f>IF(AND(O156="",R156=""),"",IF(OR(AND(Tabla1[[#This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6" s="207" t="str">
        <f t="shared" ca="1" si="669"/>
        <v>SIN VACUNAR</v>
      </c>
      <c r="NY156" s="43">
        <f>ROW(Tabla1[[#This Row],['# DE TAMIZAJES SIFILIS TOMADOS ]])</f>
        <v>156</v>
      </c>
      <c r="NZ156" s="43" t="str">
        <f t="shared" si="501"/>
        <v>Menor</v>
      </c>
      <c r="OA156" s="43" t="str">
        <f t="shared" si="502"/>
        <v>OBESIDAD</v>
      </c>
      <c r="OB156" s="43" t="str">
        <f t="shared" si="503"/>
        <v/>
      </c>
      <c r="OC156" s="43" t="str">
        <f t="shared" si="504"/>
        <v/>
      </c>
      <c r="OD156" s="43" t="str">
        <f t="shared" si="505"/>
        <v/>
      </c>
      <c r="OE156" s="43" t="str">
        <f t="shared" si="506"/>
        <v/>
      </c>
      <c r="OF156" s="43" t="str">
        <f t="shared" si="507"/>
        <v/>
      </c>
      <c r="OG156" s="43" t="str">
        <f t="shared" si="508"/>
        <v/>
      </c>
      <c r="OH156" s="43" t="str">
        <f t="shared" si="509"/>
        <v/>
      </c>
      <c r="OI156" s="43" t="str">
        <f t="shared" si="510"/>
        <v/>
      </c>
      <c r="OJ156" s="43" t="str">
        <f t="shared" si="511"/>
        <v/>
      </c>
      <c r="OK156" s="43" t="str">
        <f t="shared" si="512"/>
        <v/>
      </c>
      <c r="OL156" s="43" t="str">
        <f t="shared" si="513"/>
        <v/>
      </c>
      <c r="OM156" s="43" t="str">
        <f t="shared" si="514"/>
        <v/>
      </c>
      <c r="ON156" s="43" t="str">
        <f t="shared" si="515"/>
        <v/>
      </c>
      <c r="OO156" s="43" t="str">
        <f t="shared" si="516"/>
        <v/>
      </c>
      <c r="OP156" s="43" t="str">
        <f t="shared" si="517"/>
        <v/>
      </c>
      <c r="OQ156" s="43" t="str">
        <f t="shared" si="518"/>
        <v/>
      </c>
      <c r="OR156" s="43" t="str">
        <f t="shared" si="519"/>
        <v/>
      </c>
      <c r="OS156" s="43" t="str">
        <f t="shared" si="520"/>
        <v/>
      </c>
      <c r="OT156" s="43" t="str">
        <f t="shared" si="521"/>
        <v/>
      </c>
      <c r="OU156" s="43" t="str">
        <f t="shared" si="522"/>
        <v/>
      </c>
      <c r="OV156" s="110" t="str">
        <f t="shared" si="523"/>
        <v/>
      </c>
      <c r="OW156" s="43" t="str">
        <f t="shared" si="524"/>
        <v/>
      </c>
      <c r="OX156" s="43" t="str">
        <f t="shared" si="525"/>
        <v/>
      </c>
      <c r="OY156" s="43" t="str">
        <f t="shared" si="526"/>
        <v/>
      </c>
      <c r="OZ156" s="43" t="str">
        <f t="shared" si="527"/>
        <v/>
      </c>
      <c r="PA156" s="43" t="str">
        <f t="shared" si="528"/>
        <v/>
      </c>
      <c r="PB156" s="43" t="str">
        <f t="shared" si="529"/>
        <v/>
      </c>
      <c r="PC156" s="43" t="str">
        <f t="shared" si="530"/>
        <v/>
      </c>
      <c r="PD156" s="43" t="str">
        <f t="shared" si="531"/>
        <v/>
      </c>
      <c r="PE156" s="43" t="str">
        <f t="shared" si="532"/>
        <v/>
      </c>
      <c r="PF156" s="43" t="str">
        <f t="shared" si="533"/>
        <v/>
      </c>
      <c r="PG156" s="43" t="str">
        <f t="shared" si="534"/>
        <v/>
      </c>
      <c r="PH156" s="43" t="str">
        <f t="shared" si="535"/>
        <v/>
      </c>
      <c r="PI156" s="43">
        <f t="shared" si="536"/>
        <v>16</v>
      </c>
      <c r="PJ156" s="43" t="str">
        <f t="shared" si="537"/>
        <v/>
      </c>
      <c r="PK156" s="43" t="str">
        <f t="shared" si="538"/>
        <v/>
      </c>
      <c r="PL156" s="43" t="str">
        <f t="shared" si="539"/>
        <v/>
      </c>
      <c r="PM156" s="43" t="str">
        <f t="shared" si="540"/>
        <v/>
      </c>
      <c r="PN156" s="43" t="str">
        <f t="shared" si="541"/>
        <v/>
      </c>
      <c r="PO156" s="43" t="str">
        <f t="shared" si="542"/>
        <v/>
      </c>
      <c r="PP156" s="43" t="str">
        <f t="shared" si="543"/>
        <v/>
      </c>
      <c r="PQ156" s="43" t="str">
        <f t="shared" si="544"/>
        <v>OBESIDAD</v>
      </c>
      <c r="PR156" s="43" t="str">
        <f t="shared" si="545"/>
        <v/>
      </c>
      <c r="PS156" s="43" t="str">
        <f t="shared" si="546"/>
        <v/>
      </c>
      <c r="PT156" s="43" t="str">
        <f t="shared" si="547"/>
        <v/>
      </c>
      <c r="PU156" s="43" t="str">
        <f t="shared" si="548"/>
        <v/>
      </c>
      <c r="PV156" s="43" t="str">
        <f t="shared" si="549"/>
        <v/>
      </c>
      <c r="PW156" s="43" t="str">
        <f t="shared" si="550"/>
        <v/>
      </c>
      <c r="PX156" s="43" t="str">
        <f t="shared" si="551"/>
        <v/>
      </c>
      <c r="PY156" s="43" t="str">
        <f t="shared" si="552"/>
        <v/>
      </c>
      <c r="PZ156" s="43" t="str">
        <f t="shared" si="553"/>
        <v/>
      </c>
      <c r="QA156" s="43" t="str">
        <f t="shared" si="554"/>
        <v/>
      </c>
      <c r="QB156" s="43" t="str">
        <f t="shared" si="555"/>
        <v/>
      </c>
      <c r="QC156" s="43" t="str">
        <f t="shared" si="556"/>
        <v/>
      </c>
      <c r="QD156" s="43" t="str">
        <f t="shared" si="557"/>
        <v/>
      </c>
      <c r="QE156" s="43" t="str">
        <f t="shared" si="558"/>
        <v/>
      </c>
      <c r="QF156" s="43" t="str">
        <f t="shared" si="559"/>
        <v/>
      </c>
      <c r="QG156" s="43" t="str">
        <f t="shared" si="560"/>
        <v/>
      </c>
      <c r="QH156" s="43" t="str">
        <f t="shared" si="561"/>
        <v/>
      </c>
      <c r="QI156" s="43" t="str">
        <f t="shared" si="562"/>
        <v/>
      </c>
      <c r="QJ156" s="43" t="str">
        <f t="shared" si="563"/>
        <v/>
      </c>
      <c r="QK156" s="43" t="str">
        <f t="shared" si="564"/>
        <v/>
      </c>
      <c r="QL156" s="43" t="str">
        <f t="shared" si="565"/>
        <v/>
      </c>
      <c r="QM156" s="43" t="str">
        <f t="shared" si="566"/>
        <v/>
      </c>
      <c r="QN156" s="43" t="str">
        <f t="shared" si="567"/>
        <v/>
      </c>
      <c r="QO156" s="43" t="str">
        <f t="shared" si="568"/>
        <v/>
      </c>
      <c r="QP156" s="43" t="str">
        <f t="shared" si="569"/>
        <v/>
      </c>
      <c r="QQ156" s="43" t="str">
        <f t="shared" si="570"/>
        <v/>
      </c>
      <c r="QR156" s="43">
        <f t="shared" si="670"/>
        <v>16</v>
      </c>
      <c r="QS156" s="43"/>
      <c r="QT156" s="21" t="str">
        <f t="shared" si="571"/>
        <v/>
      </c>
      <c r="QU156" s="21" t="str">
        <f t="shared" si="572"/>
        <v/>
      </c>
      <c r="QV156" s="21" t="str">
        <f t="shared" si="573"/>
        <v/>
      </c>
      <c r="QW156" s="21" t="str">
        <f t="shared" si="574"/>
        <v>ADECUADO PARA EDAD GESTACIONAL</v>
      </c>
      <c r="QX156" s="21" t="str">
        <f t="shared" si="575"/>
        <v/>
      </c>
      <c r="QY156" s="21" t="str">
        <f t="shared" si="576"/>
        <v/>
      </c>
      <c r="QZ156" s="21" t="str">
        <f t="shared" si="577"/>
        <v/>
      </c>
      <c r="RA156" s="21" t="str">
        <f t="shared" si="578"/>
        <v/>
      </c>
      <c r="RB156" s="21" t="str">
        <f t="shared" si="579"/>
        <v/>
      </c>
      <c r="RC156" s="21" t="str">
        <f t="shared" si="580"/>
        <v/>
      </c>
      <c r="RD156" s="21" t="str">
        <f t="shared" si="581"/>
        <v/>
      </c>
      <c r="RE156" s="21" t="str">
        <f t="shared" si="582"/>
        <v/>
      </c>
      <c r="RF156" s="21" t="str">
        <f t="shared" si="583"/>
        <v/>
      </c>
      <c r="RG156" s="21" t="str">
        <f t="shared" si="584"/>
        <v/>
      </c>
      <c r="RH156" s="21" t="str">
        <f t="shared" si="585"/>
        <v/>
      </c>
      <c r="RI156" s="21" t="str">
        <f t="shared" si="586"/>
        <v/>
      </c>
      <c r="RJ156" s="21" t="str">
        <f t="shared" si="587"/>
        <v/>
      </c>
      <c r="RK156" s="21" t="str">
        <f t="shared" si="588"/>
        <v/>
      </c>
      <c r="RL156" s="21" t="str">
        <f t="shared" si="589"/>
        <v/>
      </c>
      <c r="RM156" s="21" t="str">
        <f t="shared" si="590"/>
        <v/>
      </c>
      <c r="RN156" s="21" t="str">
        <f t="shared" si="591"/>
        <v/>
      </c>
      <c r="RO156" s="21" t="str">
        <f t="shared" si="592"/>
        <v/>
      </c>
      <c r="RP156" s="21" t="str">
        <f t="shared" si="593"/>
        <v/>
      </c>
      <c r="RQ156" s="21" t="str">
        <f t="shared" si="594"/>
        <v/>
      </c>
      <c r="RR156" s="21" t="str">
        <f t="shared" si="595"/>
        <v/>
      </c>
      <c r="RS156" s="21" t="str">
        <f t="shared" si="596"/>
        <v/>
      </c>
      <c r="RT156" s="21" t="str">
        <f t="shared" si="597"/>
        <v/>
      </c>
      <c r="RU156" s="21" t="str">
        <f t="shared" si="598"/>
        <v/>
      </c>
      <c r="RV156" s="21">
        <f t="shared" si="599"/>
        <v>6.5428571428575584</v>
      </c>
      <c r="RW156" s="284">
        <f>IF(OR(Tabla1[[#This Row],[FUM FORMULA CONFIABLE]]="",Tabla1[[#This Row],[FUM FORMULA CONFIABLE]]="SD"),"",IF(Tabla1[[#This Row],[FUM FORMULA CONFIABLE]]="CORREGIDA",Tabla1[[#This Row],[FUM X ECO 1]],Tabla1[[#This Row],[FUM x AMENORREA]]))</f>
        <v>44999.199999999997</v>
      </c>
      <c r="RX156" s="21">
        <f>IF(AND(Tabla1[[#This Row],[FUM X ECO 1]]="",Tabla1[[#This Row],[FUM x AMENORREA]]=""),"",IF(AND(Tabla1[[#This Row],[FUM X ECO 1]]="",Tabla1[[#This Row],[FUM x AMENORREA]]&lt;&gt;""),"X",SUM(Tabla1[[#This Row],[FUM X ECO 1]]-Tabla1[[#This Row],[FUM x AMENORREA]])))</f>
        <v>8.1999999999970896</v>
      </c>
      <c r="RY156" s="21">
        <f t="shared" si="671"/>
        <v>1</v>
      </c>
    </row>
    <row r="157" spans="1:493" ht="45" customHeight="1" x14ac:dyDescent="0.25">
      <c r="A157" s="109"/>
      <c r="B157" s="43"/>
      <c r="C157" s="43" t="s">
        <v>845</v>
      </c>
      <c r="D157" s="124"/>
      <c r="E157" s="43" t="s">
        <v>896</v>
      </c>
      <c r="F157" s="43" t="s">
        <v>943</v>
      </c>
      <c r="G157" s="43" t="s">
        <v>1452</v>
      </c>
      <c r="H157" s="43" t="s">
        <v>1372</v>
      </c>
      <c r="I157" s="109" t="s">
        <v>851</v>
      </c>
      <c r="J157" s="110">
        <v>1059599315</v>
      </c>
      <c r="K157" s="43" t="s">
        <v>852</v>
      </c>
      <c r="L157" s="175" t="s">
        <v>853</v>
      </c>
      <c r="M157" s="22">
        <v>33214</v>
      </c>
      <c r="N157" s="213">
        <f t="shared" ca="1" si="600"/>
        <v>32.92876712328767</v>
      </c>
      <c r="O157" s="22">
        <v>45042</v>
      </c>
      <c r="P157" s="214" t="str">
        <f t="shared" si="673"/>
        <v>SI</v>
      </c>
      <c r="Q157" s="26" t="s">
        <v>855</v>
      </c>
      <c r="R157" s="22">
        <v>45042</v>
      </c>
      <c r="S157" s="21" t="s">
        <v>856</v>
      </c>
      <c r="T157" s="24" t="s">
        <v>690</v>
      </c>
      <c r="U157" s="21" t="s">
        <v>857</v>
      </c>
      <c r="V157" s="21" t="s">
        <v>858</v>
      </c>
      <c r="W157" s="21" t="s">
        <v>1453</v>
      </c>
      <c r="X157" s="21"/>
      <c r="Y157" s="21"/>
      <c r="Z157" s="21">
        <v>3161509698</v>
      </c>
      <c r="AA157" s="21" t="s">
        <v>860</v>
      </c>
      <c r="AB157" s="27" t="s">
        <v>861</v>
      </c>
      <c r="AC157" s="26" t="s">
        <v>1434</v>
      </c>
      <c r="AD157" s="38" t="s">
        <v>1546</v>
      </c>
      <c r="AE157" s="26" t="s">
        <v>854</v>
      </c>
      <c r="AF157" s="26" t="s">
        <v>854</v>
      </c>
      <c r="AG157" s="23" t="s">
        <v>864</v>
      </c>
      <c r="AH157" s="23" t="s">
        <v>864</v>
      </c>
      <c r="AI157" s="24" t="s">
        <v>863</v>
      </c>
      <c r="AJ157" s="23" t="s">
        <v>864</v>
      </c>
      <c r="AK157" s="220" t="str">
        <f>IF(AND(AD157="",AE157="",AF157="",AG157="",AH157="",AI157="",AJ157=""),"",IF(OR(Tabla1[[#This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EVALUACIÓN",IF(AND(O157="",R157=""),"",IF(AND(OR(O157&gt;0,R157&gt;0),NG157&gt;=0,NG157&lt;2),"SIN RIESGO",IF(AND(OR(O157&gt;0,R157&gt;0),NG157&gt;=2),"CON RIESGO","ASD")))))</f>
        <v>SIN RIESGO</v>
      </c>
      <c r="AL157" s="23" t="s">
        <v>854</v>
      </c>
      <c r="AM157" s="26" t="s">
        <v>864</v>
      </c>
      <c r="AN157" s="26" t="s">
        <v>864</v>
      </c>
      <c r="AO157" s="26" t="s">
        <v>864</v>
      </c>
      <c r="AP157" s="26" t="s">
        <v>864</v>
      </c>
      <c r="AQ157" s="26" t="s">
        <v>864</v>
      </c>
      <c r="AR157" s="26" t="s">
        <v>864</v>
      </c>
      <c r="AS157" s="21">
        <v>2</v>
      </c>
      <c r="AT157" s="21">
        <v>2</v>
      </c>
      <c r="AU157" s="21">
        <v>0</v>
      </c>
      <c r="AV157" s="26" t="s">
        <v>864</v>
      </c>
      <c r="AW157" s="21">
        <v>0</v>
      </c>
      <c r="AX157" s="26" t="s">
        <v>864</v>
      </c>
      <c r="AY157" s="26" t="s">
        <v>864</v>
      </c>
      <c r="AZ157" s="26" t="s">
        <v>864</v>
      </c>
      <c r="BA157" s="26" t="s">
        <v>864</v>
      </c>
      <c r="BB157" s="26" t="s">
        <v>864</v>
      </c>
      <c r="BC157" s="26" t="s">
        <v>864</v>
      </c>
      <c r="BD157" s="26" t="s">
        <v>864</v>
      </c>
      <c r="BE157" s="26" t="s">
        <v>864</v>
      </c>
      <c r="BF157" s="26" t="s">
        <v>864</v>
      </c>
      <c r="BG157" s="26" t="s">
        <v>864</v>
      </c>
      <c r="BH157" s="26" t="s">
        <v>864</v>
      </c>
      <c r="BI157" s="26" t="s">
        <v>864</v>
      </c>
      <c r="BJ157" s="26" t="s">
        <v>864</v>
      </c>
      <c r="BK157" s="26" t="s">
        <v>865</v>
      </c>
      <c r="BL157" s="26" t="s">
        <v>864</v>
      </c>
      <c r="BM157" s="26" t="s">
        <v>864</v>
      </c>
      <c r="BN157" s="22">
        <v>43462</v>
      </c>
      <c r="BO157" s="22">
        <v>45013</v>
      </c>
      <c r="BP157" s="21" t="s">
        <v>854</v>
      </c>
      <c r="BQ157" s="222">
        <f t="shared" si="601"/>
        <v>51.7</v>
      </c>
      <c r="BR157" s="223">
        <f t="shared" si="602"/>
        <v>45008.3</v>
      </c>
      <c r="BS157" s="224">
        <f t="shared" si="603"/>
        <v>4.1428571428571432</v>
      </c>
      <c r="BT157" s="216" t="str">
        <f t="shared" si="604"/>
        <v>I TRIM</v>
      </c>
      <c r="BU157" s="214">
        <f t="shared" ca="1" si="605"/>
        <v>31.428571428571427</v>
      </c>
      <c r="BV157" s="25" t="s">
        <v>1478</v>
      </c>
      <c r="BW157" s="22">
        <v>45051</v>
      </c>
      <c r="BX157" s="28">
        <v>6.1</v>
      </c>
      <c r="BY157" s="28"/>
      <c r="BZ157" s="22"/>
      <c r="CA157" s="21"/>
      <c r="CB157" s="26" t="s">
        <v>864</v>
      </c>
      <c r="CC157" s="26" t="s">
        <v>865</v>
      </c>
      <c r="CD157" s="26"/>
      <c r="CE157" s="26" t="s">
        <v>864</v>
      </c>
      <c r="CF157" s="22" t="s">
        <v>1517</v>
      </c>
      <c r="CG157" s="21">
        <v>1.51</v>
      </c>
      <c r="CH157" s="21">
        <v>62.8</v>
      </c>
      <c r="CI157" s="214">
        <f t="shared" si="606"/>
        <v>27.542651638086049</v>
      </c>
      <c r="CJ157" s="225" t="str">
        <f>IF(AND(CI157&lt;10,CH157="SD"),"SIN DATO PESO PREGESTACION O I TRIM",IF(AND(OR(R157&gt;0,O157&gt;0),CI157="X"),"INGRESAR DATO DE PESO",IF(CI157="SD","INGRESAR DATO DE TALLA Y PESO",IF(AND(OR(Tabla1[[#This Row],[MOMENTO EN QUE SE REALIZA EL PESO AL INGRESO A CPN]]="PREGESTACIÓN",NZ157="Menor"),CI157&lt;18.5),"BAJO PESO",IF(AND(OR(Tabla1[[#This Row],[MOMENTO EN QUE SE REALIZA EL PESO AL INGRESO A CPN]]="PREGESTACIÓN",NZ157="Menor"),CI157&lt;25),"NORMAL",IF(AND(OR(Tabla1[[#This Row],[MOMENTO EN QUE SE REALIZA EL PESO AL INGRESO A CPN]]="PREGESTACIÓN",NZ157="Menor"),CI157&lt;30),"SOBREPESO",IF(AND(OR(Tabla1[[#This Row],[MOMENTO EN QUE SE REALIZA EL PESO AL INGRESO A CPN]]="PREGESTACIÓN",NZ157="Menor"),CI157&gt;=30,CI157&lt;50),"OBESIDAD",IF(AND(BS157&gt;0,Tabla1[[#This Row],[MOMENTO EN QUE SE REALIZA EL PESO AL INGRESO A CPN]]="GESTACIÓN"),HLOOKUP(NZ157,$OA$2:PH157,NY157),""))))))))</f>
        <v>SOBREPESO</v>
      </c>
      <c r="CK157" s="212">
        <f t="shared" si="607"/>
        <v>45140</v>
      </c>
      <c r="CL157" s="21">
        <v>63.2</v>
      </c>
      <c r="CM157" s="214">
        <f t="shared" si="608"/>
        <v>27.718082540239465</v>
      </c>
      <c r="CN157" s="216">
        <f t="shared" si="609"/>
        <v>18</v>
      </c>
      <c r="CO157" s="216" t="e">
        <f>IF(PI157="","",IF(PI157&gt;0,HLOOKUP(PI157,$PJ$2:QQ157,NY157),""))</f>
        <v>#REF!</v>
      </c>
      <c r="CP157" s="21">
        <v>17</v>
      </c>
      <c r="CQ157" s="216" t="e">
        <f>IF(QR157="Menor","NO APLICA-MENOR 13 SEM",IF(AND(CC157="SI",CN157&gt;23),"NO APLICA- GEMELAR",IF(QR157="","",IF(QR157&gt;0,HLOOKUP(QR157,$QS$2:RU157,NY157),""))))</f>
        <v>#REF!</v>
      </c>
      <c r="CR157" s="21">
        <v>100</v>
      </c>
      <c r="CS157" s="21">
        <v>60</v>
      </c>
      <c r="CT157" s="217" t="str">
        <f>IF(R157="","",IF(AND(BS157&gt;1,BS157&lt;12,Tabla1[[#This Row],[T.A. SISTOLICA - ANTES DE SEMANA 12]]="",Tabla1[[#This Row],[T.A. DIASTOLICA - ANTES DE SEMANA 12]]=""),"REGISTRE DATO TA ANTES SEMANA 12",IF(AND(BS157&gt;11,BS157&lt;43,Tabla1[[#This Row],[T.A. SISTOLICA - ANTES DE SEMANA 12]]="",Tabla1[[#This Row],[T.A. DIASTOLICA - ANTES DE SEMANA 12]]=""),"NO APLICA REGISTRO TA-INGRESO TARDIO",IF(AND(OR(O157&gt;0,R157&gt;0),OR(CR157&gt;=140,CS157&gt;=90)),"DEFINIR ESTADIO HTA",IF(AND(OR(O157&gt;0,R157&gt;0),AND(CR157&gt;120,CR157&lt;=139)),"PRE HTA SEGUIMIENTO",IF(AND(OR(O157&gt;0,R157&gt;0),AND(CS157&gt;80,CS157&lt;=89)),"PRE HTA SEGUIMIENTO",IF(AND(OR(O157&gt;0,R157&gt;0),AND(CR157&gt;=80,CR157&lt;=120)),"APARENTEMENTE NORMAL",IF(AND(OR(O157&gt;0,R157&gt;0),AND(CS157&gt;=50,CS157&lt;=80)),"APARENTEMENTE NORMAL",IF(AND(OR(O157&gt;0,R157&gt;0),AND(CR157&gt;1,CR157&lt;=70),AND(CS157&gt;1,CS157&lt;=40)),"HIPOTENSIÓN","")))))))))</f>
        <v>APARENTEMENTE NORMAL</v>
      </c>
      <c r="CU157" s="21"/>
      <c r="CV157" s="21"/>
      <c r="CW157" s="217" t="str">
        <f ca="1">IF(R157="","",IF(AND(CN157&gt;19,CN157&lt;27,Tabla1[[#This Row],[T.A. SISTOLICA (Entre semana 20 y 26)]]="",Tabla1[[#This Row],[T.A. DIATOLICA (Entre semana 20 y 26)]]=""),"ACUDE A CONTROL SEM 20 A 26 REGISTRE TA AHORA",IF(AND(BS157&gt;1,BS157&lt;27,BU157&gt;19,Tabla1[[#This Row],[T.A. SISTOLICA (Entre semana 20 y 26)]]="",Tabla1[[#This Row],[T.A. DIATOLICA (Entre semana 20 y 26)]]=""),"COMPLETE REGISTRO TA CONTROL SEM 20 A26 ",IF(AND(BS157&gt;26,BS157&lt;43,Tabla1[[#This Row],[T.A. SISTOLICA (Entre semana 20 y 26)]]="",Tabla1[[#This Row],[T.A. DIATOLICA (Entre semana 20 y 26)]]=""),"NO APLICA REGISTRO TA-INGRESO TARDIO",IF(AND(OR(O157&gt;0,R157&gt;0),OR(CU157&gt;=140,CV157&gt;=90)),"ALTO RIESGO PREECLAMPSIA,DEFINIR ESTADIO HTA",IF(AND(OR(O157&gt;0,R157&gt;0),AND(CU157&gt;120,CU157&lt;=139)),"PRE HTA SEGUIMIENTO,RIESGO HIPERTENSION INDUCIDA POR EL EMBARAZO",IF(AND(OR(O157&gt;0,R157&gt;0),AND(CV157&gt;80,CV157&lt;=89)),"PRE HTA SEGUIMIENTO, RIESGO HIPERTENSION INDUCIDA POR EL EMBARAZO",IF(AND(OR(O157&lt;&gt;"",R157&lt;&gt;""),CS157&lt;&gt;"",CV157&lt;&gt;"",CS157&lt;=CV157),"VIGILAR CIFRAS PRESION ARTERIAL",IF(AND(OR(O157&gt;0,R157&gt;0),AND(CU157&gt;120,CU157&lt;=139)),"PRE HTA SEGUIMIENTO",IF(AND(OR(O157&gt;0,R157&gt;0),AND(CU157&gt;1,CU157&lt;=70),AND(CV157&gt;1,CV157&lt;=40)),"HIPOTENSIÓN",IF(AND(OR(O157&lt;&gt;"",R157&lt;&gt;""),CS157&lt;&gt;"",CV157&lt;&gt;"",CS157&gt;CV157),"APARENTEMENTE NORMAL",IF(AND(OR(O157&gt;0,R157&gt;0),AND(CU157&gt;=80,CU157&lt;=120)),"APARENTEMENTE NORMAL",IF(AND(OR(O157&gt;0,R157&gt;0),AND(CV157&gt;=50,CV157&lt;=80)),"APARENTEMENTE NORMAL","")))))))))))))</f>
        <v xml:space="preserve">COMPLETE REGISTRO TA CONTROL SEM 20 A26 </v>
      </c>
      <c r="CX157" s="21"/>
      <c r="CY157" s="21"/>
      <c r="CZ157" s="216" t="str">
        <f t="shared" si="688"/>
        <v/>
      </c>
      <c r="DA157" s="21">
        <v>90</v>
      </c>
      <c r="DB157" s="21">
        <v>60</v>
      </c>
      <c r="DC157" s="217" t="str">
        <f t="shared" si="610"/>
        <v>APARENTEMENTE NORMAL</v>
      </c>
      <c r="DD157" s="22">
        <v>45042</v>
      </c>
      <c r="DE157" s="22">
        <v>45042</v>
      </c>
      <c r="DF157" s="22"/>
      <c r="DG157" s="22">
        <v>45140</v>
      </c>
      <c r="DH157" s="22"/>
      <c r="DI157" s="22"/>
      <c r="DJ157" s="22"/>
      <c r="DK157" s="22"/>
      <c r="DL157" s="22"/>
      <c r="DM157" s="22"/>
      <c r="DN157" s="22"/>
      <c r="DO157" s="22"/>
      <c r="DP157" s="22"/>
      <c r="DQ157" s="22"/>
      <c r="DR157" s="28">
        <v>1</v>
      </c>
      <c r="DS157" s="22"/>
      <c r="DT157" s="22"/>
      <c r="DU157" s="216" t="str">
        <f t="shared" ca="1" si="674"/>
        <v>PLANEAR PLAN DE PARTO</v>
      </c>
      <c r="DV157" s="226" t="str">
        <f t="shared" si="675"/>
        <v>ACTIVA INGRESO A CPN</v>
      </c>
      <c r="DW15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7" s="216" t="e">
        <f t="shared" ca="1" si="611"/>
        <v>#REF!</v>
      </c>
      <c r="DY157" s="212">
        <f>IF(R157="","",IF(R157&gt;0,MAX(Tabla1[[#This Row],[FECHA C2]:[FECHA C13]],Tabla1[[#This Row],[FECHA CONSULTA PRIMERA VEZ PROGRAMA CPN ]])))</f>
        <v>45140</v>
      </c>
      <c r="DZ157" s="216">
        <f t="shared" si="612"/>
        <v>18</v>
      </c>
      <c r="EA157" s="222">
        <f>IF(R157&gt;0,SUM(COUNTA(DF157:DQ157)+COUNTA(Tabla1[[#This Row],[FECHA CONSULTA PRIMERA VEZ PROGRAMA CPN ]])),"")</f>
        <v>2</v>
      </c>
      <c r="EB157" s="222" t="str">
        <f t="shared" si="613"/>
        <v>NO</v>
      </c>
      <c r="EC157" s="214">
        <f t="shared" si="614"/>
        <v>10</v>
      </c>
      <c r="ED157" s="227">
        <f t="shared" si="615"/>
        <v>0.2</v>
      </c>
      <c r="EE157" s="22">
        <v>45042</v>
      </c>
      <c r="EF157" s="22">
        <v>45042</v>
      </c>
      <c r="EG157" s="22">
        <v>45042</v>
      </c>
      <c r="EH157" s="22"/>
      <c r="EI157" s="22">
        <v>45042</v>
      </c>
      <c r="EJ157" s="22"/>
      <c r="EK157" s="22"/>
      <c r="EL157" s="21"/>
      <c r="EM157" s="21">
        <v>13.4</v>
      </c>
      <c r="EN157" s="22">
        <v>45051</v>
      </c>
      <c r="EO157" s="222">
        <f t="shared" si="616"/>
        <v>5.4285714285714288</v>
      </c>
      <c r="EP157" s="214" t="str">
        <f t="shared" si="617"/>
        <v>NORMAL- SUMINISTRAR SULFATO FERROSO</v>
      </c>
      <c r="EQ157" s="216" t="str">
        <f t="shared" si="618"/>
        <v>I TRIM</v>
      </c>
      <c r="ER157" s="24"/>
      <c r="ES157" s="22"/>
      <c r="ET157" s="29" t="str">
        <f t="shared" ca="1" si="676"/>
        <v>TOMA DE HEMOGLOBINA TARDÍA</v>
      </c>
      <c r="EU157" s="25" t="str">
        <f t="shared" si="619"/>
        <v/>
      </c>
      <c r="EV157" s="24" t="s">
        <v>1510</v>
      </c>
      <c r="EW157" s="24">
        <v>45051</v>
      </c>
      <c r="EX157" s="22"/>
      <c r="EY157" s="29">
        <f t="shared" si="453"/>
        <v>5.4285714285714288</v>
      </c>
      <c r="EZ157" s="25" t="str">
        <f t="shared" si="454"/>
        <v>SIN RIESGO DE ISOINMUNIZACIÓN</v>
      </c>
      <c r="FA157" s="21"/>
      <c r="FB157" s="22"/>
      <c r="FC157" s="29" t="str">
        <f t="shared" si="620"/>
        <v>TOMAR EXAMEN</v>
      </c>
      <c r="FD157" s="29"/>
      <c r="FE157" s="29"/>
      <c r="FF157" s="29"/>
      <c r="FG157" s="21" t="str">
        <f t="shared" ca="1" si="621"/>
        <v>TOMAR PTOG</v>
      </c>
      <c r="FH157" s="31"/>
      <c r="FI157" s="29" t="str">
        <f t="shared" si="622"/>
        <v>TOMAR EXAMEN</v>
      </c>
      <c r="FJ157" s="22" t="s">
        <v>867</v>
      </c>
      <c r="FK157" s="22">
        <v>45042</v>
      </c>
      <c r="FL157" s="29">
        <f t="shared" ca="1" si="623"/>
        <v>4.1428571428571432</v>
      </c>
      <c r="FM157" s="22"/>
      <c r="FN157" s="32"/>
      <c r="FO157" s="29" t="str">
        <f t="shared" ca="1" si="677"/>
        <v>PIERDE TOMA DE TAMIZAJE</v>
      </c>
      <c r="FP157" s="22"/>
      <c r="FQ157" s="32"/>
      <c r="FR157" s="29" t="str">
        <f t="shared" ca="1" si="678"/>
        <v>EN RANGO PARA TOMAR EXAMEN</v>
      </c>
      <c r="FS157" s="22"/>
      <c r="FT157" s="32"/>
      <c r="FU157" s="29" t="str">
        <f>IF(AND(FJ157="",FM157="",FP157="",FS157=""),"",IF(OR(OR(Tabla1[[#This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7" s="28"/>
      <c r="FW157" s="22"/>
      <c r="FX157" s="29" t="str">
        <f t="shared" si="624"/>
        <v>TOMAR EXAMEN</v>
      </c>
      <c r="FY157" s="22">
        <v>45042</v>
      </c>
      <c r="FZ157" s="22">
        <v>45042</v>
      </c>
      <c r="GA157" s="29">
        <f t="shared" ref="GA157:GA188" ca="1" si="690">IF(AND(BT157="ERROR FUM O INGRESO",FZ157&gt;0),"ERROR FUM O INGRESO",IF(AND(FZ157="",R157="",O157=""),"",IF(OR(AND(FZ157&lt;&gt;"",FZ157&lt;RW157),AND(FZ157&lt;&gt;"",AND(SUM((FZ157-RW157)/7)&gt;=13,SUM((FZ157-RW157)/7)&lt;27))),"REGISTRAR EN II TRIMESTRE",IF(OR(AND(FZ157&lt;&gt;"",FZ157&lt;RW157),AND(FZ157&lt;&gt;"",AND(SUM((FZ157-RW157)/7)&gt;=27,SUM((FZ157-RW157)/7)&lt;44))),"REGISTRAR EN III TRIMESTRE",IF(AND(FZ157="",OR(O157&gt;0,R157&gt;0),AND(BU157&gt;1,BU157&lt;10)),"EN RANGO PARA TOMAR EXAMEN",IF(AND(FZ157="",OR(O157&gt;0,R157&gt;0),AND(BU157&gt;=10,BU157&lt;12)),"TOMA INMEDIATA DE TAMIZAJE",IF(AND(FZ157="",BS157&lt;12,OR(O157&gt;0,R157&gt;0)),"PIERDE TOMA DE TAMIZAJE",IF(AND(FZ157="",OR(O157&gt;0,R157&gt;0),AND(BS157&gt;=13,BS157&lt;44)),"NO APLICA-INGRESO TARDIO",IF(FZ157&gt;0,SUM(FZ157-RW157)/7,"")))))))))</f>
        <v>4.1428571428571432</v>
      </c>
      <c r="GB157" s="22"/>
      <c r="GC157" s="22"/>
      <c r="GD157" s="29" t="str">
        <f t="shared" ca="1" si="679"/>
        <v>PIERDE TOMA DE TAMIZAJE</v>
      </c>
      <c r="GE157" s="22"/>
      <c r="GF157" s="22"/>
      <c r="GG157" s="29" t="str">
        <f t="shared" ca="1" si="680"/>
        <v>EN RANGO PARA TOMAR EXAMEN</v>
      </c>
      <c r="GH157" s="22"/>
      <c r="GI157" s="29"/>
      <c r="GJ157" s="22"/>
      <c r="GK157" s="22"/>
      <c r="GL157" s="22"/>
      <c r="GM157" s="22"/>
      <c r="GN157" s="28"/>
      <c r="GO157" s="22"/>
      <c r="GP157" s="29" t="str">
        <f t="shared" si="625"/>
        <v>TOMAR EXAMEN</v>
      </c>
      <c r="GQ157" s="28" t="s">
        <v>869</v>
      </c>
      <c r="GR157" s="28" t="s">
        <v>869</v>
      </c>
      <c r="GS157" s="22" t="str">
        <f t="shared" si="626"/>
        <v>CONTROL Igm</v>
      </c>
      <c r="GT157" s="22">
        <v>45042</v>
      </c>
      <c r="GU157" s="29">
        <f t="shared" si="627"/>
        <v>4.1428571428571432</v>
      </c>
      <c r="GV157" s="21" t="str">
        <f t="shared" si="628"/>
        <v>I TRIM</v>
      </c>
      <c r="GW157" s="28" t="s">
        <v>869</v>
      </c>
      <c r="GX157" s="30"/>
      <c r="GY157" s="21"/>
      <c r="GZ157" s="21"/>
      <c r="HA157" s="21"/>
      <c r="HB157" s="21"/>
      <c r="HC157" s="21"/>
      <c r="HD157" s="21"/>
      <c r="HE157" s="21"/>
      <c r="HF157" s="22"/>
      <c r="HG157" s="22" t="str">
        <f>IF(OR(O157&gt;0,R157&gt;0),CONCATENATE(IF(Tabla1[[#This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7" s="22" t="e">
        <f t="shared" si="629"/>
        <v>#REF!</v>
      </c>
      <c r="HI157" s="22" t="str">
        <f t="shared" si="630"/>
        <v>ALTO RIESGO</v>
      </c>
      <c r="HJ157" s="21"/>
      <c r="HK157" s="21" t="str">
        <f t="shared" si="631"/>
        <v>RIESGO ALTO DE COMPLICACIONES HIPERTENSIVAS VER MANEJO GUIA SUMINISTRO ASA Y CALCIO</v>
      </c>
      <c r="HL157" s="24" t="str">
        <f t="shared" si="632"/>
        <v>APARENTEMENTE NORMAL</v>
      </c>
      <c r="HM157" s="21" t="e">
        <f t="shared" ca="1" si="633"/>
        <v>#REF!</v>
      </c>
      <c r="HN157" s="30" t="str">
        <f t="shared" si="681"/>
        <v>ACTIVA INGRESO A CPN</v>
      </c>
      <c r="HO157" s="21"/>
      <c r="HP157" s="21"/>
      <c r="HQ157" s="349">
        <v>45042</v>
      </c>
      <c r="HR157" s="21" t="str">
        <f>IF(R157="","",IF(Tabla1[[#This Row],[ALARMA FACTORES DE RIESGO COMPLICACIONES HIPERTENSIVAS3]]="SIN ANTECEDENTES DE RIESGO","No Aplica para suministro de ASA",IF(AND(Tabla1[[#This Row],[FECHA INICIO DE SUMINISTRO DE ASA]]&gt;0,RV157&lt;12),"Inicia ASA ANTES de Sem 12",IF(AND(RV157&gt;11,RV157&lt;17,OR(HK157="RIESGO ALTO DE COMPLICACIONES HIPERTENSIVAS VER MANEJO GUIA SUMINISTRO ASA Y CALCIO",HK157="RIESGO MODERADO (2 O MAS CRITERIOS) VER MANEJO GUIA SUMINISTRO ASA Y CALCIO")),"Inicio oportuno de ASA",IF(AND(RV157&gt;12,OR(HK157="RIESGO ALTO DE COMPLICACIONES HIPERTENSIVAS VER MANEJO GUIA SUMINISTRO ASA Y CALCIO",HK157="RIESGO MODERADO (2 O MAS CRITERIOS) VER MANEJO GUIA SUMINISTRO ASA Y CALCIO")),"Inicio no oportuno mayor a 16 semanas",IF(AND(BU157&lt;12,OR(HK157="RIESGO ALTO DE COMPLICACIONES HIPERTENSIVAS VER MANEJO GUIA SUMINISTRO ASA Y CALCIO",HK157="RIESGO MODERADO (2 O MAS CRITERIOS) VER MANEJO GUIA SUMINISTRO ASA Y CALCIO")),"Pendiente Inicio de ASA a la semana 12",IF(AND(BU157&gt;11,BU157&lt;17,OR(HK157="RIESGO ALTO DE COMPLICACIONES HIPERTENSIVAS VER MANEJO GUIA SUMINISTRO ASA Y CALCIO",HK157="RIESGO MODERADO (2 O MAS CRITERIOS) VER MANEJO GUIA SUMINISTRO ASA Y CALCIO")),"Iniciar de inmediato ASA",IF(AND(BU157&gt;16,OR(HK157="RIESGO ALTO DE COMPLICACIONES HIPERTENSIVAS VER MANEJO GUIA SUMINISTRO ASA Y CALCIO",HK157="RIESGO MODERADO (2 O MAS CRITERIOS) VER MANEJO GUIA SUMINISTRO ASA Y CALCIO")),"Pierde Oportunidad, Inicio tardío de ASA","XXXXX"))))))))</f>
        <v>Inicia ASA ANTES de Sem 12</v>
      </c>
      <c r="HS157" s="22">
        <v>45042</v>
      </c>
      <c r="HT157" s="22" t="s">
        <v>870</v>
      </c>
      <c r="HU157" s="22">
        <v>45042</v>
      </c>
      <c r="HV157" s="22" t="s">
        <v>870</v>
      </c>
      <c r="HW157" s="22">
        <v>45042</v>
      </c>
      <c r="HX157" s="22" t="s">
        <v>870</v>
      </c>
      <c r="HY157" s="22"/>
      <c r="HZ157" s="28" t="str">
        <f t="shared" si="634"/>
        <v>PENDIENTE CONSULTA</v>
      </c>
      <c r="IA157" s="26"/>
      <c r="IB157" s="26"/>
      <c r="IC157" s="111"/>
      <c r="ID157" s="22"/>
      <c r="IE157" s="22" t="str">
        <f t="shared" ca="1" si="635"/>
        <v>INASISTENTE</v>
      </c>
      <c r="IF157" s="22"/>
      <c r="IG157" s="22">
        <f t="shared" si="636"/>
        <v>45293</v>
      </c>
      <c r="IH157" s="29">
        <f t="shared" ca="1" si="637"/>
        <v>60</v>
      </c>
      <c r="II157" s="22" t="str">
        <f t="shared" ca="1" si="638"/>
        <v>PENDIENTE</v>
      </c>
      <c r="IJ157" s="22"/>
      <c r="IK157" s="21"/>
      <c r="IL157" s="21"/>
      <c r="IM157" s="34"/>
      <c r="IN157" s="22"/>
      <c r="IO157" s="21"/>
      <c r="IP157" s="29" t="str">
        <f t="shared" si="672"/>
        <v/>
      </c>
      <c r="IQ157" s="35"/>
      <c r="IR157" s="21"/>
      <c r="IS157" s="21"/>
      <c r="IT157" s="21"/>
      <c r="IU157" s="21"/>
      <c r="IV157" s="21"/>
      <c r="IW157" s="21"/>
      <c r="IX157" s="21"/>
      <c r="IY157" s="21"/>
      <c r="IZ157" s="21"/>
      <c r="JA157" s="21"/>
      <c r="JB157" s="30"/>
      <c r="JC157" s="21"/>
      <c r="JD157" s="36"/>
      <c r="JE157" s="21" t="str">
        <f t="shared" si="682"/>
        <v/>
      </c>
      <c r="JF157" s="30"/>
      <c r="JG157" s="21"/>
      <c r="JH157" s="21"/>
      <c r="JI157" s="21"/>
      <c r="JJ157" s="30"/>
      <c r="JK157" s="22"/>
      <c r="JL157" s="22"/>
      <c r="JM157" s="21"/>
      <c r="JN157" s="36"/>
      <c r="JO157" s="21" t="str">
        <f t="shared" si="683"/>
        <v/>
      </c>
      <c r="JP157" s="22"/>
      <c r="JQ157" s="21"/>
      <c r="JR157" s="21"/>
      <c r="JS157" s="21"/>
      <c r="JT157" s="30"/>
      <c r="JU157" s="22"/>
      <c r="JV157" s="22"/>
      <c r="JW157" s="33"/>
      <c r="JX157" s="28" t="str">
        <f t="shared" si="684"/>
        <v/>
      </c>
      <c r="JY157" s="33"/>
      <c r="JZ157" s="28" t="str">
        <f t="shared" si="685"/>
        <v/>
      </c>
      <c r="KA157" s="21"/>
      <c r="KB157" s="21"/>
      <c r="KC157" s="21"/>
      <c r="KD157" s="37"/>
      <c r="KE157" s="28"/>
      <c r="KF157" s="28"/>
      <c r="KG157" s="28"/>
      <c r="KH157" s="39"/>
      <c r="KI157" s="39"/>
      <c r="KJ157" s="66"/>
      <c r="KK157" s="39"/>
      <c r="KL157" s="39"/>
      <c r="KM157" s="66"/>
      <c r="KN157" s="39"/>
      <c r="KO157" s="39"/>
      <c r="KP157" s="39"/>
      <c r="KQ157" s="39"/>
      <c r="KR157" s="39"/>
      <c r="KS157" s="39"/>
      <c r="KT157" s="39"/>
      <c r="KU157" s="38"/>
      <c r="KV157" s="38"/>
      <c r="KW157" s="38"/>
      <c r="KX157" s="38"/>
      <c r="KY157" s="38"/>
      <c r="KZ157" s="38"/>
      <c r="LA157" s="38"/>
      <c r="LB157" s="38"/>
      <c r="LC157" s="38"/>
      <c r="LD157" s="38"/>
      <c r="LE157" s="38"/>
      <c r="LF157" s="38"/>
      <c r="LG157" s="38"/>
      <c r="LH157" s="38"/>
      <c r="LI157" s="38"/>
      <c r="LJ157" s="38"/>
      <c r="LK157" s="38"/>
      <c r="LL157" s="38"/>
      <c r="LM157" s="38"/>
      <c r="LN157" s="38"/>
      <c r="LO157" s="38"/>
      <c r="LP157" s="38"/>
      <c r="LQ157" s="38"/>
      <c r="LR157" s="38"/>
      <c r="LS157" s="38"/>
      <c r="LT157" s="38"/>
      <c r="LU157" s="38"/>
      <c r="LV157" s="38"/>
      <c r="LW157" s="38"/>
      <c r="LX157" s="38"/>
      <c r="LY157" s="38"/>
      <c r="LZ157" s="38"/>
      <c r="MA157" s="38"/>
      <c r="MB157" s="38"/>
      <c r="MC157" s="38"/>
      <c r="MD157" s="38"/>
      <c r="ME157" s="38"/>
      <c r="MF157" s="38"/>
      <c r="MG157" s="38"/>
      <c r="MH157" s="43">
        <f t="shared" si="639"/>
        <v>0</v>
      </c>
      <c r="MI157" s="43" t="str">
        <f t="shared" si="640"/>
        <v/>
      </c>
      <c r="MJ157" s="43" t="str">
        <f t="shared" si="641"/>
        <v/>
      </c>
      <c r="MK157" s="43">
        <f t="shared" si="642"/>
        <v>0</v>
      </c>
      <c r="ML15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7" s="43">
        <f t="shared" si="643"/>
        <v>4.1428571428571432</v>
      </c>
      <c r="MN157" s="43">
        <f t="shared" si="644"/>
        <v>4</v>
      </c>
      <c r="MO157" s="43">
        <f t="shared" si="645"/>
        <v>2023</v>
      </c>
      <c r="MP157" s="43" t="str">
        <f t="shared" si="646"/>
        <v>II TRIMESTRE AÑO</v>
      </c>
      <c r="MQ157" s="43">
        <f t="shared" si="647"/>
        <v>31.917980727113445</v>
      </c>
      <c r="MR157" s="43">
        <f t="shared" si="648"/>
        <v>0</v>
      </c>
      <c r="MS157" s="43" t="str">
        <f t="shared" si="649"/>
        <v xml:space="preserve"> DE 30 A 34 AÑOS</v>
      </c>
      <c r="MT157" s="43">
        <f t="shared" si="650"/>
        <v>0</v>
      </c>
      <c r="MU157" s="43">
        <f t="shared" si="651"/>
        <v>0</v>
      </c>
      <c r="MV157" s="43">
        <f t="shared" si="652"/>
        <v>0</v>
      </c>
      <c r="MW157" s="43">
        <f t="shared" si="653"/>
        <v>0</v>
      </c>
      <c r="MX157" s="43" t="str">
        <f t="shared" si="654"/>
        <v/>
      </c>
      <c r="MY157" s="43" t="str">
        <f t="shared" ca="1" si="686"/>
        <v/>
      </c>
      <c r="MZ157" s="43" t="str">
        <f t="shared" si="655"/>
        <v/>
      </c>
      <c r="NA157" s="43" t="str">
        <f t="shared" si="656"/>
        <v/>
      </c>
      <c r="NB157" s="43" t="str">
        <f t="shared" si="657"/>
        <v/>
      </c>
      <c r="NC157" s="43" t="str">
        <f t="shared" si="658"/>
        <v/>
      </c>
      <c r="ND157" s="43">
        <f t="shared" ca="1" si="659"/>
        <v>1</v>
      </c>
      <c r="NE157" s="43">
        <f>IF(OR(O157&gt;0,R157&gt;0),SUM(COUNTIF(Tabla1[[#This Row],[AÑOS AL INICIO5 CPN]],"&gt;=40"),COUNTIF(AS157,"0"),COUNTIF(AR157,"SI"),COUNTIF(CC157,"SI"),COUNTIF(BQ157,"&gt;119"),COUNTIF(CI157,"&gt;=35")),"")</f>
        <v>0</v>
      </c>
      <c r="NF157" s="43" t="str">
        <f t="shared" si="660"/>
        <v/>
      </c>
      <c r="NG157" s="43">
        <f t="shared" si="661"/>
        <v>0</v>
      </c>
      <c r="NH157" s="43">
        <f t="shared" si="662"/>
        <v>42.699999999999996</v>
      </c>
      <c r="NI15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CPN",P157="NO"),"Z",IF(AND(Tabla1[[#This Row],[CITA PROXIMO CONTROL]]="CITA MANUAL",Tabla1[[#This Row],[GESTANTES ACTUALES]]="ACTIVA INGRESO A CPN"),"W",IF(AND(Tabla1[[#This Row],[GESTANTES ACTUALES]]="SALIO PROGRAMA",IN157=""),"S",IF(AND(Tabla1[[#This Row],[CITA PROXIMO CONTROL]]&gt;0,IN157=""),(Tabla1[[#This Row],[CITA PROXIMO CONTROL]]-TODAY()),"SD"))))))))</f>
        <v>#REF!</v>
      </c>
      <c r="NJ157" s="43">
        <f>MONTH(Tabla1[[#This Row],[FECHA DE SALIDA  DEL PROGRAMA]])</f>
        <v>1</v>
      </c>
      <c r="NK157" s="43">
        <f>YEAR(Tabla1[[#This Row],[FECHA DE SALIDA  DEL PROGRAMA]])</f>
        <v>1900</v>
      </c>
      <c r="NL157" s="43" t="str">
        <f t="shared" si="663"/>
        <v>X</v>
      </c>
      <c r="NM157" s="43" t="str">
        <f t="shared" si="500"/>
        <v>NO</v>
      </c>
      <c r="NN157" s="43" t="str">
        <f ca="1">IF(AND(O157&gt;0,R157=""),"NO CPN",IF(AND(O157="",R157=""),"",IF(AND(R157&gt;0,Tabla1[[#This Row],[SEMANAS DE GESTACION ACTUALIZADAS]]&lt;=12),"NO APLICA",IF(AND(FH157&lt;&gt;"",FN157&lt;&gt;""),"SI","NO"))))</f>
        <v>NO</v>
      </c>
      <c r="NO157" s="43" t="str">
        <f ca="1">IF(AND(O157&gt;0,R157=""),"NO CPN",IF(AND(O157="",R157=""),"",IF(AND(R157&gt;0,Tabla1[[#This Row],[SEMANAS DE GESTACION ACTUALIZADAS]]&lt;=27),"NO APLICA",IF(AND(ES157&lt;&gt;"",FQ157&lt;&gt;"",GF157&lt;&gt;""),"SI","NO"))))</f>
        <v>NO</v>
      </c>
      <c r="NP157" s="204" t="str">
        <f t="shared" si="664"/>
        <v>I TRIM</v>
      </c>
      <c r="NQ157" s="21" t="e">
        <f t="shared" si="689"/>
        <v>#REF!</v>
      </c>
      <c r="NR157" s="21">
        <f t="shared" ca="1" si="687"/>
        <v>3</v>
      </c>
      <c r="NS157" s="205">
        <f t="shared" ca="1" si="665"/>
        <v>1</v>
      </c>
      <c r="NT157" s="21">
        <f t="shared" ca="1" si="666"/>
        <v>1</v>
      </c>
      <c r="NU157" s="21" t="str">
        <f t="shared" ca="1" si="667"/>
        <v>INCOMPLETO</v>
      </c>
      <c r="NV157" s="21" t="str">
        <f t="shared" ca="1" si="668"/>
        <v>INCOMPLETO</v>
      </c>
      <c r="NW157" s="206" t="str">
        <f>IF(AND(O157="",R157=""),"",IF(OR(AND(Tabla1[[#This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7" s="207" t="str">
        <f t="shared" ca="1" si="669"/>
        <v>SIN VACUNAR</v>
      </c>
      <c r="NY157" s="43">
        <f>ROW(Tabla1[[#This Row],['# DE TAMIZAJES SIFILIS TOMADOS ]])</f>
        <v>157</v>
      </c>
      <c r="NZ157" s="43" t="str">
        <f t="shared" si="501"/>
        <v>Menor</v>
      </c>
      <c r="OA157" s="43" t="str">
        <f t="shared" si="502"/>
        <v>SOBREPESO</v>
      </c>
      <c r="OB157" s="43" t="str">
        <f t="shared" si="503"/>
        <v/>
      </c>
      <c r="OC157" s="43" t="str">
        <f t="shared" si="504"/>
        <v/>
      </c>
      <c r="OD157" s="43" t="str">
        <f t="shared" si="505"/>
        <v/>
      </c>
      <c r="OE157" s="43" t="str">
        <f t="shared" si="506"/>
        <v/>
      </c>
      <c r="OF157" s="43" t="str">
        <f t="shared" si="507"/>
        <v/>
      </c>
      <c r="OG157" s="43" t="str">
        <f t="shared" si="508"/>
        <v/>
      </c>
      <c r="OH157" s="43" t="str">
        <f t="shared" si="509"/>
        <v/>
      </c>
      <c r="OI157" s="43" t="str">
        <f t="shared" si="510"/>
        <v/>
      </c>
      <c r="OJ157" s="43" t="str">
        <f t="shared" si="511"/>
        <v/>
      </c>
      <c r="OK157" s="43" t="str">
        <f t="shared" si="512"/>
        <v/>
      </c>
      <c r="OL157" s="43" t="str">
        <f t="shared" si="513"/>
        <v/>
      </c>
      <c r="OM157" s="43" t="str">
        <f t="shared" si="514"/>
        <v/>
      </c>
      <c r="ON157" s="43" t="str">
        <f t="shared" si="515"/>
        <v/>
      </c>
      <c r="OO157" s="43" t="str">
        <f t="shared" si="516"/>
        <v/>
      </c>
      <c r="OP157" s="43" t="str">
        <f t="shared" si="517"/>
        <v/>
      </c>
      <c r="OQ157" s="43" t="str">
        <f t="shared" si="518"/>
        <v/>
      </c>
      <c r="OR157" s="43" t="str">
        <f t="shared" si="519"/>
        <v/>
      </c>
      <c r="OS157" s="43" t="str">
        <f t="shared" si="520"/>
        <v/>
      </c>
      <c r="OT157" s="43" t="str">
        <f t="shared" si="521"/>
        <v/>
      </c>
      <c r="OU157" s="43" t="str">
        <f t="shared" si="522"/>
        <v/>
      </c>
      <c r="OV157" s="110" t="str">
        <f t="shared" si="523"/>
        <v/>
      </c>
      <c r="OW157" s="43" t="str">
        <f t="shared" si="524"/>
        <v/>
      </c>
      <c r="OX157" s="43" t="str">
        <f t="shared" si="525"/>
        <v/>
      </c>
      <c r="OY157" s="43" t="str">
        <f t="shared" si="526"/>
        <v/>
      </c>
      <c r="OZ157" s="43" t="str">
        <f t="shared" si="527"/>
        <v/>
      </c>
      <c r="PA157" s="43" t="str">
        <f t="shared" si="528"/>
        <v/>
      </c>
      <c r="PB157" s="43" t="str">
        <f t="shared" si="529"/>
        <v/>
      </c>
      <c r="PC157" s="43" t="str">
        <f t="shared" si="530"/>
        <v/>
      </c>
      <c r="PD157" s="43" t="str">
        <f t="shared" si="531"/>
        <v/>
      </c>
      <c r="PE157" s="43" t="str">
        <f t="shared" si="532"/>
        <v/>
      </c>
      <c r="PF157" s="43" t="str">
        <f t="shared" si="533"/>
        <v/>
      </c>
      <c r="PG157" s="43" t="str">
        <f t="shared" si="534"/>
        <v/>
      </c>
      <c r="PH157" s="43" t="str">
        <f t="shared" si="535"/>
        <v/>
      </c>
      <c r="PI157" s="43">
        <f t="shared" si="536"/>
        <v>18</v>
      </c>
      <c r="PJ157" s="43" t="str">
        <f t="shared" si="537"/>
        <v/>
      </c>
      <c r="PK157" s="43" t="str">
        <f t="shared" si="538"/>
        <v/>
      </c>
      <c r="PL157" s="43" t="str">
        <f t="shared" si="539"/>
        <v/>
      </c>
      <c r="PM157" s="43" t="str">
        <f t="shared" si="540"/>
        <v/>
      </c>
      <c r="PN157" s="43" t="str">
        <f t="shared" si="541"/>
        <v/>
      </c>
      <c r="PO157" s="43" t="str">
        <f t="shared" si="542"/>
        <v/>
      </c>
      <c r="PP157" s="43" t="str">
        <f t="shared" si="543"/>
        <v/>
      </c>
      <c r="PQ157" s="43" t="str">
        <f t="shared" si="544"/>
        <v/>
      </c>
      <c r="PR157" s="43" t="str">
        <f t="shared" si="545"/>
        <v/>
      </c>
      <c r="PS157" s="43" t="str">
        <f t="shared" si="546"/>
        <v>SOBREPESO</v>
      </c>
      <c r="PT157" s="43" t="str">
        <f t="shared" si="547"/>
        <v/>
      </c>
      <c r="PU157" s="43" t="str">
        <f t="shared" si="548"/>
        <v/>
      </c>
      <c r="PV157" s="43" t="str">
        <f t="shared" si="549"/>
        <v/>
      </c>
      <c r="PW157" s="43" t="str">
        <f t="shared" si="550"/>
        <v/>
      </c>
      <c r="PX157" s="43" t="str">
        <f t="shared" si="551"/>
        <v/>
      </c>
      <c r="PY157" s="43" t="str">
        <f t="shared" si="552"/>
        <v/>
      </c>
      <c r="PZ157" s="43" t="str">
        <f t="shared" si="553"/>
        <v/>
      </c>
      <c r="QA157" s="43" t="str">
        <f t="shared" si="554"/>
        <v/>
      </c>
      <c r="QB157" s="43" t="str">
        <f t="shared" si="555"/>
        <v/>
      </c>
      <c r="QC157" s="43" t="str">
        <f t="shared" si="556"/>
        <v/>
      </c>
      <c r="QD157" s="43" t="str">
        <f t="shared" si="557"/>
        <v/>
      </c>
      <c r="QE157" s="43" t="str">
        <f t="shared" si="558"/>
        <v/>
      </c>
      <c r="QF157" s="43" t="str">
        <f t="shared" si="559"/>
        <v/>
      </c>
      <c r="QG157" s="43" t="str">
        <f t="shared" si="560"/>
        <v/>
      </c>
      <c r="QH157" s="43" t="str">
        <f t="shared" si="561"/>
        <v/>
      </c>
      <c r="QI157" s="43" t="str">
        <f t="shared" si="562"/>
        <v/>
      </c>
      <c r="QJ157" s="43" t="str">
        <f t="shared" si="563"/>
        <v/>
      </c>
      <c r="QK157" s="43" t="str">
        <f t="shared" si="564"/>
        <v/>
      </c>
      <c r="QL157" s="43" t="str">
        <f t="shared" si="565"/>
        <v/>
      </c>
      <c r="QM157" s="43" t="str">
        <f t="shared" si="566"/>
        <v/>
      </c>
      <c r="QN157" s="43" t="str">
        <f t="shared" si="567"/>
        <v/>
      </c>
      <c r="QO157" s="43" t="str">
        <f t="shared" si="568"/>
        <v/>
      </c>
      <c r="QP157" s="43" t="str">
        <f t="shared" si="569"/>
        <v/>
      </c>
      <c r="QQ157" s="43" t="str">
        <f t="shared" si="570"/>
        <v/>
      </c>
      <c r="QR157" s="43">
        <f t="shared" si="670"/>
        <v>18</v>
      </c>
      <c r="QS157" s="43"/>
      <c r="QT157" s="21" t="str">
        <f t="shared" si="571"/>
        <v/>
      </c>
      <c r="QU157" s="21" t="str">
        <f t="shared" si="572"/>
        <v/>
      </c>
      <c r="QV157" s="21" t="str">
        <f t="shared" si="573"/>
        <v/>
      </c>
      <c r="QW157" s="21" t="str">
        <f t="shared" si="574"/>
        <v/>
      </c>
      <c r="QX157" s="21" t="str">
        <f t="shared" si="575"/>
        <v/>
      </c>
      <c r="QY157" s="21" t="str">
        <f t="shared" si="576"/>
        <v>ADECUADO PARA EDAD GESTACIONAL</v>
      </c>
      <c r="QZ157" s="21" t="str">
        <f t="shared" si="577"/>
        <v/>
      </c>
      <c r="RA157" s="21" t="str">
        <f t="shared" si="578"/>
        <v/>
      </c>
      <c r="RB157" s="21" t="str">
        <f t="shared" si="579"/>
        <v/>
      </c>
      <c r="RC157" s="21" t="str">
        <f t="shared" si="580"/>
        <v/>
      </c>
      <c r="RD157" s="21" t="str">
        <f t="shared" si="581"/>
        <v/>
      </c>
      <c r="RE157" s="21" t="str">
        <f t="shared" si="582"/>
        <v/>
      </c>
      <c r="RF157" s="21" t="str">
        <f t="shared" si="583"/>
        <v/>
      </c>
      <c r="RG157" s="21" t="str">
        <f t="shared" si="584"/>
        <v/>
      </c>
      <c r="RH157" s="21" t="str">
        <f t="shared" si="585"/>
        <v/>
      </c>
      <c r="RI157" s="21" t="str">
        <f t="shared" si="586"/>
        <v/>
      </c>
      <c r="RJ157" s="21" t="str">
        <f t="shared" si="587"/>
        <v/>
      </c>
      <c r="RK157" s="21" t="str">
        <f t="shared" si="588"/>
        <v/>
      </c>
      <c r="RL157" s="21" t="str">
        <f t="shared" si="589"/>
        <v/>
      </c>
      <c r="RM157" s="21" t="str">
        <f t="shared" si="590"/>
        <v/>
      </c>
      <c r="RN157" s="21" t="str">
        <f t="shared" si="591"/>
        <v/>
      </c>
      <c r="RO157" s="21" t="str">
        <f t="shared" si="592"/>
        <v/>
      </c>
      <c r="RP157" s="21" t="str">
        <f t="shared" si="593"/>
        <v/>
      </c>
      <c r="RQ157" s="21" t="str">
        <f t="shared" si="594"/>
        <v/>
      </c>
      <c r="RR157" s="21" t="str">
        <f t="shared" si="595"/>
        <v/>
      </c>
      <c r="RS157" s="21" t="str">
        <f t="shared" si="596"/>
        <v/>
      </c>
      <c r="RT157" s="21" t="str">
        <f t="shared" si="597"/>
        <v/>
      </c>
      <c r="RU157" s="21" t="str">
        <f t="shared" si="598"/>
        <v/>
      </c>
      <c r="RV157" s="21">
        <f t="shared" si="599"/>
        <v>4.1428571428571432</v>
      </c>
      <c r="RW157" s="284">
        <f>IF(OR(Tabla1[[#This Row],[FUM FORMULA CONFIABLE]]="",Tabla1[[#This Row],[FUM FORMULA CONFIABLE]]="SD"),"",IF(Tabla1[[#This Row],[FUM FORMULA CONFIABLE]]="CORREGIDA",Tabla1[[#This Row],[FUM X ECO 1]],Tabla1[[#This Row],[FUM x AMENORREA]]))</f>
        <v>45013</v>
      </c>
      <c r="RX157" s="21">
        <f>IF(AND(Tabla1[[#This Row],[FUM X ECO 1]]="",Tabla1[[#This Row],[FUM x AMENORREA]]=""),"",IF(AND(Tabla1[[#This Row],[FUM X ECO 1]]="",Tabla1[[#This Row],[FUM x AMENORREA]]&lt;&gt;""),"X",SUM(Tabla1[[#This Row],[FUM X ECO 1]]-Tabla1[[#This Row],[FUM x AMENORREA]])))</f>
        <v>-4.6999999999970896</v>
      </c>
      <c r="RY157" s="21">
        <f t="shared" si="671"/>
        <v>0</v>
      </c>
    </row>
    <row r="158" spans="1:493" ht="45" customHeight="1" x14ac:dyDescent="0.25">
      <c r="A158" s="109"/>
      <c r="B158" s="43"/>
      <c r="C158" s="43" t="s">
        <v>845</v>
      </c>
      <c r="D158" s="124"/>
      <c r="E158" s="43" t="s">
        <v>884</v>
      </c>
      <c r="F158" s="43" t="s">
        <v>1144</v>
      </c>
      <c r="G158" s="43" t="s">
        <v>1454</v>
      </c>
      <c r="H158" s="43"/>
      <c r="I158" s="109" t="s">
        <v>851</v>
      </c>
      <c r="J158" s="110">
        <v>1002847188</v>
      </c>
      <c r="K158" s="43" t="s">
        <v>852</v>
      </c>
      <c r="L158" s="175" t="s">
        <v>1509</v>
      </c>
      <c r="M158" s="22">
        <v>36745</v>
      </c>
      <c r="N158" s="213">
        <f t="shared" ca="1" si="600"/>
        <v>23.254794520547946</v>
      </c>
      <c r="O158" s="22">
        <v>45036</v>
      </c>
      <c r="P158" s="214" t="str">
        <f t="shared" si="673"/>
        <v>SI</v>
      </c>
      <c r="Q158" s="26" t="s">
        <v>855</v>
      </c>
      <c r="R158" s="22">
        <v>45036</v>
      </c>
      <c r="S158" s="21" t="s">
        <v>856</v>
      </c>
      <c r="T158" s="24" t="s">
        <v>690</v>
      </c>
      <c r="U158" s="21" t="s">
        <v>857</v>
      </c>
      <c r="V158" s="21" t="s">
        <v>858</v>
      </c>
      <c r="W158" s="21" t="s">
        <v>999</v>
      </c>
      <c r="X158" s="21"/>
      <c r="Y158" s="21"/>
      <c r="Z158" s="21">
        <v>3122551882</v>
      </c>
      <c r="AA158" s="21" t="s">
        <v>860</v>
      </c>
      <c r="AB158" s="27" t="s">
        <v>861</v>
      </c>
      <c r="AC158" s="26" t="s">
        <v>846</v>
      </c>
      <c r="AD158" s="38" t="s">
        <v>863</v>
      </c>
      <c r="AE158" s="26" t="s">
        <v>854</v>
      </c>
      <c r="AF158" s="26" t="s">
        <v>854</v>
      </c>
      <c r="AG158" s="23" t="s">
        <v>864</v>
      </c>
      <c r="AH158" s="23" t="s">
        <v>864</v>
      </c>
      <c r="AI158" s="24" t="s">
        <v>863</v>
      </c>
      <c r="AJ158" s="23" t="s">
        <v>864</v>
      </c>
      <c r="AK158" s="220" t="str">
        <f>IF(AND(AD158="",AE158="",AF158="",AG158="",AH158="",AI158="",AJ158=""),"",IF(OR(Tabla1[[#This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EVALUACIÓN",IF(AND(O158="",R158=""),"",IF(AND(OR(O158&gt;0,R158&gt;0),NG158&gt;=0,NG158&lt;2),"SIN RIESGO",IF(AND(OR(O158&gt;0,R158&gt;0),NG158&gt;=2),"CON RIESGO","ASD")))))</f>
        <v>SIN RIESGO</v>
      </c>
      <c r="AL158" s="23" t="s">
        <v>864</v>
      </c>
      <c r="AM158" s="26" t="s">
        <v>864</v>
      </c>
      <c r="AN158" s="26" t="s">
        <v>864</v>
      </c>
      <c r="AO158" s="26" t="s">
        <v>864</v>
      </c>
      <c r="AP158" s="26" t="s">
        <v>864</v>
      </c>
      <c r="AQ158" s="26" t="s">
        <v>864</v>
      </c>
      <c r="AR158" s="26" t="s">
        <v>864</v>
      </c>
      <c r="AS158" s="21">
        <v>0</v>
      </c>
      <c r="AT158" s="21">
        <v>0</v>
      </c>
      <c r="AU158" s="21">
        <v>0</v>
      </c>
      <c r="AV158" s="26" t="s">
        <v>864</v>
      </c>
      <c r="AW158" s="21" t="e">
        <v>#REF!</v>
      </c>
      <c r="AX158" s="26" t="s">
        <v>864</v>
      </c>
      <c r="AY158" s="26" t="s">
        <v>864</v>
      </c>
      <c r="AZ158" s="26" t="s">
        <v>864</v>
      </c>
      <c r="BA158" s="26" t="s">
        <v>864</v>
      </c>
      <c r="BB158" s="26" t="s">
        <v>864</v>
      </c>
      <c r="BC158" s="26" t="s">
        <v>864</v>
      </c>
      <c r="BD158" s="26" t="s">
        <v>864</v>
      </c>
      <c r="BE158" s="26" t="s">
        <v>864</v>
      </c>
      <c r="BF158" s="26" t="s">
        <v>864</v>
      </c>
      <c r="BG158" s="26" t="s">
        <v>864</v>
      </c>
      <c r="BH158" s="26" t="s">
        <v>864</v>
      </c>
      <c r="BI158" s="26" t="s">
        <v>864</v>
      </c>
      <c r="BJ158" s="26"/>
      <c r="BK158" s="26"/>
      <c r="BL158" s="26" t="s">
        <v>864</v>
      </c>
      <c r="BM158" s="26" t="s">
        <v>864</v>
      </c>
      <c r="BN158" s="22"/>
      <c r="BO158" s="22">
        <v>44859</v>
      </c>
      <c r="BP158" s="21" t="s">
        <v>854</v>
      </c>
      <c r="BQ158" s="222">
        <f t="shared" si="601"/>
        <v>0</v>
      </c>
      <c r="BR158" s="223">
        <f t="shared" si="602"/>
        <v>44855</v>
      </c>
      <c r="BS158" s="224">
        <f t="shared" si="603"/>
        <v>25.285714285714285</v>
      </c>
      <c r="BT158" s="216" t="str">
        <f t="shared" si="604"/>
        <v>II TRIM</v>
      </c>
      <c r="BU158" s="214" t="str">
        <f t="shared" ca="1" si="605"/>
        <v/>
      </c>
      <c r="BV158" s="25"/>
      <c r="BW158" s="22">
        <v>45051</v>
      </c>
      <c r="BX158" s="28">
        <v>28</v>
      </c>
      <c r="BY158" s="28"/>
      <c r="BZ158" s="22"/>
      <c r="CA158" s="21"/>
      <c r="CB158" s="26"/>
      <c r="CC158" s="26"/>
      <c r="CD158" s="26"/>
      <c r="CE158" s="26"/>
      <c r="CF158" s="22" t="s">
        <v>1517</v>
      </c>
      <c r="CG158" s="21">
        <v>1.42</v>
      </c>
      <c r="CH158" s="21">
        <v>50</v>
      </c>
      <c r="CI158" s="214">
        <f t="shared" si="606"/>
        <v>24.79666732791113</v>
      </c>
      <c r="CJ158" s="225" t="e">
        <f>IF(AND(CI158&lt;10,CH158="SD"),"SIN DATO PESO PREGESTACION O I TRIM",IF(AND(OR(R158&gt;0,O158&gt;0),CI158="X"),"INGRESAR DATO DE PESO",IF(CI158="SD","INGRESAR DATO DE TALLA Y PESO",IF(AND(OR(Tabla1[[#This Row],[MOMENTO EN QUE SE REALIZA EL PESO AL INGRESO A CPN]]="PREGESTACIÓN",NZ158="Menor"),CI158&lt;18.5),"BAJO PESO",IF(AND(OR(Tabla1[[#This Row],[MOMENTO EN QUE SE REALIZA EL PESO AL INGRESO A CPN]]="PREGESTACIÓN",NZ158="Menor"),CI158&lt;25),"NORMAL",IF(AND(OR(Tabla1[[#This Row],[MOMENTO EN QUE SE REALIZA EL PESO AL INGRESO A CPN]]="PREGESTACIÓN",NZ158="Menor"),CI158&lt;30),"SOBREPESO",IF(AND(OR(Tabla1[[#This Row],[MOMENTO EN QUE SE REALIZA EL PESO AL INGRESO A CPN]]="PREGESTACIÓN",NZ158="Menor"),CI158&gt;=30,CI158&lt;50),"OBESIDAD",IF(AND(BS158&gt;0,Tabla1[[#This Row],[MOMENTO EN QUE SE REALIZA EL PESO AL INGRESO A CPN]]="GESTACIÓN"),HLOOKUP(NZ158,$OA$2:PH158,NY158),""))))))))</f>
        <v>#REF!</v>
      </c>
      <c r="CK158" s="212">
        <f t="shared" si="607"/>
        <v>45097</v>
      </c>
      <c r="CL158" s="21">
        <v>51.8</v>
      </c>
      <c r="CM158" s="214">
        <f t="shared" si="608"/>
        <v>25.689347351715927</v>
      </c>
      <c r="CN158" s="216">
        <f t="shared" si="609"/>
        <v>34</v>
      </c>
      <c r="CO158" s="216" t="e">
        <f>IF(PI158="","",IF(PI158&gt;0,HLOOKUP(PI158,$PJ$2:QQ158,NY158),""))</f>
        <v>#REF!</v>
      </c>
      <c r="CP158" s="21">
        <v>35.299999999999997</v>
      </c>
      <c r="CQ158" s="216" t="e">
        <f>IF(QR158="Menor","NO APLICA-MENOR 13 SEM",IF(AND(CC158="SI",CN158&gt;23),"NO APLICA- GEMELAR",IF(QR158="","",IF(QR158&gt;0,HLOOKUP(QR158,$QS$2:RU158,NY158),""))))</f>
        <v>#REF!</v>
      </c>
      <c r="CR158" s="21"/>
      <c r="CS158" s="21"/>
      <c r="CT158" s="217" t="str">
        <f>IF(R158="","",IF(AND(BS158&gt;1,BS158&lt;12,Tabla1[[#This Row],[T.A. SISTOLICA - ANTES DE SEMANA 12]]="",Tabla1[[#This Row],[T.A. DIASTOLICA - ANTES DE SEMANA 12]]=""),"REGISTRE DATO TA ANTES SEMANA 12",IF(AND(BS158&gt;11,BS158&lt;43,Tabla1[[#This Row],[T.A. SISTOLICA - ANTES DE SEMANA 12]]="",Tabla1[[#This Row],[T.A. DIASTOLICA - ANTES DE SEMANA 12]]=""),"NO APLICA REGISTRO TA-INGRESO TARDIO",IF(AND(OR(O158&gt;0,R158&gt;0),OR(CR158&gt;=140,CS158&gt;=90)),"DEFINIR ESTADIO HTA",IF(AND(OR(O158&gt;0,R158&gt;0),AND(CR158&gt;120,CR158&lt;=139)),"PRE HTA SEGUIMIENTO",IF(AND(OR(O158&gt;0,R158&gt;0),AND(CS158&gt;80,CS158&lt;=89)),"PRE HTA SEGUIMIENTO",IF(AND(OR(O158&gt;0,R158&gt;0),AND(CR158&gt;=80,CR158&lt;=120)),"APARENTEMENTE NORMAL",IF(AND(OR(O158&gt;0,R158&gt;0),AND(CS158&gt;=50,CS158&lt;=80)),"APARENTEMENTE NORMAL",IF(AND(OR(O158&gt;0,R158&gt;0),AND(CR158&gt;1,CR158&lt;=70),AND(CS158&gt;1,CS158&lt;=40)),"HIPOTENSIÓN","")))))))))</f>
        <v>NO APLICA REGISTRO TA-INGRESO TARDIO</v>
      </c>
      <c r="CU158" s="21">
        <v>90</v>
      </c>
      <c r="CV158" s="21">
        <v>60</v>
      </c>
      <c r="CW158" s="217" t="str">
        <f ca="1">IF(R158="","",IF(AND(CN158&gt;19,CN158&lt;27,Tabla1[[#This Row],[T.A. SISTOLICA (Entre semana 20 y 26)]]="",Tabla1[[#This Row],[T.A. DIATOLICA (Entre semana 20 y 26)]]=""),"ACUDE A CONTROL SEM 20 A 26 REGISTRE TA AHORA",IF(AND(BS158&gt;1,BS158&lt;27,BU158&gt;19,Tabla1[[#This Row],[T.A. SISTOLICA (Entre semana 20 y 26)]]="",Tabla1[[#This Row],[T.A. DIATOLICA (Entre semana 20 y 26)]]=""),"COMPLETE REGISTRO TA CONTROL SEM 20 A26 ",IF(AND(BS158&gt;26,BS158&lt;43,Tabla1[[#This Row],[T.A. SISTOLICA (Entre semana 20 y 26)]]="",Tabla1[[#This Row],[T.A. DIATOLICA (Entre semana 20 y 26)]]=""),"NO APLICA REGISTRO TA-INGRESO TARDIO",IF(AND(OR(O158&gt;0,R158&gt;0),OR(CU158&gt;=140,CV158&gt;=90)),"ALTO RIESGO PREECLAMPSIA,DEFINIR ESTADIO HTA",IF(AND(OR(O158&gt;0,R158&gt;0),AND(CU158&gt;120,CU158&lt;=139)),"PRE HTA SEGUIMIENTO,RIESGO HIPERTENSION INDUCIDA POR EL EMBARAZO",IF(AND(OR(O158&gt;0,R158&gt;0),AND(CV158&gt;80,CV158&lt;=89)),"PRE HTA SEGUIMIENTO, RIESGO HIPERTENSION INDUCIDA POR EL EMBARAZO",IF(AND(OR(O158&lt;&gt;"",R158&lt;&gt;""),CS158&lt;&gt;"",CV158&lt;&gt;"",CS158&lt;=CV158),"VIGILAR CIFRAS PRESION ARTERIAL",IF(AND(OR(O158&gt;0,R158&gt;0),AND(CU158&gt;120,CU158&lt;=139)),"PRE HTA SEGUIMIENTO",IF(AND(OR(O158&gt;0,R158&gt;0),AND(CU158&gt;1,CU158&lt;=70),AND(CV158&gt;1,CV158&lt;=40)),"HIPOTENSIÓN",IF(AND(OR(O158&lt;&gt;"",R158&lt;&gt;""),CS158&lt;&gt;"",CV158&lt;&gt;"",CS158&gt;CV158),"APARENTEMENTE NORMAL",IF(AND(OR(O158&gt;0,R158&gt;0),AND(CU158&gt;=80,CU158&lt;=120)),"APARENTEMENTE NORMAL",IF(AND(OR(O158&gt;0,R158&gt;0),AND(CV158&gt;=50,CV158&lt;=80)),"APARENTEMENTE NORMAL","")))))))))))))</f>
        <v>APARENTEMENTE NORMAL</v>
      </c>
      <c r="CX158" s="21">
        <v>100</v>
      </c>
      <c r="CY158" s="21">
        <v>60</v>
      </c>
      <c r="CZ158" s="216" t="str">
        <f t="shared" si="688"/>
        <v>APARENTEMENTE NORMAL</v>
      </c>
      <c r="DA158" s="21">
        <v>90</v>
      </c>
      <c r="DB158" s="21">
        <v>60</v>
      </c>
      <c r="DC158" s="217" t="str">
        <f t="shared" si="610"/>
        <v>APARENTEMENTE NORMAL</v>
      </c>
      <c r="DD158" s="22">
        <v>45036</v>
      </c>
      <c r="DE158" s="22">
        <v>45036</v>
      </c>
      <c r="DF158" s="22">
        <v>45072</v>
      </c>
      <c r="DG158" s="22">
        <v>45097</v>
      </c>
      <c r="DH158" s="22"/>
      <c r="DI158" s="22"/>
      <c r="DJ158" s="22"/>
      <c r="DK158" s="22"/>
      <c r="DL158" s="22"/>
      <c r="DM158" s="22"/>
      <c r="DN158" s="22"/>
      <c r="DO158" s="22"/>
      <c r="DP158" s="22"/>
      <c r="DQ158" s="22"/>
      <c r="DR158" s="28">
        <v>1</v>
      </c>
      <c r="DS158" s="22"/>
      <c r="DT158" s="22"/>
      <c r="DU158" s="216" t="str">
        <f t="shared" ca="1" si="674"/>
        <v>SALE SIN PLAN DE PARTO</v>
      </c>
      <c r="DV158" s="226" t="str">
        <f t="shared" si="675"/>
        <v>SALIO PROGRAMA</v>
      </c>
      <c r="DW158"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58" s="216" t="str">
        <f t="shared" ca="1" si="611"/>
        <v/>
      </c>
      <c r="DY158" s="212">
        <f>IF(R158="","",IF(R158&gt;0,MAX(Tabla1[[#This Row],[FECHA C2]:[FECHA C13]],Tabla1[[#This Row],[FECHA CONSULTA PRIMERA VEZ PROGRAMA CPN ]])))</f>
        <v>45097</v>
      </c>
      <c r="DZ158" s="216">
        <f t="shared" si="612"/>
        <v>34</v>
      </c>
      <c r="EA158" s="222">
        <f>IF(R158&gt;0,SUM(COUNTA(DF158:DQ158)+COUNTA(Tabla1[[#This Row],[FECHA CONSULTA PRIMERA VEZ PROGRAMA CPN ]])),"")</f>
        <v>3</v>
      </c>
      <c r="EB158" s="222" t="str">
        <f t="shared" si="613"/>
        <v>NO</v>
      </c>
      <c r="EC158" s="214">
        <f t="shared" si="614"/>
        <v>5</v>
      </c>
      <c r="ED158" s="227">
        <f t="shared" si="615"/>
        <v>0.6</v>
      </c>
      <c r="EE158" s="22">
        <v>45036</v>
      </c>
      <c r="EF158" s="22">
        <v>45038</v>
      </c>
      <c r="EG158" s="22">
        <v>45036</v>
      </c>
      <c r="EH158" s="22"/>
      <c r="EI158" s="22">
        <v>45036</v>
      </c>
      <c r="EJ158" s="22"/>
      <c r="EK158" s="22"/>
      <c r="EL158" s="21"/>
      <c r="EM158" s="21">
        <v>11</v>
      </c>
      <c r="EN158" s="22">
        <v>45044</v>
      </c>
      <c r="EO158" s="222">
        <f t="shared" si="616"/>
        <v>26.428571428571427</v>
      </c>
      <c r="EP158" s="214" t="str">
        <f t="shared" si="617"/>
        <v>NORMAL- SUMINISTRAR SULFATO FERROSO</v>
      </c>
      <c r="EQ158" s="216" t="str">
        <f t="shared" si="618"/>
        <v>II TRIM</v>
      </c>
      <c r="ER158" s="24"/>
      <c r="ES158" s="22"/>
      <c r="ET158" s="29" t="str">
        <f t="shared" ca="1" si="676"/>
        <v>SALE SIN TAMIZAJE HEMOGLOBINA SEM 28</v>
      </c>
      <c r="EU158" s="25" t="str">
        <f t="shared" si="619"/>
        <v/>
      </c>
      <c r="EV158" s="24" t="s">
        <v>866</v>
      </c>
      <c r="EW158" s="24">
        <v>45044</v>
      </c>
      <c r="EX158" s="22"/>
      <c r="EY158" s="29">
        <f t="shared" si="453"/>
        <v>26.428571428571427</v>
      </c>
      <c r="EZ158" s="25" t="str">
        <f t="shared" ca="1" si="454"/>
        <v/>
      </c>
      <c r="FA158" s="21"/>
      <c r="FB158" s="22"/>
      <c r="FC158" s="29" t="str">
        <f t="shared" si="620"/>
        <v>PIERDE TOMA TAMIZAJE- INGRESO TARDIO</v>
      </c>
      <c r="FD158" s="29"/>
      <c r="FE158" s="29"/>
      <c r="FF158" s="29"/>
      <c r="FG158" s="21" t="str">
        <f t="shared" ca="1" si="621"/>
        <v/>
      </c>
      <c r="FH158" s="31"/>
      <c r="FI158" s="29" t="str">
        <f t="shared" si="622"/>
        <v>TOMAR EXAMEN</v>
      </c>
      <c r="FJ158" s="22"/>
      <c r="FK158" s="22"/>
      <c r="FL158" s="29" t="str">
        <f t="shared" ca="1" si="623"/>
        <v>NO APLICA-INGRESO TARDIO</v>
      </c>
      <c r="FM158" s="22" t="s">
        <v>867</v>
      </c>
      <c r="FN158" s="32">
        <v>45044</v>
      </c>
      <c r="FO158" s="29">
        <f t="shared" ca="1" si="677"/>
        <v>26.428571428571427</v>
      </c>
      <c r="FP158" s="22"/>
      <c r="FQ158" s="32"/>
      <c r="FR158" s="29" t="str">
        <f t="shared" ca="1" si="678"/>
        <v>PIERDE TOMA DE TAMIZAJE</v>
      </c>
      <c r="FS158" s="22"/>
      <c r="FT158" s="32"/>
      <c r="FU158" s="29" t="str">
        <f>IF(AND(FJ158="",FM158="",FP158="",FS158=""),"",IF(OR(OR(Tabla1[[#This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8" s="28"/>
      <c r="FW158" s="22"/>
      <c r="FX158" s="29" t="str">
        <f t="shared" si="624"/>
        <v>TOMAR EXAMEN</v>
      </c>
      <c r="FY158" s="22">
        <v>45036</v>
      </c>
      <c r="FZ158" s="22">
        <v>45036</v>
      </c>
      <c r="GA158" s="29" t="str">
        <f t="shared" si="690"/>
        <v>REGISTRAR EN II TRIMESTRE</v>
      </c>
      <c r="GB158" s="22" t="s">
        <v>868</v>
      </c>
      <c r="GC158" s="22">
        <v>45044</v>
      </c>
      <c r="GD158" s="29">
        <f t="shared" ca="1" si="679"/>
        <v>26.428571428571427</v>
      </c>
      <c r="GE158" s="22"/>
      <c r="GF158" s="22"/>
      <c r="GG158" s="29" t="str">
        <f t="shared" ca="1" si="680"/>
        <v>PIERDE TOMA DE TAMIZAJE</v>
      </c>
      <c r="GH158" s="22"/>
      <c r="GI158" s="29"/>
      <c r="GJ158" s="22"/>
      <c r="GK158" s="22"/>
      <c r="GL158" s="22"/>
      <c r="GM158" s="22"/>
      <c r="GN158" s="28"/>
      <c r="GO158" s="22"/>
      <c r="GP158" s="29" t="str">
        <f t="shared" si="625"/>
        <v>TOMAR EXAMEN</v>
      </c>
      <c r="GQ158" s="28" t="s">
        <v>869</v>
      </c>
      <c r="GR158" s="28" t="s">
        <v>869</v>
      </c>
      <c r="GS158" s="22" t="str">
        <f t="shared" si="626"/>
        <v>CONTROL Igm</v>
      </c>
      <c r="GT158" s="22">
        <v>45044</v>
      </c>
      <c r="GU158" s="29">
        <f t="shared" si="627"/>
        <v>26.428571428571427</v>
      </c>
      <c r="GV158" s="21" t="str">
        <f t="shared" si="628"/>
        <v>II TRIM</v>
      </c>
      <c r="GW158" s="28" t="s">
        <v>869</v>
      </c>
      <c r="GX158" s="30"/>
      <c r="GY158" s="21"/>
      <c r="GZ158" s="21"/>
      <c r="HA158" s="21"/>
      <c r="HB158" s="21"/>
      <c r="HC158" s="21"/>
      <c r="HD158" s="21"/>
      <c r="HE158" s="21"/>
      <c r="HF158" s="22"/>
      <c r="HG158" s="22" t="str">
        <f>IF(OR(O158&gt;0,R158&gt;0),CONCATENATE(IF(Tabla1[[#This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8" s="22" t="e">
        <f t="shared" si="629"/>
        <v>#REF!</v>
      </c>
      <c r="HI158" s="22" t="e">
        <f t="shared" ca="1" si="630"/>
        <v>#REF!</v>
      </c>
      <c r="HJ158" s="21"/>
      <c r="HK158" s="21" t="str">
        <f t="shared" si="631"/>
        <v>SIN ANTECEDENTES DE RIESGO</v>
      </c>
      <c r="HL158" s="24" t="str">
        <f t="shared" si="632"/>
        <v>APARENTEMENTE NORMAL</v>
      </c>
      <c r="HM158" s="21" t="str">
        <f t="shared" ca="1" si="633"/>
        <v/>
      </c>
      <c r="HN158" s="30" t="str">
        <f t="shared" si="681"/>
        <v>SALIO PROGRAMA</v>
      </c>
      <c r="HO158" s="21"/>
      <c r="HP158" s="21"/>
      <c r="HQ158" s="21">
        <v>45036</v>
      </c>
      <c r="HR158" s="21" t="str">
        <f>IF(R158="","",IF(Tabla1[[#This Row],[ALARMA FACTORES DE RIESGO COMPLICACIONES HIPERTENSIVAS3]]="SIN ANTECEDENTES DE RIESGO","No Aplica para suministro de ASA",IF(AND(Tabla1[[#This Row],[FECHA INICIO DE SUMINISTRO DE ASA]]&gt;0,RV158&lt;12),"Inicia ASA ANTES de Sem 12",IF(AND(RV158&gt;11,RV158&lt;17,OR(HK158="RIESGO ALTO DE COMPLICACIONES HIPERTENSIVAS VER MANEJO GUIA SUMINISTRO ASA Y CALCIO",HK158="RIESGO MODERADO (2 O MAS CRITERIOS) VER MANEJO GUIA SUMINISTRO ASA Y CALCIO")),"Inicio oportuno de ASA",IF(AND(RV158&gt;12,OR(HK158="RIESGO ALTO DE COMPLICACIONES HIPERTENSIVAS VER MANEJO GUIA SUMINISTRO ASA Y CALCIO",HK158="RIESGO MODERADO (2 O MAS CRITERIOS) VER MANEJO GUIA SUMINISTRO ASA Y CALCIO")),"Inicio no oportuno mayor a 16 semanas",IF(AND(BU158&lt;12,OR(HK158="RIESGO ALTO DE COMPLICACIONES HIPERTENSIVAS VER MANEJO GUIA SUMINISTRO ASA Y CALCIO",HK158="RIESGO MODERADO (2 O MAS CRITERIOS) VER MANEJO GUIA SUMINISTRO ASA Y CALCIO")),"Pendiente Inicio de ASA a la semana 12",IF(AND(BU158&gt;11,BU158&lt;17,OR(HK158="RIESGO ALTO DE COMPLICACIONES HIPERTENSIVAS VER MANEJO GUIA SUMINISTRO ASA Y CALCIO",HK158="RIESGO MODERADO (2 O MAS CRITERIOS) VER MANEJO GUIA SUMINISTRO ASA Y CALCIO")),"Iniciar de inmediato ASA",IF(AND(BU158&gt;16,OR(HK158="RIESGO ALTO DE COMPLICACIONES HIPERTENSIVAS VER MANEJO GUIA SUMINISTRO ASA Y CALCIO",HK158="RIESGO MODERADO (2 O MAS CRITERIOS) VER MANEJO GUIA SUMINISTRO ASA Y CALCIO")),"Pierde Oportunidad, Inicio tardío de ASA","XXXXX"))))))))</f>
        <v>No Aplica para suministro de ASA</v>
      </c>
      <c r="HS158" s="22">
        <v>45036</v>
      </c>
      <c r="HT158" s="22" t="s">
        <v>870</v>
      </c>
      <c r="HU158" s="22"/>
      <c r="HV158" s="22"/>
      <c r="HW158" s="22">
        <v>45036</v>
      </c>
      <c r="HX158" s="22" t="s">
        <v>870</v>
      </c>
      <c r="HY158" s="22"/>
      <c r="HZ158" s="28" t="str">
        <f t="shared" si="634"/>
        <v>PENDIENTE CONSULTA</v>
      </c>
      <c r="IA158" s="26"/>
      <c r="IB158" s="26"/>
      <c r="IC158" s="111"/>
      <c r="ID158" s="22"/>
      <c r="IE158" s="22" t="str">
        <f t="shared" ca="1" si="635"/>
        <v>SALE SIN VACUNA</v>
      </c>
      <c r="IF158" s="22"/>
      <c r="IG158" s="22">
        <f t="shared" si="636"/>
        <v>45139</v>
      </c>
      <c r="IH158" s="29">
        <f t="shared" ca="1" si="637"/>
        <v>-94</v>
      </c>
      <c r="II158" s="22" t="str">
        <f t="shared" ca="1" si="638"/>
        <v>POSIBLEMENTE NACIO</v>
      </c>
      <c r="IJ158" s="22"/>
      <c r="IK158" s="21" t="s">
        <v>898</v>
      </c>
      <c r="IL158" s="21" t="s">
        <v>1639</v>
      </c>
      <c r="IM158" s="34"/>
      <c r="IN158" s="349">
        <v>45133</v>
      </c>
      <c r="IO158" s="21" t="s">
        <v>1186</v>
      </c>
      <c r="IP158" s="29">
        <f t="shared" si="672"/>
        <v>39.142857142857146</v>
      </c>
      <c r="IQ158" s="35" t="s">
        <v>1650</v>
      </c>
      <c r="IR158" s="21" t="s">
        <v>1651</v>
      </c>
      <c r="IS158" s="21" t="s">
        <v>1646</v>
      </c>
      <c r="IT158" s="21" t="s">
        <v>1642</v>
      </c>
      <c r="IU158" s="21"/>
      <c r="IV158" s="21"/>
      <c r="IW158" s="21"/>
      <c r="IX158" s="21"/>
      <c r="IY158" s="21"/>
      <c r="IZ158" s="21"/>
      <c r="JA158" s="21"/>
      <c r="JB158" s="30">
        <v>1</v>
      </c>
      <c r="JC158" s="21" t="s">
        <v>1647</v>
      </c>
      <c r="JD158" s="36">
        <v>3410</v>
      </c>
      <c r="JE158" s="21" t="str">
        <f t="shared" si="682"/>
        <v>PESO ADECUADO EDAD GESTACIONAL</v>
      </c>
      <c r="JF158" s="30"/>
      <c r="JG158" s="21"/>
      <c r="JH158" s="21"/>
      <c r="JI158" s="309" t="s">
        <v>854</v>
      </c>
      <c r="JJ158" s="329" t="s">
        <v>866</v>
      </c>
      <c r="JK158" s="22"/>
      <c r="JL158" s="22"/>
      <c r="JM158" s="21"/>
      <c r="JN158" s="36"/>
      <c r="JO158" s="21" t="str">
        <f t="shared" si="683"/>
        <v/>
      </c>
      <c r="JP158" s="22"/>
      <c r="JQ158" s="21"/>
      <c r="JR158" s="21"/>
      <c r="JS158" s="21"/>
      <c r="JT158" s="30"/>
      <c r="JU158" s="22"/>
      <c r="JV158" s="22"/>
      <c r="JW158" s="33"/>
      <c r="JX158" s="28" t="str">
        <f t="shared" si="684"/>
        <v>INASISTENTE</v>
      </c>
      <c r="JY158" s="33"/>
      <c r="JZ158" s="28" t="str">
        <f t="shared" si="685"/>
        <v>INASISTENTE</v>
      </c>
      <c r="KA158" s="21"/>
      <c r="KB158" s="21"/>
      <c r="KC158" s="21"/>
      <c r="KD158" s="37"/>
      <c r="KE158" s="28"/>
      <c r="KF158" s="28"/>
      <c r="KG158" s="28"/>
      <c r="KH158" s="39"/>
      <c r="KI158" s="39"/>
      <c r="KJ158" s="66"/>
      <c r="KK158" s="39"/>
      <c r="KL158" s="39"/>
      <c r="KM158" s="66"/>
      <c r="KN158" s="39"/>
      <c r="KO158" s="39"/>
      <c r="KP158" s="39"/>
      <c r="KQ158" s="39"/>
      <c r="KR158" s="39"/>
      <c r="KS158" s="39"/>
      <c r="KT158" s="39"/>
      <c r="KU158" s="38"/>
      <c r="KV158" s="38"/>
      <c r="KW158" s="38"/>
      <c r="KX158" s="38"/>
      <c r="KY158" s="38"/>
      <c r="KZ158" s="38"/>
      <c r="LA158" s="38"/>
      <c r="LB158" s="38"/>
      <c r="LC158" s="38"/>
      <c r="LD158" s="38"/>
      <c r="LE158" s="38"/>
      <c r="LF158" s="38"/>
      <c r="LG158" s="38"/>
      <c r="LH158" s="38"/>
      <c r="LI158" s="38"/>
      <c r="LJ158" s="38"/>
      <c r="LK158" s="38"/>
      <c r="LL158" s="38"/>
      <c r="LM158" s="38"/>
      <c r="LN158" s="38"/>
      <c r="LO158" s="38"/>
      <c r="LP158" s="38"/>
      <c r="LQ158" s="38"/>
      <c r="LR158" s="38"/>
      <c r="LS158" s="38"/>
      <c r="LT158" s="38"/>
      <c r="LU158" s="38"/>
      <c r="LV158" s="38"/>
      <c r="LW158" s="38"/>
      <c r="LX158" s="38"/>
      <c r="LY158" s="38"/>
      <c r="LZ158" s="38"/>
      <c r="MA158" s="38"/>
      <c r="MB158" s="38"/>
      <c r="MC158" s="38"/>
      <c r="MD158" s="38"/>
      <c r="ME158" s="38"/>
      <c r="MF158" s="38"/>
      <c r="MG158" s="38"/>
      <c r="MH158" s="43">
        <f t="shared" si="639"/>
        <v>0</v>
      </c>
      <c r="MI158" s="43" t="str">
        <f t="shared" si="640"/>
        <v/>
      </c>
      <c r="MJ158" s="43" t="str">
        <f t="shared" si="641"/>
        <v/>
      </c>
      <c r="MK158" s="43">
        <f t="shared" si="642"/>
        <v>0</v>
      </c>
      <c r="ML15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8" s="43">
        <f t="shared" si="643"/>
        <v>25.285714285714285</v>
      </c>
      <c r="MN158" s="43">
        <f t="shared" si="644"/>
        <v>4</v>
      </c>
      <c r="MO158" s="43">
        <f t="shared" si="645"/>
        <v>2023</v>
      </c>
      <c r="MP158" s="43" t="str">
        <f t="shared" si="646"/>
        <v>II TRIMESTRE AÑO</v>
      </c>
      <c r="MQ158" s="43">
        <f t="shared" si="647"/>
        <v>22.374616732369688</v>
      </c>
      <c r="MR158" s="43">
        <f t="shared" si="648"/>
        <v>0</v>
      </c>
      <c r="MS158" s="43" t="str">
        <f t="shared" si="649"/>
        <v xml:space="preserve"> DE 20 A 24 AÑOS</v>
      </c>
      <c r="MT158" s="43">
        <f t="shared" si="650"/>
        <v>0</v>
      </c>
      <c r="MU158" s="43">
        <f t="shared" si="651"/>
        <v>1</v>
      </c>
      <c r="MV158" s="43" t="e">
        <f t="shared" si="652"/>
        <v>#REF!</v>
      </c>
      <c r="MW158" s="43">
        <f t="shared" si="653"/>
        <v>0</v>
      </c>
      <c r="MX158" s="43" t="str">
        <f t="shared" si="654"/>
        <v/>
      </c>
      <c r="MY158" s="43" t="str">
        <f t="shared" ca="1" si="686"/>
        <v/>
      </c>
      <c r="MZ158" s="43" t="str">
        <f t="shared" si="655"/>
        <v/>
      </c>
      <c r="NA158" s="43" t="str">
        <f t="shared" si="656"/>
        <v/>
      </c>
      <c r="NB158" s="43" t="str">
        <f t="shared" si="657"/>
        <v/>
      </c>
      <c r="NC158" s="43" t="str">
        <f t="shared" si="658"/>
        <v/>
      </c>
      <c r="ND158" s="43" t="e">
        <f t="shared" ca="1" si="659"/>
        <v>#REF!</v>
      </c>
      <c r="NE158" s="43">
        <f>IF(OR(O158&gt;0,R158&gt;0),SUM(COUNTIF(Tabla1[[#This Row],[AÑOS AL INICIO5 CPN]],"&gt;=40"),COUNTIF(AS158,"0"),COUNTIF(AR158,"SI"),COUNTIF(CC158,"SI"),COUNTIF(BQ158,"&gt;119"),COUNTIF(CI158,"&gt;=35")),"")</f>
        <v>1</v>
      </c>
      <c r="NF158" s="43" t="str">
        <f t="shared" si="660"/>
        <v/>
      </c>
      <c r="NG158" s="43">
        <f t="shared" si="661"/>
        <v>0</v>
      </c>
      <c r="NH158" s="43">
        <f t="shared" si="662"/>
        <v>196</v>
      </c>
      <c r="NI158"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CPN",P158="NO"),"Z",IF(AND(Tabla1[[#This Row],[CITA PROXIMO CONTROL]]="CITA MANUAL",Tabla1[[#This Row],[GESTANTES ACTUALES]]="ACTIVA INGRESO A CPN"),"W",IF(AND(Tabla1[[#This Row],[GESTANTES ACTUALES]]="SALIO PROGRAMA",IN158=""),"S",IF(AND(Tabla1[[#This Row],[CITA PROXIMO CONTROL]]&gt;0,IN158=""),(Tabla1[[#This Row],[CITA PROXIMO CONTROL]]-TODAY()),"SD"))))))))</f>
        <v>SD</v>
      </c>
      <c r="NJ158" s="43">
        <f>MONTH(Tabla1[[#This Row],[FECHA DE SALIDA  DEL PROGRAMA]])</f>
        <v>7</v>
      </c>
      <c r="NK158" s="43">
        <f>YEAR(Tabla1[[#This Row],[FECHA DE SALIDA  DEL PROGRAMA]])</f>
        <v>2023</v>
      </c>
      <c r="NL158" s="43" t="str">
        <f t="shared" si="663"/>
        <v>X</v>
      </c>
      <c r="NM158" s="43" t="str">
        <f t="shared" si="500"/>
        <v>NO</v>
      </c>
      <c r="NN158" s="43" t="str">
        <f ca="1">IF(AND(O158&gt;0,R158=""),"NO CPN",IF(AND(O158="",R158=""),"",IF(AND(R158&gt;0,Tabla1[[#This Row],[SEMANAS DE GESTACION ACTUALIZADAS]]&lt;=12),"NO APLICA",IF(AND(FH158&lt;&gt;"",FN158&lt;&gt;""),"SI","NO"))))</f>
        <v>NO</v>
      </c>
      <c r="NO158" s="43" t="str">
        <f ca="1">IF(AND(O158&gt;0,R158=""),"NO CPN",IF(AND(O158="",R158=""),"",IF(AND(R158&gt;0,Tabla1[[#This Row],[SEMANAS DE GESTACION ACTUALIZADAS]]&lt;=27),"NO APLICA",IF(AND(ES158&lt;&gt;"",FQ158&lt;&gt;"",GF158&lt;&gt;""),"SI","NO"))))</f>
        <v>NO</v>
      </c>
      <c r="NP158" s="204" t="str">
        <f t="shared" si="664"/>
        <v>II TRIM</v>
      </c>
      <c r="NQ158" s="21" t="str">
        <f t="shared" si="689"/>
        <v/>
      </c>
      <c r="NR158" s="21">
        <f t="shared" si="687"/>
        <v>2</v>
      </c>
      <c r="NS158" s="205">
        <f t="shared" ca="1" si="665"/>
        <v>1</v>
      </c>
      <c r="NT158" s="21">
        <f t="shared" ca="1" si="666"/>
        <v>1</v>
      </c>
      <c r="NU158" s="21" t="str">
        <f t="shared" ca="1" si="667"/>
        <v>INCOMPLETO</v>
      </c>
      <c r="NV158" s="21" t="str">
        <f t="shared" ca="1" si="668"/>
        <v>INCOMPLETO</v>
      </c>
      <c r="NW158" s="206" t="str">
        <f>IF(AND(O158="",R158=""),"",IF(OR(AND(Tabla1[[#This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58" s="207" t="str">
        <f t="shared" ca="1" si="669"/>
        <v>SIN VACUNAR</v>
      </c>
      <c r="NY158" s="43">
        <f>ROW(Tabla1[[#This Row],['# DE TAMIZAJES SIFILIS TOMADOS ]])</f>
        <v>158</v>
      </c>
      <c r="NZ158" s="43">
        <f t="shared" si="501"/>
        <v>25</v>
      </c>
      <c r="OA158" s="43" t="str">
        <f t="shared" si="502"/>
        <v/>
      </c>
      <c r="OB158" s="43" t="str">
        <f t="shared" si="503"/>
        <v/>
      </c>
      <c r="OC158" s="43" t="str">
        <f t="shared" si="504"/>
        <v/>
      </c>
      <c r="OD158" s="43" t="str">
        <f t="shared" si="505"/>
        <v/>
      </c>
      <c r="OE158" s="43" t="str">
        <f t="shared" si="506"/>
        <v/>
      </c>
      <c r="OF158" s="43" t="str">
        <f t="shared" si="507"/>
        <v/>
      </c>
      <c r="OG158" s="43" t="str">
        <f t="shared" si="508"/>
        <v/>
      </c>
      <c r="OH158" s="43" t="str">
        <f t="shared" si="509"/>
        <v/>
      </c>
      <c r="OI158" s="43" t="str">
        <f t="shared" si="510"/>
        <v/>
      </c>
      <c r="OJ158" s="43" t="str">
        <f t="shared" si="511"/>
        <v/>
      </c>
      <c r="OK158" s="43" t="str">
        <f t="shared" si="512"/>
        <v/>
      </c>
      <c r="OL158" s="43" t="str">
        <f t="shared" si="513"/>
        <v/>
      </c>
      <c r="OM158" s="43" t="str">
        <f t="shared" si="514"/>
        <v/>
      </c>
      <c r="ON158" s="43" t="str">
        <f t="shared" si="515"/>
        <v/>
      </c>
      <c r="OO158" s="43" t="str">
        <f t="shared" si="516"/>
        <v/>
      </c>
      <c r="OP158" s="43" t="str">
        <f t="shared" si="517"/>
        <v/>
      </c>
      <c r="OQ158" s="43" t="str">
        <f t="shared" si="518"/>
        <v>NORMAL</v>
      </c>
      <c r="OR158" s="43" t="str">
        <f t="shared" si="519"/>
        <v/>
      </c>
      <c r="OS158" s="43" t="str">
        <f t="shared" si="520"/>
        <v/>
      </c>
      <c r="OT158" s="43" t="str">
        <f t="shared" si="521"/>
        <v/>
      </c>
      <c r="OU158" s="43" t="str">
        <f t="shared" si="522"/>
        <v/>
      </c>
      <c r="OV158" s="110" t="str">
        <f t="shared" si="523"/>
        <v/>
      </c>
      <c r="OW158" s="43" t="str">
        <f t="shared" si="524"/>
        <v/>
      </c>
      <c r="OX158" s="43" t="str">
        <f t="shared" si="525"/>
        <v/>
      </c>
      <c r="OY158" s="43" t="str">
        <f t="shared" si="526"/>
        <v/>
      </c>
      <c r="OZ158" s="43" t="str">
        <f t="shared" si="527"/>
        <v/>
      </c>
      <c r="PA158" s="43" t="str">
        <f t="shared" si="528"/>
        <v/>
      </c>
      <c r="PB158" s="43" t="str">
        <f t="shared" si="529"/>
        <v/>
      </c>
      <c r="PC158" s="43" t="str">
        <f t="shared" si="530"/>
        <v/>
      </c>
      <c r="PD158" s="43" t="str">
        <f t="shared" si="531"/>
        <v/>
      </c>
      <c r="PE158" s="43" t="str">
        <f t="shared" si="532"/>
        <v/>
      </c>
      <c r="PF158" s="43" t="str">
        <f t="shared" si="533"/>
        <v/>
      </c>
      <c r="PG158" s="43" t="str">
        <f t="shared" si="534"/>
        <v/>
      </c>
      <c r="PH158" s="43" t="str">
        <f t="shared" si="535"/>
        <v/>
      </c>
      <c r="PI158" s="43">
        <f t="shared" si="536"/>
        <v>34</v>
      </c>
      <c r="PJ158" s="43" t="str">
        <f t="shared" si="537"/>
        <v/>
      </c>
      <c r="PK158" s="43" t="str">
        <f t="shared" si="538"/>
        <v/>
      </c>
      <c r="PL158" s="43" t="str">
        <f t="shared" si="539"/>
        <v/>
      </c>
      <c r="PM158" s="43" t="str">
        <f t="shared" si="540"/>
        <v/>
      </c>
      <c r="PN158" s="43" t="str">
        <f t="shared" si="541"/>
        <v/>
      </c>
      <c r="PO158" s="43" t="str">
        <f t="shared" si="542"/>
        <v/>
      </c>
      <c r="PP158" s="43" t="str">
        <f t="shared" si="543"/>
        <v/>
      </c>
      <c r="PQ158" s="43" t="str">
        <f t="shared" si="544"/>
        <v/>
      </c>
      <c r="PR158" s="43" t="str">
        <f t="shared" si="545"/>
        <v/>
      </c>
      <c r="PS158" s="43" t="str">
        <f t="shared" si="546"/>
        <v/>
      </c>
      <c r="PT158" s="43" t="str">
        <f t="shared" si="547"/>
        <v/>
      </c>
      <c r="PU158" s="43" t="str">
        <f t="shared" si="548"/>
        <v/>
      </c>
      <c r="PV158" s="43" t="str">
        <f t="shared" si="549"/>
        <v/>
      </c>
      <c r="PW158" s="43" t="str">
        <f t="shared" si="550"/>
        <v/>
      </c>
      <c r="PX158" s="43" t="str">
        <f t="shared" si="551"/>
        <v/>
      </c>
      <c r="PY158" s="43" t="str">
        <f t="shared" si="552"/>
        <v/>
      </c>
      <c r="PZ158" s="43" t="str">
        <f t="shared" si="553"/>
        <v/>
      </c>
      <c r="QA158" s="43" t="str">
        <f t="shared" si="554"/>
        <v/>
      </c>
      <c r="QB158" s="43" t="str">
        <f t="shared" si="555"/>
        <v/>
      </c>
      <c r="QC158" s="43" t="str">
        <f t="shared" si="556"/>
        <v/>
      </c>
      <c r="QD158" s="43" t="str">
        <f t="shared" si="557"/>
        <v/>
      </c>
      <c r="QE158" s="43" t="str">
        <f t="shared" si="558"/>
        <v/>
      </c>
      <c r="QF158" s="43" t="str">
        <f t="shared" si="559"/>
        <v/>
      </c>
      <c r="QG158" s="43" t="str">
        <f t="shared" si="560"/>
        <v/>
      </c>
      <c r="QH158" s="43" t="str">
        <f t="shared" si="561"/>
        <v/>
      </c>
      <c r="QI158" s="43" t="str">
        <f t="shared" si="562"/>
        <v>NORMAL</v>
      </c>
      <c r="QJ158" s="43" t="str">
        <f t="shared" si="563"/>
        <v/>
      </c>
      <c r="QK158" s="43" t="str">
        <f t="shared" si="564"/>
        <v/>
      </c>
      <c r="QL158" s="43" t="str">
        <f t="shared" si="565"/>
        <v/>
      </c>
      <c r="QM158" s="43" t="str">
        <f t="shared" si="566"/>
        <v/>
      </c>
      <c r="QN158" s="43" t="str">
        <f t="shared" si="567"/>
        <v/>
      </c>
      <c r="QO158" s="43" t="str">
        <f t="shared" si="568"/>
        <v/>
      </c>
      <c r="QP158" s="43" t="str">
        <f t="shared" si="569"/>
        <v/>
      </c>
      <c r="QQ158" s="43" t="str">
        <f t="shared" si="570"/>
        <v/>
      </c>
      <c r="QR158" s="43">
        <f t="shared" si="670"/>
        <v>34</v>
      </c>
      <c r="QS158" s="43"/>
      <c r="QT158" s="21" t="str">
        <f t="shared" si="571"/>
        <v/>
      </c>
      <c r="QU158" s="21" t="str">
        <f t="shared" si="572"/>
        <v/>
      </c>
      <c r="QV158" s="21" t="str">
        <f t="shared" si="573"/>
        <v/>
      </c>
      <c r="QW158" s="21" t="str">
        <f t="shared" si="574"/>
        <v/>
      </c>
      <c r="QX158" s="21" t="str">
        <f t="shared" si="575"/>
        <v/>
      </c>
      <c r="QY158" s="21" t="str">
        <f t="shared" si="576"/>
        <v/>
      </c>
      <c r="QZ158" s="21" t="str">
        <f t="shared" si="577"/>
        <v/>
      </c>
      <c r="RA158" s="21" t="str">
        <f t="shared" si="578"/>
        <v/>
      </c>
      <c r="RB158" s="21" t="str">
        <f t="shared" si="579"/>
        <v/>
      </c>
      <c r="RC158" s="21" t="str">
        <f t="shared" si="580"/>
        <v/>
      </c>
      <c r="RD158" s="21" t="str">
        <f t="shared" si="581"/>
        <v/>
      </c>
      <c r="RE158" s="21" t="str">
        <f t="shared" si="582"/>
        <v/>
      </c>
      <c r="RF158" s="21" t="str">
        <f t="shared" si="583"/>
        <v/>
      </c>
      <c r="RG158" s="21" t="str">
        <f t="shared" si="584"/>
        <v/>
      </c>
      <c r="RH158" s="21" t="str">
        <f t="shared" si="585"/>
        <v/>
      </c>
      <c r="RI158" s="21" t="str">
        <f t="shared" si="586"/>
        <v/>
      </c>
      <c r="RJ158" s="21" t="str">
        <f t="shared" si="587"/>
        <v/>
      </c>
      <c r="RK158" s="21" t="str">
        <f t="shared" si="588"/>
        <v/>
      </c>
      <c r="RL158" s="21" t="str">
        <f t="shared" si="589"/>
        <v/>
      </c>
      <c r="RM158" s="21" t="str">
        <f t="shared" si="590"/>
        <v/>
      </c>
      <c r="RN158" s="21" t="str">
        <f t="shared" si="591"/>
        <v/>
      </c>
      <c r="RO158" s="21" t="str">
        <f t="shared" si="592"/>
        <v>ALTO PARA EDAD GESTACIONAL</v>
      </c>
      <c r="RP158" s="21" t="str">
        <f t="shared" si="593"/>
        <v/>
      </c>
      <c r="RQ158" s="21" t="str">
        <f t="shared" si="594"/>
        <v/>
      </c>
      <c r="RR158" s="21" t="str">
        <f t="shared" si="595"/>
        <v/>
      </c>
      <c r="RS158" s="21" t="str">
        <f t="shared" si="596"/>
        <v/>
      </c>
      <c r="RT158" s="21" t="str">
        <f t="shared" si="597"/>
        <v/>
      </c>
      <c r="RU158" s="21" t="str">
        <f t="shared" si="598"/>
        <v/>
      </c>
      <c r="RV158" s="21">
        <f t="shared" si="599"/>
        <v>25.285714285714285</v>
      </c>
      <c r="RW158" s="284">
        <f>IF(OR(Tabla1[[#This Row],[FUM FORMULA CONFIABLE]]="",Tabla1[[#This Row],[FUM FORMULA CONFIABLE]]="SD"),"",IF(Tabla1[[#This Row],[FUM FORMULA CONFIABLE]]="CORREGIDA",Tabla1[[#This Row],[FUM X ECO 1]],Tabla1[[#This Row],[FUM x AMENORREA]]))</f>
        <v>44859</v>
      </c>
      <c r="RX158" s="21">
        <f>IF(AND(Tabla1[[#This Row],[FUM X ECO 1]]="",Tabla1[[#This Row],[FUM x AMENORREA]]=""),"",IF(AND(Tabla1[[#This Row],[FUM X ECO 1]]="",Tabla1[[#This Row],[FUM x AMENORREA]]&lt;&gt;""),"X",SUM(Tabla1[[#This Row],[FUM X ECO 1]]-Tabla1[[#This Row],[FUM x AMENORREA]])))</f>
        <v>-4</v>
      </c>
      <c r="RY158" s="21">
        <f t="shared" si="671"/>
        <v>0</v>
      </c>
    </row>
    <row r="159" spans="1:493" ht="45" customHeight="1" x14ac:dyDescent="0.25">
      <c r="A159" s="109"/>
      <c r="B159" s="43"/>
      <c r="C159" s="43" t="s">
        <v>845</v>
      </c>
      <c r="D159" s="124"/>
      <c r="E159" s="43" t="s">
        <v>1455</v>
      </c>
      <c r="F159" s="43" t="s">
        <v>974</v>
      </c>
      <c r="G159" s="43" t="s">
        <v>1305</v>
      </c>
      <c r="H159" s="43" t="s">
        <v>1456</v>
      </c>
      <c r="I159" s="109" t="s">
        <v>1094</v>
      </c>
      <c r="J159" s="110">
        <v>1059595977</v>
      </c>
      <c r="K159" s="43" t="s">
        <v>852</v>
      </c>
      <c r="L159" s="175" t="s">
        <v>886</v>
      </c>
      <c r="M159" s="22">
        <v>38559</v>
      </c>
      <c r="N159" s="213">
        <f t="shared" ca="1" si="600"/>
        <v>18.284931506849315</v>
      </c>
      <c r="O159" s="22">
        <v>45051</v>
      </c>
      <c r="P159" s="214" t="str">
        <f t="shared" si="673"/>
        <v>SI</v>
      </c>
      <c r="Q159" s="26" t="s">
        <v>855</v>
      </c>
      <c r="R159" s="22">
        <v>45051</v>
      </c>
      <c r="S159" s="21" t="s">
        <v>856</v>
      </c>
      <c r="T159" s="24" t="s">
        <v>690</v>
      </c>
      <c r="U159" s="21" t="s">
        <v>857</v>
      </c>
      <c r="V159" s="21" t="s">
        <v>858</v>
      </c>
      <c r="W159" s="21" t="s">
        <v>1341</v>
      </c>
      <c r="X159" s="21"/>
      <c r="Y159" s="21"/>
      <c r="Z159" s="21">
        <v>3228863585</v>
      </c>
      <c r="AA159" s="21" t="s">
        <v>860</v>
      </c>
      <c r="AB159" s="27" t="s">
        <v>861</v>
      </c>
      <c r="AC159" s="26" t="s">
        <v>877</v>
      </c>
      <c r="AD159" s="38" t="s">
        <v>1546</v>
      </c>
      <c r="AE159" s="26" t="s">
        <v>854</v>
      </c>
      <c r="AF159" s="26" t="s">
        <v>854</v>
      </c>
      <c r="AG159" s="23" t="s">
        <v>864</v>
      </c>
      <c r="AH159" s="23" t="s">
        <v>864</v>
      </c>
      <c r="AI159" s="24" t="s">
        <v>863</v>
      </c>
      <c r="AJ159" s="23" t="s">
        <v>864</v>
      </c>
      <c r="AK159" s="220" t="str">
        <f>IF(AND(AD159="",AE159="",AF159="",AG159="",AH159="",AI159="",AJ159=""),"",IF(OR(Tabla1[[#This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EVALUACIÓN",IF(AND(O159="",R159=""),"",IF(AND(OR(O159&gt;0,R159&gt;0),NG159&gt;=0,NG159&lt;2),"SIN RIESGO",IF(AND(OR(O159&gt;0,R159&gt;0),NG159&gt;=2),"CON RIESGO","ASD")))))</f>
        <v>SIN RIESGO</v>
      </c>
      <c r="AL159" s="23" t="s">
        <v>864</v>
      </c>
      <c r="AM159" s="26" t="s">
        <v>864</v>
      </c>
      <c r="AN159" s="26" t="s">
        <v>864</v>
      </c>
      <c r="AO159" s="26" t="s">
        <v>864</v>
      </c>
      <c r="AP159" s="26" t="s">
        <v>864</v>
      </c>
      <c r="AQ159" s="26" t="s">
        <v>864</v>
      </c>
      <c r="AR159" s="26" t="s">
        <v>864</v>
      </c>
      <c r="AS159" s="21">
        <v>1</v>
      </c>
      <c r="AT159" s="21">
        <v>1</v>
      </c>
      <c r="AU159" s="21">
        <v>0</v>
      </c>
      <c r="AV159" s="26" t="s">
        <v>864</v>
      </c>
      <c r="AW159" s="21">
        <v>0</v>
      </c>
      <c r="AX159" s="26" t="s">
        <v>864</v>
      </c>
      <c r="AY159" s="26" t="s">
        <v>864</v>
      </c>
      <c r="AZ159" s="26" t="s">
        <v>864</v>
      </c>
      <c r="BA159" s="26" t="s">
        <v>864</v>
      </c>
      <c r="BB159" s="26" t="s">
        <v>864</v>
      </c>
      <c r="BC159" s="26" t="s">
        <v>864</v>
      </c>
      <c r="BD159" s="26" t="s">
        <v>864</v>
      </c>
      <c r="BE159" s="26" t="s">
        <v>864</v>
      </c>
      <c r="BF159" s="26" t="s">
        <v>864</v>
      </c>
      <c r="BG159" s="26" t="s">
        <v>864</v>
      </c>
      <c r="BH159" s="26" t="s">
        <v>864</v>
      </c>
      <c r="BI159" s="26" t="s">
        <v>864</v>
      </c>
      <c r="BJ159" s="26" t="s">
        <v>864</v>
      </c>
      <c r="BK159" s="26" t="s">
        <v>865</v>
      </c>
      <c r="BL159" s="26" t="s">
        <v>864</v>
      </c>
      <c r="BM159" s="26" t="s">
        <v>864</v>
      </c>
      <c r="BN159" s="22">
        <v>44247</v>
      </c>
      <c r="BO159" s="22">
        <v>44943</v>
      </c>
      <c r="BP159" s="21" t="s">
        <v>854</v>
      </c>
      <c r="BQ159" s="222">
        <f t="shared" si="601"/>
        <v>23.2</v>
      </c>
      <c r="BR159" s="223">
        <f t="shared" si="602"/>
        <v>44943.199999999997</v>
      </c>
      <c r="BS159" s="224">
        <f t="shared" si="603"/>
        <v>15.428571428571429</v>
      </c>
      <c r="BT159" s="216" t="str">
        <f t="shared" si="604"/>
        <v>II TRIM</v>
      </c>
      <c r="BU159" s="214">
        <f t="shared" ca="1" si="605"/>
        <v>41.428571428571431</v>
      </c>
      <c r="BV159" s="25" t="s">
        <v>988</v>
      </c>
      <c r="BW159" s="22">
        <v>45051</v>
      </c>
      <c r="BX159" s="28">
        <v>15.4</v>
      </c>
      <c r="BY159" s="28"/>
      <c r="BZ159" s="22"/>
      <c r="CA159" s="21"/>
      <c r="CB159" s="26" t="s">
        <v>864</v>
      </c>
      <c r="CC159" s="26" t="s">
        <v>864</v>
      </c>
      <c r="CD159" s="26"/>
      <c r="CE159" s="26" t="s">
        <v>864</v>
      </c>
      <c r="CF159" s="22" t="s">
        <v>1517</v>
      </c>
      <c r="CG159" s="21">
        <v>1.45</v>
      </c>
      <c r="CH159" s="21">
        <v>50</v>
      </c>
      <c r="CI159" s="214">
        <f t="shared" si="606"/>
        <v>23.781212841854934</v>
      </c>
      <c r="CJ159" s="225" t="e">
        <f>IF(AND(CI159&lt;10,CH159="SD"),"SIN DATO PESO PREGESTACION O I TRIM",IF(AND(OR(R159&gt;0,O159&gt;0),CI159="X"),"INGRESAR DATO DE PESO",IF(CI159="SD","INGRESAR DATO DE TALLA Y PESO",IF(AND(OR(Tabla1[[#This Row],[MOMENTO EN QUE SE REALIZA EL PESO AL INGRESO A CPN]]="PREGESTACIÓN",NZ159="Menor"),CI159&lt;18.5),"BAJO PESO",IF(AND(OR(Tabla1[[#This Row],[MOMENTO EN QUE SE REALIZA EL PESO AL INGRESO A CPN]]="PREGESTACIÓN",NZ159="Menor"),CI159&lt;25),"NORMAL",IF(AND(OR(Tabla1[[#This Row],[MOMENTO EN QUE SE REALIZA EL PESO AL INGRESO A CPN]]="PREGESTACIÓN",NZ159="Menor"),CI159&lt;30),"SOBREPESO",IF(AND(OR(Tabla1[[#This Row],[MOMENTO EN QUE SE REALIZA EL PESO AL INGRESO A CPN]]="PREGESTACIÓN",NZ159="Menor"),CI159&gt;=30,CI159&lt;50),"OBESIDAD",IF(AND(BS159&gt;0,Tabla1[[#This Row],[MOMENTO EN QUE SE REALIZA EL PESO AL INGRESO A CPN]]="GESTACIÓN"),HLOOKUP(NZ159,$OA$2:PH159,NY159),""))))))))</f>
        <v>#REF!</v>
      </c>
      <c r="CK159" s="212">
        <f t="shared" si="607"/>
        <v>45145</v>
      </c>
      <c r="CL159" s="21">
        <v>57.1</v>
      </c>
      <c r="CM159" s="214">
        <f t="shared" si="608"/>
        <v>27.158145065398337</v>
      </c>
      <c r="CN159" s="216">
        <f t="shared" si="609"/>
        <v>28</v>
      </c>
      <c r="CO159" s="216" t="e">
        <f>IF(PI159="","",IF(PI159&gt;0,HLOOKUP(PI159,$PJ$2:QQ159,NY159),""))</f>
        <v>#REF!</v>
      </c>
      <c r="CP159" s="21">
        <v>28</v>
      </c>
      <c r="CQ159" s="216" t="e">
        <f>IF(QR159="Menor","NO APLICA-MENOR 13 SEM",IF(AND(CC159="SI",CN159&gt;23),"NO APLICA- GEMELAR",IF(QR159="","",IF(QR159&gt;0,HLOOKUP(QR159,$QS$2:RU159,NY159),""))))</f>
        <v>#REF!</v>
      </c>
      <c r="CR159" s="21">
        <v>90</v>
      </c>
      <c r="CS159" s="21">
        <v>60</v>
      </c>
      <c r="CT159" s="217" t="str">
        <f>IF(R159="","",IF(AND(BS159&gt;1,BS159&lt;12,Tabla1[[#This Row],[T.A. SISTOLICA - ANTES DE SEMANA 12]]="",Tabla1[[#This Row],[T.A. DIASTOLICA - ANTES DE SEMANA 12]]=""),"REGISTRE DATO TA ANTES SEMANA 12",IF(AND(BS159&gt;11,BS159&lt;43,Tabla1[[#This Row],[T.A. SISTOLICA - ANTES DE SEMANA 12]]="",Tabla1[[#This Row],[T.A. DIASTOLICA - ANTES DE SEMANA 12]]=""),"NO APLICA REGISTRO TA-INGRESO TARDIO",IF(AND(OR(O159&gt;0,R159&gt;0),OR(CR159&gt;=140,CS159&gt;=90)),"DEFINIR ESTADIO HTA",IF(AND(OR(O159&gt;0,R159&gt;0),AND(CR159&gt;120,CR159&lt;=139)),"PRE HTA SEGUIMIENTO",IF(AND(OR(O159&gt;0,R159&gt;0),AND(CS159&gt;80,CS159&lt;=89)),"PRE HTA SEGUIMIENTO",IF(AND(OR(O159&gt;0,R159&gt;0),AND(CR159&gt;=80,CR159&lt;=120)),"APARENTEMENTE NORMAL",IF(AND(OR(O159&gt;0,R159&gt;0),AND(CS159&gt;=50,CS159&lt;=80)),"APARENTEMENTE NORMAL",IF(AND(OR(O159&gt;0,R159&gt;0),AND(CR159&gt;1,CR159&lt;=70),AND(CS159&gt;1,CS159&lt;=40)),"HIPOTENSIÓN","")))))))))</f>
        <v>APARENTEMENTE NORMAL</v>
      </c>
      <c r="CU159" s="21">
        <v>90</v>
      </c>
      <c r="CV159" s="21">
        <v>60</v>
      </c>
      <c r="CW159" s="217" t="str">
        <f ca="1">IF(R159="","",IF(AND(CN159&gt;19,CN159&lt;27,Tabla1[[#This Row],[T.A. SISTOLICA (Entre semana 20 y 26)]]="",Tabla1[[#This Row],[T.A. DIATOLICA (Entre semana 20 y 26)]]=""),"ACUDE A CONTROL SEM 20 A 26 REGISTRE TA AHORA",IF(AND(BS159&gt;1,BS159&lt;27,BU159&gt;19,Tabla1[[#This Row],[T.A. SISTOLICA (Entre semana 20 y 26)]]="",Tabla1[[#This Row],[T.A. DIATOLICA (Entre semana 20 y 26)]]=""),"COMPLETE REGISTRO TA CONTROL SEM 20 A26 ",IF(AND(BS159&gt;26,BS159&lt;43,Tabla1[[#This Row],[T.A. SISTOLICA (Entre semana 20 y 26)]]="",Tabla1[[#This Row],[T.A. DIATOLICA (Entre semana 20 y 26)]]=""),"NO APLICA REGISTRO TA-INGRESO TARDIO",IF(AND(OR(O159&gt;0,R159&gt;0),OR(CU159&gt;=140,CV159&gt;=90)),"ALTO RIESGO PREECLAMPSIA,DEFINIR ESTADIO HTA",IF(AND(OR(O159&gt;0,R159&gt;0),AND(CU159&gt;120,CU159&lt;=139)),"PRE HTA SEGUIMIENTO,RIESGO HIPERTENSION INDUCIDA POR EL EMBARAZO",IF(AND(OR(O159&gt;0,R159&gt;0),AND(CV159&gt;80,CV159&lt;=89)),"PRE HTA SEGUIMIENTO, RIESGO HIPERTENSION INDUCIDA POR EL EMBARAZO",IF(AND(OR(O159&lt;&gt;"",R159&lt;&gt;""),CS159&lt;&gt;"",CV159&lt;&gt;"",CS159&lt;=CV159),"VIGILAR CIFRAS PRESION ARTERIAL",IF(AND(OR(O159&gt;0,R159&gt;0),AND(CU159&gt;120,CU159&lt;=139)),"PRE HTA SEGUIMIENTO",IF(AND(OR(O159&gt;0,R159&gt;0),AND(CU159&gt;1,CU159&lt;=70),AND(CV159&gt;1,CV159&lt;=40)),"HIPOTENSIÓN",IF(AND(OR(O159&lt;&gt;"",R159&lt;&gt;""),CS159&lt;&gt;"",CV159&lt;&gt;"",CS159&gt;CV159),"APARENTEMENTE NORMAL",IF(AND(OR(O159&gt;0,R159&gt;0),AND(CU159&gt;=80,CU159&lt;=120)),"APARENTEMENTE NORMAL",IF(AND(OR(O159&gt;0,R159&gt;0),AND(CV159&gt;=50,CV159&lt;=80)),"APARENTEMENTE NORMAL","")))))))))))))</f>
        <v>VIGILAR CIFRAS PRESION ARTERIAL</v>
      </c>
      <c r="CX159" s="21"/>
      <c r="CY159" s="21"/>
      <c r="CZ159" s="216" t="str">
        <f t="shared" si="688"/>
        <v/>
      </c>
      <c r="DA159" s="21">
        <v>90</v>
      </c>
      <c r="DB159" s="21">
        <v>60</v>
      </c>
      <c r="DC159" s="217" t="str">
        <f t="shared" si="610"/>
        <v>APARENTEMENTE NORMAL</v>
      </c>
      <c r="DD159" s="22">
        <v>44999</v>
      </c>
      <c r="DE159" s="22">
        <v>44999</v>
      </c>
      <c r="DF159" s="22">
        <v>45051</v>
      </c>
      <c r="DG159" s="22">
        <v>45098</v>
      </c>
      <c r="DH159" s="22">
        <v>45145</v>
      </c>
      <c r="DI159" s="22"/>
      <c r="DJ159" s="22"/>
      <c r="DK159" s="22"/>
      <c r="DL159" s="22"/>
      <c r="DM159" s="22"/>
      <c r="DN159" s="22"/>
      <c r="DO159" s="22"/>
      <c r="DP159" s="22"/>
      <c r="DQ159" s="22"/>
      <c r="DR159" s="28">
        <v>1</v>
      </c>
      <c r="DS159" s="22"/>
      <c r="DT159" s="22"/>
      <c r="DU159" s="216" t="str">
        <f t="shared" ca="1" si="674"/>
        <v>CONCERTAR PLAN DE PARTO INMEDIATO</v>
      </c>
      <c r="DV159" s="226" t="str">
        <f t="shared" si="675"/>
        <v>ACTIVA INGRESO A CPN</v>
      </c>
      <c r="DW15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59" s="216" t="e">
        <f t="shared" ca="1" si="611"/>
        <v>#REF!</v>
      </c>
      <c r="DY159" s="212">
        <f>IF(R159="","",IF(R159&gt;0,MAX(Tabla1[[#This Row],[FECHA C2]:[FECHA C13]],Tabla1[[#This Row],[FECHA CONSULTA PRIMERA VEZ PROGRAMA CPN ]])))</f>
        <v>45145</v>
      </c>
      <c r="DZ159" s="216">
        <f t="shared" si="612"/>
        <v>28</v>
      </c>
      <c r="EA159" s="222">
        <f>IF(R159&gt;0,SUM(COUNTA(DF159:DQ159)+COUNTA(Tabla1[[#This Row],[FECHA CONSULTA PRIMERA VEZ PROGRAMA CPN ]])),"")</f>
        <v>4</v>
      </c>
      <c r="EB159" s="222" t="str">
        <f t="shared" si="613"/>
        <v>SI</v>
      </c>
      <c r="EC159" s="214">
        <f t="shared" si="614"/>
        <v>8</v>
      </c>
      <c r="ED159" s="227">
        <f t="shared" si="615"/>
        <v>0.5</v>
      </c>
      <c r="EE159" s="22">
        <v>44999</v>
      </c>
      <c r="EF159" s="22">
        <v>45149</v>
      </c>
      <c r="EG159" s="22">
        <v>44999</v>
      </c>
      <c r="EH159" s="22"/>
      <c r="EI159" s="22">
        <v>44999</v>
      </c>
      <c r="EJ159" s="22"/>
      <c r="EK159" s="22"/>
      <c r="EL159" s="21"/>
      <c r="EM159" s="21">
        <v>13.1</v>
      </c>
      <c r="EN159" s="22">
        <v>45051</v>
      </c>
      <c r="EO159" s="222">
        <f t="shared" si="616"/>
        <v>15.428571428571429</v>
      </c>
      <c r="EP159" s="214" t="str">
        <f t="shared" si="617"/>
        <v>NORMAL- SUMINISTRAR SULFATO FERROSO</v>
      </c>
      <c r="EQ159" s="216" t="str">
        <f t="shared" si="618"/>
        <v>II TRIM</v>
      </c>
      <c r="ER159" s="24"/>
      <c r="ES159" s="22"/>
      <c r="ET159" s="29" t="str">
        <f t="shared" ca="1" si="676"/>
        <v>TOMA DE HEMOGLOBINA TARDÍA</v>
      </c>
      <c r="EU159" s="25" t="str">
        <f t="shared" si="619"/>
        <v/>
      </c>
      <c r="EV159" s="24" t="s">
        <v>1510</v>
      </c>
      <c r="EW159" s="24">
        <v>45051</v>
      </c>
      <c r="EX159" s="22"/>
      <c r="EY159" s="29">
        <f t="shared" si="453"/>
        <v>15.428571428571429</v>
      </c>
      <c r="EZ159" s="25" t="str">
        <f t="shared" si="454"/>
        <v>SIN RIESGO DE ISOINMUNIZACIÓN</v>
      </c>
      <c r="FA159" s="21">
        <v>80</v>
      </c>
      <c r="FB159" s="22">
        <v>45051</v>
      </c>
      <c r="FC159" s="29">
        <f t="shared" si="620"/>
        <v>15.428571428571429</v>
      </c>
      <c r="FD159" s="29"/>
      <c r="FE159" s="29"/>
      <c r="FF159" s="29"/>
      <c r="FG159" s="21" t="str">
        <f t="shared" ca="1" si="621"/>
        <v>TOMAR PTOG</v>
      </c>
      <c r="FH159" s="31"/>
      <c r="FI159" s="29" t="str">
        <f t="shared" si="622"/>
        <v>TOMAR EXAMEN</v>
      </c>
      <c r="FJ159" s="22"/>
      <c r="FK159" s="22"/>
      <c r="FL159" s="29" t="str">
        <f t="shared" ca="1" si="623"/>
        <v>NO APLICA-INGRESO TARDIO</v>
      </c>
      <c r="FM159" s="22" t="s">
        <v>867</v>
      </c>
      <c r="FN159" s="32">
        <v>45051</v>
      </c>
      <c r="FO159" s="29">
        <f t="shared" ca="1" si="677"/>
        <v>15.428571428571429</v>
      </c>
      <c r="FP159" s="22"/>
      <c r="FQ159" s="32"/>
      <c r="FR159" s="29" t="str">
        <f t="shared" ca="1" si="678"/>
        <v>TOMA INMEDIATA DE TAMIZAJE</v>
      </c>
      <c r="FS159" s="22"/>
      <c r="FT159" s="32"/>
      <c r="FU159" s="29" t="str">
        <f>IF(AND(FJ159="",FM159="",FP159="",FS159=""),"",IF(OR(OR(Tabla1[[#This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59" s="28"/>
      <c r="FW159" s="22"/>
      <c r="FX159" s="29" t="str">
        <f t="shared" si="624"/>
        <v>TOMAR EXAMEN</v>
      </c>
      <c r="FY159" s="22">
        <v>44999</v>
      </c>
      <c r="FZ159" s="22">
        <v>44999</v>
      </c>
      <c r="GA159" s="29">
        <f t="shared" ca="1" si="690"/>
        <v>8</v>
      </c>
      <c r="GB159" s="22" t="s">
        <v>879</v>
      </c>
      <c r="GC159" s="22">
        <v>45051</v>
      </c>
      <c r="GD159" s="29">
        <f t="shared" ca="1" si="679"/>
        <v>15.428571428571429</v>
      </c>
      <c r="GE159" s="22"/>
      <c r="GF159" s="22"/>
      <c r="GG159" s="29" t="str">
        <f t="shared" ca="1" si="680"/>
        <v>TOMA INMEDIATA DE TAMIZAJE</v>
      </c>
      <c r="GH159" s="22"/>
      <c r="GI159" s="29"/>
      <c r="GJ159" s="22"/>
      <c r="GK159" s="22"/>
      <c r="GL159" s="22"/>
      <c r="GM159" s="22"/>
      <c r="GN159" s="28" t="s">
        <v>869</v>
      </c>
      <c r="GO159" s="22">
        <v>45051</v>
      </c>
      <c r="GP159" s="29">
        <f t="shared" si="625"/>
        <v>15.428571428571429</v>
      </c>
      <c r="GQ159" s="28" t="s">
        <v>869</v>
      </c>
      <c r="GR159" s="28" t="s">
        <v>869</v>
      </c>
      <c r="GS159" s="22" t="str">
        <f t="shared" si="626"/>
        <v>CONTROL Igm</v>
      </c>
      <c r="GT159" s="22">
        <v>45051</v>
      </c>
      <c r="GU159" s="29">
        <f t="shared" si="627"/>
        <v>15.428571428571429</v>
      </c>
      <c r="GV159" s="21" t="str">
        <f t="shared" si="628"/>
        <v>II TRIM</v>
      </c>
      <c r="GW159" s="28" t="s">
        <v>869</v>
      </c>
      <c r="GX159" s="30"/>
      <c r="GY159" s="21"/>
      <c r="GZ159" s="21"/>
      <c r="HA159" s="21"/>
      <c r="HB159" s="21"/>
      <c r="HC159" s="21"/>
      <c r="HD159" s="21"/>
      <c r="HE159" s="21"/>
      <c r="HF159" s="22"/>
      <c r="HG159" s="22" t="str">
        <f>IF(OR(O159&gt;0,R159&gt;0),CONCATENATE(IF(Tabla1[[#This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59" s="22" t="e">
        <f t="shared" si="629"/>
        <v>#REF!</v>
      </c>
      <c r="HI159" s="22" t="e">
        <f t="shared" ca="1" si="630"/>
        <v>#REF!</v>
      </c>
      <c r="HJ159" s="21"/>
      <c r="HK159" s="21" t="str">
        <f t="shared" si="631"/>
        <v>SIN ANTECEDENTES DE RIESGO</v>
      </c>
      <c r="HL159" s="24" t="str">
        <f t="shared" si="632"/>
        <v>APARENTEMENTE NORMAL</v>
      </c>
      <c r="HM159" s="21" t="e">
        <f t="shared" ca="1" si="633"/>
        <v>#REF!</v>
      </c>
      <c r="HN159" s="30" t="str">
        <f t="shared" si="681"/>
        <v>ACTIVA INGRESO A CPN</v>
      </c>
      <c r="HO159" s="21"/>
      <c r="HP159" s="21"/>
      <c r="HQ159" s="349">
        <v>45051</v>
      </c>
      <c r="HR159" s="21" t="str">
        <f>IF(R159="","",IF(Tabla1[[#This Row],[ALARMA FACTORES DE RIESGO COMPLICACIONES HIPERTENSIVAS3]]="SIN ANTECEDENTES DE RIESGO","No Aplica para suministro de ASA",IF(AND(Tabla1[[#This Row],[FECHA INICIO DE SUMINISTRO DE ASA]]&gt;0,RV159&lt;12),"Inicia ASA ANTES de Sem 12",IF(AND(RV159&gt;11,RV159&lt;17,OR(HK159="RIESGO ALTO DE COMPLICACIONES HIPERTENSIVAS VER MANEJO GUIA SUMINISTRO ASA Y CALCIO",HK159="RIESGO MODERADO (2 O MAS CRITERIOS) VER MANEJO GUIA SUMINISTRO ASA Y CALCIO")),"Inicio oportuno de ASA",IF(AND(RV159&gt;12,OR(HK159="RIESGO ALTO DE COMPLICACIONES HIPERTENSIVAS VER MANEJO GUIA SUMINISTRO ASA Y CALCIO",HK159="RIESGO MODERADO (2 O MAS CRITERIOS) VER MANEJO GUIA SUMINISTRO ASA Y CALCIO")),"Inicio no oportuno mayor a 16 semanas",IF(AND(BU159&lt;12,OR(HK159="RIESGO ALTO DE COMPLICACIONES HIPERTENSIVAS VER MANEJO GUIA SUMINISTRO ASA Y CALCIO",HK159="RIESGO MODERADO (2 O MAS CRITERIOS) VER MANEJO GUIA SUMINISTRO ASA Y CALCIO")),"Pendiente Inicio de ASA a la semana 12",IF(AND(BU159&gt;11,BU159&lt;17,OR(HK159="RIESGO ALTO DE COMPLICACIONES HIPERTENSIVAS VER MANEJO GUIA SUMINISTRO ASA Y CALCIO",HK159="RIESGO MODERADO (2 O MAS CRITERIOS) VER MANEJO GUIA SUMINISTRO ASA Y CALCIO")),"Iniciar de inmediato ASA",IF(AND(BU159&gt;16,OR(HK159="RIESGO ALTO DE COMPLICACIONES HIPERTENSIVAS VER MANEJO GUIA SUMINISTRO ASA Y CALCIO",HK159="RIESGO MODERADO (2 O MAS CRITERIOS) VER MANEJO GUIA SUMINISTRO ASA Y CALCIO")),"Pierde Oportunidad, Inicio tardío de ASA","XXXXX"))))))))</f>
        <v>No Aplica para suministro de ASA</v>
      </c>
      <c r="HS159" s="22">
        <v>45051</v>
      </c>
      <c r="HT159" s="22" t="s">
        <v>870</v>
      </c>
      <c r="HU159" s="22">
        <v>45051</v>
      </c>
      <c r="HV159" s="22" t="s">
        <v>870</v>
      </c>
      <c r="HW159" s="22">
        <v>45051</v>
      </c>
      <c r="HX159" s="22" t="s">
        <v>870</v>
      </c>
      <c r="HY159" s="22">
        <v>44999</v>
      </c>
      <c r="HZ159" s="28">
        <f t="shared" si="634"/>
        <v>8</v>
      </c>
      <c r="IA159" s="26"/>
      <c r="IB159" s="26"/>
      <c r="IC159" s="111"/>
      <c r="ID159" s="22"/>
      <c r="IE159" s="22" t="str">
        <f t="shared" ca="1" si="635"/>
        <v>INASISTENTE</v>
      </c>
      <c r="IF159" s="22"/>
      <c r="IG159" s="22">
        <f t="shared" si="636"/>
        <v>45223</v>
      </c>
      <c r="IH159" s="29">
        <f t="shared" ca="1" si="637"/>
        <v>-10</v>
      </c>
      <c r="II159" s="22" t="str">
        <f t="shared" ca="1" si="638"/>
        <v>POSIBLEMENTE NACIO</v>
      </c>
      <c r="IJ159" s="22"/>
      <c r="IK159" s="21"/>
      <c r="IL159" s="21"/>
      <c r="IM159" s="34"/>
      <c r="IN159" s="22"/>
      <c r="IO159" s="21"/>
      <c r="IP159" s="29" t="str">
        <f t="shared" si="672"/>
        <v/>
      </c>
      <c r="IQ159" s="35"/>
      <c r="IR159" s="21"/>
      <c r="IS159" s="21"/>
      <c r="IT159" s="21"/>
      <c r="IU159" s="21"/>
      <c r="IV159" s="21"/>
      <c r="IW159" s="21"/>
      <c r="IX159" s="21"/>
      <c r="IY159" s="21"/>
      <c r="IZ159" s="21"/>
      <c r="JA159" s="21"/>
      <c r="JB159" s="30"/>
      <c r="JC159" s="21"/>
      <c r="JD159" s="36"/>
      <c r="JE159" s="21" t="str">
        <f t="shared" si="682"/>
        <v/>
      </c>
      <c r="JF159" s="30"/>
      <c r="JG159" s="21"/>
      <c r="JH159" s="21"/>
      <c r="JI159" s="21"/>
      <c r="JJ159" s="30"/>
      <c r="JK159" s="22"/>
      <c r="JL159" s="22"/>
      <c r="JM159" s="21"/>
      <c r="JN159" s="36"/>
      <c r="JO159" s="21" t="str">
        <f t="shared" si="683"/>
        <v/>
      </c>
      <c r="JP159" s="22"/>
      <c r="JQ159" s="21"/>
      <c r="JR159" s="21"/>
      <c r="JS159" s="21"/>
      <c r="JT159" s="30"/>
      <c r="JU159" s="22"/>
      <c r="JV159" s="22"/>
      <c r="JW159" s="33"/>
      <c r="JX159" s="28" t="str">
        <f t="shared" si="684"/>
        <v/>
      </c>
      <c r="JY159" s="33"/>
      <c r="JZ159" s="28" t="str">
        <f t="shared" si="685"/>
        <v/>
      </c>
      <c r="KA159" s="21"/>
      <c r="KB159" s="21"/>
      <c r="KC159" s="21"/>
      <c r="KD159" s="37"/>
      <c r="KE159" s="28"/>
      <c r="KF159" s="28"/>
      <c r="KG159" s="28"/>
      <c r="KH159" s="39"/>
      <c r="KI159" s="39"/>
      <c r="KJ159" s="66"/>
      <c r="KK159" s="39"/>
      <c r="KL159" s="39"/>
      <c r="KM159" s="66"/>
      <c r="KN159" s="39"/>
      <c r="KO159" s="39"/>
      <c r="KP159" s="39"/>
      <c r="KQ159" s="39"/>
      <c r="KR159" s="39"/>
      <c r="KS159" s="39"/>
      <c r="KT159" s="39"/>
      <c r="KU159" s="38"/>
      <c r="KV159" s="38"/>
      <c r="KW159" s="38"/>
      <c r="KX159" s="38"/>
      <c r="KY159" s="38"/>
      <c r="KZ159" s="38"/>
      <c r="LA159" s="38"/>
      <c r="LB159" s="38"/>
      <c r="LC159" s="38"/>
      <c r="LD159" s="38"/>
      <c r="LE159" s="38"/>
      <c r="LF159" s="38"/>
      <c r="LG159" s="38"/>
      <c r="LH159" s="38"/>
      <c r="LI159" s="38"/>
      <c r="LJ159" s="38"/>
      <c r="LK159" s="38"/>
      <c r="LL159" s="38"/>
      <c r="LM159" s="38"/>
      <c r="LN159" s="38"/>
      <c r="LO159" s="38"/>
      <c r="LP159" s="38"/>
      <c r="LQ159" s="38"/>
      <c r="LR159" s="38"/>
      <c r="LS159" s="38"/>
      <c r="LT159" s="38"/>
      <c r="LU159" s="38"/>
      <c r="LV159" s="38"/>
      <c r="LW159" s="38"/>
      <c r="LX159" s="38"/>
      <c r="LY159" s="38"/>
      <c r="LZ159" s="38"/>
      <c r="MA159" s="38"/>
      <c r="MB159" s="38"/>
      <c r="MC159" s="38"/>
      <c r="MD159" s="38"/>
      <c r="ME159" s="38"/>
      <c r="MF159" s="38"/>
      <c r="MG159" s="38"/>
      <c r="MH159" s="43">
        <f t="shared" si="639"/>
        <v>0</v>
      </c>
      <c r="MI159" s="43" t="str">
        <f t="shared" si="640"/>
        <v/>
      </c>
      <c r="MJ159" s="43" t="str">
        <f t="shared" si="641"/>
        <v/>
      </c>
      <c r="MK159" s="43">
        <f t="shared" si="642"/>
        <v>0</v>
      </c>
      <c r="ML15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59" s="43">
        <f t="shared" si="643"/>
        <v>15.428571428571429</v>
      </c>
      <c r="MN159" s="43">
        <f t="shared" si="644"/>
        <v>5</v>
      </c>
      <c r="MO159" s="43">
        <f t="shared" si="645"/>
        <v>2023</v>
      </c>
      <c r="MP159" s="43" t="str">
        <f t="shared" si="646"/>
        <v>II TRIMESTRE AÑO</v>
      </c>
      <c r="MQ159" s="43">
        <f t="shared" si="647"/>
        <v>17.51806833114323</v>
      </c>
      <c r="MR159" s="43">
        <f t="shared" si="648"/>
        <v>0</v>
      </c>
      <c r="MS159" s="43" t="str">
        <f t="shared" si="649"/>
        <v>DE 14 A 19AÑOS</v>
      </c>
      <c r="MT159" s="43">
        <f t="shared" si="650"/>
        <v>0</v>
      </c>
      <c r="MU159" s="43">
        <f t="shared" si="651"/>
        <v>0</v>
      </c>
      <c r="MV159" s="43">
        <f t="shared" si="652"/>
        <v>0</v>
      </c>
      <c r="MW159" s="43">
        <f t="shared" si="653"/>
        <v>0</v>
      </c>
      <c r="MX159" s="43" t="str">
        <f t="shared" si="654"/>
        <v/>
      </c>
      <c r="MY159" s="43">
        <f t="shared" ca="1" si="686"/>
        <v>1</v>
      </c>
      <c r="MZ159" s="43" t="str">
        <f t="shared" si="655"/>
        <v/>
      </c>
      <c r="NA159" s="43" t="str">
        <f t="shared" si="656"/>
        <v/>
      </c>
      <c r="NB159" s="43" t="str">
        <f t="shared" si="657"/>
        <v/>
      </c>
      <c r="NC159" s="43" t="str">
        <f t="shared" si="658"/>
        <v/>
      </c>
      <c r="ND159" s="43">
        <f t="shared" ca="1" si="659"/>
        <v>1</v>
      </c>
      <c r="NE159" s="43">
        <f>IF(OR(O159&gt;0,R159&gt;0),SUM(COUNTIF(Tabla1[[#This Row],[AÑOS AL INICIO5 CPN]],"&gt;=40"),COUNTIF(AS159,"0"),COUNTIF(AR159,"SI"),COUNTIF(CC159,"SI"),COUNTIF(BQ159,"&gt;119"),COUNTIF(CI159,"&gt;=35")),"")</f>
        <v>0</v>
      </c>
      <c r="NF159" s="43" t="str">
        <f t="shared" si="660"/>
        <v/>
      </c>
      <c r="NG159" s="43">
        <f t="shared" si="661"/>
        <v>0</v>
      </c>
      <c r="NH159" s="43">
        <f t="shared" si="662"/>
        <v>107.8</v>
      </c>
      <c r="NI15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CPN",P159="NO"),"Z",IF(AND(Tabla1[[#This Row],[CITA PROXIMO CONTROL]]="CITA MANUAL",Tabla1[[#This Row],[GESTANTES ACTUALES]]="ACTIVA INGRESO A CPN"),"W",IF(AND(Tabla1[[#This Row],[GESTANTES ACTUALES]]="SALIO PROGRAMA",IN159=""),"S",IF(AND(Tabla1[[#This Row],[CITA PROXIMO CONTROL]]&gt;0,IN159=""),(Tabla1[[#This Row],[CITA PROXIMO CONTROL]]-TODAY()),"SD"))))))))</f>
        <v>#REF!</v>
      </c>
      <c r="NJ159" s="43">
        <f>MONTH(Tabla1[[#This Row],[FECHA DE SALIDA  DEL PROGRAMA]])</f>
        <v>1</v>
      </c>
      <c r="NK159" s="43">
        <f>YEAR(Tabla1[[#This Row],[FECHA DE SALIDA  DEL PROGRAMA]])</f>
        <v>1900</v>
      </c>
      <c r="NL159" s="43" t="str">
        <f t="shared" si="663"/>
        <v>X</v>
      </c>
      <c r="NM159" s="43" t="str">
        <f t="shared" si="500"/>
        <v>NO</v>
      </c>
      <c r="NN159" s="43" t="str">
        <f ca="1">IF(AND(O159&gt;0,R159=""),"NO CPN",IF(AND(O159="",R159=""),"",IF(AND(R159&gt;0,Tabla1[[#This Row],[SEMANAS DE GESTACION ACTUALIZADAS]]&lt;=12),"NO APLICA",IF(AND(FH159&lt;&gt;"",FN159&lt;&gt;""),"SI","NO"))))</f>
        <v>NO</v>
      </c>
      <c r="NO159" s="43" t="str">
        <f ca="1">IF(AND(O159&gt;0,R159=""),"NO CPN",IF(AND(O159="",R159=""),"",IF(AND(R159&gt;0,Tabla1[[#This Row],[SEMANAS DE GESTACION ACTUALIZADAS]]&lt;=27),"NO APLICA",IF(AND(ES159&lt;&gt;"",FQ159&lt;&gt;"",GF159&lt;&gt;""),"SI","NO"))))</f>
        <v>NO</v>
      </c>
      <c r="NP159" s="204" t="str">
        <f t="shared" si="664"/>
        <v>II TRIM</v>
      </c>
      <c r="NQ159" s="21" t="str">
        <f t="shared" si="689"/>
        <v/>
      </c>
      <c r="NR159" s="21">
        <f t="shared" ca="1" si="687"/>
        <v>2</v>
      </c>
      <c r="NS159" s="205">
        <f t="shared" ca="1" si="665"/>
        <v>1</v>
      </c>
      <c r="NT159" s="21">
        <f t="shared" ca="1" si="666"/>
        <v>2</v>
      </c>
      <c r="NU159" s="21" t="str">
        <f t="shared" ca="1" si="667"/>
        <v>INCOMPLETO</v>
      </c>
      <c r="NV159" s="21" t="str">
        <f t="shared" ca="1" si="668"/>
        <v>COMPLETO</v>
      </c>
      <c r="NW159" s="206" t="str">
        <f>IF(AND(O159="",R159=""),"",IF(OR(AND(Tabla1[[#This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59" s="207" t="str">
        <f t="shared" ca="1" si="669"/>
        <v>SIN VACUNAR</v>
      </c>
      <c r="NY159" s="43">
        <f>ROW(Tabla1[[#This Row],['# DE TAMIZAJES SIFILIS TOMADOS ]])</f>
        <v>159</v>
      </c>
      <c r="NZ159" s="43">
        <f t="shared" si="501"/>
        <v>15</v>
      </c>
      <c r="OA159" s="43" t="str">
        <f t="shared" si="502"/>
        <v/>
      </c>
      <c r="OB159" s="43" t="str">
        <f t="shared" si="503"/>
        <v/>
      </c>
      <c r="OC159" s="43" t="str">
        <f t="shared" si="504"/>
        <v/>
      </c>
      <c r="OD159" s="43" t="str">
        <f t="shared" si="505"/>
        <v/>
      </c>
      <c r="OE159" s="43" t="str">
        <f t="shared" si="506"/>
        <v/>
      </c>
      <c r="OF159" s="43" t="str">
        <f t="shared" si="507"/>
        <v/>
      </c>
      <c r="OG159" s="43" t="str">
        <f t="shared" si="508"/>
        <v>NORMAL</v>
      </c>
      <c r="OH159" s="43" t="str">
        <f t="shared" si="509"/>
        <v/>
      </c>
      <c r="OI159" s="43" t="str">
        <f t="shared" si="510"/>
        <v/>
      </c>
      <c r="OJ159" s="43" t="str">
        <f t="shared" si="511"/>
        <v/>
      </c>
      <c r="OK159" s="43" t="str">
        <f t="shared" si="512"/>
        <v/>
      </c>
      <c r="OL159" s="43" t="str">
        <f t="shared" si="513"/>
        <v/>
      </c>
      <c r="OM159" s="43" t="str">
        <f t="shared" si="514"/>
        <v/>
      </c>
      <c r="ON159" s="43" t="str">
        <f t="shared" si="515"/>
        <v/>
      </c>
      <c r="OO159" s="43" t="str">
        <f t="shared" si="516"/>
        <v/>
      </c>
      <c r="OP159" s="43" t="str">
        <f t="shared" si="517"/>
        <v/>
      </c>
      <c r="OQ159" s="43" t="str">
        <f t="shared" si="518"/>
        <v/>
      </c>
      <c r="OR159" s="43" t="str">
        <f t="shared" si="519"/>
        <v/>
      </c>
      <c r="OS159" s="43" t="str">
        <f t="shared" si="520"/>
        <v/>
      </c>
      <c r="OT159" s="43" t="str">
        <f t="shared" si="521"/>
        <v/>
      </c>
      <c r="OU159" s="43" t="str">
        <f t="shared" si="522"/>
        <v/>
      </c>
      <c r="OV159" s="110" t="str">
        <f t="shared" si="523"/>
        <v/>
      </c>
      <c r="OW159" s="43" t="str">
        <f t="shared" si="524"/>
        <v/>
      </c>
      <c r="OX159" s="43" t="str">
        <f t="shared" si="525"/>
        <v/>
      </c>
      <c r="OY159" s="43" t="str">
        <f t="shared" si="526"/>
        <v/>
      </c>
      <c r="OZ159" s="43" t="str">
        <f t="shared" si="527"/>
        <v/>
      </c>
      <c r="PA159" s="43" t="str">
        <f t="shared" si="528"/>
        <v/>
      </c>
      <c r="PB159" s="43" t="str">
        <f t="shared" si="529"/>
        <v/>
      </c>
      <c r="PC159" s="43" t="str">
        <f t="shared" si="530"/>
        <v/>
      </c>
      <c r="PD159" s="43" t="str">
        <f t="shared" si="531"/>
        <v/>
      </c>
      <c r="PE159" s="43" t="str">
        <f t="shared" si="532"/>
        <v/>
      </c>
      <c r="PF159" s="43" t="str">
        <f t="shared" si="533"/>
        <v/>
      </c>
      <c r="PG159" s="43" t="str">
        <f t="shared" si="534"/>
        <v/>
      </c>
      <c r="PH159" s="43" t="str">
        <f t="shared" si="535"/>
        <v/>
      </c>
      <c r="PI159" s="43">
        <f t="shared" si="536"/>
        <v>28</v>
      </c>
      <c r="PJ159" s="43" t="str">
        <f t="shared" si="537"/>
        <v/>
      </c>
      <c r="PK159" s="43" t="str">
        <f t="shared" si="538"/>
        <v/>
      </c>
      <c r="PL159" s="43" t="str">
        <f t="shared" si="539"/>
        <v/>
      </c>
      <c r="PM159" s="43" t="str">
        <f t="shared" si="540"/>
        <v/>
      </c>
      <c r="PN159" s="43" t="str">
        <f t="shared" si="541"/>
        <v/>
      </c>
      <c r="PO159" s="43" t="str">
        <f t="shared" si="542"/>
        <v/>
      </c>
      <c r="PP159" s="43" t="str">
        <f t="shared" si="543"/>
        <v/>
      </c>
      <c r="PQ159" s="43" t="str">
        <f t="shared" si="544"/>
        <v/>
      </c>
      <c r="PR159" s="43" t="str">
        <f t="shared" si="545"/>
        <v/>
      </c>
      <c r="PS159" s="43" t="str">
        <f t="shared" si="546"/>
        <v/>
      </c>
      <c r="PT159" s="43" t="str">
        <f t="shared" si="547"/>
        <v/>
      </c>
      <c r="PU159" s="43" t="str">
        <f t="shared" si="548"/>
        <v/>
      </c>
      <c r="PV159" s="43" t="str">
        <f t="shared" si="549"/>
        <v/>
      </c>
      <c r="PW159" s="43" t="str">
        <f t="shared" si="550"/>
        <v/>
      </c>
      <c r="PX159" s="43" t="str">
        <f t="shared" si="551"/>
        <v/>
      </c>
      <c r="PY159" s="43" t="str">
        <f t="shared" si="552"/>
        <v/>
      </c>
      <c r="PZ159" s="43" t="str">
        <f t="shared" si="553"/>
        <v/>
      </c>
      <c r="QA159" s="43" t="str">
        <f t="shared" si="554"/>
        <v/>
      </c>
      <c r="QB159" s="43" t="str">
        <f t="shared" si="555"/>
        <v/>
      </c>
      <c r="QC159" s="43" t="str">
        <f t="shared" si="556"/>
        <v>NORMAL</v>
      </c>
      <c r="QD159" s="43" t="str">
        <f t="shared" si="557"/>
        <v/>
      </c>
      <c r="QE159" s="43" t="str">
        <f t="shared" si="558"/>
        <v/>
      </c>
      <c r="QF159" s="43" t="str">
        <f t="shared" si="559"/>
        <v/>
      </c>
      <c r="QG159" s="43" t="str">
        <f t="shared" si="560"/>
        <v/>
      </c>
      <c r="QH159" s="43" t="str">
        <f t="shared" si="561"/>
        <v/>
      </c>
      <c r="QI159" s="43" t="str">
        <f t="shared" si="562"/>
        <v/>
      </c>
      <c r="QJ159" s="43" t="str">
        <f t="shared" si="563"/>
        <v/>
      </c>
      <c r="QK159" s="43" t="str">
        <f t="shared" si="564"/>
        <v/>
      </c>
      <c r="QL159" s="43" t="str">
        <f t="shared" si="565"/>
        <v/>
      </c>
      <c r="QM159" s="43" t="str">
        <f t="shared" si="566"/>
        <v/>
      </c>
      <c r="QN159" s="43" t="str">
        <f t="shared" si="567"/>
        <v/>
      </c>
      <c r="QO159" s="43" t="str">
        <f t="shared" si="568"/>
        <v/>
      </c>
      <c r="QP159" s="43" t="str">
        <f t="shared" si="569"/>
        <v/>
      </c>
      <c r="QQ159" s="43" t="str">
        <f t="shared" si="570"/>
        <v/>
      </c>
      <c r="QR159" s="43">
        <f t="shared" si="670"/>
        <v>28</v>
      </c>
      <c r="QS159" s="43"/>
      <c r="QT159" s="21" t="str">
        <f t="shared" si="571"/>
        <v/>
      </c>
      <c r="QU159" s="21" t="str">
        <f t="shared" si="572"/>
        <v/>
      </c>
      <c r="QV159" s="21" t="str">
        <f t="shared" si="573"/>
        <v/>
      </c>
      <c r="QW159" s="21" t="str">
        <f t="shared" si="574"/>
        <v/>
      </c>
      <c r="QX159" s="21" t="str">
        <f t="shared" si="575"/>
        <v/>
      </c>
      <c r="QY159" s="21" t="str">
        <f t="shared" si="576"/>
        <v/>
      </c>
      <c r="QZ159" s="21" t="str">
        <f t="shared" si="577"/>
        <v/>
      </c>
      <c r="RA159" s="21" t="str">
        <f t="shared" si="578"/>
        <v/>
      </c>
      <c r="RB159" s="21" t="str">
        <f t="shared" si="579"/>
        <v/>
      </c>
      <c r="RC159" s="21" t="str">
        <f t="shared" si="580"/>
        <v/>
      </c>
      <c r="RD159" s="21" t="str">
        <f t="shared" si="581"/>
        <v/>
      </c>
      <c r="RE159" s="21" t="str">
        <f t="shared" si="582"/>
        <v/>
      </c>
      <c r="RF159" s="21" t="str">
        <f t="shared" si="583"/>
        <v/>
      </c>
      <c r="RG159" s="21" t="str">
        <f t="shared" si="584"/>
        <v/>
      </c>
      <c r="RH159" s="21" t="str">
        <f t="shared" si="585"/>
        <v/>
      </c>
      <c r="RI159" s="21" t="str">
        <f t="shared" si="586"/>
        <v>ALTO PARA EDAD GESTACIONAL</v>
      </c>
      <c r="RJ159" s="21" t="str">
        <f t="shared" si="587"/>
        <v/>
      </c>
      <c r="RK159" s="21" t="str">
        <f t="shared" si="588"/>
        <v/>
      </c>
      <c r="RL159" s="21" t="str">
        <f t="shared" si="589"/>
        <v/>
      </c>
      <c r="RM159" s="21" t="str">
        <f t="shared" si="590"/>
        <v/>
      </c>
      <c r="RN159" s="21" t="str">
        <f t="shared" si="591"/>
        <v/>
      </c>
      <c r="RO159" s="21" t="str">
        <f t="shared" si="592"/>
        <v/>
      </c>
      <c r="RP159" s="21" t="str">
        <f t="shared" si="593"/>
        <v/>
      </c>
      <c r="RQ159" s="21" t="str">
        <f t="shared" si="594"/>
        <v/>
      </c>
      <c r="RR159" s="21" t="str">
        <f t="shared" si="595"/>
        <v/>
      </c>
      <c r="RS159" s="21" t="str">
        <f t="shared" si="596"/>
        <v/>
      </c>
      <c r="RT159" s="21" t="str">
        <f t="shared" si="597"/>
        <v/>
      </c>
      <c r="RU159" s="21" t="str">
        <f t="shared" si="598"/>
        <v/>
      </c>
      <c r="RV159" s="21">
        <f t="shared" si="599"/>
        <v>15.428571428571429</v>
      </c>
      <c r="RW159" s="284">
        <f>IF(OR(Tabla1[[#This Row],[FUM FORMULA CONFIABLE]]="",Tabla1[[#This Row],[FUM FORMULA CONFIABLE]]="SD"),"",IF(Tabla1[[#This Row],[FUM FORMULA CONFIABLE]]="CORREGIDA",Tabla1[[#This Row],[FUM X ECO 1]],Tabla1[[#This Row],[FUM x AMENORREA]]))</f>
        <v>44943</v>
      </c>
      <c r="RX159" s="21">
        <f>IF(AND(Tabla1[[#This Row],[FUM X ECO 1]]="",Tabla1[[#This Row],[FUM x AMENORREA]]=""),"",IF(AND(Tabla1[[#This Row],[FUM X ECO 1]]="",Tabla1[[#This Row],[FUM x AMENORREA]]&lt;&gt;""),"X",SUM(Tabla1[[#This Row],[FUM X ECO 1]]-Tabla1[[#This Row],[FUM x AMENORREA]])))</f>
        <v>0.19999999999708962</v>
      </c>
      <c r="RY159" s="21">
        <f t="shared" si="671"/>
        <v>0</v>
      </c>
    </row>
    <row r="160" spans="1:493" ht="45" customHeight="1" x14ac:dyDescent="0.25">
      <c r="A160" s="109"/>
      <c r="B160" s="43"/>
      <c r="C160" s="43" t="s">
        <v>845</v>
      </c>
      <c r="D160" s="124"/>
      <c r="E160" s="43" t="s">
        <v>1441</v>
      </c>
      <c r="F160" s="43" t="s">
        <v>884</v>
      </c>
      <c r="G160" s="43" t="s">
        <v>1457</v>
      </c>
      <c r="H160" s="43"/>
      <c r="I160" s="109" t="s">
        <v>851</v>
      </c>
      <c r="J160" s="110">
        <v>25545401</v>
      </c>
      <c r="K160" s="43" t="s">
        <v>852</v>
      </c>
      <c r="L160" s="175" t="s">
        <v>1509</v>
      </c>
      <c r="M160" s="22">
        <v>28763</v>
      </c>
      <c r="N160" s="213">
        <f t="shared" ca="1" si="600"/>
        <v>45.123287671232873</v>
      </c>
      <c r="O160" s="22">
        <v>45036</v>
      </c>
      <c r="P160" s="214" t="str">
        <f t="shared" si="673"/>
        <v>SI</v>
      </c>
      <c r="Q160" s="26" t="s">
        <v>855</v>
      </c>
      <c r="R160" s="22">
        <v>45036</v>
      </c>
      <c r="S160" s="21" t="s">
        <v>856</v>
      </c>
      <c r="T160" s="24" t="s">
        <v>690</v>
      </c>
      <c r="U160" s="21" t="s">
        <v>857</v>
      </c>
      <c r="V160" s="21" t="s">
        <v>858</v>
      </c>
      <c r="W160" s="21" t="s">
        <v>1331</v>
      </c>
      <c r="X160" s="21"/>
      <c r="Y160" s="21" t="s">
        <v>859</v>
      </c>
      <c r="Z160" s="21" t="s">
        <v>846</v>
      </c>
      <c r="AA160" s="21" t="s">
        <v>860</v>
      </c>
      <c r="AB160" s="27" t="s">
        <v>861</v>
      </c>
      <c r="AC160" s="26" t="s">
        <v>888</v>
      </c>
      <c r="AD160" s="38" t="s">
        <v>1546</v>
      </c>
      <c r="AE160" s="26" t="s">
        <v>854</v>
      </c>
      <c r="AF160" s="26" t="s">
        <v>854</v>
      </c>
      <c r="AG160" s="23" t="s">
        <v>864</v>
      </c>
      <c r="AH160" s="23" t="s">
        <v>864</v>
      </c>
      <c r="AI160" s="24" t="s">
        <v>863</v>
      </c>
      <c r="AJ160" s="23" t="s">
        <v>864</v>
      </c>
      <c r="AK160" s="220" t="str">
        <f>IF(AND(AD160="",AE160="",AF160="",AG160="",AH160="",AI160="",AJ160=""),"",IF(OR(Tabla1[[#This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EVALUACIÓN",IF(AND(O160="",R160=""),"",IF(AND(OR(O160&gt;0,R160&gt;0),NG160&gt;=0,NG160&lt;2),"SIN RIESGO",IF(AND(OR(O160&gt;0,R160&gt;0),NG160&gt;=2),"CON RIESGO","ASD")))))</f>
        <v>SIN RIESGO</v>
      </c>
      <c r="AL160" s="23" t="s">
        <v>864</v>
      </c>
      <c r="AM160" s="26" t="s">
        <v>864</v>
      </c>
      <c r="AN160" s="26" t="s">
        <v>864</v>
      </c>
      <c r="AO160" s="26" t="s">
        <v>864</v>
      </c>
      <c r="AP160" s="26" t="s">
        <v>864</v>
      </c>
      <c r="AQ160" s="26" t="s">
        <v>864</v>
      </c>
      <c r="AR160" s="26" t="s">
        <v>864</v>
      </c>
      <c r="AS160" s="21">
        <v>3</v>
      </c>
      <c r="AT160" s="21">
        <v>1</v>
      </c>
      <c r="AU160" s="21">
        <v>1</v>
      </c>
      <c r="AV160" s="26" t="s">
        <v>864</v>
      </c>
      <c r="AW160" s="21">
        <v>1</v>
      </c>
      <c r="AX160" s="26" t="s">
        <v>864</v>
      </c>
      <c r="AY160" s="26" t="s">
        <v>864</v>
      </c>
      <c r="AZ160" s="26" t="s">
        <v>864</v>
      </c>
      <c r="BA160" s="26" t="s">
        <v>864</v>
      </c>
      <c r="BB160" s="26" t="s">
        <v>864</v>
      </c>
      <c r="BC160" s="26" t="s">
        <v>864</v>
      </c>
      <c r="BD160" s="26" t="s">
        <v>864</v>
      </c>
      <c r="BE160" s="26" t="s">
        <v>864</v>
      </c>
      <c r="BF160" s="26" t="s">
        <v>864</v>
      </c>
      <c r="BG160" s="26" t="s">
        <v>864</v>
      </c>
      <c r="BH160" s="26" t="s">
        <v>864</v>
      </c>
      <c r="BI160" s="26" t="s">
        <v>864</v>
      </c>
      <c r="BJ160" s="26" t="s">
        <v>864</v>
      </c>
      <c r="BK160" s="26" t="s">
        <v>864</v>
      </c>
      <c r="BL160" s="26" t="s">
        <v>864</v>
      </c>
      <c r="BM160" s="26" t="s">
        <v>864</v>
      </c>
      <c r="BN160" s="22">
        <v>41824</v>
      </c>
      <c r="BO160" s="22">
        <v>44963</v>
      </c>
      <c r="BP160" s="21" t="s">
        <v>854</v>
      </c>
      <c r="BQ160" s="222">
        <f t="shared" si="601"/>
        <v>104.63333333333334</v>
      </c>
      <c r="BR160" s="223" t="str">
        <f t="shared" si="602"/>
        <v/>
      </c>
      <c r="BS160" s="224">
        <f t="shared" si="603"/>
        <v>10.428571428571429</v>
      </c>
      <c r="BT160" s="216" t="str">
        <f t="shared" si="604"/>
        <v>II TRIM</v>
      </c>
      <c r="BU160" s="214">
        <f t="shared" ca="1" si="605"/>
        <v>38.571428571428569</v>
      </c>
      <c r="BV160" s="25"/>
      <c r="BW160" s="22"/>
      <c r="BX160" s="28"/>
      <c r="BY160" s="28"/>
      <c r="BZ160" s="22"/>
      <c r="CA160" s="21"/>
      <c r="CB160" s="26"/>
      <c r="CC160" s="26"/>
      <c r="CD160" s="26"/>
      <c r="CE160" s="26"/>
      <c r="CF160" s="22" t="s">
        <v>1517</v>
      </c>
      <c r="CG160" s="21">
        <v>1.62</v>
      </c>
      <c r="CH160" s="21">
        <v>78</v>
      </c>
      <c r="CI160" s="214">
        <f t="shared" si="606"/>
        <v>29.721079103795148</v>
      </c>
      <c r="CJ160" s="225" t="e">
        <f>IF(AND(CI160&lt;10,CH160="SD"),"SIN DATO PESO PREGESTACION O I TRIM",IF(AND(OR(R160&gt;0,O160&gt;0),CI160="X"),"INGRESAR DATO DE PESO",IF(CI160="SD","INGRESAR DATO DE TALLA Y PESO",IF(AND(OR(Tabla1[[#This Row],[MOMENTO EN QUE SE REALIZA EL PESO AL INGRESO A CPN]]="PREGESTACIÓN",NZ160="Menor"),CI160&lt;18.5),"BAJO PESO",IF(AND(OR(Tabla1[[#This Row],[MOMENTO EN QUE SE REALIZA EL PESO AL INGRESO A CPN]]="PREGESTACIÓN",NZ160="Menor"),CI160&lt;25),"NORMAL",IF(AND(OR(Tabla1[[#This Row],[MOMENTO EN QUE SE REALIZA EL PESO AL INGRESO A CPN]]="PREGESTACIÓN",NZ160="Menor"),CI160&lt;30),"SOBREPESO",IF(AND(OR(Tabla1[[#This Row],[MOMENTO EN QUE SE REALIZA EL PESO AL INGRESO A CPN]]="PREGESTACIÓN",NZ160="Menor"),CI160&gt;=30,CI160&lt;50),"OBESIDAD",IF(AND(BS160&gt;0,Tabla1[[#This Row],[MOMENTO EN QUE SE REALIZA EL PESO AL INGRESO A CPN]]="GESTACIÓN"),HLOOKUP(NZ160,$OA$2:PH160,NY160),""))))))))</f>
        <v>#REF!</v>
      </c>
      <c r="CK160" s="212">
        <f t="shared" si="607"/>
        <v>45164</v>
      </c>
      <c r="CL160" s="21">
        <v>83</v>
      </c>
      <c r="CM160" s="214">
        <f t="shared" si="608"/>
        <v>31.626276482243554</v>
      </c>
      <c r="CN160" s="216">
        <f t="shared" si="609"/>
        <v>28</v>
      </c>
      <c r="CO160" s="216" t="e">
        <f>IF(PI160="","",IF(PI160&gt;0,HLOOKUP(PI160,$PJ$2:QQ160,NY160),""))</f>
        <v>#REF!</v>
      </c>
      <c r="CP160" s="21">
        <v>28</v>
      </c>
      <c r="CQ160" s="216" t="e">
        <f>IF(QR160="Menor","NO APLICA-MENOR 13 SEM",IF(AND(CC160="SI",CN160&gt;23),"NO APLICA- GEMELAR",IF(QR160="","",IF(QR160&gt;0,HLOOKUP(QR160,$QS$2:RU160,NY160),""))))</f>
        <v>#REF!</v>
      </c>
      <c r="CR160" s="21">
        <v>100</v>
      </c>
      <c r="CS160" s="21">
        <v>60</v>
      </c>
      <c r="CT160" s="217" t="str">
        <f>IF(R160="","",IF(AND(BS160&gt;1,BS160&lt;12,Tabla1[[#This Row],[T.A. SISTOLICA - ANTES DE SEMANA 12]]="",Tabla1[[#This Row],[T.A. DIASTOLICA - ANTES DE SEMANA 12]]=""),"REGISTRE DATO TA ANTES SEMANA 12",IF(AND(BS160&gt;11,BS160&lt;43,Tabla1[[#This Row],[T.A. SISTOLICA - ANTES DE SEMANA 12]]="",Tabla1[[#This Row],[T.A. DIASTOLICA - ANTES DE SEMANA 12]]=""),"NO APLICA REGISTRO TA-INGRESO TARDIO",IF(AND(OR(O160&gt;0,R160&gt;0),OR(CR160&gt;=140,CS160&gt;=90)),"DEFINIR ESTADIO HTA",IF(AND(OR(O160&gt;0,R160&gt;0),AND(CR160&gt;120,CR160&lt;=139)),"PRE HTA SEGUIMIENTO",IF(AND(OR(O160&gt;0,R160&gt;0),AND(CS160&gt;80,CS160&lt;=89)),"PRE HTA SEGUIMIENTO",IF(AND(OR(O160&gt;0,R160&gt;0),AND(CR160&gt;=80,CR160&lt;=120)),"APARENTEMENTE NORMAL",IF(AND(OR(O160&gt;0,R160&gt;0),AND(CS160&gt;=50,CS160&lt;=80)),"APARENTEMENTE NORMAL",IF(AND(OR(O160&gt;0,R160&gt;0),AND(CR160&gt;1,CR160&lt;=70),AND(CS160&gt;1,CS160&lt;=40)),"HIPOTENSIÓN","")))))))))</f>
        <v>APARENTEMENTE NORMAL</v>
      </c>
      <c r="CU160" s="21">
        <v>100</v>
      </c>
      <c r="CV160" s="21">
        <v>60</v>
      </c>
      <c r="CW160" s="217" t="str">
        <f ca="1">IF(R160="","",IF(AND(CN160&gt;19,CN160&lt;27,Tabla1[[#This Row],[T.A. SISTOLICA (Entre semana 20 y 26)]]="",Tabla1[[#This Row],[T.A. DIATOLICA (Entre semana 20 y 26)]]=""),"ACUDE A CONTROL SEM 20 A 26 REGISTRE TA AHORA",IF(AND(BS160&gt;1,BS160&lt;27,BU160&gt;19,Tabla1[[#This Row],[T.A. SISTOLICA (Entre semana 20 y 26)]]="",Tabla1[[#This Row],[T.A. DIATOLICA (Entre semana 20 y 26)]]=""),"COMPLETE REGISTRO TA CONTROL SEM 20 A26 ",IF(AND(BS160&gt;26,BS160&lt;43,Tabla1[[#This Row],[T.A. SISTOLICA (Entre semana 20 y 26)]]="",Tabla1[[#This Row],[T.A. DIATOLICA (Entre semana 20 y 26)]]=""),"NO APLICA REGISTRO TA-INGRESO TARDIO",IF(AND(OR(O160&gt;0,R160&gt;0),OR(CU160&gt;=140,CV160&gt;=90)),"ALTO RIESGO PREECLAMPSIA,DEFINIR ESTADIO HTA",IF(AND(OR(O160&gt;0,R160&gt;0),AND(CU160&gt;120,CU160&lt;=139)),"PRE HTA SEGUIMIENTO,RIESGO HIPERTENSION INDUCIDA POR EL EMBARAZO",IF(AND(OR(O160&gt;0,R160&gt;0),AND(CV160&gt;80,CV160&lt;=89)),"PRE HTA SEGUIMIENTO, RIESGO HIPERTENSION INDUCIDA POR EL EMBARAZO",IF(AND(OR(O160&lt;&gt;"",R160&lt;&gt;""),CS160&lt;&gt;"",CV160&lt;&gt;"",CS160&lt;=CV160),"VIGILAR CIFRAS PRESION ARTERIAL",IF(AND(OR(O160&gt;0,R160&gt;0),AND(CU160&gt;120,CU160&lt;=139)),"PRE HTA SEGUIMIENTO",IF(AND(OR(O160&gt;0,R160&gt;0),AND(CU160&gt;1,CU160&lt;=70),AND(CV160&gt;1,CV160&lt;=40)),"HIPOTENSIÓN",IF(AND(OR(O160&lt;&gt;"",R160&lt;&gt;""),CS160&lt;&gt;"",CV160&lt;&gt;"",CS160&gt;CV160),"APARENTEMENTE NORMAL",IF(AND(OR(O160&gt;0,R160&gt;0),AND(CU160&gt;=80,CU160&lt;=120)),"APARENTEMENTE NORMAL",IF(AND(OR(O160&gt;0,R160&gt;0),AND(CV160&gt;=50,CV160&lt;=80)),"APARENTEMENTE NORMAL","")))))))))))))</f>
        <v>VIGILAR CIFRAS PRESION ARTERIAL</v>
      </c>
      <c r="CX160" s="21"/>
      <c r="CY160" s="21"/>
      <c r="CZ160" s="216" t="str">
        <f t="shared" si="688"/>
        <v/>
      </c>
      <c r="DA160" s="21">
        <v>100</v>
      </c>
      <c r="DB160" s="21">
        <v>60</v>
      </c>
      <c r="DC160" s="217" t="str">
        <f t="shared" si="610"/>
        <v>APARENTEMENTE NORMAL</v>
      </c>
      <c r="DD160" s="22">
        <v>45036</v>
      </c>
      <c r="DE160" s="22">
        <v>45036</v>
      </c>
      <c r="DF160" s="22">
        <v>45066</v>
      </c>
      <c r="DG160" s="22">
        <v>45101</v>
      </c>
      <c r="DH160" s="22">
        <v>45136</v>
      </c>
      <c r="DI160" s="22">
        <v>45164</v>
      </c>
      <c r="DJ160" s="22"/>
      <c r="DK160" s="22"/>
      <c r="DL160" s="22"/>
      <c r="DM160" s="22"/>
      <c r="DN160" s="22"/>
      <c r="DO160" s="22"/>
      <c r="DP160" s="22"/>
      <c r="DQ160" s="22"/>
      <c r="DR160" s="28">
        <v>1</v>
      </c>
      <c r="DS160" s="22"/>
      <c r="DT160" s="22"/>
      <c r="DU160" s="216" t="str">
        <f t="shared" ca="1" si="674"/>
        <v>CONCERTAR PLAN DE PARTO INMEDIATO</v>
      </c>
      <c r="DV160" s="226" t="str">
        <f t="shared" si="675"/>
        <v>ACTIVA INGRESO A CPN</v>
      </c>
      <c r="DW16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0" s="216" t="e">
        <f t="shared" ca="1" si="611"/>
        <v>#REF!</v>
      </c>
      <c r="DY160" s="212">
        <f>IF(R160="","",IF(R160&gt;0,MAX(Tabla1[[#This Row],[FECHA C2]:[FECHA C13]],Tabla1[[#This Row],[FECHA CONSULTA PRIMERA VEZ PROGRAMA CPN ]])))</f>
        <v>45164</v>
      </c>
      <c r="DZ160" s="216">
        <f t="shared" si="612"/>
        <v>28</v>
      </c>
      <c r="EA160" s="222">
        <f>IF(R160&gt;0,SUM(COUNTA(DF160:DQ160)+COUNTA(Tabla1[[#This Row],[FECHA CONSULTA PRIMERA VEZ PROGRAMA CPN ]])),"")</f>
        <v>5</v>
      </c>
      <c r="EB160" s="222" t="str">
        <f t="shared" si="613"/>
        <v>SI</v>
      </c>
      <c r="EC160" s="214">
        <f t="shared" si="614"/>
        <v>9</v>
      </c>
      <c r="ED160" s="227">
        <f t="shared" si="615"/>
        <v>0.55555555555555558</v>
      </c>
      <c r="EE160" s="22">
        <v>45036</v>
      </c>
      <c r="EF160" s="22"/>
      <c r="EG160" s="22">
        <v>45036</v>
      </c>
      <c r="EH160" s="22">
        <v>45072</v>
      </c>
      <c r="EI160" s="22">
        <v>45036</v>
      </c>
      <c r="EJ160" s="22">
        <v>45083</v>
      </c>
      <c r="EK160" s="22"/>
      <c r="EL160" s="21"/>
      <c r="EM160" s="21">
        <v>13.5</v>
      </c>
      <c r="EN160" s="22">
        <v>45037</v>
      </c>
      <c r="EO160" s="222">
        <f t="shared" si="616"/>
        <v>10.571428571428571</v>
      </c>
      <c r="EP160" s="214" t="str">
        <f t="shared" si="617"/>
        <v>NORMAL- SUMINISTRAR SULFATO FERROSO</v>
      </c>
      <c r="EQ160" s="216" t="str">
        <f t="shared" si="618"/>
        <v>I TRIM</v>
      </c>
      <c r="ER160" s="24"/>
      <c r="ES160" s="22"/>
      <c r="ET160" s="29" t="str">
        <f t="shared" ca="1" si="676"/>
        <v>TOMA DE HEMOGLOBINA TARDÍA</v>
      </c>
      <c r="EU160" s="25" t="str">
        <f t="shared" si="619"/>
        <v/>
      </c>
      <c r="EV160" s="24" t="s">
        <v>1510</v>
      </c>
      <c r="EW160" s="32">
        <v>45037</v>
      </c>
      <c r="EX160" s="22"/>
      <c r="EY160" s="29">
        <f t="shared" ref="EY160:EY219" si="691">IF(AND(BT160="ERROR FUM O INGRESO",EW160&gt;0),"ERROR FUM O INGRESO",IF(AND(EW160="",R160="",O160=""),"",IF(OR(AND(EW160&lt;&gt;"",EW160&lt;RW160),AND(EW160&lt;&gt;"",SUM((EW160-RW160)/7)&gt;40)),"CORREGIR FECHA RESULTADO",IF(AND(EW160="",OR(O160&gt;0,R160&gt;0)),"TOMAR EXAMEN",IF(EW160&gt;0,SUM(EW160-RW160)/7,"")))))</f>
        <v>10.571428571428571</v>
      </c>
      <c r="EZ160" s="25" t="str">
        <f t="shared" ref="EZ160:EZ219" si="692">IF(EV160="RH POSITIVO","SIN RIESGO DE ISOINMUNIZACIÓN",IF(AND(EV160="RH NEGATIVO CON COOMBS NEGATIVO",EX160="",BU160&lt;=24),"COOMBS C/MES Y APLICAR RHESUMAN SEM 28",IF(AND(EV160="RH NEGATIVO CON COOMBS NEGATIVO",EX160="",AND(BU160&gt;24,BU160&lt;27)),"FALTAN DE 4 A 2 SEMANAS PARA APLICAR RHESUMAN A SEM 28",IF(AND(EV160="RH NEGATIVO CON COOMBS NEGATIVO",EX160="",AND(BU160&gt;26.99,BU160&lt;27.99)),"FALTAN 1 SEMANAS PARA APLICAR RHESUMAN A SEM 28",IF(AND(EV160="RH NEGATIVO CON COOMBS NEGATIVO",EX160="",AND(BU160&gt;27.99,BU160&lt;29)),"SEMANA 28 APLICAR DE INMEDIATO RHESUMAN",IF(AND(EV160="RH NEGATIVO CON COOMBS NEGATIVO",EX160="",AND(BU160&gt;28.99,BU160&lt;42)),"DEBE APLICAR RHESUMAN, ES NO OPORTUNO &gt; 28 SEMANAS",IF(AND(EV160="RH NEGATIVO CON COOMBS NEGATIVO",EX160&gt;0),SUM(EX160-RW160)/7,IF(EV160="RH NEGATIVO SIN COOMBS","TOMAR COOMBS INMEDIATO PARA DEFINIR MANEJO",IF(EV160="RH NEGATIVO CON COOMBS POSITIVO","TOMAR COOMBS CUANTITATIVO Y REMISIÓN","")))))))))</f>
        <v>SIN RIESGO DE ISOINMUNIZACIÓN</v>
      </c>
      <c r="FA160" s="21">
        <v>79</v>
      </c>
      <c r="FB160" s="22">
        <v>45037</v>
      </c>
      <c r="FC160" s="29">
        <f t="shared" si="620"/>
        <v>10.571428571428571</v>
      </c>
      <c r="FD160" s="29">
        <v>78</v>
      </c>
      <c r="FE160" s="29">
        <v>105</v>
      </c>
      <c r="FF160" s="29">
        <v>145</v>
      </c>
      <c r="FG160" s="21" t="str">
        <f t="shared" ca="1" si="621"/>
        <v>NORMAL</v>
      </c>
      <c r="FH160" s="31">
        <v>45136</v>
      </c>
      <c r="FI160" s="29">
        <f t="shared" si="622"/>
        <v>24.714285714285715</v>
      </c>
      <c r="FJ160" s="22" t="s">
        <v>867</v>
      </c>
      <c r="FK160" s="22">
        <v>45037</v>
      </c>
      <c r="FL160" s="29">
        <f t="shared" ca="1" si="623"/>
        <v>10.571428571428571</v>
      </c>
      <c r="FM160" s="22"/>
      <c r="FN160" s="32"/>
      <c r="FO160" s="29" t="str">
        <f t="shared" ca="1" si="677"/>
        <v>PIERDE TOMA DE TAMIZAJE</v>
      </c>
      <c r="FP160" s="22"/>
      <c r="FQ160" s="32"/>
      <c r="FR160" s="29" t="str">
        <f t="shared" ca="1" si="678"/>
        <v>TOMA INMEDIATA DE TAMIZAJE</v>
      </c>
      <c r="FS160" s="22"/>
      <c r="FT160" s="32"/>
      <c r="FU160" s="29" t="str">
        <f>IF(AND(FJ160="",FM160="",FP160="",FS160=""),"",IF(OR(OR(Tabla1[[#This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0" s="28"/>
      <c r="FW160" s="22"/>
      <c r="FX160" s="29" t="str">
        <f t="shared" si="624"/>
        <v>TOMAR EXAMEN</v>
      </c>
      <c r="FY160" s="22" t="s">
        <v>868</v>
      </c>
      <c r="FZ160" s="22">
        <v>45036</v>
      </c>
      <c r="GA160" s="29">
        <f t="shared" ca="1" si="690"/>
        <v>10.428571428571429</v>
      </c>
      <c r="GB160" s="22"/>
      <c r="GC160" s="22"/>
      <c r="GD160" s="29" t="str">
        <f t="shared" ca="1" si="679"/>
        <v>PIERDE TOMA DE TAMIZAJE</v>
      </c>
      <c r="GE160" s="22"/>
      <c r="GF160" s="22"/>
      <c r="GG160" s="29" t="str">
        <f t="shared" ca="1" si="680"/>
        <v>TOMA INMEDIATA DE TAMIZAJE</v>
      </c>
      <c r="GH160" s="22"/>
      <c r="GI160" s="29"/>
      <c r="GJ160" s="22"/>
      <c r="GK160" s="22"/>
      <c r="GL160" s="22"/>
      <c r="GM160" s="22"/>
      <c r="GN160" s="28" t="s">
        <v>869</v>
      </c>
      <c r="GO160" s="22">
        <v>45037</v>
      </c>
      <c r="GP160" s="29">
        <f t="shared" si="625"/>
        <v>10.571428571428571</v>
      </c>
      <c r="GQ160" s="28" t="s">
        <v>869</v>
      </c>
      <c r="GR160" s="28" t="s">
        <v>880</v>
      </c>
      <c r="GS160" s="22" t="str">
        <f t="shared" si="626"/>
        <v>CONTROL Igm</v>
      </c>
      <c r="GT160" s="22">
        <v>45037</v>
      </c>
      <c r="GU160" s="29">
        <f t="shared" si="627"/>
        <v>10.571428571428571</v>
      </c>
      <c r="GV160" s="21" t="str">
        <f t="shared" si="628"/>
        <v>I TRIM</v>
      </c>
      <c r="GW160" s="28" t="s">
        <v>880</v>
      </c>
      <c r="GX160" s="30"/>
      <c r="GY160" s="21" t="s">
        <v>906</v>
      </c>
      <c r="GZ160" s="21"/>
      <c r="HA160" s="21"/>
      <c r="HB160" s="21"/>
      <c r="HC160" s="21"/>
      <c r="HD160" s="21"/>
      <c r="HE160" s="21"/>
      <c r="HF160" s="22"/>
      <c r="HG160" s="22" t="str">
        <f>IF(OR(O160&gt;0,R160&gt;0),CONCATENATE(IF(Tabla1[[#This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0" s="22" t="e">
        <f t="shared" si="629"/>
        <v>#REF!</v>
      </c>
      <c r="HI160" s="22" t="e">
        <f t="shared" ca="1" si="630"/>
        <v>#REF!</v>
      </c>
      <c r="HJ160" s="21"/>
      <c r="HK160" s="21" t="str">
        <f t="shared" si="631"/>
        <v>SIN ANTECEDENTES DE RIESGO</v>
      </c>
      <c r="HL160" s="24" t="str">
        <f t="shared" si="632"/>
        <v>APARENTEMENTE NORMAL</v>
      </c>
      <c r="HM160" s="21" t="e">
        <f t="shared" ca="1" si="633"/>
        <v>#REF!</v>
      </c>
      <c r="HN160" s="30" t="str">
        <f t="shared" si="681"/>
        <v>ACTIVA INGRESO A CPN</v>
      </c>
      <c r="HO160" s="21"/>
      <c r="HP160" s="21" t="s">
        <v>854</v>
      </c>
      <c r="HQ160" s="349">
        <v>45036</v>
      </c>
      <c r="HR160" s="21" t="str">
        <f>IF(R160="","",IF(Tabla1[[#This Row],[ALARMA FACTORES DE RIESGO COMPLICACIONES HIPERTENSIVAS3]]="SIN ANTECEDENTES DE RIESGO","No Aplica para suministro de ASA",IF(AND(Tabla1[[#This Row],[FECHA INICIO DE SUMINISTRO DE ASA]]&gt;0,RV160&lt;12),"Inicia ASA ANTES de Sem 12",IF(AND(RV160&gt;11,RV160&lt;17,OR(HK160="RIESGO ALTO DE COMPLICACIONES HIPERTENSIVAS VER MANEJO GUIA SUMINISTRO ASA Y CALCIO",HK160="RIESGO MODERADO (2 O MAS CRITERIOS) VER MANEJO GUIA SUMINISTRO ASA Y CALCIO")),"Inicio oportuno de ASA",IF(AND(RV160&gt;12,OR(HK160="RIESGO ALTO DE COMPLICACIONES HIPERTENSIVAS VER MANEJO GUIA SUMINISTRO ASA Y CALCIO",HK160="RIESGO MODERADO (2 O MAS CRITERIOS) VER MANEJO GUIA SUMINISTRO ASA Y CALCIO")),"Inicio no oportuno mayor a 16 semanas",IF(AND(BU160&lt;12,OR(HK160="RIESGO ALTO DE COMPLICACIONES HIPERTENSIVAS VER MANEJO GUIA SUMINISTRO ASA Y CALCIO",HK160="RIESGO MODERADO (2 O MAS CRITERIOS) VER MANEJO GUIA SUMINISTRO ASA Y CALCIO")),"Pendiente Inicio de ASA a la semana 12",IF(AND(BU160&gt;11,BU160&lt;17,OR(HK160="RIESGO ALTO DE COMPLICACIONES HIPERTENSIVAS VER MANEJO GUIA SUMINISTRO ASA Y CALCIO",HK160="RIESGO MODERADO (2 O MAS CRITERIOS) VER MANEJO GUIA SUMINISTRO ASA Y CALCIO")),"Iniciar de inmediato ASA",IF(AND(BU160&gt;16,OR(HK160="RIESGO ALTO DE COMPLICACIONES HIPERTENSIVAS VER MANEJO GUIA SUMINISTRO ASA Y CALCIO",HK160="RIESGO MODERADO (2 O MAS CRITERIOS) VER MANEJO GUIA SUMINISTRO ASA Y CALCIO")),"Pierde Oportunidad, Inicio tardío de ASA","XXXXX"))))))))</f>
        <v>No Aplica para suministro de ASA</v>
      </c>
      <c r="HS160" s="22">
        <v>45036</v>
      </c>
      <c r="HT160" s="22"/>
      <c r="HU160" s="22"/>
      <c r="HV160" s="22"/>
      <c r="HW160" s="22"/>
      <c r="HX160" s="22"/>
      <c r="HY160" s="22">
        <v>45036</v>
      </c>
      <c r="HZ160" s="28">
        <f t="shared" si="634"/>
        <v>10.428571428571429</v>
      </c>
      <c r="IA160" s="26"/>
      <c r="IB160" s="26"/>
      <c r="IC160" s="111"/>
      <c r="ID160" s="22"/>
      <c r="IE160" s="22" t="str">
        <f t="shared" ca="1" si="635"/>
        <v>INASISTENTE</v>
      </c>
      <c r="IF160" s="22"/>
      <c r="IG160" s="22">
        <f t="shared" si="636"/>
        <v>45243</v>
      </c>
      <c r="IH160" s="29">
        <f t="shared" ca="1" si="637"/>
        <v>10</v>
      </c>
      <c r="II160" s="22" t="str">
        <f t="shared" ca="1" si="638"/>
        <v>MENOS DE 4 SEMANAS</v>
      </c>
      <c r="IJ160" s="22"/>
      <c r="IK160" s="21"/>
      <c r="IL160" s="21"/>
      <c r="IM160" s="34"/>
      <c r="IN160" s="22"/>
      <c r="IO160" s="21"/>
      <c r="IP160" s="29" t="str">
        <f t="shared" si="672"/>
        <v/>
      </c>
      <c r="IQ160" s="35"/>
      <c r="IR160" s="21"/>
      <c r="IS160" s="21"/>
      <c r="IT160" s="21"/>
      <c r="IU160" s="21"/>
      <c r="IV160" s="21"/>
      <c r="IW160" s="21"/>
      <c r="IX160" s="21"/>
      <c r="IY160" s="21"/>
      <c r="IZ160" s="21"/>
      <c r="JA160" s="21"/>
      <c r="JB160" s="30"/>
      <c r="JC160" s="21"/>
      <c r="JD160" s="36"/>
      <c r="JE160" s="21" t="str">
        <f t="shared" si="682"/>
        <v/>
      </c>
      <c r="JF160" s="30"/>
      <c r="JG160" s="21"/>
      <c r="JH160" s="21"/>
      <c r="JI160" s="21"/>
      <c r="JJ160" s="30"/>
      <c r="JK160" s="22"/>
      <c r="JL160" s="22"/>
      <c r="JM160" s="21"/>
      <c r="JN160" s="36"/>
      <c r="JO160" s="21" t="str">
        <f t="shared" si="683"/>
        <v/>
      </c>
      <c r="JP160" s="22"/>
      <c r="JQ160" s="21"/>
      <c r="JR160" s="21"/>
      <c r="JS160" s="21"/>
      <c r="JT160" s="30"/>
      <c r="JU160" s="22"/>
      <c r="JV160" s="22"/>
      <c r="JW160" s="33"/>
      <c r="JX160" s="28" t="str">
        <f t="shared" si="684"/>
        <v/>
      </c>
      <c r="JY160" s="33"/>
      <c r="JZ160" s="28" t="str">
        <f t="shared" si="685"/>
        <v/>
      </c>
      <c r="KA160" s="21"/>
      <c r="KB160" s="21"/>
      <c r="KC160" s="21"/>
      <c r="KD160" s="37"/>
      <c r="KE160" s="28"/>
      <c r="KF160" s="28"/>
      <c r="KG160" s="28"/>
      <c r="KH160" s="39"/>
      <c r="KI160" s="39"/>
      <c r="KJ160" s="66"/>
      <c r="KK160" s="39"/>
      <c r="KL160" s="39"/>
      <c r="KM160" s="66"/>
      <c r="KN160" s="39"/>
      <c r="KO160" s="39"/>
      <c r="KP160" s="39"/>
      <c r="KQ160" s="39"/>
      <c r="KR160" s="39"/>
      <c r="KS160" s="39"/>
      <c r="KT160" s="39"/>
      <c r="KU160" s="38"/>
      <c r="KV160" s="38"/>
      <c r="KW160" s="38"/>
      <c r="KX160" s="38"/>
      <c r="KY160" s="38"/>
      <c r="KZ160" s="38"/>
      <c r="LA160" s="38"/>
      <c r="LB160" s="38"/>
      <c r="LC160" s="38"/>
      <c r="LD160" s="38"/>
      <c r="LE160" s="38"/>
      <c r="LF160" s="38"/>
      <c r="LG160" s="38"/>
      <c r="LH160" s="38"/>
      <c r="LI160" s="38"/>
      <c r="LJ160" s="38"/>
      <c r="LK160" s="38"/>
      <c r="LL160" s="38"/>
      <c r="LM160" s="38"/>
      <c r="LN160" s="38"/>
      <c r="LO160" s="38"/>
      <c r="LP160" s="38"/>
      <c r="LQ160" s="38"/>
      <c r="LR160" s="38"/>
      <c r="LS160" s="38"/>
      <c r="LT160" s="38"/>
      <c r="LU160" s="38"/>
      <c r="LV160" s="38"/>
      <c r="LW160" s="38"/>
      <c r="LX160" s="38"/>
      <c r="LY160" s="38"/>
      <c r="LZ160" s="38"/>
      <c r="MA160" s="38"/>
      <c r="MB160" s="38"/>
      <c r="MC160" s="38"/>
      <c r="MD160" s="38"/>
      <c r="ME160" s="38"/>
      <c r="MF160" s="38"/>
      <c r="MG160" s="38"/>
      <c r="MH160" s="43">
        <f t="shared" si="639"/>
        <v>0</v>
      </c>
      <c r="MI160" s="43" t="str">
        <f t="shared" si="640"/>
        <v/>
      </c>
      <c r="MJ160" s="43" t="str">
        <f t="shared" si="641"/>
        <v/>
      </c>
      <c r="MK160" s="43">
        <f t="shared" si="642"/>
        <v>0</v>
      </c>
      <c r="ML16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0" s="43">
        <f t="shared" si="643"/>
        <v>10.428571428571429</v>
      </c>
      <c r="MN160" s="43">
        <f t="shared" si="644"/>
        <v>4</v>
      </c>
      <c r="MO160" s="43">
        <f t="shared" si="645"/>
        <v>2023</v>
      </c>
      <c r="MP160" s="43" t="str">
        <f t="shared" si="646"/>
        <v>II TRIMESTRE AÑO</v>
      </c>
      <c r="MQ160" s="43">
        <f t="shared" si="647"/>
        <v>43.911519929916778</v>
      </c>
      <c r="MR160" s="43">
        <f t="shared" si="648"/>
        <v>2</v>
      </c>
      <c r="MS160" s="43" t="str">
        <f t="shared" si="649"/>
        <v xml:space="preserve"> DE 40 Y MAS</v>
      </c>
      <c r="MT160" s="43">
        <f t="shared" si="650"/>
        <v>0</v>
      </c>
      <c r="MU160" s="43">
        <f t="shared" si="651"/>
        <v>0</v>
      </c>
      <c r="MV160" s="43">
        <f t="shared" si="652"/>
        <v>1</v>
      </c>
      <c r="MW160" s="43">
        <f t="shared" si="653"/>
        <v>0</v>
      </c>
      <c r="MX160" s="43" t="str">
        <f t="shared" si="654"/>
        <v/>
      </c>
      <c r="MY160" s="43" t="str">
        <f t="shared" ca="1" si="686"/>
        <v/>
      </c>
      <c r="MZ160" s="43" t="str">
        <f t="shared" si="655"/>
        <v/>
      </c>
      <c r="NA160" s="43" t="str">
        <f t="shared" si="656"/>
        <v/>
      </c>
      <c r="NB160" s="43" t="str">
        <f t="shared" si="657"/>
        <v/>
      </c>
      <c r="NC160" s="43" t="str">
        <f t="shared" si="658"/>
        <v/>
      </c>
      <c r="ND160" s="43">
        <f t="shared" ca="1" si="659"/>
        <v>3</v>
      </c>
      <c r="NE160" s="43">
        <f>IF(OR(O160&gt;0,R160&gt;0),SUM(COUNTIF(Tabla1[[#This Row],[AÑOS AL INICIO5 CPN]],"&gt;=40"),COUNTIF(AS160,"0"),COUNTIF(AR160,"SI"),COUNTIF(CC160,"SI"),COUNTIF(BQ160,"&gt;119"),COUNTIF(CI160,"&gt;=35")),"")</f>
        <v>1</v>
      </c>
      <c r="NF160" s="43" t="str">
        <f t="shared" si="660"/>
        <v/>
      </c>
      <c r="NG160" s="43">
        <f t="shared" si="661"/>
        <v>0</v>
      </c>
      <c r="NH160" s="43" t="str">
        <f t="shared" si="662"/>
        <v/>
      </c>
      <c r="NI16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CPN",P160="NO"),"Z",IF(AND(Tabla1[[#This Row],[CITA PROXIMO CONTROL]]="CITA MANUAL",Tabla1[[#This Row],[GESTANTES ACTUALES]]="ACTIVA INGRESO A CPN"),"W",IF(AND(Tabla1[[#This Row],[GESTANTES ACTUALES]]="SALIO PROGRAMA",IN160=""),"S",IF(AND(Tabla1[[#This Row],[CITA PROXIMO CONTROL]]&gt;0,IN160=""),(Tabla1[[#This Row],[CITA PROXIMO CONTROL]]-TODAY()),"SD"))))))))</f>
        <v>#REF!</v>
      </c>
      <c r="NJ160" s="43">
        <f>MONTH(Tabla1[[#This Row],[FECHA DE SALIDA  DEL PROGRAMA]])</f>
        <v>1</v>
      </c>
      <c r="NK160" s="43">
        <f>YEAR(Tabla1[[#This Row],[FECHA DE SALIDA  DEL PROGRAMA]])</f>
        <v>1900</v>
      </c>
      <c r="NL160" s="43">
        <f t="shared" si="663"/>
        <v>47</v>
      </c>
      <c r="NM160" s="43" t="str">
        <f t="shared" ref="NM160:NM193" si="693">IF(AND(O160&gt;0,R160=""),"NO CPN",IF(AND(O160="",R160=""),"",IF(AND(EN160&lt;&gt;"",EX160&lt;&gt;"",FB160&lt;&gt;"",FK160&lt;&gt;"",FW160&lt;&gt;"",FZ160&lt;&gt;"",GO160&lt;&gt;"",GQ160&lt;&gt;"",GR160&lt;&gt;""),"SI","NO")))</f>
        <v>NO</v>
      </c>
      <c r="NN160" s="43" t="str">
        <f ca="1">IF(AND(O160&gt;0,R160=""),"NO CPN",IF(AND(O160="",R160=""),"",IF(AND(R160&gt;0,Tabla1[[#This Row],[SEMANAS DE GESTACION ACTUALIZADAS]]&lt;=12),"NO APLICA",IF(AND(FH160&lt;&gt;"",FN160&lt;&gt;""),"SI","NO"))))</f>
        <v>NO</v>
      </c>
      <c r="NO160" s="43" t="str">
        <f ca="1">IF(AND(O160&gt;0,R160=""),"NO CPN",IF(AND(O160="",R160=""),"",IF(AND(R160&gt;0,Tabla1[[#This Row],[SEMANAS DE GESTACION ACTUALIZADAS]]&lt;=27),"NO APLICA",IF(AND(ES160&lt;&gt;"",FQ160&lt;&gt;"",GF160&lt;&gt;""),"SI","NO"))))</f>
        <v>NO</v>
      </c>
      <c r="NP160" s="204" t="str">
        <f t="shared" si="664"/>
        <v>I TRIM</v>
      </c>
      <c r="NQ160" s="21" t="str">
        <f t="shared" si="689"/>
        <v/>
      </c>
      <c r="NR160" s="21">
        <f t="shared" ca="1" si="687"/>
        <v>3</v>
      </c>
      <c r="NS160" s="205">
        <f t="shared" ca="1" si="665"/>
        <v>1</v>
      </c>
      <c r="NT160" s="21">
        <f t="shared" ca="1" si="666"/>
        <v>1</v>
      </c>
      <c r="NU160" s="21" t="str">
        <f t="shared" ca="1" si="667"/>
        <v>INCOMPLETO</v>
      </c>
      <c r="NV160" s="21" t="str">
        <f t="shared" ca="1" si="668"/>
        <v>INCOMPLETO</v>
      </c>
      <c r="NW160" s="206" t="str">
        <f>IF(AND(O160="",R160=""),"",IF(OR(AND(Tabla1[[#This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0" s="207" t="str">
        <f t="shared" ca="1" si="669"/>
        <v>SIN VACUNAR</v>
      </c>
      <c r="NY160" s="43">
        <f>ROW(Tabla1[[#This Row],['# DE TAMIZAJES SIFILIS TOMADOS ]])</f>
        <v>160</v>
      </c>
      <c r="NZ160" s="43">
        <f t="shared" si="501"/>
        <v>10</v>
      </c>
      <c r="OA160" s="43" t="str">
        <f t="shared" si="502"/>
        <v/>
      </c>
      <c r="OB160" s="43" t="str">
        <f t="shared" si="503"/>
        <v>SOBREPESO</v>
      </c>
      <c r="OC160" s="43" t="str">
        <f t="shared" si="504"/>
        <v/>
      </c>
      <c r="OD160" s="43" t="str">
        <f t="shared" si="505"/>
        <v/>
      </c>
      <c r="OE160" s="43" t="str">
        <f t="shared" si="506"/>
        <v/>
      </c>
      <c r="OF160" s="43" t="str">
        <f t="shared" si="507"/>
        <v/>
      </c>
      <c r="OG160" s="43" t="str">
        <f t="shared" si="508"/>
        <v/>
      </c>
      <c r="OH160" s="43" t="str">
        <f t="shared" si="509"/>
        <v/>
      </c>
      <c r="OI160" s="43" t="str">
        <f t="shared" si="510"/>
        <v/>
      </c>
      <c r="OJ160" s="43" t="str">
        <f t="shared" si="511"/>
        <v/>
      </c>
      <c r="OK160" s="43" t="str">
        <f t="shared" si="512"/>
        <v/>
      </c>
      <c r="OL160" s="43" t="str">
        <f t="shared" si="513"/>
        <v/>
      </c>
      <c r="OM160" s="43" t="str">
        <f t="shared" si="514"/>
        <v/>
      </c>
      <c r="ON160" s="43" t="str">
        <f t="shared" si="515"/>
        <v/>
      </c>
      <c r="OO160" s="43" t="str">
        <f t="shared" si="516"/>
        <v/>
      </c>
      <c r="OP160" s="43" t="str">
        <f t="shared" si="517"/>
        <v/>
      </c>
      <c r="OQ160" s="43" t="str">
        <f t="shared" si="518"/>
        <v/>
      </c>
      <c r="OR160" s="43" t="str">
        <f t="shared" si="519"/>
        <v/>
      </c>
      <c r="OS160" s="43" t="str">
        <f t="shared" si="520"/>
        <v/>
      </c>
      <c r="OT160" s="43" t="str">
        <f t="shared" si="521"/>
        <v/>
      </c>
      <c r="OU160" s="43" t="str">
        <f t="shared" si="522"/>
        <v/>
      </c>
      <c r="OV160" s="110" t="str">
        <f t="shared" si="523"/>
        <v/>
      </c>
      <c r="OW160" s="43" t="str">
        <f t="shared" si="524"/>
        <v/>
      </c>
      <c r="OX160" s="43" t="str">
        <f t="shared" si="525"/>
        <v/>
      </c>
      <c r="OY160" s="43" t="str">
        <f t="shared" si="526"/>
        <v/>
      </c>
      <c r="OZ160" s="43" t="str">
        <f t="shared" si="527"/>
        <v/>
      </c>
      <c r="PA160" s="43" t="str">
        <f t="shared" si="528"/>
        <v/>
      </c>
      <c r="PB160" s="43" t="str">
        <f t="shared" si="529"/>
        <v/>
      </c>
      <c r="PC160" s="43" t="str">
        <f t="shared" si="530"/>
        <v/>
      </c>
      <c r="PD160" s="43" t="str">
        <f t="shared" si="531"/>
        <v/>
      </c>
      <c r="PE160" s="43" t="str">
        <f t="shared" si="532"/>
        <v/>
      </c>
      <c r="PF160" s="43" t="str">
        <f t="shared" si="533"/>
        <v/>
      </c>
      <c r="PG160" s="43" t="str">
        <f t="shared" si="534"/>
        <v/>
      </c>
      <c r="PH160" s="43" t="str">
        <f t="shared" si="535"/>
        <v/>
      </c>
      <c r="PI160" s="43">
        <f t="shared" si="536"/>
        <v>28</v>
      </c>
      <c r="PJ160" s="43" t="str">
        <f t="shared" si="537"/>
        <v/>
      </c>
      <c r="PK160" s="43" t="str">
        <f t="shared" si="538"/>
        <v/>
      </c>
      <c r="PL160" s="43" t="str">
        <f t="shared" si="539"/>
        <v/>
      </c>
      <c r="PM160" s="43" t="str">
        <f t="shared" si="540"/>
        <v/>
      </c>
      <c r="PN160" s="43" t="str">
        <f t="shared" si="541"/>
        <v/>
      </c>
      <c r="PO160" s="43" t="str">
        <f t="shared" si="542"/>
        <v/>
      </c>
      <c r="PP160" s="43" t="str">
        <f t="shared" si="543"/>
        <v/>
      </c>
      <c r="PQ160" s="43" t="str">
        <f t="shared" si="544"/>
        <v/>
      </c>
      <c r="PR160" s="43" t="str">
        <f t="shared" si="545"/>
        <v/>
      </c>
      <c r="PS160" s="43" t="str">
        <f t="shared" si="546"/>
        <v/>
      </c>
      <c r="PT160" s="43" t="str">
        <f t="shared" si="547"/>
        <v/>
      </c>
      <c r="PU160" s="43" t="str">
        <f t="shared" si="548"/>
        <v/>
      </c>
      <c r="PV160" s="43" t="str">
        <f t="shared" si="549"/>
        <v/>
      </c>
      <c r="PW160" s="43" t="str">
        <f t="shared" si="550"/>
        <v/>
      </c>
      <c r="PX160" s="43" t="str">
        <f t="shared" si="551"/>
        <v/>
      </c>
      <c r="PY160" s="43" t="str">
        <f t="shared" si="552"/>
        <v/>
      </c>
      <c r="PZ160" s="43" t="str">
        <f t="shared" si="553"/>
        <v/>
      </c>
      <c r="QA160" s="43" t="str">
        <f t="shared" si="554"/>
        <v/>
      </c>
      <c r="QB160" s="43" t="str">
        <f t="shared" si="555"/>
        <v/>
      </c>
      <c r="QC160" s="43" t="str">
        <f t="shared" si="556"/>
        <v>SOBREPESO</v>
      </c>
      <c r="QD160" s="43" t="str">
        <f t="shared" si="557"/>
        <v/>
      </c>
      <c r="QE160" s="43" t="str">
        <f t="shared" si="558"/>
        <v/>
      </c>
      <c r="QF160" s="43" t="str">
        <f t="shared" si="559"/>
        <v/>
      </c>
      <c r="QG160" s="43" t="str">
        <f t="shared" si="560"/>
        <v/>
      </c>
      <c r="QH160" s="43" t="str">
        <f t="shared" si="561"/>
        <v/>
      </c>
      <c r="QI160" s="43" t="str">
        <f t="shared" si="562"/>
        <v/>
      </c>
      <c r="QJ160" s="43" t="str">
        <f t="shared" si="563"/>
        <v/>
      </c>
      <c r="QK160" s="43" t="str">
        <f t="shared" si="564"/>
        <v/>
      </c>
      <c r="QL160" s="43" t="str">
        <f t="shared" si="565"/>
        <v/>
      </c>
      <c r="QM160" s="43" t="str">
        <f t="shared" si="566"/>
        <v/>
      </c>
      <c r="QN160" s="43" t="str">
        <f t="shared" si="567"/>
        <v/>
      </c>
      <c r="QO160" s="43" t="str">
        <f t="shared" si="568"/>
        <v/>
      </c>
      <c r="QP160" s="43" t="str">
        <f t="shared" si="569"/>
        <v/>
      </c>
      <c r="QQ160" s="43" t="str">
        <f t="shared" si="570"/>
        <v/>
      </c>
      <c r="QR160" s="43">
        <f t="shared" si="670"/>
        <v>28</v>
      </c>
      <c r="QS160" s="43"/>
      <c r="QT160" s="21" t="str">
        <f t="shared" si="571"/>
        <v/>
      </c>
      <c r="QU160" s="21" t="str">
        <f t="shared" si="572"/>
        <v/>
      </c>
      <c r="QV160" s="21" t="str">
        <f t="shared" si="573"/>
        <v/>
      </c>
      <c r="QW160" s="21" t="str">
        <f t="shared" si="574"/>
        <v/>
      </c>
      <c r="QX160" s="21" t="str">
        <f t="shared" si="575"/>
        <v/>
      </c>
      <c r="QY160" s="21" t="str">
        <f t="shared" si="576"/>
        <v/>
      </c>
      <c r="QZ160" s="21" t="str">
        <f t="shared" si="577"/>
        <v/>
      </c>
      <c r="RA160" s="21" t="str">
        <f t="shared" si="578"/>
        <v/>
      </c>
      <c r="RB160" s="21" t="str">
        <f t="shared" si="579"/>
        <v/>
      </c>
      <c r="RC160" s="21" t="str">
        <f t="shared" si="580"/>
        <v/>
      </c>
      <c r="RD160" s="21" t="str">
        <f t="shared" si="581"/>
        <v/>
      </c>
      <c r="RE160" s="21" t="str">
        <f t="shared" si="582"/>
        <v/>
      </c>
      <c r="RF160" s="21" t="str">
        <f t="shared" si="583"/>
        <v/>
      </c>
      <c r="RG160" s="21" t="str">
        <f t="shared" si="584"/>
        <v/>
      </c>
      <c r="RH160" s="21" t="str">
        <f t="shared" si="585"/>
        <v/>
      </c>
      <c r="RI160" s="21" t="str">
        <f t="shared" si="586"/>
        <v>ALTO PARA EDAD GESTACIONAL</v>
      </c>
      <c r="RJ160" s="21" t="str">
        <f t="shared" si="587"/>
        <v/>
      </c>
      <c r="RK160" s="21" t="str">
        <f t="shared" si="588"/>
        <v/>
      </c>
      <c r="RL160" s="21" t="str">
        <f t="shared" si="589"/>
        <v/>
      </c>
      <c r="RM160" s="21" t="str">
        <f t="shared" si="590"/>
        <v/>
      </c>
      <c r="RN160" s="21" t="str">
        <f t="shared" si="591"/>
        <v/>
      </c>
      <c r="RO160" s="21" t="str">
        <f t="shared" si="592"/>
        <v/>
      </c>
      <c r="RP160" s="21" t="str">
        <f t="shared" si="593"/>
        <v/>
      </c>
      <c r="RQ160" s="21" t="str">
        <f t="shared" si="594"/>
        <v/>
      </c>
      <c r="RR160" s="21" t="str">
        <f t="shared" si="595"/>
        <v/>
      </c>
      <c r="RS160" s="21" t="str">
        <f t="shared" si="596"/>
        <v/>
      </c>
      <c r="RT160" s="21" t="str">
        <f t="shared" si="597"/>
        <v/>
      </c>
      <c r="RU160" s="21" t="str">
        <f t="shared" si="598"/>
        <v/>
      </c>
      <c r="RV160" s="21">
        <f t="shared" si="599"/>
        <v>10.428571428571429</v>
      </c>
      <c r="RW160" s="284">
        <f>IF(OR(Tabla1[[#This Row],[FUM FORMULA CONFIABLE]]="",Tabla1[[#This Row],[FUM FORMULA CONFIABLE]]="SD"),"",IF(Tabla1[[#This Row],[FUM FORMULA CONFIABLE]]="CORREGIDA",Tabla1[[#This Row],[FUM X ECO 1]],Tabla1[[#This Row],[FUM x AMENORREA]]))</f>
        <v>44963</v>
      </c>
      <c r="RX160" s="21" t="str">
        <f>IF(AND(Tabla1[[#This Row],[FUM X ECO 1]]="",Tabla1[[#This Row],[FUM x AMENORREA]]=""),"",IF(AND(Tabla1[[#This Row],[FUM X ECO 1]]="",Tabla1[[#This Row],[FUM x AMENORREA]]&lt;&gt;""),"X",SUM(Tabla1[[#This Row],[FUM X ECO 1]]-Tabla1[[#This Row],[FUM x AMENORREA]])))</f>
        <v>X</v>
      </c>
      <c r="RY160" s="21" t="str">
        <f t="shared" si="671"/>
        <v>x</v>
      </c>
    </row>
    <row r="161" spans="1:493" ht="45" customHeight="1" x14ac:dyDescent="0.25">
      <c r="A161" s="109"/>
      <c r="B161" s="43"/>
      <c r="C161" s="43" t="s">
        <v>845</v>
      </c>
      <c r="D161" s="124"/>
      <c r="E161" s="43" t="s">
        <v>1458</v>
      </c>
      <c r="F161" s="43" t="s">
        <v>1459</v>
      </c>
      <c r="G161" s="43" t="s">
        <v>1460</v>
      </c>
      <c r="H161" s="43" t="s">
        <v>976</v>
      </c>
      <c r="I161" s="109" t="s">
        <v>1094</v>
      </c>
      <c r="J161" s="110">
        <v>1062295885</v>
      </c>
      <c r="K161" s="43" t="s">
        <v>852</v>
      </c>
      <c r="L161" s="175" t="s">
        <v>1461</v>
      </c>
      <c r="M161" s="22">
        <v>39711</v>
      </c>
      <c r="N161" s="213">
        <f t="shared" ca="1" si="600"/>
        <v>15.128767123287671</v>
      </c>
      <c r="O161" s="22">
        <v>45038</v>
      </c>
      <c r="P161" s="214" t="str">
        <f t="shared" si="673"/>
        <v>SI</v>
      </c>
      <c r="Q161" s="26" t="s">
        <v>855</v>
      </c>
      <c r="R161" s="22">
        <v>45038</v>
      </c>
      <c r="S161" s="21" t="s">
        <v>856</v>
      </c>
      <c r="T161" s="24" t="s">
        <v>690</v>
      </c>
      <c r="U161" s="21" t="s">
        <v>857</v>
      </c>
      <c r="V161" s="21" t="s">
        <v>858</v>
      </c>
      <c r="W161" s="21" t="s">
        <v>1462</v>
      </c>
      <c r="X161" s="21"/>
      <c r="Y161" s="21"/>
      <c r="Z161" s="21">
        <v>3106247477</v>
      </c>
      <c r="AA161" s="21" t="s">
        <v>860</v>
      </c>
      <c r="AB161" s="27" t="s">
        <v>861</v>
      </c>
      <c r="AC161" s="26" t="s">
        <v>846</v>
      </c>
      <c r="AD161" s="38" t="s">
        <v>1546</v>
      </c>
      <c r="AE161" s="26" t="s">
        <v>854</v>
      </c>
      <c r="AF161" s="26" t="s">
        <v>854</v>
      </c>
      <c r="AG161" s="23" t="s">
        <v>864</v>
      </c>
      <c r="AH161" s="23" t="s">
        <v>864</v>
      </c>
      <c r="AI161" s="24" t="s">
        <v>863</v>
      </c>
      <c r="AJ161" s="23" t="s">
        <v>864</v>
      </c>
      <c r="AK161" s="220" t="str">
        <f>IF(AND(AD161="",AE161="",AF161="",AG161="",AH161="",AI161="",AJ161=""),"",IF(OR(Tabla1[[#This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EVALUACIÓN",IF(AND(O161="",R161=""),"",IF(AND(OR(O161&gt;0,R161&gt;0),NG161&gt;=0,NG161&lt;2),"SIN RIESGO",IF(AND(OR(O161&gt;0,R161&gt;0),NG161&gt;=2),"CON RIESGO","ASD")))))</f>
        <v>SIN RIESGO</v>
      </c>
      <c r="AL161" s="23" t="s">
        <v>864</v>
      </c>
      <c r="AM161" s="26" t="s">
        <v>864</v>
      </c>
      <c r="AN161" s="26" t="s">
        <v>864</v>
      </c>
      <c r="AO161" s="26" t="s">
        <v>864</v>
      </c>
      <c r="AP161" s="26" t="s">
        <v>864</v>
      </c>
      <c r="AQ161" s="26" t="s">
        <v>864</v>
      </c>
      <c r="AR161" s="26" t="s">
        <v>864</v>
      </c>
      <c r="AS161" s="21">
        <v>0</v>
      </c>
      <c r="AT161" s="21">
        <v>0</v>
      </c>
      <c r="AU161" s="21">
        <v>0</v>
      </c>
      <c r="AV161" s="26" t="s">
        <v>864</v>
      </c>
      <c r="AW161" s="21">
        <v>0</v>
      </c>
      <c r="AX161" s="26" t="s">
        <v>864</v>
      </c>
      <c r="AY161" s="26" t="s">
        <v>864</v>
      </c>
      <c r="AZ161" s="26" t="s">
        <v>864</v>
      </c>
      <c r="BA161" s="26" t="s">
        <v>864</v>
      </c>
      <c r="BB161" s="26" t="s">
        <v>864</v>
      </c>
      <c r="BC161" s="26" t="s">
        <v>864</v>
      </c>
      <c r="BD161" s="26" t="s">
        <v>864</v>
      </c>
      <c r="BE161" s="26" t="s">
        <v>864</v>
      </c>
      <c r="BF161" s="26" t="s">
        <v>864</v>
      </c>
      <c r="BG161" s="26" t="s">
        <v>864</v>
      </c>
      <c r="BH161" s="26" t="s">
        <v>864</v>
      </c>
      <c r="BI161" s="26" t="s">
        <v>864</v>
      </c>
      <c r="BJ161" s="26" t="s">
        <v>864</v>
      </c>
      <c r="BK161" s="26" t="s">
        <v>865</v>
      </c>
      <c r="BL161" s="26" t="s">
        <v>864</v>
      </c>
      <c r="BM161" s="26" t="s">
        <v>864</v>
      </c>
      <c r="BN161" s="22"/>
      <c r="BO161" s="22">
        <v>44981</v>
      </c>
      <c r="BP161" s="21" t="s">
        <v>854</v>
      </c>
      <c r="BQ161" s="222">
        <f t="shared" si="601"/>
        <v>0</v>
      </c>
      <c r="BR161" s="223" t="str">
        <f t="shared" si="602"/>
        <v/>
      </c>
      <c r="BS161" s="224">
        <f t="shared" si="603"/>
        <v>8.1428571428571423</v>
      </c>
      <c r="BT161" s="216" t="str">
        <f t="shared" si="604"/>
        <v>I TRIM</v>
      </c>
      <c r="BU161" s="214">
        <f t="shared" ca="1" si="605"/>
        <v>36</v>
      </c>
      <c r="BV161" s="25"/>
      <c r="BW161" s="22"/>
      <c r="BX161" s="28"/>
      <c r="BY161" s="28"/>
      <c r="BZ161" s="22"/>
      <c r="CA161" s="21"/>
      <c r="CB161" s="26"/>
      <c r="CC161" s="26"/>
      <c r="CD161" s="26"/>
      <c r="CE161" s="26"/>
      <c r="CF161" s="22" t="s">
        <v>1517</v>
      </c>
      <c r="CG161" s="21">
        <v>1.54</v>
      </c>
      <c r="CH161" s="21">
        <v>57.5</v>
      </c>
      <c r="CI161" s="214">
        <f t="shared" si="606"/>
        <v>24.245235284196323</v>
      </c>
      <c r="CJ161" s="225" t="str">
        <f>IF(AND(CI161&lt;10,CH161="SD"),"SIN DATO PESO PREGESTACION O I TRIM",IF(AND(OR(R161&gt;0,O161&gt;0),CI161="X"),"INGRESAR DATO DE PESO",IF(CI161="SD","INGRESAR DATO DE TALLA Y PESO",IF(AND(OR(Tabla1[[#This Row],[MOMENTO EN QUE SE REALIZA EL PESO AL INGRESO A CPN]]="PREGESTACIÓN",NZ161="Menor"),CI161&lt;18.5),"BAJO PESO",IF(AND(OR(Tabla1[[#This Row],[MOMENTO EN QUE SE REALIZA EL PESO AL INGRESO A CPN]]="PREGESTACIÓN",NZ161="Menor"),CI161&lt;25),"NORMAL",IF(AND(OR(Tabla1[[#This Row],[MOMENTO EN QUE SE REALIZA EL PESO AL INGRESO A CPN]]="PREGESTACIÓN",NZ161="Menor"),CI161&lt;30),"SOBREPESO",IF(AND(OR(Tabla1[[#This Row],[MOMENTO EN QUE SE REALIZA EL PESO AL INGRESO A CPN]]="PREGESTACIÓN",NZ161="Menor"),CI161&gt;=30,CI161&lt;50),"OBESIDAD",IF(AND(BS161&gt;0,Tabla1[[#This Row],[MOMENTO EN QUE SE REALIZA EL PESO AL INGRESO A CPN]]="GESTACIÓN"),HLOOKUP(NZ161,$OA$2:PH161,NY161),""))))))))</f>
        <v>NORMAL</v>
      </c>
      <c r="CK161" s="212">
        <f t="shared" si="607"/>
        <v>45069</v>
      </c>
      <c r="CL161" s="21">
        <v>57.8</v>
      </c>
      <c r="CM161" s="214">
        <f t="shared" si="608"/>
        <v>24.371732163939956</v>
      </c>
      <c r="CN161" s="216">
        <f t="shared" si="609"/>
        <v>12</v>
      </c>
      <c r="CO161" s="216" t="e">
        <f>IF(PI161="","",IF(PI161&gt;0,HLOOKUP(PI161,$PJ$2:QQ161,NY161),""))</f>
        <v>#REF!</v>
      </c>
      <c r="CP161" s="21"/>
      <c r="CQ161" s="216" t="str">
        <f>IF(QR161="Menor","NO APLICA-MENOR 13 SEM",IF(AND(CC161="SI",CN161&gt;23),"NO APLICA- GEMELAR",IF(QR161="","",IF(QR161&gt;0,HLOOKUP(QR161,$QS$2:RU161,NY161),""))))</f>
        <v>NO APLICA-MENOR 13 SEM</v>
      </c>
      <c r="CR161" s="21">
        <v>90</v>
      </c>
      <c r="CS161" s="21">
        <v>60</v>
      </c>
      <c r="CT161" s="217" t="str">
        <f>IF(R161="","",IF(AND(BS161&gt;1,BS161&lt;12,Tabla1[[#This Row],[T.A. SISTOLICA - ANTES DE SEMANA 12]]="",Tabla1[[#This Row],[T.A. DIASTOLICA - ANTES DE SEMANA 12]]=""),"REGISTRE DATO TA ANTES SEMANA 12",IF(AND(BS161&gt;11,BS161&lt;43,Tabla1[[#This Row],[T.A. SISTOLICA - ANTES DE SEMANA 12]]="",Tabla1[[#This Row],[T.A. DIASTOLICA - ANTES DE SEMANA 12]]=""),"NO APLICA REGISTRO TA-INGRESO TARDIO",IF(AND(OR(O161&gt;0,R161&gt;0),OR(CR161&gt;=140,CS161&gt;=90)),"DEFINIR ESTADIO HTA",IF(AND(OR(O161&gt;0,R161&gt;0),AND(CR161&gt;120,CR161&lt;=139)),"PRE HTA SEGUIMIENTO",IF(AND(OR(O161&gt;0,R161&gt;0),AND(CS161&gt;80,CS161&lt;=89)),"PRE HTA SEGUIMIENTO",IF(AND(OR(O161&gt;0,R161&gt;0),AND(CR161&gt;=80,CR161&lt;=120)),"APARENTEMENTE NORMAL",IF(AND(OR(O161&gt;0,R161&gt;0),AND(CS161&gt;=50,CS161&lt;=80)),"APARENTEMENTE NORMAL",IF(AND(OR(O161&gt;0,R161&gt;0),AND(CR161&gt;1,CR161&lt;=70),AND(CS161&gt;1,CS161&lt;=40)),"HIPOTENSIÓN","")))))))))</f>
        <v>APARENTEMENTE NORMAL</v>
      </c>
      <c r="CU161" s="21"/>
      <c r="CV161" s="21"/>
      <c r="CW161" s="217" t="str">
        <f ca="1">IF(R161="","",IF(AND(CN161&gt;19,CN161&lt;27,Tabla1[[#This Row],[T.A. SISTOLICA (Entre semana 20 y 26)]]="",Tabla1[[#This Row],[T.A. DIATOLICA (Entre semana 20 y 26)]]=""),"ACUDE A CONTROL SEM 20 A 26 REGISTRE TA AHORA",IF(AND(BS161&gt;1,BS161&lt;27,BU161&gt;19,Tabla1[[#This Row],[T.A. SISTOLICA (Entre semana 20 y 26)]]="",Tabla1[[#This Row],[T.A. DIATOLICA (Entre semana 20 y 26)]]=""),"COMPLETE REGISTRO TA CONTROL SEM 20 A26 ",IF(AND(BS161&gt;26,BS161&lt;43,Tabla1[[#This Row],[T.A. SISTOLICA (Entre semana 20 y 26)]]="",Tabla1[[#This Row],[T.A. DIATOLICA (Entre semana 20 y 26)]]=""),"NO APLICA REGISTRO TA-INGRESO TARDIO",IF(AND(OR(O161&gt;0,R161&gt;0),OR(CU161&gt;=140,CV161&gt;=90)),"ALTO RIESGO PREECLAMPSIA,DEFINIR ESTADIO HTA",IF(AND(OR(O161&gt;0,R161&gt;0),AND(CU161&gt;120,CU161&lt;=139)),"PRE HTA SEGUIMIENTO,RIESGO HIPERTENSION INDUCIDA POR EL EMBARAZO",IF(AND(OR(O161&gt;0,R161&gt;0),AND(CV161&gt;80,CV161&lt;=89)),"PRE HTA SEGUIMIENTO, RIESGO HIPERTENSION INDUCIDA POR EL EMBARAZO",IF(AND(OR(O161&lt;&gt;"",R161&lt;&gt;""),CS161&lt;&gt;"",CV161&lt;&gt;"",CS161&lt;=CV161),"VIGILAR CIFRAS PRESION ARTERIAL",IF(AND(OR(O161&gt;0,R161&gt;0),AND(CU161&gt;120,CU161&lt;=139)),"PRE HTA SEGUIMIENTO",IF(AND(OR(O161&gt;0,R161&gt;0),AND(CU161&gt;1,CU161&lt;=70),AND(CV161&gt;1,CV161&lt;=40)),"HIPOTENSIÓN",IF(AND(OR(O161&lt;&gt;"",R161&lt;&gt;""),CS161&lt;&gt;"",CV161&lt;&gt;"",CS161&gt;CV161),"APARENTEMENTE NORMAL",IF(AND(OR(O161&gt;0,R161&gt;0),AND(CU161&gt;=80,CU161&lt;=120)),"APARENTEMENTE NORMAL",IF(AND(OR(O161&gt;0,R161&gt;0),AND(CV161&gt;=50,CV161&lt;=80)),"APARENTEMENTE NORMAL","")))))))))))))</f>
        <v xml:space="preserve">COMPLETE REGISTRO TA CONTROL SEM 20 A26 </v>
      </c>
      <c r="CX161" s="21"/>
      <c r="CY161" s="21"/>
      <c r="CZ161" s="216" t="str">
        <f t="shared" si="688"/>
        <v/>
      </c>
      <c r="DA161" s="21">
        <v>90</v>
      </c>
      <c r="DB161" s="21">
        <v>70</v>
      </c>
      <c r="DC161" s="217" t="str">
        <f t="shared" si="610"/>
        <v>APARENTEMENTE NORMAL</v>
      </c>
      <c r="DD161" s="22">
        <v>45038</v>
      </c>
      <c r="DE161" s="22">
        <v>45038</v>
      </c>
      <c r="DF161" s="22">
        <v>45069</v>
      </c>
      <c r="DG161" s="22"/>
      <c r="DH161" s="22"/>
      <c r="DI161" s="22"/>
      <c r="DJ161" s="22"/>
      <c r="DK161" s="22"/>
      <c r="DL161" s="22"/>
      <c r="DM161" s="22"/>
      <c r="DN161" s="22"/>
      <c r="DO161" s="22"/>
      <c r="DP161" s="22"/>
      <c r="DQ161" s="22"/>
      <c r="DR161" s="28">
        <v>1</v>
      </c>
      <c r="DS161" s="22"/>
      <c r="DT161" s="22"/>
      <c r="DU161" s="216" t="str">
        <f t="shared" ca="1" si="674"/>
        <v>CONCERTAR PLAN DE PARTO INMEDIATO</v>
      </c>
      <c r="DV161" s="226" t="str">
        <f t="shared" si="675"/>
        <v>ACTIVA INGRESO A CPN</v>
      </c>
      <c r="DW16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1" s="216" t="e">
        <f t="shared" ca="1" si="611"/>
        <v>#REF!</v>
      </c>
      <c r="DY161" s="212">
        <f>IF(R161="","",IF(R161&gt;0,MAX(Tabla1[[#This Row],[FECHA C2]:[FECHA C13]],Tabla1[[#This Row],[FECHA CONSULTA PRIMERA VEZ PROGRAMA CPN ]])))</f>
        <v>45069</v>
      </c>
      <c r="DZ161" s="216">
        <f t="shared" si="612"/>
        <v>12</v>
      </c>
      <c r="EA161" s="222">
        <f>IF(R161&gt;0,SUM(COUNTA(DF161:DQ161)+COUNTA(Tabla1[[#This Row],[FECHA CONSULTA PRIMERA VEZ PROGRAMA CPN ]])),"")</f>
        <v>2</v>
      </c>
      <c r="EB161" s="222" t="str">
        <f t="shared" si="613"/>
        <v>NO</v>
      </c>
      <c r="EC161" s="214">
        <f t="shared" si="614"/>
        <v>9</v>
      </c>
      <c r="ED161" s="227">
        <f t="shared" si="615"/>
        <v>0.22222222222222221</v>
      </c>
      <c r="EE161" s="22">
        <v>45038</v>
      </c>
      <c r="EF161" s="22">
        <v>45038</v>
      </c>
      <c r="EG161" s="22">
        <v>45038</v>
      </c>
      <c r="EH161" s="22"/>
      <c r="EI161" s="22">
        <v>45038</v>
      </c>
      <c r="EJ161" s="22"/>
      <c r="EK161" s="22"/>
      <c r="EL161" s="21"/>
      <c r="EM161" s="21">
        <v>13.8</v>
      </c>
      <c r="EN161" s="22">
        <v>45038</v>
      </c>
      <c r="EO161" s="222">
        <f t="shared" si="616"/>
        <v>8.1428571428571423</v>
      </c>
      <c r="EP161" s="214" t="str">
        <f t="shared" si="617"/>
        <v>NORMAL- SUMINISTRAR SULFATO FERROSO</v>
      </c>
      <c r="EQ161" s="216" t="str">
        <f t="shared" si="618"/>
        <v>I TRIM</v>
      </c>
      <c r="ER161" s="24"/>
      <c r="ES161" s="22"/>
      <c r="ET161" s="29" t="str">
        <f t="shared" ca="1" si="676"/>
        <v>TOMA DE HEMOGLOBINA TARDÍA</v>
      </c>
      <c r="EU161" s="25" t="str">
        <f t="shared" si="619"/>
        <v/>
      </c>
      <c r="EV161" s="24" t="s">
        <v>866</v>
      </c>
      <c r="EW161" s="24">
        <v>45038</v>
      </c>
      <c r="EX161" s="22"/>
      <c r="EY161" s="29">
        <f t="shared" si="691"/>
        <v>8.1428571428571423</v>
      </c>
      <c r="EZ161" s="25" t="str">
        <f t="shared" ca="1" si="692"/>
        <v/>
      </c>
      <c r="FA161" s="21">
        <v>94</v>
      </c>
      <c r="FB161" s="22">
        <v>45038</v>
      </c>
      <c r="FC161" s="29">
        <f t="shared" si="620"/>
        <v>8.1428571428571423</v>
      </c>
      <c r="FD161" s="29"/>
      <c r="FE161" s="29"/>
      <c r="FF161" s="29"/>
      <c r="FG161" s="21" t="str">
        <f t="shared" ca="1" si="621"/>
        <v>TOMAR PTOG</v>
      </c>
      <c r="FH161" s="31"/>
      <c r="FI161" s="29" t="str">
        <f t="shared" si="622"/>
        <v>TOMAR EXAMEN</v>
      </c>
      <c r="FJ161" s="22" t="s">
        <v>867</v>
      </c>
      <c r="FK161" s="22">
        <v>45038</v>
      </c>
      <c r="FL161" s="29">
        <f t="shared" ca="1" si="623"/>
        <v>8.1428571428571423</v>
      </c>
      <c r="FM161" s="22"/>
      <c r="FN161" s="32"/>
      <c r="FO161" s="29" t="str">
        <f t="shared" ca="1" si="677"/>
        <v>PIERDE TOMA DE TAMIZAJE</v>
      </c>
      <c r="FP161" s="22"/>
      <c r="FQ161" s="32"/>
      <c r="FR161" s="29" t="str">
        <f t="shared" ca="1" si="678"/>
        <v>TOMA INMEDIATA DE TAMIZAJE</v>
      </c>
      <c r="FS161" s="22"/>
      <c r="FT161" s="32"/>
      <c r="FU161" s="29" t="str">
        <f>IF(AND(FJ161="",FM161="",FP161="",FS161=""),"",IF(OR(OR(Tabla1[[#This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1" s="28"/>
      <c r="FW161" s="22"/>
      <c r="FX161" s="29" t="str">
        <f t="shared" si="624"/>
        <v>TOMAR EXAMEN</v>
      </c>
      <c r="FY161" s="22">
        <v>45038</v>
      </c>
      <c r="FZ161" s="22">
        <v>45038</v>
      </c>
      <c r="GA161" s="29">
        <f t="shared" ca="1" si="690"/>
        <v>8.1428571428571423</v>
      </c>
      <c r="GB161" s="22"/>
      <c r="GC161" s="22"/>
      <c r="GD161" s="29" t="str">
        <f t="shared" ca="1" si="679"/>
        <v>PIERDE TOMA DE TAMIZAJE</v>
      </c>
      <c r="GE161" s="22"/>
      <c r="GF161" s="22"/>
      <c r="GG161" s="29" t="str">
        <f t="shared" ca="1" si="680"/>
        <v>TOMA INMEDIATA DE TAMIZAJE</v>
      </c>
      <c r="GH161" s="22"/>
      <c r="GI161" s="29"/>
      <c r="GJ161" s="22"/>
      <c r="GK161" s="22"/>
      <c r="GL161" s="22"/>
      <c r="GM161" s="22"/>
      <c r="GN161" s="28" t="s">
        <v>869</v>
      </c>
      <c r="GO161" s="22">
        <v>45038</v>
      </c>
      <c r="GP161" s="29">
        <f t="shared" si="625"/>
        <v>8.1428571428571423</v>
      </c>
      <c r="GQ161" s="28" t="s">
        <v>869</v>
      </c>
      <c r="GR161" s="28" t="s">
        <v>869</v>
      </c>
      <c r="GS161" s="22" t="str">
        <f t="shared" si="626"/>
        <v>CONTROL Igm</v>
      </c>
      <c r="GT161" s="22">
        <v>45038</v>
      </c>
      <c r="GU161" s="29">
        <f t="shared" si="627"/>
        <v>8.1428571428571423</v>
      </c>
      <c r="GV161" s="21" t="str">
        <f t="shared" si="628"/>
        <v>I TRIM</v>
      </c>
      <c r="GW161" s="28" t="s">
        <v>869</v>
      </c>
      <c r="GX161" s="30"/>
      <c r="GY161" s="21"/>
      <c r="GZ161" s="21"/>
      <c r="HA161" s="21"/>
      <c r="HB161" s="21"/>
      <c r="HC161" s="21"/>
      <c r="HD161" s="21"/>
      <c r="HE161" s="21"/>
      <c r="HF161" s="22"/>
      <c r="HG161" s="22" t="str">
        <f>IF(OR(O161&gt;0,R161&gt;0),CONCATENATE(IF(Tabla1[[#This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1" s="22" t="e">
        <f t="shared" si="629"/>
        <v>#REF!</v>
      </c>
      <c r="HI161" s="22" t="e">
        <f t="shared" ca="1" si="630"/>
        <v>#REF!</v>
      </c>
      <c r="HJ161" s="21"/>
      <c r="HK161" s="21" t="str">
        <f t="shared" si="631"/>
        <v>SIN ANTECEDENTES DE RIESGO</v>
      </c>
      <c r="HL161" s="24" t="str">
        <f t="shared" si="632"/>
        <v>APARENTEMENTE NORMAL</v>
      </c>
      <c r="HM161" s="21" t="e">
        <f t="shared" ca="1" si="633"/>
        <v>#REF!</v>
      </c>
      <c r="HN161" s="30" t="str">
        <f t="shared" si="681"/>
        <v>ACTIVA INGRESO A CPN</v>
      </c>
      <c r="HO161" s="21"/>
      <c r="HP161" s="21"/>
      <c r="HQ161" s="349">
        <v>45038</v>
      </c>
      <c r="HR161" s="21" t="str">
        <f>IF(R161="","",IF(Tabla1[[#This Row],[ALARMA FACTORES DE RIESGO COMPLICACIONES HIPERTENSIVAS3]]="SIN ANTECEDENTES DE RIESGO","No Aplica para suministro de ASA",IF(AND(Tabla1[[#This Row],[FECHA INICIO DE SUMINISTRO DE ASA]]&gt;0,RV161&lt;12),"Inicia ASA ANTES de Sem 12",IF(AND(RV161&gt;11,RV161&lt;17,OR(HK161="RIESGO ALTO DE COMPLICACIONES HIPERTENSIVAS VER MANEJO GUIA SUMINISTRO ASA Y CALCIO",HK161="RIESGO MODERADO (2 O MAS CRITERIOS) VER MANEJO GUIA SUMINISTRO ASA Y CALCIO")),"Inicio oportuno de ASA",IF(AND(RV161&gt;12,OR(HK161="RIESGO ALTO DE COMPLICACIONES HIPERTENSIVAS VER MANEJO GUIA SUMINISTRO ASA Y CALCIO",HK161="RIESGO MODERADO (2 O MAS CRITERIOS) VER MANEJO GUIA SUMINISTRO ASA Y CALCIO")),"Inicio no oportuno mayor a 16 semanas",IF(AND(BU161&lt;12,OR(HK161="RIESGO ALTO DE COMPLICACIONES HIPERTENSIVAS VER MANEJO GUIA SUMINISTRO ASA Y CALCIO",HK161="RIESGO MODERADO (2 O MAS CRITERIOS) VER MANEJO GUIA SUMINISTRO ASA Y CALCIO")),"Pendiente Inicio de ASA a la semana 12",IF(AND(BU161&gt;11,BU161&lt;17,OR(HK161="RIESGO ALTO DE COMPLICACIONES HIPERTENSIVAS VER MANEJO GUIA SUMINISTRO ASA Y CALCIO",HK161="RIESGO MODERADO (2 O MAS CRITERIOS) VER MANEJO GUIA SUMINISTRO ASA Y CALCIO")),"Iniciar de inmediato ASA",IF(AND(BU161&gt;16,OR(HK161="RIESGO ALTO DE COMPLICACIONES HIPERTENSIVAS VER MANEJO GUIA SUMINISTRO ASA Y CALCIO",HK161="RIESGO MODERADO (2 O MAS CRITERIOS) VER MANEJO GUIA SUMINISTRO ASA Y CALCIO")),"Pierde Oportunidad, Inicio tardío de ASA","XXXXX"))))))))</f>
        <v>No Aplica para suministro de ASA</v>
      </c>
      <c r="HS161" s="22">
        <v>45038</v>
      </c>
      <c r="HT161" s="22" t="s">
        <v>870</v>
      </c>
      <c r="HU161" s="22">
        <v>45038</v>
      </c>
      <c r="HV161" s="22" t="s">
        <v>870</v>
      </c>
      <c r="HW161" s="22"/>
      <c r="HX161" s="22"/>
      <c r="HY161" s="22">
        <v>45038</v>
      </c>
      <c r="HZ161" s="28">
        <f t="shared" si="634"/>
        <v>8.1428571428571423</v>
      </c>
      <c r="IA161" s="26"/>
      <c r="IB161" s="26"/>
      <c r="IC161" s="111"/>
      <c r="ID161" s="22"/>
      <c r="IE161" s="22" t="str">
        <f t="shared" ca="1" si="635"/>
        <v>INASISTENTE</v>
      </c>
      <c r="IF161" s="22"/>
      <c r="IG161" s="22">
        <f t="shared" si="636"/>
        <v>45261</v>
      </c>
      <c r="IH161" s="29">
        <f t="shared" ca="1" si="637"/>
        <v>28</v>
      </c>
      <c r="II161" s="22" t="str">
        <f t="shared" ca="1" si="638"/>
        <v>MENOS DE 4 SEMANAS</v>
      </c>
      <c r="IJ161" s="22"/>
      <c r="IK161" s="21"/>
      <c r="IL161" s="21"/>
      <c r="IM161" s="34"/>
      <c r="IN161" s="22"/>
      <c r="IO161" s="21"/>
      <c r="IP161" s="29" t="str">
        <f t="shared" si="672"/>
        <v/>
      </c>
      <c r="IQ161" s="35"/>
      <c r="IR161" s="21"/>
      <c r="IS161" s="21"/>
      <c r="IT161" s="21"/>
      <c r="IU161" s="21"/>
      <c r="IV161" s="21"/>
      <c r="IW161" s="21"/>
      <c r="IX161" s="21"/>
      <c r="IY161" s="21"/>
      <c r="IZ161" s="21"/>
      <c r="JA161" s="21"/>
      <c r="JB161" s="30"/>
      <c r="JC161" s="21"/>
      <c r="JD161" s="36"/>
      <c r="JE161" s="21" t="str">
        <f t="shared" si="682"/>
        <v/>
      </c>
      <c r="JF161" s="30"/>
      <c r="JG161" s="21"/>
      <c r="JH161" s="21"/>
      <c r="JI161" s="21"/>
      <c r="JJ161" s="30"/>
      <c r="JK161" s="22"/>
      <c r="JL161" s="22"/>
      <c r="JM161" s="21"/>
      <c r="JN161" s="36"/>
      <c r="JO161" s="21" t="str">
        <f t="shared" si="683"/>
        <v/>
      </c>
      <c r="JP161" s="22"/>
      <c r="JQ161" s="21"/>
      <c r="JR161" s="21"/>
      <c r="JS161" s="21"/>
      <c r="JT161" s="30"/>
      <c r="JU161" s="22"/>
      <c r="JV161" s="22"/>
      <c r="JW161" s="33"/>
      <c r="JX161" s="28" t="str">
        <f t="shared" si="684"/>
        <v/>
      </c>
      <c r="JY161" s="33"/>
      <c r="JZ161" s="28" t="str">
        <f t="shared" si="685"/>
        <v/>
      </c>
      <c r="KA161" s="21"/>
      <c r="KB161" s="21"/>
      <c r="KC161" s="21"/>
      <c r="KD161" s="37"/>
      <c r="KE161" s="28"/>
      <c r="KF161" s="28"/>
      <c r="KG161" s="28"/>
      <c r="KH161" s="39"/>
      <c r="KI161" s="39"/>
      <c r="KJ161" s="66"/>
      <c r="KK161" s="39"/>
      <c r="KL161" s="39"/>
      <c r="KM161" s="66"/>
      <c r="KN161" s="39"/>
      <c r="KO161" s="39"/>
      <c r="KP161" s="39"/>
      <c r="KQ161" s="39"/>
      <c r="KR161" s="39"/>
      <c r="KS161" s="39"/>
      <c r="KT161" s="39"/>
      <c r="KU161" s="38"/>
      <c r="KV161" s="38"/>
      <c r="KW161" s="38"/>
      <c r="KX161" s="38"/>
      <c r="KY161" s="38"/>
      <c r="KZ161" s="38"/>
      <c r="LA161" s="38"/>
      <c r="LB161" s="38"/>
      <c r="LC161" s="38"/>
      <c r="LD161" s="38"/>
      <c r="LE161" s="38"/>
      <c r="LF161" s="38"/>
      <c r="LG161" s="38"/>
      <c r="LH161" s="38"/>
      <c r="LI161" s="38"/>
      <c r="LJ161" s="38"/>
      <c r="LK161" s="38"/>
      <c r="LL161" s="38"/>
      <c r="LM161" s="38"/>
      <c r="LN161" s="38"/>
      <c r="LO161" s="38"/>
      <c r="LP161" s="38"/>
      <c r="LQ161" s="38"/>
      <c r="LR161" s="38"/>
      <c r="LS161" s="38"/>
      <c r="LT161" s="38"/>
      <c r="LU161" s="38"/>
      <c r="LV161" s="38"/>
      <c r="LW161" s="38"/>
      <c r="LX161" s="38"/>
      <c r="LY161" s="38"/>
      <c r="LZ161" s="38"/>
      <c r="MA161" s="38"/>
      <c r="MB161" s="38"/>
      <c r="MC161" s="38"/>
      <c r="MD161" s="38"/>
      <c r="ME161" s="38"/>
      <c r="MF161" s="38"/>
      <c r="MG161" s="38"/>
      <c r="MH161" s="43">
        <f t="shared" si="639"/>
        <v>0</v>
      </c>
      <c r="MI161" s="43" t="str">
        <f t="shared" si="640"/>
        <v/>
      </c>
      <c r="MJ161" s="43" t="str">
        <f t="shared" si="641"/>
        <v/>
      </c>
      <c r="MK161" s="43">
        <f t="shared" si="642"/>
        <v>0</v>
      </c>
      <c r="ML16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1" s="43">
        <f t="shared" si="643"/>
        <v>8.1428571428571423</v>
      </c>
      <c r="MN161" s="43">
        <f t="shared" si="644"/>
        <v>4</v>
      </c>
      <c r="MO161" s="43">
        <f t="shared" si="645"/>
        <v>2023</v>
      </c>
      <c r="MP161" s="43" t="str">
        <f t="shared" si="646"/>
        <v>II TRIMESTRE AÑO</v>
      </c>
      <c r="MQ161" s="43">
        <f t="shared" si="647"/>
        <v>14.378011388523872</v>
      </c>
      <c r="MR161" s="43">
        <f t="shared" si="648"/>
        <v>1</v>
      </c>
      <c r="MS161" s="43" t="str">
        <f t="shared" si="649"/>
        <v>DE 14 A 19AÑOS</v>
      </c>
      <c r="MT161" s="43">
        <f t="shared" si="650"/>
        <v>0</v>
      </c>
      <c r="MU161" s="43">
        <f t="shared" si="651"/>
        <v>1</v>
      </c>
      <c r="MV161" s="43">
        <f t="shared" si="652"/>
        <v>0</v>
      </c>
      <c r="MW161" s="43">
        <f t="shared" si="653"/>
        <v>0</v>
      </c>
      <c r="MX161" s="43" t="str">
        <f t="shared" si="654"/>
        <v/>
      </c>
      <c r="MY161" s="43" t="str">
        <f t="shared" ca="1" si="686"/>
        <v/>
      </c>
      <c r="MZ161" s="43" t="str">
        <f t="shared" si="655"/>
        <v/>
      </c>
      <c r="NA161" s="43" t="str">
        <f t="shared" si="656"/>
        <v/>
      </c>
      <c r="NB161" s="43" t="str">
        <f t="shared" si="657"/>
        <v/>
      </c>
      <c r="NC161" s="43" t="str">
        <f t="shared" si="658"/>
        <v/>
      </c>
      <c r="ND161" s="43">
        <f t="shared" ca="1" si="659"/>
        <v>2</v>
      </c>
      <c r="NE161" s="43">
        <f>IF(OR(O161&gt;0,R161&gt;0),SUM(COUNTIF(Tabla1[[#This Row],[AÑOS AL INICIO5 CPN]],"&gt;=40"),COUNTIF(AS161,"0"),COUNTIF(AR161,"SI"),COUNTIF(CC161,"SI"),COUNTIF(BQ161,"&gt;119"),COUNTIF(CI161,"&gt;=35")),"")</f>
        <v>1</v>
      </c>
      <c r="NF161" s="43" t="str">
        <f t="shared" si="660"/>
        <v/>
      </c>
      <c r="NG161" s="43">
        <f t="shared" si="661"/>
        <v>0</v>
      </c>
      <c r="NH161" s="43" t="str">
        <f t="shared" si="662"/>
        <v/>
      </c>
      <c r="NI16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CPN",P161="NO"),"Z",IF(AND(Tabla1[[#This Row],[CITA PROXIMO CONTROL]]="CITA MANUAL",Tabla1[[#This Row],[GESTANTES ACTUALES]]="ACTIVA INGRESO A CPN"),"W",IF(AND(Tabla1[[#This Row],[GESTANTES ACTUALES]]="SALIO PROGRAMA",IN161=""),"S",IF(AND(Tabla1[[#This Row],[CITA PROXIMO CONTROL]]&gt;0,IN161=""),(Tabla1[[#This Row],[CITA PROXIMO CONTROL]]-TODAY()),"SD"))))))))</f>
        <v>#REF!</v>
      </c>
      <c r="NJ161" s="43">
        <f>MONTH(Tabla1[[#This Row],[FECHA DE SALIDA  DEL PROGRAMA]])</f>
        <v>1</v>
      </c>
      <c r="NK161" s="43">
        <f>YEAR(Tabla1[[#This Row],[FECHA DE SALIDA  DEL PROGRAMA]])</f>
        <v>1900</v>
      </c>
      <c r="NL161" s="43" t="str">
        <f t="shared" si="663"/>
        <v>X</v>
      </c>
      <c r="NM161" s="43" t="str">
        <f t="shared" si="693"/>
        <v>NO</v>
      </c>
      <c r="NN161" s="43" t="str">
        <f ca="1">IF(AND(O161&gt;0,R161=""),"NO CPN",IF(AND(O161="",R161=""),"",IF(AND(R161&gt;0,Tabla1[[#This Row],[SEMANAS DE GESTACION ACTUALIZADAS]]&lt;=12),"NO APLICA",IF(AND(FH161&lt;&gt;"",FN161&lt;&gt;""),"SI","NO"))))</f>
        <v>NO</v>
      </c>
      <c r="NO161" s="43" t="str">
        <f ca="1">IF(AND(O161&gt;0,R161=""),"NO CPN",IF(AND(O161="",R161=""),"",IF(AND(R161&gt;0,Tabla1[[#This Row],[SEMANAS DE GESTACION ACTUALIZADAS]]&lt;=27),"NO APLICA",IF(AND(ES161&lt;&gt;"",FQ161&lt;&gt;"",GF161&lt;&gt;""),"SI","NO"))))</f>
        <v>NO</v>
      </c>
      <c r="NP161" s="204" t="str">
        <f t="shared" si="664"/>
        <v>I TRIM</v>
      </c>
      <c r="NQ161" s="21" t="str">
        <f t="shared" si="689"/>
        <v/>
      </c>
      <c r="NR161" s="21">
        <f t="shared" ca="1" si="687"/>
        <v>3</v>
      </c>
      <c r="NS161" s="205">
        <f t="shared" ca="1" si="665"/>
        <v>1</v>
      </c>
      <c r="NT161" s="21">
        <f t="shared" ca="1" si="666"/>
        <v>1</v>
      </c>
      <c r="NU161" s="21" t="str">
        <f t="shared" ca="1" si="667"/>
        <v>INCOMPLETO</v>
      </c>
      <c r="NV161" s="21" t="str">
        <f t="shared" ca="1" si="668"/>
        <v>INCOMPLETO</v>
      </c>
      <c r="NW161" s="206" t="str">
        <f>IF(AND(O161="",R161=""),"",IF(OR(AND(Tabla1[[#This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1" s="207" t="str">
        <f t="shared" ca="1" si="669"/>
        <v>SIN VACUNAR</v>
      </c>
      <c r="NY161" s="43">
        <f>ROW(Tabla1[[#This Row],['# DE TAMIZAJES SIFILIS TOMADOS ]])</f>
        <v>161</v>
      </c>
      <c r="NZ161" s="43" t="str">
        <f t="shared" si="501"/>
        <v>Menor</v>
      </c>
      <c r="OA161" s="43" t="str">
        <f t="shared" si="502"/>
        <v>NORMAL</v>
      </c>
      <c r="OB161" s="43" t="str">
        <f t="shared" si="503"/>
        <v/>
      </c>
      <c r="OC161" s="43" t="str">
        <f t="shared" si="504"/>
        <v/>
      </c>
      <c r="OD161" s="43" t="str">
        <f t="shared" si="505"/>
        <v/>
      </c>
      <c r="OE161" s="43" t="str">
        <f t="shared" si="506"/>
        <v/>
      </c>
      <c r="OF161" s="43" t="str">
        <f t="shared" si="507"/>
        <v/>
      </c>
      <c r="OG161" s="43" t="str">
        <f t="shared" si="508"/>
        <v/>
      </c>
      <c r="OH161" s="43" t="str">
        <f t="shared" si="509"/>
        <v/>
      </c>
      <c r="OI161" s="43" t="str">
        <f t="shared" si="510"/>
        <v/>
      </c>
      <c r="OJ161" s="43" t="str">
        <f t="shared" si="511"/>
        <v/>
      </c>
      <c r="OK161" s="43" t="str">
        <f t="shared" si="512"/>
        <v/>
      </c>
      <c r="OL161" s="43" t="str">
        <f t="shared" si="513"/>
        <v/>
      </c>
      <c r="OM161" s="43" t="str">
        <f t="shared" si="514"/>
        <v/>
      </c>
      <c r="ON161" s="43" t="str">
        <f t="shared" si="515"/>
        <v/>
      </c>
      <c r="OO161" s="43" t="str">
        <f t="shared" si="516"/>
        <v/>
      </c>
      <c r="OP161" s="43" t="str">
        <f t="shared" si="517"/>
        <v/>
      </c>
      <c r="OQ161" s="43" t="str">
        <f t="shared" si="518"/>
        <v/>
      </c>
      <c r="OR161" s="43" t="str">
        <f t="shared" si="519"/>
        <v/>
      </c>
      <c r="OS161" s="43" t="str">
        <f t="shared" si="520"/>
        <v/>
      </c>
      <c r="OT161" s="43" t="str">
        <f t="shared" si="521"/>
        <v/>
      </c>
      <c r="OU161" s="43" t="str">
        <f t="shared" si="522"/>
        <v/>
      </c>
      <c r="OV161" s="110" t="str">
        <f t="shared" si="523"/>
        <v/>
      </c>
      <c r="OW161" s="43" t="str">
        <f t="shared" si="524"/>
        <v/>
      </c>
      <c r="OX161" s="43" t="str">
        <f t="shared" si="525"/>
        <v/>
      </c>
      <c r="OY161" s="43" t="str">
        <f t="shared" si="526"/>
        <v/>
      </c>
      <c r="OZ161" s="43" t="str">
        <f t="shared" si="527"/>
        <v/>
      </c>
      <c r="PA161" s="43" t="str">
        <f t="shared" si="528"/>
        <v/>
      </c>
      <c r="PB161" s="43" t="str">
        <f t="shared" si="529"/>
        <v/>
      </c>
      <c r="PC161" s="43" t="str">
        <f t="shared" si="530"/>
        <v/>
      </c>
      <c r="PD161" s="43" t="str">
        <f t="shared" si="531"/>
        <v/>
      </c>
      <c r="PE161" s="43" t="str">
        <f t="shared" si="532"/>
        <v/>
      </c>
      <c r="PF161" s="43" t="str">
        <f t="shared" si="533"/>
        <v/>
      </c>
      <c r="PG161" s="43" t="str">
        <f t="shared" si="534"/>
        <v/>
      </c>
      <c r="PH161" s="43" t="str">
        <f t="shared" si="535"/>
        <v/>
      </c>
      <c r="PI161" s="43">
        <f t="shared" si="536"/>
        <v>12</v>
      </c>
      <c r="PJ161" s="43" t="str">
        <f t="shared" si="537"/>
        <v/>
      </c>
      <c r="PK161" s="43" t="str">
        <f t="shared" si="538"/>
        <v/>
      </c>
      <c r="PL161" s="43" t="str">
        <f t="shared" si="539"/>
        <v/>
      </c>
      <c r="PM161" s="43" t="str">
        <f t="shared" si="540"/>
        <v>NORMAL</v>
      </c>
      <c r="PN161" s="43" t="str">
        <f t="shared" si="541"/>
        <v/>
      </c>
      <c r="PO161" s="43" t="str">
        <f t="shared" si="542"/>
        <v/>
      </c>
      <c r="PP161" s="43" t="str">
        <f t="shared" si="543"/>
        <v/>
      </c>
      <c r="PQ161" s="43" t="str">
        <f t="shared" si="544"/>
        <v/>
      </c>
      <c r="PR161" s="43" t="str">
        <f t="shared" si="545"/>
        <v/>
      </c>
      <c r="PS161" s="43" t="str">
        <f t="shared" si="546"/>
        <v/>
      </c>
      <c r="PT161" s="43" t="str">
        <f t="shared" si="547"/>
        <v/>
      </c>
      <c r="PU161" s="43" t="str">
        <f t="shared" si="548"/>
        <v/>
      </c>
      <c r="PV161" s="43" t="str">
        <f t="shared" si="549"/>
        <v/>
      </c>
      <c r="PW161" s="43" t="str">
        <f t="shared" si="550"/>
        <v/>
      </c>
      <c r="PX161" s="43" t="str">
        <f t="shared" si="551"/>
        <v/>
      </c>
      <c r="PY161" s="43" t="str">
        <f t="shared" si="552"/>
        <v/>
      </c>
      <c r="PZ161" s="43" t="str">
        <f t="shared" si="553"/>
        <v/>
      </c>
      <c r="QA161" s="43" t="str">
        <f t="shared" si="554"/>
        <v/>
      </c>
      <c r="QB161" s="43" t="str">
        <f t="shared" si="555"/>
        <v/>
      </c>
      <c r="QC161" s="43" t="str">
        <f t="shared" si="556"/>
        <v/>
      </c>
      <c r="QD161" s="43" t="str">
        <f t="shared" si="557"/>
        <v/>
      </c>
      <c r="QE161" s="43" t="str">
        <f t="shared" si="558"/>
        <v/>
      </c>
      <c r="QF161" s="43" t="str">
        <f t="shared" si="559"/>
        <v/>
      </c>
      <c r="QG161" s="43" t="str">
        <f t="shared" si="560"/>
        <v/>
      </c>
      <c r="QH161" s="43" t="str">
        <f t="shared" si="561"/>
        <v/>
      </c>
      <c r="QI161" s="43" t="str">
        <f t="shared" si="562"/>
        <v/>
      </c>
      <c r="QJ161" s="43" t="str">
        <f t="shared" si="563"/>
        <v/>
      </c>
      <c r="QK161" s="43" t="str">
        <f t="shared" si="564"/>
        <v/>
      </c>
      <c r="QL161" s="43" t="str">
        <f t="shared" si="565"/>
        <v/>
      </c>
      <c r="QM161" s="43" t="str">
        <f t="shared" si="566"/>
        <v/>
      </c>
      <c r="QN161" s="43" t="str">
        <f t="shared" si="567"/>
        <v/>
      </c>
      <c r="QO161" s="43" t="str">
        <f t="shared" si="568"/>
        <v/>
      </c>
      <c r="QP161" s="43" t="str">
        <f t="shared" si="569"/>
        <v/>
      </c>
      <c r="QQ161" s="43" t="str">
        <f t="shared" si="570"/>
        <v/>
      </c>
      <c r="QR161" s="43" t="str">
        <f t="shared" si="670"/>
        <v>Menor</v>
      </c>
      <c r="QS161" s="43"/>
      <c r="QT161" s="21" t="str">
        <f t="shared" si="571"/>
        <v/>
      </c>
      <c r="QU161" s="21" t="str">
        <f t="shared" si="572"/>
        <v/>
      </c>
      <c r="QV161" s="21" t="str">
        <f t="shared" si="573"/>
        <v/>
      </c>
      <c r="QW161" s="21" t="str">
        <f t="shared" si="574"/>
        <v/>
      </c>
      <c r="QX161" s="21" t="str">
        <f t="shared" si="575"/>
        <v/>
      </c>
      <c r="QY161" s="21" t="str">
        <f t="shared" si="576"/>
        <v/>
      </c>
      <c r="QZ161" s="21" t="str">
        <f t="shared" si="577"/>
        <v/>
      </c>
      <c r="RA161" s="21" t="str">
        <f t="shared" si="578"/>
        <v/>
      </c>
      <c r="RB161" s="21" t="str">
        <f t="shared" si="579"/>
        <v/>
      </c>
      <c r="RC161" s="21" t="str">
        <f t="shared" si="580"/>
        <v/>
      </c>
      <c r="RD161" s="21" t="str">
        <f t="shared" si="581"/>
        <v/>
      </c>
      <c r="RE161" s="21" t="str">
        <f t="shared" si="582"/>
        <v/>
      </c>
      <c r="RF161" s="21" t="str">
        <f t="shared" si="583"/>
        <v/>
      </c>
      <c r="RG161" s="21" t="str">
        <f t="shared" si="584"/>
        <v/>
      </c>
      <c r="RH161" s="21" t="str">
        <f t="shared" si="585"/>
        <v/>
      </c>
      <c r="RI161" s="21" t="str">
        <f t="shared" si="586"/>
        <v/>
      </c>
      <c r="RJ161" s="21" t="str">
        <f t="shared" si="587"/>
        <v/>
      </c>
      <c r="RK161" s="21" t="str">
        <f t="shared" si="588"/>
        <v/>
      </c>
      <c r="RL161" s="21" t="str">
        <f t="shared" si="589"/>
        <v/>
      </c>
      <c r="RM161" s="21" t="str">
        <f t="shared" si="590"/>
        <v/>
      </c>
      <c r="RN161" s="21" t="str">
        <f t="shared" si="591"/>
        <v/>
      </c>
      <c r="RO161" s="21" t="str">
        <f t="shared" si="592"/>
        <v/>
      </c>
      <c r="RP161" s="21" t="str">
        <f t="shared" si="593"/>
        <v/>
      </c>
      <c r="RQ161" s="21" t="str">
        <f t="shared" si="594"/>
        <v/>
      </c>
      <c r="RR161" s="21" t="str">
        <f t="shared" si="595"/>
        <v/>
      </c>
      <c r="RS161" s="21" t="str">
        <f t="shared" si="596"/>
        <v/>
      </c>
      <c r="RT161" s="21" t="str">
        <f t="shared" si="597"/>
        <v/>
      </c>
      <c r="RU161" s="21" t="str">
        <f t="shared" si="598"/>
        <v/>
      </c>
      <c r="RV161" s="21">
        <f t="shared" si="599"/>
        <v>8.1428571428571423</v>
      </c>
      <c r="RW161" s="284">
        <f>IF(OR(Tabla1[[#This Row],[FUM FORMULA CONFIABLE]]="",Tabla1[[#This Row],[FUM FORMULA CONFIABLE]]="SD"),"",IF(Tabla1[[#This Row],[FUM FORMULA CONFIABLE]]="CORREGIDA",Tabla1[[#This Row],[FUM X ECO 1]],Tabla1[[#This Row],[FUM x AMENORREA]]))</f>
        <v>44981</v>
      </c>
      <c r="RX161" s="21" t="str">
        <f>IF(AND(Tabla1[[#This Row],[FUM X ECO 1]]="",Tabla1[[#This Row],[FUM x AMENORREA]]=""),"",IF(AND(Tabla1[[#This Row],[FUM X ECO 1]]="",Tabla1[[#This Row],[FUM x AMENORREA]]&lt;&gt;""),"X",SUM(Tabla1[[#This Row],[FUM X ECO 1]]-Tabla1[[#This Row],[FUM x AMENORREA]])))</f>
        <v>X</v>
      </c>
      <c r="RY161" s="21" t="str">
        <f t="shared" si="671"/>
        <v>x</v>
      </c>
    </row>
    <row r="162" spans="1:493" ht="45" customHeight="1" x14ac:dyDescent="0.25">
      <c r="A162" s="109"/>
      <c r="B162" s="43"/>
      <c r="C162" s="43" t="s">
        <v>845</v>
      </c>
      <c r="D162" s="124"/>
      <c r="E162" s="43" t="s">
        <v>944</v>
      </c>
      <c r="F162" s="43" t="s">
        <v>943</v>
      </c>
      <c r="G162" s="43" t="s">
        <v>1463</v>
      </c>
      <c r="H162" s="43" t="s">
        <v>1464</v>
      </c>
      <c r="I162" s="109" t="s">
        <v>1094</v>
      </c>
      <c r="J162" s="110">
        <v>1060186081</v>
      </c>
      <c r="K162" s="43" t="s">
        <v>852</v>
      </c>
      <c r="L162" s="175" t="s">
        <v>886</v>
      </c>
      <c r="M162" s="22">
        <v>38905</v>
      </c>
      <c r="N162" s="213">
        <f t="shared" ca="1" si="600"/>
        <v>17.336986301369862</v>
      </c>
      <c r="O162" s="22">
        <v>45042</v>
      </c>
      <c r="P162" s="214" t="str">
        <f t="shared" si="673"/>
        <v>SI</v>
      </c>
      <c r="Q162" s="26" t="s">
        <v>855</v>
      </c>
      <c r="R162" s="22">
        <v>45042</v>
      </c>
      <c r="S162" s="21" t="s">
        <v>856</v>
      </c>
      <c r="T162" s="24" t="s">
        <v>690</v>
      </c>
      <c r="U162" s="21" t="s">
        <v>857</v>
      </c>
      <c r="V162" s="21" t="s">
        <v>858</v>
      </c>
      <c r="W162" s="21" t="s">
        <v>1044</v>
      </c>
      <c r="X162" s="21"/>
      <c r="Y162" s="21"/>
      <c r="Z162" s="21">
        <v>3128847615</v>
      </c>
      <c r="AA162" s="21" t="s">
        <v>860</v>
      </c>
      <c r="AB162" s="27" t="s">
        <v>861</v>
      </c>
      <c r="AC162" s="26" t="s">
        <v>888</v>
      </c>
      <c r="AD162" s="38" t="s">
        <v>1546</v>
      </c>
      <c r="AE162" s="26" t="s">
        <v>854</v>
      </c>
      <c r="AF162" s="26" t="s">
        <v>854</v>
      </c>
      <c r="AG162" s="23" t="s">
        <v>864</v>
      </c>
      <c r="AH162" s="23" t="s">
        <v>864</v>
      </c>
      <c r="AI162" s="24" t="s">
        <v>863</v>
      </c>
      <c r="AJ162" s="23" t="s">
        <v>864</v>
      </c>
      <c r="AK162" s="220" t="str">
        <f>IF(AND(AD162="",AE162="",AF162="",AG162="",AH162="",AI162="",AJ162=""),"",IF(OR(Tabla1[[#This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EVALUACIÓN",IF(AND(O162="",R162=""),"",IF(AND(OR(O162&gt;0,R162&gt;0),NG162&gt;=0,NG162&lt;2),"SIN RIESGO",IF(AND(OR(O162&gt;0,R162&gt;0),NG162&gt;=2),"CON RIESGO","ASD")))))</f>
        <v>SIN RIESGO</v>
      </c>
      <c r="AL162" s="23" t="s">
        <v>864</v>
      </c>
      <c r="AM162" s="26" t="s">
        <v>864</v>
      </c>
      <c r="AN162" s="26" t="s">
        <v>864</v>
      </c>
      <c r="AO162" s="26" t="s">
        <v>864</v>
      </c>
      <c r="AP162" s="26" t="s">
        <v>864</v>
      </c>
      <c r="AQ162" s="26" t="s">
        <v>864</v>
      </c>
      <c r="AR162" s="26" t="s">
        <v>864</v>
      </c>
      <c r="AS162" s="21">
        <v>0</v>
      </c>
      <c r="AT162" s="21">
        <v>0</v>
      </c>
      <c r="AU162" s="21">
        <v>0</v>
      </c>
      <c r="AV162" s="26" t="s">
        <v>864</v>
      </c>
      <c r="AW162" s="21">
        <v>0</v>
      </c>
      <c r="AX162" s="26" t="s">
        <v>864</v>
      </c>
      <c r="AY162" s="26" t="s">
        <v>864</v>
      </c>
      <c r="AZ162" s="26" t="s">
        <v>864</v>
      </c>
      <c r="BA162" s="26" t="s">
        <v>864</v>
      </c>
      <c r="BB162" s="26" t="s">
        <v>864</v>
      </c>
      <c r="BC162" s="26" t="s">
        <v>864</v>
      </c>
      <c r="BD162" s="26" t="s">
        <v>864</v>
      </c>
      <c r="BE162" s="26" t="s">
        <v>864</v>
      </c>
      <c r="BF162" s="26" t="s">
        <v>864</v>
      </c>
      <c r="BG162" s="26" t="s">
        <v>864</v>
      </c>
      <c r="BH162" s="26" t="s">
        <v>864</v>
      </c>
      <c r="BI162" s="26" t="s">
        <v>864</v>
      </c>
      <c r="BJ162" s="26" t="s">
        <v>864</v>
      </c>
      <c r="BK162" s="26" t="s">
        <v>865</v>
      </c>
      <c r="BL162" s="26" t="s">
        <v>864</v>
      </c>
      <c r="BM162" s="26" t="s">
        <v>864</v>
      </c>
      <c r="BN162" s="22"/>
      <c r="BO162" s="22">
        <v>44968</v>
      </c>
      <c r="BP162" s="21" t="s">
        <v>864</v>
      </c>
      <c r="BQ162" s="222">
        <f t="shared" si="601"/>
        <v>0</v>
      </c>
      <c r="BR162" s="223">
        <f t="shared" si="602"/>
        <v>44948.800000000003</v>
      </c>
      <c r="BS162" s="224">
        <f t="shared" si="603"/>
        <v>10.571428571428571</v>
      </c>
      <c r="BT162" s="216" t="str">
        <f t="shared" si="604"/>
        <v>DEFINIR CON ECO</v>
      </c>
      <c r="BU162" s="214">
        <f t="shared" ca="1" si="605"/>
        <v>37.857142857142854</v>
      </c>
      <c r="BV162" s="25" t="s">
        <v>989</v>
      </c>
      <c r="BW162" s="22">
        <v>45093</v>
      </c>
      <c r="BX162" s="28">
        <v>20.6</v>
      </c>
      <c r="BY162" s="28"/>
      <c r="BZ162" s="22"/>
      <c r="CA162" s="21"/>
      <c r="CB162" s="26" t="s">
        <v>864</v>
      </c>
      <c r="CC162" s="26" t="s">
        <v>864</v>
      </c>
      <c r="CD162" s="26" t="s">
        <v>864</v>
      </c>
      <c r="CE162" s="26"/>
      <c r="CF162" s="22" t="s">
        <v>1517</v>
      </c>
      <c r="CG162" s="21">
        <v>1.5</v>
      </c>
      <c r="CH162" s="21">
        <v>57.4</v>
      </c>
      <c r="CI162" s="214">
        <f t="shared" si="606"/>
        <v>25.511111111111109</v>
      </c>
      <c r="CJ162" s="225" t="e">
        <f>IF(AND(CI162&lt;10,CH162="SD"),"SIN DATO PESO PREGESTACION O I TRIM",IF(AND(OR(R162&gt;0,O162&gt;0),CI162="X"),"INGRESAR DATO DE PESO",IF(CI162="SD","INGRESAR DATO DE TALLA Y PESO",IF(AND(OR(Tabla1[[#This Row],[MOMENTO EN QUE SE REALIZA EL PESO AL INGRESO A CPN]]="PREGESTACIÓN",NZ162="Menor"),CI162&lt;18.5),"BAJO PESO",IF(AND(OR(Tabla1[[#This Row],[MOMENTO EN QUE SE REALIZA EL PESO AL INGRESO A CPN]]="PREGESTACIÓN",NZ162="Menor"),CI162&lt;25),"NORMAL",IF(AND(OR(Tabla1[[#This Row],[MOMENTO EN QUE SE REALIZA EL PESO AL INGRESO A CPN]]="PREGESTACIÓN",NZ162="Menor"),CI162&lt;30),"SOBREPESO",IF(AND(OR(Tabla1[[#This Row],[MOMENTO EN QUE SE REALIZA EL PESO AL INGRESO A CPN]]="PREGESTACIÓN",NZ162="Menor"),CI162&gt;=30,CI162&lt;50),"OBESIDAD",IF(AND(BS162&gt;0,Tabla1[[#This Row],[MOMENTO EN QUE SE REALIZA EL PESO AL INGRESO A CPN]]="GESTACIÓN"),HLOOKUP(NZ162,$OA$2:PH162,NY162),""))))))))</f>
        <v>#REF!</v>
      </c>
      <c r="CK162" s="212">
        <f t="shared" si="607"/>
        <v>45139</v>
      </c>
      <c r="CL162" s="21">
        <v>62</v>
      </c>
      <c r="CM162" s="214">
        <f t="shared" si="608"/>
        <v>27.555555555555557</v>
      </c>
      <c r="CN162" s="216">
        <f t="shared" si="609"/>
        <v>24</v>
      </c>
      <c r="CO162" s="216" t="e">
        <f>IF(PI162="","",IF(PI162&gt;0,HLOOKUP(PI162,$PJ$2:QQ162,NY162),""))</f>
        <v>#REF!</v>
      </c>
      <c r="CP162" s="21">
        <v>26</v>
      </c>
      <c r="CQ162" s="216" t="e">
        <f>IF(QR162="Menor","NO APLICA-MENOR 13 SEM",IF(AND(CC162="SI",CN162&gt;23),"NO APLICA- GEMELAR",IF(QR162="","",IF(QR162&gt;0,HLOOKUP(QR162,$QS$2:RU162,NY162),""))))</f>
        <v>#REF!</v>
      </c>
      <c r="CR162" s="21">
        <v>100</v>
      </c>
      <c r="CS162" s="21">
        <v>60</v>
      </c>
      <c r="CT162" s="217" t="str">
        <f>IF(R162="","",IF(AND(BS162&gt;1,BS162&lt;12,Tabla1[[#This Row],[T.A. SISTOLICA - ANTES DE SEMANA 12]]="",Tabla1[[#This Row],[T.A. DIASTOLICA - ANTES DE SEMANA 12]]=""),"REGISTRE DATO TA ANTES SEMANA 12",IF(AND(BS162&gt;11,BS162&lt;43,Tabla1[[#This Row],[T.A. SISTOLICA - ANTES DE SEMANA 12]]="",Tabla1[[#This Row],[T.A. DIASTOLICA - ANTES DE SEMANA 12]]=""),"NO APLICA REGISTRO TA-INGRESO TARDIO",IF(AND(OR(O162&gt;0,R162&gt;0),OR(CR162&gt;=140,CS162&gt;=90)),"DEFINIR ESTADIO HTA",IF(AND(OR(O162&gt;0,R162&gt;0),AND(CR162&gt;120,CR162&lt;=139)),"PRE HTA SEGUIMIENTO",IF(AND(OR(O162&gt;0,R162&gt;0),AND(CS162&gt;80,CS162&lt;=89)),"PRE HTA SEGUIMIENTO",IF(AND(OR(O162&gt;0,R162&gt;0),AND(CR162&gt;=80,CR162&lt;=120)),"APARENTEMENTE NORMAL",IF(AND(OR(O162&gt;0,R162&gt;0),AND(CS162&gt;=50,CS162&lt;=80)),"APARENTEMENTE NORMAL",IF(AND(OR(O162&gt;0,R162&gt;0),AND(CR162&gt;1,CR162&lt;=70),AND(CS162&gt;1,CS162&lt;=40)),"HIPOTENSIÓN","")))))))))</f>
        <v>APARENTEMENTE NORMAL</v>
      </c>
      <c r="CU162" s="21"/>
      <c r="CV162" s="21"/>
      <c r="CW162" s="217" t="str">
        <f>IF(R162="","",IF(AND(CN162&gt;19,CN162&lt;27,Tabla1[[#This Row],[T.A. SISTOLICA (Entre semana 20 y 26)]]="",Tabla1[[#This Row],[T.A. DIATOLICA (Entre semana 20 y 26)]]=""),"ACUDE A CONTROL SEM 20 A 26 REGISTRE TA AHORA",IF(AND(BS162&gt;1,BS162&lt;27,BU162&gt;19,Tabla1[[#This Row],[T.A. SISTOLICA (Entre semana 20 y 26)]]="",Tabla1[[#This Row],[T.A. DIATOLICA (Entre semana 20 y 26)]]=""),"COMPLETE REGISTRO TA CONTROL SEM 20 A26 ",IF(AND(BS162&gt;26,BS162&lt;43,Tabla1[[#This Row],[T.A. SISTOLICA (Entre semana 20 y 26)]]="",Tabla1[[#This Row],[T.A. DIATOLICA (Entre semana 20 y 26)]]=""),"NO APLICA REGISTRO TA-INGRESO TARDIO",IF(AND(OR(O162&gt;0,R162&gt;0),OR(CU162&gt;=140,CV162&gt;=90)),"ALTO RIESGO PREECLAMPSIA,DEFINIR ESTADIO HTA",IF(AND(OR(O162&gt;0,R162&gt;0),AND(CU162&gt;120,CU162&lt;=139)),"PRE HTA SEGUIMIENTO,RIESGO HIPERTENSION INDUCIDA POR EL EMBARAZO",IF(AND(OR(O162&gt;0,R162&gt;0),AND(CV162&gt;80,CV162&lt;=89)),"PRE HTA SEGUIMIENTO, RIESGO HIPERTENSION INDUCIDA POR EL EMBARAZO",IF(AND(OR(O162&lt;&gt;"",R162&lt;&gt;""),CS162&lt;&gt;"",CV162&lt;&gt;"",CS162&lt;=CV162),"VIGILAR CIFRAS PRESION ARTERIAL",IF(AND(OR(O162&gt;0,R162&gt;0),AND(CU162&gt;120,CU162&lt;=139)),"PRE HTA SEGUIMIENTO",IF(AND(OR(O162&gt;0,R162&gt;0),AND(CU162&gt;1,CU162&lt;=70),AND(CV162&gt;1,CV162&lt;=40)),"HIPOTENSIÓN",IF(AND(OR(O162&lt;&gt;"",R162&lt;&gt;""),CS162&lt;&gt;"",CV162&lt;&gt;"",CS162&gt;CV162),"APARENTEMENTE NORMAL",IF(AND(OR(O162&gt;0,R162&gt;0),AND(CU162&gt;=80,CU162&lt;=120)),"APARENTEMENTE NORMAL",IF(AND(OR(O162&gt;0,R162&gt;0),AND(CV162&gt;=50,CV162&lt;=80)),"APARENTEMENTE NORMAL","")))))))))))))</f>
        <v>ACUDE A CONTROL SEM 20 A 26 REGISTRE TA AHORA</v>
      </c>
      <c r="CX162" s="21"/>
      <c r="CY162" s="21"/>
      <c r="CZ162" s="216" t="str">
        <f t="shared" si="688"/>
        <v/>
      </c>
      <c r="DA162" s="21">
        <v>100</v>
      </c>
      <c r="DB162" s="21">
        <v>60</v>
      </c>
      <c r="DC162" s="217" t="str">
        <f t="shared" si="610"/>
        <v>APARENTEMENTE NORMAL</v>
      </c>
      <c r="DD162" s="22">
        <v>45042</v>
      </c>
      <c r="DE162" s="22">
        <v>45042</v>
      </c>
      <c r="DF162" s="22"/>
      <c r="DG162" s="22"/>
      <c r="DH162" s="22">
        <v>45139</v>
      </c>
      <c r="DI162" s="22"/>
      <c r="DJ162" s="22"/>
      <c r="DK162" s="22"/>
      <c r="DL162" s="22"/>
      <c r="DM162" s="22"/>
      <c r="DN162" s="22"/>
      <c r="DO162" s="22"/>
      <c r="DP162" s="22"/>
      <c r="DQ162" s="22"/>
      <c r="DR162" s="28">
        <v>1</v>
      </c>
      <c r="DS162" s="22"/>
      <c r="DT162" s="22"/>
      <c r="DU162" s="216" t="str">
        <f t="shared" ca="1" si="674"/>
        <v>CONCERTAR PLAN DE PARTO INMEDIATO</v>
      </c>
      <c r="DV162" s="226" t="str">
        <f t="shared" si="675"/>
        <v>ACTIVA INGRESO A CPN</v>
      </c>
      <c r="DW16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2" s="216" t="e">
        <f t="shared" ca="1" si="611"/>
        <v>#REF!</v>
      </c>
      <c r="DY162" s="212">
        <f>IF(R162="","",IF(R162&gt;0,MAX(Tabla1[[#This Row],[FECHA C2]:[FECHA C13]],Tabla1[[#This Row],[FECHA CONSULTA PRIMERA VEZ PROGRAMA CPN ]])))</f>
        <v>45139</v>
      </c>
      <c r="DZ162" s="216">
        <f t="shared" si="612"/>
        <v>24</v>
      </c>
      <c r="EA162" s="222">
        <f>IF(R162&gt;0,SUM(COUNTA(DF162:DQ162)+COUNTA(Tabla1[[#This Row],[FECHA CONSULTA PRIMERA VEZ PROGRAMA CPN ]])),"")</f>
        <v>2</v>
      </c>
      <c r="EB162" s="222" t="str">
        <f t="shared" si="613"/>
        <v>NO</v>
      </c>
      <c r="EC162" s="214">
        <f t="shared" si="614"/>
        <v>9</v>
      </c>
      <c r="ED162" s="227">
        <f t="shared" si="615"/>
        <v>0.22222222222222221</v>
      </c>
      <c r="EE162" s="22">
        <v>45042</v>
      </c>
      <c r="EF162" s="22">
        <v>45042</v>
      </c>
      <c r="EG162" s="22">
        <v>45042</v>
      </c>
      <c r="EH162" s="22">
        <v>45090</v>
      </c>
      <c r="EI162" s="22">
        <v>45042</v>
      </c>
      <c r="EJ162" s="22">
        <v>45112</v>
      </c>
      <c r="EK162" s="22"/>
      <c r="EL162" s="21"/>
      <c r="EM162" s="21">
        <v>13.7</v>
      </c>
      <c r="EN162" s="22">
        <v>45042</v>
      </c>
      <c r="EO162" s="222">
        <f t="shared" si="616"/>
        <v>10.571428571428571</v>
      </c>
      <c r="EP162" s="214" t="str">
        <f t="shared" si="617"/>
        <v>NORMAL- SUMINISTRAR SULFATO FERROSO</v>
      </c>
      <c r="EQ162" s="216" t="str">
        <f t="shared" si="618"/>
        <v>I TRIM</v>
      </c>
      <c r="ER162" s="24">
        <v>11.2</v>
      </c>
      <c r="ES162" s="22">
        <v>45162</v>
      </c>
      <c r="ET162" s="29">
        <f t="shared" ca="1" si="676"/>
        <v>27.714285714285715</v>
      </c>
      <c r="EU162" s="25" t="str">
        <f t="shared" si="619"/>
        <v>NORMAL- SUMINISTRAR SULFATO FERROSO</v>
      </c>
      <c r="EV162" s="24" t="s">
        <v>1510</v>
      </c>
      <c r="EW162" s="32">
        <v>45042</v>
      </c>
      <c r="EX162" s="22"/>
      <c r="EY162" s="29">
        <f t="shared" si="691"/>
        <v>10.571428571428571</v>
      </c>
      <c r="EZ162" s="25" t="str">
        <f t="shared" si="692"/>
        <v>SIN RIESGO DE ISOINMUNIZACIÓN</v>
      </c>
      <c r="FA162" s="21">
        <v>76</v>
      </c>
      <c r="FB162" s="22">
        <v>45042</v>
      </c>
      <c r="FC162" s="29">
        <f t="shared" si="620"/>
        <v>10.571428571428571</v>
      </c>
      <c r="FD162" s="29"/>
      <c r="FE162" s="29"/>
      <c r="FF162" s="29"/>
      <c r="FG162" s="21" t="str">
        <f t="shared" ca="1" si="621"/>
        <v>TOMAR PTOG</v>
      </c>
      <c r="FH162" s="31"/>
      <c r="FI162" s="29" t="str">
        <f t="shared" si="622"/>
        <v>TOMAR EXAMEN</v>
      </c>
      <c r="FJ162" s="22" t="s">
        <v>867</v>
      </c>
      <c r="FK162" s="22">
        <v>45042</v>
      </c>
      <c r="FL162" s="29">
        <f t="shared" ca="1" si="623"/>
        <v>10.571428571428571</v>
      </c>
      <c r="FM162" s="22"/>
      <c r="FN162" s="32"/>
      <c r="FO162" s="29" t="str">
        <f t="shared" ca="1" si="677"/>
        <v>PIERDE TOMA DE TAMIZAJE</v>
      </c>
      <c r="FP162" s="22"/>
      <c r="FQ162" s="32"/>
      <c r="FR162" s="29" t="str">
        <f t="shared" ca="1" si="678"/>
        <v>TOMA INMEDIATA DE TAMIZAJE</v>
      </c>
      <c r="FS162" s="22"/>
      <c r="FT162" s="32"/>
      <c r="FU162" s="29" t="str">
        <f>IF(AND(FJ162="",FM162="",FP162="",FS162=""),"",IF(OR(OR(Tabla1[[#This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2" s="28"/>
      <c r="FW162" s="22"/>
      <c r="FX162" s="29" t="str">
        <f t="shared" si="624"/>
        <v>TOMAR EXAMEN</v>
      </c>
      <c r="FY162" s="22">
        <v>45042</v>
      </c>
      <c r="FZ162" s="22">
        <v>46138</v>
      </c>
      <c r="GA162" s="29">
        <f t="shared" ca="1" si="690"/>
        <v>167.14285714285714</v>
      </c>
      <c r="GB162" s="22"/>
      <c r="GC162" s="22"/>
      <c r="GD162" s="29" t="str">
        <f t="shared" ca="1" si="679"/>
        <v>PIERDE TOMA DE TAMIZAJE</v>
      </c>
      <c r="GE162" s="22"/>
      <c r="GF162" s="22"/>
      <c r="GG162" s="29" t="str">
        <f t="shared" ca="1" si="680"/>
        <v>TOMA INMEDIATA DE TAMIZAJE</v>
      </c>
      <c r="GH162" s="22"/>
      <c r="GI162" s="29"/>
      <c r="GJ162" s="22"/>
      <c r="GK162" s="22"/>
      <c r="GL162" s="22"/>
      <c r="GM162" s="22"/>
      <c r="GN162" s="28" t="s">
        <v>869</v>
      </c>
      <c r="GO162" s="22">
        <v>45042</v>
      </c>
      <c r="GP162" s="29">
        <f t="shared" si="625"/>
        <v>10.571428571428571</v>
      </c>
      <c r="GQ162" s="28" t="s">
        <v>869</v>
      </c>
      <c r="GR162" s="28" t="s">
        <v>869</v>
      </c>
      <c r="GS162" s="22" t="str">
        <f t="shared" si="626"/>
        <v>CONTROL Igm</v>
      </c>
      <c r="GT162" s="22">
        <v>45042</v>
      </c>
      <c r="GU162" s="29">
        <f t="shared" si="627"/>
        <v>10.571428571428571</v>
      </c>
      <c r="GV162" s="21" t="str">
        <f t="shared" si="628"/>
        <v>I TRIM</v>
      </c>
      <c r="GW162" s="28" t="s">
        <v>869</v>
      </c>
      <c r="GX162" s="30"/>
      <c r="GY162" s="21"/>
      <c r="GZ162" s="21"/>
      <c r="HA162" s="21"/>
      <c r="HB162" s="21"/>
      <c r="HC162" s="21"/>
      <c r="HD162" s="21"/>
      <c r="HE162" s="21"/>
      <c r="HF162" s="22"/>
      <c r="HG162" s="22" t="str">
        <f>IF(OR(O162&gt;0,R162&gt;0),CONCATENATE(IF(Tabla1[[#This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2" s="22" t="e">
        <f t="shared" si="629"/>
        <v>#REF!</v>
      </c>
      <c r="HI162" s="22" t="e">
        <f t="shared" ca="1" si="630"/>
        <v>#REF!</v>
      </c>
      <c r="HJ162" s="21"/>
      <c r="HK162" s="21" t="str">
        <f t="shared" si="631"/>
        <v>SIN ANTECEDENTES DE RIESGO</v>
      </c>
      <c r="HL162" s="24" t="str">
        <f t="shared" si="632"/>
        <v>APARENTEMENTE NORMAL</v>
      </c>
      <c r="HM162" s="21" t="e">
        <f t="shared" ca="1" si="633"/>
        <v>#REF!</v>
      </c>
      <c r="HN162" s="30" t="str">
        <f t="shared" si="681"/>
        <v>ACTIVA INGRESO A CPN</v>
      </c>
      <c r="HO162" s="21"/>
      <c r="HP162" s="21"/>
      <c r="HQ162" s="349"/>
      <c r="HR162" s="21" t="str">
        <f>IF(R162="","",IF(Tabla1[[#This Row],[ALARMA FACTORES DE RIESGO COMPLICACIONES HIPERTENSIVAS3]]="SIN ANTECEDENTES DE RIESGO","No Aplica para suministro de ASA",IF(AND(Tabla1[[#This Row],[FECHA INICIO DE SUMINISTRO DE ASA]]&gt;0,RV162&lt;12),"Inicia ASA ANTES de Sem 12",IF(AND(RV162&gt;11,RV162&lt;17,OR(HK162="RIESGO ALTO DE COMPLICACIONES HIPERTENSIVAS VER MANEJO GUIA SUMINISTRO ASA Y CALCIO",HK162="RIESGO MODERADO (2 O MAS CRITERIOS) VER MANEJO GUIA SUMINISTRO ASA Y CALCIO")),"Inicio oportuno de ASA",IF(AND(RV162&gt;12,OR(HK162="RIESGO ALTO DE COMPLICACIONES HIPERTENSIVAS VER MANEJO GUIA SUMINISTRO ASA Y CALCIO",HK162="RIESGO MODERADO (2 O MAS CRITERIOS) VER MANEJO GUIA SUMINISTRO ASA Y CALCIO")),"Inicio no oportuno mayor a 16 semanas",IF(AND(BU162&lt;12,OR(HK162="RIESGO ALTO DE COMPLICACIONES HIPERTENSIVAS VER MANEJO GUIA SUMINISTRO ASA Y CALCIO",HK162="RIESGO MODERADO (2 O MAS CRITERIOS) VER MANEJO GUIA SUMINISTRO ASA Y CALCIO")),"Pendiente Inicio de ASA a la semana 12",IF(AND(BU162&gt;11,BU162&lt;17,OR(HK162="RIESGO ALTO DE COMPLICACIONES HIPERTENSIVAS VER MANEJO GUIA SUMINISTRO ASA Y CALCIO",HK162="RIESGO MODERADO (2 O MAS CRITERIOS) VER MANEJO GUIA SUMINISTRO ASA Y CALCIO")),"Iniciar de inmediato ASA",IF(AND(BU162&gt;16,OR(HK162="RIESGO ALTO DE COMPLICACIONES HIPERTENSIVAS VER MANEJO GUIA SUMINISTRO ASA Y CALCIO",HK162="RIESGO MODERADO (2 O MAS CRITERIOS) VER MANEJO GUIA SUMINISTRO ASA Y CALCIO")),"Pierde Oportunidad, Inicio tardío de ASA","XXXXX"))))))))</f>
        <v>No Aplica para suministro de ASA</v>
      </c>
      <c r="HS162" s="22"/>
      <c r="HT162" s="22"/>
      <c r="HU162" s="22">
        <v>45042</v>
      </c>
      <c r="HV162" s="22" t="s">
        <v>870</v>
      </c>
      <c r="HW162" s="22">
        <v>45042</v>
      </c>
      <c r="HX162" s="22" t="s">
        <v>870</v>
      </c>
      <c r="HY162" s="22">
        <v>45042</v>
      </c>
      <c r="HZ162" s="28">
        <f t="shared" si="634"/>
        <v>10.571428571428571</v>
      </c>
      <c r="IA162" s="26"/>
      <c r="IB162" s="26"/>
      <c r="IC162" s="111"/>
      <c r="ID162" s="22"/>
      <c r="IE162" s="22" t="str">
        <f t="shared" ca="1" si="635"/>
        <v>INASISTENTE</v>
      </c>
      <c r="IF162" s="22"/>
      <c r="IG162" s="22">
        <f t="shared" si="636"/>
        <v>45248</v>
      </c>
      <c r="IH162" s="29">
        <f t="shared" ca="1" si="637"/>
        <v>15</v>
      </c>
      <c r="II162" s="22" t="str">
        <f t="shared" ca="1" si="638"/>
        <v>MENOS DE 4 SEMANAS</v>
      </c>
      <c r="IJ162" s="22"/>
      <c r="IK162" s="21"/>
      <c r="IL162" s="21"/>
      <c r="IM162" s="34"/>
      <c r="IN162" s="22"/>
      <c r="IO162" s="21"/>
      <c r="IP162" s="29" t="str">
        <f t="shared" si="672"/>
        <v/>
      </c>
      <c r="IQ162" s="35"/>
      <c r="IR162" s="21"/>
      <c r="IS162" s="21"/>
      <c r="IT162" s="21"/>
      <c r="IU162" s="21"/>
      <c r="IV162" s="21"/>
      <c r="IW162" s="21"/>
      <c r="IX162" s="21"/>
      <c r="IY162" s="21"/>
      <c r="IZ162" s="21"/>
      <c r="JA162" s="21"/>
      <c r="JB162" s="30"/>
      <c r="JC162" s="21"/>
      <c r="JD162" s="36"/>
      <c r="JE162" s="21" t="str">
        <f t="shared" si="682"/>
        <v/>
      </c>
      <c r="JF162" s="30"/>
      <c r="JG162" s="21"/>
      <c r="JH162" s="21"/>
      <c r="JI162" s="21"/>
      <c r="JJ162" s="30"/>
      <c r="JK162" s="22"/>
      <c r="JL162" s="22"/>
      <c r="JM162" s="21"/>
      <c r="JN162" s="36"/>
      <c r="JO162" s="21" t="str">
        <f t="shared" si="683"/>
        <v/>
      </c>
      <c r="JP162" s="22"/>
      <c r="JQ162" s="21"/>
      <c r="JR162" s="21"/>
      <c r="JS162" s="21"/>
      <c r="JT162" s="30"/>
      <c r="JU162" s="22"/>
      <c r="JV162" s="22"/>
      <c r="JW162" s="33"/>
      <c r="JX162" s="28" t="str">
        <f t="shared" si="684"/>
        <v/>
      </c>
      <c r="JY162" s="33"/>
      <c r="JZ162" s="28" t="str">
        <f t="shared" si="685"/>
        <v/>
      </c>
      <c r="KA162" s="21"/>
      <c r="KB162" s="21"/>
      <c r="KC162" s="21"/>
      <c r="KD162" s="37"/>
      <c r="KE162" s="28"/>
      <c r="KF162" s="28"/>
      <c r="KG162" s="28"/>
      <c r="KH162" s="39"/>
      <c r="KI162" s="39"/>
      <c r="KJ162" s="66"/>
      <c r="KK162" s="39"/>
      <c r="KL162" s="39"/>
      <c r="KM162" s="66"/>
      <c r="KN162" s="39"/>
      <c r="KO162" s="39"/>
      <c r="KP162" s="39"/>
      <c r="KQ162" s="39"/>
      <c r="KR162" s="39"/>
      <c r="KS162" s="39"/>
      <c r="KT162" s="39"/>
      <c r="KU162" s="38"/>
      <c r="KV162" s="38"/>
      <c r="KW162" s="38"/>
      <c r="KX162" s="38"/>
      <c r="KY162" s="38"/>
      <c r="KZ162" s="38"/>
      <c r="LA162" s="38"/>
      <c r="LB162" s="38"/>
      <c r="LC162" s="38"/>
      <c r="LD162" s="38"/>
      <c r="LE162" s="38"/>
      <c r="LF162" s="38"/>
      <c r="LG162" s="38"/>
      <c r="LH162" s="38"/>
      <c r="LI162" s="38"/>
      <c r="LJ162" s="38"/>
      <c r="LK162" s="38"/>
      <c r="LL162" s="38"/>
      <c r="LM162" s="38"/>
      <c r="LN162" s="38"/>
      <c r="LO162" s="38"/>
      <c r="LP162" s="38"/>
      <c r="LQ162" s="38"/>
      <c r="LR162" s="38"/>
      <c r="LS162" s="38"/>
      <c r="LT162" s="38"/>
      <c r="LU162" s="38"/>
      <c r="LV162" s="38"/>
      <c r="LW162" s="38"/>
      <c r="LX162" s="38"/>
      <c r="LY162" s="38"/>
      <c r="LZ162" s="38"/>
      <c r="MA162" s="38"/>
      <c r="MB162" s="38"/>
      <c r="MC162" s="38"/>
      <c r="MD162" s="38"/>
      <c r="ME162" s="38"/>
      <c r="MF162" s="38"/>
      <c r="MG162" s="38"/>
      <c r="MH162" s="43">
        <f t="shared" si="639"/>
        <v>0</v>
      </c>
      <c r="MI162" s="43" t="str">
        <f t="shared" si="640"/>
        <v/>
      </c>
      <c r="MJ162" s="43" t="str">
        <f t="shared" si="641"/>
        <v/>
      </c>
      <c r="MK162" s="43">
        <f t="shared" si="642"/>
        <v>0</v>
      </c>
      <c r="ML16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2" s="43">
        <f t="shared" si="643"/>
        <v>10.571428571428571</v>
      </c>
      <c r="MN162" s="43">
        <f t="shared" si="644"/>
        <v>4</v>
      </c>
      <c r="MO162" s="43">
        <f t="shared" si="645"/>
        <v>2023</v>
      </c>
      <c r="MP162" s="43" t="str">
        <f t="shared" si="646"/>
        <v>II TRIMESTRE AÑO</v>
      </c>
      <c r="MQ162" s="43">
        <f t="shared" si="647"/>
        <v>16.559899255365746</v>
      </c>
      <c r="MR162" s="43">
        <f t="shared" si="648"/>
        <v>0</v>
      </c>
      <c r="MS162" s="43" t="str">
        <f t="shared" si="649"/>
        <v>DE 14 A 19AÑOS</v>
      </c>
      <c r="MT162" s="43">
        <f t="shared" si="650"/>
        <v>0</v>
      </c>
      <c r="MU162" s="43">
        <f t="shared" si="651"/>
        <v>1</v>
      </c>
      <c r="MV162" s="43">
        <f t="shared" si="652"/>
        <v>0</v>
      </c>
      <c r="MW162" s="43">
        <f t="shared" si="653"/>
        <v>0</v>
      </c>
      <c r="MX162" s="43" t="str">
        <f t="shared" si="654"/>
        <v/>
      </c>
      <c r="MY162" s="43" t="str">
        <f t="shared" ca="1" si="686"/>
        <v/>
      </c>
      <c r="MZ162" s="43" t="str">
        <f t="shared" si="655"/>
        <v/>
      </c>
      <c r="NA162" s="43" t="str">
        <f t="shared" si="656"/>
        <v/>
      </c>
      <c r="NB162" s="43" t="str">
        <f t="shared" si="657"/>
        <v/>
      </c>
      <c r="NC162" s="43" t="str">
        <f t="shared" si="658"/>
        <v/>
      </c>
      <c r="ND162" s="43">
        <f t="shared" ca="1" si="659"/>
        <v>1</v>
      </c>
      <c r="NE162" s="43">
        <f>IF(OR(O162&gt;0,R162&gt;0),SUM(COUNTIF(Tabla1[[#This Row],[AÑOS AL INICIO5 CPN]],"&gt;=40"),COUNTIF(AS162,"0"),COUNTIF(AR162,"SI"),COUNTIF(CC162,"SI"),COUNTIF(BQ162,"&gt;119"),COUNTIF(CI162,"&gt;=35")),"")</f>
        <v>1</v>
      </c>
      <c r="NF162" s="43" t="str">
        <f t="shared" si="660"/>
        <v/>
      </c>
      <c r="NG162" s="43">
        <f t="shared" si="661"/>
        <v>0</v>
      </c>
      <c r="NH162" s="43">
        <f t="shared" si="662"/>
        <v>144.20000000000002</v>
      </c>
      <c r="NI16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CPN",P162="NO"),"Z",IF(AND(Tabla1[[#This Row],[CITA PROXIMO CONTROL]]="CITA MANUAL",Tabla1[[#This Row],[GESTANTES ACTUALES]]="ACTIVA INGRESO A CPN"),"W",IF(AND(Tabla1[[#This Row],[GESTANTES ACTUALES]]="SALIO PROGRAMA",IN162=""),"S",IF(AND(Tabla1[[#This Row],[CITA PROXIMO CONTROL]]&gt;0,IN162=""),(Tabla1[[#This Row],[CITA PROXIMO CONTROL]]-TODAY()),"SD"))))))))</f>
        <v>#REF!</v>
      </c>
      <c r="NJ162" s="43">
        <f>MONTH(Tabla1[[#This Row],[FECHA DE SALIDA  DEL PROGRAMA]])</f>
        <v>1</v>
      </c>
      <c r="NK162" s="43">
        <f>YEAR(Tabla1[[#This Row],[FECHA DE SALIDA  DEL PROGRAMA]])</f>
        <v>1900</v>
      </c>
      <c r="NL162" s="43">
        <f t="shared" si="663"/>
        <v>70</v>
      </c>
      <c r="NM162" s="43" t="str">
        <f t="shared" si="693"/>
        <v>NO</v>
      </c>
      <c r="NN162" s="43" t="str">
        <f ca="1">IF(AND(O162&gt;0,R162=""),"NO CPN",IF(AND(O162="",R162=""),"",IF(AND(R162&gt;0,Tabla1[[#This Row],[SEMANAS DE GESTACION ACTUALIZADAS]]&lt;=12),"NO APLICA",IF(AND(FH162&lt;&gt;"",FN162&lt;&gt;""),"SI","NO"))))</f>
        <v>NO</v>
      </c>
      <c r="NO162" s="43" t="str">
        <f ca="1">IF(AND(O162&gt;0,R162=""),"NO CPN",IF(AND(O162="",R162=""),"",IF(AND(R162&gt;0,Tabla1[[#This Row],[SEMANAS DE GESTACION ACTUALIZADAS]]&lt;=27),"NO APLICA",IF(AND(ES162&lt;&gt;"",FQ162&lt;&gt;"",GF162&lt;&gt;""),"SI","NO"))))</f>
        <v>NO</v>
      </c>
      <c r="NP162" s="204" t="str">
        <f t="shared" si="664"/>
        <v>DEFINIR CON ECO</v>
      </c>
      <c r="NQ162" s="21" t="str">
        <f t="shared" si="689"/>
        <v/>
      </c>
      <c r="NR162" s="21">
        <f t="shared" ca="1" si="687"/>
        <v>3</v>
      </c>
      <c r="NS162" s="205">
        <f t="shared" ca="1" si="665"/>
        <v>1</v>
      </c>
      <c r="NT162" s="21">
        <f t="shared" ca="1" si="666"/>
        <v>1</v>
      </c>
      <c r="NU162" s="21" t="str">
        <f t="shared" ca="1" si="667"/>
        <v>INCOMPLETO</v>
      </c>
      <c r="NV162" s="21" t="str">
        <f t="shared" ca="1" si="668"/>
        <v>INCOMPLETO</v>
      </c>
      <c r="NW162" s="206" t="str">
        <f>IF(AND(O162="",R162=""),"",IF(OR(AND(Tabla1[[#This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2" s="207" t="str">
        <f t="shared" ca="1" si="669"/>
        <v>SIN VACUNAR</v>
      </c>
      <c r="NY162" s="43">
        <f>ROW(Tabla1[[#This Row],['# DE TAMIZAJES SIFILIS TOMADOS ]])</f>
        <v>162</v>
      </c>
      <c r="NZ162" s="43">
        <f t="shared" si="501"/>
        <v>10</v>
      </c>
      <c r="OA162" s="43" t="str">
        <f t="shared" si="502"/>
        <v/>
      </c>
      <c r="OB162" s="43" t="str">
        <f t="shared" si="503"/>
        <v>SOBREPESO</v>
      </c>
      <c r="OC162" s="43" t="str">
        <f t="shared" si="504"/>
        <v/>
      </c>
      <c r="OD162" s="43" t="str">
        <f t="shared" si="505"/>
        <v/>
      </c>
      <c r="OE162" s="43" t="str">
        <f t="shared" si="506"/>
        <v/>
      </c>
      <c r="OF162" s="43" t="str">
        <f t="shared" si="507"/>
        <v/>
      </c>
      <c r="OG162" s="43" t="str">
        <f t="shared" si="508"/>
        <v/>
      </c>
      <c r="OH162" s="43" t="str">
        <f t="shared" si="509"/>
        <v/>
      </c>
      <c r="OI162" s="43" t="str">
        <f t="shared" si="510"/>
        <v/>
      </c>
      <c r="OJ162" s="43" t="str">
        <f t="shared" si="511"/>
        <v/>
      </c>
      <c r="OK162" s="43" t="str">
        <f t="shared" si="512"/>
        <v/>
      </c>
      <c r="OL162" s="43" t="str">
        <f t="shared" si="513"/>
        <v/>
      </c>
      <c r="OM162" s="43" t="str">
        <f t="shared" si="514"/>
        <v/>
      </c>
      <c r="ON162" s="43" t="str">
        <f t="shared" si="515"/>
        <v/>
      </c>
      <c r="OO162" s="43" t="str">
        <f t="shared" si="516"/>
        <v/>
      </c>
      <c r="OP162" s="43" t="str">
        <f t="shared" si="517"/>
        <v/>
      </c>
      <c r="OQ162" s="43" t="str">
        <f t="shared" si="518"/>
        <v/>
      </c>
      <c r="OR162" s="43" t="str">
        <f t="shared" si="519"/>
        <v/>
      </c>
      <c r="OS162" s="43" t="str">
        <f t="shared" si="520"/>
        <v/>
      </c>
      <c r="OT162" s="43" t="str">
        <f t="shared" si="521"/>
        <v/>
      </c>
      <c r="OU162" s="43" t="str">
        <f t="shared" si="522"/>
        <v/>
      </c>
      <c r="OV162" s="110" t="str">
        <f t="shared" si="523"/>
        <v/>
      </c>
      <c r="OW162" s="43" t="str">
        <f t="shared" si="524"/>
        <v/>
      </c>
      <c r="OX162" s="43" t="str">
        <f t="shared" si="525"/>
        <v/>
      </c>
      <c r="OY162" s="43" t="str">
        <f t="shared" si="526"/>
        <v/>
      </c>
      <c r="OZ162" s="43" t="str">
        <f t="shared" si="527"/>
        <v/>
      </c>
      <c r="PA162" s="43" t="str">
        <f t="shared" si="528"/>
        <v/>
      </c>
      <c r="PB162" s="43" t="str">
        <f t="shared" si="529"/>
        <v/>
      </c>
      <c r="PC162" s="43" t="str">
        <f t="shared" si="530"/>
        <v/>
      </c>
      <c r="PD162" s="43" t="str">
        <f t="shared" si="531"/>
        <v/>
      </c>
      <c r="PE162" s="43" t="str">
        <f t="shared" si="532"/>
        <v/>
      </c>
      <c r="PF162" s="43" t="str">
        <f t="shared" si="533"/>
        <v/>
      </c>
      <c r="PG162" s="43" t="str">
        <f t="shared" si="534"/>
        <v/>
      </c>
      <c r="PH162" s="43" t="str">
        <f t="shared" si="535"/>
        <v/>
      </c>
      <c r="PI162" s="43">
        <f t="shared" si="536"/>
        <v>24</v>
      </c>
      <c r="PJ162" s="43" t="str">
        <f t="shared" si="537"/>
        <v/>
      </c>
      <c r="PK162" s="43" t="str">
        <f t="shared" si="538"/>
        <v/>
      </c>
      <c r="PL162" s="43" t="str">
        <f t="shared" si="539"/>
        <v/>
      </c>
      <c r="PM162" s="43" t="str">
        <f t="shared" si="540"/>
        <v/>
      </c>
      <c r="PN162" s="43" t="str">
        <f t="shared" si="541"/>
        <v/>
      </c>
      <c r="PO162" s="43" t="str">
        <f t="shared" si="542"/>
        <v/>
      </c>
      <c r="PP162" s="43" t="str">
        <f t="shared" si="543"/>
        <v/>
      </c>
      <c r="PQ162" s="43" t="str">
        <f t="shared" si="544"/>
        <v/>
      </c>
      <c r="PR162" s="43" t="str">
        <f t="shared" si="545"/>
        <v/>
      </c>
      <c r="PS162" s="43" t="str">
        <f t="shared" si="546"/>
        <v/>
      </c>
      <c r="PT162" s="43" t="str">
        <f t="shared" si="547"/>
        <v/>
      </c>
      <c r="PU162" s="43" t="str">
        <f t="shared" si="548"/>
        <v/>
      </c>
      <c r="PV162" s="43" t="str">
        <f t="shared" si="549"/>
        <v/>
      </c>
      <c r="PW162" s="43" t="str">
        <f t="shared" si="550"/>
        <v/>
      </c>
      <c r="PX162" s="43" t="str">
        <f t="shared" si="551"/>
        <v/>
      </c>
      <c r="PY162" s="43" t="str">
        <f t="shared" si="552"/>
        <v>SOBREPESO</v>
      </c>
      <c r="PZ162" s="43" t="str">
        <f t="shared" si="553"/>
        <v/>
      </c>
      <c r="QA162" s="43" t="str">
        <f t="shared" si="554"/>
        <v/>
      </c>
      <c r="QB162" s="43" t="str">
        <f t="shared" si="555"/>
        <v/>
      </c>
      <c r="QC162" s="43" t="str">
        <f t="shared" si="556"/>
        <v/>
      </c>
      <c r="QD162" s="43" t="str">
        <f t="shared" si="557"/>
        <v/>
      </c>
      <c r="QE162" s="43" t="str">
        <f t="shared" si="558"/>
        <v/>
      </c>
      <c r="QF162" s="43" t="str">
        <f t="shared" si="559"/>
        <v/>
      </c>
      <c r="QG162" s="43" t="str">
        <f t="shared" si="560"/>
        <v/>
      </c>
      <c r="QH162" s="43" t="str">
        <f t="shared" si="561"/>
        <v/>
      </c>
      <c r="QI162" s="43" t="str">
        <f t="shared" si="562"/>
        <v/>
      </c>
      <c r="QJ162" s="43" t="str">
        <f t="shared" si="563"/>
        <v/>
      </c>
      <c r="QK162" s="43" t="str">
        <f t="shared" si="564"/>
        <v/>
      </c>
      <c r="QL162" s="43" t="str">
        <f t="shared" si="565"/>
        <v/>
      </c>
      <c r="QM162" s="43" t="str">
        <f t="shared" si="566"/>
        <v/>
      </c>
      <c r="QN162" s="43" t="str">
        <f t="shared" si="567"/>
        <v/>
      </c>
      <c r="QO162" s="43" t="str">
        <f t="shared" si="568"/>
        <v/>
      </c>
      <c r="QP162" s="43" t="str">
        <f t="shared" si="569"/>
        <v/>
      </c>
      <c r="QQ162" s="43" t="str">
        <f t="shared" si="570"/>
        <v/>
      </c>
      <c r="QR162" s="43">
        <f t="shared" si="670"/>
        <v>24</v>
      </c>
      <c r="QS162" s="43"/>
      <c r="QT162" s="21" t="str">
        <f t="shared" si="571"/>
        <v/>
      </c>
      <c r="QU162" s="21" t="str">
        <f t="shared" si="572"/>
        <v/>
      </c>
      <c r="QV162" s="21" t="str">
        <f t="shared" si="573"/>
        <v/>
      </c>
      <c r="QW162" s="21" t="str">
        <f t="shared" si="574"/>
        <v/>
      </c>
      <c r="QX162" s="21" t="str">
        <f t="shared" si="575"/>
        <v/>
      </c>
      <c r="QY162" s="21" t="str">
        <f t="shared" si="576"/>
        <v/>
      </c>
      <c r="QZ162" s="21" t="str">
        <f t="shared" si="577"/>
        <v/>
      </c>
      <c r="RA162" s="21" t="str">
        <f t="shared" si="578"/>
        <v/>
      </c>
      <c r="RB162" s="21" t="str">
        <f t="shared" si="579"/>
        <v/>
      </c>
      <c r="RC162" s="21" t="str">
        <f t="shared" si="580"/>
        <v/>
      </c>
      <c r="RD162" s="21" t="str">
        <f t="shared" si="581"/>
        <v/>
      </c>
      <c r="RE162" s="21" t="str">
        <f t="shared" si="582"/>
        <v>ALTO PARA EDAD GESTACIONAL</v>
      </c>
      <c r="RF162" s="21" t="str">
        <f t="shared" si="583"/>
        <v/>
      </c>
      <c r="RG162" s="21" t="str">
        <f t="shared" si="584"/>
        <v/>
      </c>
      <c r="RH162" s="21" t="str">
        <f t="shared" si="585"/>
        <v/>
      </c>
      <c r="RI162" s="21" t="str">
        <f t="shared" si="586"/>
        <v/>
      </c>
      <c r="RJ162" s="21" t="str">
        <f t="shared" si="587"/>
        <v/>
      </c>
      <c r="RK162" s="21" t="str">
        <f t="shared" si="588"/>
        <v/>
      </c>
      <c r="RL162" s="21" t="str">
        <f t="shared" si="589"/>
        <v/>
      </c>
      <c r="RM162" s="21" t="str">
        <f t="shared" si="590"/>
        <v/>
      </c>
      <c r="RN162" s="21" t="str">
        <f t="shared" si="591"/>
        <v/>
      </c>
      <c r="RO162" s="21" t="str">
        <f t="shared" si="592"/>
        <v/>
      </c>
      <c r="RP162" s="21" t="str">
        <f t="shared" si="593"/>
        <v/>
      </c>
      <c r="RQ162" s="21" t="str">
        <f t="shared" si="594"/>
        <v/>
      </c>
      <c r="RR162" s="21" t="str">
        <f t="shared" si="595"/>
        <v/>
      </c>
      <c r="RS162" s="21" t="str">
        <f t="shared" si="596"/>
        <v/>
      </c>
      <c r="RT162" s="21" t="str">
        <f t="shared" si="597"/>
        <v/>
      </c>
      <c r="RU162" s="21" t="str">
        <f t="shared" si="598"/>
        <v/>
      </c>
      <c r="RV162" s="21">
        <f t="shared" si="599"/>
        <v>-1</v>
      </c>
      <c r="RW162" s="284">
        <f>IF(OR(Tabla1[[#This Row],[FUM FORMULA CONFIABLE]]="",Tabla1[[#This Row],[FUM FORMULA CONFIABLE]]="SD"),"",IF(Tabla1[[#This Row],[FUM FORMULA CONFIABLE]]="CORREGIDA",Tabla1[[#This Row],[FUM X ECO 1]],Tabla1[[#This Row],[FUM x AMENORREA]]))</f>
        <v>44968</v>
      </c>
      <c r="RX162" s="21">
        <f>IF(AND(Tabla1[[#This Row],[FUM X ECO 1]]="",Tabla1[[#This Row],[FUM x AMENORREA]]=""),"",IF(AND(Tabla1[[#This Row],[FUM X ECO 1]]="",Tabla1[[#This Row],[FUM x AMENORREA]]&lt;&gt;""),"X",SUM(Tabla1[[#This Row],[FUM X ECO 1]]-Tabla1[[#This Row],[FUM x AMENORREA]])))</f>
        <v>-19.19999999999709</v>
      </c>
      <c r="RY162" s="21">
        <f t="shared" si="671"/>
        <v>1</v>
      </c>
    </row>
    <row r="163" spans="1:493" ht="45" customHeight="1" x14ac:dyDescent="0.25">
      <c r="A163" s="109"/>
      <c r="B163" s="43"/>
      <c r="C163" s="43" t="s">
        <v>845</v>
      </c>
      <c r="D163" s="124"/>
      <c r="E163" s="43" t="s">
        <v>964</v>
      </c>
      <c r="F163" s="43" t="s">
        <v>1465</v>
      </c>
      <c r="G163" s="43" t="s">
        <v>1002</v>
      </c>
      <c r="H163" s="43" t="s">
        <v>1366</v>
      </c>
      <c r="I163" s="109" t="s">
        <v>1094</v>
      </c>
      <c r="J163" s="110">
        <v>1061530990</v>
      </c>
      <c r="K163" s="43" t="s">
        <v>904</v>
      </c>
      <c r="L163" s="175" t="s">
        <v>1509</v>
      </c>
      <c r="M163" s="22">
        <v>38911</v>
      </c>
      <c r="N163" s="213">
        <f t="shared" ca="1" si="600"/>
        <v>17.32054794520548</v>
      </c>
      <c r="O163" s="22">
        <v>45042</v>
      </c>
      <c r="P163" s="214" t="str">
        <f t="shared" si="673"/>
        <v>SI</v>
      </c>
      <c r="Q163" s="26" t="s">
        <v>855</v>
      </c>
      <c r="R163" s="22">
        <v>45042</v>
      </c>
      <c r="S163" s="21" t="s">
        <v>856</v>
      </c>
      <c r="T163" s="24" t="s">
        <v>690</v>
      </c>
      <c r="U163" s="21" t="s">
        <v>857</v>
      </c>
      <c r="V163" s="21" t="s">
        <v>858</v>
      </c>
      <c r="W163" s="21" t="s">
        <v>887</v>
      </c>
      <c r="X163" s="21"/>
      <c r="Y163" s="21" t="s">
        <v>887</v>
      </c>
      <c r="Z163" s="21">
        <v>3145664437</v>
      </c>
      <c r="AA163" s="21" t="s">
        <v>860</v>
      </c>
      <c r="AB163" s="27" t="s">
        <v>861</v>
      </c>
      <c r="AC163" s="26" t="s">
        <v>888</v>
      </c>
      <c r="AD163" s="38" t="s">
        <v>1546</v>
      </c>
      <c r="AE163" s="26" t="s">
        <v>854</v>
      </c>
      <c r="AF163" s="26" t="s">
        <v>854</v>
      </c>
      <c r="AG163" s="23" t="s">
        <v>864</v>
      </c>
      <c r="AH163" s="23" t="s">
        <v>864</v>
      </c>
      <c r="AI163" s="24" t="s">
        <v>863</v>
      </c>
      <c r="AJ163" s="23" t="s">
        <v>864</v>
      </c>
      <c r="AK163" s="220" t="str">
        <f>IF(AND(AD163="",AE163="",AF163="",AG163="",AH163="",AI163="",AJ163=""),"",IF(OR(Tabla1[[#This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EVALUACIÓN",IF(AND(O163="",R163=""),"",IF(AND(OR(O163&gt;0,R163&gt;0),NG163&gt;=0,NG163&lt;2),"SIN RIESGO",IF(AND(OR(O163&gt;0,R163&gt;0),NG163&gt;=2),"CON RIESGO","ASD")))))</f>
        <v>SIN RIESGO</v>
      </c>
      <c r="AL163" s="23" t="s">
        <v>864</v>
      </c>
      <c r="AM163" s="26" t="s">
        <v>864</v>
      </c>
      <c r="AN163" s="26" t="s">
        <v>864</v>
      </c>
      <c r="AO163" s="26" t="s">
        <v>864</v>
      </c>
      <c r="AP163" s="26" t="s">
        <v>864</v>
      </c>
      <c r="AQ163" s="26" t="s">
        <v>864</v>
      </c>
      <c r="AR163" s="26" t="s">
        <v>864</v>
      </c>
      <c r="AS163" s="21">
        <v>0</v>
      </c>
      <c r="AT163" s="21">
        <v>0</v>
      </c>
      <c r="AU163" s="21">
        <v>0</v>
      </c>
      <c r="AV163" s="26" t="s">
        <v>864</v>
      </c>
      <c r="AW163" s="21">
        <v>0</v>
      </c>
      <c r="AX163" s="26" t="s">
        <v>864</v>
      </c>
      <c r="AY163" s="26" t="s">
        <v>864</v>
      </c>
      <c r="AZ163" s="26" t="s">
        <v>864</v>
      </c>
      <c r="BA163" s="26" t="s">
        <v>864</v>
      </c>
      <c r="BB163" s="26" t="s">
        <v>864</v>
      </c>
      <c r="BC163" s="26" t="s">
        <v>864</v>
      </c>
      <c r="BD163" s="26" t="s">
        <v>864</v>
      </c>
      <c r="BE163" s="26" t="s">
        <v>864</v>
      </c>
      <c r="BF163" s="26" t="s">
        <v>864</v>
      </c>
      <c r="BG163" s="26" t="s">
        <v>864</v>
      </c>
      <c r="BH163" s="26" t="s">
        <v>864</v>
      </c>
      <c r="BI163" s="26" t="s">
        <v>864</v>
      </c>
      <c r="BJ163" s="26" t="s">
        <v>864</v>
      </c>
      <c r="BK163" s="26" t="s">
        <v>864</v>
      </c>
      <c r="BL163" s="26" t="s">
        <v>864</v>
      </c>
      <c r="BM163" s="26" t="s">
        <v>864</v>
      </c>
      <c r="BN163" s="22"/>
      <c r="BO163" s="22">
        <v>44962</v>
      </c>
      <c r="BP163" s="21" t="s">
        <v>864</v>
      </c>
      <c r="BQ163" s="222">
        <f t="shared" si="601"/>
        <v>0</v>
      </c>
      <c r="BR163" s="223" t="str">
        <f t="shared" si="602"/>
        <v/>
      </c>
      <c r="BS163" s="224">
        <f t="shared" si="603"/>
        <v>11.428571428571429</v>
      </c>
      <c r="BT163" s="216" t="str">
        <f t="shared" si="604"/>
        <v>DEFINIR CON ECO</v>
      </c>
      <c r="BU163" s="214">
        <f t="shared" ca="1" si="605"/>
        <v>38.714285714285715</v>
      </c>
      <c r="BV163" s="25"/>
      <c r="BW163" s="22"/>
      <c r="BX163" s="28"/>
      <c r="BY163" s="28"/>
      <c r="BZ163" s="22"/>
      <c r="CA163" s="21"/>
      <c r="CB163" s="26"/>
      <c r="CC163" s="26"/>
      <c r="CD163" s="26"/>
      <c r="CE163" s="26"/>
      <c r="CF163" s="22" t="s">
        <v>1517</v>
      </c>
      <c r="CG163" s="21">
        <v>1.56</v>
      </c>
      <c r="CH163" s="21">
        <v>55.2</v>
      </c>
      <c r="CI163" s="214">
        <f t="shared" si="606"/>
        <v>22.682445759368836</v>
      </c>
      <c r="CJ163" s="225" t="e">
        <f>IF(AND(CI163&lt;10,CH163="SD"),"SIN DATO PESO PREGESTACION O I TRIM",IF(AND(OR(R163&gt;0,O163&gt;0),CI163="X"),"INGRESAR DATO DE PESO",IF(CI163="SD","INGRESAR DATO DE TALLA Y PESO",IF(AND(OR(Tabla1[[#This Row],[MOMENTO EN QUE SE REALIZA EL PESO AL INGRESO A CPN]]="PREGESTACIÓN",NZ163="Menor"),CI163&lt;18.5),"BAJO PESO",IF(AND(OR(Tabla1[[#This Row],[MOMENTO EN QUE SE REALIZA EL PESO AL INGRESO A CPN]]="PREGESTACIÓN",NZ163="Menor"),CI163&lt;25),"NORMAL",IF(AND(OR(Tabla1[[#This Row],[MOMENTO EN QUE SE REALIZA EL PESO AL INGRESO A CPN]]="PREGESTACIÓN",NZ163="Menor"),CI163&lt;30),"SOBREPESO",IF(AND(OR(Tabla1[[#This Row],[MOMENTO EN QUE SE REALIZA EL PESO AL INGRESO A CPN]]="PREGESTACIÓN",NZ163="Menor"),CI163&gt;=30,CI163&lt;50),"OBESIDAD",IF(AND(BS163&gt;0,Tabla1[[#This Row],[MOMENTO EN QUE SE REALIZA EL PESO AL INGRESO A CPN]]="GESTACIÓN"),HLOOKUP(NZ163,$OA$2:PH163,NY163),""))))))))</f>
        <v>#REF!</v>
      </c>
      <c r="CK163" s="212">
        <f t="shared" si="607"/>
        <v>45136</v>
      </c>
      <c r="CL163" s="21">
        <v>57.8</v>
      </c>
      <c r="CM163" s="214">
        <f t="shared" si="608"/>
        <v>23.7508218277449</v>
      </c>
      <c r="CN163" s="216">
        <f t="shared" si="609"/>
        <v>24</v>
      </c>
      <c r="CO163" s="216" t="e">
        <f>IF(PI163="","",IF(PI163&gt;0,HLOOKUP(PI163,$PJ$2:QQ163,NY163),""))</f>
        <v>#REF!</v>
      </c>
      <c r="CP163" s="21">
        <v>27</v>
      </c>
      <c r="CQ163" s="216" t="e">
        <f>IF(QR163="Menor","NO APLICA-MENOR 13 SEM",IF(AND(CC163="SI",CN163&gt;23),"NO APLICA- GEMELAR",IF(QR163="","",IF(QR163&gt;0,HLOOKUP(QR163,$QS$2:RU163,NY163),""))))</f>
        <v>#REF!</v>
      </c>
      <c r="CR163" s="21">
        <v>90</v>
      </c>
      <c r="CS163" s="21">
        <v>60</v>
      </c>
      <c r="CT163" s="217" t="str">
        <f>IF(R163="","",IF(AND(BS163&gt;1,BS163&lt;12,Tabla1[[#This Row],[T.A. SISTOLICA - ANTES DE SEMANA 12]]="",Tabla1[[#This Row],[T.A. DIASTOLICA - ANTES DE SEMANA 12]]=""),"REGISTRE DATO TA ANTES SEMANA 12",IF(AND(BS163&gt;11,BS163&lt;43,Tabla1[[#This Row],[T.A. SISTOLICA - ANTES DE SEMANA 12]]="",Tabla1[[#This Row],[T.A. DIASTOLICA - ANTES DE SEMANA 12]]=""),"NO APLICA REGISTRO TA-INGRESO TARDIO",IF(AND(OR(O163&gt;0,R163&gt;0),OR(CR163&gt;=140,CS163&gt;=90)),"DEFINIR ESTADIO HTA",IF(AND(OR(O163&gt;0,R163&gt;0),AND(CR163&gt;120,CR163&lt;=139)),"PRE HTA SEGUIMIENTO",IF(AND(OR(O163&gt;0,R163&gt;0),AND(CS163&gt;80,CS163&lt;=89)),"PRE HTA SEGUIMIENTO",IF(AND(OR(O163&gt;0,R163&gt;0),AND(CR163&gt;=80,CR163&lt;=120)),"APARENTEMENTE NORMAL",IF(AND(OR(O163&gt;0,R163&gt;0),AND(CS163&gt;=50,CS163&lt;=80)),"APARENTEMENTE NORMAL",IF(AND(OR(O163&gt;0,R163&gt;0),AND(CR163&gt;1,CR163&lt;=70),AND(CS163&gt;1,CS163&lt;=40)),"HIPOTENSIÓN","")))))))))</f>
        <v>APARENTEMENTE NORMAL</v>
      </c>
      <c r="CU163" s="21"/>
      <c r="CV163" s="21"/>
      <c r="CW163" s="217" t="str">
        <f>IF(R163="","",IF(AND(CN163&gt;19,CN163&lt;27,Tabla1[[#This Row],[T.A. SISTOLICA (Entre semana 20 y 26)]]="",Tabla1[[#This Row],[T.A. DIATOLICA (Entre semana 20 y 26)]]=""),"ACUDE A CONTROL SEM 20 A 26 REGISTRE TA AHORA",IF(AND(BS163&gt;1,BS163&lt;27,BU163&gt;19,Tabla1[[#This Row],[T.A. SISTOLICA (Entre semana 20 y 26)]]="",Tabla1[[#This Row],[T.A. DIATOLICA (Entre semana 20 y 26)]]=""),"COMPLETE REGISTRO TA CONTROL SEM 20 A26 ",IF(AND(BS163&gt;26,BS163&lt;43,Tabla1[[#This Row],[T.A. SISTOLICA (Entre semana 20 y 26)]]="",Tabla1[[#This Row],[T.A. DIATOLICA (Entre semana 20 y 26)]]=""),"NO APLICA REGISTRO TA-INGRESO TARDIO",IF(AND(OR(O163&gt;0,R163&gt;0),OR(CU163&gt;=140,CV163&gt;=90)),"ALTO RIESGO PREECLAMPSIA,DEFINIR ESTADIO HTA",IF(AND(OR(O163&gt;0,R163&gt;0),AND(CU163&gt;120,CU163&lt;=139)),"PRE HTA SEGUIMIENTO,RIESGO HIPERTENSION INDUCIDA POR EL EMBARAZO",IF(AND(OR(O163&gt;0,R163&gt;0),AND(CV163&gt;80,CV163&lt;=89)),"PRE HTA SEGUIMIENTO, RIESGO HIPERTENSION INDUCIDA POR EL EMBARAZO",IF(AND(OR(O163&lt;&gt;"",R163&lt;&gt;""),CS163&lt;&gt;"",CV163&lt;&gt;"",CS163&lt;=CV163),"VIGILAR CIFRAS PRESION ARTERIAL",IF(AND(OR(O163&gt;0,R163&gt;0),AND(CU163&gt;120,CU163&lt;=139)),"PRE HTA SEGUIMIENTO",IF(AND(OR(O163&gt;0,R163&gt;0),AND(CU163&gt;1,CU163&lt;=70),AND(CV163&gt;1,CV163&lt;=40)),"HIPOTENSIÓN",IF(AND(OR(O163&lt;&gt;"",R163&lt;&gt;""),CS163&lt;&gt;"",CV163&lt;&gt;"",CS163&gt;CV163),"APARENTEMENTE NORMAL",IF(AND(OR(O163&gt;0,R163&gt;0),AND(CU163&gt;=80,CU163&lt;=120)),"APARENTEMENTE NORMAL",IF(AND(OR(O163&gt;0,R163&gt;0),AND(CV163&gt;=50,CV163&lt;=80)),"APARENTEMENTE NORMAL","")))))))))))))</f>
        <v>ACUDE A CONTROL SEM 20 A 26 REGISTRE TA AHORA</v>
      </c>
      <c r="CX163" s="21"/>
      <c r="CY163" s="21"/>
      <c r="CZ163" s="216" t="str">
        <f t="shared" si="688"/>
        <v/>
      </c>
      <c r="DA163" s="21">
        <v>100</v>
      </c>
      <c r="DB163" s="21">
        <v>60</v>
      </c>
      <c r="DC163" s="217" t="str">
        <f t="shared" si="610"/>
        <v>APARENTEMENTE NORMAL</v>
      </c>
      <c r="DD163" s="22">
        <v>45042</v>
      </c>
      <c r="DE163" s="22">
        <v>45042</v>
      </c>
      <c r="DF163" s="22">
        <v>45072</v>
      </c>
      <c r="DG163" s="22">
        <v>45105</v>
      </c>
      <c r="DH163" s="22">
        <v>45136</v>
      </c>
      <c r="DI163" s="22"/>
      <c r="DJ163" s="22"/>
      <c r="DK163" s="22"/>
      <c r="DL163" s="22"/>
      <c r="DM163" s="22"/>
      <c r="DN163" s="22"/>
      <c r="DO163" s="22"/>
      <c r="DP163" s="22"/>
      <c r="DQ163" s="22"/>
      <c r="DR163" s="28">
        <v>1</v>
      </c>
      <c r="DS163" s="22"/>
      <c r="DT163" s="22"/>
      <c r="DU163" s="216" t="str">
        <f t="shared" ca="1" si="674"/>
        <v>CONCERTAR PLAN DE PARTO INMEDIATO</v>
      </c>
      <c r="DV163" s="226" t="str">
        <f t="shared" si="675"/>
        <v>ACTIVA INGRESO A CPN</v>
      </c>
      <c r="DW16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3" s="216" t="e">
        <f t="shared" ca="1" si="611"/>
        <v>#REF!</v>
      </c>
      <c r="DY163" s="212">
        <f>IF(R163="","",IF(R163&gt;0,MAX(Tabla1[[#This Row],[FECHA C2]:[FECHA C13]],Tabla1[[#This Row],[FECHA CONSULTA PRIMERA VEZ PROGRAMA CPN ]])))</f>
        <v>45136</v>
      </c>
      <c r="DZ163" s="216">
        <f t="shared" si="612"/>
        <v>24</v>
      </c>
      <c r="EA163" s="222">
        <f>IF(R163&gt;0,SUM(COUNTA(DF163:DQ163)+COUNTA(Tabla1[[#This Row],[FECHA CONSULTA PRIMERA VEZ PROGRAMA CPN ]])),"")</f>
        <v>4</v>
      </c>
      <c r="EB163" s="222" t="str">
        <f t="shared" si="613"/>
        <v>SI</v>
      </c>
      <c r="EC163" s="214">
        <f t="shared" si="614"/>
        <v>9</v>
      </c>
      <c r="ED163" s="227">
        <f t="shared" si="615"/>
        <v>0.44444444444444442</v>
      </c>
      <c r="EE163" s="22">
        <v>45042</v>
      </c>
      <c r="EF163" s="22">
        <v>45036</v>
      </c>
      <c r="EG163" s="22">
        <v>45042</v>
      </c>
      <c r="EH163" s="22"/>
      <c r="EI163" s="22">
        <v>45042</v>
      </c>
      <c r="EJ163" s="22"/>
      <c r="EK163" s="22"/>
      <c r="EL163" s="21"/>
      <c r="EM163" s="21">
        <v>13.3</v>
      </c>
      <c r="EN163" s="22">
        <v>45073</v>
      </c>
      <c r="EO163" s="222">
        <f t="shared" si="616"/>
        <v>15.857142857142858</v>
      </c>
      <c r="EP163" s="214" t="str">
        <f t="shared" si="617"/>
        <v>NORMAL- SUMINISTRAR SULFATO FERROSO</v>
      </c>
      <c r="EQ163" s="216" t="str">
        <f t="shared" si="618"/>
        <v>II TRIM</v>
      </c>
      <c r="ER163" s="24"/>
      <c r="ES163" s="22"/>
      <c r="ET163" s="29" t="str">
        <f t="shared" ca="1" si="676"/>
        <v>TOMA DE HEMOGLOBINA TARDÍA</v>
      </c>
      <c r="EU163" s="25" t="str">
        <f t="shared" si="619"/>
        <v/>
      </c>
      <c r="EV163" s="24" t="s">
        <v>1510</v>
      </c>
      <c r="EW163" s="22">
        <v>45073</v>
      </c>
      <c r="EX163" s="22"/>
      <c r="EY163" s="29">
        <f t="shared" si="691"/>
        <v>15.857142857142858</v>
      </c>
      <c r="EZ163" s="25" t="str">
        <f t="shared" si="692"/>
        <v>SIN RIESGO DE ISOINMUNIZACIÓN</v>
      </c>
      <c r="FA163" s="21">
        <v>71</v>
      </c>
      <c r="FB163" s="22">
        <v>45073</v>
      </c>
      <c r="FC163" s="29">
        <f t="shared" si="620"/>
        <v>15.857142857142858</v>
      </c>
      <c r="FD163" s="29"/>
      <c r="FE163" s="29"/>
      <c r="FF163" s="29"/>
      <c r="FG163" s="21" t="str">
        <f t="shared" ca="1" si="621"/>
        <v>TOMAR PTOG</v>
      </c>
      <c r="FH163" s="31"/>
      <c r="FI163" s="29" t="str">
        <f t="shared" si="622"/>
        <v>TOMAR EXAMEN</v>
      </c>
      <c r="FJ163" s="22"/>
      <c r="FK163" s="22"/>
      <c r="FL163" s="29" t="str">
        <f t="shared" ca="1" si="623"/>
        <v>PIERDE TOMA DE TAMIZAJE</v>
      </c>
      <c r="FM163" s="22" t="s">
        <v>867</v>
      </c>
      <c r="FN163" s="32">
        <v>45073</v>
      </c>
      <c r="FO163" s="29">
        <f t="shared" ca="1" si="677"/>
        <v>15.857142857142858</v>
      </c>
      <c r="FP163" s="22"/>
      <c r="FQ163" s="32"/>
      <c r="FR163" s="29" t="str">
        <f t="shared" ca="1" si="678"/>
        <v>TOMA INMEDIATA DE TAMIZAJE</v>
      </c>
      <c r="FS163" s="22"/>
      <c r="FT163" s="32"/>
      <c r="FU163" s="29" t="str">
        <f>IF(AND(FJ163="",FM163="",FP163="",FS163=""),"",IF(OR(OR(Tabla1[[#This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3" s="28"/>
      <c r="FW163" s="22"/>
      <c r="FX163" s="29" t="str">
        <f t="shared" si="624"/>
        <v>TOMAR EXAMEN</v>
      </c>
      <c r="FY163" s="22"/>
      <c r="FZ163" s="22"/>
      <c r="GA163" s="29" t="str">
        <f t="shared" ca="1" si="690"/>
        <v>PIERDE TOMA DE TAMIZAJE</v>
      </c>
      <c r="GB163" s="22" t="s">
        <v>868</v>
      </c>
      <c r="GC163" s="22">
        <v>45072</v>
      </c>
      <c r="GD163" s="29">
        <f t="shared" ca="1" si="679"/>
        <v>15.714285714285714</v>
      </c>
      <c r="GE163" s="22"/>
      <c r="GF163" s="22"/>
      <c r="GG163" s="29" t="str">
        <f t="shared" ca="1" si="680"/>
        <v>TOMA INMEDIATA DE TAMIZAJE</v>
      </c>
      <c r="GH163" s="22"/>
      <c r="GI163" s="29"/>
      <c r="GJ163" s="22"/>
      <c r="GK163" s="22"/>
      <c r="GL163" s="22"/>
      <c r="GM163" s="22"/>
      <c r="GN163" s="28" t="s">
        <v>869</v>
      </c>
      <c r="GO163" s="22">
        <v>45072</v>
      </c>
      <c r="GP163" s="29">
        <f t="shared" si="625"/>
        <v>15.714285714285714</v>
      </c>
      <c r="GQ163" s="28" t="s">
        <v>869</v>
      </c>
      <c r="GR163" s="28" t="s">
        <v>869</v>
      </c>
      <c r="GS163" s="22" t="str">
        <f t="shared" ref="GS163:GS164" si="694">IF(GQ163="NEGATIVO","CONTROL Igm",IF(AND(GQ163="POSITIVO",GR163="NEGATIVO"),"SE EXCLUYE INFECCION",IF(AND(GQ163="POSITIVO",GR163="POSITIVO"),"TOXOPLASMOSIS, REMITIR PARA MANEJO","")))</f>
        <v>CONTROL Igm</v>
      </c>
      <c r="GT163" s="22">
        <v>45073</v>
      </c>
      <c r="GU163" s="29">
        <f t="shared" si="627"/>
        <v>15.857142857142858</v>
      </c>
      <c r="GV163" s="21" t="str">
        <f t="shared" si="628"/>
        <v>II TRIM</v>
      </c>
      <c r="GW163" s="28"/>
      <c r="GX163" s="30"/>
      <c r="GY163" s="21"/>
      <c r="GZ163" s="21"/>
      <c r="HA163" s="21"/>
      <c r="HB163" s="21"/>
      <c r="HC163" s="21"/>
      <c r="HD163" s="21"/>
      <c r="HE163" s="21"/>
      <c r="HF163" s="22"/>
      <c r="HG163" s="22" t="str">
        <f>IF(OR(O163&gt;0,R163&gt;0),CONCATENATE(IF(Tabla1[[#This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3" s="22" t="e">
        <f t="shared" si="629"/>
        <v>#REF!</v>
      </c>
      <c r="HI163" s="22" t="e">
        <f t="shared" ca="1" si="630"/>
        <v>#REF!</v>
      </c>
      <c r="HJ163" s="21"/>
      <c r="HK163" s="21" t="str">
        <f t="shared" si="631"/>
        <v>SIN ANTECEDENTES DE RIESGO</v>
      </c>
      <c r="HL163" s="24" t="str">
        <f t="shared" si="632"/>
        <v>APARENTEMENTE NORMAL</v>
      </c>
      <c r="HM163" s="21" t="e">
        <f t="shared" ca="1" si="633"/>
        <v>#REF!</v>
      </c>
      <c r="HN163" s="30" t="str">
        <f t="shared" si="681"/>
        <v>ACTIVA INGRESO A CPN</v>
      </c>
      <c r="HO163" s="21"/>
      <c r="HP163" s="21"/>
      <c r="HQ163" s="349">
        <v>45042</v>
      </c>
      <c r="HR163" s="21" t="str">
        <f>IF(R163="","",IF(Tabla1[[#This Row],[ALARMA FACTORES DE RIESGO COMPLICACIONES HIPERTENSIVAS3]]="SIN ANTECEDENTES DE RIESGO","No Aplica para suministro de ASA",IF(AND(Tabla1[[#This Row],[FECHA INICIO DE SUMINISTRO DE ASA]]&gt;0,RV163&lt;12),"Inicia ASA ANTES de Sem 12",IF(AND(RV163&gt;11,RV163&lt;17,OR(HK163="RIESGO ALTO DE COMPLICACIONES HIPERTENSIVAS VER MANEJO GUIA SUMINISTRO ASA Y CALCIO",HK163="RIESGO MODERADO (2 O MAS CRITERIOS) VER MANEJO GUIA SUMINISTRO ASA Y CALCIO")),"Inicio oportuno de ASA",IF(AND(RV163&gt;12,OR(HK163="RIESGO ALTO DE COMPLICACIONES HIPERTENSIVAS VER MANEJO GUIA SUMINISTRO ASA Y CALCIO",HK163="RIESGO MODERADO (2 O MAS CRITERIOS) VER MANEJO GUIA SUMINISTRO ASA Y CALCIO")),"Inicio no oportuno mayor a 16 semanas",IF(AND(BU163&lt;12,OR(HK163="RIESGO ALTO DE COMPLICACIONES HIPERTENSIVAS VER MANEJO GUIA SUMINISTRO ASA Y CALCIO",HK163="RIESGO MODERADO (2 O MAS CRITERIOS) VER MANEJO GUIA SUMINISTRO ASA Y CALCIO")),"Pendiente Inicio de ASA a la semana 12",IF(AND(BU163&gt;11,BU163&lt;17,OR(HK163="RIESGO ALTO DE COMPLICACIONES HIPERTENSIVAS VER MANEJO GUIA SUMINISTRO ASA Y CALCIO",HK163="RIESGO MODERADO (2 O MAS CRITERIOS) VER MANEJO GUIA SUMINISTRO ASA Y CALCIO")),"Iniciar de inmediato ASA",IF(AND(BU163&gt;16,OR(HK163="RIESGO ALTO DE COMPLICACIONES HIPERTENSIVAS VER MANEJO GUIA SUMINISTRO ASA Y CALCIO",HK163="RIESGO MODERADO (2 O MAS CRITERIOS) VER MANEJO GUIA SUMINISTRO ASA Y CALCIO")),"Pierde Oportunidad, Inicio tardío de ASA","XXXXX"))))))))</f>
        <v>No Aplica para suministro de ASA</v>
      </c>
      <c r="HS163" s="22">
        <v>45042</v>
      </c>
      <c r="HT163" s="22" t="s">
        <v>870</v>
      </c>
      <c r="HU163" s="22">
        <v>45042</v>
      </c>
      <c r="HV163" s="22" t="s">
        <v>870</v>
      </c>
      <c r="HW163" s="22">
        <v>45042</v>
      </c>
      <c r="HX163" s="22" t="s">
        <v>870</v>
      </c>
      <c r="HY163" s="22">
        <v>45044</v>
      </c>
      <c r="HZ163" s="28">
        <f t="shared" si="634"/>
        <v>11.714285714285714</v>
      </c>
      <c r="IA163" s="26"/>
      <c r="IB163" s="26"/>
      <c r="IC163" s="111"/>
      <c r="ID163" s="22"/>
      <c r="IE163" s="22" t="str">
        <f t="shared" ca="1" si="635"/>
        <v>INASISTENTE</v>
      </c>
      <c r="IF163" s="22"/>
      <c r="IG163" s="22">
        <f t="shared" si="636"/>
        <v>45242</v>
      </c>
      <c r="IH163" s="29">
        <f t="shared" ca="1" si="637"/>
        <v>9</v>
      </c>
      <c r="II163" s="22" t="str">
        <f t="shared" ca="1" si="638"/>
        <v>MENOS DE 4 SEMANAS</v>
      </c>
      <c r="IJ163" s="22"/>
      <c r="IK163" s="21"/>
      <c r="IL163" s="21"/>
      <c r="IM163" s="34"/>
      <c r="IN163" s="22"/>
      <c r="IO163" s="21"/>
      <c r="IP163" s="29" t="str">
        <f t="shared" si="672"/>
        <v/>
      </c>
      <c r="IQ163" s="35"/>
      <c r="IR163" s="21"/>
      <c r="IS163" s="21"/>
      <c r="IT163" s="21"/>
      <c r="IU163" s="21"/>
      <c r="IV163" s="21"/>
      <c r="IW163" s="21"/>
      <c r="IX163" s="21"/>
      <c r="IY163" s="21"/>
      <c r="IZ163" s="21"/>
      <c r="JA163" s="21"/>
      <c r="JB163" s="30"/>
      <c r="JC163" s="21"/>
      <c r="JD163" s="36"/>
      <c r="JE163" s="21" t="str">
        <f t="shared" si="682"/>
        <v/>
      </c>
      <c r="JF163" s="30"/>
      <c r="JG163" s="21"/>
      <c r="JH163" s="21"/>
      <c r="JI163" s="21"/>
      <c r="JJ163" s="30"/>
      <c r="JK163" s="22"/>
      <c r="JL163" s="22"/>
      <c r="JM163" s="21"/>
      <c r="JN163" s="36"/>
      <c r="JO163" s="21" t="str">
        <f t="shared" si="683"/>
        <v/>
      </c>
      <c r="JP163" s="22"/>
      <c r="JQ163" s="21"/>
      <c r="JR163" s="21"/>
      <c r="JS163" s="21"/>
      <c r="JT163" s="30"/>
      <c r="JU163" s="22"/>
      <c r="JV163" s="22"/>
      <c r="JW163" s="33"/>
      <c r="JX163" s="28" t="str">
        <f t="shared" si="684"/>
        <v/>
      </c>
      <c r="JY163" s="33"/>
      <c r="JZ163" s="28" t="str">
        <f t="shared" si="685"/>
        <v/>
      </c>
      <c r="KA163" s="21"/>
      <c r="KB163" s="21"/>
      <c r="KC163" s="21"/>
      <c r="KD163" s="37"/>
      <c r="KE163" s="28"/>
      <c r="KF163" s="28"/>
      <c r="KG163" s="28"/>
      <c r="KH163" s="39"/>
      <c r="KI163" s="39"/>
      <c r="KJ163" s="66"/>
      <c r="KK163" s="39"/>
      <c r="KL163" s="39"/>
      <c r="KM163" s="66"/>
      <c r="KN163" s="39"/>
      <c r="KO163" s="39"/>
      <c r="KP163" s="39"/>
      <c r="KQ163" s="39"/>
      <c r="KR163" s="39"/>
      <c r="KS163" s="39"/>
      <c r="KT163" s="39"/>
      <c r="KU163" s="38"/>
      <c r="KV163" s="38"/>
      <c r="KW163" s="38"/>
      <c r="KX163" s="38"/>
      <c r="KY163" s="38"/>
      <c r="KZ163" s="38"/>
      <c r="LA163" s="38"/>
      <c r="LB163" s="38"/>
      <c r="LC163" s="38"/>
      <c r="LD163" s="38"/>
      <c r="LE163" s="38"/>
      <c r="LF163" s="38"/>
      <c r="LG163" s="38"/>
      <c r="LH163" s="38"/>
      <c r="LI163" s="38"/>
      <c r="LJ163" s="38"/>
      <c r="LK163" s="38"/>
      <c r="LL163" s="38"/>
      <c r="LM163" s="38"/>
      <c r="LN163" s="38"/>
      <c r="LO163" s="38"/>
      <c r="LP163" s="38"/>
      <c r="LQ163" s="38"/>
      <c r="LR163" s="38"/>
      <c r="LS163" s="38"/>
      <c r="LT163" s="38"/>
      <c r="LU163" s="38"/>
      <c r="LV163" s="38"/>
      <c r="LW163" s="38"/>
      <c r="LX163" s="38"/>
      <c r="LY163" s="38"/>
      <c r="LZ163" s="38"/>
      <c r="MA163" s="38"/>
      <c r="MB163" s="38"/>
      <c r="MC163" s="38"/>
      <c r="MD163" s="38"/>
      <c r="ME163" s="38"/>
      <c r="MF163" s="38"/>
      <c r="MG163" s="38"/>
      <c r="MH163" s="43">
        <f t="shared" ref="MH163:MH193" si="695">SUM(COUNTIF(KU163,"PARTERO (A)"),COUNTIF(KY163,"PARTERO (A)"),COUNTIF(LC163,"PARTERO (A)"),COUNTIF(LG163,"PARTERO (A)"),COUNTIF(LK163,"PARTERO (A)"),COUNTIF(LO163,"PARTERO (A)"),COUNTIF(ME163,"PARTERO (A)"))</f>
        <v>0</v>
      </c>
      <c r="MI163" s="43" t="str">
        <f t="shared" ref="MI163:MI193" si="696">IF(AND(R163="",O163=""),"",IF(AND(OR(O163&gt;0,R163&gt;0),KT163&gt;0),SUM(KT163-RW163)/7,""))</f>
        <v/>
      </c>
      <c r="MJ163" s="43" t="str">
        <f t="shared" ref="MJ163:MJ193" si="697">IF(AND(MI163="",BT163=""),"",IF(AND(MI163&lt;&gt;"",BT163="SIN DATO"),"SIN DATO",IF(AND(MI163="",BT163&lt;&gt;""),"",IF(AND(MI163&lt;0,BT163&gt;0),"ERROR FUM O INGRESO",IF(MI163&lt;=13,"I TRIM",IF(MI163&lt;28,"II TRIM",IF(AND(MI163&gt;27,MI163&lt;45),"III TRIM","POR DEFINIR")))))))</f>
        <v/>
      </c>
      <c r="MK163" s="43">
        <f t="shared" ref="MK163:MK193" si="698">SUM(COUNTIF(KU163,"MEDICO (A) TRADICIONAL"),COUNTIF(KY163,"MEDICO (A) TRADICIONAL"),COUNTIF(LC163,"MEDICO (A) TRADICIONAL"),COUNTIF(LG163,"MEDICO (A) TRADICIONAL"),COUNTIF(LK163,"MEDICO (A) TRADICIONAL"),COUNTIF(LO163,"MEDICO (A) TRADICIONAL"),COUNTIF(ME163,"MEDICO (A) TRADICIONAL"))</f>
        <v>0</v>
      </c>
      <c r="ML16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3" s="43">
        <f t="shared" ref="MM163:MM193" si="699">IF(AND(O163&gt;0,RW163&gt;0),SUM(O163-RW163)/7,"")</f>
        <v>11.428571428571429</v>
      </c>
      <c r="MN163" s="43">
        <f t="shared" ref="MN163:MN193" si="700">IF(R163&gt;0,MONTH(R163),"")</f>
        <v>4</v>
      </c>
      <c r="MO163" s="43">
        <f t="shared" ref="MO163:MO193" si="701">IF(R163&gt;0,YEAR(R163),"")</f>
        <v>2023</v>
      </c>
      <c r="MP163" s="43" t="str">
        <f t="shared" ref="MP163:MP193" si="702">IF(AND(MN163&gt;=1,MN163&lt;=3),"I TRIMESTRE AÑO",IF(AND(MN163&gt;=4,MN163&lt;=6),"II TRIMESTRE AÑO",IF(AND(MN163&gt;=7,MN163&lt;=9),"III TRIMESTRE AÑO",IF(AND(MN163&gt;=10,MN163&lt;=12),"IV TRIMESTRE AÑO",""))))</f>
        <v>II TRIMESTRE AÑO</v>
      </c>
      <c r="MQ163" s="43">
        <f t="shared" ref="MQ163:MQ193" si="703">IF(AND(M163&gt;0,R163&gt;0),DAYS360(M163,R163)/30.44/12,IF(AND(M163&gt;0,O163&gt;0,R163=""),DAYS360(M163,O163)/30.44/12,""))</f>
        <v>16.54347349978099</v>
      </c>
      <c r="MR163" s="43">
        <f t="shared" ref="MR163:MR193" si="704">IF(AND(MQ163&gt;7,MQ163&lt;14),2,IF(MQ163&lt;16,1,IF(MQ163&lt;=35,0,IF(AND(MQ163&gt;35,MQ163&lt;50),2,""))))</f>
        <v>0</v>
      </c>
      <c r="MS163" s="43" t="str">
        <f t="shared" ref="MS163:MS193" si="705">+IF(MQ163="","",IF(MQ163&lt;14,"MENOR 14 AÑOS",IF(MQ163&lt;20,"DE 14 A 19AÑOS",IF(MQ163&lt;25," DE 20 A 24 AÑOS",IF(MQ163&lt;30," DE 25 A 29 AÑOS",IF(MQ163&lt;35," DE 30 A 34 AÑOS",IF(MQ163&lt;40," DE 35 A 39 AÑOS"," DE 40 Y MAS")))))))</f>
        <v>DE 14 A 19AÑOS</v>
      </c>
      <c r="MT163" s="43">
        <f t="shared" ref="MT163:MT193" si="706">IF(OR(AX163="SI",BA163="SI"),1,IF(AND(AX163="NO",BA163="NO"),0,""))</f>
        <v>0</v>
      </c>
      <c r="MU163" s="43">
        <f t="shared" ref="MU163:MU193" si="707">IF(AT163="","",IF(AT163=0,1,IF(AND(AT163&gt;=1,AT163&lt;=4),0,IF(AT163&gt;=5,2,"X"))))</f>
        <v>1</v>
      </c>
      <c r="MV163" s="43">
        <f t="shared" ref="MV163:MV193" si="708">IF(AW163="","",IF(AW163=0,0,IF(AW163=1,1,IF(OR(AW163=2,AW163="3 o MAS"),2,"X"))))</f>
        <v>0</v>
      </c>
      <c r="MW163" s="43">
        <f t="shared" ref="MW163:MW193" si="709">IF(AY163="SI",1,IF(AY163="NO",0,""))</f>
        <v>0</v>
      </c>
      <c r="MX163" s="43" t="str">
        <f t="shared" ref="MX163:MX193" si="710">IF(OR(AND(EM163&gt;0,EM163&lt;11),AND(ER163&gt;0,ER163&lt;10.5)),1,"")</f>
        <v/>
      </c>
      <c r="MY163" s="43" t="str">
        <f t="shared" ca="1" si="686"/>
        <v/>
      </c>
      <c r="MZ163" s="43" t="str">
        <f t="shared" ref="MZ163:MZ193" si="711">IF(AND(GJ163="",GL163="",BB163=""),"",IF(OR(OR(GJ163="P.R REACTIVA",GJ163="ELISA REACTIVA"),OR(BB163="SI",GL163="POSITIVA",GL163="NO CONCLUYENTE")),3,""))</f>
        <v/>
      </c>
      <c r="NA163" s="43" t="str">
        <f t="shared" ref="NA163:NA193" si="712">IF(CD163="","",IF(OR(CD163="CEFÁLICA",CD163="SD"),0,IF(OR(CD163="PODÁLICA",CD163="TRANSVERSA O DE FRENTE",CD163="OBLICUA"),3,"")))</f>
        <v/>
      </c>
      <c r="NB163" s="43" t="str">
        <f t="shared" ref="NB163:NB193" si="713">IF(GZ163="","",IF(GZ163="POSITIVO",2,"0"))</f>
        <v/>
      </c>
      <c r="NC163" s="43" t="str">
        <f t="shared" ref="NC163:NC193" si="714">IF(AND(HB163="",HD163=""),"",IF(OR(HB163="POSITIVO",HD163="POSITIVO"),3,0))</f>
        <v/>
      </c>
      <c r="ND163" s="43">
        <f t="shared" ref="ND163:ND193" ca="1" si="715">IF(AND(O163="",R163=""),"",IF(OR(O163&lt;&gt;"",R163&lt;&gt;""),SUM(COUNTIF(AL163:AR163,"SI"),COUNTIF(AV163,"SI"),COUNTIF(BC163,"SI, CONTROLADA"),COUNTIF(BI163,"SI"),COUNTIF(BM163,"SI"),SUM(COUNTIF(BC163,"SI, SIN MANEJO")*3),SUM(COUNTIF(BC163,"SI, NO CONTROLADA")*3),SUM(COUNTIF(BD163:BG163,"SI")*3),SUM(COUNTIF(CB163:CC163,"SI")*3),SUM(COUNTIF(AD163,"Consumo Actual")*3),SUM(COUNTIF(AD163,"Hasta Antes de la Gestación")*2),SUM(COUNTIF(BK163,"SI")*3),SUM(COUNTIF(BL163,"SI")*2),SUM(COUNTIF(CE163,"SI")*2),SUM(COUNTIF(BH163,"SI")*2),SUM(COUNTIF(FG163,"DIABETES, REMITIR")*2),SUM(MT163:NC163),SUM(MR163),SUM(NG163),SUM(COUNTIF(EZ163,"COOMBS C/MES Y RESUMAN SEM 28")*2),SUM(COUNTIF(EZ163,"TOMAR COOMBS CUANTITATIVO Y REMISIÓN")*3),SUM(COUNTIF(FU163,"SIFILIS GESTACIONAL")*3)),""))</f>
        <v>1</v>
      </c>
      <c r="NE163" s="43">
        <f>IF(OR(O163&gt;0,R163&gt;0),SUM(COUNTIF(Tabla1[[#This Row],[AÑOS AL INICIO5 CPN]],"&gt;=40"),COUNTIF(AS163,"0"),COUNTIF(AR163,"SI"),COUNTIF(CC163,"SI"),COUNTIF(BQ163,"&gt;119"),COUNTIF(CI163,"&gt;=35")),"")</f>
        <v>1</v>
      </c>
      <c r="NF163" s="43" t="str">
        <f t="shared" ref="NF163:NF193" si="716">IF(AND(R163="",O163=""),"",IF(AND(OR(O163&gt;0,R163&gt;0),RW163=""),"SD",IF(AND(OR(O163&gt;0,R163&gt;0),ID163&gt;0),SUM(ID163-RW163)/7,"")))</f>
        <v/>
      </c>
      <c r="NG163" s="43">
        <f t="shared" ref="NG163:NG193" si="717">IF(AND(AD163="",AE163="",AF163="",AG163="",AH163="",AI163="",AJ163=""),"",SUM(COUNTIF(AD163,"Hasta Antes de la Gestación")/2,SUM(COUNTIF(AE163,"NO")/2),COUNTIF(AF163,"NO"),SUM(COUNTIF(AG163,"SI")/2),COUNTIF(AH163,"SI"),SUM(COUNTIF(AJ163,"SI")*2),COUNTIF(AD163,"Consumo Actual"),COUNTIF(AI163,"HABITANTE DE CALLE"),COUNTIF(AI163,"DESPLAZADA"),COUNTIF(AI163,"MIGRATORIA"),COUNTIF(AI163,"DISCAPACIDAD FISICA"),COUNTIF(AI163,"DISCAPACIDAD CONDUCTUAL"),COUNTIF(AI163,"DISCAPACIDAD VISUAL"),COUNTIF(AI163,"DISCAPACIDAD AUDITIVA"),COUNTIF(AI163,"DISCAPACIDAD MULTIPLE"),COUNTIF(AI163,"DISCAPACIDAD SISTEMICA")))</f>
        <v>0</v>
      </c>
      <c r="NH163" s="43" t="str">
        <f t="shared" ref="NH163:NH193" si="718">IF(BX163&gt;0,BX163*7,"")</f>
        <v/>
      </c>
      <c r="NI16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CPN",P163="NO"),"Z",IF(AND(Tabla1[[#This Row],[CITA PROXIMO CONTROL]]="CITA MANUAL",Tabla1[[#This Row],[GESTANTES ACTUALES]]="ACTIVA INGRESO A CPN"),"W",IF(AND(Tabla1[[#This Row],[GESTANTES ACTUALES]]="SALIO PROGRAMA",IN163=""),"S",IF(AND(Tabla1[[#This Row],[CITA PROXIMO CONTROL]]&gt;0,IN163=""),(Tabla1[[#This Row],[CITA PROXIMO CONTROL]]-TODAY()),"SD"))))))))</f>
        <v>#REF!</v>
      </c>
      <c r="NJ163" s="43">
        <f>MONTH(Tabla1[[#This Row],[FECHA DE SALIDA  DEL PROGRAMA]])</f>
        <v>1</v>
      </c>
      <c r="NK163" s="43">
        <f>YEAR(Tabla1[[#This Row],[FECHA DE SALIDA  DEL PROGRAMA]])</f>
        <v>1900</v>
      </c>
      <c r="NL163" s="43" t="str">
        <f t="shared" ref="NL163:NL193" si="719">IF(AND(O163&gt;0,R163=""),"NO CPN",IF(AND(O163="",R163=""),"",IF(AND(R163&gt;0,EJ163&gt;0,EI163&gt;0),_xlfn.DAYS(EJ163,EI163),IF(AND(R163&gt;0,EJ163&gt;0,EI163=""),"NO CITA","X"))))</f>
        <v>X</v>
      </c>
      <c r="NM163" s="43" t="str">
        <f t="shared" si="693"/>
        <v>NO</v>
      </c>
      <c r="NN163" s="43" t="str">
        <f ca="1">IF(AND(O163&gt;0,R163=""),"NO CPN",IF(AND(O163="",R163=""),"",IF(AND(R163&gt;0,Tabla1[[#This Row],[SEMANAS DE GESTACION ACTUALIZADAS]]&lt;=12),"NO APLICA",IF(AND(FH163&lt;&gt;"",FN163&lt;&gt;""),"SI","NO"))))</f>
        <v>NO</v>
      </c>
      <c r="NO163" s="43" t="str">
        <f ca="1">IF(AND(O163&gt;0,R163=""),"NO CPN",IF(AND(O163="",R163=""),"",IF(AND(R163&gt;0,Tabla1[[#This Row],[SEMANAS DE GESTACION ACTUALIZADAS]]&lt;=27),"NO APLICA",IF(AND(ES163&lt;&gt;"",FQ163&lt;&gt;"",GF163&lt;&gt;""),"SI","NO"))))</f>
        <v>NO</v>
      </c>
      <c r="NP163" s="204" t="str">
        <f t="shared" ref="NP163:NP193" si="720">IF(AND(BS163="",IG163=""),"",IF(AND(BS163="",IG163="DEFINIR FPP POR ECO"),"SIN DATO",IF(BS163&lt;0,"ERROR FUM O INGRESO",IF(BP163="NO","DEFINIR CON ECO",IF(BS163&lt;12,"I TRIM",IF(BS163&lt;27,"II TRIM",IF(AND(BS163&gt;26,BS163&lt;45),"III TRIM","ERROR FUM O INGRESO")))))))</f>
        <v>DEFINIR CON ECO</v>
      </c>
      <c r="NQ163" s="21" t="str">
        <f t="shared" si="689"/>
        <v/>
      </c>
      <c r="NR163" s="21">
        <f t="shared" ca="1" si="687"/>
        <v>3</v>
      </c>
      <c r="NS163" s="205">
        <f t="shared" ref="NS163:NS193" ca="1" si="721">COUNT(FL163,FO163,FR163,FT163)</f>
        <v>1</v>
      </c>
      <c r="NT163" s="21">
        <f t="shared" ref="NT163:NT193" ca="1" si="722">COUNT(GA163,GD163,GG163,GI163)</f>
        <v>1</v>
      </c>
      <c r="NU163" s="21" t="str">
        <f t="shared" ref="NU163:NU193" ca="1" si="723">IF(NR163="","",IF(NR163="REVISAR FUM O FECHA SALIDA PROGRAMA","POR DEFINIR",IF(OR(NR163=NS163,NS163&gt;NR163),"COMPLETO",IF(NS163&lt;NR163,"INCOMPLETO",""))))</f>
        <v>INCOMPLETO</v>
      </c>
      <c r="NV163" s="21" t="str">
        <f t="shared" ref="NV163:NV193" ca="1" si="724">IF(NR163="","",IF(NR163="REVISAR FUM O FECHA SALIDA PROGRAMA","POR DEFINIR",IF(OR(NR163=NT163,NT163&gt;NR163),"COMPLETO",IF(NT163&lt;NR163,"INCOMPLETO",""))))</f>
        <v>INCOMPLETO</v>
      </c>
      <c r="NW163" s="206" t="str">
        <f>IF(AND(O163="",R163=""),"",IF(OR(AND(Tabla1[[#This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3" s="207" t="str">
        <f t="shared" ref="NX163:NX193" ca="1" si="725">IF(AND(O163="",R163=""),"",IF(OR(IE163="VACUNA APLICADA ENTRE SEMANA 20 Y SEMANA 26",IE163="VACUNA APLICADA ENTRE SEMANA 27 Y EL PARTO",IE163="VACUNA APLICADA ANTES SEMANA 20"),"VACUNADA","SIN VACUNAR"))</f>
        <v>SIN VACUNAR</v>
      </c>
      <c r="NY163" s="43">
        <f>ROW(Tabla1[[#This Row],['# DE TAMIZAJES SIFILIS TOMADOS ]])</f>
        <v>163</v>
      </c>
      <c r="NZ163" s="43">
        <f t="shared" si="501"/>
        <v>11</v>
      </c>
      <c r="OA163" s="43" t="str">
        <f t="shared" si="502"/>
        <v/>
      </c>
      <c r="OB163" s="43" t="str">
        <f t="shared" si="503"/>
        <v/>
      </c>
      <c r="OC163" s="43" t="str">
        <f t="shared" si="504"/>
        <v>NORMAL</v>
      </c>
      <c r="OD163" s="43" t="str">
        <f t="shared" si="505"/>
        <v/>
      </c>
      <c r="OE163" s="43" t="str">
        <f t="shared" si="506"/>
        <v/>
      </c>
      <c r="OF163" s="43" t="str">
        <f t="shared" si="507"/>
        <v/>
      </c>
      <c r="OG163" s="43" t="str">
        <f t="shared" si="508"/>
        <v/>
      </c>
      <c r="OH163" s="43" t="str">
        <f t="shared" si="509"/>
        <v/>
      </c>
      <c r="OI163" s="43" t="str">
        <f t="shared" si="510"/>
        <v/>
      </c>
      <c r="OJ163" s="43" t="str">
        <f t="shared" si="511"/>
        <v/>
      </c>
      <c r="OK163" s="43" t="str">
        <f t="shared" si="512"/>
        <v/>
      </c>
      <c r="OL163" s="43" t="str">
        <f t="shared" si="513"/>
        <v/>
      </c>
      <c r="OM163" s="43" t="str">
        <f t="shared" si="514"/>
        <v/>
      </c>
      <c r="ON163" s="43" t="str">
        <f t="shared" si="515"/>
        <v/>
      </c>
      <c r="OO163" s="43" t="str">
        <f t="shared" si="516"/>
        <v/>
      </c>
      <c r="OP163" s="43" t="str">
        <f t="shared" si="517"/>
        <v/>
      </c>
      <c r="OQ163" s="43" t="str">
        <f t="shared" si="518"/>
        <v/>
      </c>
      <c r="OR163" s="43" t="str">
        <f t="shared" si="519"/>
        <v/>
      </c>
      <c r="OS163" s="43" t="str">
        <f t="shared" si="520"/>
        <v/>
      </c>
      <c r="OT163" s="43" t="str">
        <f t="shared" si="521"/>
        <v/>
      </c>
      <c r="OU163" s="43" t="str">
        <f t="shared" si="522"/>
        <v/>
      </c>
      <c r="OV163" s="110" t="str">
        <f t="shared" si="523"/>
        <v/>
      </c>
      <c r="OW163" s="43" t="str">
        <f t="shared" si="524"/>
        <v/>
      </c>
      <c r="OX163" s="43" t="str">
        <f t="shared" si="525"/>
        <v/>
      </c>
      <c r="OY163" s="43" t="str">
        <f t="shared" si="526"/>
        <v/>
      </c>
      <c r="OZ163" s="43" t="str">
        <f t="shared" si="527"/>
        <v/>
      </c>
      <c r="PA163" s="43" t="str">
        <f t="shared" si="528"/>
        <v/>
      </c>
      <c r="PB163" s="43" t="str">
        <f t="shared" si="529"/>
        <v/>
      </c>
      <c r="PC163" s="43" t="str">
        <f t="shared" si="530"/>
        <v/>
      </c>
      <c r="PD163" s="43" t="str">
        <f t="shared" si="531"/>
        <v/>
      </c>
      <c r="PE163" s="43" t="str">
        <f t="shared" si="532"/>
        <v/>
      </c>
      <c r="PF163" s="43" t="str">
        <f t="shared" si="533"/>
        <v/>
      </c>
      <c r="PG163" s="43" t="str">
        <f t="shared" si="534"/>
        <v/>
      </c>
      <c r="PH163" s="43" t="str">
        <f t="shared" si="535"/>
        <v/>
      </c>
      <c r="PI163" s="43">
        <f t="shared" si="536"/>
        <v>24</v>
      </c>
      <c r="PJ163" s="43" t="str">
        <f t="shared" si="537"/>
        <v/>
      </c>
      <c r="PK163" s="43" t="str">
        <f t="shared" si="538"/>
        <v/>
      </c>
      <c r="PL163" s="43" t="str">
        <f t="shared" si="539"/>
        <v/>
      </c>
      <c r="PM163" s="43" t="str">
        <f t="shared" si="540"/>
        <v/>
      </c>
      <c r="PN163" s="43" t="str">
        <f t="shared" si="541"/>
        <v/>
      </c>
      <c r="PO163" s="43" t="str">
        <f t="shared" si="542"/>
        <v/>
      </c>
      <c r="PP163" s="43" t="str">
        <f t="shared" si="543"/>
        <v/>
      </c>
      <c r="PQ163" s="43" t="str">
        <f t="shared" si="544"/>
        <v/>
      </c>
      <c r="PR163" s="43" t="str">
        <f t="shared" si="545"/>
        <v/>
      </c>
      <c r="PS163" s="43" t="str">
        <f t="shared" si="546"/>
        <v/>
      </c>
      <c r="PT163" s="43" t="str">
        <f t="shared" si="547"/>
        <v/>
      </c>
      <c r="PU163" s="43" t="str">
        <f t="shared" si="548"/>
        <v/>
      </c>
      <c r="PV163" s="43" t="str">
        <f t="shared" si="549"/>
        <v/>
      </c>
      <c r="PW163" s="43" t="str">
        <f t="shared" si="550"/>
        <v/>
      </c>
      <c r="PX163" s="43" t="str">
        <f t="shared" si="551"/>
        <v/>
      </c>
      <c r="PY163" s="43" t="str">
        <f t="shared" si="552"/>
        <v>NORMAL</v>
      </c>
      <c r="PZ163" s="43" t="str">
        <f t="shared" si="553"/>
        <v/>
      </c>
      <c r="QA163" s="43" t="str">
        <f t="shared" si="554"/>
        <v/>
      </c>
      <c r="QB163" s="43" t="str">
        <f t="shared" si="555"/>
        <v/>
      </c>
      <c r="QC163" s="43" t="str">
        <f t="shared" si="556"/>
        <v/>
      </c>
      <c r="QD163" s="43" t="str">
        <f t="shared" si="557"/>
        <v/>
      </c>
      <c r="QE163" s="43" t="str">
        <f t="shared" si="558"/>
        <v/>
      </c>
      <c r="QF163" s="43" t="str">
        <f t="shared" si="559"/>
        <v/>
      </c>
      <c r="QG163" s="43" t="str">
        <f t="shared" si="560"/>
        <v/>
      </c>
      <c r="QH163" s="43" t="str">
        <f t="shared" si="561"/>
        <v/>
      </c>
      <c r="QI163" s="43" t="str">
        <f t="shared" si="562"/>
        <v/>
      </c>
      <c r="QJ163" s="43" t="str">
        <f t="shared" si="563"/>
        <v/>
      </c>
      <c r="QK163" s="43" t="str">
        <f t="shared" si="564"/>
        <v/>
      </c>
      <c r="QL163" s="43" t="str">
        <f t="shared" si="565"/>
        <v/>
      </c>
      <c r="QM163" s="43" t="str">
        <f t="shared" si="566"/>
        <v/>
      </c>
      <c r="QN163" s="43" t="str">
        <f t="shared" si="567"/>
        <v/>
      </c>
      <c r="QO163" s="43" t="str">
        <f t="shared" si="568"/>
        <v/>
      </c>
      <c r="QP163" s="43" t="str">
        <f t="shared" si="569"/>
        <v/>
      </c>
      <c r="QQ163" s="43" t="str">
        <f t="shared" si="570"/>
        <v/>
      </c>
      <c r="QR163" s="43">
        <f t="shared" si="670"/>
        <v>24</v>
      </c>
      <c r="QS163" s="43"/>
      <c r="QT163" s="21" t="str">
        <f t="shared" si="571"/>
        <v/>
      </c>
      <c r="QU163" s="21" t="str">
        <f t="shared" si="572"/>
        <v/>
      </c>
      <c r="QV163" s="21" t="str">
        <f t="shared" si="573"/>
        <v/>
      </c>
      <c r="QW163" s="21" t="str">
        <f t="shared" si="574"/>
        <v/>
      </c>
      <c r="QX163" s="21" t="str">
        <f t="shared" si="575"/>
        <v/>
      </c>
      <c r="QY163" s="21" t="str">
        <f t="shared" si="576"/>
        <v/>
      </c>
      <c r="QZ163" s="21" t="str">
        <f t="shared" si="577"/>
        <v/>
      </c>
      <c r="RA163" s="21" t="str">
        <f t="shared" si="578"/>
        <v/>
      </c>
      <c r="RB163" s="21" t="str">
        <f t="shared" si="579"/>
        <v/>
      </c>
      <c r="RC163" s="21" t="str">
        <f t="shared" si="580"/>
        <v/>
      </c>
      <c r="RD163" s="21" t="str">
        <f t="shared" si="581"/>
        <v/>
      </c>
      <c r="RE163" s="21" t="str">
        <f t="shared" si="582"/>
        <v>ALTO PARA EDAD GESTACIONAL</v>
      </c>
      <c r="RF163" s="21" t="str">
        <f t="shared" si="583"/>
        <v/>
      </c>
      <c r="RG163" s="21" t="str">
        <f t="shared" si="584"/>
        <v/>
      </c>
      <c r="RH163" s="21" t="str">
        <f t="shared" si="585"/>
        <v/>
      </c>
      <c r="RI163" s="21" t="str">
        <f t="shared" si="586"/>
        <v/>
      </c>
      <c r="RJ163" s="21" t="str">
        <f t="shared" si="587"/>
        <v/>
      </c>
      <c r="RK163" s="21" t="str">
        <f t="shared" si="588"/>
        <v/>
      </c>
      <c r="RL163" s="21" t="str">
        <f t="shared" si="589"/>
        <v/>
      </c>
      <c r="RM163" s="21" t="str">
        <f t="shared" si="590"/>
        <v/>
      </c>
      <c r="RN163" s="21" t="str">
        <f t="shared" si="591"/>
        <v/>
      </c>
      <c r="RO163" s="21" t="str">
        <f t="shared" si="592"/>
        <v/>
      </c>
      <c r="RP163" s="21" t="str">
        <f t="shared" si="593"/>
        <v/>
      </c>
      <c r="RQ163" s="21" t="str">
        <f t="shared" si="594"/>
        <v/>
      </c>
      <c r="RR163" s="21" t="str">
        <f t="shared" si="595"/>
        <v/>
      </c>
      <c r="RS163" s="21" t="str">
        <f t="shared" si="596"/>
        <v/>
      </c>
      <c r="RT163" s="21" t="str">
        <f t="shared" si="597"/>
        <v/>
      </c>
      <c r="RU163" s="21" t="str">
        <f t="shared" si="598"/>
        <v/>
      </c>
      <c r="RV163" s="21">
        <f t="shared" si="599"/>
        <v>11.428571428571429</v>
      </c>
      <c r="RW163" s="284">
        <f>IF(OR(Tabla1[[#This Row],[FUM FORMULA CONFIABLE]]="",Tabla1[[#This Row],[FUM FORMULA CONFIABLE]]="SD"),"",IF(Tabla1[[#This Row],[FUM FORMULA CONFIABLE]]="CORREGIDA",Tabla1[[#This Row],[FUM X ECO 1]],Tabla1[[#This Row],[FUM x AMENORREA]]))</f>
        <v>44962</v>
      </c>
      <c r="RX163" s="21" t="str">
        <f>IF(AND(Tabla1[[#This Row],[FUM X ECO 1]]="",Tabla1[[#This Row],[FUM x AMENORREA]]=""),"",IF(AND(Tabla1[[#This Row],[FUM X ECO 1]]="",Tabla1[[#This Row],[FUM x AMENORREA]]&lt;&gt;""),"X",SUM(Tabla1[[#This Row],[FUM X ECO 1]]-Tabla1[[#This Row],[FUM x AMENORREA]])))</f>
        <v>X</v>
      </c>
      <c r="RY163" s="21" t="str">
        <f t="shared" si="671"/>
        <v>x</v>
      </c>
    </row>
    <row r="164" spans="1:493" ht="45" customHeight="1" x14ac:dyDescent="0.25">
      <c r="A164" s="109"/>
      <c r="B164" s="43"/>
      <c r="C164" s="43" t="s">
        <v>845</v>
      </c>
      <c r="D164" s="124"/>
      <c r="E164" s="43" t="s">
        <v>1156</v>
      </c>
      <c r="F164" s="43" t="s">
        <v>883</v>
      </c>
      <c r="G164" s="43" t="s">
        <v>1157</v>
      </c>
      <c r="H164" s="43" t="s">
        <v>1466</v>
      </c>
      <c r="I164" s="109" t="s">
        <v>851</v>
      </c>
      <c r="J164" s="110">
        <v>1059594587</v>
      </c>
      <c r="K164" s="43" t="s">
        <v>852</v>
      </c>
      <c r="L164" s="175" t="s">
        <v>1509</v>
      </c>
      <c r="M164" s="22">
        <v>37873</v>
      </c>
      <c r="N164" s="213">
        <f t="shared" ca="1" si="600"/>
        <v>20.164383561643834</v>
      </c>
      <c r="O164" s="22">
        <v>45044</v>
      </c>
      <c r="P164" s="214" t="str">
        <f t="shared" si="673"/>
        <v>SI</v>
      </c>
      <c r="Q164" s="26" t="s">
        <v>855</v>
      </c>
      <c r="R164" s="22">
        <v>45044</v>
      </c>
      <c r="S164" s="21" t="s">
        <v>856</v>
      </c>
      <c r="T164" s="24" t="s">
        <v>690</v>
      </c>
      <c r="U164" s="21" t="s">
        <v>857</v>
      </c>
      <c r="V164" s="21" t="s">
        <v>858</v>
      </c>
      <c r="W164" s="21" t="s">
        <v>859</v>
      </c>
      <c r="X164" s="21"/>
      <c r="Y164" s="21"/>
      <c r="Z164" s="21"/>
      <c r="AA164" s="21" t="s">
        <v>860</v>
      </c>
      <c r="AB164" s="27" t="s">
        <v>861</v>
      </c>
      <c r="AC164" s="26" t="s">
        <v>888</v>
      </c>
      <c r="AD164" s="38" t="s">
        <v>1546</v>
      </c>
      <c r="AE164" s="26" t="s">
        <v>854</v>
      </c>
      <c r="AF164" s="26" t="s">
        <v>854</v>
      </c>
      <c r="AG164" s="23" t="s">
        <v>864</v>
      </c>
      <c r="AH164" s="23" t="s">
        <v>864</v>
      </c>
      <c r="AI164" s="24" t="s">
        <v>863</v>
      </c>
      <c r="AJ164" s="23" t="s">
        <v>864</v>
      </c>
      <c r="AK164" s="220" t="str">
        <f>IF(AND(AD164="",AE164="",AF164="",AG164="",AH164="",AI164="",AJ164=""),"",IF(OR(Tabla1[[#This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EVALUACIÓN",IF(AND(O164="",R164=""),"",IF(AND(OR(O164&gt;0,R164&gt;0),NG164&gt;=0,NG164&lt;2),"SIN RIESGO",IF(AND(OR(O164&gt;0,R164&gt;0),NG164&gt;=2),"CON RIESGO","ASD")))))</f>
        <v>SIN RIESGO</v>
      </c>
      <c r="AL164" s="23" t="s">
        <v>864</v>
      </c>
      <c r="AM164" s="26" t="s">
        <v>864</v>
      </c>
      <c r="AN164" s="26" t="s">
        <v>864</v>
      </c>
      <c r="AO164" s="26" t="s">
        <v>864</v>
      </c>
      <c r="AP164" s="26" t="s">
        <v>864</v>
      </c>
      <c r="AQ164" s="26" t="s">
        <v>864</v>
      </c>
      <c r="AR164" s="26" t="s">
        <v>864</v>
      </c>
      <c r="AS164" s="21">
        <v>1</v>
      </c>
      <c r="AT164" s="21">
        <v>0</v>
      </c>
      <c r="AU164" s="21">
        <v>1</v>
      </c>
      <c r="AV164" s="26" t="s">
        <v>864</v>
      </c>
      <c r="AW164" s="21">
        <v>0</v>
      </c>
      <c r="AX164" s="26" t="s">
        <v>864</v>
      </c>
      <c r="AY164" s="26" t="s">
        <v>864</v>
      </c>
      <c r="AZ164" s="26" t="s">
        <v>864</v>
      </c>
      <c r="BA164" s="26" t="s">
        <v>864</v>
      </c>
      <c r="BB164" s="26" t="s">
        <v>864</v>
      </c>
      <c r="BC164" s="26" t="s">
        <v>864</v>
      </c>
      <c r="BD164" s="26" t="s">
        <v>864</v>
      </c>
      <c r="BE164" s="26" t="s">
        <v>864</v>
      </c>
      <c r="BF164" s="26" t="s">
        <v>864</v>
      </c>
      <c r="BG164" s="26" t="s">
        <v>864</v>
      </c>
      <c r="BH164" s="26" t="s">
        <v>864</v>
      </c>
      <c r="BI164" s="26" t="s">
        <v>864</v>
      </c>
      <c r="BJ164" s="26" t="s">
        <v>864</v>
      </c>
      <c r="BK164" s="26" t="s">
        <v>864</v>
      </c>
      <c r="BL164" s="26" t="s">
        <v>864</v>
      </c>
      <c r="BM164" s="26" t="s">
        <v>864</v>
      </c>
      <c r="BN164" s="22"/>
      <c r="BO164" s="22">
        <v>44995</v>
      </c>
      <c r="BP164" s="21" t="s">
        <v>1380</v>
      </c>
      <c r="BQ164" s="222">
        <f t="shared" si="601"/>
        <v>0</v>
      </c>
      <c r="BR164" s="223">
        <f t="shared" si="602"/>
        <v>45001.8</v>
      </c>
      <c r="BS164" s="224">
        <f t="shared" si="603"/>
        <v>6.0285714285710128</v>
      </c>
      <c r="BT164" s="216" t="str">
        <f t="shared" si="604"/>
        <v>I TRIM</v>
      </c>
      <c r="BU164" s="214">
        <f t="shared" ca="1" si="605"/>
        <v>33.028571428571013</v>
      </c>
      <c r="BV164" s="25" t="s">
        <v>1478</v>
      </c>
      <c r="BW164" s="22">
        <v>45083</v>
      </c>
      <c r="BX164" s="28">
        <v>11.6</v>
      </c>
      <c r="BY164" s="28"/>
      <c r="BZ164" s="22"/>
      <c r="CA164" s="21"/>
      <c r="CB164" s="26"/>
      <c r="CC164" s="26"/>
      <c r="CD164" s="26"/>
      <c r="CE164" s="26"/>
      <c r="CF164" s="22" t="s">
        <v>1517</v>
      </c>
      <c r="CG164" s="21">
        <v>1.48</v>
      </c>
      <c r="CH164" s="21">
        <v>51.7</v>
      </c>
      <c r="CI164" s="214">
        <f t="shared" si="606"/>
        <v>23.602994886778674</v>
      </c>
      <c r="CJ164" s="225" t="str">
        <f>IF(AND(CI164&lt;10,CH164="SD"),"SIN DATO PESO PREGESTACION O I TRIM",IF(AND(OR(R164&gt;0,O164&gt;0),CI164="X"),"INGRESAR DATO DE PESO",IF(CI164="SD","INGRESAR DATO DE TALLA Y PESO",IF(AND(OR(Tabla1[[#This Row],[MOMENTO EN QUE SE REALIZA EL PESO AL INGRESO A CPN]]="PREGESTACIÓN",NZ164="Menor"),CI164&lt;18.5),"BAJO PESO",IF(AND(OR(Tabla1[[#This Row],[MOMENTO EN QUE SE REALIZA EL PESO AL INGRESO A CPN]]="PREGESTACIÓN",NZ164="Menor"),CI164&lt;25),"NORMAL",IF(AND(OR(Tabla1[[#This Row],[MOMENTO EN QUE SE REALIZA EL PESO AL INGRESO A CPN]]="PREGESTACIÓN",NZ164="Menor"),CI164&lt;30),"SOBREPESO",IF(AND(OR(Tabla1[[#This Row],[MOMENTO EN QUE SE REALIZA EL PESO AL INGRESO A CPN]]="PREGESTACIÓN",NZ164="Menor"),CI164&gt;=30,CI164&lt;50),"OBESIDAD",IF(AND(BS164&gt;0,Tabla1[[#This Row],[MOMENTO EN QUE SE REALIZA EL PESO AL INGRESO A CPN]]="GESTACIÓN"),HLOOKUP(NZ164,$OA$2:PH164,NY164),""))))))))</f>
        <v>NORMAL</v>
      </c>
      <c r="CK164" s="212">
        <f t="shared" si="607"/>
        <v>45114</v>
      </c>
      <c r="CL164" s="21">
        <v>53</v>
      </c>
      <c r="CM164" s="214">
        <f t="shared" si="608"/>
        <v>24.196493791088386</v>
      </c>
      <c r="CN164" s="216">
        <f t="shared" si="609"/>
        <v>16</v>
      </c>
      <c r="CO164" s="216" t="e">
        <f>IF(PI164="","",IF(PI164&gt;0,HLOOKUP(PI164,$PJ$2:QQ164,NY164),""))</f>
        <v>#REF!</v>
      </c>
      <c r="CP164" s="21">
        <v>18</v>
      </c>
      <c r="CQ164" s="216" t="e">
        <f>IF(QR164="Menor","NO APLICA-MENOR 13 SEM",IF(AND(CC164="SI",CN164&gt;23),"NO APLICA- GEMELAR",IF(QR164="","",IF(QR164&gt;0,HLOOKUP(QR164,$QS$2:RU164,NY164),""))))</f>
        <v>#REF!</v>
      </c>
      <c r="CR164" s="21">
        <v>100</v>
      </c>
      <c r="CS164" s="21">
        <v>60</v>
      </c>
      <c r="CT164" s="217" t="str">
        <f>IF(R164="","",IF(AND(BS164&gt;1,BS164&lt;12,Tabla1[[#This Row],[T.A. SISTOLICA - ANTES DE SEMANA 12]]="",Tabla1[[#This Row],[T.A. DIASTOLICA - ANTES DE SEMANA 12]]=""),"REGISTRE DATO TA ANTES SEMANA 12",IF(AND(BS164&gt;11,BS164&lt;43,Tabla1[[#This Row],[T.A. SISTOLICA - ANTES DE SEMANA 12]]="",Tabla1[[#This Row],[T.A. DIASTOLICA - ANTES DE SEMANA 12]]=""),"NO APLICA REGISTRO TA-INGRESO TARDIO",IF(AND(OR(O164&gt;0,R164&gt;0),OR(CR164&gt;=140,CS164&gt;=90)),"DEFINIR ESTADIO HTA",IF(AND(OR(O164&gt;0,R164&gt;0),AND(CR164&gt;120,CR164&lt;=139)),"PRE HTA SEGUIMIENTO",IF(AND(OR(O164&gt;0,R164&gt;0),AND(CS164&gt;80,CS164&lt;=89)),"PRE HTA SEGUIMIENTO",IF(AND(OR(O164&gt;0,R164&gt;0),AND(CR164&gt;=80,CR164&lt;=120)),"APARENTEMENTE NORMAL",IF(AND(OR(O164&gt;0,R164&gt;0),AND(CS164&gt;=50,CS164&lt;=80)),"APARENTEMENTE NORMAL",IF(AND(OR(O164&gt;0,R164&gt;0),AND(CR164&gt;1,CR164&lt;=70),AND(CS164&gt;1,CS164&lt;=40)),"HIPOTENSIÓN","")))))))))</f>
        <v>APARENTEMENTE NORMAL</v>
      </c>
      <c r="CU164" s="21"/>
      <c r="CV164" s="21"/>
      <c r="CW164" s="217" t="str">
        <f ca="1">IF(R164="","",IF(AND(CN164&gt;19,CN164&lt;27,Tabla1[[#This Row],[T.A. SISTOLICA (Entre semana 20 y 26)]]="",Tabla1[[#This Row],[T.A. DIATOLICA (Entre semana 20 y 26)]]=""),"ACUDE A CONTROL SEM 20 A 26 REGISTRE TA AHORA",IF(AND(BS164&gt;1,BS164&lt;27,BU164&gt;19,Tabla1[[#This Row],[T.A. SISTOLICA (Entre semana 20 y 26)]]="",Tabla1[[#This Row],[T.A. DIATOLICA (Entre semana 20 y 26)]]=""),"COMPLETE REGISTRO TA CONTROL SEM 20 A26 ",IF(AND(BS164&gt;26,BS164&lt;43,Tabla1[[#This Row],[T.A. SISTOLICA (Entre semana 20 y 26)]]="",Tabla1[[#This Row],[T.A. DIATOLICA (Entre semana 20 y 26)]]=""),"NO APLICA REGISTRO TA-INGRESO TARDIO",IF(AND(OR(O164&gt;0,R164&gt;0),OR(CU164&gt;=140,CV164&gt;=90)),"ALTO RIESGO PREECLAMPSIA,DEFINIR ESTADIO HTA",IF(AND(OR(O164&gt;0,R164&gt;0),AND(CU164&gt;120,CU164&lt;=139)),"PRE HTA SEGUIMIENTO,RIESGO HIPERTENSION INDUCIDA POR EL EMBARAZO",IF(AND(OR(O164&gt;0,R164&gt;0),AND(CV164&gt;80,CV164&lt;=89)),"PRE HTA SEGUIMIENTO, RIESGO HIPERTENSION INDUCIDA POR EL EMBARAZO",IF(AND(OR(O164&lt;&gt;"",R164&lt;&gt;""),CS164&lt;&gt;"",CV164&lt;&gt;"",CS164&lt;=CV164),"VIGILAR CIFRAS PRESION ARTERIAL",IF(AND(OR(O164&gt;0,R164&gt;0),AND(CU164&gt;120,CU164&lt;=139)),"PRE HTA SEGUIMIENTO",IF(AND(OR(O164&gt;0,R164&gt;0),AND(CU164&gt;1,CU164&lt;=70),AND(CV164&gt;1,CV164&lt;=40)),"HIPOTENSIÓN",IF(AND(OR(O164&lt;&gt;"",R164&lt;&gt;""),CS164&lt;&gt;"",CV164&lt;&gt;"",CS164&gt;CV164),"APARENTEMENTE NORMAL",IF(AND(OR(O164&gt;0,R164&gt;0),AND(CU164&gt;=80,CU164&lt;=120)),"APARENTEMENTE NORMAL",IF(AND(OR(O164&gt;0,R164&gt;0),AND(CV164&gt;=50,CV164&lt;=80)),"APARENTEMENTE NORMAL","")))))))))))))</f>
        <v xml:space="preserve">COMPLETE REGISTRO TA CONTROL SEM 20 A26 </v>
      </c>
      <c r="CX164" s="21"/>
      <c r="CY164" s="21"/>
      <c r="CZ164" s="216" t="str">
        <f t="shared" si="688"/>
        <v/>
      </c>
      <c r="DA164" s="21">
        <v>90</v>
      </c>
      <c r="DB164" s="21">
        <v>60</v>
      </c>
      <c r="DC164" s="217" t="str">
        <f t="shared" si="610"/>
        <v>APARENTEMENTE NORMAL</v>
      </c>
      <c r="DD164" s="22">
        <v>45044</v>
      </c>
      <c r="DE164" s="22">
        <v>45044</v>
      </c>
      <c r="DF164" s="22">
        <v>45084</v>
      </c>
      <c r="DG164" s="22">
        <v>45114</v>
      </c>
      <c r="DH164" s="22"/>
      <c r="DI164" s="22"/>
      <c r="DJ164" s="22"/>
      <c r="DK164" s="22"/>
      <c r="DL164" s="22"/>
      <c r="DM164" s="22"/>
      <c r="DN164" s="22"/>
      <c r="DO164" s="22"/>
      <c r="DP164" s="22"/>
      <c r="DQ164" s="22"/>
      <c r="DR164" s="28">
        <v>1</v>
      </c>
      <c r="DS164" s="22"/>
      <c r="DT164" s="22"/>
      <c r="DU164" s="216" t="str">
        <f t="shared" ca="1" si="674"/>
        <v>PLANEAR PLAN DE PARTO</v>
      </c>
      <c r="DV164" s="226" t="str">
        <f t="shared" si="675"/>
        <v>ACTIVA INGRESO A CPN</v>
      </c>
      <c r="DW16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4" s="216" t="e">
        <f t="shared" ca="1" si="611"/>
        <v>#REF!</v>
      </c>
      <c r="DY164" s="212">
        <f>IF(R164="","",IF(R164&gt;0,MAX(Tabla1[[#This Row],[FECHA C2]:[FECHA C13]],Tabla1[[#This Row],[FECHA CONSULTA PRIMERA VEZ PROGRAMA CPN ]])))</f>
        <v>45114</v>
      </c>
      <c r="DZ164" s="216">
        <f t="shared" si="612"/>
        <v>16</v>
      </c>
      <c r="EA164" s="222">
        <f>IF(R164&gt;0,SUM(COUNTA(DF164:DQ164)+COUNTA(Tabla1[[#This Row],[FECHA CONSULTA PRIMERA VEZ PROGRAMA CPN ]])),"")</f>
        <v>3</v>
      </c>
      <c r="EB164" s="222" t="str">
        <f t="shared" si="613"/>
        <v>NO</v>
      </c>
      <c r="EC164" s="214">
        <f t="shared" si="614"/>
        <v>10</v>
      </c>
      <c r="ED164" s="227">
        <f t="shared" si="615"/>
        <v>0.3</v>
      </c>
      <c r="EE164" s="22">
        <v>45105</v>
      </c>
      <c r="EF164" s="22">
        <v>45044</v>
      </c>
      <c r="EG164" s="22">
        <v>45105</v>
      </c>
      <c r="EH164" s="22" t="s">
        <v>1636</v>
      </c>
      <c r="EI164" s="22" t="s">
        <v>1467</v>
      </c>
      <c r="EJ164" s="22">
        <v>45083</v>
      </c>
      <c r="EK164" s="22"/>
      <c r="EL164" s="21"/>
      <c r="EM164" s="21">
        <v>13</v>
      </c>
      <c r="EN164" s="22">
        <v>45044</v>
      </c>
      <c r="EO164" s="222">
        <f t="shared" si="616"/>
        <v>6.0285714285710128</v>
      </c>
      <c r="EP164" s="214" t="str">
        <f t="shared" si="617"/>
        <v>NORMAL- SUMINISTRAR SULFATO FERROSO</v>
      </c>
      <c r="EQ164" s="216" t="str">
        <f t="shared" si="618"/>
        <v>I TRIM</v>
      </c>
      <c r="ER164" s="24"/>
      <c r="ES164" s="22"/>
      <c r="ET164" s="29" t="str">
        <f t="shared" ca="1" si="676"/>
        <v>TOMA DE HEMOGLOBINA TARDÍA</v>
      </c>
      <c r="EU164" s="25" t="str">
        <f t="shared" si="619"/>
        <v/>
      </c>
      <c r="EV164" s="24" t="s">
        <v>1510</v>
      </c>
      <c r="EW164" s="32">
        <v>45044</v>
      </c>
      <c r="EX164" s="22"/>
      <c r="EY164" s="29">
        <f t="shared" si="691"/>
        <v>6.0285714285710128</v>
      </c>
      <c r="EZ164" s="25" t="str">
        <f t="shared" si="692"/>
        <v>SIN RIESGO DE ISOINMUNIZACIÓN</v>
      </c>
      <c r="FA164" s="21">
        <v>76</v>
      </c>
      <c r="FB164" s="22">
        <v>45044</v>
      </c>
      <c r="FC164" s="29">
        <f t="shared" si="620"/>
        <v>6.0285714285710128</v>
      </c>
      <c r="FD164" s="29"/>
      <c r="FE164" s="29"/>
      <c r="FF164" s="29"/>
      <c r="FG164" s="21" t="str">
        <f t="shared" ca="1" si="621"/>
        <v>TOMAR PTOG</v>
      </c>
      <c r="FH164" s="31"/>
      <c r="FI164" s="29" t="str">
        <f t="shared" si="622"/>
        <v>TOMAR EXAMEN</v>
      </c>
      <c r="FJ164" s="22" t="s">
        <v>867</v>
      </c>
      <c r="FK164" s="22">
        <v>45044</v>
      </c>
      <c r="FL164" s="29">
        <f t="shared" ca="1" si="623"/>
        <v>6.0285714285710128</v>
      </c>
      <c r="FM164" s="22"/>
      <c r="FN164" s="32"/>
      <c r="FO164" s="29" t="str">
        <f t="shared" ca="1" si="677"/>
        <v>PIERDE TOMA DE TAMIZAJE</v>
      </c>
      <c r="FP164" s="22"/>
      <c r="FQ164" s="32"/>
      <c r="FR164" s="29" t="str">
        <f t="shared" ca="1" si="678"/>
        <v>EN RANGO PARA TOMAR EXAMEN</v>
      </c>
      <c r="FS164" s="22"/>
      <c r="FT164" s="32"/>
      <c r="FU164" s="29" t="str">
        <f>IF(AND(FJ164="",FM164="",FP164="",FS164=""),"",IF(OR(OR(Tabla1[[#This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4" s="28"/>
      <c r="FW164" s="22"/>
      <c r="FX164" s="29" t="str">
        <f t="shared" si="624"/>
        <v>TOMAR EXAMEN</v>
      </c>
      <c r="FY164" s="22">
        <v>45044</v>
      </c>
      <c r="FZ164" s="22">
        <v>45044</v>
      </c>
      <c r="GA164" s="29">
        <f t="shared" ca="1" si="690"/>
        <v>6.0285714285710128</v>
      </c>
      <c r="GB164" s="22"/>
      <c r="GC164" s="22"/>
      <c r="GD164" s="29" t="str">
        <f t="shared" ca="1" si="679"/>
        <v>PIERDE TOMA DE TAMIZAJE</v>
      </c>
      <c r="GE164" s="22"/>
      <c r="GF164" s="22"/>
      <c r="GG164" s="29" t="str">
        <f t="shared" ca="1" si="680"/>
        <v>EN RANGO PARA TOMAR EXAMEN</v>
      </c>
      <c r="GH164" s="22"/>
      <c r="GI164" s="29"/>
      <c r="GJ164" s="22"/>
      <c r="GK164" s="22"/>
      <c r="GL164" s="22"/>
      <c r="GM164" s="22"/>
      <c r="GN164" s="28" t="s">
        <v>869</v>
      </c>
      <c r="GO164" s="22">
        <v>45044</v>
      </c>
      <c r="GP164" s="29">
        <f t="shared" si="625"/>
        <v>6.0285714285710128</v>
      </c>
      <c r="GQ164" s="28" t="s">
        <v>869</v>
      </c>
      <c r="GR164" s="28" t="s">
        <v>869</v>
      </c>
      <c r="GS164" s="22" t="str">
        <f t="shared" si="694"/>
        <v>CONTROL Igm</v>
      </c>
      <c r="GT164" s="22">
        <v>45044</v>
      </c>
      <c r="GU164" s="29">
        <f t="shared" si="627"/>
        <v>7</v>
      </c>
      <c r="GV164" s="21" t="str">
        <f t="shared" si="628"/>
        <v>I TRIM</v>
      </c>
      <c r="GW164" s="28" t="s">
        <v>869</v>
      </c>
      <c r="GX164" s="30"/>
      <c r="GY164" s="21"/>
      <c r="GZ164" s="21"/>
      <c r="HA164" s="21"/>
      <c r="HB164" s="21"/>
      <c r="HC164" s="21"/>
      <c r="HD164" s="21"/>
      <c r="HE164" s="21"/>
      <c r="HF164" s="22"/>
      <c r="HG164" s="22" t="str">
        <f>IF(OR(O164&gt;0,R164&gt;0),CONCATENATE(IF(Tabla1[[#This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4" s="22" t="e">
        <f t="shared" si="629"/>
        <v>#REF!</v>
      </c>
      <c r="HI164" s="22" t="e">
        <f t="shared" ca="1" si="630"/>
        <v>#REF!</v>
      </c>
      <c r="HJ164" s="21"/>
      <c r="HK164" s="21" t="str">
        <f t="shared" si="631"/>
        <v>SIN ANTECEDENTES DE RIESGO</v>
      </c>
      <c r="HL164" s="24" t="str">
        <f t="shared" si="632"/>
        <v>APARENTEMENTE NORMAL</v>
      </c>
      <c r="HM164" s="21" t="e">
        <f t="shared" ca="1" si="633"/>
        <v>#REF!</v>
      </c>
      <c r="HN164" s="30" t="str">
        <f t="shared" si="681"/>
        <v>ACTIVA INGRESO A CPN</v>
      </c>
      <c r="HO164" s="21"/>
      <c r="HP164" s="21"/>
      <c r="HQ164" s="349"/>
      <c r="HR164" s="21" t="str">
        <f>IF(R164="","",IF(Tabla1[[#This Row],[ALARMA FACTORES DE RIESGO COMPLICACIONES HIPERTENSIVAS3]]="SIN ANTECEDENTES DE RIESGO","No Aplica para suministro de ASA",IF(AND(Tabla1[[#This Row],[FECHA INICIO DE SUMINISTRO DE ASA]]&gt;0,RV164&lt;12),"Inicia ASA ANTES de Sem 12",IF(AND(RV164&gt;11,RV164&lt;17,OR(HK164="RIESGO ALTO DE COMPLICACIONES HIPERTENSIVAS VER MANEJO GUIA SUMINISTRO ASA Y CALCIO",HK164="RIESGO MODERADO (2 O MAS CRITERIOS) VER MANEJO GUIA SUMINISTRO ASA Y CALCIO")),"Inicio oportuno de ASA",IF(AND(RV164&gt;12,OR(HK164="RIESGO ALTO DE COMPLICACIONES HIPERTENSIVAS VER MANEJO GUIA SUMINISTRO ASA Y CALCIO",HK164="RIESGO MODERADO (2 O MAS CRITERIOS) VER MANEJO GUIA SUMINISTRO ASA Y CALCIO")),"Inicio no oportuno mayor a 16 semanas",IF(AND(BU164&lt;12,OR(HK164="RIESGO ALTO DE COMPLICACIONES HIPERTENSIVAS VER MANEJO GUIA SUMINISTRO ASA Y CALCIO",HK164="RIESGO MODERADO (2 O MAS CRITERIOS) VER MANEJO GUIA SUMINISTRO ASA Y CALCIO")),"Pendiente Inicio de ASA a la semana 12",IF(AND(BU164&gt;11,BU164&lt;17,OR(HK164="RIESGO ALTO DE COMPLICACIONES HIPERTENSIVAS VER MANEJO GUIA SUMINISTRO ASA Y CALCIO",HK164="RIESGO MODERADO (2 O MAS CRITERIOS) VER MANEJO GUIA SUMINISTRO ASA Y CALCIO")),"Iniciar de inmediato ASA",IF(AND(BU164&gt;16,OR(HK164="RIESGO ALTO DE COMPLICACIONES HIPERTENSIVAS VER MANEJO GUIA SUMINISTRO ASA Y CALCIO",HK164="RIESGO MODERADO (2 O MAS CRITERIOS) VER MANEJO GUIA SUMINISTRO ASA Y CALCIO")),"Pierde Oportunidad, Inicio tardío de ASA","XXXXX"))))))))</f>
        <v>No Aplica para suministro de ASA</v>
      </c>
      <c r="HS164" s="22"/>
      <c r="HT164" s="22"/>
      <c r="HU164" s="22">
        <v>45044</v>
      </c>
      <c r="HV164" s="22" t="s">
        <v>870</v>
      </c>
      <c r="HW164" s="22">
        <v>45044</v>
      </c>
      <c r="HX164" s="22" t="s">
        <v>870</v>
      </c>
      <c r="HY164" s="22">
        <v>45044</v>
      </c>
      <c r="HZ164" s="28">
        <f t="shared" si="634"/>
        <v>6.0285714285710128</v>
      </c>
      <c r="IA164" s="26"/>
      <c r="IB164" s="26"/>
      <c r="IC164" s="111"/>
      <c r="ID164" s="22"/>
      <c r="IE164" s="22" t="str">
        <f t="shared" ca="1" si="635"/>
        <v>INASISTENTE</v>
      </c>
      <c r="IF164" s="22"/>
      <c r="IG164" s="22">
        <f t="shared" si="636"/>
        <v>45281.8</v>
      </c>
      <c r="IH164" s="29">
        <f t="shared" ca="1" si="637"/>
        <v>48.80000000000291</v>
      </c>
      <c r="II164" s="22" t="str">
        <f t="shared" ca="1" si="638"/>
        <v>PENDIENTE</v>
      </c>
      <c r="IJ164" s="22"/>
      <c r="IK164" s="21"/>
      <c r="IL164" s="21"/>
      <c r="IM164" s="34"/>
      <c r="IN164" s="22"/>
      <c r="IO164" s="21"/>
      <c r="IP164" s="29" t="str">
        <f t="shared" si="672"/>
        <v/>
      </c>
      <c r="IQ164" s="35"/>
      <c r="IR164" s="21"/>
      <c r="IS164" s="21"/>
      <c r="IT164" s="21"/>
      <c r="IU164" s="21"/>
      <c r="IV164" s="21"/>
      <c r="IW164" s="21"/>
      <c r="IX164" s="21"/>
      <c r="IY164" s="21"/>
      <c r="IZ164" s="21"/>
      <c r="JA164" s="21"/>
      <c r="JB164" s="30"/>
      <c r="JC164" s="21"/>
      <c r="JD164" s="36"/>
      <c r="JE164" s="21" t="str">
        <f t="shared" si="682"/>
        <v/>
      </c>
      <c r="JF164" s="30"/>
      <c r="JG164" s="21"/>
      <c r="JH164" s="21"/>
      <c r="JI164" s="21"/>
      <c r="JJ164" s="30"/>
      <c r="JK164" s="22"/>
      <c r="JL164" s="22"/>
      <c r="JM164" s="21"/>
      <c r="JN164" s="36"/>
      <c r="JO164" s="21" t="str">
        <f t="shared" si="683"/>
        <v/>
      </c>
      <c r="JP164" s="22"/>
      <c r="JQ164" s="21"/>
      <c r="JR164" s="21"/>
      <c r="JS164" s="21"/>
      <c r="JT164" s="30"/>
      <c r="JU164" s="22"/>
      <c r="JV164" s="22"/>
      <c r="JW164" s="33"/>
      <c r="JX164" s="28" t="str">
        <f t="shared" si="684"/>
        <v/>
      </c>
      <c r="JY164" s="33"/>
      <c r="JZ164" s="28" t="str">
        <f t="shared" si="685"/>
        <v/>
      </c>
      <c r="KA164" s="21"/>
      <c r="KB164" s="21"/>
      <c r="KC164" s="21"/>
      <c r="KD164" s="37"/>
      <c r="KE164" s="28"/>
      <c r="KF164" s="28"/>
      <c r="KG164" s="28"/>
      <c r="KH164" s="39"/>
      <c r="KI164" s="39"/>
      <c r="KJ164" s="66"/>
      <c r="KK164" s="39"/>
      <c r="KL164" s="39"/>
      <c r="KM164" s="66"/>
      <c r="KN164" s="39"/>
      <c r="KO164" s="39"/>
      <c r="KP164" s="39"/>
      <c r="KQ164" s="39"/>
      <c r="KR164" s="39"/>
      <c r="KS164" s="39"/>
      <c r="KT164" s="39"/>
      <c r="KU164" s="38"/>
      <c r="KV164" s="38"/>
      <c r="KW164" s="38"/>
      <c r="KX164" s="38"/>
      <c r="KY164" s="38"/>
      <c r="KZ164" s="38"/>
      <c r="LA164" s="38"/>
      <c r="LB164" s="38"/>
      <c r="LC164" s="38"/>
      <c r="LD164" s="38"/>
      <c r="LE164" s="38"/>
      <c r="LF164" s="38"/>
      <c r="LG164" s="38"/>
      <c r="LH164" s="38"/>
      <c r="LI164" s="38"/>
      <c r="LJ164" s="38"/>
      <c r="LK164" s="38"/>
      <c r="LL164" s="38"/>
      <c r="LM164" s="38"/>
      <c r="LN164" s="38"/>
      <c r="LO164" s="38"/>
      <c r="LP164" s="38"/>
      <c r="LQ164" s="38"/>
      <c r="LR164" s="38"/>
      <c r="LS164" s="38"/>
      <c r="LT164" s="38"/>
      <c r="LU164" s="38"/>
      <c r="LV164" s="38"/>
      <c r="LW164" s="38"/>
      <c r="LX164" s="38"/>
      <c r="LY164" s="38"/>
      <c r="LZ164" s="38"/>
      <c r="MA164" s="38"/>
      <c r="MB164" s="38"/>
      <c r="MC164" s="38"/>
      <c r="MD164" s="38"/>
      <c r="ME164" s="38"/>
      <c r="MF164" s="38"/>
      <c r="MG164" s="38"/>
      <c r="MH164" s="43">
        <f t="shared" si="695"/>
        <v>0</v>
      </c>
      <c r="MI164" s="43" t="str">
        <f t="shared" si="696"/>
        <v/>
      </c>
      <c r="MJ164" s="43" t="str">
        <f t="shared" si="697"/>
        <v/>
      </c>
      <c r="MK164" s="43">
        <f t="shared" si="698"/>
        <v>0</v>
      </c>
      <c r="ML16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4" s="43">
        <f t="shared" si="699"/>
        <v>6.0285714285710128</v>
      </c>
      <c r="MN164" s="43">
        <f t="shared" si="700"/>
        <v>4</v>
      </c>
      <c r="MO164" s="43">
        <f t="shared" si="701"/>
        <v>2023</v>
      </c>
      <c r="MP164" s="43" t="str">
        <f t="shared" si="702"/>
        <v>II TRIMESTRE AÑO</v>
      </c>
      <c r="MQ164" s="43">
        <f t="shared" si="703"/>
        <v>19.352277704774419</v>
      </c>
      <c r="MR164" s="43">
        <f t="shared" si="704"/>
        <v>0</v>
      </c>
      <c r="MS164" s="43" t="str">
        <f t="shared" si="705"/>
        <v>DE 14 A 19AÑOS</v>
      </c>
      <c r="MT164" s="43">
        <f t="shared" si="706"/>
        <v>0</v>
      </c>
      <c r="MU164" s="43">
        <f t="shared" si="707"/>
        <v>1</v>
      </c>
      <c r="MV164" s="43">
        <f t="shared" si="708"/>
        <v>0</v>
      </c>
      <c r="MW164" s="43">
        <f t="shared" si="709"/>
        <v>0</v>
      </c>
      <c r="MX164" s="43" t="str">
        <f t="shared" si="710"/>
        <v/>
      </c>
      <c r="MY164" s="43" t="str">
        <f t="shared" ca="1" si="686"/>
        <v/>
      </c>
      <c r="MZ164" s="43" t="str">
        <f t="shared" si="711"/>
        <v/>
      </c>
      <c r="NA164" s="43" t="str">
        <f t="shared" si="712"/>
        <v/>
      </c>
      <c r="NB164" s="43" t="str">
        <f t="shared" si="713"/>
        <v/>
      </c>
      <c r="NC164" s="43" t="str">
        <f t="shared" si="714"/>
        <v/>
      </c>
      <c r="ND164" s="43">
        <f t="shared" ca="1" si="715"/>
        <v>1</v>
      </c>
      <c r="NE164" s="43">
        <f>IF(OR(O164&gt;0,R164&gt;0),SUM(COUNTIF(Tabla1[[#This Row],[AÑOS AL INICIO5 CPN]],"&gt;=40"),COUNTIF(AS164,"0"),COUNTIF(AR164,"SI"),COUNTIF(CC164,"SI"),COUNTIF(BQ164,"&gt;119"),COUNTIF(CI164,"&gt;=35")),"")</f>
        <v>0</v>
      </c>
      <c r="NF164" s="43" t="str">
        <f t="shared" si="716"/>
        <v/>
      </c>
      <c r="NG164" s="43">
        <f t="shared" si="717"/>
        <v>0</v>
      </c>
      <c r="NH164" s="43">
        <f t="shared" si="718"/>
        <v>81.2</v>
      </c>
      <c r="NI16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CPN",P164="NO"),"Z",IF(AND(Tabla1[[#This Row],[CITA PROXIMO CONTROL]]="CITA MANUAL",Tabla1[[#This Row],[GESTANTES ACTUALES]]="ACTIVA INGRESO A CPN"),"W",IF(AND(Tabla1[[#This Row],[GESTANTES ACTUALES]]="SALIO PROGRAMA",IN164=""),"S",IF(AND(Tabla1[[#This Row],[CITA PROXIMO CONTROL]]&gt;0,IN164=""),(Tabla1[[#This Row],[CITA PROXIMO CONTROL]]-TODAY()),"SD"))))))))</f>
        <v>#REF!</v>
      </c>
      <c r="NJ164" s="43">
        <f>MONTH(Tabla1[[#This Row],[FECHA DE SALIDA  DEL PROGRAMA]])</f>
        <v>1</v>
      </c>
      <c r="NK164" s="43">
        <f>YEAR(Tabla1[[#This Row],[FECHA DE SALIDA  DEL PROGRAMA]])</f>
        <v>1900</v>
      </c>
      <c r="NL164" s="43" t="e">
        <f t="shared" si="719"/>
        <v>#VALUE!</v>
      </c>
      <c r="NM164" s="43" t="str">
        <f t="shared" si="693"/>
        <v>NO</v>
      </c>
      <c r="NN164" s="43" t="str">
        <f ca="1">IF(AND(O164&gt;0,R164=""),"NO CPN",IF(AND(O164="",R164=""),"",IF(AND(R164&gt;0,Tabla1[[#This Row],[SEMANAS DE GESTACION ACTUALIZADAS]]&lt;=12),"NO APLICA",IF(AND(FH164&lt;&gt;"",FN164&lt;&gt;""),"SI","NO"))))</f>
        <v>NO</v>
      </c>
      <c r="NO164" s="43" t="str">
        <f ca="1">IF(AND(O164&gt;0,R164=""),"NO CPN",IF(AND(O164="",R164=""),"",IF(AND(R164&gt;0,Tabla1[[#This Row],[SEMANAS DE GESTACION ACTUALIZADAS]]&lt;=27),"NO APLICA",IF(AND(ES164&lt;&gt;"",FQ164&lt;&gt;"",GF164&lt;&gt;""),"SI","NO"))))</f>
        <v>NO</v>
      </c>
      <c r="NP164" s="204" t="str">
        <f t="shared" si="720"/>
        <v>I TRIM</v>
      </c>
      <c r="NQ164" s="21" t="str">
        <f t="shared" si="689"/>
        <v/>
      </c>
      <c r="NR164" s="21">
        <f t="shared" ca="1" si="687"/>
        <v>3</v>
      </c>
      <c r="NS164" s="205">
        <f t="shared" ca="1" si="721"/>
        <v>1</v>
      </c>
      <c r="NT164" s="21">
        <f t="shared" ca="1" si="722"/>
        <v>1</v>
      </c>
      <c r="NU164" s="21" t="str">
        <f t="shared" ca="1" si="723"/>
        <v>INCOMPLETO</v>
      </c>
      <c r="NV164" s="21" t="str">
        <f t="shared" ca="1" si="724"/>
        <v>INCOMPLETO</v>
      </c>
      <c r="NW164" s="206" t="str">
        <f>IF(AND(O164="",R164=""),"",IF(OR(AND(Tabla1[[#This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4" s="207" t="str">
        <f t="shared" ca="1" si="725"/>
        <v>SIN VACUNAR</v>
      </c>
      <c r="NY164" s="43">
        <f>ROW(Tabla1[[#This Row],['# DE TAMIZAJES SIFILIS TOMADOS ]])</f>
        <v>164</v>
      </c>
      <c r="NZ164" s="43" t="str">
        <f t="shared" si="501"/>
        <v>Menor</v>
      </c>
      <c r="OA164" s="43" t="str">
        <f t="shared" si="502"/>
        <v>NORMAL</v>
      </c>
      <c r="OB164" s="43" t="str">
        <f t="shared" si="503"/>
        <v/>
      </c>
      <c r="OC164" s="43" t="str">
        <f t="shared" si="504"/>
        <v/>
      </c>
      <c r="OD164" s="43" t="str">
        <f t="shared" si="505"/>
        <v/>
      </c>
      <c r="OE164" s="43" t="str">
        <f t="shared" si="506"/>
        <v/>
      </c>
      <c r="OF164" s="43" t="str">
        <f t="shared" si="507"/>
        <v/>
      </c>
      <c r="OG164" s="43" t="str">
        <f t="shared" si="508"/>
        <v/>
      </c>
      <c r="OH164" s="43" t="str">
        <f t="shared" si="509"/>
        <v/>
      </c>
      <c r="OI164" s="43" t="str">
        <f t="shared" si="510"/>
        <v/>
      </c>
      <c r="OJ164" s="43" t="str">
        <f t="shared" si="511"/>
        <v/>
      </c>
      <c r="OK164" s="43" t="str">
        <f t="shared" si="512"/>
        <v/>
      </c>
      <c r="OL164" s="43" t="str">
        <f t="shared" si="513"/>
        <v/>
      </c>
      <c r="OM164" s="43" t="str">
        <f t="shared" si="514"/>
        <v/>
      </c>
      <c r="ON164" s="43" t="str">
        <f t="shared" si="515"/>
        <v/>
      </c>
      <c r="OO164" s="43" t="str">
        <f t="shared" si="516"/>
        <v/>
      </c>
      <c r="OP164" s="43" t="str">
        <f t="shared" si="517"/>
        <v/>
      </c>
      <c r="OQ164" s="43" t="str">
        <f t="shared" si="518"/>
        <v/>
      </c>
      <c r="OR164" s="43" t="str">
        <f t="shared" si="519"/>
        <v/>
      </c>
      <c r="OS164" s="43" t="str">
        <f t="shared" si="520"/>
        <v/>
      </c>
      <c r="OT164" s="43" t="str">
        <f t="shared" si="521"/>
        <v/>
      </c>
      <c r="OU164" s="43" t="str">
        <f t="shared" si="522"/>
        <v/>
      </c>
      <c r="OV164" s="110" t="str">
        <f t="shared" si="523"/>
        <v/>
      </c>
      <c r="OW164" s="43" t="str">
        <f t="shared" si="524"/>
        <v/>
      </c>
      <c r="OX164" s="43" t="str">
        <f t="shared" si="525"/>
        <v/>
      </c>
      <c r="OY164" s="43" t="str">
        <f t="shared" si="526"/>
        <v/>
      </c>
      <c r="OZ164" s="43" t="str">
        <f t="shared" si="527"/>
        <v/>
      </c>
      <c r="PA164" s="43" t="str">
        <f t="shared" si="528"/>
        <v/>
      </c>
      <c r="PB164" s="43" t="str">
        <f t="shared" si="529"/>
        <v/>
      </c>
      <c r="PC164" s="43" t="str">
        <f t="shared" si="530"/>
        <v/>
      </c>
      <c r="PD164" s="43" t="str">
        <f t="shared" si="531"/>
        <v/>
      </c>
      <c r="PE164" s="43" t="str">
        <f t="shared" si="532"/>
        <v/>
      </c>
      <c r="PF164" s="43" t="str">
        <f t="shared" si="533"/>
        <v/>
      </c>
      <c r="PG164" s="43" t="str">
        <f t="shared" si="534"/>
        <v/>
      </c>
      <c r="PH164" s="43" t="str">
        <f t="shared" si="535"/>
        <v/>
      </c>
      <c r="PI164" s="43">
        <f t="shared" si="536"/>
        <v>16</v>
      </c>
      <c r="PJ164" s="43" t="str">
        <f t="shared" si="537"/>
        <v/>
      </c>
      <c r="PK164" s="43" t="str">
        <f t="shared" si="538"/>
        <v/>
      </c>
      <c r="PL164" s="43" t="str">
        <f t="shared" si="539"/>
        <v/>
      </c>
      <c r="PM164" s="43" t="str">
        <f t="shared" si="540"/>
        <v/>
      </c>
      <c r="PN164" s="43" t="str">
        <f t="shared" si="541"/>
        <v/>
      </c>
      <c r="PO164" s="43" t="str">
        <f t="shared" si="542"/>
        <v/>
      </c>
      <c r="PP164" s="43" t="str">
        <f t="shared" si="543"/>
        <v/>
      </c>
      <c r="PQ164" s="43" t="str">
        <f t="shared" si="544"/>
        <v>NORMAL</v>
      </c>
      <c r="PR164" s="43" t="str">
        <f t="shared" si="545"/>
        <v/>
      </c>
      <c r="PS164" s="43" t="str">
        <f t="shared" si="546"/>
        <v/>
      </c>
      <c r="PT164" s="43" t="str">
        <f t="shared" si="547"/>
        <v/>
      </c>
      <c r="PU164" s="43" t="str">
        <f t="shared" si="548"/>
        <v/>
      </c>
      <c r="PV164" s="43" t="str">
        <f t="shared" si="549"/>
        <v/>
      </c>
      <c r="PW164" s="43" t="str">
        <f t="shared" si="550"/>
        <v/>
      </c>
      <c r="PX164" s="43" t="str">
        <f t="shared" si="551"/>
        <v/>
      </c>
      <c r="PY164" s="43" t="str">
        <f t="shared" si="552"/>
        <v/>
      </c>
      <c r="PZ164" s="43" t="str">
        <f t="shared" si="553"/>
        <v/>
      </c>
      <c r="QA164" s="43" t="str">
        <f t="shared" si="554"/>
        <v/>
      </c>
      <c r="QB164" s="43" t="str">
        <f t="shared" si="555"/>
        <v/>
      </c>
      <c r="QC164" s="43" t="str">
        <f t="shared" si="556"/>
        <v/>
      </c>
      <c r="QD164" s="43" t="str">
        <f t="shared" si="557"/>
        <v/>
      </c>
      <c r="QE164" s="43" t="str">
        <f t="shared" si="558"/>
        <v/>
      </c>
      <c r="QF164" s="43" t="str">
        <f t="shared" si="559"/>
        <v/>
      </c>
      <c r="QG164" s="43" t="str">
        <f t="shared" si="560"/>
        <v/>
      </c>
      <c r="QH164" s="43" t="str">
        <f t="shared" si="561"/>
        <v/>
      </c>
      <c r="QI164" s="43" t="str">
        <f t="shared" si="562"/>
        <v/>
      </c>
      <c r="QJ164" s="43" t="str">
        <f t="shared" si="563"/>
        <v/>
      </c>
      <c r="QK164" s="43" t="str">
        <f t="shared" si="564"/>
        <v/>
      </c>
      <c r="QL164" s="43" t="str">
        <f t="shared" si="565"/>
        <v/>
      </c>
      <c r="QM164" s="43" t="str">
        <f t="shared" si="566"/>
        <v/>
      </c>
      <c r="QN164" s="43" t="str">
        <f t="shared" si="567"/>
        <v/>
      </c>
      <c r="QO164" s="43" t="str">
        <f t="shared" si="568"/>
        <v/>
      </c>
      <c r="QP164" s="43" t="str">
        <f t="shared" si="569"/>
        <v/>
      </c>
      <c r="QQ164" s="43" t="str">
        <f t="shared" si="570"/>
        <v/>
      </c>
      <c r="QR164" s="43">
        <f t="shared" si="670"/>
        <v>16</v>
      </c>
      <c r="QS164" s="43"/>
      <c r="QT164" s="21" t="str">
        <f t="shared" si="571"/>
        <v/>
      </c>
      <c r="QU164" s="21" t="str">
        <f t="shared" si="572"/>
        <v/>
      </c>
      <c r="QV164" s="21" t="str">
        <f t="shared" si="573"/>
        <v/>
      </c>
      <c r="QW164" s="21" t="str">
        <f t="shared" si="574"/>
        <v>ADECUADO PARA EDAD GESTACIONAL</v>
      </c>
      <c r="QX164" s="21" t="str">
        <f t="shared" si="575"/>
        <v/>
      </c>
      <c r="QY164" s="21" t="str">
        <f t="shared" si="576"/>
        <v/>
      </c>
      <c r="QZ164" s="21" t="str">
        <f t="shared" si="577"/>
        <v/>
      </c>
      <c r="RA164" s="21" t="str">
        <f t="shared" si="578"/>
        <v/>
      </c>
      <c r="RB164" s="21" t="str">
        <f t="shared" si="579"/>
        <v/>
      </c>
      <c r="RC164" s="21" t="str">
        <f t="shared" si="580"/>
        <v/>
      </c>
      <c r="RD164" s="21" t="str">
        <f t="shared" si="581"/>
        <v/>
      </c>
      <c r="RE164" s="21" t="str">
        <f t="shared" si="582"/>
        <v/>
      </c>
      <c r="RF164" s="21" t="str">
        <f t="shared" si="583"/>
        <v/>
      </c>
      <c r="RG164" s="21" t="str">
        <f t="shared" si="584"/>
        <v/>
      </c>
      <c r="RH164" s="21" t="str">
        <f t="shared" si="585"/>
        <v/>
      </c>
      <c r="RI164" s="21" t="str">
        <f t="shared" si="586"/>
        <v/>
      </c>
      <c r="RJ164" s="21" t="str">
        <f t="shared" si="587"/>
        <v/>
      </c>
      <c r="RK164" s="21" t="str">
        <f t="shared" si="588"/>
        <v/>
      </c>
      <c r="RL164" s="21" t="str">
        <f t="shared" si="589"/>
        <v/>
      </c>
      <c r="RM164" s="21" t="str">
        <f t="shared" si="590"/>
        <v/>
      </c>
      <c r="RN164" s="21" t="str">
        <f t="shared" si="591"/>
        <v/>
      </c>
      <c r="RO164" s="21" t="str">
        <f t="shared" si="592"/>
        <v/>
      </c>
      <c r="RP164" s="21" t="str">
        <f t="shared" si="593"/>
        <v/>
      </c>
      <c r="RQ164" s="21" t="str">
        <f t="shared" si="594"/>
        <v/>
      </c>
      <c r="RR164" s="21" t="str">
        <f t="shared" si="595"/>
        <v/>
      </c>
      <c r="RS164" s="21" t="str">
        <f t="shared" si="596"/>
        <v/>
      </c>
      <c r="RT164" s="21" t="str">
        <f t="shared" si="597"/>
        <v/>
      </c>
      <c r="RU164" s="21" t="str">
        <f t="shared" si="598"/>
        <v/>
      </c>
      <c r="RV164" s="21">
        <f t="shared" si="599"/>
        <v>-1</v>
      </c>
      <c r="RW164" s="284">
        <f>IF(OR(Tabla1[[#This Row],[FUM FORMULA CONFIABLE]]="",Tabla1[[#This Row],[FUM FORMULA CONFIABLE]]="SD"),"",IF(Tabla1[[#This Row],[FUM FORMULA CONFIABLE]]="CORREGIDA",Tabla1[[#This Row],[FUM X ECO 1]],Tabla1[[#This Row],[FUM x AMENORREA]]))</f>
        <v>45001.8</v>
      </c>
      <c r="RX164" s="21">
        <f>IF(AND(Tabla1[[#This Row],[FUM X ECO 1]]="",Tabla1[[#This Row],[FUM x AMENORREA]]=""),"",IF(AND(Tabla1[[#This Row],[FUM X ECO 1]]="",Tabla1[[#This Row],[FUM x AMENORREA]]&lt;&gt;""),"X",SUM(Tabla1[[#This Row],[FUM X ECO 1]]-Tabla1[[#This Row],[FUM x AMENORREA]])))</f>
        <v>6.8000000000029104</v>
      </c>
      <c r="RY164" s="21">
        <f t="shared" si="671"/>
        <v>1</v>
      </c>
    </row>
    <row r="165" spans="1:493" ht="45" customHeight="1" x14ac:dyDescent="0.25">
      <c r="A165" s="109"/>
      <c r="B165" s="43"/>
      <c r="C165" s="43" t="s">
        <v>845</v>
      </c>
      <c r="D165" s="124"/>
      <c r="E165" s="43" t="s">
        <v>943</v>
      </c>
      <c r="F165" s="43" t="s">
        <v>1144</v>
      </c>
      <c r="G165" s="43" t="s">
        <v>1468</v>
      </c>
      <c r="H165" s="43" t="s">
        <v>1281</v>
      </c>
      <c r="I165" s="109" t="s">
        <v>851</v>
      </c>
      <c r="J165" s="110">
        <v>1059607505</v>
      </c>
      <c r="K165" s="43" t="s">
        <v>852</v>
      </c>
      <c r="L165" s="175" t="s">
        <v>1509</v>
      </c>
      <c r="M165" s="22">
        <v>36347</v>
      </c>
      <c r="N165" s="213">
        <f t="shared" ca="1" si="600"/>
        <v>24.345205479452055</v>
      </c>
      <c r="O165" s="22">
        <v>45045</v>
      </c>
      <c r="P165" s="214" t="str">
        <f t="shared" si="673"/>
        <v>SI</v>
      </c>
      <c r="Q165" s="26" t="s">
        <v>855</v>
      </c>
      <c r="R165" s="22">
        <v>45045</v>
      </c>
      <c r="S165" s="21" t="s">
        <v>856</v>
      </c>
      <c r="T165" s="24" t="s">
        <v>690</v>
      </c>
      <c r="U165" s="21" t="s">
        <v>857</v>
      </c>
      <c r="V165" s="21" t="s">
        <v>858</v>
      </c>
      <c r="W165" s="21" t="s">
        <v>1469</v>
      </c>
      <c r="X165" s="21"/>
      <c r="Y165" s="21" t="s">
        <v>859</v>
      </c>
      <c r="Z165" s="21">
        <v>3153469684</v>
      </c>
      <c r="AA165" s="21" t="s">
        <v>860</v>
      </c>
      <c r="AB165" s="27" t="s">
        <v>861</v>
      </c>
      <c r="AC165" s="26" t="s">
        <v>888</v>
      </c>
      <c r="AD165" s="38" t="s">
        <v>1546</v>
      </c>
      <c r="AE165" s="26" t="s">
        <v>854</v>
      </c>
      <c r="AF165" s="26" t="s">
        <v>854</v>
      </c>
      <c r="AG165" s="23" t="s">
        <v>864</v>
      </c>
      <c r="AH165" s="23" t="s">
        <v>864</v>
      </c>
      <c r="AI165" s="24" t="s">
        <v>863</v>
      </c>
      <c r="AJ165" s="23" t="s">
        <v>864</v>
      </c>
      <c r="AK165" s="220" t="str">
        <f>IF(AND(AD165="",AE165="",AF165="",AG165="",AH165="",AI165="",AJ165=""),"",IF(OR(Tabla1[[#This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EVALUACIÓN",IF(AND(O165="",R165=""),"",IF(AND(OR(O165&gt;0,R165&gt;0),NG165&gt;=0,NG165&lt;2),"SIN RIESGO",IF(AND(OR(O165&gt;0,R165&gt;0),NG165&gt;=2),"CON RIESGO","ASD")))))</f>
        <v>SIN RIESGO</v>
      </c>
      <c r="AL165" s="23" t="s">
        <v>864</v>
      </c>
      <c r="AM165" s="26" t="s">
        <v>864</v>
      </c>
      <c r="AN165" s="26" t="s">
        <v>864</v>
      </c>
      <c r="AO165" s="26" t="s">
        <v>864</v>
      </c>
      <c r="AP165" s="26" t="s">
        <v>864</v>
      </c>
      <c r="AQ165" s="26" t="s">
        <v>864</v>
      </c>
      <c r="AR165" s="26" t="s">
        <v>864</v>
      </c>
      <c r="AS165" s="21">
        <v>1</v>
      </c>
      <c r="AT165" s="21">
        <v>1</v>
      </c>
      <c r="AU165" s="21">
        <v>0</v>
      </c>
      <c r="AV165" s="26" t="s">
        <v>864</v>
      </c>
      <c r="AW165" s="21">
        <v>0</v>
      </c>
      <c r="AX165" s="26" t="s">
        <v>864</v>
      </c>
      <c r="AY165" s="26" t="s">
        <v>864</v>
      </c>
      <c r="AZ165" s="26" t="s">
        <v>864</v>
      </c>
      <c r="BA165" s="26" t="s">
        <v>864</v>
      </c>
      <c r="BB165" s="26" t="s">
        <v>864</v>
      </c>
      <c r="BC165" s="26" t="s">
        <v>864</v>
      </c>
      <c r="BD165" s="26" t="s">
        <v>864</v>
      </c>
      <c r="BE165" s="26" t="s">
        <v>864</v>
      </c>
      <c r="BF165" s="26" t="s">
        <v>864</v>
      </c>
      <c r="BG165" s="26" t="s">
        <v>864</v>
      </c>
      <c r="BH165" s="26" t="s">
        <v>864</v>
      </c>
      <c r="BI165" s="26" t="s">
        <v>864</v>
      </c>
      <c r="BJ165" s="26" t="s">
        <v>864</v>
      </c>
      <c r="BK165" s="26" t="s">
        <v>864</v>
      </c>
      <c r="BL165" s="26" t="s">
        <v>864</v>
      </c>
      <c r="BM165" s="26" t="s">
        <v>864</v>
      </c>
      <c r="BN165" s="22">
        <v>43849</v>
      </c>
      <c r="BO165" s="22">
        <v>44944</v>
      </c>
      <c r="BP165" s="21" t="s">
        <v>1380</v>
      </c>
      <c r="BQ165" s="222">
        <f t="shared" si="601"/>
        <v>36.333333333333336</v>
      </c>
      <c r="BR165" s="223">
        <f t="shared" si="602"/>
        <v>44939</v>
      </c>
      <c r="BS165" s="224">
        <f t="shared" si="603"/>
        <v>15.142857142857142</v>
      </c>
      <c r="BT165" s="216" t="str">
        <f t="shared" si="604"/>
        <v>II TRIM</v>
      </c>
      <c r="BU165" s="214">
        <f t="shared" ca="1" si="605"/>
        <v>42</v>
      </c>
      <c r="BV165" s="25" t="s">
        <v>988</v>
      </c>
      <c r="BW165" s="22">
        <v>45121</v>
      </c>
      <c r="BX165" s="28">
        <v>26</v>
      </c>
      <c r="BY165" s="28"/>
      <c r="BZ165" s="22"/>
      <c r="CA165" s="21"/>
      <c r="CB165" s="26" t="s">
        <v>864</v>
      </c>
      <c r="CC165" s="26" t="s">
        <v>864</v>
      </c>
      <c r="CD165" s="26" t="s">
        <v>878</v>
      </c>
      <c r="CE165" s="26" t="s">
        <v>864</v>
      </c>
      <c r="CF165" s="22" t="s">
        <v>1517</v>
      </c>
      <c r="CG165" s="21">
        <v>1.46</v>
      </c>
      <c r="CH165" s="21">
        <v>48</v>
      </c>
      <c r="CI165" s="214">
        <f t="shared" si="606"/>
        <v>22.518296115593923</v>
      </c>
      <c r="CJ165" s="225" t="e">
        <f>IF(AND(CI165&lt;10,CH165="SD"),"SIN DATO PESO PREGESTACION O I TRIM",IF(AND(OR(R165&gt;0,O165&gt;0),CI165="X"),"INGRESAR DATO DE PESO",IF(CI165="SD","INGRESAR DATO DE TALLA Y PESO",IF(AND(OR(Tabla1[[#This Row],[MOMENTO EN QUE SE REALIZA EL PESO AL INGRESO A CPN]]="PREGESTACIÓN",NZ165="Menor"),CI165&lt;18.5),"BAJO PESO",IF(AND(OR(Tabla1[[#This Row],[MOMENTO EN QUE SE REALIZA EL PESO AL INGRESO A CPN]]="PREGESTACIÓN",NZ165="Menor"),CI165&lt;25),"NORMAL",IF(AND(OR(Tabla1[[#This Row],[MOMENTO EN QUE SE REALIZA EL PESO AL INGRESO A CPN]]="PREGESTACIÓN",NZ165="Menor"),CI165&lt;30),"SOBREPESO",IF(AND(OR(Tabla1[[#This Row],[MOMENTO EN QUE SE REALIZA EL PESO AL INGRESO A CPN]]="PREGESTACIÓN",NZ165="Menor"),CI165&gt;=30,CI165&lt;50),"OBESIDAD",IF(AND(BS165&gt;0,Tabla1[[#This Row],[MOMENTO EN QUE SE REALIZA EL PESO AL INGRESO A CPN]]="GESTACIÓN"),HLOOKUP(NZ165,$OA$2:PH165,NY165),""))))))))</f>
        <v>#REF!</v>
      </c>
      <c r="CK165" s="212">
        <f t="shared" si="607"/>
        <v>45118</v>
      </c>
      <c r="CL165" s="21">
        <v>54.2</v>
      </c>
      <c r="CM165" s="214">
        <f t="shared" si="608"/>
        <v>25.42690936385814</v>
      </c>
      <c r="CN165" s="216">
        <f t="shared" si="609"/>
        <v>25</v>
      </c>
      <c r="CO165" s="216" t="e">
        <f>IF(PI165="","",IF(PI165&gt;0,HLOOKUP(PI165,$PJ$2:QQ165,NY165),""))</f>
        <v>#REF!</v>
      </c>
      <c r="CP165" s="21">
        <v>26</v>
      </c>
      <c r="CQ165" s="216" t="e">
        <f>IF(QR165="Menor","NO APLICA-MENOR 13 SEM",IF(AND(CC165="SI",CN165&gt;23),"NO APLICA- GEMELAR",IF(QR165="","",IF(QR165&gt;0,HLOOKUP(QR165,$QS$2:RU165,NY165),""))))</f>
        <v>#REF!</v>
      </c>
      <c r="CR165" s="21"/>
      <c r="CS165" s="21"/>
      <c r="CT165" s="217" t="str">
        <f>IF(R165="","",IF(AND(BS165&gt;1,BS165&lt;12,Tabla1[[#This Row],[T.A. SISTOLICA - ANTES DE SEMANA 12]]="",Tabla1[[#This Row],[T.A. DIASTOLICA - ANTES DE SEMANA 12]]=""),"REGISTRE DATO TA ANTES SEMANA 12",IF(AND(BS165&gt;11,BS165&lt;43,Tabla1[[#This Row],[T.A. SISTOLICA - ANTES DE SEMANA 12]]="",Tabla1[[#This Row],[T.A. DIASTOLICA - ANTES DE SEMANA 12]]=""),"NO APLICA REGISTRO TA-INGRESO TARDIO",IF(AND(OR(O165&gt;0,R165&gt;0),OR(CR165&gt;=140,CS165&gt;=90)),"DEFINIR ESTADIO HTA",IF(AND(OR(O165&gt;0,R165&gt;0),AND(CR165&gt;120,CR165&lt;=139)),"PRE HTA SEGUIMIENTO",IF(AND(OR(O165&gt;0,R165&gt;0),AND(CS165&gt;80,CS165&lt;=89)),"PRE HTA SEGUIMIENTO",IF(AND(OR(O165&gt;0,R165&gt;0),AND(CR165&gt;=80,CR165&lt;=120)),"APARENTEMENTE NORMAL",IF(AND(OR(O165&gt;0,R165&gt;0),AND(CS165&gt;=50,CS165&lt;=80)),"APARENTEMENTE NORMAL",IF(AND(OR(O165&gt;0,R165&gt;0),AND(CR165&gt;1,CR165&lt;=70),AND(CS165&gt;1,CS165&lt;=40)),"HIPOTENSIÓN","")))))))))</f>
        <v>NO APLICA REGISTRO TA-INGRESO TARDIO</v>
      </c>
      <c r="CU165" s="21">
        <v>90</v>
      </c>
      <c r="CV165" s="21">
        <v>60</v>
      </c>
      <c r="CW165" s="217" t="str">
        <f ca="1">IF(R165="","",IF(AND(CN165&gt;19,CN165&lt;27,Tabla1[[#This Row],[T.A. SISTOLICA (Entre semana 20 y 26)]]="",Tabla1[[#This Row],[T.A. DIATOLICA (Entre semana 20 y 26)]]=""),"ACUDE A CONTROL SEM 20 A 26 REGISTRE TA AHORA",IF(AND(BS165&gt;1,BS165&lt;27,BU165&gt;19,Tabla1[[#This Row],[T.A. SISTOLICA (Entre semana 20 y 26)]]="",Tabla1[[#This Row],[T.A. DIATOLICA (Entre semana 20 y 26)]]=""),"COMPLETE REGISTRO TA CONTROL SEM 20 A26 ",IF(AND(BS165&gt;26,BS165&lt;43,Tabla1[[#This Row],[T.A. SISTOLICA (Entre semana 20 y 26)]]="",Tabla1[[#This Row],[T.A. DIATOLICA (Entre semana 20 y 26)]]=""),"NO APLICA REGISTRO TA-INGRESO TARDIO",IF(AND(OR(O165&gt;0,R165&gt;0),OR(CU165&gt;=140,CV165&gt;=90)),"ALTO RIESGO PREECLAMPSIA,DEFINIR ESTADIO HTA",IF(AND(OR(O165&gt;0,R165&gt;0),AND(CU165&gt;120,CU165&lt;=139)),"PRE HTA SEGUIMIENTO,RIESGO HIPERTENSION INDUCIDA POR EL EMBARAZO",IF(AND(OR(O165&gt;0,R165&gt;0),AND(CV165&gt;80,CV165&lt;=89)),"PRE HTA SEGUIMIENTO, RIESGO HIPERTENSION INDUCIDA POR EL EMBARAZO",IF(AND(OR(O165&lt;&gt;"",R165&lt;&gt;""),CS165&lt;&gt;"",CV165&lt;&gt;"",CS165&lt;=CV165),"VIGILAR CIFRAS PRESION ARTERIAL",IF(AND(OR(O165&gt;0,R165&gt;0),AND(CU165&gt;120,CU165&lt;=139)),"PRE HTA SEGUIMIENTO",IF(AND(OR(O165&gt;0,R165&gt;0),AND(CU165&gt;1,CU165&lt;=70),AND(CV165&gt;1,CV165&lt;=40)),"HIPOTENSIÓN",IF(AND(OR(O165&lt;&gt;"",R165&lt;&gt;""),CS165&lt;&gt;"",CV165&lt;&gt;"",CS165&gt;CV165),"APARENTEMENTE NORMAL",IF(AND(OR(O165&gt;0,R165&gt;0),AND(CU165&gt;=80,CU165&lt;=120)),"APARENTEMENTE NORMAL",IF(AND(OR(O165&gt;0,R165&gt;0),AND(CV165&gt;=50,CV165&lt;=80)),"APARENTEMENTE NORMAL","")))))))))))))</f>
        <v>APARENTEMENTE NORMAL</v>
      </c>
      <c r="CX165" s="21"/>
      <c r="CY165" s="21"/>
      <c r="CZ165" s="216" t="str">
        <f t="shared" si="688"/>
        <v/>
      </c>
      <c r="DA165" s="21">
        <v>100</v>
      </c>
      <c r="DB165" s="21">
        <v>60</v>
      </c>
      <c r="DC165" s="217" t="str">
        <f t="shared" si="610"/>
        <v>APARENTEMENTE NORMAL</v>
      </c>
      <c r="DD165" s="22">
        <v>45045</v>
      </c>
      <c r="DE165" s="22">
        <v>45045</v>
      </c>
      <c r="DF165" s="22">
        <v>45118</v>
      </c>
      <c r="DG165" s="22"/>
      <c r="DH165" s="22"/>
      <c r="DI165" s="22"/>
      <c r="DJ165" s="22"/>
      <c r="DK165" s="22"/>
      <c r="DL165" s="22"/>
      <c r="DM165" s="22"/>
      <c r="DN165" s="22"/>
      <c r="DO165" s="22"/>
      <c r="DP165" s="22"/>
      <c r="DQ165" s="22"/>
      <c r="DR165" s="28">
        <v>1</v>
      </c>
      <c r="DS165" s="22"/>
      <c r="DT165" s="22"/>
      <c r="DU165" s="216" t="str">
        <f t="shared" ca="1" si="674"/>
        <v>CONCERTAR PLAN DE PARTO INMEDIATO</v>
      </c>
      <c r="DV165" s="226" t="str">
        <f t="shared" si="675"/>
        <v>ACTIVA INGRESO A CPN</v>
      </c>
      <c r="DW16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5" s="216" t="e">
        <f t="shared" ca="1" si="611"/>
        <v>#REF!</v>
      </c>
      <c r="DY165" s="212">
        <f>IF(R165="","",IF(R165&gt;0,MAX(Tabla1[[#This Row],[FECHA C2]:[FECHA C13]],Tabla1[[#This Row],[FECHA CONSULTA PRIMERA VEZ PROGRAMA CPN ]])))</f>
        <v>45118</v>
      </c>
      <c r="DZ165" s="216">
        <f t="shared" si="612"/>
        <v>25</v>
      </c>
      <c r="EA165" s="222">
        <f>IF(R165&gt;0,SUM(COUNTA(DF165:DQ165)+COUNTA(Tabla1[[#This Row],[FECHA CONSULTA PRIMERA VEZ PROGRAMA CPN ]])),"")</f>
        <v>2</v>
      </c>
      <c r="EB165" s="222" t="str">
        <f t="shared" si="613"/>
        <v>NO</v>
      </c>
      <c r="EC165" s="214">
        <f t="shared" si="614"/>
        <v>8</v>
      </c>
      <c r="ED165" s="227">
        <f t="shared" si="615"/>
        <v>0.25</v>
      </c>
      <c r="EE165" s="22">
        <v>45045</v>
      </c>
      <c r="EF165" s="22"/>
      <c r="EG165" s="22">
        <v>45045</v>
      </c>
      <c r="EH165" s="22"/>
      <c r="EI165" s="22">
        <v>45045</v>
      </c>
      <c r="EJ165" s="22"/>
      <c r="EK165" s="22"/>
      <c r="EL165" s="21"/>
      <c r="EM165" s="21">
        <v>11.6</v>
      </c>
      <c r="EN165" s="22">
        <v>45121</v>
      </c>
      <c r="EO165" s="222">
        <f t="shared" si="616"/>
        <v>26</v>
      </c>
      <c r="EP165" s="214" t="str">
        <f t="shared" si="617"/>
        <v>NORMAL- SUMINISTRAR SULFATO FERROSO</v>
      </c>
      <c r="EQ165" s="216" t="str">
        <f t="shared" si="618"/>
        <v>II TRIM</v>
      </c>
      <c r="ER165" s="24"/>
      <c r="ES165" s="22"/>
      <c r="ET165" s="29" t="str">
        <f t="shared" ca="1" si="676"/>
        <v>TOMA DE HEMOGLOBINA TARDÍA</v>
      </c>
      <c r="EU165" s="25" t="str">
        <f t="shared" si="619"/>
        <v/>
      </c>
      <c r="EV165" s="24"/>
      <c r="EW165" s="24"/>
      <c r="EX165" s="22"/>
      <c r="EY165" s="29" t="str">
        <f t="shared" si="691"/>
        <v>TOMAR EXAMEN</v>
      </c>
      <c r="EZ165" s="25" t="str">
        <f t="shared" ca="1" si="692"/>
        <v/>
      </c>
      <c r="FA165" s="21"/>
      <c r="FB165" s="22"/>
      <c r="FC165" s="29" t="str">
        <f t="shared" si="620"/>
        <v>TOMAR EXAMEN</v>
      </c>
      <c r="FD165" s="29"/>
      <c r="FE165" s="29"/>
      <c r="FF165" s="29"/>
      <c r="FG165" s="21" t="str">
        <f t="shared" ca="1" si="621"/>
        <v>TOMAR PTOG</v>
      </c>
      <c r="FH165" s="31"/>
      <c r="FI165" s="29" t="str">
        <f t="shared" si="622"/>
        <v>TOMAR EXAMEN</v>
      </c>
      <c r="FJ165" s="22"/>
      <c r="FK165" s="22"/>
      <c r="FL165" s="29" t="str">
        <f t="shared" ca="1" si="623"/>
        <v>NO APLICA-INGRESO TARDIO</v>
      </c>
      <c r="FM165" s="22"/>
      <c r="FN165" s="32"/>
      <c r="FO165" s="29" t="str">
        <f t="shared" ca="1" si="677"/>
        <v>PIERDE TOMA DE TAMIZAJE</v>
      </c>
      <c r="FP165" s="22"/>
      <c r="FQ165" s="32"/>
      <c r="FR165" s="29" t="str">
        <f t="shared" ca="1" si="678"/>
        <v>TOMA INMEDIATA DE TAMIZAJE</v>
      </c>
      <c r="FS165" s="22"/>
      <c r="FT165" s="32"/>
      <c r="FU165" s="29" t="str">
        <f>IF(AND(FJ165="",FM165="",FP165="",FS165=""),"",IF(OR(OR(Tabla1[[#This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5" s="28"/>
      <c r="FW165" s="22"/>
      <c r="FX165" s="29" t="str">
        <f t="shared" si="624"/>
        <v>TOMAR EXAMEN</v>
      </c>
      <c r="FY165" s="22"/>
      <c r="FZ165" s="22"/>
      <c r="GA165" s="29" t="str">
        <f t="shared" ca="1" si="690"/>
        <v>NO APLICA-INGRESO TARDIO</v>
      </c>
      <c r="GB165" s="22"/>
      <c r="GC165" s="22"/>
      <c r="GD165" s="29" t="str">
        <f t="shared" ca="1" si="679"/>
        <v>PIERDE TOMA DE TAMIZAJE</v>
      </c>
      <c r="GE165" s="22"/>
      <c r="GF165" s="22"/>
      <c r="GG165" s="29" t="str">
        <f t="shared" ca="1" si="680"/>
        <v>TOMA INMEDIATA DE TAMIZAJE</v>
      </c>
      <c r="GH165" s="22"/>
      <c r="GI165" s="29"/>
      <c r="GJ165" s="22"/>
      <c r="GK165" s="22"/>
      <c r="GL165" s="22"/>
      <c r="GM165" s="22"/>
      <c r="GN165" s="28"/>
      <c r="GO165" s="22"/>
      <c r="GP165" s="29" t="str">
        <f t="shared" si="625"/>
        <v>TOMAR EXAMEN</v>
      </c>
      <c r="GQ165" s="28"/>
      <c r="GR165" s="28"/>
      <c r="GS165" s="22"/>
      <c r="GT165" s="22"/>
      <c r="GU165" s="29" t="str">
        <f t="shared" si="627"/>
        <v>TOMAR EXAMEN</v>
      </c>
      <c r="GV165" s="21" t="str">
        <f t="shared" si="628"/>
        <v>POR DEFINIR</v>
      </c>
      <c r="GW165" s="28"/>
      <c r="GX165" s="30"/>
      <c r="GY165" s="21"/>
      <c r="GZ165" s="21"/>
      <c r="HA165" s="21"/>
      <c r="HB165" s="21"/>
      <c r="HC165" s="21"/>
      <c r="HD165" s="21"/>
      <c r="HE165" s="21"/>
      <c r="HF165" s="22"/>
      <c r="HG165" s="22" t="str">
        <f>IF(OR(O165&gt;0,R165&gt;0),CONCATENATE(IF(Tabla1[[#This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5" s="22" t="e">
        <f t="shared" si="629"/>
        <v>#REF!</v>
      </c>
      <c r="HI165" s="22" t="e">
        <f t="shared" ca="1" si="630"/>
        <v>#REF!</v>
      </c>
      <c r="HJ165" s="21"/>
      <c r="HK165" s="21" t="str">
        <f t="shared" si="631"/>
        <v>SIN ANTECEDENTES DE RIESGO</v>
      </c>
      <c r="HL165" s="24" t="str">
        <f t="shared" si="632"/>
        <v>APARENTEMENTE NORMAL</v>
      </c>
      <c r="HM165" s="21" t="e">
        <f t="shared" ca="1" si="633"/>
        <v>#REF!</v>
      </c>
      <c r="HN165" s="30" t="str">
        <f t="shared" si="681"/>
        <v>ACTIVA INGRESO A CPN</v>
      </c>
      <c r="HO165" s="21"/>
      <c r="HP165" s="21"/>
      <c r="HQ165" s="349"/>
      <c r="HR165" s="21" t="str">
        <f>IF(R165="","",IF(Tabla1[[#This Row],[ALARMA FACTORES DE RIESGO COMPLICACIONES HIPERTENSIVAS3]]="SIN ANTECEDENTES DE RIESGO","No Aplica para suministro de ASA",IF(AND(Tabla1[[#This Row],[FECHA INICIO DE SUMINISTRO DE ASA]]&gt;0,RV165&lt;12),"Inicia ASA ANTES de Sem 12",IF(AND(RV165&gt;11,RV165&lt;17,OR(HK165="RIESGO ALTO DE COMPLICACIONES HIPERTENSIVAS VER MANEJO GUIA SUMINISTRO ASA Y CALCIO",HK165="RIESGO MODERADO (2 O MAS CRITERIOS) VER MANEJO GUIA SUMINISTRO ASA Y CALCIO")),"Inicio oportuno de ASA",IF(AND(RV165&gt;12,OR(HK165="RIESGO ALTO DE COMPLICACIONES HIPERTENSIVAS VER MANEJO GUIA SUMINISTRO ASA Y CALCIO",HK165="RIESGO MODERADO (2 O MAS CRITERIOS) VER MANEJO GUIA SUMINISTRO ASA Y CALCIO")),"Inicio no oportuno mayor a 16 semanas",IF(AND(BU165&lt;12,OR(HK165="RIESGO ALTO DE COMPLICACIONES HIPERTENSIVAS VER MANEJO GUIA SUMINISTRO ASA Y CALCIO",HK165="RIESGO MODERADO (2 O MAS CRITERIOS) VER MANEJO GUIA SUMINISTRO ASA Y CALCIO")),"Pendiente Inicio de ASA a la semana 12",IF(AND(BU165&gt;11,BU165&lt;17,OR(HK165="RIESGO ALTO DE COMPLICACIONES HIPERTENSIVAS VER MANEJO GUIA SUMINISTRO ASA Y CALCIO",HK165="RIESGO MODERADO (2 O MAS CRITERIOS) VER MANEJO GUIA SUMINISTRO ASA Y CALCIO")),"Iniciar de inmediato ASA",IF(AND(BU165&gt;16,OR(HK165="RIESGO ALTO DE COMPLICACIONES HIPERTENSIVAS VER MANEJO GUIA SUMINISTRO ASA Y CALCIO",HK165="RIESGO MODERADO (2 O MAS CRITERIOS) VER MANEJO GUIA SUMINISTRO ASA Y CALCIO")),"Pierde Oportunidad, Inicio tardío de ASA","XXXXX"))))))))</f>
        <v>No Aplica para suministro de ASA</v>
      </c>
      <c r="HS165" s="22"/>
      <c r="HT165" s="22"/>
      <c r="HU165" s="22">
        <v>45045</v>
      </c>
      <c r="HV165" s="22" t="s">
        <v>870</v>
      </c>
      <c r="HW165" s="22">
        <v>45045</v>
      </c>
      <c r="HX165" s="22" t="s">
        <v>870</v>
      </c>
      <c r="HY165" s="22"/>
      <c r="HZ165" s="28" t="str">
        <f t="shared" si="634"/>
        <v>PENDIENTE CONSULTA</v>
      </c>
      <c r="IA165" s="26"/>
      <c r="IB165" s="26"/>
      <c r="IC165" s="111">
        <v>45118</v>
      </c>
      <c r="ID165" s="111">
        <v>45118</v>
      </c>
      <c r="IE165" s="22" t="str">
        <f t="shared" ca="1" si="635"/>
        <v>VACUNA APLICADA ENTRE SEMANA 20 Y SEMANA 26</v>
      </c>
      <c r="IF165" s="22"/>
      <c r="IG165" s="22">
        <f t="shared" si="636"/>
        <v>45219</v>
      </c>
      <c r="IH165" s="29">
        <f t="shared" ca="1" si="637"/>
        <v>-14</v>
      </c>
      <c r="II165" s="22" t="str">
        <f t="shared" ca="1" si="638"/>
        <v>POSIBLEMENTE NACIO</v>
      </c>
      <c r="IJ165" s="22"/>
      <c r="IK165" s="21"/>
      <c r="IL165" s="21"/>
      <c r="IM165" s="34"/>
      <c r="IN165" s="22"/>
      <c r="IO165" s="21"/>
      <c r="IP165" s="29" t="str">
        <f t="shared" si="672"/>
        <v/>
      </c>
      <c r="IQ165" s="35"/>
      <c r="IR165" s="21"/>
      <c r="IS165" s="21"/>
      <c r="IT165" s="21"/>
      <c r="IU165" s="21"/>
      <c r="IV165" s="21"/>
      <c r="IW165" s="21"/>
      <c r="IX165" s="21"/>
      <c r="IY165" s="21"/>
      <c r="IZ165" s="21"/>
      <c r="JA165" s="21"/>
      <c r="JB165" s="30"/>
      <c r="JC165" s="21"/>
      <c r="JD165" s="36"/>
      <c r="JE165" s="21" t="str">
        <f t="shared" si="682"/>
        <v/>
      </c>
      <c r="JF165" s="30"/>
      <c r="JG165" s="21"/>
      <c r="JH165" s="21"/>
      <c r="JI165" s="21"/>
      <c r="JJ165" s="30"/>
      <c r="JK165" s="22"/>
      <c r="JL165" s="22"/>
      <c r="JM165" s="21"/>
      <c r="JN165" s="36"/>
      <c r="JO165" s="21" t="str">
        <f t="shared" si="683"/>
        <v/>
      </c>
      <c r="JP165" s="22"/>
      <c r="JQ165" s="21"/>
      <c r="JR165" s="21"/>
      <c r="JS165" s="21"/>
      <c r="JT165" s="30"/>
      <c r="JU165" s="22"/>
      <c r="JV165" s="22"/>
      <c r="JW165" s="33"/>
      <c r="JX165" s="28" t="str">
        <f t="shared" si="684"/>
        <v/>
      </c>
      <c r="JY165" s="33"/>
      <c r="JZ165" s="28" t="str">
        <f t="shared" si="685"/>
        <v/>
      </c>
      <c r="KA165" s="21"/>
      <c r="KB165" s="21"/>
      <c r="KC165" s="21"/>
      <c r="KD165" s="37"/>
      <c r="KE165" s="28"/>
      <c r="KF165" s="28"/>
      <c r="KG165" s="28"/>
      <c r="KH165" s="39"/>
      <c r="KI165" s="39"/>
      <c r="KJ165" s="66"/>
      <c r="KK165" s="39"/>
      <c r="KL165" s="39"/>
      <c r="KM165" s="66"/>
      <c r="KN165" s="39"/>
      <c r="KO165" s="39"/>
      <c r="KP165" s="39"/>
      <c r="KQ165" s="39"/>
      <c r="KR165" s="39"/>
      <c r="KS165" s="39"/>
      <c r="KT165" s="39"/>
      <c r="KU165" s="38"/>
      <c r="KV165" s="38"/>
      <c r="KW165" s="38"/>
      <c r="KX165" s="38"/>
      <c r="KY165" s="38"/>
      <c r="KZ165" s="38"/>
      <c r="LA165" s="38"/>
      <c r="LB165" s="38"/>
      <c r="LC165" s="38"/>
      <c r="LD165" s="38"/>
      <c r="LE165" s="38"/>
      <c r="LF165" s="38"/>
      <c r="LG165" s="38"/>
      <c r="LH165" s="38"/>
      <c r="LI165" s="38"/>
      <c r="LJ165" s="38"/>
      <c r="LK165" s="38"/>
      <c r="LL165" s="38"/>
      <c r="LM165" s="38"/>
      <c r="LN165" s="38"/>
      <c r="LO165" s="38"/>
      <c r="LP165" s="38"/>
      <c r="LQ165" s="38"/>
      <c r="LR165" s="38"/>
      <c r="LS165" s="38"/>
      <c r="LT165" s="38"/>
      <c r="LU165" s="38"/>
      <c r="LV165" s="38"/>
      <c r="LW165" s="38"/>
      <c r="LX165" s="38"/>
      <c r="LY165" s="38"/>
      <c r="LZ165" s="38"/>
      <c r="MA165" s="38"/>
      <c r="MB165" s="38"/>
      <c r="MC165" s="38"/>
      <c r="MD165" s="38"/>
      <c r="ME165" s="38"/>
      <c r="MF165" s="38"/>
      <c r="MG165" s="38"/>
      <c r="MH165" s="43">
        <f t="shared" si="695"/>
        <v>0</v>
      </c>
      <c r="MI165" s="43" t="str">
        <f t="shared" si="696"/>
        <v/>
      </c>
      <c r="MJ165" s="43" t="str">
        <f t="shared" si="697"/>
        <v/>
      </c>
      <c r="MK165" s="43">
        <f t="shared" si="698"/>
        <v>0</v>
      </c>
      <c r="ML16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5" s="43">
        <f t="shared" si="699"/>
        <v>15.142857142857142</v>
      </c>
      <c r="MN165" s="43">
        <f t="shared" si="700"/>
        <v>4</v>
      </c>
      <c r="MO165" s="43">
        <f t="shared" si="701"/>
        <v>2023</v>
      </c>
      <c r="MP165" s="43" t="str">
        <f t="shared" si="702"/>
        <v>II TRIMESTRE AÑO</v>
      </c>
      <c r="MQ165" s="43">
        <f t="shared" si="703"/>
        <v>23.469667104686817</v>
      </c>
      <c r="MR165" s="43">
        <f t="shared" si="704"/>
        <v>0</v>
      </c>
      <c r="MS165" s="43" t="str">
        <f t="shared" si="705"/>
        <v xml:space="preserve"> DE 20 A 24 AÑOS</v>
      </c>
      <c r="MT165" s="43">
        <f t="shared" si="706"/>
        <v>0</v>
      </c>
      <c r="MU165" s="43">
        <f t="shared" si="707"/>
        <v>0</v>
      </c>
      <c r="MV165" s="43">
        <f t="shared" si="708"/>
        <v>0</v>
      </c>
      <c r="MW165" s="43">
        <f t="shared" si="709"/>
        <v>0</v>
      </c>
      <c r="MX165" s="43" t="str">
        <f t="shared" si="710"/>
        <v/>
      </c>
      <c r="MY165" s="43">
        <f t="shared" ca="1" si="686"/>
        <v>1</v>
      </c>
      <c r="MZ165" s="43" t="str">
        <f t="shared" si="711"/>
        <v/>
      </c>
      <c r="NA165" s="43">
        <f t="shared" si="712"/>
        <v>0</v>
      </c>
      <c r="NB165" s="43" t="str">
        <f t="shared" si="713"/>
        <v/>
      </c>
      <c r="NC165" s="43" t="str">
        <f t="shared" si="714"/>
        <v/>
      </c>
      <c r="ND165" s="43">
        <f t="shared" ca="1" si="715"/>
        <v>1</v>
      </c>
      <c r="NE165" s="43">
        <f>IF(OR(O165&gt;0,R165&gt;0),SUM(COUNTIF(Tabla1[[#This Row],[AÑOS AL INICIO5 CPN]],"&gt;=40"),COUNTIF(AS165,"0"),COUNTIF(AR165,"SI"),COUNTIF(CC165,"SI"),COUNTIF(BQ165,"&gt;119"),COUNTIF(CI165,"&gt;=35")),"")</f>
        <v>0</v>
      </c>
      <c r="NF165" s="43">
        <f t="shared" si="716"/>
        <v>25.571428571428573</v>
      </c>
      <c r="NG165" s="43">
        <f t="shared" si="717"/>
        <v>0</v>
      </c>
      <c r="NH165" s="43">
        <f t="shared" si="718"/>
        <v>182</v>
      </c>
      <c r="NI16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CPN",P165="NO"),"Z",IF(AND(Tabla1[[#This Row],[CITA PROXIMO CONTROL]]="CITA MANUAL",Tabla1[[#This Row],[GESTANTES ACTUALES]]="ACTIVA INGRESO A CPN"),"W",IF(AND(Tabla1[[#This Row],[GESTANTES ACTUALES]]="SALIO PROGRAMA",IN165=""),"S",IF(AND(Tabla1[[#This Row],[CITA PROXIMO CONTROL]]&gt;0,IN165=""),(Tabla1[[#This Row],[CITA PROXIMO CONTROL]]-TODAY()),"SD"))))))))</f>
        <v>#REF!</v>
      </c>
      <c r="NJ165" s="43">
        <f>MONTH(Tabla1[[#This Row],[FECHA DE SALIDA  DEL PROGRAMA]])</f>
        <v>1</v>
      </c>
      <c r="NK165" s="43">
        <f>YEAR(Tabla1[[#This Row],[FECHA DE SALIDA  DEL PROGRAMA]])</f>
        <v>1900</v>
      </c>
      <c r="NL165" s="43" t="str">
        <f t="shared" si="719"/>
        <v>X</v>
      </c>
      <c r="NM165" s="43" t="str">
        <f t="shared" si="693"/>
        <v>NO</v>
      </c>
      <c r="NN165" s="43" t="str">
        <f ca="1">IF(AND(O165&gt;0,R165=""),"NO CPN",IF(AND(O165="",R165=""),"",IF(AND(R165&gt;0,Tabla1[[#This Row],[SEMANAS DE GESTACION ACTUALIZADAS]]&lt;=12),"NO APLICA",IF(AND(FH165&lt;&gt;"",FN165&lt;&gt;""),"SI","NO"))))</f>
        <v>NO</v>
      </c>
      <c r="NO165" s="43" t="str">
        <f ca="1">IF(AND(O165&gt;0,R165=""),"NO CPN",IF(AND(O165="",R165=""),"",IF(AND(R165&gt;0,Tabla1[[#This Row],[SEMANAS DE GESTACION ACTUALIZADAS]]&lt;=27),"NO APLICA",IF(AND(ES165&lt;&gt;"",FQ165&lt;&gt;"",GF165&lt;&gt;""),"SI","NO"))))</f>
        <v>NO</v>
      </c>
      <c r="NP165" s="204" t="str">
        <f t="shared" si="720"/>
        <v>II TRIM</v>
      </c>
      <c r="NQ165" s="21">
        <f t="shared" si="689"/>
        <v>10</v>
      </c>
      <c r="NR165" s="21">
        <f t="shared" ca="1" si="687"/>
        <v>2</v>
      </c>
      <c r="NS165" s="205">
        <f t="shared" ca="1" si="721"/>
        <v>0</v>
      </c>
      <c r="NT165" s="21">
        <f t="shared" ca="1" si="722"/>
        <v>0</v>
      </c>
      <c r="NU165" s="21" t="str">
        <f t="shared" ca="1" si="723"/>
        <v>INCOMPLETO</v>
      </c>
      <c r="NV165" s="21" t="str">
        <f t="shared" ca="1" si="724"/>
        <v>INCOMPLETO</v>
      </c>
      <c r="NW165" s="206" t="str">
        <f>IF(AND(O165="",R165=""),"",IF(OR(AND(Tabla1[[#This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5" s="207" t="str">
        <f t="shared" ca="1" si="725"/>
        <v>VACUNADA</v>
      </c>
      <c r="NY165" s="43">
        <f>ROW(Tabla1[[#This Row],['# DE TAMIZAJES SIFILIS TOMADOS ]])</f>
        <v>165</v>
      </c>
      <c r="NZ165" s="43">
        <f t="shared" si="501"/>
        <v>15</v>
      </c>
      <c r="OA165" s="43" t="str">
        <f t="shared" si="502"/>
        <v/>
      </c>
      <c r="OB165" s="43" t="str">
        <f t="shared" si="503"/>
        <v/>
      </c>
      <c r="OC165" s="43" t="str">
        <f t="shared" si="504"/>
        <v/>
      </c>
      <c r="OD165" s="43" t="str">
        <f t="shared" si="505"/>
        <v/>
      </c>
      <c r="OE165" s="43" t="str">
        <f t="shared" si="506"/>
        <v/>
      </c>
      <c r="OF165" s="43" t="str">
        <f t="shared" si="507"/>
        <v/>
      </c>
      <c r="OG165" s="43" t="str">
        <f t="shared" si="508"/>
        <v>NORMAL</v>
      </c>
      <c r="OH165" s="43" t="str">
        <f t="shared" si="509"/>
        <v/>
      </c>
      <c r="OI165" s="43" t="str">
        <f t="shared" si="510"/>
        <v/>
      </c>
      <c r="OJ165" s="43" t="str">
        <f t="shared" si="511"/>
        <v/>
      </c>
      <c r="OK165" s="43" t="str">
        <f t="shared" si="512"/>
        <v/>
      </c>
      <c r="OL165" s="43" t="str">
        <f t="shared" si="513"/>
        <v/>
      </c>
      <c r="OM165" s="43" t="str">
        <f t="shared" si="514"/>
        <v/>
      </c>
      <c r="ON165" s="43" t="str">
        <f t="shared" si="515"/>
        <v/>
      </c>
      <c r="OO165" s="43" t="str">
        <f t="shared" si="516"/>
        <v/>
      </c>
      <c r="OP165" s="43" t="str">
        <f t="shared" si="517"/>
        <v/>
      </c>
      <c r="OQ165" s="43" t="str">
        <f t="shared" si="518"/>
        <v/>
      </c>
      <c r="OR165" s="43" t="str">
        <f t="shared" si="519"/>
        <v/>
      </c>
      <c r="OS165" s="43" t="str">
        <f t="shared" si="520"/>
        <v/>
      </c>
      <c r="OT165" s="43" t="str">
        <f t="shared" si="521"/>
        <v/>
      </c>
      <c r="OU165" s="43" t="str">
        <f t="shared" si="522"/>
        <v/>
      </c>
      <c r="OV165" s="110" t="str">
        <f t="shared" si="523"/>
        <v/>
      </c>
      <c r="OW165" s="43" t="str">
        <f t="shared" si="524"/>
        <v/>
      </c>
      <c r="OX165" s="43" t="str">
        <f t="shared" si="525"/>
        <v/>
      </c>
      <c r="OY165" s="43" t="str">
        <f t="shared" si="526"/>
        <v/>
      </c>
      <c r="OZ165" s="43" t="str">
        <f t="shared" si="527"/>
        <v/>
      </c>
      <c r="PA165" s="43" t="str">
        <f t="shared" si="528"/>
        <v/>
      </c>
      <c r="PB165" s="43" t="str">
        <f t="shared" si="529"/>
        <v/>
      </c>
      <c r="PC165" s="43" t="str">
        <f t="shared" si="530"/>
        <v/>
      </c>
      <c r="PD165" s="43" t="str">
        <f t="shared" si="531"/>
        <v/>
      </c>
      <c r="PE165" s="43" t="str">
        <f t="shared" si="532"/>
        <v/>
      </c>
      <c r="PF165" s="43" t="str">
        <f t="shared" si="533"/>
        <v/>
      </c>
      <c r="PG165" s="43" t="str">
        <f t="shared" si="534"/>
        <v/>
      </c>
      <c r="PH165" s="43" t="str">
        <f t="shared" si="535"/>
        <v/>
      </c>
      <c r="PI165" s="43">
        <f t="shared" si="536"/>
        <v>25</v>
      </c>
      <c r="PJ165" s="43" t="str">
        <f t="shared" si="537"/>
        <v/>
      </c>
      <c r="PK165" s="43" t="str">
        <f t="shared" si="538"/>
        <v/>
      </c>
      <c r="PL165" s="43" t="str">
        <f t="shared" si="539"/>
        <v/>
      </c>
      <c r="PM165" s="43" t="str">
        <f t="shared" si="540"/>
        <v/>
      </c>
      <c r="PN165" s="43" t="str">
        <f t="shared" si="541"/>
        <v/>
      </c>
      <c r="PO165" s="43" t="str">
        <f t="shared" si="542"/>
        <v/>
      </c>
      <c r="PP165" s="43" t="str">
        <f t="shared" si="543"/>
        <v/>
      </c>
      <c r="PQ165" s="43" t="str">
        <f t="shared" si="544"/>
        <v/>
      </c>
      <c r="PR165" s="43" t="str">
        <f t="shared" si="545"/>
        <v/>
      </c>
      <c r="PS165" s="43" t="str">
        <f t="shared" si="546"/>
        <v/>
      </c>
      <c r="PT165" s="43" t="str">
        <f t="shared" si="547"/>
        <v/>
      </c>
      <c r="PU165" s="43" t="str">
        <f t="shared" si="548"/>
        <v/>
      </c>
      <c r="PV165" s="43" t="str">
        <f t="shared" si="549"/>
        <v/>
      </c>
      <c r="PW165" s="43" t="str">
        <f t="shared" si="550"/>
        <v/>
      </c>
      <c r="PX165" s="43" t="str">
        <f t="shared" si="551"/>
        <v/>
      </c>
      <c r="PY165" s="43" t="str">
        <f t="shared" si="552"/>
        <v/>
      </c>
      <c r="PZ165" s="43" t="str">
        <f t="shared" si="553"/>
        <v>NORMAL</v>
      </c>
      <c r="QA165" s="43" t="str">
        <f t="shared" si="554"/>
        <v/>
      </c>
      <c r="QB165" s="43" t="str">
        <f t="shared" si="555"/>
        <v/>
      </c>
      <c r="QC165" s="43" t="str">
        <f t="shared" si="556"/>
        <v/>
      </c>
      <c r="QD165" s="43" t="str">
        <f t="shared" si="557"/>
        <v/>
      </c>
      <c r="QE165" s="43" t="str">
        <f t="shared" si="558"/>
        <v/>
      </c>
      <c r="QF165" s="43" t="str">
        <f t="shared" si="559"/>
        <v/>
      </c>
      <c r="QG165" s="43" t="str">
        <f t="shared" si="560"/>
        <v/>
      </c>
      <c r="QH165" s="43" t="str">
        <f t="shared" si="561"/>
        <v/>
      </c>
      <c r="QI165" s="43" t="str">
        <f t="shared" si="562"/>
        <v/>
      </c>
      <c r="QJ165" s="43" t="str">
        <f t="shared" si="563"/>
        <v/>
      </c>
      <c r="QK165" s="43" t="str">
        <f t="shared" si="564"/>
        <v/>
      </c>
      <c r="QL165" s="43" t="str">
        <f t="shared" si="565"/>
        <v/>
      </c>
      <c r="QM165" s="43" t="str">
        <f t="shared" si="566"/>
        <v/>
      </c>
      <c r="QN165" s="43" t="str">
        <f t="shared" si="567"/>
        <v/>
      </c>
      <c r="QO165" s="43" t="str">
        <f t="shared" si="568"/>
        <v/>
      </c>
      <c r="QP165" s="43" t="str">
        <f t="shared" si="569"/>
        <v/>
      </c>
      <c r="QQ165" s="43" t="str">
        <f t="shared" si="570"/>
        <v/>
      </c>
      <c r="QR165" s="43">
        <f t="shared" si="670"/>
        <v>25</v>
      </c>
      <c r="QS165" s="43"/>
      <c r="QT165" s="21" t="str">
        <f t="shared" si="571"/>
        <v/>
      </c>
      <c r="QU165" s="21" t="str">
        <f t="shared" si="572"/>
        <v/>
      </c>
      <c r="QV165" s="21" t="str">
        <f t="shared" si="573"/>
        <v/>
      </c>
      <c r="QW165" s="21" t="str">
        <f t="shared" si="574"/>
        <v/>
      </c>
      <c r="QX165" s="21" t="str">
        <f t="shared" si="575"/>
        <v/>
      </c>
      <c r="QY165" s="21" t="str">
        <f t="shared" si="576"/>
        <v/>
      </c>
      <c r="QZ165" s="21" t="str">
        <f t="shared" si="577"/>
        <v/>
      </c>
      <c r="RA165" s="21" t="str">
        <f t="shared" si="578"/>
        <v/>
      </c>
      <c r="RB165" s="21" t="str">
        <f t="shared" si="579"/>
        <v/>
      </c>
      <c r="RC165" s="21" t="str">
        <f t="shared" si="580"/>
        <v/>
      </c>
      <c r="RD165" s="21" t="str">
        <f t="shared" si="581"/>
        <v/>
      </c>
      <c r="RE165" s="21" t="str">
        <f t="shared" si="582"/>
        <v/>
      </c>
      <c r="RF165" s="21" t="str">
        <f t="shared" si="583"/>
        <v>ALTO PARA EDAD GESTACIONAL</v>
      </c>
      <c r="RG165" s="21" t="str">
        <f t="shared" si="584"/>
        <v/>
      </c>
      <c r="RH165" s="21" t="str">
        <f t="shared" si="585"/>
        <v/>
      </c>
      <c r="RI165" s="21" t="str">
        <f t="shared" si="586"/>
        <v/>
      </c>
      <c r="RJ165" s="21" t="str">
        <f t="shared" si="587"/>
        <v/>
      </c>
      <c r="RK165" s="21" t="str">
        <f t="shared" si="588"/>
        <v/>
      </c>
      <c r="RL165" s="21" t="str">
        <f t="shared" si="589"/>
        <v/>
      </c>
      <c r="RM165" s="21" t="str">
        <f t="shared" si="590"/>
        <v/>
      </c>
      <c r="RN165" s="21" t="str">
        <f t="shared" si="591"/>
        <v/>
      </c>
      <c r="RO165" s="21" t="str">
        <f t="shared" si="592"/>
        <v/>
      </c>
      <c r="RP165" s="21" t="str">
        <f t="shared" si="593"/>
        <v/>
      </c>
      <c r="RQ165" s="21" t="str">
        <f t="shared" si="594"/>
        <v/>
      </c>
      <c r="RR165" s="21" t="str">
        <f t="shared" si="595"/>
        <v/>
      </c>
      <c r="RS165" s="21" t="str">
        <f t="shared" si="596"/>
        <v/>
      </c>
      <c r="RT165" s="21" t="str">
        <f t="shared" si="597"/>
        <v/>
      </c>
      <c r="RU165" s="21" t="str">
        <f t="shared" si="598"/>
        <v/>
      </c>
      <c r="RV165" s="21">
        <f t="shared" si="599"/>
        <v>-1</v>
      </c>
      <c r="RW165" s="284">
        <f>IF(OR(Tabla1[[#This Row],[FUM FORMULA CONFIABLE]]="",Tabla1[[#This Row],[FUM FORMULA CONFIABLE]]="SD"),"",IF(Tabla1[[#This Row],[FUM FORMULA CONFIABLE]]="CORREGIDA",Tabla1[[#This Row],[FUM X ECO 1]],Tabla1[[#This Row],[FUM x AMENORREA]]))</f>
        <v>44939</v>
      </c>
      <c r="RX165" s="21">
        <f>IF(AND(Tabla1[[#This Row],[FUM X ECO 1]]="",Tabla1[[#This Row],[FUM x AMENORREA]]=""),"",IF(AND(Tabla1[[#This Row],[FUM X ECO 1]]="",Tabla1[[#This Row],[FUM x AMENORREA]]&lt;&gt;""),"X",SUM(Tabla1[[#This Row],[FUM X ECO 1]]-Tabla1[[#This Row],[FUM x AMENORREA]])))</f>
        <v>-5</v>
      </c>
      <c r="RY165" s="21">
        <f t="shared" si="671"/>
        <v>0</v>
      </c>
    </row>
    <row r="166" spans="1:493" ht="45" customHeight="1" x14ac:dyDescent="0.25">
      <c r="A166" s="109"/>
      <c r="B166" s="43"/>
      <c r="C166" s="43" t="s">
        <v>845</v>
      </c>
      <c r="D166" s="124"/>
      <c r="E166" s="43" t="s">
        <v>1470</v>
      </c>
      <c r="F166" s="43" t="s">
        <v>874</v>
      </c>
      <c r="G166" s="43" t="s">
        <v>1217</v>
      </c>
      <c r="H166" s="43" t="s">
        <v>1471</v>
      </c>
      <c r="I166" s="109" t="s">
        <v>851</v>
      </c>
      <c r="J166" s="110">
        <v>1059600344</v>
      </c>
      <c r="K166" s="43" t="s">
        <v>852</v>
      </c>
      <c r="L166" s="175" t="s">
        <v>1509</v>
      </c>
      <c r="M166" s="22">
        <v>33562</v>
      </c>
      <c r="N166" s="213">
        <f t="shared" ca="1" si="600"/>
        <v>31.975342465753425</v>
      </c>
      <c r="O166" s="22">
        <v>45044</v>
      </c>
      <c r="P166" s="214" t="str">
        <f t="shared" si="673"/>
        <v>SI</v>
      </c>
      <c r="Q166" s="26" t="s">
        <v>855</v>
      </c>
      <c r="R166" s="22">
        <v>45044</v>
      </c>
      <c r="S166" s="21" t="s">
        <v>856</v>
      </c>
      <c r="T166" s="24" t="s">
        <v>690</v>
      </c>
      <c r="U166" s="21" t="s">
        <v>857</v>
      </c>
      <c r="V166" s="21" t="s">
        <v>858</v>
      </c>
      <c r="W166" s="21" t="s">
        <v>859</v>
      </c>
      <c r="X166" s="21"/>
      <c r="Y166" s="21"/>
      <c r="Z166" s="21"/>
      <c r="AA166" s="21" t="s">
        <v>860</v>
      </c>
      <c r="AB166" s="27" t="s">
        <v>861</v>
      </c>
      <c r="AC166" s="26" t="s">
        <v>862</v>
      </c>
      <c r="AD166" s="38" t="s">
        <v>846</v>
      </c>
      <c r="AE166" s="26" t="s">
        <v>854</v>
      </c>
      <c r="AF166" s="26" t="s">
        <v>854</v>
      </c>
      <c r="AG166" s="23" t="s">
        <v>864</v>
      </c>
      <c r="AH166" s="23" t="s">
        <v>864</v>
      </c>
      <c r="AI166" s="24" t="s">
        <v>863</v>
      </c>
      <c r="AJ166" s="23" t="s">
        <v>864</v>
      </c>
      <c r="AK166" s="220" t="str">
        <f>IF(AND(AD166="",AE166="",AF166="",AG166="",AH166="",AI166="",AJ166=""),"",IF(OR(Tabla1[[#This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EVALUACIÓN",IF(AND(O166="",R166=""),"",IF(AND(OR(O166&gt;0,R166&gt;0),NG166&gt;=0,NG166&lt;2),"SIN RIESGO",IF(AND(OR(O166&gt;0,R166&gt;0),NG166&gt;=2),"CON RIESGO","ASD")))))</f>
        <v>SIN RIESGO</v>
      </c>
      <c r="AL166" s="23" t="s">
        <v>864</v>
      </c>
      <c r="AM166" s="26" t="s">
        <v>864</v>
      </c>
      <c r="AN166" s="26" t="s">
        <v>864</v>
      </c>
      <c r="AO166" s="26" t="s">
        <v>864</v>
      </c>
      <c r="AP166" s="26" t="s">
        <v>864</v>
      </c>
      <c r="AQ166" s="26" t="s">
        <v>864</v>
      </c>
      <c r="AR166" s="26" t="s">
        <v>864</v>
      </c>
      <c r="AS166" s="21">
        <v>5</v>
      </c>
      <c r="AT166" s="21">
        <v>5</v>
      </c>
      <c r="AU166" s="21">
        <v>0</v>
      </c>
      <c r="AV166" s="26" t="s">
        <v>864</v>
      </c>
      <c r="AW166" s="21">
        <v>0</v>
      </c>
      <c r="AX166" s="26" t="s">
        <v>864</v>
      </c>
      <c r="AY166" s="26" t="s">
        <v>864</v>
      </c>
      <c r="AZ166" s="26" t="s">
        <v>864</v>
      </c>
      <c r="BA166" s="26" t="s">
        <v>864</v>
      </c>
      <c r="BB166" s="26" t="s">
        <v>864</v>
      </c>
      <c r="BC166" s="26" t="s">
        <v>864</v>
      </c>
      <c r="BD166" s="26" t="s">
        <v>864</v>
      </c>
      <c r="BE166" s="26" t="s">
        <v>864</v>
      </c>
      <c r="BF166" s="26" t="s">
        <v>864</v>
      </c>
      <c r="BG166" s="26" t="s">
        <v>864</v>
      </c>
      <c r="BH166" s="26" t="s">
        <v>864</v>
      </c>
      <c r="BI166" s="26" t="s">
        <v>864</v>
      </c>
      <c r="BJ166" s="26"/>
      <c r="BK166" s="26"/>
      <c r="BL166" s="26" t="s">
        <v>864</v>
      </c>
      <c r="BM166" s="26" t="s">
        <v>864</v>
      </c>
      <c r="BN166" s="22">
        <v>43301</v>
      </c>
      <c r="BO166" s="22">
        <v>44864</v>
      </c>
      <c r="BP166" s="21" t="s">
        <v>854</v>
      </c>
      <c r="BQ166" s="222">
        <f t="shared" si="601"/>
        <v>52.1</v>
      </c>
      <c r="BR166" s="223" t="str">
        <f t="shared" si="602"/>
        <v/>
      </c>
      <c r="BS166" s="224">
        <f t="shared" si="603"/>
        <v>25.714285714285715</v>
      </c>
      <c r="BT166" s="216" t="str">
        <f t="shared" si="604"/>
        <v>II TRIM</v>
      </c>
      <c r="BU166" s="214" t="str">
        <f t="shared" ca="1" si="605"/>
        <v/>
      </c>
      <c r="BV166" s="25"/>
      <c r="BW166" s="22"/>
      <c r="BX166" s="28"/>
      <c r="BY166" s="28"/>
      <c r="BZ166" s="22"/>
      <c r="CA166" s="21"/>
      <c r="CB166" s="26"/>
      <c r="CC166" s="26"/>
      <c r="CD166" s="26"/>
      <c r="CE166" s="26"/>
      <c r="CF166" s="22" t="s">
        <v>1517</v>
      </c>
      <c r="CG166" s="21">
        <v>1.46</v>
      </c>
      <c r="CH166" s="21">
        <v>60.1</v>
      </c>
      <c r="CI166" s="214">
        <f t="shared" si="606"/>
        <v>28.194783261399891</v>
      </c>
      <c r="CJ166" s="225" t="e">
        <f>IF(AND(CI166&lt;10,CH166="SD"),"SIN DATO PESO PREGESTACION O I TRIM",IF(AND(OR(R166&gt;0,O166&gt;0),CI166="X"),"INGRESAR DATO DE PESO",IF(CI166="SD","INGRESAR DATO DE TALLA Y PESO",IF(AND(OR(Tabla1[[#This Row],[MOMENTO EN QUE SE REALIZA EL PESO AL INGRESO A CPN]]="PREGESTACIÓN",NZ166="Menor"),CI166&lt;18.5),"BAJO PESO",IF(AND(OR(Tabla1[[#This Row],[MOMENTO EN QUE SE REALIZA EL PESO AL INGRESO A CPN]]="PREGESTACIÓN",NZ166="Menor"),CI166&lt;25),"NORMAL",IF(AND(OR(Tabla1[[#This Row],[MOMENTO EN QUE SE REALIZA EL PESO AL INGRESO A CPN]]="PREGESTACIÓN",NZ166="Menor"),CI166&lt;30),"SOBREPESO",IF(AND(OR(Tabla1[[#This Row],[MOMENTO EN QUE SE REALIZA EL PESO AL INGRESO A CPN]]="PREGESTACIÓN",NZ166="Menor"),CI166&gt;=30,CI166&lt;50),"OBESIDAD",IF(AND(BS166&gt;0,Tabla1[[#This Row],[MOMENTO EN QUE SE REALIZA EL PESO AL INGRESO A CPN]]="GESTACIÓN"),HLOOKUP(NZ166,$OA$2:PH166,NY166),""))))))))</f>
        <v>#REF!</v>
      </c>
      <c r="CK166" s="212">
        <f t="shared" si="607"/>
        <v>45044</v>
      </c>
      <c r="CL166" s="21"/>
      <c r="CM166" s="214">
        <f t="shared" si="608"/>
        <v>0</v>
      </c>
      <c r="CN166" s="216">
        <f t="shared" si="609"/>
        <v>25</v>
      </c>
      <c r="CO166" s="216" t="e">
        <f>IF(PI166="","",IF(PI166&gt;0,HLOOKUP(PI166,$PJ$2:QQ166,NY166),""))</f>
        <v>#REF!</v>
      </c>
      <c r="CP166" s="21"/>
      <c r="CQ166" s="216" t="e">
        <f>IF(QR166="Menor","NO APLICA-MENOR 13 SEM",IF(AND(CC166="SI",CN166&gt;23),"NO APLICA- GEMELAR",IF(QR166="","",IF(QR166&gt;0,HLOOKUP(QR166,$QS$2:RU166,NY166),""))))</f>
        <v>#REF!</v>
      </c>
      <c r="CR166" s="21"/>
      <c r="CS166" s="21"/>
      <c r="CT166" s="217" t="str">
        <f>IF(R166="","",IF(AND(BS166&gt;1,BS166&lt;12,Tabla1[[#This Row],[T.A. SISTOLICA - ANTES DE SEMANA 12]]="",Tabla1[[#This Row],[T.A. DIASTOLICA - ANTES DE SEMANA 12]]=""),"REGISTRE DATO TA ANTES SEMANA 12",IF(AND(BS166&gt;11,BS166&lt;43,Tabla1[[#This Row],[T.A. SISTOLICA - ANTES DE SEMANA 12]]="",Tabla1[[#This Row],[T.A. DIASTOLICA - ANTES DE SEMANA 12]]=""),"NO APLICA REGISTRO TA-INGRESO TARDIO",IF(AND(OR(O166&gt;0,R166&gt;0),OR(CR166&gt;=140,CS166&gt;=90)),"DEFINIR ESTADIO HTA",IF(AND(OR(O166&gt;0,R166&gt;0),AND(CR166&gt;120,CR166&lt;=139)),"PRE HTA SEGUIMIENTO",IF(AND(OR(O166&gt;0,R166&gt;0),AND(CS166&gt;80,CS166&lt;=89)),"PRE HTA SEGUIMIENTO",IF(AND(OR(O166&gt;0,R166&gt;0),AND(CR166&gt;=80,CR166&lt;=120)),"APARENTEMENTE NORMAL",IF(AND(OR(O166&gt;0,R166&gt;0),AND(CS166&gt;=50,CS166&lt;=80)),"APARENTEMENTE NORMAL",IF(AND(OR(O166&gt;0,R166&gt;0),AND(CR166&gt;1,CR166&lt;=70),AND(CS166&gt;1,CS166&lt;=40)),"HIPOTENSIÓN","")))))))))</f>
        <v>NO APLICA REGISTRO TA-INGRESO TARDIO</v>
      </c>
      <c r="CU166" s="21"/>
      <c r="CV166" s="21"/>
      <c r="CW166" s="217" t="str">
        <f>IF(R166="","",IF(AND(CN166&gt;19,CN166&lt;27,Tabla1[[#This Row],[T.A. SISTOLICA (Entre semana 20 y 26)]]="",Tabla1[[#This Row],[T.A. DIATOLICA (Entre semana 20 y 26)]]=""),"ACUDE A CONTROL SEM 20 A 26 REGISTRE TA AHORA",IF(AND(BS166&gt;1,BS166&lt;27,BU166&gt;19,Tabla1[[#This Row],[T.A. SISTOLICA (Entre semana 20 y 26)]]="",Tabla1[[#This Row],[T.A. DIATOLICA (Entre semana 20 y 26)]]=""),"COMPLETE REGISTRO TA CONTROL SEM 20 A26 ",IF(AND(BS166&gt;26,BS166&lt;43,Tabla1[[#This Row],[T.A. SISTOLICA (Entre semana 20 y 26)]]="",Tabla1[[#This Row],[T.A. DIATOLICA (Entre semana 20 y 26)]]=""),"NO APLICA REGISTRO TA-INGRESO TARDIO",IF(AND(OR(O166&gt;0,R166&gt;0),OR(CU166&gt;=140,CV166&gt;=90)),"ALTO RIESGO PREECLAMPSIA,DEFINIR ESTADIO HTA",IF(AND(OR(O166&gt;0,R166&gt;0),AND(CU166&gt;120,CU166&lt;=139)),"PRE HTA SEGUIMIENTO,RIESGO HIPERTENSION INDUCIDA POR EL EMBARAZO",IF(AND(OR(O166&gt;0,R166&gt;0),AND(CV166&gt;80,CV166&lt;=89)),"PRE HTA SEGUIMIENTO, RIESGO HIPERTENSION INDUCIDA POR EL EMBARAZO",IF(AND(OR(O166&lt;&gt;"",R166&lt;&gt;""),CS166&lt;&gt;"",CV166&lt;&gt;"",CS166&lt;=CV166),"VIGILAR CIFRAS PRESION ARTERIAL",IF(AND(OR(O166&gt;0,R166&gt;0),AND(CU166&gt;120,CU166&lt;=139)),"PRE HTA SEGUIMIENTO",IF(AND(OR(O166&gt;0,R166&gt;0),AND(CU166&gt;1,CU166&lt;=70),AND(CV166&gt;1,CV166&lt;=40)),"HIPOTENSIÓN",IF(AND(OR(O166&lt;&gt;"",R166&lt;&gt;""),CS166&lt;&gt;"",CV166&lt;&gt;"",CS166&gt;CV166),"APARENTEMENTE NORMAL",IF(AND(OR(O166&gt;0,R166&gt;0),AND(CU166&gt;=80,CU166&lt;=120)),"APARENTEMENTE NORMAL",IF(AND(OR(O166&gt;0,R166&gt;0),AND(CV166&gt;=50,CV166&lt;=80)),"APARENTEMENTE NORMAL","")))))))))))))</f>
        <v>ACUDE A CONTROL SEM 20 A 26 REGISTRE TA AHORA</v>
      </c>
      <c r="CX166" s="21"/>
      <c r="CY166" s="21"/>
      <c r="CZ166" s="216" t="str">
        <f t="shared" si="688"/>
        <v/>
      </c>
      <c r="DA166" s="21"/>
      <c r="DB166" s="21"/>
      <c r="DC166" s="217" t="str">
        <f t="shared" si="610"/>
        <v>REGISTRE DATO PRESIÓN ARTERIAL MENSUAL</v>
      </c>
      <c r="DD166" s="22">
        <v>44995</v>
      </c>
      <c r="DE166" s="22">
        <v>44995</v>
      </c>
      <c r="DF166" s="22">
        <v>45044</v>
      </c>
      <c r="DG166" s="22"/>
      <c r="DH166" s="22"/>
      <c r="DI166" s="22"/>
      <c r="DJ166" s="22"/>
      <c r="DK166" s="22"/>
      <c r="DL166" s="22"/>
      <c r="DM166" s="22"/>
      <c r="DN166" s="22"/>
      <c r="DO166" s="22"/>
      <c r="DP166" s="22"/>
      <c r="DQ166" s="22"/>
      <c r="DR166" s="28">
        <v>1</v>
      </c>
      <c r="DS166" s="22"/>
      <c r="DT166" s="22"/>
      <c r="DU166" s="216" t="str">
        <f t="shared" ca="1" si="674"/>
        <v>SALE SIN PLAN DE PARTO</v>
      </c>
      <c r="DV166" s="226" t="str">
        <f t="shared" si="675"/>
        <v>SALIO PROGRAMA</v>
      </c>
      <c r="DW16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6" s="216" t="str">
        <f t="shared" ca="1" si="611"/>
        <v/>
      </c>
      <c r="DY166" s="212">
        <f>IF(R166="","",IF(R166&gt;0,MAX(Tabla1[[#This Row],[FECHA C2]:[FECHA C13]],Tabla1[[#This Row],[FECHA CONSULTA PRIMERA VEZ PROGRAMA CPN ]])))</f>
        <v>45044</v>
      </c>
      <c r="DZ166" s="216">
        <f t="shared" si="612"/>
        <v>25</v>
      </c>
      <c r="EA166" s="222">
        <f>IF(R166&gt;0,SUM(COUNTA(DF166:DQ166)+COUNTA(Tabla1[[#This Row],[FECHA CONSULTA PRIMERA VEZ PROGRAMA CPN ]])),"")</f>
        <v>2</v>
      </c>
      <c r="EB166" s="222" t="str">
        <f t="shared" si="613"/>
        <v>NO</v>
      </c>
      <c r="EC166" s="214">
        <f t="shared" si="614"/>
        <v>5</v>
      </c>
      <c r="ED166" s="227">
        <f t="shared" si="615"/>
        <v>0.4</v>
      </c>
      <c r="EE166" s="22">
        <v>44995</v>
      </c>
      <c r="EF166" s="22">
        <v>44995</v>
      </c>
      <c r="EG166" s="22">
        <v>44995</v>
      </c>
      <c r="EH166" s="22"/>
      <c r="EI166" s="22">
        <v>44995</v>
      </c>
      <c r="EJ166" s="22"/>
      <c r="EK166" s="22"/>
      <c r="EL166" s="21"/>
      <c r="EM166" s="21"/>
      <c r="EN166" s="22"/>
      <c r="EO166" s="222" t="str">
        <f t="shared" si="616"/>
        <v>TOMAR EXAMEN</v>
      </c>
      <c r="EP166" s="214" t="str">
        <f t="shared" si="617"/>
        <v/>
      </c>
      <c r="EQ166" s="216" t="str">
        <f t="shared" si="618"/>
        <v>POR DEFINIR</v>
      </c>
      <c r="ER166" s="24"/>
      <c r="ES166" s="22"/>
      <c r="ET166" s="29" t="str">
        <f t="shared" ca="1" si="676"/>
        <v>SALE SIN TAMIZAJE HEMOGLOBINA SEM 28</v>
      </c>
      <c r="EU166" s="25" t="str">
        <f t="shared" si="619"/>
        <v/>
      </c>
      <c r="EV166" s="24"/>
      <c r="EW166" s="24"/>
      <c r="EX166" s="22"/>
      <c r="EY166" s="29" t="str">
        <f t="shared" si="691"/>
        <v>TOMAR EXAMEN</v>
      </c>
      <c r="EZ166" s="25" t="str">
        <f t="shared" ca="1" si="692"/>
        <v/>
      </c>
      <c r="FA166" s="21"/>
      <c r="FB166" s="22"/>
      <c r="FC166" s="29" t="str">
        <f t="shared" si="620"/>
        <v>PIERDE TOMA TAMIZAJE- INGRESO TARDIO</v>
      </c>
      <c r="FD166" s="29"/>
      <c r="FE166" s="29"/>
      <c r="FF166" s="29"/>
      <c r="FG166" s="21" t="str">
        <f t="shared" ca="1" si="621"/>
        <v/>
      </c>
      <c r="FH166" s="31"/>
      <c r="FI166" s="29" t="str">
        <f t="shared" si="622"/>
        <v>TOMAR EXAMEN</v>
      </c>
      <c r="FJ166" s="22"/>
      <c r="FK166" s="22"/>
      <c r="FL166" s="29" t="str">
        <f t="shared" ca="1" si="623"/>
        <v>NO APLICA-INGRESO TARDIO</v>
      </c>
      <c r="FM166" s="22"/>
      <c r="FN166" s="32"/>
      <c r="FO166" s="29" t="str">
        <f t="shared" ca="1" si="677"/>
        <v>PIERDE TOMA DE TAMIZAJE</v>
      </c>
      <c r="FP166" s="22"/>
      <c r="FQ166" s="32"/>
      <c r="FR166" s="29" t="str">
        <f t="shared" ca="1" si="678"/>
        <v>PIERDE TOMA DE TAMIZAJE</v>
      </c>
      <c r="FS166" s="22"/>
      <c r="FT166" s="32"/>
      <c r="FU166" s="29" t="str">
        <f>IF(AND(FJ166="",FM166="",FP166="",FS166=""),"",IF(OR(OR(Tabla1[[#This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6" s="28"/>
      <c r="FW166" s="22"/>
      <c r="FX166" s="29" t="str">
        <f t="shared" si="624"/>
        <v>TOMAR EXAMEN</v>
      </c>
      <c r="FY166" s="22"/>
      <c r="FZ166" s="22"/>
      <c r="GA166" s="29" t="str">
        <f t="shared" ca="1" si="690"/>
        <v>NO APLICA-INGRESO TARDIO</v>
      </c>
      <c r="GB166" s="22"/>
      <c r="GC166" s="22"/>
      <c r="GD166" s="29" t="str">
        <f t="shared" ca="1" si="679"/>
        <v>PIERDE TOMA DE TAMIZAJE</v>
      </c>
      <c r="GE166" s="22"/>
      <c r="GF166" s="22"/>
      <c r="GG166" s="29" t="str">
        <f t="shared" ca="1" si="680"/>
        <v>PIERDE TOMA DE TAMIZAJE</v>
      </c>
      <c r="GH166" s="22"/>
      <c r="GI166" s="29"/>
      <c r="GJ166" s="22"/>
      <c r="GK166" s="22"/>
      <c r="GL166" s="22"/>
      <c r="GM166" s="22"/>
      <c r="GN166" s="28"/>
      <c r="GO166" s="22"/>
      <c r="GP166" s="29" t="str">
        <f t="shared" si="625"/>
        <v>TOMAR EXAMEN</v>
      </c>
      <c r="GQ166" s="28"/>
      <c r="GR166" s="28"/>
      <c r="GS166" s="22" t="str">
        <f t="shared" ref="GS166:GS224" si="726">IF(GQ166="NEGATIVO","CONTROL Igm",IF(AND(GQ166="POSITIVO",GR166="NEGATIVO"),"SE EXCLUYE INFECCION",IF(AND(GQ166="POSITIVO",GR166="POSITIVO"),"TOXOPLASMOSIS, REMITIR PARA MANEJO","")))</f>
        <v/>
      </c>
      <c r="GT166" s="22"/>
      <c r="GU166" s="29" t="str">
        <f t="shared" si="627"/>
        <v>TOMAR EXAMEN</v>
      </c>
      <c r="GV166" s="21" t="str">
        <f t="shared" si="628"/>
        <v>POR DEFINIR</v>
      </c>
      <c r="GW166" s="28"/>
      <c r="GX166" s="30"/>
      <c r="GY166" s="21"/>
      <c r="GZ166" s="21"/>
      <c r="HA166" s="21"/>
      <c r="HB166" s="21"/>
      <c r="HC166" s="21"/>
      <c r="HD166" s="21"/>
      <c r="HE166" s="21"/>
      <c r="HF166" s="22"/>
      <c r="HG166" s="22" t="str">
        <f>IF(OR(O166&gt;0,R166&gt;0),CONCATENATE(IF(Tabla1[[#This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6" s="22" t="e">
        <f t="shared" si="629"/>
        <v>#REF!</v>
      </c>
      <c r="HI166" s="22" t="e">
        <f t="shared" ca="1" si="630"/>
        <v>#REF!</v>
      </c>
      <c r="HJ166" s="21"/>
      <c r="HK166" s="21" t="str">
        <f t="shared" si="631"/>
        <v>SIN ANTECEDENTES DE RIESGO</v>
      </c>
      <c r="HL166" s="24" t="str">
        <f t="shared" si="632"/>
        <v>REGISTRE DATO PRESIÓN ARTERIAL MENSUAL</v>
      </c>
      <c r="HM166" s="21" t="str">
        <f t="shared" ca="1" si="633"/>
        <v/>
      </c>
      <c r="HN166" s="30" t="str">
        <f t="shared" si="681"/>
        <v>SALIO PROGRAMA</v>
      </c>
      <c r="HO166" s="21"/>
      <c r="HP166" s="21"/>
      <c r="HQ166" s="21">
        <v>45052</v>
      </c>
      <c r="HR166" s="21" t="str">
        <f>IF(R166="","",IF(Tabla1[[#This Row],[ALARMA FACTORES DE RIESGO COMPLICACIONES HIPERTENSIVAS3]]="SIN ANTECEDENTES DE RIESGO","No Aplica para suministro de ASA",IF(AND(Tabla1[[#This Row],[FECHA INICIO DE SUMINISTRO DE ASA]]&gt;0,RV166&lt;12),"Inicia ASA ANTES de Sem 12",IF(AND(RV166&gt;11,RV166&lt;17,OR(HK166="RIESGO ALTO DE COMPLICACIONES HIPERTENSIVAS VER MANEJO GUIA SUMINISTRO ASA Y CALCIO",HK166="RIESGO MODERADO (2 O MAS CRITERIOS) VER MANEJO GUIA SUMINISTRO ASA Y CALCIO")),"Inicio oportuno de ASA",IF(AND(RV166&gt;12,OR(HK166="RIESGO ALTO DE COMPLICACIONES HIPERTENSIVAS VER MANEJO GUIA SUMINISTRO ASA Y CALCIO",HK166="RIESGO MODERADO (2 O MAS CRITERIOS) VER MANEJO GUIA SUMINISTRO ASA Y CALCIO")),"Inicio no oportuno mayor a 16 semanas",IF(AND(BU166&lt;12,OR(HK166="RIESGO ALTO DE COMPLICACIONES HIPERTENSIVAS VER MANEJO GUIA SUMINISTRO ASA Y CALCIO",HK166="RIESGO MODERADO (2 O MAS CRITERIOS) VER MANEJO GUIA SUMINISTRO ASA Y CALCIO")),"Pendiente Inicio de ASA a la semana 12",IF(AND(BU166&gt;11,BU166&lt;17,OR(HK166="RIESGO ALTO DE COMPLICACIONES HIPERTENSIVAS VER MANEJO GUIA SUMINISTRO ASA Y CALCIO",HK166="RIESGO MODERADO (2 O MAS CRITERIOS) VER MANEJO GUIA SUMINISTRO ASA Y CALCIO")),"Iniciar de inmediato ASA",IF(AND(BU166&gt;16,OR(HK166="RIESGO ALTO DE COMPLICACIONES HIPERTENSIVAS VER MANEJO GUIA SUMINISTRO ASA Y CALCIO",HK166="RIESGO MODERADO (2 O MAS CRITERIOS) VER MANEJO GUIA SUMINISTRO ASA Y CALCIO")),"Pierde Oportunidad, Inicio tardío de ASA","XXXXX"))))))))</f>
        <v>No Aplica para suministro de ASA</v>
      </c>
      <c r="HS166" s="22">
        <v>45052</v>
      </c>
      <c r="HT166" s="22" t="s">
        <v>870</v>
      </c>
      <c r="HU166" s="22"/>
      <c r="HV166" s="22"/>
      <c r="HW166" s="22">
        <v>45052</v>
      </c>
      <c r="HX166" s="22" t="s">
        <v>870</v>
      </c>
      <c r="HY166" s="22"/>
      <c r="HZ166" s="28" t="str">
        <f t="shared" si="634"/>
        <v>PENDIENTE CONSULTA</v>
      </c>
      <c r="IA166" s="26"/>
      <c r="IB166" s="26"/>
      <c r="IC166" s="111"/>
      <c r="ID166" s="22"/>
      <c r="IE166" s="22" t="str">
        <f t="shared" ca="1" si="635"/>
        <v>SALE SIN VACUNA</v>
      </c>
      <c r="IF166" s="22"/>
      <c r="IG166" s="22">
        <f t="shared" si="636"/>
        <v>45144</v>
      </c>
      <c r="IH166" s="29">
        <f t="shared" ca="1" si="637"/>
        <v>-89</v>
      </c>
      <c r="II166" s="22" t="str">
        <f t="shared" ca="1" si="638"/>
        <v>POSIBLEMENTE NACIO</v>
      </c>
      <c r="IJ166" s="22"/>
      <c r="IK166" s="21" t="s">
        <v>898</v>
      </c>
      <c r="IL166" s="21"/>
      <c r="IM166" s="34"/>
      <c r="IN166" s="349">
        <v>45111</v>
      </c>
      <c r="IO166" s="21" t="s">
        <v>1186</v>
      </c>
      <c r="IP166" s="29">
        <f t="shared" si="672"/>
        <v>35.285714285714285</v>
      </c>
      <c r="IQ166" s="35" t="s">
        <v>1650</v>
      </c>
      <c r="IR166" s="21" t="s">
        <v>1651</v>
      </c>
      <c r="IS166" s="21" t="s">
        <v>1646</v>
      </c>
      <c r="IT166" s="21" t="s">
        <v>1642</v>
      </c>
      <c r="IU166" s="21"/>
      <c r="IV166" s="21"/>
      <c r="IW166" s="21"/>
      <c r="IX166" s="21"/>
      <c r="IY166" s="21"/>
      <c r="IZ166" s="21"/>
      <c r="JA166" s="21"/>
      <c r="JB166" s="30">
        <v>1</v>
      </c>
      <c r="JC166" s="21" t="s">
        <v>1647</v>
      </c>
      <c r="JD166" s="36">
        <v>2880</v>
      </c>
      <c r="JE166" s="21" t="str">
        <f t="shared" si="682"/>
        <v>ERROR VERIFICAR DATO EDAD GESTACIONAL VS PESO</v>
      </c>
      <c r="JF166" s="30"/>
      <c r="JG166" s="21"/>
      <c r="JH166" s="21"/>
      <c r="JI166" s="309" t="s">
        <v>854</v>
      </c>
      <c r="JJ166" s="329" t="s">
        <v>866</v>
      </c>
      <c r="JK166" s="22"/>
      <c r="JL166" s="22"/>
      <c r="JM166" s="21"/>
      <c r="JN166" s="36"/>
      <c r="JO166" s="21" t="str">
        <f t="shared" si="683"/>
        <v/>
      </c>
      <c r="JP166" s="22"/>
      <c r="JQ166" s="21"/>
      <c r="JR166" s="21"/>
      <c r="JS166" s="21"/>
      <c r="JT166" s="30"/>
      <c r="JU166" s="22"/>
      <c r="JV166" s="22"/>
      <c r="JW166" s="33"/>
      <c r="JX166" s="28" t="str">
        <f t="shared" si="684"/>
        <v>INASISTENTE</v>
      </c>
      <c r="JY166" s="33"/>
      <c r="JZ166" s="28" t="str">
        <f t="shared" si="685"/>
        <v>INASISTENTE</v>
      </c>
      <c r="KA166" s="21"/>
      <c r="KB166" s="21"/>
      <c r="KC166" s="21"/>
      <c r="KD166" s="37"/>
      <c r="KE166" s="28"/>
      <c r="KF166" s="28"/>
      <c r="KG166" s="28"/>
      <c r="KH166" s="39"/>
      <c r="KI166" s="39"/>
      <c r="KJ166" s="66"/>
      <c r="KK166" s="39"/>
      <c r="KL166" s="39"/>
      <c r="KM166" s="66"/>
      <c r="KN166" s="39"/>
      <c r="KO166" s="39"/>
      <c r="KP166" s="39"/>
      <c r="KQ166" s="39"/>
      <c r="KR166" s="39"/>
      <c r="KS166" s="39"/>
      <c r="KT166" s="39"/>
      <c r="KU166" s="38"/>
      <c r="KV166" s="38"/>
      <c r="KW166" s="38"/>
      <c r="KX166" s="38"/>
      <c r="KY166" s="38"/>
      <c r="KZ166" s="38"/>
      <c r="LA166" s="38"/>
      <c r="LB166" s="38"/>
      <c r="LC166" s="38"/>
      <c r="LD166" s="38"/>
      <c r="LE166" s="38"/>
      <c r="LF166" s="38"/>
      <c r="LG166" s="38"/>
      <c r="LH166" s="38"/>
      <c r="LI166" s="38"/>
      <c r="LJ166" s="38"/>
      <c r="LK166" s="38"/>
      <c r="LL166" s="38"/>
      <c r="LM166" s="38"/>
      <c r="LN166" s="38"/>
      <c r="LO166" s="38"/>
      <c r="LP166" s="38"/>
      <c r="LQ166" s="38"/>
      <c r="LR166" s="38"/>
      <c r="LS166" s="38"/>
      <c r="LT166" s="38"/>
      <c r="LU166" s="38"/>
      <c r="LV166" s="38"/>
      <c r="LW166" s="38"/>
      <c r="LX166" s="38"/>
      <c r="LY166" s="38"/>
      <c r="LZ166" s="38"/>
      <c r="MA166" s="38"/>
      <c r="MB166" s="38"/>
      <c r="MC166" s="38"/>
      <c r="MD166" s="38"/>
      <c r="ME166" s="38"/>
      <c r="MF166" s="38"/>
      <c r="MG166" s="38"/>
      <c r="MH166" s="43">
        <f t="shared" si="695"/>
        <v>0</v>
      </c>
      <c r="MI166" s="43" t="str">
        <f t="shared" si="696"/>
        <v/>
      </c>
      <c r="MJ166" s="43" t="str">
        <f t="shared" si="697"/>
        <v/>
      </c>
      <c r="MK166" s="43">
        <f t="shared" si="698"/>
        <v>0</v>
      </c>
      <c r="ML16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6" s="43">
        <f t="shared" si="699"/>
        <v>25.714285714285715</v>
      </c>
      <c r="MN166" s="43">
        <f t="shared" si="700"/>
        <v>4</v>
      </c>
      <c r="MO166" s="43">
        <f t="shared" si="701"/>
        <v>2023</v>
      </c>
      <c r="MP166" s="43" t="str">
        <f t="shared" si="702"/>
        <v>II TRIMESTRE AÑO</v>
      </c>
      <c r="MQ166" s="43">
        <f t="shared" si="703"/>
        <v>30.984450284713095</v>
      </c>
      <c r="MR166" s="43">
        <f t="shared" si="704"/>
        <v>0</v>
      </c>
      <c r="MS166" s="43" t="str">
        <f t="shared" si="705"/>
        <v xml:space="preserve"> DE 30 A 34 AÑOS</v>
      </c>
      <c r="MT166" s="43">
        <f t="shared" si="706"/>
        <v>0</v>
      </c>
      <c r="MU166" s="43">
        <f t="shared" si="707"/>
        <v>2</v>
      </c>
      <c r="MV166" s="43">
        <f t="shared" si="708"/>
        <v>0</v>
      </c>
      <c r="MW166" s="43">
        <f t="shared" si="709"/>
        <v>0</v>
      </c>
      <c r="MX166" s="43" t="str">
        <f t="shared" si="710"/>
        <v/>
      </c>
      <c r="MY166" s="43" t="str">
        <f t="shared" ca="1" si="686"/>
        <v/>
      </c>
      <c r="MZ166" s="43" t="str">
        <f t="shared" si="711"/>
        <v/>
      </c>
      <c r="NA166" s="43" t="str">
        <f t="shared" si="712"/>
        <v/>
      </c>
      <c r="NB166" s="43" t="str">
        <f t="shared" si="713"/>
        <v/>
      </c>
      <c r="NC166" s="43" t="str">
        <f t="shared" si="714"/>
        <v/>
      </c>
      <c r="ND166" s="43">
        <f t="shared" ca="1" si="715"/>
        <v>2</v>
      </c>
      <c r="NE166" s="43">
        <f>IF(OR(O166&gt;0,R166&gt;0),SUM(COUNTIF(Tabla1[[#This Row],[AÑOS AL INICIO5 CPN]],"&gt;=40"),COUNTIF(AS166,"0"),COUNTIF(AR166,"SI"),COUNTIF(CC166,"SI"),COUNTIF(BQ166,"&gt;119"),COUNTIF(CI166,"&gt;=35")),"")</f>
        <v>0</v>
      </c>
      <c r="NF166" s="43" t="str">
        <f t="shared" si="716"/>
        <v/>
      </c>
      <c r="NG166" s="43">
        <f t="shared" si="717"/>
        <v>0</v>
      </c>
      <c r="NH166" s="43" t="str">
        <f t="shared" si="718"/>
        <v/>
      </c>
      <c r="NI16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CPN",P166="NO"),"Z",IF(AND(Tabla1[[#This Row],[CITA PROXIMO CONTROL]]="CITA MANUAL",Tabla1[[#This Row],[GESTANTES ACTUALES]]="ACTIVA INGRESO A CPN"),"W",IF(AND(Tabla1[[#This Row],[GESTANTES ACTUALES]]="SALIO PROGRAMA",IN166=""),"S",IF(AND(Tabla1[[#This Row],[CITA PROXIMO CONTROL]]&gt;0,IN166=""),(Tabla1[[#This Row],[CITA PROXIMO CONTROL]]-TODAY()),"SD"))))))))</f>
        <v>SD</v>
      </c>
      <c r="NJ166" s="43">
        <f>MONTH(Tabla1[[#This Row],[FECHA DE SALIDA  DEL PROGRAMA]])</f>
        <v>7</v>
      </c>
      <c r="NK166" s="43">
        <f>YEAR(Tabla1[[#This Row],[FECHA DE SALIDA  DEL PROGRAMA]])</f>
        <v>2023</v>
      </c>
      <c r="NL166" s="43" t="str">
        <f t="shared" si="719"/>
        <v>X</v>
      </c>
      <c r="NM166" s="43" t="str">
        <f t="shared" si="693"/>
        <v>NO</v>
      </c>
      <c r="NN166" s="43" t="str">
        <f ca="1">IF(AND(O166&gt;0,R166=""),"NO CPN",IF(AND(O166="",R166=""),"",IF(AND(R166&gt;0,Tabla1[[#This Row],[SEMANAS DE GESTACION ACTUALIZADAS]]&lt;=12),"NO APLICA",IF(AND(FH166&lt;&gt;"",FN166&lt;&gt;""),"SI","NO"))))</f>
        <v>NO</v>
      </c>
      <c r="NO166" s="43" t="str">
        <f ca="1">IF(AND(O166&gt;0,R166=""),"NO CPN",IF(AND(O166="",R166=""),"",IF(AND(R166&gt;0,Tabla1[[#This Row],[SEMANAS DE GESTACION ACTUALIZADAS]]&lt;=27),"NO APLICA",IF(AND(ES166&lt;&gt;"",FQ166&lt;&gt;"",GF166&lt;&gt;""),"SI","NO"))))</f>
        <v>NO</v>
      </c>
      <c r="NP166" s="204" t="str">
        <f t="shared" si="720"/>
        <v>II TRIM</v>
      </c>
      <c r="NQ166" s="21">
        <f t="shared" si="689"/>
        <v>10</v>
      </c>
      <c r="NR166" s="21">
        <f t="shared" si="687"/>
        <v>2</v>
      </c>
      <c r="NS166" s="205">
        <f t="shared" ca="1" si="721"/>
        <v>0</v>
      </c>
      <c r="NT166" s="21">
        <f t="shared" ca="1" si="722"/>
        <v>0</v>
      </c>
      <c r="NU166" s="21" t="str">
        <f t="shared" ca="1" si="723"/>
        <v>INCOMPLETO</v>
      </c>
      <c r="NV166" s="21" t="str">
        <f t="shared" ca="1" si="724"/>
        <v>INCOMPLETO</v>
      </c>
      <c r="NW166" s="206" t="str">
        <f>IF(AND(O166="",R166=""),"",IF(OR(AND(Tabla1[[#This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6" s="207" t="str">
        <f t="shared" ca="1" si="725"/>
        <v>SIN VACUNAR</v>
      </c>
      <c r="NY166" s="43">
        <f>ROW(Tabla1[[#This Row],['# DE TAMIZAJES SIFILIS TOMADOS ]])</f>
        <v>166</v>
      </c>
      <c r="NZ166" s="43">
        <f t="shared" si="501"/>
        <v>25</v>
      </c>
      <c r="OA166" s="43" t="str">
        <f t="shared" si="502"/>
        <v/>
      </c>
      <c r="OB166" s="43" t="str">
        <f t="shared" si="503"/>
        <v/>
      </c>
      <c r="OC166" s="43" t="str">
        <f t="shared" si="504"/>
        <v/>
      </c>
      <c r="OD166" s="43" t="str">
        <f t="shared" si="505"/>
        <v/>
      </c>
      <c r="OE166" s="43" t="str">
        <f t="shared" si="506"/>
        <v/>
      </c>
      <c r="OF166" s="43" t="str">
        <f t="shared" si="507"/>
        <v/>
      </c>
      <c r="OG166" s="43" t="str">
        <f t="shared" si="508"/>
        <v/>
      </c>
      <c r="OH166" s="43" t="str">
        <f t="shared" si="509"/>
        <v/>
      </c>
      <c r="OI166" s="43" t="str">
        <f t="shared" si="510"/>
        <v/>
      </c>
      <c r="OJ166" s="43" t="str">
        <f t="shared" si="511"/>
        <v/>
      </c>
      <c r="OK166" s="43" t="str">
        <f t="shared" si="512"/>
        <v/>
      </c>
      <c r="OL166" s="43" t="str">
        <f t="shared" si="513"/>
        <v/>
      </c>
      <c r="OM166" s="43" t="str">
        <f t="shared" si="514"/>
        <v/>
      </c>
      <c r="ON166" s="43" t="str">
        <f t="shared" si="515"/>
        <v/>
      </c>
      <c r="OO166" s="43" t="str">
        <f t="shared" si="516"/>
        <v/>
      </c>
      <c r="OP166" s="43" t="str">
        <f t="shared" si="517"/>
        <v/>
      </c>
      <c r="OQ166" s="43" t="str">
        <f t="shared" si="518"/>
        <v>SOBREPESO</v>
      </c>
      <c r="OR166" s="43" t="str">
        <f t="shared" si="519"/>
        <v/>
      </c>
      <c r="OS166" s="43" t="str">
        <f t="shared" si="520"/>
        <v/>
      </c>
      <c r="OT166" s="43" t="str">
        <f t="shared" si="521"/>
        <v/>
      </c>
      <c r="OU166" s="43" t="str">
        <f t="shared" si="522"/>
        <v/>
      </c>
      <c r="OV166" s="110" t="str">
        <f t="shared" si="523"/>
        <v/>
      </c>
      <c r="OW166" s="43" t="str">
        <f t="shared" si="524"/>
        <v/>
      </c>
      <c r="OX166" s="43" t="str">
        <f t="shared" si="525"/>
        <v/>
      </c>
      <c r="OY166" s="43" t="str">
        <f t="shared" si="526"/>
        <v/>
      </c>
      <c r="OZ166" s="43" t="str">
        <f t="shared" si="527"/>
        <v/>
      </c>
      <c r="PA166" s="43" t="str">
        <f t="shared" si="528"/>
        <v/>
      </c>
      <c r="PB166" s="43" t="str">
        <f t="shared" si="529"/>
        <v/>
      </c>
      <c r="PC166" s="43" t="str">
        <f t="shared" si="530"/>
        <v/>
      </c>
      <c r="PD166" s="43" t="str">
        <f t="shared" si="531"/>
        <v/>
      </c>
      <c r="PE166" s="43" t="str">
        <f t="shared" si="532"/>
        <v/>
      </c>
      <c r="PF166" s="43" t="str">
        <f t="shared" si="533"/>
        <v/>
      </c>
      <c r="PG166" s="43" t="str">
        <f t="shared" si="534"/>
        <v/>
      </c>
      <c r="PH166" s="43" t="str">
        <f t="shared" si="535"/>
        <v/>
      </c>
      <c r="PI166" s="43">
        <f t="shared" si="536"/>
        <v>25</v>
      </c>
      <c r="PJ166" s="43" t="str">
        <f t="shared" si="537"/>
        <v/>
      </c>
      <c r="PK166" s="43" t="str">
        <f t="shared" si="538"/>
        <v/>
      </c>
      <c r="PL166" s="43" t="str">
        <f t="shared" si="539"/>
        <v/>
      </c>
      <c r="PM166" s="43" t="str">
        <f t="shared" si="540"/>
        <v/>
      </c>
      <c r="PN166" s="43" t="str">
        <f t="shared" si="541"/>
        <v/>
      </c>
      <c r="PO166" s="43" t="str">
        <f t="shared" si="542"/>
        <v/>
      </c>
      <c r="PP166" s="43" t="str">
        <f t="shared" si="543"/>
        <v/>
      </c>
      <c r="PQ166" s="43" t="str">
        <f t="shared" si="544"/>
        <v/>
      </c>
      <c r="PR166" s="43" t="str">
        <f t="shared" si="545"/>
        <v/>
      </c>
      <c r="PS166" s="43" t="str">
        <f t="shared" si="546"/>
        <v/>
      </c>
      <c r="PT166" s="43" t="str">
        <f t="shared" si="547"/>
        <v/>
      </c>
      <c r="PU166" s="43" t="str">
        <f t="shared" si="548"/>
        <v/>
      </c>
      <c r="PV166" s="43" t="str">
        <f t="shared" si="549"/>
        <v/>
      </c>
      <c r="PW166" s="43" t="str">
        <f t="shared" si="550"/>
        <v/>
      </c>
      <c r="PX166" s="43" t="str">
        <f t="shared" si="551"/>
        <v/>
      </c>
      <c r="PY166" s="43" t="str">
        <f t="shared" si="552"/>
        <v/>
      </c>
      <c r="PZ166" s="43" t="str">
        <f t="shared" si="553"/>
        <v/>
      </c>
      <c r="QA166" s="43" t="str">
        <f t="shared" si="554"/>
        <v/>
      </c>
      <c r="QB166" s="43" t="str">
        <f t="shared" si="555"/>
        <v/>
      </c>
      <c r="QC166" s="43" t="str">
        <f t="shared" si="556"/>
        <v/>
      </c>
      <c r="QD166" s="43" t="str">
        <f t="shared" si="557"/>
        <v/>
      </c>
      <c r="QE166" s="43" t="str">
        <f t="shared" si="558"/>
        <v/>
      </c>
      <c r="QF166" s="43" t="str">
        <f t="shared" si="559"/>
        <v/>
      </c>
      <c r="QG166" s="43" t="str">
        <f t="shared" si="560"/>
        <v/>
      </c>
      <c r="QH166" s="43" t="str">
        <f t="shared" si="561"/>
        <v/>
      </c>
      <c r="QI166" s="43" t="str">
        <f t="shared" si="562"/>
        <v/>
      </c>
      <c r="QJ166" s="43" t="str">
        <f t="shared" si="563"/>
        <v/>
      </c>
      <c r="QK166" s="43" t="str">
        <f t="shared" si="564"/>
        <v/>
      </c>
      <c r="QL166" s="43" t="str">
        <f t="shared" si="565"/>
        <v/>
      </c>
      <c r="QM166" s="43" t="str">
        <f t="shared" si="566"/>
        <v/>
      </c>
      <c r="QN166" s="43" t="str">
        <f t="shared" si="567"/>
        <v/>
      </c>
      <c r="QO166" s="43" t="str">
        <f t="shared" si="568"/>
        <v/>
      </c>
      <c r="QP166" s="43" t="str">
        <f t="shared" si="569"/>
        <v/>
      </c>
      <c r="QQ166" s="43" t="str">
        <f t="shared" si="570"/>
        <v/>
      </c>
      <c r="QR166" s="43">
        <f t="shared" si="670"/>
        <v>25</v>
      </c>
      <c r="QS166" s="43"/>
      <c r="QT166" s="21" t="str">
        <f t="shared" si="571"/>
        <v/>
      </c>
      <c r="QU166" s="21" t="str">
        <f t="shared" si="572"/>
        <v/>
      </c>
      <c r="QV166" s="21" t="str">
        <f t="shared" si="573"/>
        <v/>
      </c>
      <c r="QW166" s="21" t="str">
        <f t="shared" si="574"/>
        <v/>
      </c>
      <c r="QX166" s="21" t="str">
        <f t="shared" si="575"/>
        <v/>
      </c>
      <c r="QY166" s="21" t="str">
        <f t="shared" si="576"/>
        <v/>
      </c>
      <c r="QZ166" s="21" t="str">
        <f t="shared" si="577"/>
        <v/>
      </c>
      <c r="RA166" s="21" t="str">
        <f t="shared" si="578"/>
        <v/>
      </c>
      <c r="RB166" s="21" t="str">
        <f t="shared" si="579"/>
        <v/>
      </c>
      <c r="RC166" s="21" t="str">
        <f t="shared" si="580"/>
        <v/>
      </c>
      <c r="RD166" s="21" t="str">
        <f t="shared" si="581"/>
        <v/>
      </c>
      <c r="RE166" s="21" t="str">
        <f t="shared" si="582"/>
        <v/>
      </c>
      <c r="RF166" s="21" t="str">
        <f t="shared" si="583"/>
        <v/>
      </c>
      <c r="RG166" s="21" t="str">
        <f t="shared" si="584"/>
        <v/>
      </c>
      <c r="RH166" s="21" t="str">
        <f t="shared" si="585"/>
        <v/>
      </c>
      <c r="RI166" s="21" t="str">
        <f t="shared" si="586"/>
        <v/>
      </c>
      <c r="RJ166" s="21" t="str">
        <f t="shared" si="587"/>
        <v/>
      </c>
      <c r="RK166" s="21" t="str">
        <f t="shared" si="588"/>
        <v/>
      </c>
      <c r="RL166" s="21" t="str">
        <f t="shared" si="589"/>
        <v/>
      </c>
      <c r="RM166" s="21" t="str">
        <f t="shared" si="590"/>
        <v/>
      </c>
      <c r="RN166" s="21" t="str">
        <f t="shared" si="591"/>
        <v/>
      </c>
      <c r="RO166" s="21" t="str">
        <f t="shared" si="592"/>
        <v/>
      </c>
      <c r="RP166" s="21" t="str">
        <f t="shared" si="593"/>
        <v/>
      </c>
      <c r="RQ166" s="21" t="str">
        <f t="shared" si="594"/>
        <v/>
      </c>
      <c r="RR166" s="21" t="str">
        <f t="shared" si="595"/>
        <v/>
      </c>
      <c r="RS166" s="21" t="str">
        <f t="shared" si="596"/>
        <v/>
      </c>
      <c r="RT166" s="21" t="str">
        <f t="shared" si="597"/>
        <v/>
      </c>
      <c r="RU166" s="21" t="str">
        <f t="shared" si="598"/>
        <v/>
      </c>
      <c r="RV166" s="21">
        <f t="shared" si="599"/>
        <v>26.857142857142858</v>
      </c>
      <c r="RW166" s="284">
        <f>IF(OR(Tabla1[[#This Row],[FUM FORMULA CONFIABLE]]="",Tabla1[[#This Row],[FUM FORMULA CONFIABLE]]="SD"),"",IF(Tabla1[[#This Row],[FUM FORMULA CONFIABLE]]="CORREGIDA",Tabla1[[#This Row],[FUM X ECO 1]],Tabla1[[#This Row],[FUM x AMENORREA]]))</f>
        <v>44864</v>
      </c>
      <c r="RX166" s="21" t="str">
        <f>IF(AND(Tabla1[[#This Row],[FUM X ECO 1]]="",Tabla1[[#This Row],[FUM x AMENORREA]]=""),"",IF(AND(Tabla1[[#This Row],[FUM X ECO 1]]="",Tabla1[[#This Row],[FUM x AMENORREA]]&lt;&gt;""),"X",SUM(Tabla1[[#This Row],[FUM X ECO 1]]-Tabla1[[#This Row],[FUM x AMENORREA]])))</f>
        <v>X</v>
      </c>
      <c r="RY166" s="21" t="str">
        <f t="shared" si="671"/>
        <v>x</v>
      </c>
    </row>
    <row r="167" spans="1:493" ht="45" customHeight="1" x14ac:dyDescent="0.25">
      <c r="A167" s="109"/>
      <c r="B167" s="43"/>
      <c r="C167" s="43" t="s">
        <v>845</v>
      </c>
      <c r="D167" s="124"/>
      <c r="E167" s="43" t="s">
        <v>1425</v>
      </c>
      <c r="F167" s="43" t="s">
        <v>1365</v>
      </c>
      <c r="G167" s="43" t="s">
        <v>1472</v>
      </c>
      <c r="H167" s="43"/>
      <c r="I167" s="109" t="s">
        <v>851</v>
      </c>
      <c r="J167" s="110">
        <v>1002848150</v>
      </c>
      <c r="K167" s="43" t="s">
        <v>852</v>
      </c>
      <c r="L167" s="175" t="s">
        <v>1509</v>
      </c>
      <c r="M167" s="22">
        <v>37854</v>
      </c>
      <c r="N167" s="213">
        <f t="shared" ca="1" si="600"/>
        <v>20.216438356164385</v>
      </c>
      <c r="O167" s="22">
        <v>45001</v>
      </c>
      <c r="P167" s="214" t="str">
        <f t="shared" si="673"/>
        <v>SI</v>
      </c>
      <c r="Q167" s="26" t="s">
        <v>855</v>
      </c>
      <c r="R167" s="22">
        <v>45001</v>
      </c>
      <c r="S167" s="21" t="s">
        <v>856</v>
      </c>
      <c r="T167" s="24" t="s">
        <v>690</v>
      </c>
      <c r="U167" s="21" t="s">
        <v>857</v>
      </c>
      <c r="V167" s="21" t="s">
        <v>858</v>
      </c>
      <c r="W167" s="21" t="s">
        <v>1473</v>
      </c>
      <c r="X167" s="21"/>
      <c r="Y167" s="21"/>
      <c r="Z167" s="21">
        <v>3146794495</v>
      </c>
      <c r="AA167" s="21" t="s">
        <v>860</v>
      </c>
      <c r="AB167" s="27" t="s">
        <v>861</v>
      </c>
      <c r="AC167" s="26" t="s">
        <v>1434</v>
      </c>
      <c r="AD167" s="38" t="s">
        <v>846</v>
      </c>
      <c r="AE167" s="26" t="s">
        <v>854</v>
      </c>
      <c r="AF167" s="26" t="s">
        <v>854</v>
      </c>
      <c r="AG167" s="23" t="s">
        <v>864</v>
      </c>
      <c r="AH167" s="23" t="s">
        <v>864</v>
      </c>
      <c r="AI167" s="24" t="s">
        <v>863</v>
      </c>
      <c r="AJ167" s="23" t="s">
        <v>864</v>
      </c>
      <c r="AK167" s="220" t="str">
        <f>IF(AND(AD167="",AE167="",AF167="",AG167="",AH167="",AI167="",AJ167=""),"",IF(OR(Tabla1[[#This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EVALUACIÓN",IF(AND(O167="",R167=""),"",IF(AND(OR(O167&gt;0,R167&gt;0),NG167&gt;=0,NG167&lt;2),"SIN RIESGO",IF(AND(OR(O167&gt;0,R167&gt;0),NG167&gt;=2),"CON RIESGO","ASD")))))</f>
        <v>SIN RIESGO</v>
      </c>
      <c r="AL167" s="23" t="s">
        <v>864</v>
      </c>
      <c r="AM167" s="26" t="s">
        <v>864</v>
      </c>
      <c r="AN167" s="26" t="s">
        <v>864</v>
      </c>
      <c r="AO167" s="26" t="s">
        <v>864</v>
      </c>
      <c r="AP167" s="26" t="s">
        <v>864</v>
      </c>
      <c r="AQ167" s="26" t="s">
        <v>864</v>
      </c>
      <c r="AR167" s="26" t="s">
        <v>864</v>
      </c>
      <c r="AS167" s="21">
        <v>0</v>
      </c>
      <c r="AT167" s="21">
        <v>0</v>
      </c>
      <c r="AU167" s="21">
        <v>0</v>
      </c>
      <c r="AV167" s="26" t="s">
        <v>864</v>
      </c>
      <c r="AW167" s="21">
        <v>0</v>
      </c>
      <c r="AX167" s="26" t="s">
        <v>864</v>
      </c>
      <c r="AY167" s="26" t="s">
        <v>864</v>
      </c>
      <c r="AZ167" s="26" t="s">
        <v>864</v>
      </c>
      <c r="BA167" s="26" t="s">
        <v>864</v>
      </c>
      <c r="BB167" s="26" t="s">
        <v>864</v>
      </c>
      <c r="BC167" s="26" t="s">
        <v>864</v>
      </c>
      <c r="BD167" s="26" t="s">
        <v>864</v>
      </c>
      <c r="BE167" s="26" t="s">
        <v>864</v>
      </c>
      <c r="BF167" s="26" t="s">
        <v>864</v>
      </c>
      <c r="BG167" s="26" t="s">
        <v>864</v>
      </c>
      <c r="BH167" s="26" t="s">
        <v>864</v>
      </c>
      <c r="BI167" s="26" t="s">
        <v>864</v>
      </c>
      <c r="BJ167" s="26"/>
      <c r="BK167" s="26"/>
      <c r="BL167" s="26" t="s">
        <v>864</v>
      </c>
      <c r="BM167" s="26" t="s">
        <v>864</v>
      </c>
      <c r="BN167" s="22"/>
      <c r="BO167" s="22">
        <v>44860</v>
      </c>
      <c r="BP167" s="21" t="s">
        <v>864</v>
      </c>
      <c r="BQ167" s="222">
        <f t="shared" si="601"/>
        <v>0</v>
      </c>
      <c r="BR167" s="223" t="str">
        <f t="shared" si="602"/>
        <v/>
      </c>
      <c r="BS167" s="224">
        <f t="shared" si="603"/>
        <v>20.142857142857142</v>
      </c>
      <c r="BT167" s="216" t="str">
        <f t="shared" si="604"/>
        <v>DEFINIR CON ECO</v>
      </c>
      <c r="BU167" s="214" t="str">
        <f t="shared" ca="1" si="605"/>
        <v/>
      </c>
      <c r="BV167" s="25"/>
      <c r="BW167" s="22"/>
      <c r="BX167" s="28"/>
      <c r="BY167" s="28"/>
      <c r="BZ167" s="22"/>
      <c r="CA167" s="21"/>
      <c r="CB167" s="26"/>
      <c r="CC167" s="26"/>
      <c r="CD167" s="26"/>
      <c r="CE167" s="26"/>
      <c r="CF167" s="22" t="s">
        <v>1517</v>
      </c>
      <c r="CG167" s="21">
        <v>1.47</v>
      </c>
      <c r="CH167" s="21">
        <v>49.8</v>
      </c>
      <c r="CI167" s="214">
        <f t="shared" si="606"/>
        <v>23.045953075107594</v>
      </c>
      <c r="CJ167" s="225" t="e">
        <f>IF(AND(CI167&lt;10,CH167="SD"),"SIN DATO PESO PREGESTACION O I TRIM",IF(AND(OR(R167&gt;0,O167&gt;0),CI167="X"),"INGRESAR DATO DE PESO",IF(CI167="SD","INGRESAR DATO DE TALLA Y PESO",IF(AND(OR(Tabla1[[#This Row],[MOMENTO EN QUE SE REALIZA EL PESO AL INGRESO A CPN]]="PREGESTACIÓN",NZ167="Menor"),CI167&lt;18.5),"BAJO PESO",IF(AND(OR(Tabla1[[#This Row],[MOMENTO EN QUE SE REALIZA EL PESO AL INGRESO A CPN]]="PREGESTACIÓN",NZ167="Menor"),CI167&lt;25),"NORMAL",IF(AND(OR(Tabla1[[#This Row],[MOMENTO EN QUE SE REALIZA EL PESO AL INGRESO A CPN]]="PREGESTACIÓN",NZ167="Menor"),CI167&lt;30),"SOBREPESO",IF(AND(OR(Tabla1[[#This Row],[MOMENTO EN QUE SE REALIZA EL PESO AL INGRESO A CPN]]="PREGESTACIÓN",NZ167="Menor"),CI167&gt;=30,CI167&lt;50),"OBESIDAD",IF(AND(BS167&gt;0,Tabla1[[#This Row],[MOMENTO EN QUE SE REALIZA EL PESO AL INGRESO A CPN]]="GESTACIÓN"),HLOOKUP(NZ167,$OA$2:PH167,NY167),""))))))))</f>
        <v>#REF!</v>
      </c>
      <c r="CK167" s="212">
        <f t="shared" si="607"/>
        <v>45099</v>
      </c>
      <c r="CL167" s="21">
        <v>51.5</v>
      </c>
      <c r="CM167" s="214">
        <f t="shared" si="608"/>
        <v>23.832662316627331</v>
      </c>
      <c r="CN167" s="216">
        <f t="shared" si="609"/>
        <v>34</v>
      </c>
      <c r="CO167" s="216" t="e">
        <f>IF(PI167="","",IF(PI167&gt;0,HLOOKUP(PI167,$PJ$2:QQ167,NY167),""))</f>
        <v>#REF!</v>
      </c>
      <c r="CP167" s="21">
        <v>26</v>
      </c>
      <c r="CQ167" s="216" t="e">
        <f>IF(QR167="Menor","NO APLICA-MENOR 13 SEM",IF(AND(CC167="SI",CN167&gt;23),"NO APLICA- GEMELAR",IF(QR167="","",IF(QR167&gt;0,HLOOKUP(QR167,$QS$2:RU167,NY167),""))))</f>
        <v>#REF!</v>
      </c>
      <c r="CR167" s="21"/>
      <c r="CS167" s="21"/>
      <c r="CT167" s="217" t="str">
        <f>IF(R167="","",IF(AND(BS167&gt;1,BS167&lt;12,Tabla1[[#This Row],[T.A. SISTOLICA - ANTES DE SEMANA 12]]="",Tabla1[[#This Row],[T.A. DIASTOLICA - ANTES DE SEMANA 12]]=""),"REGISTRE DATO TA ANTES SEMANA 12",IF(AND(BS167&gt;11,BS167&lt;43,Tabla1[[#This Row],[T.A. SISTOLICA - ANTES DE SEMANA 12]]="",Tabla1[[#This Row],[T.A. DIASTOLICA - ANTES DE SEMANA 12]]=""),"NO APLICA REGISTRO TA-INGRESO TARDIO",IF(AND(OR(O167&gt;0,R167&gt;0),OR(CR167&gt;=140,CS167&gt;=90)),"DEFINIR ESTADIO HTA",IF(AND(OR(O167&gt;0,R167&gt;0),AND(CR167&gt;120,CR167&lt;=139)),"PRE HTA SEGUIMIENTO",IF(AND(OR(O167&gt;0,R167&gt;0),AND(CS167&gt;80,CS167&lt;=89)),"PRE HTA SEGUIMIENTO",IF(AND(OR(O167&gt;0,R167&gt;0),AND(CR167&gt;=80,CR167&lt;=120)),"APARENTEMENTE NORMAL",IF(AND(OR(O167&gt;0,R167&gt;0),AND(CS167&gt;=50,CS167&lt;=80)),"APARENTEMENTE NORMAL",IF(AND(OR(O167&gt;0,R167&gt;0),AND(CR167&gt;1,CR167&lt;=70),AND(CS167&gt;1,CS167&lt;=40)),"HIPOTENSIÓN","")))))))))</f>
        <v>NO APLICA REGISTRO TA-INGRESO TARDIO</v>
      </c>
      <c r="CU167" s="21">
        <v>120</v>
      </c>
      <c r="CV167" s="21">
        <v>80</v>
      </c>
      <c r="CW167" s="217" t="str">
        <f ca="1">IF(R167="","",IF(AND(CN167&gt;19,CN167&lt;27,Tabla1[[#This Row],[T.A. SISTOLICA (Entre semana 20 y 26)]]="",Tabla1[[#This Row],[T.A. DIATOLICA (Entre semana 20 y 26)]]=""),"ACUDE A CONTROL SEM 20 A 26 REGISTRE TA AHORA",IF(AND(BS167&gt;1,BS167&lt;27,BU167&gt;19,Tabla1[[#This Row],[T.A. SISTOLICA (Entre semana 20 y 26)]]="",Tabla1[[#This Row],[T.A. DIATOLICA (Entre semana 20 y 26)]]=""),"COMPLETE REGISTRO TA CONTROL SEM 20 A26 ",IF(AND(BS167&gt;26,BS167&lt;43,Tabla1[[#This Row],[T.A. SISTOLICA (Entre semana 20 y 26)]]="",Tabla1[[#This Row],[T.A. DIATOLICA (Entre semana 20 y 26)]]=""),"NO APLICA REGISTRO TA-INGRESO TARDIO",IF(AND(OR(O167&gt;0,R167&gt;0),OR(CU167&gt;=140,CV167&gt;=90)),"ALTO RIESGO PREECLAMPSIA,DEFINIR ESTADIO HTA",IF(AND(OR(O167&gt;0,R167&gt;0),AND(CU167&gt;120,CU167&lt;=139)),"PRE HTA SEGUIMIENTO,RIESGO HIPERTENSION INDUCIDA POR EL EMBARAZO",IF(AND(OR(O167&gt;0,R167&gt;0),AND(CV167&gt;80,CV167&lt;=89)),"PRE HTA SEGUIMIENTO, RIESGO HIPERTENSION INDUCIDA POR EL EMBARAZO",IF(AND(OR(O167&lt;&gt;"",R167&lt;&gt;""),CS167&lt;&gt;"",CV167&lt;&gt;"",CS167&lt;=CV167),"VIGILAR CIFRAS PRESION ARTERIAL",IF(AND(OR(O167&gt;0,R167&gt;0),AND(CU167&gt;120,CU167&lt;=139)),"PRE HTA SEGUIMIENTO",IF(AND(OR(O167&gt;0,R167&gt;0),AND(CU167&gt;1,CU167&lt;=70),AND(CV167&gt;1,CV167&lt;=40)),"HIPOTENSIÓN",IF(AND(OR(O167&lt;&gt;"",R167&lt;&gt;""),CS167&lt;&gt;"",CV167&lt;&gt;"",CS167&gt;CV167),"APARENTEMENTE NORMAL",IF(AND(OR(O167&gt;0,R167&gt;0),AND(CU167&gt;=80,CU167&lt;=120)),"APARENTEMENTE NORMAL",IF(AND(OR(O167&gt;0,R167&gt;0),AND(CV167&gt;=50,CV167&lt;=80)),"APARENTEMENTE NORMAL","")))))))))))))</f>
        <v>APARENTEMENTE NORMAL</v>
      </c>
      <c r="CX167" s="21"/>
      <c r="CY167" s="21"/>
      <c r="CZ167" s="216" t="str">
        <f t="shared" si="688"/>
        <v>ACUDE A CONTROL SEM 30 A 34- REGISTRE AHORA</v>
      </c>
      <c r="DA167" s="21">
        <v>90</v>
      </c>
      <c r="DB167" s="21">
        <v>60</v>
      </c>
      <c r="DC167" s="217" t="str">
        <f t="shared" si="610"/>
        <v>APARENTEMENTE NORMAL</v>
      </c>
      <c r="DD167" s="22">
        <v>45001</v>
      </c>
      <c r="DE167" s="22">
        <v>45001</v>
      </c>
      <c r="DF167" s="22">
        <v>45044</v>
      </c>
      <c r="DG167" s="22">
        <v>45062</v>
      </c>
      <c r="DH167" s="22">
        <v>45099</v>
      </c>
      <c r="DI167" s="22"/>
      <c r="DJ167" s="22"/>
      <c r="DK167" s="22"/>
      <c r="DL167" s="22"/>
      <c r="DM167" s="22"/>
      <c r="DN167" s="22"/>
      <c r="DO167" s="22"/>
      <c r="DP167" s="22"/>
      <c r="DQ167" s="22"/>
      <c r="DR167" s="28">
        <v>1</v>
      </c>
      <c r="DS167" s="22"/>
      <c r="DT167" s="22"/>
      <c r="DU167" s="216" t="str">
        <f t="shared" ca="1" si="674"/>
        <v>SALE SIN PLAN DE PARTO</v>
      </c>
      <c r="DV167" s="226" t="str">
        <f t="shared" si="675"/>
        <v>SALIO PROGRAMA</v>
      </c>
      <c r="DW167"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67" s="216" t="str">
        <f t="shared" ca="1" si="611"/>
        <v/>
      </c>
      <c r="DY167" s="212">
        <f>IF(R167="","",IF(R167&gt;0,MAX(Tabla1[[#This Row],[FECHA C2]:[FECHA C13]],Tabla1[[#This Row],[FECHA CONSULTA PRIMERA VEZ PROGRAMA CPN ]])))</f>
        <v>45099</v>
      </c>
      <c r="DZ167" s="216">
        <f t="shared" si="612"/>
        <v>34</v>
      </c>
      <c r="EA167" s="222">
        <f>IF(R167&gt;0,SUM(COUNTA(DF167:DQ167)+COUNTA(Tabla1[[#This Row],[FECHA CONSULTA PRIMERA VEZ PROGRAMA CPN ]])),"")</f>
        <v>4</v>
      </c>
      <c r="EB167" s="222" t="str">
        <f t="shared" si="613"/>
        <v>SI</v>
      </c>
      <c r="EC167" s="214">
        <f t="shared" si="614"/>
        <v>6</v>
      </c>
      <c r="ED167" s="227">
        <f t="shared" si="615"/>
        <v>0.66666666666666663</v>
      </c>
      <c r="EE167" s="22">
        <v>45001</v>
      </c>
      <c r="EF167" s="22"/>
      <c r="EG167" s="22">
        <v>45001</v>
      </c>
      <c r="EH167" s="22"/>
      <c r="EI167" s="22">
        <v>45001</v>
      </c>
      <c r="EJ167" s="22"/>
      <c r="EK167" s="22"/>
      <c r="EL167" s="21"/>
      <c r="EM167" s="21">
        <v>11.2</v>
      </c>
      <c r="EN167" s="22">
        <v>45002</v>
      </c>
      <c r="EO167" s="222">
        <f t="shared" si="616"/>
        <v>20.285714285714285</v>
      </c>
      <c r="EP167" s="214" t="str">
        <f t="shared" si="617"/>
        <v>NORMAL- SUMINISTRAR SULFATO FERROSO</v>
      </c>
      <c r="EQ167" s="216" t="str">
        <f t="shared" si="618"/>
        <v>II TRIM</v>
      </c>
      <c r="ER167" s="24"/>
      <c r="ES167" s="22"/>
      <c r="ET167" s="29" t="str">
        <f t="shared" ca="1" si="676"/>
        <v>SALE SIN TAMIZAJE HEMOGLOBINA SEM 28</v>
      </c>
      <c r="EU167" s="25" t="str">
        <f t="shared" si="619"/>
        <v/>
      </c>
      <c r="EV167" s="24" t="s">
        <v>1510</v>
      </c>
      <c r="EW167" s="24">
        <v>45002</v>
      </c>
      <c r="EX167" s="22"/>
      <c r="EY167" s="29">
        <f t="shared" si="691"/>
        <v>20.285714285714285</v>
      </c>
      <c r="EZ167" s="25" t="str">
        <f t="shared" si="692"/>
        <v>SIN RIESGO DE ISOINMUNIZACIÓN</v>
      </c>
      <c r="FA167" s="21">
        <v>60</v>
      </c>
      <c r="FB167" s="22">
        <v>45002</v>
      </c>
      <c r="FC167" s="29">
        <f t="shared" si="620"/>
        <v>20.285714285714285</v>
      </c>
      <c r="FD167" s="29">
        <v>71</v>
      </c>
      <c r="FE167" s="29">
        <v>116</v>
      </c>
      <c r="FF167" s="29">
        <v>151</v>
      </c>
      <c r="FG167" s="21" t="str">
        <f t="shared" ca="1" si="621"/>
        <v>NORMAL</v>
      </c>
      <c r="FH167" s="31">
        <v>45056</v>
      </c>
      <c r="FI167" s="29">
        <f t="shared" si="622"/>
        <v>28</v>
      </c>
      <c r="FJ167" s="22"/>
      <c r="FK167" s="22"/>
      <c r="FL167" s="29" t="str">
        <f t="shared" ca="1" si="623"/>
        <v>NO APLICA-INGRESO TARDIO</v>
      </c>
      <c r="FM167" s="22"/>
      <c r="FN167" s="32"/>
      <c r="FO167" s="29" t="str">
        <f t="shared" ca="1" si="677"/>
        <v>PIERDE TOMA DE TAMIZAJE</v>
      </c>
      <c r="FP167" s="22"/>
      <c r="FQ167" s="32"/>
      <c r="FR167" s="29" t="str">
        <f t="shared" ca="1" si="678"/>
        <v>PIERDE TOMA DE TAMIZAJE</v>
      </c>
      <c r="FS167" s="22"/>
      <c r="FT167" s="32"/>
      <c r="FU167" s="29" t="str">
        <f>IF(AND(FJ167="",FM167="",FP167="",FS167=""),"",IF(OR(OR(Tabla1[[#This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7" s="28"/>
      <c r="FW167" s="22"/>
      <c r="FX167" s="29" t="str">
        <f t="shared" si="624"/>
        <v>TOMAR EXAMEN</v>
      </c>
      <c r="FY167" s="22">
        <v>45001</v>
      </c>
      <c r="FZ167" s="22">
        <v>45001</v>
      </c>
      <c r="GA167" s="29" t="str">
        <f t="shared" si="690"/>
        <v>REGISTRAR EN II TRIMESTRE</v>
      </c>
      <c r="GB167" s="22" t="s">
        <v>868</v>
      </c>
      <c r="GC167" s="22">
        <v>45002</v>
      </c>
      <c r="GD167" s="29">
        <f t="shared" ca="1" si="679"/>
        <v>20.285714285714285</v>
      </c>
      <c r="GE167" s="22"/>
      <c r="GF167" s="22"/>
      <c r="GG167" s="29" t="str">
        <f t="shared" ca="1" si="680"/>
        <v>PIERDE TOMA DE TAMIZAJE</v>
      </c>
      <c r="GH167" s="22"/>
      <c r="GI167" s="29"/>
      <c r="GJ167" s="22"/>
      <c r="GK167" s="22"/>
      <c r="GL167" s="22"/>
      <c r="GM167" s="22"/>
      <c r="GN167" s="28"/>
      <c r="GO167" s="22"/>
      <c r="GP167" s="29" t="str">
        <f t="shared" si="625"/>
        <v>TOMAR EXAMEN</v>
      </c>
      <c r="GQ167" s="28" t="s">
        <v>869</v>
      </c>
      <c r="GR167" s="28" t="s">
        <v>846</v>
      </c>
      <c r="GS167" s="22" t="str">
        <f t="shared" si="726"/>
        <v>CONTROL Igm</v>
      </c>
      <c r="GT167" s="22">
        <v>45002</v>
      </c>
      <c r="GU167" s="29">
        <f t="shared" si="627"/>
        <v>20.285714285714285</v>
      </c>
      <c r="GV167" s="21" t="str">
        <f t="shared" si="628"/>
        <v>II TRIM</v>
      </c>
      <c r="GW167" s="28" t="s">
        <v>846</v>
      </c>
      <c r="GX167" s="30"/>
      <c r="GY167" s="21"/>
      <c r="GZ167" s="21"/>
      <c r="HA167" s="21"/>
      <c r="HB167" s="21"/>
      <c r="HC167" s="21"/>
      <c r="HD167" s="21"/>
      <c r="HE167" s="21"/>
      <c r="HF167" s="22"/>
      <c r="HG167" s="22" t="str">
        <f>IF(OR(O167&gt;0,R167&gt;0),CONCATENATE(IF(Tabla1[[#This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7" s="22" t="e">
        <f t="shared" si="629"/>
        <v>#REF!</v>
      </c>
      <c r="HI167" s="22" t="e">
        <f t="shared" ca="1" si="630"/>
        <v>#REF!</v>
      </c>
      <c r="HJ167" s="21"/>
      <c r="HK167" s="21" t="str">
        <f t="shared" si="631"/>
        <v>SIN ANTECEDENTES DE RIESGO</v>
      </c>
      <c r="HL167" s="24" t="str">
        <f t="shared" si="632"/>
        <v>APARENTEMENTE NORMAL</v>
      </c>
      <c r="HM167" s="21" t="str">
        <f t="shared" ca="1" si="633"/>
        <v/>
      </c>
      <c r="HN167" s="30" t="str">
        <f t="shared" si="681"/>
        <v>SALIO PROGRAMA</v>
      </c>
      <c r="HO167" s="21"/>
      <c r="HP167" s="21"/>
      <c r="HQ167" s="21">
        <v>45044</v>
      </c>
      <c r="HR167" s="21" t="str">
        <f>IF(R167="","",IF(Tabla1[[#This Row],[ALARMA FACTORES DE RIESGO COMPLICACIONES HIPERTENSIVAS3]]="SIN ANTECEDENTES DE RIESGO","No Aplica para suministro de ASA",IF(AND(Tabla1[[#This Row],[FECHA INICIO DE SUMINISTRO DE ASA]]&gt;0,RV167&lt;12),"Inicia ASA ANTES de Sem 12",IF(AND(RV167&gt;11,RV167&lt;17,OR(HK167="RIESGO ALTO DE COMPLICACIONES HIPERTENSIVAS VER MANEJO GUIA SUMINISTRO ASA Y CALCIO",HK167="RIESGO MODERADO (2 O MAS CRITERIOS) VER MANEJO GUIA SUMINISTRO ASA Y CALCIO")),"Inicio oportuno de ASA",IF(AND(RV167&gt;12,OR(HK167="RIESGO ALTO DE COMPLICACIONES HIPERTENSIVAS VER MANEJO GUIA SUMINISTRO ASA Y CALCIO",HK167="RIESGO MODERADO (2 O MAS CRITERIOS) VER MANEJO GUIA SUMINISTRO ASA Y CALCIO")),"Inicio no oportuno mayor a 16 semanas",IF(AND(BU167&lt;12,OR(HK167="RIESGO ALTO DE COMPLICACIONES HIPERTENSIVAS VER MANEJO GUIA SUMINISTRO ASA Y CALCIO",HK167="RIESGO MODERADO (2 O MAS CRITERIOS) VER MANEJO GUIA SUMINISTRO ASA Y CALCIO")),"Pendiente Inicio de ASA a la semana 12",IF(AND(BU167&gt;11,BU167&lt;17,OR(HK167="RIESGO ALTO DE COMPLICACIONES HIPERTENSIVAS VER MANEJO GUIA SUMINISTRO ASA Y CALCIO",HK167="RIESGO MODERADO (2 O MAS CRITERIOS) VER MANEJO GUIA SUMINISTRO ASA Y CALCIO")),"Iniciar de inmediato ASA",IF(AND(BU167&gt;16,OR(HK167="RIESGO ALTO DE COMPLICACIONES HIPERTENSIVAS VER MANEJO GUIA SUMINISTRO ASA Y CALCIO",HK167="RIESGO MODERADO (2 O MAS CRITERIOS) VER MANEJO GUIA SUMINISTRO ASA Y CALCIO")),"Pierde Oportunidad, Inicio tardío de ASA","XXXXX"))))))))</f>
        <v>No Aplica para suministro de ASA</v>
      </c>
      <c r="HS167" s="22">
        <v>45044</v>
      </c>
      <c r="HT167" s="22" t="s">
        <v>870</v>
      </c>
      <c r="HU167" s="22">
        <v>45044</v>
      </c>
      <c r="HV167" s="22" t="s">
        <v>870</v>
      </c>
      <c r="HW167" s="22">
        <v>45044</v>
      </c>
      <c r="HX167" s="22" t="s">
        <v>870</v>
      </c>
      <c r="HY167" s="22"/>
      <c r="HZ167" s="28" t="str">
        <f t="shared" si="634"/>
        <v>PENDIENTE CONSULTA</v>
      </c>
      <c r="IA167" s="26"/>
      <c r="IB167" s="26"/>
      <c r="IC167" s="111"/>
      <c r="ID167" s="22">
        <v>45001</v>
      </c>
      <c r="IE167" s="22" t="str">
        <f t="shared" ca="1" si="635"/>
        <v>VACUNA APLICADA ENTRE SEMANA 20 Y SEMANA 26</v>
      </c>
      <c r="IF167" s="22"/>
      <c r="IG167" s="22">
        <f t="shared" si="636"/>
        <v>45140</v>
      </c>
      <c r="IH167" s="29">
        <f t="shared" ca="1" si="637"/>
        <v>-93</v>
      </c>
      <c r="II167" s="22" t="str">
        <f t="shared" ca="1" si="638"/>
        <v>POSIBLEMENTE NACIO</v>
      </c>
      <c r="IJ167" s="22"/>
      <c r="IK167" s="21" t="s">
        <v>898</v>
      </c>
      <c r="IL167" s="21"/>
      <c r="IM167" s="34"/>
      <c r="IN167" s="349">
        <v>45116</v>
      </c>
      <c r="IO167" s="21" t="s">
        <v>1186</v>
      </c>
      <c r="IP167" s="29">
        <f t="shared" si="672"/>
        <v>36.571428571428569</v>
      </c>
      <c r="IQ167" s="35" t="s">
        <v>1650</v>
      </c>
      <c r="IR167" s="21" t="s">
        <v>1651</v>
      </c>
      <c r="IS167" s="21" t="s">
        <v>1646</v>
      </c>
      <c r="IT167" s="21" t="s">
        <v>1642</v>
      </c>
      <c r="IU167" s="21"/>
      <c r="IV167" s="21"/>
      <c r="IW167" s="21"/>
      <c r="IX167" s="21"/>
      <c r="IY167" s="21"/>
      <c r="IZ167" s="21"/>
      <c r="JA167" s="21"/>
      <c r="JB167" s="30">
        <v>1</v>
      </c>
      <c r="JC167" s="21" t="s">
        <v>1647</v>
      </c>
      <c r="JD167" s="36">
        <v>2320</v>
      </c>
      <c r="JE167" s="21" t="str">
        <f t="shared" si="682"/>
        <v>BAJO PESO AL NACER</v>
      </c>
      <c r="JF167" s="30"/>
      <c r="JG167" s="21"/>
      <c r="JH167" s="21"/>
      <c r="JI167" s="309" t="s">
        <v>854</v>
      </c>
      <c r="JJ167" s="329" t="s">
        <v>866</v>
      </c>
      <c r="JK167" s="22"/>
      <c r="JL167" s="22"/>
      <c r="JM167" s="21"/>
      <c r="JN167" s="36"/>
      <c r="JO167" s="21" t="str">
        <f t="shared" si="683"/>
        <v/>
      </c>
      <c r="JP167" s="22"/>
      <c r="JQ167" s="21"/>
      <c r="JR167" s="21"/>
      <c r="JS167" s="21"/>
      <c r="JT167" s="30"/>
      <c r="JU167" s="22"/>
      <c r="JV167" s="22"/>
      <c r="JW167" s="33"/>
      <c r="JX167" s="28" t="str">
        <f t="shared" si="684"/>
        <v>INASISTENTE</v>
      </c>
      <c r="JY167" s="33"/>
      <c r="JZ167" s="28" t="str">
        <f t="shared" si="685"/>
        <v>INASISTENTE</v>
      </c>
      <c r="KA167" s="21"/>
      <c r="KB167" s="21"/>
      <c r="KC167" s="21"/>
      <c r="KD167" s="37"/>
      <c r="KE167" s="28"/>
      <c r="KF167" s="28"/>
      <c r="KG167" s="28"/>
      <c r="KH167" s="39"/>
      <c r="KI167" s="39"/>
      <c r="KJ167" s="66"/>
      <c r="KK167" s="39"/>
      <c r="KL167" s="39"/>
      <c r="KM167" s="66"/>
      <c r="KN167" s="39"/>
      <c r="KO167" s="39"/>
      <c r="KP167" s="39"/>
      <c r="KQ167" s="39"/>
      <c r="KR167" s="39"/>
      <c r="KS167" s="39"/>
      <c r="KT167" s="39"/>
      <c r="KU167" s="38"/>
      <c r="KV167" s="38"/>
      <c r="KW167" s="38"/>
      <c r="KX167" s="38"/>
      <c r="KY167" s="38"/>
      <c r="KZ167" s="38"/>
      <c r="LA167" s="38"/>
      <c r="LB167" s="38"/>
      <c r="LC167" s="38"/>
      <c r="LD167" s="38"/>
      <c r="LE167" s="38"/>
      <c r="LF167" s="38"/>
      <c r="LG167" s="38"/>
      <c r="LH167" s="38"/>
      <c r="LI167" s="38"/>
      <c r="LJ167" s="38"/>
      <c r="LK167" s="38"/>
      <c r="LL167" s="38"/>
      <c r="LM167" s="38"/>
      <c r="LN167" s="38"/>
      <c r="LO167" s="38"/>
      <c r="LP167" s="38"/>
      <c r="LQ167" s="38"/>
      <c r="LR167" s="38"/>
      <c r="LS167" s="38"/>
      <c r="LT167" s="38"/>
      <c r="LU167" s="38"/>
      <c r="LV167" s="38"/>
      <c r="LW167" s="38"/>
      <c r="LX167" s="38"/>
      <c r="LY167" s="38"/>
      <c r="LZ167" s="38"/>
      <c r="MA167" s="38"/>
      <c r="MB167" s="38"/>
      <c r="MC167" s="38"/>
      <c r="MD167" s="38"/>
      <c r="ME167" s="38"/>
      <c r="MF167" s="38"/>
      <c r="MG167" s="38"/>
      <c r="MH167" s="43">
        <f t="shared" si="695"/>
        <v>0</v>
      </c>
      <c r="MI167" s="43" t="str">
        <f t="shared" si="696"/>
        <v/>
      </c>
      <c r="MJ167" s="43" t="str">
        <f t="shared" si="697"/>
        <v/>
      </c>
      <c r="MK167" s="43">
        <f t="shared" si="698"/>
        <v>0</v>
      </c>
      <c r="ML16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7" s="43">
        <f t="shared" si="699"/>
        <v>20.142857142857142</v>
      </c>
      <c r="MN167" s="43">
        <f t="shared" si="700"/>
        <v>3</v>
      </c>
      <c r="MO167" s="43">
        <f t="shared" si="701"/>
        <v>2023</v>
      </c>
      <c r="MP167" s="43" t="str">
        <f t="shared" si="702"/>
        <v>I TRIMESTRE AÑO</v>
      </c>
      <c r="MQ167" s="43">
        <f t="shared" si="703"/>
        <v>19.28657468243539</v>
      </c>
      <c r="MR167" s="43">
        <f t="shared" si="704"/>
        <v>0</v>
      </c>
      <c r="MS167" s="43" t="str">
        <f t="shared" si="705"/>
        <v>DE 14 A 19AÑOS</v>
      </c>
      <c r="MT167" s="43">
        <f t="shared" si="706"/>
        <v>0</v>
      </c>
      <c r="MU167" s="43">
        <f t="shared" si="707"/>
        <v>1</v>
      </c>
      <c r="MV167" s="43">
        <f t="shared" si="708"/>
        <v>0</v>
      </c>
      <c r="MW167" s="43">
        <f t="shared" si="709"/>
        <v>0</v>
      </c>
      <c r="MX167" s="43" t="str">
        <f t="shared" si="710"/>
        <v/>
      </c>
      <c r="MY167" s="43" t="str">
        <f t="shared" ca="1" si="686"/>
        <v/>
      </c>
      <c r="MZ167" s="43" t="str">
        <f t="shared" si="711"/>
        <v/>
      </c>
      <c r="NA167" s="43" t="str">
        <f t="shared" si="712"/>
        <v/>
      </c>
      <c r="NB167" s="43" t="str">
        <f t="shared" si="713"/>
        <v/>
      </c>
      <c r="NC167" s="43" t="str">
        <f t="shared" si="714"/>
        <v/>
      </c>
      <c r="ND167" s="43">
        <f t="shared" ca="1" si="715"/>
        <v>1</v>
      </c>
      <c r="NE167" s="43">
        <f>IF(OR(O167&gt;0,R167&gt;0),SUM(COUNTIF(Tabla1[[#This Row],[AÑOS AL INICIO5 CPN]],"&gt;=40"),COUNTIF(AS167,"0"),COUNTIF(AR167,"SI"),COUNTIF(CC167,"SI"),COUNTIF(BQ167,"&gt;119"),COUNTIF(CI167,"&gt;=35")),"")</f>
        <v>1</v>
      </c>
      <c r="NF167" s="43">
        <f t="shared" si="716"/>
        <v>20.142857142857142</v>
      </c>
      <c r="NG167" s="43">
        <f t="shared" si="717"/>
        <v>0</v>
      </c>
      <c r="NH167" s="43" t="str">
        <f t="shared" si="718"/>
        <v/>
      </c>
      <c r="NI167"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CPN",P167="NO"),"Z",IF(AND(Tabla1[[#This Row],[CITA PROXIMO CONTROL]]="CITA MANUAL",Tabla1[[#This Row],[GESTANTES ACTUALES]]="ACTIVA INGRESO A CPN"),"W",IF(AND(Tabla1[[#This Row],[GESTANTES ACTUALES]]="SALIO PROGRAMA",IN167=""),"S",IF(AND(Tabla1[[#This Row],[CITA PROXIMO CONTROL]]&gt;0,IN167=""),(Tabla1[[#This Row],[CITA PROXIMO CONTROL]]-TODAY()),"SD"))))))))</f>
        <v>SD</v>
      </c>
      <c r="NJ167" s="43">
        <f>MONTH(Tabla1[[#This Row],[FECHA DE SALIDA  DEL PROGRAMA]])</f>
        <v>7</v>
      </c>
      <c r="NK167" s="43">
        <f>YEAR(Tabla1[[#This Row],[FECHA DE SALIDA  DEL PROGRAMA]])</f>
        <v>2023</v>
      </c>
      <c r="NL167" s="43" t="str">
        <f t="shared" si="719"/>
        <v>X</v>
      </c>
      <c r="NM167" s="43" t="str">
        <f t="shared" si="693"/>
        <v>NO</v>
      </c>
      <c r="NN167" s="43" t="str">
        <f ca="1">IF(AND(O167&gt;0,R167=""),"NO CPN",IF(AND(O167="",R167=""),"",IF(AND(R167&gt;0,Tabla1[[#This Row],[SEMANAS DE GESTACION ACTUALIZADAS]]&lt;=12),"NO APLICA",IF(AND(FH167&lt;&gt;"",FN167&lt;&gt;""),"SI","NO"))))</f>
        <v>NO</v>
      </c>
      <c r="NO167" s="43" t="str">
        <f ca="1">IF(AND(O167&gt;0,R167=""),"NO CPN",IF(AND(O167="",R167=""),"",IF(AND(R167&gt;0,Tabla1[[#This Row],[SEMANAS DE GESTACION ACTUALIZADAS]]&lt;=27),"NO APLICA",IF(AND(ES167&lt;&gt;"",FQ167&lt;&gt;"",GF167&lt;&gt;""),"SI","NO"))))</f>
        <v>NO</v>
      </c>
      <c r="NP167" s="204" t="str">
        <f t="shared" si="720"/>
        <v>DEFINIR CON ECO</v>
      </c>
      <c r="NQ167" s="21" t="str">
        <f t="shared" si="689"/>
        <v/>
      </c>
      <c r="NR167" s="21">
        <f t="shared" si="687"/>
        <v>2</v>
      </c>
      <c r="NS167" s="205">
        <f t="shared" ca="1" si="721"/>
        <v>0</v>
      </c>
      <c r="NT167" s="21">
        <f t="shared" ca="1" si="722"/>
        <v>1</v>
      </c>
      <c r="NU167" s="21" t="str">
        <f t="shared" ca="1" si="723"/>
        <v>INCOMPLETO</v>
      </c>
      <c r="NV167" s="21" t="str">
        <f t="shared" ca="1" si="724"/>
        <v>INCOMPLETO</v>
      </c>
      <c r="NW167" s="206" t="str">
        <f>IF(AND(O167="",R167=""),"",IF(OR(AND(Tabla1[[#This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67" s="207" t="str">
        <f t="shared" ca="1" si="725"/>
        <v>VACUNADA</v>
      </c>
      <c r="NY167" s="43">
        <f>ROW(Tabla1[[#This Row],['# DE TAMIZAJES SIFILIS TOMADOS ]])</f>
        <v>167</v>
      </c>
      <c r="NZ167" s="43">
        <f t="shared" si="501"/>
        <v>20</v>
      </c>
      <c r="OA167" s="43" t="str">
        <f t="shared" si="502"/>
        <v/>
      </c>
      <c r="OB167" s="43" t="str">
        <f t="shared" si="503"/>
        <v/>
      </c>
      <c r="OC167" s="43" t="str">
        <f t="shared" si="504"/>
        <v/>
      </c>
      <c r="OD167" s="43" t="str">
        <f t="shared" si="505"/>
        <v/>
      </c>
      <c r="OE167" s="43" t="str">
        <f t="shared" si="506"/>
        <v/>
      </c>
      <c r="OF167" s="43" t="str">
        <f t="shared" si="507"/>
        <v/>
      </c>
      <c r="OG167" s="43" t="str">
        <f t="shared" si="508"/>
        <v/>
      </c>
      <c r="OH167" s="43" t="str">
        <f t="shared" si="509"/>
        <v/>
      </c>
      <c r="OI167" s="43" t="str">
        <f t="shared" si="510"/>
        <v/>
      </c>
      <c r="OJ167" s="43" t="str">
        <f t="shared" si="511"/>
        <v/>
      </c>
      <c r="OK167" s="43" t="str">
        <f t="shared" si="512"/>
        <v/>
      </c>
      <c r="OL167" s="43" t="str">
        <f t="shared" si="513"/>
        <v>NORMAL</v>
      </c>
      <c r="OM167" s="43" t="str">
        <f t="shared" si="514"/>
        <v/>
      </c>
      <c r="ON167" s="43" t="str">
        <f t="shared" si="515"/>
        <v/>
      </c>
      <c r="OO167" s="43" t="str">
        <f t="shared" si="516"/>
        <v/>
      </c>
      <c r="OP167" s="43" t="str">
        <f t="shared" si="517"/>
        <v/>
      </c>
      <c r="OQ167" s="43" t="str">
        <f t="shared" si="518"/>
        <v/>
      </c>
      <c r="OR167" s="43" t="str">
        <f t="shared" si="519"/>
        <v/>
      </c>
      <c r="OS167" s="43" t="str">
        <f t="shared" si="520"/>
        <v/>
      </c>
      <c r="OT167" s="43" t="str">
        <f t="shared" si="521"/>
        <v/>
      </c>
      <c r="OU167" s="43" t="str">
        <f t="shared" si="522"/>
        <v/>
      </c>
      <c r="OV167" s="110" t="str">
        <f t="shared" si="523"/>
        <v/>
      </c>
      <c r="OW167" s="43" t="str">
        <f t="shared" si="524"/>
        <v/>
      </c>
      <c r="OX167" s="43" t="str">
        <f t="shared" si="525"/>
        <v/>
      </c>
      <c r="OY167" s="43" t="str">
        <f t="shared" si="526"/>
        <v/>
      </c>
      <c r="OZ167" s="43" t="str">
        <f t="shared" si="527"/>
        <v/>
      </c>
      <c r="PA167" s="43" t="str">
        <f t="shared" si="528"/>
        <v/>
      </c>
      <c r="PB167" s="43" t="str">
        <f t="shared" si="529"/>
        <v/>
      </c>
      <c r="PC167" s="43" t="str">
        <f t="shared" si="530"/>
        <v/>
      </c>
      <c r="PD167" s="43" t="str">
        <f t="shared" si="531"/>
        <v/>
      </c>
      <c r="PE167" s="43" t="str">
        <f t="shared" si="532"/>
        <v/>
      </c>
      <c r="PF167" s="43" t="str">
        <f t="shared" si="533"/>
        <v/>
      </c>
      <c r="PG167" s="43" t="str">
        <f t="shared" si="534"/>
        <v/>
      </c>
      <c r="PH167" s="43" t="str">
        <f t="shared" si="535"/>
        <v/>
      </c>
      <c r="PI167" s="43">
        <f t="shared" si="536"/>
        <v>34</v>
      </c>
      <c r="PJ167" s="43" t="str">
        <f t="shared" si="537"/>
        <v/>
      </c>
      <c r="PK167" s="43" t="str">
        <f t="shared" si="538"/>
        <v/>
      </c>
      <c r="PL167" s="43" t="str">
        <f t="shared" si="539"/>
        <v/>
      </c>
      <c r="PM167" s="43" t="str">
        <f t="shared" si="540"/>
        <v/>
      </c>
      <c r="PN167" s="43" t="str">
        <f t="shared" si="541"/>
        <v/>
      </c>
      <c r="PO167" s="43" t="str">
        <f t="shared" si="542"/>
        <v/>
      </c>
      <c r="PP167" s="43" t="str">
        <f t="shared" si="543"/>
        <v/>
      </c>
      <c r="PQ167" s="43" t="str">
        <f t="shared" si="544"/>
        <v/>
      </c>
      <c r="PR167" s="43" t="str">
        <f t="shared" si="545"/>
        <v/>
      </c>
      <c r="PS167" s="43" t="str">
        <f t="shared" si="546"/>
        <v/>
      </c>
      <c r="PT167" s="43" t="str">
        <f t="shared" si="547"/>
        <v/>
      </c>
      <c r="PU167" s="43" t="str">
        <f t="shared" si="548"/>
        <v/>
      </c>
      <c r="PV167" s="43" t="str">
        <f t="shared" si="549"/>
        <v/>
      </c>
      <c r="PW167" s="43" t="str">
        <f t="shared" si="550"/>
        <v/>
      </c>
      <c r="PX167" s="43" t="str">
        <f t="shared" si="551"/>
        <v/>
      </c>
      <c r="PY167" s="43" t="str">
        <f t="shared" si="552"/>
        <v/>
      </c>
      <c r="PZ167" s="43" t="str">
        <f t="shared" si="553"/>
        <v/>
      </c>
      <c r="QA167" s="43" t="str">
        <f t="shared" si="554"/>
        <v/>
      </c>
      <c r="QB167" s="43" t="str">
        <f t="shared" si="555"/>
        <v/>
      </c>
      <c r="QC167" s="43" t="str">
        <f t="shared" si="556"/>
        <v/>
      </c>
      <c r="QD167" s="43" t="str">
        <f t="shared" si="557"/>
        <v/>
      </c>
      <c r="QE167" s="43" t="str">
        <f t="shared" si="558"/>
        <v/>
      </c>
      <c r="QF167" s="43" t="str">
        <f t="shared" si="559"/>
        <v/>
      </c>
      <c r="QG167" s="43" t="str">
        <f t="shared" si="560"/>
        <v/>
      </c>
      <c r="QH167" s="43" t="str">
        <f t="shared" si="561"/>
        <v/>
      </c>
      <c r="QI167" s="43" t="str">
        <f t="shared" si="562"/>
        <v>BAJO PESO</v>
      </c>
      <c r="QJ167" s="43" t="str">
        <f t="shared" si="563"/>
        <v/>
      </c>
      <c r="QK167" s="43" t="str">
        <f t="shared" si="564"/>
        <v/>
      </c>
      <c r="QL167" s="43" t="str">
        <f t="shared" si="565"/>
        <v/>
      </c>
      <c r="QM167" s="43" t="str">
        <f t="shared" si="566"/>
        <v/>
      </c>
      <c r="QN167" s="43" t="str">
        <f t="shared" si="567"/>
        <v/>
      </c>
      <c r="QO167" s="43" t="str">
        <f t="shared" si="568"/>
        <v/>
      </c>
      <c r="QP167" s="43" t="str">
        <f t="shared" si="569"/>
        <v/>
      </c>
      <c r="QQ167" s="43" t="str">
        <f t="shared" si="570"/>
        <v/>
      </c>
      <c r="QR167" s="43">
        <f t="shared" si="670"/>
        <v>34</v>
      </c>
      <c r="QS167" s="43"/>
      <c r="QT167" s="21" t="str">
        <f t="shared" si="571"/>
        <v/>
      </c>
      <c r="QU167" s="21" t="str">
        <f t="shared" si="572"/>
        <v/>
      </c>
      <c r="QV167" s="21" t="str">
        <f t="shared" si="573"/>
        <v/>
      </c>
      <c r="QW167" s="21" t="str">
        <f t="shared" si="574"/>
        <v/>
      </c>
      <c r="QX167" s="21" t="str">
        <f t="shared" si="575"/>
        <v/>
      </c>
      <c r="QY167" s="21" t="str">
        <f t="shared" si="576"/>
        <v/>
      </c>
      <c r="QZ167" s="21" t="str">
        <f t="shared" si="577"/>
        <v/>
      </c>
      <c r="RA167" s="21" t="str">
        <f t="shared" si="578"/>
        <v/>
      </c>
      <c r="RB167" s="21" t="str">
        <f t="shared" si="579"/>
        <v/>
      </c>
      <c r="RC167" s="21" t="str">
        <f t="shared" si="580"/>
        <v/>
      </c>
      <c r="RD167" s="21" t="str">
        <f t="shared" si="581"/>
        <v/>
      </c>
      <c r="RE167" s="21" t="str">
        <f t="shared" si="582"/>
        <v/>
      </c>
      <c r="RF167" s="21" t="str">
        <f t="shared" si="583"/>
        <v/>
      </c>
      <c r="RG167" s="21" t="str">
        <f t="shared" si="584"/>
        <v/>
      </c>
      <c r="RH167" s="21" t="str">
        <f t="shared" si="585"/>
        <v/>
      </c>
      <c r="RI167" s="21" t="str">
        <f t="shared" si="586"/>
        <v/>
      </c>
      <c r="RJ167" s="21" t="str">
        <f t="shared" si="587"/>
        <v/>
      </c>
      <c r="RK167" s="21" t="str">
        <f t="shared" si="588"/>
        <v/>
      </c>
      <c r="RL167" s="21" t="str">
        <f t="shared" si="589"/>
        <v/>
      </c>
      <c r="RM167" s="21" t="str">
        <f t="shared" si="590"/>
        <v/>
      </c>
      <c r="RN167" s="21" t="str">
        <f t="shared" si="591"/>
        <v/>
      </c>
      <c r="RO167" s="21" t="str">
        <f t="shared" si="592"/>
        <v>ADECUADO PARA EDAD GESTACIONAL</v>
      </c>
      <c r="RP167" s="21" t="str">
        <f t="shared" si="593"/>
        <v/>
      </c>
      <c r="RQ167" s="21" t="str">
        <f t="shared" si="594"/>
        <v/>
      </c>
      <c r="RR167" s="21" t="str">
        <f t="shared" si="595"/>
        <v/>
      </c>
      <c r="RS167" s="21" t="str">
        <f t="shared" si="596"/>
        <v/>
      </c>
      <c r="RT167" s="21" t="str">
        <f t="shared" si="597"/>
        <v/>
      </c>
      <c r="RU167" s="21" t="str">
        <f t="shared" si="598"/>
        <v/>
      </c>
      <c r="RV167" s="21">
        <f t="shared" si="599"/>
        <v>26.285714285714285</v>
      </c>
      <c r="RW167" s="284">
        <f>IF(OR(Tabla1[[#This Row],[FUM FORMULA CONFIABLE]]="",Tabla1[[#This Row],[FUM FORMULA CONFIABLE]]="SD"),"",IF(Tabla1[[#This Row],[FUM FORMULA CONFIABLE]]="CORREGIDA",Tabla1[[#This Row],[FUM X ECO 1]],Tabla1[[#This Row],[FUM x AMENORREA]]))</f>
        <v>44860</v>
      </c>
      <c r="RX167" s="21" t="str">
        <f>IF(AND(Tabla1[[#This Row],[FUM X ECO 1]]="",Tabla1[[#This Row],[FUM x AMENORREA]]=""),"",IF(AND(Tabla1[[#This Row],[FUM X ECO 1]]="",Tabla1[[#This Row],[FUM x AMENORREA]]&lt;&gt;""),"X",SUM(Tabla1[[#This Row],[FUM X ECO 1]]-Tabla1[[#This Row],[FUM x AMENORREA]])))</f>
        <v>X</v>
      </c>
      <c r="RY167" s="21" t="str">
        <f t="shared" si="671"/>
        <v>x</v>
      </c>
    </row>
    <row r="168" spans="1:493" ht="45" customHeight="1" x14ac:dyDescent="0.25">
      <c r="A168" s="109"/>
      <c r="B168" s="43"/>
      <c r="C168" s="43" t="s">
        <v>845</v>
      </c>
      <c r="D168" s="124"/>
      <c r="E168" s="43" t="s">
        <v>1014</v>
      </c>
      <c r="F168" s="43" t="s">
        <v>1474</v>
      </c>
      <c r="G168" s="43" t="s">
        <v>1475</v>
      </c>
      <c r="H168" s="43"/>
      <c r="I168" s="109" t="s">
        <v>851</v>
      </c>
      <c r="J168" s="110">
        <v>1002846252</v>
      </c>
      <c r="K168" s="43" t="s">
        <v>852</v>
      </c>
      <c r="L168" s="175" t="s">
        <v>853</v>
      </c>
      <c r="M168" s="22">
        <v>34837</v>
      </c>
      <c r="N168" s="213">
        <f t="shared" ca="1" si="600"/>
        <v>28.482191780821918</v>
      </c>
      <c r="O168" s="22">
        <v>44991</v>
      </c>
      <c r="P168" s="214" t="str">
        <f t="shared" si="673"/>
        <v>SI</v>
      </c>
      <c r="Q168" s="26" t="s">
        <v>855</v>
      </c>
      <c r="R168" s="22">
        <v>44991</v>
      </c>
      <c r="S168" s="21" t="s">
        <v>856</v>
      </c>
      <c r="T168" s="24" t="s">
        <v>690</v>
      </c>
      <c r="U168" s="21" t="s">
        <v>857</v>
      </c>
      <c r="V168" s="21" t="s">
        <v>858</v>
      </c>
      <c r="W168" s="21" t="s">
        <v>933</v>
      </c>
      <c r="X168" s="21"/>
      <c r="Y168" s="21" t="s">
        <v>859</v>
      </c>
      <c r="Z168" s="21">
        <v>3222081161</v>
      </c>
      <c r="AA168" s="21" t="s">
        <v>860</v>
      </c>
      <c r="AB168" s="27" t="s">
        <v>861</v>
      </c>
      <c r="AC168" s="26" t="s">
        <v>888</v>
      </c>
      <c r="AD168" s="38" t="s">
        <v>1546</v>
      </c>
      <c r="AE168" s="26" t="s">
        <v>854</v>
      </c>
      <c r="AF168" s="26" t="s">
        <v>854</v>
      </c>
      <c r="AG168" s="23" t="s">
        <v>864</v>
      </c>
      <c r="AH168" s="23" t="s">
        <v>864</v>
      </c>
      <c r="AI168" s="24" t="s">
        <v>863</v>
      </c>
      <c r="AJ168" s="23" t="s">
        <v>864</v>
      </c>
      <c r="AK168" s="220" t="str">
        <f>IF(AND(AD168="",AE168="",AF168="",AG168="",AH168="",AI168="",AJ168=""),"",IF(OR(Tabla1[[#This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EVALUACIÓN",IF(AND(O168="",R168=""),"",IF(AND(OR(O168&gt;0,R168&gt;0),NG168&gt;=0,NG168&lt;2),"SIN RIESGO",IF(AND(OR(O168&gt;0,R168&gt;0),NG168&gt;=2),"CON RIESGO","ASD")))))</f>
        <v>SIN RIESGO</v>
      </c>
      <c r="AL168" s="23" t="s">
        <v>864</v>
      </c>
      <c r="AM168" s="26" t="s">
        <v>864</v>
      </c>
      <c r="AN168" s="26" t="s">
        <v>864</v>
      </c>
      <c r="AO168" s="26" t="s">
        <v>864</v>
      </c>
      <c r="AP168" s="26" t="s">
        <v>864</v>
      </c>
      <c r="AQ168" s="26" t="s">
        <v>864</v>
      </c>
      <c r="AR168" s="26" t="s">
        <v>864</v>
      </c>
      <c r="AS168" s="21">
        <v>2</v>
      </c>
      <c r="AT168" s="21">
        <v>0</v>
      </c>
      <c r="AU168" s="21">
        <v>0</v>
      </c>
      <c r="AV168" s="26" t="s">
        <v>864</v>
      </c>
      <c r="AW168" s="21">
        <v>2</v>
      </c>
      <c r="AX168" s="26" t="s">
        <v>864</v>
      </c>
      <c r="AY168" s="26" t="s">
        <v>864</v>
      </c>
      <c r="AZ168" s="26" t="s">
        <v>864</v>
      </c>
      <c r="BA168" s="26" t="s">
        <v>864</v>
      </c>
      <c r="BB168" s="26" t="s">
        <v>864</v>
      </c>
      <c r="BC168" s="26" t="s">
        <v>864</v>
      </c>
      <c r="BD168" s="26" t="s">
        <v>864</v>
      </c>
      <c r="BE168" s="26" t="s">
        <v>864</v>
      </c>
      <c r="BF168" s="26" t="s">
        <v>864</v>
      </c>
      <c r="BG168" s="26" t="s">
        <v>864</v>
      </c>
      <c r="BH168" s="26" t="s">
        <v>864</v>
      </c>
      <c r="BI168" s="26" t="s">
        <v>864</v>
      </c>
      <c r="BJ168" s="26" t="s">
        <v>864</v>
      </c>
      <c r="BK168" s="26" t="s">
        <v>864</v>
      </c>
      <c r="BL168" s="26" t="s">
        <v>864</v>
      </c>
      <c r="BM168" s="26" t="s">
        <v>864</v>
      </c>
      <c r="BN168" s="22">
        <v>42776</v>
      </c>
      <c r="BO168" s="22">
        <v>44875</v>
      </c>
      <c r="BP168" s="21" t="s">
        <v>1380</v>
      </c>
      <c r="BQ168" s="222">
        <f t="shared" si="601"/>
        <v>70.11666666666666</v>
      </c>
      <c r="BR168" s="223">
        <f t="shared" si="602"/>
        <v>44879.5</v>
      </c>
      <c r="BS168" s="224">
        <f t="shared" si="603"/>
        <v>15.928571428571429</v>
      </c>
      <c r="BT168" s="216" t="str">
        <f t="shared" si="604"/>
        <v>II TRIM</v>
      </c>
      <c r="BU168" s="214" t="str">
        <f t="shared" ca="1" si="605"/>
        <v/>
      </c>
      <c r="BV168" s="25" t="s">
        <v>1525</v>
      </c>
      <c r="BW168" s="22">
        <v>44960</v>
      </c>
      <c r="BX168" s="28">
        <v>11.5</v>
      </c>
      <c r="BY168" s="28"/>
      <c r="BZ168" s="22"/>
      <c r="CA168" s="21"/>
      <c r="CB168" s="26" t="s">
        <v>864</v>
      </c>
      <c r="CC168" s="26" t="s">
        <v>864</v>
      </c>
      <c r="CD168" s="26"/>
      <c r="CE168" s="26" t="s">
        <v>864</v>
      </c>
      <c r="CF168" s="22" t="s">
        <v>1517</v>
      </c>
      <c r="CG168" s="21">
        <v>1.68</v>
      </c>
      <c r="CH168" s="21">
        <v>72</v>
      </c>
      <c r="CI168" s="214">
        <f t="shared" si="606"/>
        <v>25.510204081632658</v>
      </c>
      <c r="CJ168" s="225" t="e">
        <f>IF(AND(CI168&lt;10,CH168="SD"),"SIN DATO PESO PREGESTACION O I TRIM",IF(AND(OR(R168&gt;0,O168&gt;0),CI168="X"),"INGRESAR DATO DE PESO",IF(CI168="SD","INGRESAR DATO DE TALLA Y PESO",IF(AND(OR(Tabla1[[#This Row],[MOMENTO EN QUE SE REALIZA EL PESO AL INGRESO A CPN]]="PREGESTACIÓN",NZ168="Menor"),CI168&lt;18.5),"BAJO PESO",IF(AND(OR(Tabla1[[#This Row],[MOMENTO EN QUE SE REALIZA EL PESO AL INGRESO A CPN]]="PREGESTACIÓN",NZ168="Menor"),CI168&lt;25),"NORMAL",IF(AND(OR(Tabla1[[#This Row],[MOMENTO EN QUE SE REALIZA EL PESO AL INGRESO A CPN]]="PREGESTACIÓN",NZ168="Menor"),CI168&lt;30),"SOBREPESO",IF(AND(OR(Tabla1[[#This Row],[MOMENTO EN QUE SE REALIZA EL PESO AL INGRESO A CPN]]="PREGESTACIÓN",NZ168="Menor"),CI168&gt;=30,CI168&lt;50),"OBESIDAD",IF(AND(BS168&gt;0,Tabla1[[#This Row],[MOMENTO EN QUE SE REALIZA EL PESO AL INGRESO A CPN]]="GESTACIÓN"),HLOOKUP(NZ168,$OA$2:PH168,NY168),""))))))))</f>
        <v>#REF!</v>
      </c>
      <c r="CK168" s="212">
        <f t="shared" si="607"/>
        <v>45136</v>
      </c>
      <c r="CL168" s="21">
        <v>86.6</v>
      </c>
      <c r="CM168" s="214">
        <f t="shared" si="608"/>
        <v>30.68310657596372</v>
      </c>
      <c r="CN168" s="216">
        <f t="shared" si="609"/>
        <v>36</v>
      </c>
      <c r="CO168" s="216" t="e">
        <f>IF(PI168="","",IF(PI168&gt;0,HLOOKUP(PI168,$PJ$2:QQ168,NY168),""))</f>
        <v>#REF!</v>
      </c>
      <c r="CP168" s="21">
        <v>36</v>
      </c>
      <c r="CQ168" s="216" t="e">
        <f>IF(QR168="Menor","NO APLICA-MENOR 13 SEM",IF(AND(CC168="SI",CN168&gt;23),"NO APLICA- GEMELAR",IF(QR168="","",IF(QR168&gt;0,HLOOKUP(QR168,$QS$2:RU168,NY168),""))))</f>
        <v>#REF!</v>
      </c>
      <c r="CR168" s="21"/>
      <c r="CS168" s="21"/>
      <c r="CT168" s="217" t="str">
        <f>IF(R168="","",IF(AND(BS168&gt;1,BS168&lt;12,Tabla1[[#This Row],[T.A. SISTOLICA - ANTES DE SEMANA 12]]="",Tabla1[[#This Row],[T.A. DIASTOLICA - ANTES DE SEMANA 12]]=""),"REGISTRE DATO TA ANTES SEMANA 12",IF(AND(BS168&gt;11,BS168&lt;43,Tabla1[[#This Row],[T.A. SISTOLICA - ANTES DE SEMANA 12]]="",Tabla1[[#This Row],[T.A. DIASTOLICA - ANTES DE SEMANA 12]]=""),"NO APLICA REGISTRO TA-INGRESO TARDIO",IF(AND(OR(O168&gt;0,R168&gt;0),OR(CR168&gt;=140,CS168&gt;=90)),"DEFINIR ESTADIO HTA",IF(AND(OR(O168&gt;0,R168&gt;0),AND(CR168&gt;120,CR168&lt;=139)),"PRE HTA SEGUIMIENTO",IF(AND(OR(O168&gt;0,R168&gt;0),AND(CS168&gt;80,CS168&lt;=89)),"PRE HTA SEGUIMIENTO",IF(AND(OR(O168&gt;0,R168&gt;0),AND(CR168&gt;=80,CR168&lt;=120)),"APARENTEMENTE NORMAL",IF(AND(OR(O168&gt;0,R168&gt;0),AND(CS168&gt;=50,CS168&lt;=80)),"APARENTEMENTE NORMAL",IF(AND(OR(O168&gt;0,R168&gt;0),AND(CR168&gt;1,CR168&lt;=70),AND(CS168&gt;1,CS168&lt;=40)),"HIPOTENSIÓN","")))))))))</f>
        <v>NO APLICA REGISTRO TA-INGRESO TARDIO</v>
      </c>
      <c r="CU168" s="21">
        <v>110</v>
      </c>
      <c r="CV168" s="21">
        <v>70</v>
      </c>
      <c r="CW168" s="217" t="str">
        <f ca="1">IF(R168="","",IF(AND(CN168&gt;19,CN168&lt;27,Tabla1[[#This Row],[T.A. SISTOLICA (Entre semana 20 y 26)]]="",Tabla1[[#This Row],[T.A. DIATOLICA (Entre semana 20 y 26)]]=""),"ACUDE A CONTROL SEM 20 A 26 REGISTRE TA AHORA",IF(AND(BS168&gt;1,BS168&lt;27,BU168&gt;19,Tabla1[[#This Row],[T.A. SISTOLICA (Entre semana 20 y 26)]]="",Tabla1[[#This Row],[T.A. DIATOLICA (Entre semana 20 y 26)]]=""),"COMPLETE REGISTRO TA CONTROL SEM 20 A26 ",IF(AND(BS168&gt;26,BS168&lt;43,Tabla1[[#This Row],[T.A. SISTOLICA (Entre semana 20 y 26)]]="",Tabla1[[#This Row],[T.A. DIATOLICA (Entre semana 20 y 26)]]=""),"NO APLICA REGISTRO TA-INGRESO TARDIO",IF(AND(OR(O168&gt;0,R168&gt;0),OR(CU168&gt;=140,CV168&gt;=90)),"ALTO RIESGO PREECLAMPSIA,DEFINIR ESTADIO HTA",IF(AND(OR(O168&gt;0,R168&gt;0),AND(CU168&gt;120,CU168&lt;=139)),"PRE HTA SEGUIMIENTO,RIESGO HIPERTENSION INDUCIDA POR EL EMBARAZO",IF(AND(OR(O168&gt;0,R168&gt;0),AND(CV168&gt;80,CV168&lt;=89)),"PRE HTA SEGUIMIENTO, RIESGO HIPERTENSION INDUCIDA POR EL EMBARAZO",IF(AND(OR(O168&lt;&gt;"",R168&lt;&gt;""),CS168&lt;&gt;"",CV168&lt;&gt;"",CS168&lt;=CV168),"VIGILAR CIFRAS PRESION ARTERIAL",IF(AND(OR(O168&gt;0,R168&gt;0),AND(CU168&gt;120,CU168&lt;=139)),"PRE HTA SEGUIMIENTO",IF(AND(OR(O168&gt;0,R168&gt;0),AND(CU168&gt;1,CU168&lt;=70),AND(CV168&gt;1,CV168&lt;=40)),"HIPOTENSIÓN",IF(AND(OR(O168&lt;&gt;"",R168&lt;&gt;""),CS168&lt;&gt;"",CV168&lt;&gt;"",CS168&gt;CV168),"APARENTEMENTE NORMAL",IF(AND(OR(O168&gt;0,R168&gt;0),AND(CU168&gt;=80,CU168&lt;=120)),"APARENTEMENTE NORMAL",IF(AND(OR(O168&gt;0,R168&gt;0),AND(CV168&gt;=50,CV168&lt;=80)),"APARENTEMENTE NORMAL","")))))))))))))</f>
        <v>APARENTEMENTE NORMAL</v>
      </c>
      <c r="CX168" s="21"/>
      <c r="CY168" s="21"/>
      <c r="CZ168" s="216" t="str">
        <f t="shared" si="688"/>
        <v/>
      </c>
      <c r="DA168" s="21">
        <v>100</v>
      </c>
      <c r="DB168" s="21">
        <v>60</v>
      </c>
      <c r="DC168" s="217" t="str">
        <f t="shared" si="610"/>
        <v>VIGILAR CIFRAS PRESION ARTERIAL</v>
      </c>
      <c r="DD168" s="22">
        <v>44991</v>
      </c>
      <c r="DE168" s="22">
        <v>44991</v>
      </c>
      <c r="DF168" s="22">
        <v>45045</v>
      </c>
      <c r="DG168" s="22">
        <v>45079</v>
      </c>
      <c r="DH168" s="22">
        <v>45113</v>
      </c>
      <c r="DI168" s="22">
        <v>45126</v>
      </c>
      <c r="DJ168" s="22">
        <v>45136</v>
      </c>
      <c r="DK168" s="22"/>
      <c r="DL168" s="22"/>
      <c r="DM168" s="22"/>
      <c r="DN168" s="22"/>
      <c r="DO168" s="22"/>
      <c r="DP168" s="22"/>
      <c r="DQ168" s="22"/>
      <c r="DR168" s="28"/>
      <c r="DS168" s="22"/>
      <c r="DT168" s="22"/>
      <c r="DU168" s="216" t="str">
        <f t="shared" ca="1" si="674"/>
        <v>CONCERTAR PLAN DE PARTO INMEDIATO</v>
      </c>
      <c r="DV168" s="226" t="str">
        <f t="shared" si="675"/>
        <v>ACTIVA INGRESO A CPN</v>
      </c>
      <c r="DW16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8" s="216" t="e">
        <f t="shared" ca="1" si="611"/>
        <v>#REF!</v>
      </c>
      <c r="DY168" s="212">
        <f>IF(R168="","",IF(R168&gt;0,MAX(Tabla1[[#This Row],[FECHA C2]:[FECHA C13]],Tabla1[[#This Row],[FECHA CONSULTA PRIMERA VEZ PROGRAMA CPN ]])))</f>
        <v>45136</v>
      </c>
      <c r="DZ168" s="216">
        <f t="shared" si="612"/>
        <v>36</v>
      </c>
      <c r="EA168" s="222">
        <f>IF(R168&gt;0,SUM(COUNTA(DF168:DQ168)+COUNTA(Tabla1[[#This Row],[FECHA CONSULTA PRIMERA VEZ PROGRAMA CPN ]])),"")</f>
        <v>6</v>
      </c>
      <c r="EB168" s="222" t="str">
        <f t="shared" si="613"/>
        <v>SI</v>
      </c>
      <c r="EC168" s="214">
        <f t="shared" si="614"/>
        <v>8</v>
      </c>
      <c r="ED168" s="227">
        <f t="shared" si="615"/>
        <v>0.75</v>
      </c>
      <c r="EE168" s="22">
        <v>44991</v>
      </c>
      <c r="EF168" s="22"/>
      <c r="EG168" s="22">
        <v>44991</v>
      </c>
      <c r="EH168" s="22"/>
      <c r="EI168" s="22">
        <v>44991</v>
      </c>
      <c r="EJ168" s="22"/>
      <c r="EK168" s="22"/>
      <c r="EL168" s="21"/>
      <c r="EM168" s="21">
        <v>11.2</v>
      </c>
      <c r="EN168" s="22">
        <v>45037</v>
      </c>
      <c r="EO168" s="222">
        <f t="shared" si="616"/>
        <v>22.5</v>
      </c>
      <c r="EP168" s="214" t="str">
        <f t="shared" si="617"/>
        <v>NORMAL- SUMINISTRAR SULFATO FERROSO</v>
      </c>
      <c r="EQ168" s="216" t="str">
        <f t="shared" si="618"/>
        <v>II TRIM</v>
      </c>
      <c r="ER168" s="24">
        <v>12.6</v>
      </c>
      <c r="ES168" s="22">
        <v>45072</v>
      </c>
      <c r="ET168" s="29">
        <f t="shared" ca="1" si="676"/>
        <v>27.5</v>
      </c>
      <c r="EU168" s="25" t="str">
        <f t="shared" si="619"/>
        <v>NORMAL- SUMINISTRAR SULFATO FERROSO</v>
      </c>
      <c r="EV168" s="24" t="s">
        <v>1510</v>
      </c>
      <c r="EW168" s="32">
        <v>45014</v>
      </c>
      <c r="EX168" s="22"/>
      <c r="EY168" s="29">
        <f t="shared" si="691"/>
        <v>19.214285714285715</v>
      </c>
      <c r="EZ168" s="25" t="str">
        <f t="shared" si="692"/>
        <v>SIN RIESGO DE ISOINMUNIZACIÓN</v>
      </c>
      <c r="FA168" s="21">
        <v>83</v>
      </c>
      <c r="FB168" s="22">
        <v>45014</v>
      </c>
      <c r="FC168" s="29">
        <f t="shared" si="620"/>
        <v>19.214285714285715</v>
      </c>
      <c r="FD168" s="29">
        <v>63</v>
      </c>
      <c r="FE168" s="29">
        <v>143</v>
      </c>
      <c r="FF168" s="29">
        <v>124</v>
      </c>
      <c r="FG168" s="21" t="str">
        <f t="shared" ca="1" si="621"/>
        <v>NORMAL</v>
      </c>
      <c r="FH168" s="31">
        <v>45072</v>
      </c>
      <c r="FI168" s="29">
        <f t="shared" si="622"/>
        <v>27.5</v>
      </c>
      <c r="FJ168" s="22"/>
      <c r="FK168" s="22"/>
      <c r="FL168" s="29" t="str">
        <f t="shared" ca="1" si="623"/>
        <v>NO APLICA-INGRESO TARDIO</v>
      </c>
      <c r="FM168" s="22" t="s">
        <v>867</v>
      </c>
      <c r="FN168" s="32">
        <v>45014</v>
      </c>
      <c r="FO168" s="29">
        <f t="shared" ca="1" si="677"/>
        <v>19.214285714285715</v>
      </c>
      <c r="FP168" s="22" t="s">
        <v>867</v>
      </c>
      <c r="FQ168" s="32">
        <v>45072</v>
      </c>
      <c r="FR168" s="29">
        <f t="shared" ca="1" si="678"/>
        <v>27.5</v>
      </c>
      <c r="FS168" s="22"/>
      <c r="FT168" s="32"/>
      <c r="FU168" s="29" t="str">
        <f>IF(AND(FJ168="",FM168="",FP168="",FS168=""),"",IF(OR(OR(Tabla1[[#This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8" s="28"/>
      <c r="FW168" s="22"/>
      <c r="FX168" s="29" t="str">
        <f t="shared" si="624"/>
        <v>TOMAR EXAMEN</v>
      </c>
      <c r="FY168" s="22">
        <v>44991</v>
      </c>
      <c r="FZ168" s="22">
        <v>44991</v>
      </c>
      <c r="GA168" s="29" t="str">
        <f t="shared" si="690"/>
        <v>REGISTRAR EN II TRIMESTRE</v>
      </c>
      <c r="GB168" s="22" t="s">
        <v>868</v>
      </c>
      <c r="GC168" s="22">
        <v>45014</v>
      </c>
      <c r="GD168" s="29">
        <f t="shared" ca="1" si="679"/>
        <v>19.214285714285715</v>
      </c>
      <c r="GE168" s="22" t="s">
        <v>868</v>
      </c>
      <c r="GF168" s="22">
        <v>45072</v>
      </c>
      <c r="GG168" s="29">
        <f t="shared" ca="1" si="680"/>
        <v>27.5</v>
      </c>
      <c r="GH168" s="22"/>
      <c r="GI168" s="29"/>
      <c r="GJ168" s="22"/>
      <c r="GK168" s="22"/>
      <c r="GL168" s="22"/>
      <c r="GM168" s="22"/>
      <c r="GN168" s="28" t="s">
        <v>869</v>
      </c>
      <c r="GO168" s="22">
        <v>45014</v>
      </c>
      <c r="GP168" s="29">
        <f t="shared" si="625"/>
        <v>19.214285714285715</v>
      </c>
      <c r="GQ168" s="28" t="s">
        <v>869</v>
      </c>
      <c r="GR168" s="28" t="s">
        <v>846</v>
      </c>
      <c r="GS168" s="22" t="str">
        <f t="shared" si="726"/>
        <v>CONTROL Igm</v>
      </c>
      <c r="GT168" s="22">
        <v>45014</v>
      </c>
      <c r="GU168" s="29">
        <f t="shared" si="627"/>
        <v>19.857142857142858</v>
      </c>
      <c r="GV168" s="21" t="str">
        <f t="shared" si="628"/>
        <v>II TRIM</v>
      </c>
      <c r="GW168" s="28" t="s">
        <v>846</v>
      </c>
      <c r="GX168" s="30"/>
      <c r="GY168" s="21"/>
      <c r="GZ168" s="21"/>
      <c r="HA168" s="21"/>
      <c r="HB168" s="21"/>
      <c r="HC168" s="21"/>
      <c r="HD168" s="21"/>
      <c r="HE168" s="21"/>
      <c r="HF168" s="22"/>
      <c r="HG168" s="22" t="str">
        <f>IF(OR(O168&gt;0,R168&gt;0),CONCATENATE(IF(Tabla1[[#This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8" s="22" t="e">
        <f t="shared" si="629"/>
        <v>#REF!</v>
      </c>
      <c r="HI168" s="22" t="e">
        <f t="shared" ca="1" si="630"/>
        <v>#REF!</v>
      </c>
      <c r="HJ168" s="21"/>
      <c r="HK168" s="21" t="str">
        <f t="shared" si="631"/>
        <v>SIN ANTECEDENTES DE RIESGO</v>
      </c>
      <c r="HL168" s="24" t="str">
        <f t="shared" si="632"/>
        <v>VIGILAR CIFRAS PRESION ARTERIAL</v>
      </c>
      <c r="HM168" s="21" t="e">
        <f t="shared" ca="1" si="633"/>
        <v>#REF!</v>
      </c>
      <c r="HN168" s="30" t="str">
        <f t="shared" si="681"/>
        <v>ACTIVA INGRESO A CPN</v>
      </c>
      <c r="HO168" s="21"/>
      <c r="HP168" s="21"/>
      <c r="HQ168" s="21">
        <v>44991</v>
      </c>
      <c r="HR168" s="21" t="str">
        <f>IF(R168="","",IF(Tabla1[[#This Row],[ALARMA FACTORES DE RIESGO COMPLICACIONES HIPERTENSIVAS3]]="SIN ANTECEDENTES DE RIESGO","No Aplica para suministro de ASA",IF(AND(Tabla1[[#This Row],[FECHA INICIO DE SUMINISTRO DE ASA]]&gt;0,RV168&lt;12),"Inicia ASA ANTES de Sem 12",IF(AND(RV168&gt;11,RV168&lt;17,OR(HK168="RIESGO ALTO DE COMPLICACIONES HIPERTENSIVAS VER MANEJO GUIA SUMINISTRO ASA Y CALCIO",HK168="RIESGO MODERADO (2 O MAS CRITERIOS) VER MANEJO GUIA SUMINISTRO ASA Y CALCIO")),"Inicio oportuno de ASA",IF(AND(RV168&gt;12,OR(HK168="RIESGO ALTO DE COMPLICACIONES HIPERTENSIVAS VER MANEJO GUIA SUMINISTRO ASA Y CALCIO",HK168="RIESGO MODERADO (2 O MAS CRITERIOS) VER MANEJO GUIA SUMINISTRO ASA Y CALCIO")),"Inicio no oportuno mayor a 16 semanas",IF(AND(BU168&lt;12,OR(HK168="RIESGO ALTO DE COMPLICACIONES HIPERTENSIVAS VER MANEJO GUIA SUMINISTRO ASA Y CALCIO",HK168="RIESGO MODERADO (2 O MAS CRITERIOS) VER MANEJO GUIA SUMINISTRO ASA Y CALCIO")),"Pendiente Inicio de ASA a la semana 12",IF(AND(BU168&gt;11,BU168&lt;17,OR(HK168="RIESGO ALTO DE COMPLICACIONES HIPERTENSIVAS VER MANEJO GUIA SUMINISTRO ASA Y CALCIO",HK168="RIESGO MODERADO (2 O MAS CRITERIOS) VER MANEJO GUIA SUMINISTRO ASA Y CALCIO")),"Iniciar de inmediato ASA",IF(AND(BU168&gt;16,OR(HK168="RIESGO ALTO DE COMPLICACIONES HIPERTENSIVAS VER MANEJO GUIA SUMINISTRO ASA Y CALCIO",HK168="RIESGO MODERADO (2 O MAS CRITERIOS) VER MANEJO GUIA SUMINISTRO ASA Y CALCIO")),"Pierde Oportunidad, Inicio tardío de ASA","XXXXX"))))))))</f>
        <v>No Aplica para suministro de ASA</v>
      </c>
      <c r="HS168" s="22">
        <v>44991</v>
      </c>
      <c r="HT168" s="22" t="s">
        <v>870</v>
      </c>
      <c r="HU168" s="22"/>
      <c r="HV168" s="22"/>
      <c r="HW168" s="22"/>
      <c r="HX168" s="22"/>
      <c r="HY168" s="22"/>
      <c r="HZ168" s="28" t="str">
        <f t="shared" si="634"/>
        <v>PENDIENTE CONSULTA</v>
      </c>
      <c r="IA168" s="26"/>
      <c r="IB168" s="26"/>
      <c r="IC168" s="111"/>
      <c r="ID168" s="22"/>
      <c r="IE168" s="22" t="str">
        <f t="shared" ca="1" si="635"/>
        <v/>
      </c>
      <c r="IF168" s="22"/>
      <c r="IG168" s="22">
        <f t="shared" si="636"/>
        <v>45159.5</v>
      </c>
      <c r="IH168" s="29">
        <f t="shared" ca="1" si="637"/>
        <v>-73.5</v>
      </c>
      <c r="II168" s="22" t="str">
        <f t="shared" ca="1" si="638"/>
        <v>POSIBLEMENTE NACIO</v>
      </c>
      <c r="IJ168" s="22"/>
      <c r="IK168" s="21"/>
      <c r="IL168" s="21"/>
      <c r="IM168" s="34"/>
      <c r="IN168" s="349"/>
      <c r="IO168" s="21"/>
      <c r="IP168" s="29" t="str">
        <f t="shared" si="672"/>
        <v/>
      </c>
      <c r="IQ168" s="35"/>
      <c r="IR168" s="21"/>
      <c r="IS168" s="21"/>
      <c r="IT168" s="21"/>
      <c r="IU168" s="21"/>
      <c r="IV168" s="21"/>
      <c r="IW168" s="21"/>
      <c r="IX168" s="21"/>
      <c r="IY168" s="21"/>
      <c r="IZ168" s="21"/>
      <c r="JA168" s="21"/>
      <c r="JB168" s="30"/>
      <c r="JC168" s="21"/>
      <c r="JD168" s="36"/>
      <c r="JE168" s="21" t="str">
        <f t="shared" si="682"/>
        <v/>
      </c>
      <c r="JF168" s="30"/>
      <c r="JG168" s="21"/>
      <c r="JH168" s="21"/>
      <c r="JI168" s="21"/>
      <c r="JJ168" s="30"/>
      <c r="JK168" s="22"/>
      <c r="JL168" s="22"/>
      <c r="JM168" s="21"/>
      <c r="JN168" s="36"/>
      <c r="JO168" s="21" t="str">
        <f t="shared" si="683"/>
        <v/>
      </c>
      <c r="JP168" s="22"/>
      <c r="JQ168" s="21"/>
      <c r="JR168" s="21"/>
      <c r="JS168" s="21"/>
      <c r="JT168" s="30"/>
      <c r="JU168" s="22"/>
      <c r="JV168" s="22"/>
      <c r="JW168" s="33"/>
      <c r="JX168" s="28" t="str">
        <f t="shared" si="684"/>
        <v/>
      </c>
      <c r="JY168" s="33"/>
      <c r="JZ168" s="28" t="str">
        <f t="shared" si="685"/>
        <v/>
      </c>
      <c r="KA168" s="21"/>
      <c r="KB168" s="21"/>
      <c r="KC168" s="21"/>
      <c r="KD168" s="37"/>
      <c r="KE168" s="28"/>
      <c r="KF168" s="28"/>
      <c r="KG168" s="28"/>
      <c r="KH168" s="39"/>
      <c r="KI168" s="39"/>
      <c r="KJ168" s="66"/>
      <c r="KK168" s="39"/>
      <c r="KL168" s="39"/>
      <c r="KM168" s="66"/>
      <c r="KN168" s="39"/>
      <c r="KO168" s="39"/>
      <c r="KP168" s="39"/>
      <c r="KQ168" s="39"/>
      <c r="KR168" s="39"/>
      <c r="KS168" s="39"/>
      <c r="KT168" s="39"/>
      <c r="KU168" s="38"/>
      <c r="KV168" s="38"/>
      <c r="KW168" s="38"/>
      <c r="KX168" s="38"/>
      <c r="KY168" s="38"/>
      <c r="KZ168" s="38"/>
      <c r="LA168" s="38"/>
      <c r="LB168" s="38"/>
      <c r="LC168" s="38"/>
      <c r="LD168" s="38"/>
      <c r="LE168" s="38"/>
      <c r="LF168" s="38"/>
      <c r="LG168" s="38"/>
      <c r="LH168" s="38"/>
      <c r="LI168" s="38"/>
      <c r="LJ168" s="38"/>
      <c r="LK168" s="38"/>
      <c r="LL168" s="38"/>
      <c r="LM168" s="38"/>
      <c r="LN168" s="38"/>
      <c r="LO168" s="38"/>
      <c r="LP168" s="38"/>
      <c r="LQ168" s="38"/>
      <c r="LR168" s="38"/>
      <c r="LS168" s="38"/>
      <c r="LT168" s="38"/>
      <c r="LU168" s="38"/>
      <c r="LV168" s="38"/>
      <c r="LW168" s="38"/>
      <c r="LX168" s="38"/>
      <c r="LY168" s="38"/>
      <c r="LZ168" s="38"/>
      <c r="MA168" s="38"/>
      <c r="MB168" s="38"/>
      <c r="MC168" s="38"/>
      <c r="MD168" s="38"/>
      <c r="ME168" s="38"/>
      <c r="MF168" s="38"/>
      <c r="MG168" s="38"/>
      <c r="MH168" s="43">
        <f t="shared" si="695"/>
        <v>0</v>
      </c>
      <c r="MI168" s="43" t="str">
        <f t="shared" si="696"/>
        <v/>
      </c>
      <c r="MJ168" s="43" t="str">
        <f t="shared" si="697"/>
        <v/>
      </c>
      <c r="MK168" s="43">
        <f t="shared" si="698"/>
        <v>0</v>
      </c>
      <c r="ML16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8" s="43">
        <f t="shared" si="699"/>
        <v>15.928571428571429</v>
      </c>
      <c r="MN168" s="43">
        <f t="shared" si="700"/>
        <v>3</v>
      </c>
      <c r="MO168" s="43">
        <f t="shared" si="701"/>
        <v>2023</v>
      </c>
      <c r="MP168" s="43" t="str">
        <f t="shared" si="702"/>
        <v>I TRIMESTRE AÑO</v>
      </c>
      <c r="MQ168" s="43">
        <f t="shared" si="703"/>
        <v>27.398160315374508</v>
      </c>
      <c r="MR168" s="43">
        <f t="shared" si="704"/>
        <v>0</v>
      </c>
      <c r="MS168" s="43" t="str">
        <f t="shared" si="705"/>
        <v xml:space="preserve"> DE 25 A 29 AÑOS</v>
      </c>
      <c r="MT168" s="43">
        <f t="shared" si="706"/>
        <v>0</v>
      </c>
      <c r="MU168" s="43">
        <f t="shared" si="707"/>
        <v>1</v>
      </c>
      <c r="MV168" s="43">
        <f t="shared" si="708"/>
        <v>2</v>
      </c>
      <c r="MW168" s="43">
        <f t="shared" si="709"/>
        <v>0</v>
      </c>
      <c r="MX168" s="43" t="str">
        <f t="shared" si="710"/>
        <v/>
      </c>
      <c r="MY168" s="43" t="str">
        <f t="shared" ca="1" si="686"/>
        <v/>
      </c>
      <c r="MZ168" s="43" t="str">
        <f t="shared" si="711"/>
        <v/>
      </c>
      <c r="NA168" s="43" t="str">
        <f t="shared" si="712"/>
        <v/>
      </c>
      <c r="NB168" s="43" t="str">
        <f t="shared" si="713"/>
        <v/>
      </c>
      <c r="NC168" s="43" t="str">
        <f t="shared" si="714"/>
        <v/>
      </c>
      <c r="ND168" s="43">
        <f t="shared" ca="1" si="715"/>
        <v>3</v>
      </c>
      <c r="NE168" s="43">
        <f>IF(OR(O168&gt;0,R168&gt;0),SUM(COUNTIF(Tabla1[[#This Row],[AÑOS AL INICIO5 CPN]],"&gt;=40"),COUNTIF(AS168,"0"),COUNTIF(AR168,"SI"),COUNTIF(CC168,"SI"),COUNTIF(BQ168,"&gt;119"),COUNTIF(CI168,"&gt;=35")),"")</f>
        <v>0</v>
      </c>
      <c r="NF168" s="43" t="str">
        <f t="shared" si="716"/>
        <v/>
      </c>
      <c r="NG168" s="43">
        <f t="shared" si="717"/>
        <v>0</v>
      </c>
      <c r="NH168" s="43">
        <f t="shared" si="718"/>
        <v>80.5</v>
      </c>
      <c r="NI16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CPN",P168="NO"),"Z",IF(AND(Tabla1[[#This Row],[CITA PROXIMO CONTROL]]="CITA MANUAL",Tabla1[[#This Row],[GESTANTES ACTUALES]]="ACTIVA INGRESO A CPN"),"W",IF(AND(Tabla1[[#This Row],[GESTANTES ACTUALES]]="SALIO PROGRAMA",IN168=""),"S",IF(AND(Tabla1[[#This Row],[CITA PROXIMO CONTROL]]&gt;0,IN168=""),(Tabla1[[#This Row],[CITA PROXIMO CONTROL]]-TODAY()),"SD"))))))))</f>
        <v>#REF!</v>
      </c>
      <c r="NJ168" s="43">
        <f>MONTH(Tabla1[[#This Row],[FECHA DE SALIDA  DEL PROGRAMA]])</f>
        <v>1</v>
      </c>
      <c r="NK168" s="43">
        <f>YEAR(Tabla1[[#This Row],[FECHA DE SALIDA  DEL PROGRAMA]])</f>
        <v>1900</v>
      </c>
      <c r="NL168" s="43" t="str">
        <f t="shared" si="719"/>
        <v>X</v>
      </c>
      <c r="NM168" s="43" t="str">
        <f t="shared" si="693"/>
        <v>NO</v>
      </c>
      <c r="NN168" s="43" t="str">
        <f ca="1">IF(AND(O168&gt;0,R168=""),"NO CPN",IF(AND(O168="",R168=""),"",IF(AND(R168&gt;0,Tabla1[[#This Row],[SEMANAS DE GESTACION ACTUALIZADAS]]&lt;=12),"NO APLICA",IF(AND(FH168&lt;&gt;"",FN168&lt;&gt;""),"SI","NO"))))</f>
        <v>SI</v>
      </c>
      <c r="NO168" s="43" t="str">
        <f ca="1">IF(AND(O168&gt;0,R168=""),"NO CPN",IF(AND(O168="",R168=""),"",IF(AND(R168&gt;0,Tabla1[[#This Row],[SEMANAS DE GESTACION ACTUALIZADAS]]&lt;=27),"NO APLICA",IF(AND(ES168&lt;&gt;"",FQ168&lt;&gt;"",GF168&lt;&gt;""),"SI","NO"))))</f>
        <v>SI</v>
      </c>
      <c r="NP168" s="204" t="str">
        <f t="shared" si="720"/>
        <v>II TRIM</v>
      </c>
      <c r="NQ168" s="21" t="str">
        <f t="shared" si="689"/>
        <v/>
      </c>
      <c r="NR168" s="21" t="str">
        <f t="shared" ca="1" si="687"/>
        <v>REVISAR FUM O FECHA SALIDA PROGRAMA</v>
      </c>
      <c r="NS168" s="205">
        <f t="shared" ca="1" si="721"/>
        <v>2</v>
      </c>
      <c r="NT168" s="21">
        <f t="shared" ca="1" si="722"/>
        <v>2</v>
      </c>
      <c r="NU168" s="21" t="str">
        <f t="shared" ca="1" si="723"/>
        <v>POR DEFINIR</v>
      </c>
      <c r="NV168" s="21" t="str">
        <f t="shared" ca="1" si="724"/>
        <v>POR DEFINIR</v>
      </c>
      <c r="NW168" s="206" t="str">
        <f>IF(AND(O168="",R168=""),"",IF(OR(AND(Tabla1[[#This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8" s="207" t="str">
        <f t="shared" ca="1" si="725"/>
        <v>SIN VACUNAR</v>
      </c>
      <c r="NY168" s="43">
        <f>ROW(Tabla1[[#This Row],['# DE TAMIZAJES SIFILIS TOMADOS ]])</f>
        <v>168</v>
      </c>
      <c r="NZ168" s="43">
        <f t="shared" si="501"/>
        <v>15</v>
      </c>
      <c r="OA168" s="43" t="str">
        <f t="shared" si="502"/>
        <v/>
      </c>
      <c r="OB168" s="43" t="str">
        <f t="shared" si="503"/>
        <v/>
      </c>
      <c r="OC168" s="43" t="str">
        <f t="shared" si="504"/>
        <v/>
      </c>
      <c r="OD168" s="43" t="str">
        <f t="shared" si="505"/>
        <v/>
      </c>
      <c r="OE168" s="43" t="str">
        <f t="shared" si="506"/>
        <v/>
      </c>
      <c r="OF168" s="43" t="str">
        <f t="shared" si="507"/>
        <v/>
      </c>
      <c r="OG168" s="43" t="str">
        <f t="shared" si="508"/>
        <v>NORMAL</v>
      </c>
      <c r="OH168" s="43" t="str">
        <f t="shared" si="509"/>
        <v/>
      </c>
      <c r="OI168" s="43" t="str">
        <f t="shared" si="510"/>
        <v/>
      </c>
      <c r="OJ168" s="43" t="str">
        <f t="shared" si="511"/>
        <v/>
      </c>
      <c r="OK168" s="43" t="str">
        <f t="shared" si="512"/>
        <v/>
      </c>
      <c r="OL168" s="43" t="str">
        <f t="shared" si="513"/>
        <v/>
      </c>
      <c r="OM168" s="43" t="str">
        <f t="shared" si="514"/>
        <v/>
      </c>
      <c r="ON168" s="43" t="str">
        <f t="shared" si="515"/>
        <v/>
      </c>
      <c r="OO168" s="43" t="str">
        <f t="shared" si="516"/>
        <v/>
      </c>
      <c r="OP168" s="43" t="str">
        <f t="shared" si="517"/>
        <v/>
      </c>
      <c r="OQ168" s="43" t="str">
        <f t="shared" si="518"/>
        <v/>
      </c>
      <c r="OR168" s="43" t="str">
        <f t="shared" si="519"/>
        <v/>
      </c>
      <c r="OS168" s="43" t="str">
        <f t="shared" si="520"/>
        <v/>
      </c>
      <c r="OT168" s="43" t="str">
        <f t="shared" si="521"/>
        <v/>
      </c>
      <c r="OU168" s="43" t="str">
        <f t="shared" si="522"/>
        <v/>
      </c>
      <c r="OV168" s="110" t="str">
        <f t="shared" si="523"/>
        <v/>
      </c>
      <c r="OW168" s="43" t="str">
        <f t="shared" si="524"/>
        <v/>
      </c>
      <c r="OX168" s="43" t="str">
        <f t="shared" si="525"/>
        <v/>
      </c>
      <c r="OY168" s="43" t="str">
        <f t="shared" si="526"/>
        <v/>
      </c>
      <c r="OZ168" s="43" t="str">
        <f t="shared" si="527"/>
        <v/>
      </c>
      <c r="PA168" s="43" t="str">
        <f t="shared" si="528"/>
        <v/>
      </c>
      <c r="PB168" s="43" t="str">
        <f t="shared" si="529"/>
        <v/>
      </c>
      <c r="PC168" s="43" t="str">
        <f t="shared" si="530"/>
        <v/>
      </c>
      <c r="PD168" s="43" t="str">
        <f t="shared" si="531"/>
        <v/>
      </c>
      <c r="PE168" s="43" t="str">
        <f t="shared" si="532"/>
        <v/>
      </c>
      <c r="PF168" s="43" t="str">
        <f t="shared" si="533"/>
        <v/>
      </c>
      <c r="PG168" s="43" t="str">
        <f t="shared" si="534"/>
        <v/>
      </c>
      <c r="PH168" s="43" t="str">
        <f t="shared" si="535"/>
        <v/>
      </c>
      <c r="PI168" s="43">
        <f t="shared" si="536"/>
        <v>36</v>
      </c>
      <c r="PJ168" s="43" t="str">
        <f t="shared" si="537"/>
        <v/>
      </c>
      <c r="PK168" s="43" t="str">
        <f t="shared" si="538"/>
        <v/>
      </c>
      <c r="PL168" s="43" t="str">
        <f t="shared" si="539"/>
        <v/>
      </c>
      <c r="PM168" s="43" t="str">
        <f t="shared" si="540"/>
        <v/>
      </c>
      <c r="PN168" s="43" t="str">
        <f t="shared" si="541"/>
        <v/>
      </c>
      <c r="PO168" s="43" t="str">
        <f t="shared" si="542"/>
        <v/>
      </c>
      <c r="PP168" s="43" t="str">
        <f t="shared" si="543"/>
        <v/>
      </c>
      <c r="PQ168" s="43" t="str">
        <f t="shared" si="544"/>
        <v/>
      </c>
      <c r="PR168" s="43" t="str">
        <f t="shared" si="545"/>
        <v/>
      </c>
      <c r="PS168" s="43" t="str">
        <f t="shared" si="546"/>
        <v/>
      </c>
      <c r="PT168" s="43" t="str">
        <f t="shared" si="547"/>
        <v/>
      </c>
      <c r="PU168" s="43" t="str">
        <f t="shared" si="548"/>
        <v/>
      </c>
      <c r="PV168" s="43" t="str">
        <f t="shared" si="549"/>
        <v/>
      </c>
      <c r="PW168" s="43" t="str">
        <f t="shared" si="550"/>
        <v/>
      </c>
      <c r="PX168" s="43" t="str">
        <f t="shared" si="551"/>
        <v/>
      </c>
      <c r="PY168" s="43" t="str">
        <f t="shared" si="552"/>
        <v/>
      </c>
      <c r="PZ168" s="43" t="str">
        <f t="shared" si="553"/>
        <v/>
      </c>
      <c r="QA168" s="43" t="str">
        <f t="shared" si="554"/>
        <v/>
      </c>
      <c r="QB168" s="43" t="str">
        <f t="shared" si="555"/>
        <v/>
      </c>
      <c r="QC168" s="43" t="str">
        <f t="shared" si="556"/>
        <v/>
      </c>
      <c r="QD168" s="43" t="str">
        <f t="shared" si="557"/>
        <v/>
      </c>
      <c r="QE168" s="43" t="str">
        <f t="shared" si="558"/>
        <v/>
      </c>
      <c r="QF168" s="43" t="str">
        <f t="shared" si="559"/>
        <v/>
      </c>
      <c r="QG168" s="43" t="str">
        <f t="shared" si="560"/>
        <v/>
      </c>
      <c r="QH168" s="43" t="str">
        <f t="shared" si="561"/>
        <v/>
      </c>
      <c r="QI168" s="43" t="str">
        <f t="shared" si="562"/>
        <v/>
      </c>
      <c r="QJ168" s="43" t="str">
        <f t="shared" si="563"/>
        <v/>
      </c>
      <c r="QK168" s="43" t="str">
        <f t="shared" si="564"/>
        <v>SOBREPESO</v>
      </c>
      <c r="QL168" s="43" t="str">
        <f t="shared" si="565"/>
        <v/>
      </c>
      <c r="QM168" s="43" t="str">
        <f t="shared" si="566"/>
        <v/>
      </c>
      <c r="QN168" s="43" t="str">
        <f t="shared" si="567"/>
        <v/>
      </c>
      <c r="QO168" s="43" t="str">
        <f t="shared" si="568"/>
        <v/>
      </c>
      <c r="QP168" s="43" t="str">
        <f t="shared" si="569"/>
        <v/>
      </c>
      <c r="QQ168" s="43" t="str">
        <f t="shared" si="570"/>
        <v/>
      </c>
      <c r="QR168" s="43">
        <f t="shared" si="670"/>
        <v>36</v>
      </c>
      <c r="QS168" s="43"/>
      <c r="QT168" s="21" t="str">
        <f t="shared" si="571"/>
        <v/>
      </c>
      <c r="QU168" s="21" t="str">
        <f t="shared" si="572"/>
        <v/>
      </c>
      <c r="QV168" s="21" t="str">
        <f t="shared" si="573"/>
        <v/>
      </c>
      <c r="QW168" s="21" t="str">
        <f t="shared" si="574"/>
        <v/>
      </c>
      <c r="QX168" s="21" t="str">
        <f t="shared" si="575"/>
        <v/>
      </c>
      <c r="QY168" s="21" t="str">
        <f t="shared" si="576"/>
        <v/>
      </c>
      <c r="QZ168" s="21" t="str">
        <f t="shared" si="577"/>
        <v/>
      </c>
      <c r="RA168" s="21" t="str">
        <f t="shared" si="578"/>
        <v/>
      </c>
      <c r="RB168" s="21" t="str">
        <f t="shared" si="579"/>
        <v/>
      </c>
      <c r="RC168" s="21" t="str">
        <f t="shared" si="580"/>
        <v/>
      </c>
      <c r="RD168" s="21" t="str">
        <f t="shared" si="581"/>
        <v/>
      </c>
      <c r="RE168" s="21" t="str">
        <f t="shared" si="582"/>
        <v/>
      </c>
      <c r="RF168" s="21" t="str">
        <f t="shared" si="583"/>
        <v/>
      </c>
      <c r="RG168" s="21" t="str">
        <f t="shared" si="584"/>
        <v/>
      </c>
      <c r="RH168" s="21" t="str">
        <f t="shared" si="585"/>
        <v/>
      </c>
      <c r="RI168" s="21" t="str">
        <f t="shared" si="586"/>
        <v/>
      </c>
      <c r="RJ168" s="21" t="str">
        <f t="shared" si="587"/>
        <v/>
      </c>
      <c r="RK168" s="21" t="str">
        <f t="shared" si="588"/>
        <v/>
      </c>
      <c r="RL168" s="21" t="str">
        <f t="shared" si="589"/>
        <v/>
      </c>
      <c r="RM168" s="21" t="str">
        <f t="shared" si="590"/>
        <v/>
      </c>
      <c r="RN168" s="21" t="str">
        <f t="shared" si="591"/>
        <v/>
      </c>
      <c r="RO168" s="21" t="str">
        <f t="shared" si="592"/>
        <v/>
      </c>
      <c r="RP168" s="21" t="str">
        <f t="shared" si="593"/>
        <v/>
      </c>
      <c r="RQ168" s="21" t="str">
        <f t="shared" si="594"/>
        <v>ALTO PARA EDAD GESTACIONAL</v>
      </c>
      <c r="RR168" s="21" t="str">
        <f t="shared" si="595"/>
        <v/>
      </c>
      <c r="RS168" s="21" t="str">
        <f t="shared" si="596"/>
        <v/>
      </c>
      <c r="RT168" s="21" t="str">
        <f t="shared" si="597"/>
        <v/>
      </c>
      <c r="RU168" s="21" t="str">
        <f t="shared" si="598"/>
        <v/>
      </c>
      <c r="RV168" s="21">
        <f t="shared" si="599"/>
        <v>15.928571428571429</v>
      </c>
      <c r="RW168" s="284">
        <f>IF(OR(Tabla1[[#This Row],[FUM FORMULA CONFIABLE]]="",Tabla1[[#This Row],[FUM FORMULA CONFIABLE]]="SD"),"",IF(Tabla1[[#This Row],[FUM FORMULA CONFIABLE]]="CORREGIDA",Tabla1[[#This Row],[FUM X ECO 1]],Tabla1[[#This Row],[FUM x AMENORREA]]))</f>
        <v>44879.5</v>
      </c>
      <c r="RX168" s="21">
        <f>IF(AND(Tabla1[[#This Row],[FUM X ECO 1]]="",Tabla1[[#This Row],[FUM x AMENORREA]]=""),"",IF(AND(Tabla1[[#This Row],[FUM X ECO 1]]="",Tabla1[[#This Row],[FUM x AMENORREA]]&lt;&gt;""),"X",SUM(Tabla1[[#This Row],[FUM X ECO 1]]-Tabla1[[#This Row],[FUM x AMENORREA]])))</f>
        <v>4.5</v>
      </c>
      <c r="RY168" s="21">
        <f t="shared" si="671"/>
        <v>0</v>
      </c>
    </row>
    <row r="169" spans="1:493" ht="45" customHeight="1" x14ac:dyDescent="0.25">
      <c r="A169" s="109"/>
      <c r="B169" s="43"/>
      <c r="C169" s="43" t="s">
        <v>845</v>
      </c>
      <c r="D169" s="124"/>
      <c r="E169" s="43" t="s">
        <v>883</v>
      </c>
      <c r="F169" s="43" t="s">
        <v>1290</v>
      </c>
      <c r="G169" s="43" t="s">
        <v>1476</v>
      </c>
      <c r="H169" s="43"/>
      <c r="I169" s="109" t="s">
        <v>851</v>
      </c>
      <c r="J169" s="110">
        <v>1059604081</v>
      </c>
      <c r="K169" s="43" t="s">
        <v>852</v>
      </c>
      <c r="L169" s="175" t="s">
        <v>853</v>
      </c>
      <c r="M169" s="22">
        <v>35165</v>
      </c>
      <c r="N169" s="213">
        <f t="shared" ca="1" si="600"/>
        <v>27.583561643835615</v>
      </c>
      <c r="O169" s="22">
        <v>45048</v>
      </c>
      <c r="P169" s="214" t="str">
        <f t="shared" si="673"/>
        <v>SI</v>
      </c>
      <c r="Q169" s="26" t="s">
        <v>855</v>
      </c>
      <c r="R169" s="22">
        <v>45048</v>
      </c>
      <c r="S169" s="21" t="s">
        <v>856</v>
      </c>
      <c r="T169" s="24" t="s">
        <v>690</v>
      </c>
      <c r="U169" s="21" t="s">
        <v>857</v>
      </c>
      <c r="V169" s="21" t="s">
        <v>858</v>
      </c>
      <c r="W169" s="21" t="s">
        <v>1236</v>
      </c>
      <c r="X169" s="21"/>
      <c r="Y169" s="21" t="s">
        <v>1477</v>
      </c>
      <c r="Z169" s="21">
        <v>3228465937</v>
      </c>
      <c r="AA169" s="21" t="s">
        <v>860</v>
      </c>
      <c r="AB169" s="27" t="s">
        <v>861</v>
      </c>
      <c r="AC169" s="26" t="s">
        <v>888</v>
      </c>
      <c r="AD169" s="38" t="s">
        <v>1546</v>
      </c>
      <c r="AE169" s="26" t="s">
        <v>854</v>
      </c>
      <c r="AF169" s="26" t="s">
        <v>854</v>
      </c>
      <c r="AG169" s="23" t="s">
        <v>864</v>
      </c>
      <c r="AH169" s="23" t="s">
        <v>864</v>
      </c>
      <c r="AI169" s="24" t="s">
        <v>863</v>
      </c>
      <c r="AJ169" s="23" t="s">
        <v>864</v>
      </c>
      <c r="AK169" s="220" t="str">
        <f>IF(AND(AD169="",AE169="",AF169="",AG169="",AH169="",AI169="",AJ169=""),"",IF(OR(Tabla1[[#This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EVALUACIÓN",IF(AND(O169="",R169=""),"",IF(AND(OR(O169&gt;0,R169&gt;0),NG169&gt;=0,NG169&lt;2),"SIN RIESGO",IF(AND(OR(O169&gt;0,R169&gt;0),NG169&gt;=2),"CON RIESGO","ASD")))))</f>
        <v>SIN RIESGO</v>
      </c>
      <c r="AL169" s="23" t="s">
        <v>864</v>
      </c>
      <c r="AM169" s="26" t="s">
        <v>864</v>
      </c>
      <c r="AN169" s="26" t="s">
        <v>864</v>
      </c>
      <c r="AO169" s="26" t="s">
        <v>864</v>
      </c>
      <c r="AP169" s="26" t="s">
        <v>864</v>
      </c>
      <c r="AQ169" s="26" t="s">
        <v>864</v>
      </c>
      <c r="AR169" s="26" t="s">
        <v>864</v>
      </c>
      <c r="AS169" s="21">
        <v>1</v>
      </c>
      <c r="AT169" s="21">
        <v>1</v>
      </c>
      <c r="AU169" s="21">
        <v>0</v>
      </c>
      <c r="AV169" s="26" t="s">
        <v>864</v>
      </c>
      <c r="AW169" s="21">
        <v>0</v>
      </c>
      <c r="AX169" s="26" t="s">
        <v>864</v>
      </c>
      <c r="AY169" s="26" t="s">
        <v>864</v>
      </c>
      <c r="AZ169" s="26" t="s">
        <v>864</v>
      </c>
      <c r="BA169" s="26" t="s">
        <v>864</v>
      </c>
      <c r="BB169" s="26" t="s">
        <v>864</v>
      </c>
      <c r="BC169" s="26" t="s">
        <v>864</v>
      </c>
      <c r="BD169" s="26" t="s">
        <v>864</v>
      </c>
      <c r="BE169" s="26" t="s">
        <v>864</v>
      </c>
      <c r="BF169" s="26" t="s">
        <v>864</v>
      </c>
      <c r="BG169" s="26" t="s">
        <v>864</v>
      </c>
      <c r="BH169" s="26" t="s">
        <v>864</v>
      </c>
      <c r="BI169" s="26" t="s">
        <v>864</v>
      </c>
      <c r="BJ169" s="26" t="s">
        <v>864</v>
      </c>
      <c r="BK169" s="26" t="s">
        <v>864</v>
      </c>
      <c r="BL169" s="26" t="s">
        <v>864</v>
      </c>
      <c r="BM169" s="26" t="s">
        <v>864</v>
      </c>
      <c r="BN169" s="22">
        <v>41303</v>
      </c>
      <c r="BO169" s="22">
        <v>45013</v>
      </c>
      <c r="BP169" s="21" t="s">
        <v>1380</v>
      </c>
      <c r="BQ169" s="222">
        <f t="shared" si="601"/>
        <v>123.69666666666672</v>
      </c>
      <c r="BR169" s="223">
        <f t="shared" si="602"/>
        <v>45013.9</v>
      </c>
      <c r="BS169" s="224">
        <f t="shared" si="603"/>
        <v>4.8714285714283632</v>
      </c>
      <c r="BT169" s="216" t="str">
        <f t="shared" si="604"/>
        <v>I TRIM</v>
      </c>
      <c r="BU169" s="214">
        <f t="shared" ca="1" si="605"/>
        <v>31.299999999999791</v>
      </c>
      <c r="BV169" s="25" t="s">
        <v>1478</v>
      </c>
      <c r="BW169" s="22">
        <v>45058</v>
      </c>
      <c r="BX169" s="28">
        <v>6.3</v>
      </c>
      <c r="BY169" s="28" t="s">
        <v>988</v>
      </c>
      <c r="BZ169" s="22">
        <v>45106</v>
      </c>
      <c r="CA169" s="21">
        <v>12.3</v>
      </c>
      <c r="CB169" s="26" t="s">
        <v>864</v>
      </c>
      <c r="CC169" s="26" t="s">
        <v>864</v>
      </c>
      <c r="CD169" s="26"/>
      <c r="CE169" s="26" t="s">
        <v>864</v>
      </c>
      <c r="CF169" s="22" t="s">
        <v>1517</v>
      </c>
      <c r="CG169" s="21">
        <v>1.5</v>
      </c>
      <c r="CH169" s="21">
        <v>62.8</v>
      </c>
      <c r="CI169" s="214">
        <f t="shared" si="606"/>
        <v>27.911111111111111</v>
      </c>
      <c r="CJ169" s="225" t="str">
        <f>IF(AND(CI169&lt;10,CH169="SD"),"SIN DATO PESO PREGESTACION O I TRIM",IF(AND(OR(R169&gt;0,O169&gt;0),CI169="X"),"INGRESAR DATO DE PESO",IF(CI169="SD","INGRESAR DATO DE TALLA Y PESO",IF(AND(OR(Tabla1[[#This Row],[MOMENTO EN QUE SE REALIZA EL PESO AL INGRESO A CPN]]="PREGESTACIÓN",NZ169="Menor"),CI169&lt;18.5),"BAJO PESO",IF(AND(OR(Tabla1[[#This Row],[MOMENTO EN QUE SE REALIZA EL PESO AL INGRESO A CPN]]="PREGESTACIÓN",NZ169="Menor"),CI169&lt;25),"NORMAL",IF(AND(OR(Tabla1[[#This Row],[MOMENTO EN QUE SE REALIZA EL PESO AL INGRESO A CPN]]="PREGESTACIÓN",NZ169="Menor"),CI169&lt;30),"SOBREPESO",IF(AND(OR(Tabla1[[#This Row],[MOMENTO EN QUE SE REALIZA EL PESO AL INGRESO A CPN]]="PREGESTACIÓN",NZ169="Menor"),CI169&gt;=30,CI169&lt;50),"OBESIDAD",IF(AND(BS169&gt;0,Tabla1[[#This Row],[MOMENTO EN QUE SE REALIZA EL PESO AL INGRESO A CPN]]="GESTACIÓN"),HLOOKUP(NZ169,$OA$2:PH169,NY169),""))))))))</f>
        <v>SOBREPESO</v>
      </c>
      <c r="CK169" s="212">
        <f t="shared" si="607"/>
        <v>45143</v>
      </c>
      <c r="CL169" s="21">
        <v>61.7</v>
      </c>
      <c r="CM169" s="214">
        <f t="shared" si="608"/>
        <v>27.422222222222224</v>
      </c>
      <c r="CN169" s="216">
        <f t="shared" si="609"/>
        <v>18</v>
      </c>
      <c r="CO169" s="216" t="e">
        <f>IF(PI169="","",IF(PI169&gt;0,HLOOKUP(PI169,$PJ$2:QQ169,NY169),""))</f>
        <v>#REF!</v>
      </c>
      <c r="CP169" s="21"/>
      <c r="CQ169" s="216" t="e">
        <f>IF(QR169="Menor","NO APLICA-MENOR 13 SEM",IF(AND(CC169="SI",CN169&gt;23),"NO APLICA- GEMELAR",IF(QR169="","",IF(QR169&gt;0,HLOOKUP(QR169,$QS$2:RU169,NY169),""))))</f>
        <v>#REF!</v>
      </c>
      <c r="CR169" s="21">
        <v>100</v>
      </c>
      <c r="CS169" s="21">
        <v>60</v>
      </c>
      <c r="CT169" s="217" t="str">
        <f>IF(R169="","",IF(AND(BS169&gt;1,BS169&lt;12,Tabla1[[#This Row],[T.A. SISTOLICA - ANTES DE SEMANA 12]]="",Tabla1[[#This Row],[T.A. DIASTOLICA - ANTES DE SEMANA 12]]=""),"REGISTRE DATO TA ANTES SEMANA 12",IF(AND(BS169&gt;11,BS169&lt;43,Tabla1[[#This Row],[T.A. SISTOLICA - ANTES DE SEMANA 12]]="",Tabla1[[#This Row],[T.A. DIASTOLICA - ANTES DE SEMANA 12]]=""),"NO APLICA REGISTRO TA-INGRESO TARDIO",IF(AND(OR(O169&gt;0,R169&gt;0),OR(CR169&gt;=140,CS169&gt;=90)),"DEFINIR ESTADIO HTA",IF(AND(OR(O169&gt;0,R169&gt;0),AND(CR169&gt;120,CR169&lt;=139)),"PRE HTA SEGUIMIENTO",IF(AND(OR(O169&gt;0,R169&gt;0),AND(CS169&gt;80,CS169&lt;=89)),"PRE HTA SEGUIMIENTO",IF(AND(OR(O169&gt;0,R169&gt;0),AND(CR169&gt;=80,CR169&lt;=120)),"APARENTEMENTE NORMAL",IF(AND(OR(O169&gt;0,R169&gt;0),AND(CS169&gt;=50,CS169&lt;=80)),"APARENTEMENTE NORMAL",IF(AND(OR(O169&gt;0,R169&gt;0),AND(CR169&gt;1,CR169&lt;=70),AND(CS169&gt;1,CS169&lt;=40)),"HIPOTENSIÓN","")))))))))</f>
        <v>APARENTEMENTE NORMAL</v>
      </c>
      <c r="CU169" s="21"/>
      <c r="CV169" s="21"/>
      <c r="CW169" s="217" t="str">
        <f ca="1">IF(R169="","",IF(AND(CN169&gt;19,CN169&lt;27,Tabla1[[#This Row],[T.A. SISTOLICA (Entre semana 20 y 26)]]="",Tabla1[[#This Row],[T.A. DIATOLICA (Entre semana 20 y 26)]]=""),"ACUDE A CONTROL SEM 20 A 26 REGISTRE TA AHORA",IF(AND(BS169&gt;1,BS169&lt;27,BU169&gt;19,Tabla1[[#This Row],[T.A. SISTOLICA (Entre semana 20 y 26)]]="",Tabla1[[#This Row],[T.A. DIATOLICA (Entre semana 20 y 26)]]=""),"COMPLETE REGISTRO TA CONTROL SEM 20 A26 ",IF(AND(BS169&gt;26,BS169&lt;43,Tabla1[[#This Row],[T.A. SISTOLICA (Entre semana 20 y 26)]]="",Tabla1[[#This Row],[T.A. DIATOLICA (Entre semana 20 y 26)]]=""),"NO APLICA REGISTRO TA-INGRESO TARDIO",IF(AND(OR(O169&gt;0,R169&gt;0),OR(CU169&gt;=140,CV169&gt;=90)),"ALTO RIESGO PREECLAMPSIA,DEFINIR ESTADIO HTA",IF(AND(OR(O169&gt;0,R169&gt;0),AND(CU169&gt;120,CU169&lt;=139)),"PRE HTA SEGUIMIENTO,RIESGO HIPERTENSION INDUCIDA POR EL EMBARAZO",IF(AND(OR(O169&gt;0,R169&gt;0),AND(CV169&gt;80,CV169&lt;=89)),"PRE HTA SEGUIMIENTO, RIESGO HIPERTENSION INDUCIDA POR EL EMBARAZO",IF(AND(OR(O169&lt;&gt;"",R169&lt;&gt;""),CS169&lt;&gt;"",CV169&lt;&gt;"",CS169&lt;=CV169),"VIGILAR CIFRAS PRESION ARTERIAL",IF(AND(OR(O169&gt;0,R169&gt;0),AND(CU169&gt;120,CU169&lt;=139)),"PRE HTA SEGUIMIENTO",IF(AND(OR(O169&gt;0,R169&gt;0),AND(CU169&gt;1,CU169&lt;=70),AND(CV169&gt;1,CV169&lt;=40)),"HIPOTENSIÓN",IF(AND(OR(O169&lt;&gt;"",R169&lt;&gt;""),CS169&lt;&gt;"",CV169&lt;&gt;"",CS169&gt;CV169),"APARENTEMENTE NORMAL",IF(AND(OR(O169&gt;0,R169&gt;0),AND(CU169&gt;=80,CU169&lt;=120)),"APARENTEMENTE NORMAL",IF(AND(OR(O169&gt;0,R169&gt;0),AND(CV169&gt;=50,CV169&lt;=80)),"APARENTEMENTE NORMAL","")))))))))))))</f>
        <v xml:space="preserve">COMPLETE REGISTRO TA CONTROL SEM 20 A26 </v>
      </c>
      <c r="CX169" s="21"/>
      <c r="CY169" s="21"/>
      <c r="CZ169" s="216" t="str">
        <f t="shared" si="688"/>
        <v/>
      </c>
      <c r="DA169" s="21">
        <v>90</v>
      </c>
      <c r="DB169" s="21">
        <v>60</v>
      </c>
      <c r="DC169" s="217" t="str">
        <f t="shared" si="610"/>
        <v>APARENTEMENTE NORMAL</v>
      </c>
      <c r="DD169" s="22">
        <v>45048</v>
      </c>
      <c r="DE169" s="22">
        <v>45048</v>
      </c>
      <c r="DF169" s="22">
        <v>45079</v>
      </c>
      <c r="DG169" s="22">
        <v>45108</v>
      </c>
      <c r="DH169" s="22">
        <v>45143</v>
      </c>
      <c r="DI169" s="22"/>
      <c r="DJ169" s="22"/>
      <c r="DK169" s="22"/>
      <c r="DL169" s="22"/>
      <c r="DM169" s="22"/>
      <c r="DN169" s="22"/>
      <c r="DO169" s="22"/>
      <c r="DP169" s="22"/>
      <c r="DQ169" s="22"/>
      <c r="DR169" s="28"/>
      <c r="DS169" s="22"/>
      <c r="DT169" s="22"/>
      <c r="DU169" s="216" t="str">
        <f t="shared" ca="1" si="674"/>
        <v>PLANEAR PLAN DE PARTO</v>
      </c>
      <c r="DV169" s="226" t="str">
        <f t="shared" si="675"/>
        <v>ACTIVA INGRESO A CPN</v>
      </c>
      <c r="DW16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69" s="216" t="e">
        <f t="shared" ca="1" si="611"/>
        <v>#REF!</v>
      </c>
      <c r="DY169" s="212">
        <f>IF(R169="","",IF(R169&gt;0,MAX(Tabla1[[#This Row],[FECHA C2]:[FECHA C13]],Tabla1[[#This Row],[FECHA CONSULTA PRIMERA VEZ PROGRAMA CPN ]])))</f>
        <v>45143</v>
      </c>
      <c r="DZ169" s="216">
        <f t="shared" si="612"/>
        <v>18</v>
      </c>
      <c r="EA169" s="222">
        <f>IF(R169&gt;0,SUM(COUNTA(DF169:DQ169)+COUNTA(Tabla1[[#This Row],[FECHA CONSULTA PRIMERA VEZ PROGRAMA CPN ]])),"")</f>
        <v>4</v>
      </c>
      <c r="EB169" s="222" t="str">
        <f t="shared" si="613"/>
        <v>SI</v>
      </c>
      <c r="EC169" s="214">
        <f t="shared" si="614"/>
        <v>10</v>
      </c>
      <c r="ED169" s="227">
        <f t="shared" si="615"/>
        <v>0.4</v>
      </c>
      <c r="EE169" s="22">
        <v>45048</v>
      </c>
      <c r="EF169" s="22">
        <v>45048</v>
      </c>
      <c r="EG169" s="22">
        <v>45048</v>
      </c>
      <c r="EH169" s="22">
        <v>45059</v>
      </c>
      <c r="EI169" s="22">
        <v>45048</v>
      </c>
      <c r="EJ169" s="22">
        <v>45086</v>
      </c>
      <c r="EK169" s="22"/>
      <c r="EL169" s="21"/>
      <c r="EM169" s="21">
        <v>14.3</v>
      </c>
      <c r="EN169" s="22">
        <v>45049</v>
      </c>
      <c r="EO169" s="222">
        <f t="shared" si="616"/>
        <v>5.0142857142855064</v>
      </c>
      <c r="EP169" s="214" t="str">
        <f t="shared" si="617"/>
        <v>NO DAR SULFATO FERROSO</v>
      </c>
      <c r="EQ169" s="216" t="str">
        <f t="shared" si="618"/>
        <v>I TRIM</v>
      </c>
      <c r="ER169" s="24"/>
      <c r="ES169" s="22"/>
      <c r="ET169" s="29" t="str">
        <f t="shared" ca="1" si="676"/>
        <v>TOMA DE HEMOGLOBINA TARDÍA</v>
      </c>
      <c r="EU169" s="25" t="str">
        <f t="shared" si="619"/>
        <v/>
      </c>
      <c r="EV169" s="24" t="s">
        <v>1510</v>
      </c>
      <c r="EW169" s="24">
        <v>45049</v>
      </c>
      <c r="EX169" s="22"/>
      <c r="EY169" s="29">
        <f t="shared" si="691"/>
        <v>5.0142857142855064</v>
      </c>
      <c r="EZ169" s="25" t="str">
        <f t="shared" si="692"/>
        <v>SIN RIESGO DE ISOINMUNIZACIÓN</v>
      </c>
      <c r="FA169" s="21">
        <v>79</v>
      </c>
      <c r="FB169" s="22">
        <v>45049</v>
      </c>
      <c r="FC169" s="29">
        <f t="shared" si="620"/>
        <v>5.0142857142855064</v>
      </c>
      <c r="FD169" s="29"/>
      <c r="FE169" s="29"/>
      <c r="FF169" s="29"/>
      <c r="FG169" s="21" t="str">
        <f t="shared" ca="1" si="621"/>
        <v>TOMAR PTOG</v>
      </c>
      <c r="FH169" s="31"/>
      <c r="FI169" s="29" t="str">
        <f t="shared" si="622"/>
        <v>TOMAR EXAMEN</v>
      </c>
      <c r="FJ169" s="22" t="s">
        <v>867</v>
      </c>
      <c r="FK169" s="22">
        <v>45049</v>
      </c>
      <c r="FL169" s="29">
        <f t="shared" ca="1" si="623"/>
        <v>5.0142857142855064</v>
      </c>
      <c r="FM169" s="22"/>
      <c r="FN169" s="32"/>
      <c r="FO169" s="29" t="str">
        <f t="shared" ca="1" si="677"/>
        <v>PIERDE TOMA DE TAMIZAJE</v>
      </c>
      <c r="FP169" s="22"/>
      <c r="FQ169" s="32"/>
      <c r="FR169" s="29" t="str">
        <f t="shared" ca="1" si="678"/>
        <v>EN RANGO PARA TOMAR EXAMEN</v>
      </c>
      <c r="FS169" s="22"/>
      <c r="FT169" s="32"/>
      <c r="FU169" s="29" t="str">
        <f>IF(AND(FJ169="",FM169="",FP169="",FS169=""),"",IF(OR(OR(Tabla1[[#This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69" s="28"/>
      <c r="FW169" s="22"/>
      <c r="FX169" s="29" t="str">
        <f t="shared" si="624"/>
        <v>TOMAR EXAMEN</v>
      </c>
      <c r="FY169" s="22">
        <v>45049</v>
      </c>
      <c r="FZ169" s="22">
        <v>45049</v>
      </c>
      <c r="GA169" s="29">
        <f t="shared" ca="1" si="690"/>
        <v>5.0142857142855064</v>
      </c>
      <c r="GB169" s="22"/>
      <c r="GC169" s="22"/>
      <c r="GD169" s="29" t="str">
        <f t="shared" ca="1" si="679"/>
        <v>PIERDE TOMA DE TAMIZAJE</v>
      </c>
      <c r="GE169" s="22"/>
      <c r="GF169" s="22"/>
      <c r="GG169" s="29" t="str">
        <f t="shared" ca="1" si="680"/>
        <v>EN RANGO PARA TOMAR EXAMEN</v>
      </c>
      <c r="GH169" s="22"/>
      <c r="GI169" s="29"/>
      <c r="GJ169" s="22"/>
      <c r="GK169" s="22"/>
      <c r="GL169" s="22"/>
      <c r="GM169" s="22"/>
      <c r="GN169" s="28" t="s">
        <v>869</v>
      </c>
      <c r="GO169" s="22">
        <v>45049</v>
      </c>
      <c r="GP169" s="29">
        <f t="shared" si="625"/>
        <v>5.0142857142855064</v>
      </c>
      <c r="GQ169" s="28" t="s">
        <v>869</v>
      </c>
      <c r="GR169" s="28" t="s">
        <v>869</v>
      </c>
      <c r="GS169" s="22" t="str">
        <f t="shared" si="726"/>
        <v>CONTROL Igm</v>
      </c>
      <c r="GT169" s="22">
        <v>45049</v>
      </c>
      <c r="GU169" s="29">
        <f t="shared" si="627"/>
        <v>5.1428571428571432</v>
      </c>
      <c r="GV169" s="21" t="str">
        <f t="shared" si="628"/>
        <v>I TRIM</v>
      </c>
      <c r="GW169" s="28" t="s">
        <v>869</v>
      </c>
      <c r="GX169" s="30"/>
      <c r="GY169" s="21"/>
      <c r="GZ169" s="21"/>
      <c r="HA169" s="21"/>
      <c r="HB169" s="21"/>
      <c r="HC169" s="21"/>
      <c r="HD169" s="21"/>
      <c r="HE169" s="21"/>
      <c r="HF169" s="22"/>
      <c r="HG169" s="22" t="str">
        <f>IF(OR(O169&gt;0,R169&gt;0),CONCATENATE(IF(Tabla1[[#This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69" s="22" t="e">
        <f t="shared" si="629"/>
        <v>#REF!</v>
      </c>
      <c r="HI169" s="22" t="e">
        <f t="shared" ca="1" si="630"/>
        <v>#REF!</v>
      </c>
      <c r="HJ169" s="21"/>
      <c r="HK169" s="21" t="str">
        <f t="shared" si="631"/>
        <v>SIN ANTECEDENTES DE RIESGO</v>
      </c>
      <c r="HL169" s="24" t="str">
        <f t="shared" si="632"/>
        <v>APARENTEMENTE NORMAL</v>
      </c>
      <c r="HM169" s="21" t="e">
        <f t="shared" ca="1" si="633"/>
        <v>#REF!</v>
      </c>
      <c r="HN169" s="30" t="str">
        <f t="shared" si="681"/>
        <v>ACTIVA INGRESO A CPN</v>
      </c>
      <c r="HO169" s="21"/>
      <c r="HP169" s="21"/>
      <c r="HQ169" s="349">
        <v>45048</v>
      </c>
      <c r="HR169" s="21" t="str">
        <f>IF(R169="","",IF(Tabla1[[#This Row],[ALARMA FACTORES DE RIESGO COMPLICACIONES HIPERTENSIVAS3]]="SIN ANTECEDENTES DE RIESGO","No Aplica para suministro de ASA",IF(AND(Tabla1[[#This Row],[FECHA INICIO DE SUMINISTRO DE ASA]]&gt;0,RV169&lt;12),"Inicia ASA ANTES de Sem 12",IF(AND(RV169&gt;11,RV169&lt;17,OR(HK169="RIESGO ALTO DE COMPLICACIONES HIPERTENSIVAS VER MANEJO GUIA SUMINISTRO ASA Y CALCIO",HK169="RIESGO MODERADO (2 O MAS CRITERIOS) VER MANEJO GUIA SUMINISTRO ASA Y CALCIO")),"Inicio oportuno de ASA",IF(AND(RV169&gt;12,OR(HK169="RIESGO ALTO DE COMPLICACIONES HIPERTENSIVAS VER MANEJO GUIA SUMINISTRO ASA Y CALCIO",HK169="RIESGO MODERADO (2 O MAS CRITERIOS) VER MANEJO GUIA SUMINISTRO ASA Y CALCIO")),"Inicio no oportuno mayor a 16 semanas",IF(AND(BU169&lt;12,OR(HK169="RIESGO ALTO DE COMPLICACIONES HIPERTENSIVAS VER MANEJO GUIA SUMINISTRO ASA Y CALCIO",HK169="RIESGO MODERADO (2 O MAS CRITERIOS) VER MANEJO GUIA SUMINISTRO ASA Y CALCIO")),"Pendiente Inicio de ASA a la semana 12",IF(AND(BU169&gt;11,BU169&lt;17,OR(HK169="RIESGO ALTO DE COMPLICACIONES HIPERTENSIVAS VER MANEJO GUIA SUMINISTRO ASA Y CALCIO",HK169="RIESGO MODERADO (2 O MAS CRITERIOS) VER MANEJO GUIA SUMINISTRO ASA Y CALCIO")),"Iniciar de inmediato ASA",IF(AND(BU169&gt;16,OR(HK169="RIESGO ALTO DE COMPLICACIONES HIPERTENSIVAS VER MANEJO GUIA SUMINISTRO ASA Y CALCIO",HK169="RIESGO MODERADO (2 O MAS CRITERIOS) VER MANEJO GUIA SUMINISTRO ASA Y CALCIO")),"Pierde Oportunidad, Inicio tardío de ASA","XXXXX"))))))))</f>
        <v>No Aplica para suministro de ASA</v>
      </c>
      <c r="HS169" s="22">
        <v>45048</v>
      </c>
      <c r="HT169" s="22" t="s">
        <v>870</v>
      </c>
      <c r="HU169" s="22">
        <v>45048</v>
      </c>
      <c r="HV169" s="22" t="s">
        <v>870</v>
      </c>
      <c r="HW169" s="22"/>
      <c r="HX169" s="22"/>
      <c r="HY169" s="22">
        <v>45048</v>
      </c>
      <c r="HZ169" s="28">
        <f t="shared" si="634"/>
        <v>4.8714285714283632</v>
      </c>
      <c r="IA169" s="26" t="s">
        <v>864</v>
      </c>
      <c r="IB169" s="26"/>
      <c r="IC169" s="111"/>
      <c r="ID169" s="22"/>
      <c r="IE169" s="22" t="str">
        <f t="shared" ca="1" si="635"/>
        <v>INASISTENTE</v>
      </c>
      <c r="IF169" s="22"/>
      <c r="IG169" s="22">
        <f t="shared" si="636"/>
        <v>45293.9</v>
      </c>
      <c r="IH169" s="29">
        <f t="shared" ca="1" si="637"/>
        <v>60.900000000001455</v>
      </c>
      <c r="II169" s="22" t="str">
        <f t="shared" ca="1" si="638"/>
        <v>PENDIENTE</v>
      </c>
      <c r="IJ169" s="22"/>
      <c r="IK169" s="21"/>
      <c r="IL169" s="21"/>
      <c r="IM169" s="34"/>
      <c r="IN169" s="22"/>
      <c r="IO169" s="21"/>
      <c r="IP169" s="29" t="str">
        <f t="shared" si="672"/>
        <v/>
      </c>
      <c r="IQ169" s="35"/>
      <c r="IR169" s="21"/>
      <c r="IS169" s="21"/>
      <c r="IT169" s="21"/>
      <c r="IU169" s="21"/>
      <c r="IV169" s="21"/>
      <c r="IW169" s="21"/>
      <c r="IX169" s="21"/>
      <c r="IY169" s="21"/>
      <c r="IZ169" s="21"/>
      <c r="JA169" s="21"/>
      <c r="JB169" s="30"/>
      <c r="JC169" s="21"/>
      <c r="JD169" s="36"/>
      <c r="JE169" s="21" t="str">
        <f t="shared" si="682"/>
        <v/>
      </c>
      <c r="JF169" s="30"/>
      <c r="JG169" s="21"/>
      <c r="JH169" s="21"/>
      <c r="JI169" s="21"/>
      <c r="JJ169" s="30"/>
      <c r="JK169" s="22"/>
      <c r="JL169" s="22"/>
      <c r="JM169" s="21"/>
      <c r="JN169" s="36"/>
      <c r="JO169" s="21" t="str">
        <f t="shared" si="683"/>
        <v/>
      </c>
      <c r="JP169" s="22"/>
      <c r="JQ169" s="21"/>
      <c r="JR169" s="21"/>
      <c r="JS169" s="21"/>
      <c r="JT169" s="30"/>
      <c r="JU169" s="22"/>
      <c r="JV169" s="22"/>
      <c r="JW169" s="33"/>
      <c r="JX169" s="28" t="str">
        <f t="shared" si="684"/>
        <v/>
      </c>
      <c r="JY169" s="33"/>
      <c r="JZ169" s="28" t="str">
        <f t="shared" si="685"/>
        <v/>
      </c>
      <c r="KA169" s="21"/>
      <c r="KB169" s="21"/>
      <c r="KC169" s="21"/>
      <c r="KD169" s="37"/>
      <c r="KE169" s="28"/>
      <c r="KF169" s="28"/>
      <c r="KG169" s="28"/>
      <c r="KH169" s="39"/>
      <c r="KI169" s="39"/>
      <c r="KJ169" s="66"/>
      <c r="KK169" s="39"/>
      <c r="KL169" s="39"/>
      <c r="KM169" s="66"/>
      <c r="KN169" s="39"/>
      <c r="KO169" s="39"/>
      <c r="KP169" s="39"/>
      <c r="KQ169" s="39"/>
      <c r="KR169" s="39"/>
      <c r="KS169" s="39"/>
      <c r="KT169" s="39"/>
      <c r="KU169" s="38"/>
      <c r="KV169" s="38"/>
      <c r="KW169" s="38"/>
      <c r="KX169" s="38"/>
      <c r="KY169" s="38"/>
      <c r="KZ169" s="38"/>
      <c r="LA169" s="38"/>
      <c r="LB169" s="38"/>
      <c r="LC169" s="38"/>
      <c r="LD169" s="38"/>
      <c r="LE169" s="38"/>
      <c r="LF169" s="38"/>
      <c r="LG169" s="38"/>
      <c r="LH169" s="38"/>
      <c r="LI169" s="38"/>
      <c r="LJ169" s="38"/>
      <c r="LK169" s="38"/>
      <c r="LL169" s="38"/>
      <c r="LM169" s="38"/>
      <c r="LN169" s="38"/>
      <c r="LO169" s="38"/>
      <c r="LP169" s="38"/>
      <c r="LQ169" s="38"/>
      <c r="LR169" s="38"/>
      <c r="LS169" s="38"/>
      <c r="LT169" s="38"/>
      <c r="LU169" s="38"/>
      <c r="LV169" s="38"/>
      <c r="LW169" s="38"/>
      <c r="LX169" s="38"/>
      <c r="LY169" s="38"/>
      <c r="LZ169" s="38"/>
      <c r="MA169" s="38"/>
      <c r="MB169" s="38"/>
      <c r="MC169" s="38"/>
      <c r="MD169" s="38"/>
      <c r="ME169" s="38"/>
      <c r="MF169" s="38"/>
      <c r="MG169" s="38"/>
      <c r="MH169" s="43">
        <f t="shared" si="695"/>
        <v>0</v>
      </c>
      <c r="MI169" s="43" t="str">
        <f t="shared" si="696"/>
        <v/>
      </c>
      <c r="MJ169" s="43" t="str">
        <f t="shared" si="697"/>
        <v/>
      </c>
      <c r="MK169" s="43">
        <f t="shared" si="698"/>
        <v>0</v>
      </c>
      <c r="ML16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69" s="43">
        <f t="shared" si="699"/>
        <v>4.8714285714283632</v>
      </c>
      <c r="MN169" s="43">
        <f t="shared" si="700"/>
        <v>5</v>
      </c>
      <c r="MO169" s="43">
        <f t="shared" si="701"/>
        <v>2023</v>
      </c>
      <c r="MP169" s="43" t="str">
        <f t="shared" si="702"/>
        <v>II TRIMESTRE AÑO</v>
      </c>
      <c r="MQ169" s="43">
        <f t="shared" si="703"/>
        <v>26.669951817783616</v>
      </c>
      <c r="MR169" s="43">
        <f t="shared" si="704"/>
        <v>0</v>
      </c>
      <c r="MS169" s="43" t="str">
        <f t="shared" si="705"/>
        <v xml:space="preserve"> DE 25 A 29 AÑOS</v>
      </c>
      <c r="MT169" s="43">
        <f t="shared" si="706"/>
        <v>0</v>
      </c>
      <c r="MU169" s="43">
        <f t="shared" si="707"/>
        <v>0</v>
      </c>
      <c r="MV169" s="43">
        <f t="shared" si="708"/>
        <v>0</v>
      </c>
      <c r="MW169" s="43">
        <f t="shared" si="709"/>
        <v>0</v>
      </c>
      <c r="MX169" s="43" t="str">
        <f t="shared" si="710"/>
        <v/>
      </c>
      <c r="MY169" s="43" t="str">
        <f t="shared" ca="1" si="686"/>
        <v/>
      </c>
      <c r="MZ169" s="43" t="str">
        <f t="shared" si="711"/>
        <v/>
      </c>
      <c r="NA169" s="43" t="str">
        <f t="shared" si="712"/>
        <v/>
      </c>
      <c r="NB169" s="43" t="str">
        <f t="shared" si="713"/>
        <v/>
      </c>
      <c r="NC169" s="43" t="str">
        <f t="shared" si="714"/>
        <v/>
      </c>
      <c r="ND169" s="43">
        <f t="shared" ca="1" si="715"/>
        <v>0</v>
      </c>
      <c r="NE169" s="43">
        <f>IF(OR(O169&gt;0,R169&gt;0),SUM(COUNTIF(Tabla1[[#This Row],[AÑOS AL INICIO5 CPN]],"&gt;=40"),COUNTIF(AS169,"0"),COUNTIF(AR169,"SI"),COUNTIF(CC169,"SI"),COUNTIF(BQ169,"&gt;119"),COUNTIF(CI169,"&gt;=35")),"")</f>
        <v>1</v>
      </c>
      <c r="NF169" s="43" t="str">
        <f t="shared" si="716"/>
        <v/>
      </c>
      <c r="NG169" s="43">
        <f t="shared" si="717"/>
        <v>0</v>
      </c>
      <c r="NH169" s="43">
        <f t="shared" si="718"/>
        <v>44.1</v>
      </c>
      <c r="NI16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CPN",P169="NO"),"Z",IF(AND(Tabla1[[#This Row],[CITA PROXIMO CONTROL]]="CITA MANUAL",Tabla1[[#This Row],[GESTANTES ACTUALES]]="ACTIVA INGRESO A CPN"),"W",IF(AND(Tabla1[[#This Row],[GESTANTES ACTUALES]]="SALIO PROGRAMA",IN169=""),"S",IF(AND(Tabla1[[#This Row],[CITA PROXIMO CONTROL]]&gt;0,IN169=""),(Tabla1[[#This Row],[CITA PROXIMO CONTROL]]-TODAY()),"SD"))))))))</f>
        <v>#REF!</v>
      </c>
      <c r="NJ169" s="43">
        <f>MONTH(Tabla1[[#This Row],[FECHA DE SALIDA  DEL PROGRAMA]])</f>
        <v>1</v>
      </c>
      <c r="NK169" s="43">
        <f>YEAR(Tabla1[[#This Row],[FECHA DE SALIDA  DEL PROGRAMA]])</f>
        <v>1900</v>
      </c>
      <c r="NL169" s="43">
        <f t="shared" si="719"/>
        <v>38</v>
      </c>
      <c r="NM169" s="43" t="str">
        <f t="shared" si="693"/>
        <v>NO</v>
      </c>
      <c r="NN169" s="43" t="str">
        <f ca="1">IF(AND(O169&gt;0,R169=""),"NO CPN",IF(AND(O169="",R169=""),"",IF(AND(R169&gt;0,Tabla1[[#This Row],[SEMANAS DE GESTACION ACTUALIZADAS]]&lt;=12),"NO APLICA",IF(AND(FH169&lt;&gt;"",FN169&lt;&gt;""),"SI","NO"))))</f>
        <v>NO</v>
      </c>
      <c r="NO169" s="43" t="str">
        <f ca="1">IF(AND(O169&gt;0,R169=""),"NO CPN",IF(AND(O169="",R169=""),"",IF(AND(R169&gt;0,Tabla1[[#This Row],[SEMANAS DE GESTACION ACTUALIZADAS]]&lt;=27),"NO APLICA",IF(AND(ES169&lt;&gt;"",FQ169&lt;&gt;"",GF169&lt;&gt;""),"SI","NO"))))</f>
        <v>NO</v>
      </c>
      <c r="NP169" s="204" t="str">
        <f t="shared" si="720"/>
        <v>I TRIM</v>
      </c>
      <c r="NQ169" s="21" t="str">
        <f t="shared" si="689"/>
        <v/>
      </c>
      <c r="NR169" s="21">
        <f t="shared" ca="1" si="687"/>
        <v>3</v>
      </c>
      <c r="NS169" s="205">
        <f t="shared" ca="1" si="721"/>
        <v>1</v>
      </c>
      <c r="NT169" s="21">
        <f t="shared" ca="1" si="722"/>
        <v>1</v>
      </c>
      <c r="NU169" s="21" t="str">
        <f t="shared" ca="1" si="723"/>
        <v>INCOMPLETO</v>
      </c>
      <c r="NV169" s="21" t="str">
        <f t="shared" ca="1" si="724"/>
        <v>INCOMPLETO</v>
      </c>
      <c r="NW169" s="206" t="str">
        <f>IF(AND(O169="",R169=""),"",IF(OR(AND(Tabla1[[#This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69" s="207" t="str">
        <f t="shared" ca="1" si="725"/>
        <v>SIN VACUNAR</v>
      </c>
      <c r="NY169" s="43">
        <f>ROW(Tabla1[[#This Row],['# DE TAMIZAJES SIFILIS TOMADOS ]])</f>
        <v>169</v>
      </c>
      <c r="NZ169" s="43" t="str">
        <f t="shared" si="501"/>
        <v>Menor</v>
      </c>
      <c r="OA169" s="43" t="str">
        <f t="shared" si="502"/>
        <v>SOBREPESO</v>
      </c>
      <c r="OB169" s="43" t="str">
        <f t="shared" si="503"/>
        <v/>
      </c>
      <c r="OC169" s="43" t="str">
        <f t="shared" si="504"/>
        <v/>
      </c>
      <c r="OD169" s="43" t="str">
        <f t="shared" si="505"/>
        <v/>
      </c>
      <c r="OE169" s="43" t="str">
        <f t="shared" si="506"/>
        <v/>
      </c>
      <c r="OF169" s="43" t="str">
        <f t="shared" si="507"/>
        <v/>
      </c>
      <c r="OG169" s="43" t="str">
        <f t="shared" si="508"/>
        <v/>
      </c>
      <c r="OH169" s="43" t="str">
        <f t="shared" si="509"/>
        <v/>
      </c>
      <c r="OI169" s="43" t="str">
        <f t="shared" si="510"/>
        <v/>
      </c>
      <c r="OJ169" s="43" t="str">
        <f t="shared" si="511"/>
        <v/>
      </c>
      <c r="OK169" s="43" t="str">
        <f t="shared" si="512"/>
        <v/>
      </c>
      <c r="OL169" s="43" t="str">
        <f t="shared" si="513"/>
        <v/>
      </c>
      <c r="OM169" s="43" t="str">
        <f t="shared" si="514"/>
        <v/>
      </c>
      <c r="ON169" s="43" t="str">
        <f t="shared" si="515"/>
        <v/>
      </c>
      <c r="OO169" s="43" t="str">
        <f t="shared" si="516"/>
        <v/>
      </c>
      <c r="OP169" s="43" t="str">
        <f t="shared" si="517"/>
        <v/>
      </c>
      <c r="OQ169" s="43" t="str">
        <f t="shared" si="518"/>
        <v/>
      </c>
      <c r="OR169" s="43" t="str">
        <f t="shared" si="519"/>
        <v/>
      </c>
      <c r="OS169" s="43" t="str">
        <f t="shared" si="520"/>
        <v/>
      </c>
      <c r="OT169" s="43" t="str">
        <f t="shared" si="521"/>
        <v/>
      </c>
      <c r="OU169" s="43" t="str">
        <f t="shared" si="522"/>
        <v/>
      </c>
      <c r="OV169" s="110" t="str">
        <f t="shared" si="523"/>
        <v/>
      </c>
      <c r="OW169" s="43" t="str">
        <f t="shared" si="524"/>
        <v/>
      </c>
      <c r="OX169" s="43" t="str">
        <f t="shared" si="525"/>
        <v/>
      </c>
      <c r="OY169" s="43" t="str">
        <f t="shared" si="526"/>
        <v/>
      </c>
      <c r="OZ169" s="43" t="str">
        <f t="shared" si="527"/>
        <v/>
      </c>
      <c r="PA169" s="43" t="str">
        <f t="shared" si="528"/>
        <v/>
      </c>
      <c r="PB169" s="43" t="str">
        <f t="shared" si="529"/>
        <v/>
      </c>
      <c r="PC169" s="43" t="str">
        <f t="shared" si="530"/>
        <v/>
      </c>
      <c r="PD169" s="43" t="str">
        <f t="shared" si="531"/>
        <v/>
      </c>
      <c r="PE169" s="43" t="str">
        <f t="shared" si="532"/>
        <v/>
      </c>
      <c r="PF169" s="43" t="str">
        <f t="shared" si="533"/>
        <v/>
      </c>
      <c r="PG169" s="43" t="str">
        <f t="shared" si="534"/>
        <v/>
      </c>
      <c r="PH169" s="43" t="str">
        <f t="shared" si="535"/>
        <v/>
      </c>
      <c r="PI169" s="43">
        <f t="shared" si="536"/>
        <v>18</v>
      </c>
      <c r="PJ169" s="43" t="str">
        <f t="shared" si="537"/>
        <v/>
      </c>
      <c r="PK169" s="43" t="str">
        <f t="shared" si="538"/>
        <v/>
      </c>
      <c r="PL169" s="43" t="str">
        <f t="shared" si="539"/>
        <v/>
      </c>
      <c r="PM169" s="43" t="str">
        <f t="shared" si="540"/>
        <v/>
      </c>
      <c r="PN169" s="43" t="str">
        <f t="shared" si="541"/>
        <v/>
      </c>
      <c r="PO169" s="43" t="str">
        <f t="shared" si="542"/>
        <v/>
      </c>
      <c r="PP169" s="43" t="str">
        <f t="shared" si="543"/>
        <v/>
      </c>
      <c r="PQ169" s="43" t="str">
        <f t="shared" si="544"/>
        <v/>
      </c>
      <c r="PR169" s="43" t="str">
        <f t="shared" si="545"/>
        <v/>
      </c>
      <c r="PS169" s="43" t="str">
        <f t="shared" si="546"/>
        <v>SOBREPESO</v>
      </c>
      <c r="PT169" s="43" t="str">
        <f t="shared" si="547"/>
        <v/>
      </c>
      <c r="PU169" s="43" t="str">
        <f t="shared" si="548"/>
        <v/>
      </c>
      <c r="PV169" s="43" t="str">
        <f t="shared" si="549"/>
        <v/>
      </c>
      <c r="PW169" s="43" t="str">
        <f t="shared" si="550"/>
        <v/>
      </c>
      <c r="PX169" s="43" t="str">
        <f t="shared" si="551"/>
        <v/>
      </c>
      <c r="PY169" s="43" t="str">
        <f t="shared" si="552"/>
        <v/>
      </c>
      <c r="PZ169" s="43" t="str">
        <f t="shared" si="553"/>
        <v/>
      </c>
      <c r="QA169" s="43" t="str">
        <f t="shared" si="554"/>
        <v/>
      </c>
      <c r="QB169" s="43" t="str">
        <f t="shared" si="555"/>
        <v/>
      </c>
      <c r="QC169" s="43" t="str">
        <f t="shared" si="556"/>
        <v/>
      </c>
      <c r="QD169" s="43" t="str">
        <f t="shared" si="557"/>
        <v/>
      </c>
      <c r="QE169" s="43" t="str">
        <f t="shared" si="558"/>
        <v/>
      </c>
      <c r="QF169" s="43" t="str">
        <f t="shared" si="559"/>
        <v/>
      </c>
      <c r="QG169" s="43" t="str">
        <f t="shared" si="560"/>
        <v/>
      </c>
      <c r="QH169" s="43" t="str">
        <f t="shared" si="561"/>
        <v/>
      </c>
      <c r="QI169" s="43" t="str">
        <f t="shared" si="562"/>
        <v/>
      </c>
      <c r="QJ169" s="43" t="str">
        <f t="shared" si="563"/>
        <v/>
      </c>
      <c r="QK169" s="43" t="str">
        <f t="shared" si="564"/>
        <v/>
      </c>
      <c r="QL169" s="43" t="str">
        <f t="shared" si="565"/>
        <v/>
      </c>
      <c r="QM169" s="43" t="str">
        <f t="shared" si="566"/>
        <v/>
      </c>
      <c r="QN169" s="43" t="str">
        <f t="shared" si="567"/>
        <v/>
      </c>
      <c r="QO169" s="43" t="str">
        <f t="shared" si="568"/>
        <v/>
      </c>
      <c r="QP169" s="43" t="str">
        <f t="shared" si="569"/>
        <v/>
      </c>
      <c r="QQ169" s="43" t="str">
        <f t="shared" si="570"/>
        <v/>
      </c>
      <c r="QR169" s="43">
        <f t="shared" si="670"/>
        <v>18</v>
      </c>
      <c r="QS169" s="43"/>
      <c r="QT169" s="21" t="str">
        <f t="shared" si="571"/>
        <v/>
      </c>
      <c r="QU169" s="21" t="str">
        <f t="shared" si="572"/>
        <v/>
      </c>
      <c r="QV169" s="21" t="str">
        <f t="shared" si="573"/>
        <v/>
      </c>
      <c r="QW169" s="21" t="str">
        <f t="shared" si="574"/>
        <v/>
      </c>
      <c r="QX169" s="21" t="str">
        <f t="shared" si="575"/>
        <v/>
      </c>
      <c r="QY169" s="21" t="str">
        <f t="shared" si="576"/>
        <v/>
      </c>
      <c r="QZ169" s="21" t="str">
        <f t="shared" si="577"/>
        <v/>
      </c>
      <c r="RA169" s="21" t="str">
        <f t="shared" si="578"/>
        <v/>
      </c>
      <c r="RB169" s="21" t="str">
        <f t="shared" si="579"/>
        <v/>
      </c>
      <c r="RC169" s="21" t="str">
        <f t="shared" si="580"/>
        <v/>
      </c>
      <c r="RD169" s="21" t="str">
        <f t="shared" si="581"/>
        <v/>
      </c>
      <c r="RE169" s="21" t="str">
        <f t="shared" si="582"/>
        <v/>
      </c>
      <c r="RF169" s="21" t="str">
        <f t="shared" si="583"/>
        <v/>
      </c>
      <c r="RG169" s="21" t="str">
        <f t="shared" si="584"/>
        <v/>
      </c>
      <c r="RH169" s="21" t="str">
        <f t="shared" si="585"/>
        <v/>
      </c>
      <c r="RI169" s="21" t="str">
        <f t="shared" si="586"/>
        <v/>
      </c>
      <c r="RJ169" s="21" t="str">
        <f t="shared" si="587"/>
        <v/>
      </c>
      <c r="RK169" s="21" t="str">
        <f t="shared" si="588"/>
        <v/>
      </c>
      <c r="RL169" s="21" t="str">
        <f t="shared" si="589"/>
        <v/>
      </c>
      <c r="RM169" s="21" t="str">
        <f t="shared" si="590"/>
        <v/>
      </c>
      <c r="RN169" s="21" t="str">
        <f t="shared" si="591"/>
        <v/>
      </c>
      <c r="RO169" s="21" t="str">
        <f t="shared" si="592"/>
        <v/>
      </c>
      <c r="RP169" s="21" t="str">
        <f t="shared" si="593"/>
        <v/>
      </c>
      <c r="RQ169" s="21" t="str">
        <f t="shared" si="594"/>
        <v/>
      </c>
      <c r="RR169" s="21" t="str">
        <f t="shared" si="595"/>
        <v/>
      </c>
      <c r="RS169" s="21" t="str">
        <f t="shared" si="596"/>
        <v/>
      </c>
      <c r="RT169" s="21" t="str">
        <f t="shared" si="597"/>
        <v/>
      </c>
      <c r="RU169" s="21" t="str">
        <f t="shared" si="598"/>
        <v/>
      </c>
      <c r="RV169" s="21">
        <f t="shared" si="599"/>
        <v>4.8714285714283632</v>
      </c>
      <c r="RW169" s="284">
        <f>IF(OR(Tabla1[[#This Row],[FUM FORMULA CONFIABLE]]="",Tabla1[[#This Row],[FUM FORMULA CONFIABLE]]="SD"),"",IF(Tabla1[[#This Row],[FUM FORMULA CONFIABLE]]="CORREGIDA",Tabla1[[#This Row],[FUM X ECO 1]],Tabla1[[#This Row],[FUM x AMENORREA]]))</f>
        <v>45013.9</v>
      </c>
      <c r="RX169" s="21">
        <f>IF(AND(Tabla1[[#This Row],[FUM X ECO 1]]="",Tabla1[[#This Row],[FUM x AMENORREA]]=""),"",IF(AND(Tabla1[[#This Row],[FUM X ECO 1]]="",Tabla1[[#This Row],[FUM x AMENORREA]]&lt;&gt;""),"X",SUM(Tabla1[[#This Row],[FUM X ECO 1]]-Tabla1[[#This Row],[FUM x AMENORREA]])))</f>
        <v>0.90000000000145519</v>
      </c>
      <c r="RY169" s="21">
        <f t="shared" si="671"/>
        <v>0</v>
      </c>
    </row>
    <row r="170" spans="1:493" ht="45" customHeight="1" x14ac:dyDescent="0.25">
      <c r="A170" s="109"/>
      <c r="B170" s="43"/>
      <c r="C170" s="43" t="s">
        <v>845</v>
      </c>
      <c r="D170" s="124"/>
      <c r="E170" s="43" t="s">
        <v>884</v>
      </c>
      <c r="F170" s="43" t="s">
        <v>914</v>
      </c>
      <c r="G170" s="43" t="s">
        <v>1479</v>
      </c>
      <c r="H170" s="43" t="s">
        <v>1480</v>
      </c>
      <c r="I170" s="109" t="s">
        <v>851</v>
      </c>
      <c r="J170" s="110">
        <v>1002847894</v>
      </c>
      <c r="K170" s="43" t="s">
        <v>1274</v>
      </c>
      <c r="L170" s="175" t="s">
        <v>846</v>
      </c>
      <c r="M170" s="22">
        <v>36893</v>
      </c>
      <c r="N170" s="213">
        <f t="shared" ca="1" si="600"/>
        <v>22.849315068493151</v>
      </c>
      <c r="O170" s="22">
        <v>45050</v>
      </c>
      <c r="P170" s="214" t="str">
        <f t="shared" si="673"/>
        <v>SI</v>
      </c>
      <c r="Q170" s="26" t="s">
        <v>855</v>
      </c>
      <c r="R170" s="22">
        <v>45050</v>
      </c>
      <c r="S170" s="21" t="s">
        <v>856</v>
      </c>
      <c r="T170" s="24" t="s">
        <v>690</v>
      </c>
      <c r="U170" s="21" t="s">
        <v>857</v>
      </c>
      <c r="V170" s="21" t="s">
        <v>858</v>
      </c>
      <c r="W170" s="21" t="s">
        <v>1618</v>
      </c>
      <c r="X170" s="21"/>
      <c r="Y170" s="21"/>
      <c r="Z170" s="21"/>
      <c r="AA170" s="21" t="s">
        <v>860</v>
      </c>
      <c r="AB170" s="27" t="s">
        <v>861</v>
      </c>
      <c r="AC170" s="26"/>
      <c r="AD170" s="38" t="s">
        <v>1546</v>
      </c>
      <c r="AE170" s="26" t="s">
        <v>854</v>
      </c>
      <c r="AF170" s="26" t="s">
        <v>854</v>
      </c>
      <c r="AG170" s="23" t="s">
        <v>864</v>
      </c>
      <c r="AH170" s="23" t="s">
        <v>864</v>
      </c>
      <c r="AI170" s="24" t="s">
        <v>863</v>
      </c>
      <c r="AJ170" s="23" t="s">
        <v>864</v>
      </c>
      <c r="AK170" s="220" t="str">
        <f>IF(AND(AD170="",AE170="",AF170="",AG170="",AH170="",AI170="",AJ170=""),"",IF(OR(Tabla1[[#This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EVALUACIÓN",IF(AND(O170="",R170=""),"",IF(AND(OR(O170&gt;0,R170&gt;0),NG170&gt;=0,NG170&lt;2),"SIN RIESGO",IF(AND(OR(O170&gt;0,R170&gt;0),NG170&gt;=2),"CON RIESGO","ASD")))))</f>
        <v>SIN RIESGO</v>
      </c>
      <c r="AL170" s="23" t="s">
        <v>864</v>
      </c>
      <c r="AM170" s="26" t="s">
        <v>864</v>
      </c>
      <c r="AN170" s="26" t="s">
        <v>864</v>
      </c>
      <c r="AO170" s="26" t="s">
        <v>864</v>
      </c>
      <c r="AP170" s="26" t="s">
        <v>864</v>
      </c>
      <c r="AQ170" s="26" t="s">
        <v>864</v>
      </c>
      <c r="AR170" s="26" t="s">
        <v>864</v>
      </c>
      <c r="AS170" s="21">
        <v>0</v>
      </c>
      <c r="AT170" s="21">
        <v>0</v>
      </c>
      <c r="AU170" s="21">
        <v>0</v>
      </c>
      <c r="AV170" s="26" t="s">
        <v>864</v>
      </c>
      <c r="AW170" s="21">
        <v>0</v>
      </c>
      <c r="AX170" s="26" t="s">
        <v>864</v>
      </c>
      <c r="AY170" s="26" t="s">
        <v>864</v>
      </c>
      <c r="AZ170" s="26" t="s">
        <v>864</v>
      </c>
      <c r="BA170" s="26" t="s">
        <v>864</v>
      </c>
      <c r="BB170" s="26" t="s">
        <v>864</v>
      </c>
      <c r="BC170" s="26" t="s">
        <v>864</v>
      </c>
      <c r="BD170" s="26" t="s">
        <v>864</v>
      </c>
      <c r="BE170" s="26" t="s">
        <v>864</v>
      </c>
      <c r="BF170" s="26" t="s">
        <v>864</v>
      </c>
      <c r="BG170" s="26" t="s">
        <v>864</v>
      </c>
      <c r="BH170" s="26" t="s">
        <v>864</v>
      </c>
      <c r="BI170" s="26" t="s">
        <v>864</v>
      </c>
      <c r="BJ170" s="26" t="s">
        <v>864</v>
      </c>
      <c r="BK170" s="26" t="s">
        <v>864</v>
      </c>
      <c r="BL170" s="26" t="s">
        <v>864</v>
      </c>
      <c r="BM170" s="26" t="s">
        <v>864</v>
      </c>
      <c r="BN170" s="22"/>
      <c r="BO170" s="22">
        <v>44911</v>
      </c>
      <c r="BP170" s="21" t="s">
        <v>1380</v>
      </c>
      <c r="BQ170" s="222">
        <f t="shared" si="601"/>
        <v>0</v>
      </c>
      <c r="BR170" s="223">
        <f t="shared" si="602"/>
        <v>44911</v>
      </c>
      <c r="BS170" s="224">
        <f t="shared" si="603"/>
        <v>19.857142857142858</v>
      </c>
      <c r="BT170" s="216" t="str">
        <f t="shared" si="604"/>
        <v>II TRIM</v>
      </c>
      <c r="BU170" s="214" t="str">
        <f t="shared" ca="1" si="605"/>
        <v/>
      </c>
      <c r="BV170" s="25" t="s">
        <v>988</v>
      </c>
      <c r="BW170" s="22">
        <v>45149</v>
      </c>
      <c r="BX170" s="28">
        <v>34</v>
      </c>
      <c r="BY170" s="28"/>
      <c r="BZ170" s="22"/>
      <c r="CA170" s="21"/>
      <c r="CB170" s="26" t="s">
        <v>864</v>
      </c>
      <c r="CC170" s="26" t="s">
        <v>864</v>
      </c>
      <c r="CD170" s="26" t="s">
        <v>878</v>
      </c>
      <c r="CE170" s="26" t="s">
        <v>864</v>
      </c>
      <c r="CF170" s="22" t="s">
        <v>1517</v>
      </c>
      <c r="CG170" s="21">
        <v>1.58</v>
      </c>
      <c r="CH170" s="21">
        <v>66.900000000000006</v>
      </c>
      <c r="CI170" s="214">
        <f t="shared" si="606"/>
        <v>26.798589969556158</v>
      </c>
      <c r="CJ170" s="225" t="e">
        <f>IF(AND(CI170&lt;10,CH170="SD"),"SIN DATO PESO PREGESTACION O I TRIM",IF(AND(OR(R170&gt;0,O170&gt;0),CI170="X"),"INGRESAR DATO DE PESO",IF(CI170="SD","INGRESAR DATO DE TALLA Y PESO",IF(AND(OR(Tabla1[[#This Row],[MOMENTO EN QUE SE REALIZA EL PESO AL INGRESO A CPN]]="PREGESTACIÓN",NZ170="Menor"),CI170&lt;18.5),"BAJO PESO",IF(AND(OR(Tabla1[[#This Row],[MOMENTO EN QUE SE REALIZA EL PESO AL INGRESO A CPN]]="PREGESTACIÓN",NZ170="Menor"),CI170&lt;25),"NORMAL",IF(AND(OR(Tabla1[[#This Row],[MOMENTO EN QUE SE REALIZA EL PESO AL INGRESO A CPN]]="PREGESTACIÓN",NZ170="Menor"),CI170&lt;30),"SOBREPESO",IF(AND(OR(Tabla1[[#This Row],[MOMENTO EN QUE SE REALIZA EL PESO AL INGRESO A CPN]]="PREGESTACIÓN",NZ170="Menor"),CI170&gt;=30,CI170&lt;50),"OBESIDAD",IF(AND(BS170&gt;0,Tabla1[[#This Row],[MOMENTO EN QUE SE REALIZA EL PESO AL INGRESO A CPN]]="GESTACIÓN"),HLOOKUP(NZ170,$OA$2:PH170,NY170),""))))))))</f>
        <v>#REF!</v>
      </c>
      <c r="CK170" s="212">
        <f t="shared" si="607"/>
        <v>45149</v>
      </c>
      <c r="CL170" s="21">
        <v>72.5</v>
      </c>
      <c r="CM170" s="214">
        <f t="shared" si="608"/>
        <v>29.041820221118407</v>
      </c>
      <c r="CN170" s="216">
        <f t="shared" si="609"/>
        <v>34</v>
      </c>
      <c r="CO170" s="216" t="e">
        <f>IF(PI170="","",IF(PI170&gt;0,HLOOKUP(PI170,$PJ$2:QQ170,NY170),""))</f>
        <v>#REF!</v>
      </c>
      <c r="CP170" s="21">
        <v>30</v>
      </c>
      <c r="CQ170" s="216" t="e">
        <f>IF(QR170="Menor","NO APLICA-MENOR 13 SEM",IF(AND(CC170="SI",CN170&gt;23),"NO APLICA- GEMELAR",IF(QR170="","",IF(QR170&gt;0,HLOOKUP(QR170,$QS$2:RU170,NY170),""))))</f>
        <v>#REF!</v>
      </c>
      <c r="CR170" s="21"/>
      <c r="CS170" s="21"/>
      <c r="CT170" s="217" t="str">
        <f>IF(R170="","",IF(AND(BS170&gt;1,BS170&lt;12,Tabla1[[#This Row],[T.A. SISTOLICA - ANTES DE SEMANA 12]]="",Tabla1[[#This Row],[T.A. DIASTOLICA - ANTES DE SEMANA 12]]=""),"REGISTRE DATO TA ANTES SEMANA 12",IF(AND(BS170&gt;11,BS170&lt;43,Tabla1[[#This Row],[T.A. SISTOLICA - ANTES DE SEMANA 12]]="",Tabla1[[#This Row],[T.A. DIASTOLICA - ANTES DE SEMANA 12]]=""),"NO APLICA REGISTRO TA-INGRESO TARDIO",IF(AND(OR(O170&gt;0,R170&gt;0),OR(CR170&gt;=140,CS170&gt;=90)),"DEFINIR ESTADIO HTA",IF(AND(OR(O170&gt;0,R170&gt;0),AND(CR170&gt;120,CR170&lt;=139)),"PRE HTA SEGUIMIENTO",IF(AND(OR(O170&gt;0,R170&gt;0),AND(CS170&gt;80,CS170&lt;=89)),"PRE HTA SEGUIMIENTO",IF(AND(OR(O170&gt;0,R170&gt;0),AND(CR170&gt;=80,CR170&lt;=120)),"APARENTEMENTE NORMAL",IF(AND(OR(O170&gt;0,R170&gt;0),AND(CS170&gt;=50,CS170&lt;=80)),"APARENTEMENTE NORMAL",IF(AND(OR(O170&gt;0,R170&gt;0),AND(CR170&gt;1,CR170&lt;=70),AND(CS170&gt;1,CS170&lt;=40)),"HIPOTENSIÓN","")))))))))</f>
        <v>NO APLICA REGISTRO TA-INGRESO TARDIO</v>
      </c>
      <c r="CU170" s="21">
        <v>90</v>
      </c>
      <c r="CV170" s="21">
        <v>60</v>
      </c>
      <c r="CW170" s="217" t="str">
        <f ca="1">IF(R170="","",IF(AND(CN170&gt;19,CN170&lt;27,Tabla1[[#This Row],[T.A. SISTOLICA (Entre semana 20 y 26)]]="",Tabla1[[#This Row],[T.A. DIATOLICA (Entre semana 20 y 26)]]=""),"ACUDE A CONTROL SEM 20 A 26 REGISTRE TA AHORA",IF(AND(BS170&gt;1,BS170&lt;27,BU170&gt;19,Tabla1[[#This Row],[T.A. SISTOLICA (Entre semana 20 y 26)]]="",Tabla1[[#This Row],[T.A. DIATOLICA (Entre semana 20 y 26)]]=""),"COMPLETE REGISTRO TA CONTROL SEM 20 A26 ",IF(AND(BS170&gt;26,BS170&lt;43,Tabla1[[#This Row],[T.A. SISTOLICA (Entre semana 20 y 26)]]="",Tabla1[[#This Row],[T.A. DIATOLICA (Entre semana 20 y 26)]]=""),"NO APLICA REGISTRO TA-INGRESO TARDIO",IF(AND(OR(O170&gt;0,R170&gt;0),OR(CU170&gt;=140,CV170&gt;=90)),"ALTO RIESGO PREECLAMPSIA,DEFINIR ESTADIO HTA",IF(AND(OR(O170&gt;0,R170&gt;0),AND(CU170&gt;120,CU170&lt;=139)),"PRE HTA SEGUIMIENTO,RIESGO HIPERTENSION INDUCIDA POR EL EMBARAZO",IF(AND(OR(O170&gt;0,R170&gt;0),AND(CV170&gt;80,CV170&lt;=89)),"PRE HTA SEGUIMIENTO, RIESGO HIPERTENSION INDUCIDA POR EL EMBARAZO",IF(AND(OR(O170&lt;&gt;"",R170&lt;&gt;""),CS170&lt;&gt;"",CV170&lt;&gt;"",CS170&lt;=CV170),"VIGILAR CIFRAS PRESION ARTERIAL",IF(AND(OR(O170&gt;0,R170&gt;0),AND(CU170&gt;120,CU170&lt;=139)),"PRE HTA SEGUIMIENTO",IF(AND(OR(O170&gt;0,R170&gt;0),AND(CU170&gt;1,CU170&lt;=70),AND(CV170&gt;1,CV170&lt;=40)),"HIPOTENSIÓN",IF(AND(OR(O170&lt;&gt;"",R170&lt;&gt;""),CS170&lt;&gt;"",CV170&lt;&gt;"",CS170&gt;CV170),"APARENTEMENTE NORMAL",IF(AND(OR(O170&gt;0,R170&gt;0),AND(CU170&gt;=80,CU170&lt;=120)),"APARENTEMENTE NORMAL",IF(AND(OR(O170&gt;0,R170&gt;0),AND(CV170&gt;=50,CV170&lt;=80)),"APARENTEMENTE NORMAL","")))))))))))))</f>
        <v>APARENTEMENTE NORMAL</v>
      </c>
      <c r="CX170" s="21"/>
      <c r="CY170" s="21"/>
      <c r="CZ170" s="216" t="str">
        <f>IF(R170="","",IF(AND(CN170&gt;31,CN170&lt;35,CX170="",CY170=""),"ACUDE A CONTROL SEM 30 A 34- REGISTRE AHORA",IF(AND(BS170&gt;34,BS170&lt;43,#REF!="",#REF!=""),"NO APLICA-INGRESO TARDIO",IF(AND(OR(O170&gt;0,R170&gt;0),OR(CX170&gt;=140,CY170&gt;=90)),"ESTUDIO INMEDIATO HTA PARA DESCARTAR PREECLAMSIA",IF(AND(OR(O170&gt;0,R170&gt;0),AND(CX170&gt;=130,CX170&lt;=139)),"PRE HTA,RIESGO ALTO PREECLAMPSIA",IF(AND(OR(O170&gt;0,R170&gt;0),AND(CY170&gt;80,CY170&lt;=89)),"PRE HTA,RIESGO ALTO PREECLAMPSIA",IF(AND(OR(O170&gt;0,R170&gt;0),AND(CX170&gt;120,CX170&lt;=129)),"RANGO PREHIPERTENSIVO SEGUIMIENTO HTA",IF(AND(OR(O170&lt;&gt;"",R170&lt;&gt;""),CS170&lt;&gt;"",CY170&lt;&gt;"",CS170&lt;CY170),"VIGILAR CIFRAS PRESION ARTERIAL",IF(AND(OR(O170&lt;&gt;"",R170&lt;&gt;""),CS170&lt;&gt;"",CY170&lt;&gt;"",CS170=CY170),"APARENTEMENTE NORMAL",IF(AND(OR(O170&gt;0,R170&gt;0),CX170&gt;=80,CX170&lt;=120),"APARENTEMENTE NORMAL",IF(AND(OR(O170&gt;0,R170&gt;0),CY170&gt;=50,CY170&lt;=80),"APARENTEMENTE NORMAL","")))))))))))</f>
        <v>ACUDE A CONTROL SEM 30 A 34- REGISTRE AHORA</v>
      </c>
      <c r="DA170" s="21">
        <v>90</v>
      </c>
      <c r="DB170" s="21">
        <v>60</v>
      </c>
      <c r="DC170" s="217" t="str">
        <f t="shared" si="610"/>
        <v>APARENTEMENTE NORMAL</v>
      </c>
      <c r="DD170" s="22">
        <v>45050</v>
      </c>
      <c r="DE170" s="22">
        <v>45050</v>
      </c>
      <c r="DF170" s="22">
        <v>45050</v>
      </c>
      <c r="DG170" s="22">
        <v>45124</v>
      </c>
      <c r="DH170" s="22">
        <v>45149</v>
      </c>
      <c r="DI170" s="22"/>
      <c r="DJ170" s="22"/>
      <c r="DK170" s="22"/>
      <c r="DL170" s="22"/>
      <c r="DM170" s="22"/>
      <c r="DN170" s="22"/>
      <c r="DO170" s="22"/>
      <c r="DP170" s="22"/>
      <c r="DQ170" s="22"/>
      <c r="DR170" s="28"/>
      <c r="DS170" s="22"/>
      <c r="DT170" s="22"/>
      <c r="DU170" s="216" t="str">
        <f t="shared" ca="1" si="674"/>
        <v>CONCERTAR PLAN DE PARTO INMEDIATO</v>
      </c>
      <c r="DV170" s="226" t="str">
        <f t="shared" si="675"/>
        <v>ACTIVA INGRESO A CPN</v>
      </c>
      <c r="DW17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0" s="216" t="e">
        <f t="shared" ca="1" si="611"/>
        <v>#REF!</v>
      </c>
      <c r="DY170" s="212">
        <f>IF(R170="","",IF(R170&gt;0,MAX(Tabla1[[#This Row],[FECHA C2]:[FECHA C13]],Tabla1[[#This Row],[FECHA CONSULTA PRIMERA VEZ PROGRAMA CPN ]])))</f>
        <v>45149</v>
      </c>
      <c r="DZ170" s="216">
        <f t="shared" si="612"/>
        <v>34</v>
      </c>
      <c r="EA170" s="222">
        <f>IF(R170&gt;0,SUM(COUNTA(DF170:DQ170)+COUNTA(Tabla1[[#This Row],[FECHA CONSULTA PRIMERA VEZ PROGRAMA CPN ]])),"")</f>
        <v>4</v>
      </c>
      <c r="EB170" s="222" t="str">
        <f t="shared" si="613"/>
        <v>SI</v>
      </c>
      <c r="EC170" s="214">
        <f t="shared" si="614"/>
        <v>7</v>
      </c>
      <c r="ED170" s="227">
        <f t="shared" si="615"/>
        <v>0.5714285714285714</v>
      </c>
      <c r="EE170" s="22">
        <v>45050</v>
      </c>
      <c r="EF170" s="22">
        <v>45149</v>
      </c>
      <c r="EG170" s="22">
        <v>45050</v>
      </c>
      <c r="EH170" s="22"/>
      <c r="EI170" s="22">
        <v>45050</v>
      </c>
      <c r="EJ170" s="22"/>
      <c r="EK170" s="22"/>
      <c r="EL170" s="21"/>
      <c r="EM170" s="21">
        <v>12.8</v>
      </c>
      <c r="EN170" s="22">
        <v>45128</v>
      </c>
      <c r="EO170" s="222">
        <f t="shared" si="616"/>
        <v>31</v>
      </c>
      <c r="EP170" s="214" t="str">
        <f t="shared" si="617"/>
        <v>NORMAL- SUMINISTRAR SULFATO FERROSO</v>
      </c>
      <c r="EQ170" s="216" t="str">
        <f t="shared" si="618"/>
        <v>III TRIM</v>
      </c>
      <c r="ER170" s="24"/>
      <c r="ES170" s="22"/>
      <c r="ET170" s="29" t="str">
        <f t="shared" ca="1" si="676"/>
        <v>TOMA DE HEMOGLOBINA TARDÍA</v>
      </c>
      <c r="EU170" s="25" t="str">
        <f t="shared" si="619"/>
        <v/>
      </c>
      <c r="EV170" s="24" t="s">
        <v>1510</v>
      </c>
      <c r="EW170" s="32">
        <v>45134</v>
      </c>
      <c r="EX170" s="22"/>
      <c r="EY170" s="29">
        <f t="shared" si="691"/>
        <v>31.857142857142858</v>
      </c>
      <c r="EZ170" s="25" t="str">
        <f t="shared" si="692"/>
        <v>SIN RIESGO DE ISOINMUNIZACIÓN</v>
      </c>
      <c r="FA170" s="21"/>
      <c r="FB170" s="22"/>
      <c r="FC170" s="29" t="str">
        <f t="shared" si="620"/>
        <v>TOMAR EXAMEN</v>
      </c>
      <c r="FD170" s="29"/>
      <c r="FE170" s="29"/>
      <c r="FF170" s="29"/>
      <c r="FG170" s="21" t="str">
        <f t="shared" ca="1" si="621"/>
        <v/>
      </c>
      <c r="FH170" s="31"/>
      <c r="FI170" s="29" t="str">
        <f t="shared" si="622"/>
        <v>TOMAR EXAMEN</v>
      </c>
      <c r="FJ170" s="22"/>
      <c r="FK170" s="22"/>
      <c r="FL170" s="29" t="str">
        <f t="shared" ca="1" si="623"/>
        <v>NO APLICA-INGRESO TARDIO</v>
      </c>
      <c r="FM170" s="22"/>
      <c r="FN170" s="22"/>
      <c r="FO170" s="29" t="str">
        <f t="shared" ca="1" si="677"/>
        <v>PIERDE TOMA DE TAMIZAJE</v>
      </c>
      <c r="FP170" s="22" t="s">
        <v>867</v>
      </c>
      <c r="FQ170" s="22">
        <v>45128</v>
      </c>
      <c r="FR170" s="29">
        <f t="shared" ca="1" si="678"/>
        <v>31</v>
      </c>
      <c r="FS170" s="22"/>
      <c r="FT170" s="32"/>
      <c r="FU170" s="29" t="str">
        <f>IF(AND(FJ170="",FM170="",FP170="",FS170=""),"",IF(OR(OR(Tabla1[[#This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0" s="28"/>
      <c r="FW170" s="22"/>
      <c r="FX170" s="29" t="str">
        <f t="shared" si="624"/>
        <v>TOMAR EXAMEN</v>
      </c>
      <c r="FY170" s="22"/>
      <c r="FZ170" s="22"/>
      <c r="GA170" s="29" t="str">
        <f t="shared" ca="1" si="690"/>
        <v>NO APLICA-INGRESO TARDIO</v>
      </c>
      <c r="GB170" s="22"/>
      <c r="GC170" s="22"/>
      <c r="GD170" s="29" t="str">
        <f t="shared" ca="1" si="679"/>
        <v>PIERDE TOMA DE TAMIZAJE</v>
      </c>
      <c r="GE170" s="22" t="s">
        <v>868</v>
      </c>
      <c r="GF170" s="22">
        <v>45134</v>
      </c>
      <c r="GG170" s="29">
        <f t="shared" ca="1" si="680"/>
        <v>31.857142857142858</v>
      </c>
      <c r="GH170" s="22"/>
      <c r="GI170" s="29"/>
      <c r="GJ170" s="22"/>
      <c r="GK170" s="22"/>
      <c r="GL170" s="22"/>
      <c r="GM170" s="22"/>
      <c r="GN170" s="28" t="s">
        <v>869</v>
      </c>
      <c r="GO170" s="22">
        <v>45128</v>
      </c>
      <c r="GP170" s="29">
        <f t="shared" si="625"/>
        <v>31</v>
      </c>
      <c r="GQ170" s="28" t="s">
        <v>869</v>
      </c>
      <c r="GR170" s="28" t="s">
        <v>869</v>
      </c>
      <c r="GS170" s="22" t="str">
        <f t="shared" si="726"/>
        <v>CONTROL Igm</v>
      </c>
      <c r="GT170" s="22">
        <v>45134</v>
      </c>
      <c r="GU170" s="29">
        <f t="shared" si="627"/>
        <v>31.857142857142858</v>
      </c>
      <c r="GV170" s="21" t="str">
        <f t="shared" si="628"/>
        <v>III TRIM</v>
      </c>
      <c r="GW170" s="28"/>
      <c r="GX170" s="30"/>
      <c r="GY170" s="21"/>
      <c r="GZ170" s="21"/>
      <c r="HA170" s="21"/>
      <c r="HB170" s="21"/>
      <c r="HC170" s="21"/>
      <c r="HD170" s="21"/>
      <c r="HE170" s="21"/>
      <c r="HF170" s="22"/>
      <c r="HG170" s="22" t="str">
        <f>IF(OR(O170&gt;0,R170&gt;0),CONCATENATE(IF(Tabla1[[#This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0" s="22" t="e">
        <f t="shared" si="629"/>
        <v>#REF!</v>
      </c>
      <c r="HI170" s="22" t="e">
        <f t="shared" ca="1" si="630"/>
        <v>#REF!</v>
      </c>
      <c r="HJ170" s="21"/>
      <c r="HK170" s="21" t="str">
        <f t="shared" si="631"/>
        <v>SIN ANTECEDENTES DE RIESGO</v>
      </c>
      <c r="HL170" s="24" t="str">
        <f t="shared" si="632"/>
        <v>APARENTEMENTE NORMAL</v>
      </c>
      <c r="HM170" s="21" t="e">
        <f t="shared" ca="1" si="633"/>
        <v>#REF!</v>
      </c>
      <c r="HN170" s="30" t="str">
        <f t="shared" si="681"/>
        <v>ACTIVA INGRESO A CPN</v>
      </c>
      <c r="HO170" s="21"/>
      <c r="HP170" s="21"/>
      <c r="HQ170" s="349">
        <v>45050</v>
      </c>
      <c r="HR170" s="21" t="str">
        <f>IF(R170="","",IF(Tabla1[[#This Row],[ALARMA FACTORES DE RIESGO COMPLICACIONES HIPERTENSIVAS3]]="SIN ANTECEDENTES DE RIESGO","No Aplica para suministro de ASA",IF(AND(Tabla1[[#This Row],[FECHA INICIO DE SUMINISTRO DE ASA]]&gt;0,RV170&lt;12),"Inicia ASA ANTES de Sem 12",IF(AND(RV170&gt;11,RV170&lt;17,OR(HK170="RIESGO ALTO DE COMPLICACIONES HIPERTENSIVAS VER MANEJO GUIA SUMINISTRO ASA Y CALCIO",HK170="RIESGO MODERADO (2 O MAS CRITERIOS) VER MANEJO GUIA SUMINISTRO ASA Y CALCIO")),"Inicio oportuno de ASA",IF(AND(RV170&gt;12,OR(HK170="RIESGO ALTO DE COMPLICACIONES HIPERTENSIVAS VER MANEJO GUIA SUMINISTRO ASA Y CALCIO",HK170="RIESGO MODERADO (2 O MAS CRITERIOS) VER MANEJO GUIA SUMINISTRO ASA Y CALCIO")),"Inicio no oportuno mayor a 16 semanas",IF(AND(BU170&lt;12,OR(HK170="RIESGO ALTO DE COMPLICACIONES HIPERTENSIVAS VER MANEJO GUIA SUMINISTRO ASA Y CALCIO",HK170="RIESGO MODERADO (2 O MAS CRITERIOS) VER MANEJO GUIA SUMINISTRO ASA Y CALCIO")),"Pendiente Inicio de ASA a la semana 12",IF(AND(BU170&gt;11,BU170&lt;17,OR(HK170="RIESGO ALTO DE COMPLICACIONES HIPERTENSIVAS VER MANEJO GUIA SUMINISTRO ASA Y CALCIO",HK170="RIESGO MODERADO (2 O MAS CRITERIOS) VER MANEJO GUIA SUMINISTRO ASA Y CALCIO")),"Iniciar de inmediato ASA",IF(AND(BU170&gt;16,OR(HK170="RIESGO ALTO DE COMPLICACIONES HIPERTENSIVAS VER MANEJO GUIA SUMINISTRO ASA Y CALCIO",HK170="RIESGO MODERADO (2 O MAS CRITERIOS) VER MANEJO GUIA SUMINISTRO ASA Y CALCIO")),"Pierde Oportunidad, Inicio tardío de ASA","XXXXX"))))))))</f>
        <v>No Aplica para suministro de ASA</v>
      </c>
      <c r="HS170" s="22">
        <v>45050</v>
      </c>
      <c r="HT170" s="22" t="s">
        <v>870</v>
      </c>
      <c r="HU170" s="22"/>
      <c r="HV170" s="22"/>
      <c r="HW170" s="22">
        <v>45050</v>
      </c>
      <c r="HX170" s="22" t="s">
        <v>870</v>
      </c>
      <c r="HY170" s="22"/>
      <c r="HZ170" s="28" t="str">
        <f t="shared" si="634"/>
        <v>PENDIENTE CONSULTA</v>
      </c>
      <c r="IA170" s="26"/>
      <c r="IB170" s="26"/>
      <c r="IC170" s="111">
        <v>45063</v>
      </c>
      <c r="ID170" s="111">
        <v>45063</v>
      </c>
      <c r="IE170" s="22" t="str">
        <f t="shared" ca="1" si="635"/>
        <v>VACUNA APLICADA ENTRE SEMANA 20 Y SEMANA 26</v>
      </c>
      <c r="IF170" s="22">
        <v>45098</v>
      </c>
      <c r="IG170" s="22">
        <f t="shared" si="636"/>
        <v>45191</v>
      </c>
      <c r="IH170" s="29">
        <f t="shared" ca="1" si="637"/>
        <v>-42</v>
      </c>
      <c r="II170" s="22" t="str">
        <f t="shared" ca="1" si="638"/>
        <v>POSIBLEMENTE NACIO</v>
      </c>
      <c r="IJ170" s="22"/>
      <c r="IK170" s="21"/>
      <c r="IL170" s="21"/>
      <c r="IM170" s="34"/>
      <c r="IN170" s="22"/>
      <c r="IO170" s="21"/>
      <c r="IP170" s="29" t="str">
        <f t="shared" si="672"/>
        <v/>
      </c>
      <c r="IQ170" s="35"/>
      <c r="IR170" s="21"/>
      <c r="IS170" s="21"/>
      <c r="IT170" s="21"/>
      <c r="IU170" s="21"/>
      <c r="IV170" s="21"/>
      <c r="IW170" s="21"/>
      <c r="IX170" s="21"/>
      <c r="IY170" s="21"/>
      <c r="IZ170" s="21"/>
      <c r="JA170" s="21"/>
      <c r="JB170" s="30"/>
      <c r="JC170" s="21"/>
      <c r="JD170" s="36"/>
      <c r="JE170" s="21" t="str">
        <f t="shared" si="682"/>
        <v/>
      </c>
      <c r="JF170" s="30"/>
      <c r="JG170" s="21"/>
      <c r="JH170" s="21"/>
      <c r="JI170" s="21"/>
      <c r="JJ170" s="30"/>
      <c r="JK170" s="22"/>
      <c r="JL170" s="22"/>
      <c r="JM170" s="21"/>
      <c r="JN170" s="36"/>
      <c r="JO170" s="21" t="str">
        <f t="shared" si="683"/>
        <v/>
      </c>
      <c r="JP170" s="22"/>
      <c r="JQ170" s="21"/>
      <c r="JR170" s="21"/>
      <c r="JS170" s="21"/>
      <c r="JT170" s="30"/>
      <c r="JU170" s="22"/>
      <c r="JV170" s="22"/>
      <c r="JW170" s="33"/>
      <c r="JX170" s="28" t="str">
        <f t="shared" si="684"/>
        <v/>
      </c>
      <c r="JY170" s="33"/>
      <c r="JZ170" s="28" t="str">
        <f t="shared" si="685"/>
        <v/>
      </c>
      <c r="KA170" s="21"/>
      <c r="KB170" s="21"/>
      <c r="KC170" s="21"/>
      <c r="KD170" s="37"/>
      <c r="KE170" s="28"/>
      <c r="KF170" s="28"/>
      <c r="KG170" s="28"/>
      <c r="KH170" s="39"/>
      <c r="KI170" s="39"/>
      <c r="KJ170" s="66"/>
      <c r="KK170" s="39"/>
      <c r="KL170" s="39"/>
      <c r="KM170" s="66"/>
      <c r="KN170" s="39"/>
      <c r="KO170" s="39"/>
      <c r="KP170" s="39"/>
      <c r="KQ170" s="39"/>
      <c r="KR170" s="39"/>
      <c r="KS170" s="39"/>
      <c r="KT170" s="39"/>
      <c r="KU170" s="38"/>
      <c r="KV170" s="38"/>
      <c r="KW170" s="38"/>
      <c r="KX170" s="38"/>
      <c r="KY170" s="38"/>
      <c r="KZ170" s="38"/>
      <c r="LA170" s="38"/>
      <c r="LB170" s="38"/>
      <c r="LC170" s="38"/>
      <c r="LD170" s="38"/>
      <c r="LE170" s="38"/>
      <c r="LF170" s="38"/>
      <c r="LG170" s="38"/>
      <c r="LH170" s="38"/>
      <c r="LI170" s="38"/>
      <c r="LJ170" s="38"/>
      <c r="LK170" s="38"/>
      <c r="LL170" s="38"/>
      <c r="LM170" s="38"/>
      <c r="LN170" s="38"/>
      <c r="LO170" s="38"/>
      <c r="LP170" s="38"/>
      <c r="LQ170" s="38"/>
      <c r="LR170" s="38"/>
      <c r="LS170" s="38"/>
      <c r="LT170" s="38"/>
      <c r="LU170" s="38"/>
      <c r="LV170" s="38"/>
      <c r="LW170" s="38"/>
      <c r="LX170" s="38"/>
      <c r="LY170" s="38"/>
      <c r="LZ170" s="38"/>
      <c r="MA170" s="38"/>
      <c r="MB170" s="38"/>
      <c r="MC170" s="38"/>
      <c r="MD170" s="38"/>
      <c r="ME170" s="38"/>
      <c r="MF170" s="38"/>
      <c r="MG170" s="38"/>
      <c r="MH170" s="43">
        <f t="shared" si="695"/>
        <v>0</v>
      </c>
      <c r="MI170" s="43" t="str">
        <f t="shared" si="696"/>
        <v/>
      </c>
      <c r="MJ170" s="43" t="str">
        <f t="shared" si="697"/>
        <v/>
      </c>
      <c r="MK170" s="43">
        <f t="shared" si="698"/>
        <v>0</v>
      </c>
      <c r="ML17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0" s="43">
        <f t="shared" si="699"/>
        <v>19.857142857142858</v>
      </c>
      <c r="MN170" s="43">
        <f t="shared" si="700"/>
        <v>5</v>
      </c>
      <c r="MO170" s="43">
        <f t="shared" si="701"/>
        <v>2023</v>
      </c>
      <c r="MP170" s="43" t="str">
        <f t="shared" si="702"/>
        <v>II TRIMESTRE AÑO</v>
      </c>
      <c r="MQ170" s="43">
        <f t="shared" si="703"/>
        <v>22.015987735435829</v>
      </c>
      <c r="MR170" s="43">
        <f t="shared" si="704"/>
        <v>0</v>
      </c>
      <c r="MS170" s="43" t="str">
        <f t="shared" si="705"/>
        <v xml:space="preserve"> DE 20 A 24 AÑOS</v>
      </c>
      <c r="MT170" s="43">
        <f t="shared" si="706"/>
        <v>0</v>
      </c>
      <c r="MU170" s="43">
        <f t="shared" si="707"/>
        <v>1</v>
      </c>
      <c r="MV170" s="43">
        <f t="shared" si="708"/>
        <v>0</v>
      </c>
      <c r="MW170" s="43">
        <f t="shared" si="709"/>
        <v>0</v>
      </c>
      <c r="MX170" s="43" t="str">
        <f t="shared" si="710"/>
        <v/>
      </c>
      <c r="MY170" s="43" t="str">
        <f t="shared" ca="1" si="686"/>
        <v/>
      </c>
      <c r="MZ170" s="43" t="str">
        <f t="shared" si="711"/>
        <v/>
      </c>
      <c r="NA170" s="43">
        <f t="shared" si="712"/>
        <v>0</v>
      </c>
      <c r="NB170" s="43" t="str">
        <f t="shared" si="713"/>
        <v/>
      </c>
      <c r="NC170" s="43" t="str">
        <f t="shared" si="714"/>
        <v/>
      </c>
      <c r="ND170" s="43">
        <f t="shared" ca="1" si="715"/>
        <v>1</v>
      </c>
      <c r="NE170" s="43">
        <f>IF(OR(O170&gt;0,R170&gt;0),SUM(COUNTIF(Tabla1[[#This Row],[AÑOS AL INICIO5 CPN]],"&gt;=40"),COUNTIF(AS170,"0"),COUNTIF(AR170,"SI"),COUNTIF(CC170,"SI"),COUNTIF(BQ170,"&gt;119"),COUNTIF(CI170,"&gt;=35")),"")</f>
        <v>1</v>
      </c>
      <c r="NF170" s="43">
        <f t="shared" si="716"/>
        <v>21.714285714285715</v>
      </c>
      <c r="NG170" s="43">
        <f t="shared" si="717"/>
        <v>0</v>
      </c>
      <c r="NH170" s="43">
        <f t="shared" si="718"/>
        <v>238</v>
      </c>
      <c r="NI17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CPN",P170="NO"),"Z",IF(AND(Tabla1[[#This Row],[CITA PROXIMO CONTROL]]="CITA MANUAL",Tabla1[[#This Row],[GESTANTES ACTUALES]]="ACTIVA INGRESO A CPN"),"W",IF(AND(Tabla1[[#This Row],[GESTANTES ACTUALES]]="SALIO PROGRAMA",IN170=""),"S",IF(AND(Tabla1[[#This Row],[CITA PROXIMO CONTROL]]&gt;0,IN170=""),(Tabla1[[#This Row],[CITA PROXIMO CONTROL]]-TODAY()),"SD"))))))))</f>
        <v>#REF!</v>
      </c>
      <c r="NJ170" s="43">
        <f>MONTH(Tabla1[[#This Row],[FECHA DE SALIDA  DEL PROGRAMA]])</f>
        <v>1</v>
      </c>
      <c r="NK170" s="43">
        <f>YEAR(Tabla1[[#This Row],[FECHA DE SALIDA  DEL PROGRAMA]])</f>
        <v>1900</v>
      </c>
      <c r="NL170" s="43" t="str">
        <f t="shared" si="719"/>
        <v>X</v>
      </c>
      <c r="NM170" s="43" t="str">
        <f t="shared" si="693"/>
        <v>NO</v>
      </c>
      <c r="NN170" s="43" t="str">
        <f ca="1">IF(AND(O170&gt;0,R170=""),"NO CPN",IF(AND(O170="",R170=""),"",IF(AND(R170&gt;0,Tabla1[[#This Row],[SEMANAS DE GESTACION ACTUALIZADAS]]&lt;=12),"NO APLICA",IF(AND(FH170&lt;&gt;"",FN170&lt;&gt;""),"SI","NO"))))</f>
        <v>NO</v>
      </c>
      <c r="NO170" s="43" t="str">
        <f ca="1">IF(AND(O170&gt;0,R170=""),"NO CPN",IF(AND(O170="",R170=""),"",IF(AND(R170&gt;0,Tabla1[[#This Row],[SEMANAS DE GESTACION ACTUALIZADAS]]&lt;=27),"NO APLICA",IF(AND(ES170&lt;&gt;"",FQ170&lt;&gt;"",GF170&lt;&gt;""),"SI","NO"))))</f>
        <v>NO</v>
      </c>
      <c r="NP170" s="204" t="str">
        <f t="shared" si="720"/>
        <v>II TRIM</v>
      </c>
      <c r="NQ170"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70" s="21" t="str">
        <f t="shared" ca="1" si="687"/>
        <v>REVISAR FUM O FECHA SALIDA PROGRAMA</v>
      </c>
      <c r="NS170" s="205">
        <f t="shared" ca="1" si="721"/>
        <v>1</v>
      </c>
      <c r="NT170" s="21">
        <f t="shared" ca="1" si="722"/>
        <v>1</v>
      </c>
      <c r="NU170" s="21" t="str">
        <f t="shared" ca="1" si="723"/>
        <v>POR DEFINIR</v>
      </c>
      <c r="NV170" s="21" t="str">
        <f t="shared" ca="1" si="724"/>
        <v>POR DEFINIR</v>
      </c>
      <c r="NW170" s="206" t="str">
        <f>IF(AND(O170="",R170=""),"",IF(OR(AND(Tabla1[[#This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0" s="207" t="str">
        <f t="shared" ca="1" si="725"/>
        <v>VACUNADA</v>
      </c>
      <c r="NY170" s="43">
        <f>ROW(Tabla1[[#This Row],['# DE TAMIZAJES SIFILIS TOMADOS ]])</f>
        <v>170</v>
      </c>
      <c r="NZ170" s="43">
        <f t="shared" si="501"/>
        <v>19</v>
      </c>
      <c r="OA170" s="43" t="str">
        <f t="shared" si="502"/>
        <v/>
      </c>
      <c r="OB170" s="43" t="str">
        <f t="shared" si="503"/>
        <v/>
      </c>
      <c r="OC170" s="43" t="str">
        <f t="shared" si="504"/>
        <v/>
      </c>
      <c r="OD170" s="43" t="str">
        <f t="shared" si="505"/>
        <v/>
      </c>
      <c r="OE170" s="43" t="str">
        <f t="shared" si="506"/>
        <v/>
      </c>
      <c r="OF170" s="43" t="str">
        <f t="shared" si="507"/>
        <v/>
      </c>
      <c r="OG170" s="43" t="str">
        <f t="shared" si="508"/>
        <v/>
      </c>
      <c r="OH170" s="43" t="str">
        <f t="shared" si="509"/>
        <v/>
      </c>
      <c r="OI170" s="43" t="str">
        <f t="shared" si="510"/>
        <v/>
      </c>
      <c r="OJ170" s="43" t="str">
        <f t="shared" si="511"/>
        <v/>
      </c>
      <c r="OK170" s="43" t="str">
        <f t="shared" si="512"/>
        <v>SOBREPESO</v>
      </c>
      <c r="OL170" s="43" t="str">
        <f t="shared" si="513"/>
        <v/>
      </c>
      <c r="OM170" s="43" t="str">
        <f t="shared" si="514"/>
        <v/>
      </c>
      <c r="ON170" s="43" t="str">
        <f t="shared" si="515"/>
        <v/>
      </c>
      <c r="OO170" s="43" t="str">
        <f t="shared" si="516"/>
        <v/>
      </c>
      <c r="OP170" s="43" t="str">
        <f t="shared" si="517"/>
        <v/>
      </c>
      <c r="OQ170" s="43" t="str">
        <f t="shared" si="518"/>
        <v/>
      </c>
      <c r="OR170" s="43" t="str">
        <f t="shared" si="519"/>
        <v/>
      </c>
      <c r="OS170" s="43" t="str">
        <f t="shared" si="520"/>
        <v/>
      </c>
      <c r="OT170" s="43" t="str">
        <f t="shared" si="521"/>
        <v/>
      </c>
      <c r="OU170" s="43" t="str">
        <f t="shared" si="522"/>
        <v/>
      </c>
      <c r="OV170" s="110" t="str">
        <f t="shared" si="523"/>
        <v/>
      </c>
      <c r="OW170" s="43" t="str">
        <f t="shared" si="524"/>
        <v/>
      </c>
      <c r="OX170" s="43" t="str">
        <f t="shared" si="525"/>
        <v/>
      </c>
      <c r="OY170" s="43" t="str">
        <f t="shared" si="526"/>
        <v/>
      </c>
      <c r="OZ170" s="43" t="str">
        <f t="shared" si="527"/>
        <v/>
      </c>
      <c r="PA170" s="43" t="str">
        <f t="shared" si="528"/>
        <v/>
      </c>
      <c r="PB170" s="43" t="str">
        <f t="shared" si="529"/>
        <v/>
      </c>
      <c r="PC170" s="43" t="str">
        <f t="shared" si="530"/>
        <v/>
      </c>
      <c r="PD170" s="43" t="str">
        <f t="shared" si="531"/>
        <v/>
      </c>
      <c r="PE170" s="43" t="str">
        <f t="shared" si="532"/>
        <v/>
      </c>
      <c r="PF170" s="43" t="str">
        <f t="shared" si="533"/>
        <v/>
      </c>
      <c r="PG170" s="43" t="str">
        <f t="shared" si="534"/>
        <v/>
      </c>
      <c r="PH170" s="43" t="str">
        <f t="shared" si="535"/>
        <v/>
      </c>
      <c r="PI170" s="43">
        <f t="shared" si="536"/>
        <v>34</v>
      </c>
      <c r="PJ170" s="43" t="str">
        <f t="shared" si="537"/>
        <v/>
      </c>
      <c r="PK170" s="43" t="str">
        <f t="shared" si="538"/>
        <v/>
      </c>
      <c r="PL170" s="43" t="str">
        <f t="shared" si="539"/>
        <v/>
      </c>
      <c r="PM170" s="43" t="str">
        <f t="shared" si="540"/>
        <v/>
      </c>
      <c r="PN170" s="43" t="str">
        <f t="shared" si="541"/>
        <v/>
      </c>
      <c r="PO170" s="43" t="str">
        <f t="shared" si="542"/>
        <v/>
      </c>
      <c r="PP170" s="43" t="str">
        <f t="shared" si="543"/>
        <v/>
      </c>
      <c r="PQ170" s="43" t="str">
        <f t="shared" si="544"/>
        <v/>
      </c>
      <c r="PR170" s="43" t="str">
        <f t="shared" si="545"/>
        <v/>
      </c>
      <c r="PS170" s="43" t="str">
        <f t="shared" si="546"/>
        <v/>
      </c>
      <c r="PT170" s="43" t="str">
        <f t="shared" si="547"/>
        <v/>
      </c>
      <c r="PU170" s="43" t="str">
        <f t="shared" si="548"/>
        <v/>
      </c>
      <c r="PV170" s="43" t="str">
        <f t="shared" si="549"/>
        <v/>
      </c>
      <c r="PW170" s="43" t="str">
        <f t="shared" si="550"/>
        <v/>
      </c>
      <c r="PX170" s="43" t="str">
        <f t="shared" si="551"/>
        <v/>
      </c>
      <c r="PY170" s="43" t="str">
        <f t="shared" si="552"/>
        <v/>
      </c>
      <c r="PZ170" s="43" t="str">
        <f t="shared" si="553"/>
        <v/>
      </c>
      <c r="QA170" s="43" t="str">
        <f t="shared" si="554"/>
        <v/>
      </c>
      <c r="QB170" s="43" t="str">
        <f t="shared" si="555"/>
        <v/>
      </c>
      <c r="QC170" s="43" t="str">
        <f t="shared" si="556"/>
        <v/>
      </c>
      <c r="QD170" s="43" t="str">
        <f t="shared" si="557"/>
        <v/>
      </c>
      <c r="QE170" s="43" t="str">
        <f t="shared" si="558"/>
        <v/>
      </c>
      <c r="QF170" s="43" t="str">
        <f t="shared" si="559"/>
        <v/>
      </c>
      <c r="QG170" s="43" t="str">
        <f t="shared" si="560"/>
        <v/>
      </c>
      <c r="QH170" s="43" t="str">
        <f t="shared" si="561"/>
        <v/>
      </c>
      <c r="QI170" s="43" t="str">
        <f t="shared" si="562"/>
        <v>SOBREPESO</v>
      </c>
      <c r="QJ170" s="43" t="str">
        <f t="shared" si="563"/>
        <v/>
      </c>
      <c r="QK170" s="43" t="str">
        <f t="shared" si="564"/>
        <v/>
      </c>
      <c r="QL170" s="43" t="str">
        <f t="shared" si="565"/>
        <v/>
      </c>
      <c r="QM170" s="43" t="str">
        <f t="shared" si="566"/>
        <v/>
      </c>
      <c r="QN170" s="43" t="str">
        <f t="shared" si="567"/>
        <v/>
      </c>
      <c r="QO170" s="43" t="str">
        <f t="shared" si="568"/>
        <v/>
      </c>
      <c r="QP170" s="43" t="str">
        <f t="shared" si="569"/>
        <v/>
      </c>
      <c r="QQ170" s="43" t="str">
        <f t="shared" si="570"/>
        <v/>
      </c>
      <c r="QR170" s="43">
        <f t="shared" si="670"/>
        <v>34</v>
      </c>
      <c r="QS170" s="43"/>
      <c r="QT170" s="21" t="str">
        <f t="shared" si="571"/>
        <v/>
      </c>
      <c r="QU170" s="21" t="str">
        <f t="shared" si="572"/>
        <v/>
      </c>
      <c r="QV170" s="21" t="str">
        <f t="shared" si="573"/>
        <v/>
      </c>
      <c r="QW170" s="21" t="str">
        <f t="shared" si="574"/>
        <v/>
      </c>
      <c r="QX170" s="21" t="str">
        <f t="shared" si="575"/>
        <v/>
      </c>
      <c r="QY170" s="21" t="str">
        <f t="shared" si="576"/>
        <v/>
      </c>
      <c r="QZ170" s="21" t="str">
        <f t="shared" si="577"/>
        <v/>
      </c>
      <c r="RA170" s="21" t="str">
        <f t="shared" si="578"/>
        <v/>
      </c>
      <c r="RB170" s="21" t="str">
        <f t="shared" si="579"/>
        <v/>
      </c>
      <c r="RC170" s="21" t="str">
        <f t="shared" si="580"/>
        <v/>
      </c>
      <c r="RD170" s="21" t="str">
        <f t="shared" si="581"/>
        <v/>
      </c>
      <c r="RE170" s="21" t="str">
        <f t="shared" si="582"/>
        <v/>
      </c>
      <c r="RF170" s="21" t="str">
        <f t="shared" si="583"/>
        <v/>
      </c>
      <c r="RG170" s="21" t="str">
        <f t="shared" si="584"/>
        <v/>
      </c>
      <c r="RH170" s="21" t="str">
        <f t="shared" si="585"/>
        <v/>
      </c>
      <c r="RI170" s="21" t="str">
        <f t="shared" si="586"/>
        <v/>
      </c>
      <c r="RJ170" s="21" t="str">
        <f t="shared" si="587"/>
        <v/>
      </c>
      <c r="RK170" s="21" t="str">
        <f t="shared" si="588"/>
        <v/>
      </c>
      <c r="RL170" s="21" t="str">
        <f t="shared" si="589"/>
        <v/>
      </c>
      <c r="RM170" s="21" t="str">
        <f t="shared" si="590"/>
        <v/>
      </c>
      <c r="RN170" s="21" t="str">
        <f t="shared" si="591"/>
        <v/>
      </c>
      <c r="RO170" s="21" t="str">
        <f t="shared" si="592"/>
        <v>ADECUADO PARA EDAD GESTACIONAL</v>
      </c>
      <c r="RP170" s="21" t="str">
        <f t="shared" si="593"/>
        <v/>
      </c>
      <c r="RQ170" s="21" t="str">
        <f t="shared" si="594"/>
        <v/>
      </c>
      <c r="RR170" s="21" t="str">
        <f t="shared" si="595"/>
        <v/>
      </c>
      <c r="RS170" s="21" t="str">
        <f t="shared" si="596"/>
        <v/>
      </c>
      <c r="RT170" s="21" t="str">
        <f t="shared" si="597"/>
        <v/>
      </c>
      <c r="RU170" s="21" t="str">
        <f t="shared" si="598"/>
        <v/>
      </c>
      <c r="RV170" s="21">
        <f t="shared" si="599"/>
        <v>19.857142857142858</v>
      </c>
      <c r="RW170" s="284">
        <f>IF(OR(Tabla1[[#This Row],[FUM FORMULA CONFIABLE]]="",Tabla1[[#This Row],[FUM FORMULA CONFIABLE]]="SD"),"",IF(Tabla1[[#This Row],[FUM FORMULA CONFIABLE]]="CORREGIDA",Tabla1[[#This Row],[FUM X ECO 1]],Tabla1[[#This Row],[FUM x AMENORREA]]))</f>
        <v>44911</v>
      </c>
      <c r="RX170" s="21">
        <f>IF(AND(Tabla1[[#This Row],[FUM X ECO 1]]="",Tabla1[[#This Row],[FUM x AMENORREA]]=""),"",IF(AND(Tabla1[[#This Row],[FUM X ECO 1]]="",Tabla1[[#This Row],[FUM x AMENORREA]]&lt;&gt;""),"X",SUM(Tabla1[[#This Row],[FUM X ECO 1]]-Tabla1[[#This Row],[FUM x AMENORREA]])))</f>
        <v>0</v>
      </c>
      <c r="RY170" s="21">
        <f t="shared" si="671"/>
        <v>0</v>
      </c>
    </row>
    <row r="171" spans="1:493" ht="45" customHeight="1" x14ac:dyDescent="0.25">
      <c r="A171" s="109"/>
      <c r="B171" s="43"/>
      <c r="C171" s="43" t="s">
        <v>845</v>
      </c>
      <c r="D171" s="124"/>
      <c r="E171" s="43" t="s">
        <v>914</v>
      </c>
      <c r="F171" s="43" t="s">
        <v>1276</v>
      </c>
      <c r="G171" s="43" t="s">
        <v>938</v>
      </c>
      <c r="H171" s="43" t="s">
        <v>1484</v>
      </c>
      <c r="I171" s="109" t="s">
        <v>851</v>
      </c>
      <c r="J171" s="110">
        <v>1002846249</v>
      </c>
      <c r="K171" s="43" t="s">
        <v>852</v>
      </c>
      <c r="L171" s="175" t="s">
        <v>1509</v>
      </c>
      <c r="M171" s="22">
        <v>31760</v>
      </c>
      <c r="N171" s="213">
        <f t="shared" ca="1" si="600"/>
        <v>36.912328767123284</v>
      </c>
      <c r="O171" s="22">
        <v>45056</v>
      </c>
      <c r="P171" s="214" t="str">
        <f t="shared" si="673"/>
        <v>SI</v>
      </c>
      <c r="Q171" s="26" t="s">
        <v>855</v>
      </c>
      <c r="R171" s="22">
        <v>45056</v>
      </c>
      <c r="S171" s="21" t="s">
        <v>856</v>
      </c>
      <c r="T171" s="24" t="s">
        <v>690</v>
      </c>
      <c r="U171" s="21" t="s">
        <v>857</v>
      </c>
      <c r="V171" s="21" t="s">
        <v>858</v>
      </c>
      <c r="W171" s="21" t="s">
        <v>893</v>
      </c>
      <c r="X171" s="21"/>
      <c r="Y171" s="21" t="s">
        <v>859</v>
      </c>
      <c r="Z171" s="21" t="s">
        <v>894</v>
      </c>
      <c r="AA171" s="21" t="s">
        <v>860</v>
      </c>
      <c r="AB171" s="27" t="s">
        <v>861</v>
      </c>
      <c r="AC171" s="26" t="s">
        <v>846</v>
      </c>
      <c r="AD171" s="38" t="s">
        <v>1546</v>
      </c>
      <c r="AE171" s="26" t="s">
        <v>854</v>
      </c>
      <c r="AF171" s="26" t="s">
        <v>854</v>
      </c>
      <c r="AG171" s="23" t="s">
        <v>864</v>
      </c>
      <c r="AH171" s="23" t="s">
        <v>864</v>
      </c>
      <c r="AI171" s="24" t="s">
        <v>863</v>
      </c>
      <c r="AJ171" s="23" t="s">
        <v>864</v>
      </c>
      <c r="AK171" s="220" t="str">
        <f>IF(AND(AD171="",AE171="",AF171="",AG171="",AH171="",AI171="",AJ171=""),"",IF(OR(Tabla1[[#This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EVALUACIÓN",IF(AND(O171="",R171=""),"",IF(AND(OR(O171&gt;0,R171&gt;0),NG171&gt;=0,NG171&lt;2),"SIN RIESGO",IF(AND(OR(O171&gt;0,R171&gt;0),NG171&gt;=2),"CON RIESGO","ASD")))))</f>
        <v>SIN RIESGO</v>
      </c>
      <c r="AL171" s="23" t="s">
        <v>864</v>
      </c>
      <c r="AM171" s="26" t="s">
        <v>864</v>
      </c>
      <c r="AN171" s="26" t="s">
        <v>864</v>
      </c>
      <c r="AO171" s="26" t="s">
        <v>864</v>
      </c>
      <c r="AP171" s="26" t="s">
        <v>864</v>
      </c>
      <c r="AQ171" s="26" t="s">
        <v>864</v>
      </c>
      <c r="AR171" s="26" t="s">
        <v>864</v>
      </c>
      <c r="AS171" s="21">
        <v>3</v>
      </c>
      <c r="AT171" s="21">
        <v>3</v>
      </c>
      <c r="AU171" s="21">
        <v>0</v>
      </c>
      <c r="AV171" s="26" t="s">
        <v>864</v>
      </c>
      <c r="AW171" s="21">
        <v>0</v>
      </c>
      <c r="AX171" s="26" t="s">
        <v>864</v>
      </c>
      <c r="AY171" s="26" t="s">
        <v>864</v>
      </c>
      <c r="AZ171" s="26" t="s">
        <v>864</v>
      </c>
      <c r="BA171" s="26" t="s">
        <v>864</v>
      </c>
      <c r="BB171" s="26" t="s">
        <v>864</v>
      </c>
      <c r="BC171" s="26" t="s">
        <v>864</v>
      </c>
      <c r="BD171" s="26" t="s">
        <v>864</v>
      </c>
      <c r="BE171" s="26" t="s">
        <v>864</v>
      </c>
      <c r="BF171" s="26" t="s">
        <v>864</v>
      </c>
      <c r="BG171" s="26" t="s">
        <v>864</v>
      </c>
      <c r="BH171" s="26" t="s">
        <v>864</v>
      </c>
      <c r="BI171" s="26" t="s">
        <v>864</v>
      </c>
      <c r="BJ171" s="26" t="s">
        <v>864</v>
      </c>
      <c r="BK171" s="26" t="s">
        <v>864</v>
      </c>
      <c r="BL171" s="26" t="s">
        <v>864</v>
      </c>
      <c r="BM171" s="26" t="s">
        <v>864</v>
      </c>
      <c r="BN171" s="22">
        <v>44508</v>
      </c>
      <c r="BO171" s="22">
        <v>44916</v>
      </c>
      <c r="BP171" s="21" t="s">
        <v>854</v>
      </c>
      <c r="BQ171" s="222">
        <f t="shared" si="601"/>
        <v>13.6</v>
      </c>
      <c r="BR171" s="223">
        <f t="shared" si="602"/>
        <v>44915.9</v>
      </c>
      <c r="BS171" s="224">
        <f t="shared" si="603"/>
        <v>20</v>
      </c>
      <c r="BT171" s="216" t="str">
        <f t="shared" si="604"/>
        <v>II TRIM</v>
      </c>
      <c r="BU171" s="214" t="str">
        <f t="shared" ca="1" si="605"/>
        <v/>
      </c>
      <c r="BV171" s="25" t="s">
        <v>988</v>
      </c>
      <c r="BW171" s="22">
        <v>45121</v>
      </c>
      <c r="BX171" s="28">
        <v>29.3</v>
      </c>
      <c r="BY171" s="28"/>
      <c r="BZ171" s="22"/>
      <c r="CA171" s="21"/>
      <c r="CB171" s="26" t="s">
        <v>864</v>
      </c>
      <c r="CC171" s="26" t="s">
        <v>864</v>
      </c>
      <c r="CD171" s="26"/>
      <c r="CE171" s="26" t="s">
        <v>864</v>
      </c>
      <c r="CF171" s="22" t="s">
        <v>1517</v>
      </c>
      <c r="CG171" s="21">
        <v>1.49</v>
      </c>
      <c r="CH171" s="21">
        <v>58.5</v>
      </c>
      <c r="CI171" s="214">
        <f t="shared" si="606"/>
        <v>26.350164407008695</v>
      </c>
      <c r="CJ171" s="225" t="e">
        <f>IF(AND(CI171&lt;10,CH171="SD"),"SIN DATO PESO PREGESTACION O I TRIM",IF(AND(OR(R171&gt;0,O171&gt;0),CI171="X"),"INGRESAR DATO DE PESO",IF(CI171="SD","INGRESAR DATO DE TALLA Y PESO",IF(AND(OR(Tabla1[[#This Row],[MOMENTO EN QUE SE REALIZA EL PESO AL INGRESO A CPN]]="PREGESTACIÓN",NZ171="Menor"),CI171&lt;18.5),"BAJO PESO",IF(AND(OR(Tabla1[[#This Row],[MOMENTO EN QUE SE REALIZA EL PESO AL INGRESO A CPN]]="PREGESTACIÓN",NZ171="Menor"),CI171&lt;25),"NORMAL",IF(AND(OR(Tabla1[[#This Row],[MOMENTO EN QUE SE REALIZA EL PESO AL INGRESO A CPN]]="PREGESTACIÓN",NZ171="Menor"),CI171&lt;30),"SOBREPESO",IF(AND(OR(Tabla1[[#This Row],[MOMENTO EN QUE SE REALIZA EL PESO AL INGRESO A CPN]]="PREGESTACIÓN",NZ171="Menor"),CI171&gt;=30,CI171&lt;50),"OBESIDAD",IF(AND(BS171&gt;0,Tabla1[[#This Row],[MOMENTO EN QUE SE REALIZA EL PESO AL INGRESO A CPN]]="GESTACIÓN"),HLOOKUP(NZ171,$OA$2:PH171,NY171),""))))))))</f>
        <v>#REF!</v>
      </c>
      <c r="CK171" s="212">
        <f t="shared" si="607"/>
        <v>45149</v>
      </c>
      <c r="CL171" s="21">
        <v>62</v>
      </c>
      <c r="CM171" s="214">
        <f t="shared" si="608"/>
        <v>27.92666996982118</v>
      </c>
      <c r="CN171" s="216">
        <f t="shared" si="609"/>
        <v>33</v>
      </c>
      <c r="CO171" s="216" t="e">
        <f>IF(PI171="","",IF(PI171&gt;0,HLOOKUP(PI171,$PJ$2:QQ171,NY171),""))</f>
        <v>#REF!</v>
      </c>
      <c r="CP171" s="21">
        <v>33</v>
      </c>
      <c r="CQ171" s="216" t="e">
        <f>IF(QR171="Menor","NO APLICA-MENOR 13 SEM",IF(AND(CC171="SI",CN171&gt;23),"NO APLICA- GEMELAR",IF(QR171="","",IF(QR171&gt;0,HLOOKUP(QR171,$QS$2:RU171,NY171),""))))</f>
        <v>#REF!</v>
      </c>
      <c r="CR171" s="21"/>
      <c r="CS171" s="21"/>
      <c r="CT171" s="217" t="str">
        <f>IF(R171="","",IF(AND(BS171&gt;1,BS171&lt;12,Tabla1[[#This Row],[T.A. SISTOLICA - ANTES DE SEMANA 12]]="",Tabla1[[#This Row],[T.A. DIASTOLICA - ANTES DE SEMANA 12]]=""),"REGISTRE DATO TA ANTES SEMANA 12",IF(AND(BS171&gt;11,BS171&lt;43,Tabla1[[#This Row],[T.A. SISTOLICA - ANTES DE SEMANA 12]]="",Tabla1[[#This Row],[T.A. DIASTOLICA - ANTES DE SEMANA 12]]=""),"NO APLICA REGISTRO TA-INGRESO TARDIO",IF(AND(OR(O171&gt;0,R171&gt;0),OR(CR171&gt;=140,CS171&gt;=90)),"DEFINIR ESTADIO HTA",IF(AND(OR(O171&gt;0,R171&gt;0),AND(CR171&gt;120,CR171&lt;=139)),"PRE HTA SEGUIMIENTO",IF(AND(OR(O171&gt;0,R171&gt;0),AND(CS171&gt;80,CS171&lt;=89)),"PRE HTA SEGUIMIENTO",IF(AND(OR(O171&gt;0,R171&gt;0),AND(CR171&gt;=80,CR171&lt;=120)),"APARENTEMENTE NORMAL",IF(AND(OR(O171&gt;0,R171&gt;0),AND(CS171&gt;=50,CS171&lt;=80)),"APARENTEMENTE NORMAL",IF(AND(OR(O171&gt;0,R171&gt;0),AND(CR171&gt;1,CR171&lt;=70),AND(CS171&gt;1,CS171&lt;=40)),"HIPOTENSIÓN","")))))))))</f>
        <v>NO APLICA REGISTRO TA-INGRESO TARDIO</v>
      </c>
      <c r="CU171" s="21">
        <v>100</v>
      </c>
      <c r="CV171" s="21">
        <v>60</v>
      </c>
      <c r="CW171" s="217" t="str">
        <f ca="1">IF(R171="","",IF(AND(CN171&gt;19,CN171&lt;27,Tabla1[[#This Row],[T.A. SISTOLICA (Entre semana 20 y 26)]]="",Tabla1[[#This Row],[T.A. DIATOLICA (Entre semana 20 y 26)]]=""),"ACUDE A CONTROL SEM 20 A 26 REGISTRE TA AHORA",IF(AND(BS171&gt;1,BS171&lt;27,BU171&gt;19,Tabla1[[#This Row],[T.A. SISTOLICA (Entre semana 20 y 26)]]="",Tabla1[[#This Row],[T.A. DIATOLICA (Entre semana 20 y 26)]]=""),"COMPLETE REGISTRO TA CONTROL SEM 20 A26 ",IF(AND(BS171&gt;26,BS171&lt;43,Tabla1[[#This Row],[T.A. SISTOLICA (Entre semana 20 y 26)]]="",Tabla1[[#This Row],[T.A. DIATOLICA (Entre semana 20 y 26)]]=""),"NO APLICA REGISTRO TA-INGRESO TARDIO",IF(AND(OR(O171&gt;0,R171&gt;0),OR(CU171&gt;=140,CV171&gt;=90)),"ALTO RIESGO PREECLAMPSIA,DEFINIR ESTADIO HTA",IF(AND(OR(O171&gt;0,R171&gt;0),AND(CU171&gt;120,CU171&lt;=139)),"PRE HTA SEGUIMIENTO,RIESGO HIPERTENSION INDUCIDA POR EL EMBARAZO",IF(AND(OR(O171&gt;0,R171&gt;0),AND(CV171&gt;80,CV171&lt;=89)),"PRE HTA SEGUIMIENTO, RIESGO HIPERTENSION INDUCIDA POR EL EMBARAZO",IF(AND(OR(O171&lt;&gt;"",R171&lt;&gt;""),CS171&lt;&gt;"",CV171&lt;&gt;"",CS171&lt;=CV171),"VIGILAR CIFRAS PRESION ARTERIAL",IF(AND(OR(O171&gt;0,R171&gt;0),AND(CU171&gt;120,CU171&lt;=139)),"PRE HTA SEGUIMIENTO",IF(AND(OR(O171&gt;0,R171&gt;0),AND(CU171&gt;1,CU171&lt;=70),AND(CV171&gt;1,CV171&lt;=40)),"HIPOTENSIÓN",IF(AND(OR(O171&lt;&gt;"",R171&lt;&gt;""),CS171&lt;&gt;"",CV171&lt;&gt;"",CS171&gt;CV171),"APARENTEMENTE NORMAL",IF(AND(OR(O171&gt;0,R171&gt;0),AND(CU171&gt;=80,CU171&lt;=120)),"APARENTEMENTE NORMAL",IF(AND(OR(O171&gt;0,R171&gt;0),AND(CV171&gt;=50,CV171&lt;=80)),"APARENTEMENTE NORMAL","")))))))))))))</f>
        <v>APARENTEMENTE NORMAL</v>
      </c>
      <c r="CX171" s="21">
        <v>100</v>
      </c>
      <c r="CY171" s="21">
        <v>60</v>
      </c>
      <c r="CZ171" s="216" t="str">
        <f t="shared" ref="CZ171:CZ198" si="727">IF(R171="","",IF(AND(CN171&gt;31,CN171&lt;35,CX171="",CY171=""),"ACUDE A CONTROL SEM 30 A 34- REGISTRE AHORA",IF(AND(BS171&gt;34,BS171&lt;43,CX172="",CY172=""),"NO APLICA-INGRESO TARDIO",IF(AND(OR(O171&gt;0,R171&gt;0),OR(CX171&gt;=140,CY171&gt;=90)),"ESTUDIO INMEDIATO HTA PARA DESCARTAR PREECLAMSIA",IF(AND(OR(O171&gt;0,R171&gt;0),AND(CX171&gt;=130,CX171&lt;=139)),"PRE HTA,RIESGO ALTO PREECLAMPSIA",IF(AND(OR(O171&gt;0,R171&gt;0),AND(CY171&gt;80,CY171&lt;=89)),"PRE HTA,RIESGO ALTO PREECLAMPSIA",IF(AND(OR(O171&gt;0,R171&gt;0),AND(CX171&gt;120,CX171&lt;=129)),"RANGO PREHIPERTENSIVO SEGUIMIENTO HTA",IF(AND(OR(O171&lt;&gt;"",R171&lt;&gt;""),CS171&lt;&gt;"",CY171&lt;&gt;"",CS171&lt;CY171),"VIGILAR CIFRAS PRESION ARTERIAL",IF(AND(OR(O171&lt;&gt;"",R171&lt;&gt;""),CS171&lt;&gt;"",CY171&lt;&gt;"",CS171=CY171),"APARENTEMENTE NORMAL",IF(AND(OR(O171&gt;0,R171&gt;0),CX171&gt;=80,CX171&lt;=120),"APARENTEMENTE NORMAL",IF(AND(OR(O171&gt;0,R171&gt;0),CY171&gt;=50,CY171&lt;=80),"APARENTEMENTE NORMAL","")))))))))))</f>
        <v>APARENTEMENTE NORMAL</v>
      </c>
      <c r="DA171" s="21">
        <v>100</v>
      </c>
      <c r="DB171" s="21">
        <v>60</v>
      </c>
      <c r="DC171" s="217" t="str">
        <f t="shared" si="610"/>
        <v>APARENTEMENTE NORMAL</v>
      </c>
      <c r="DD171" s="22">
        <v>45056</v>
      </c>
      <c r="DE171" s="22">
        <v>45056</v>
      </c>
      <c r="DF171" s="22">
        <v>45121</v>
      </c>
      <c r="DG171" s="22">
        <v>45149</v>
      </c>
      <c r="DH171" s="22"/>
      <c r="DI171" s="22"/>
      <c r="DJ171" s="22"/>
      <c r="DK171" s="22"/>
      <c r="DL171" s="22"/>
      <c r="DM171" s="22"/>
      <c r="DN171" s="22"/>
      <c r="DO171" s="22"/>
      <c r="DP171" s="22"/>
      <c r="DQ171" s="22"/>
      <c r="DR171" s="28">
        <v>0</v>
      </c>
      <c r="DS171" s="22"/>
      <c r="DT171" s="22"/>
      <c r="DU171" s="216" t="str">
        <f t="shared" ca="1" si="674"/>
        <v>CONCERTAR PLAN DE PARTO INMEDIATO</v>
      </c>
      <c r="DV171" s="226" t="str">
        <f t="shared" si="675"/>
        <v>ACTIVA INGRESO A CPN</v>
      </c>
      <c r="DW17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1" s="216" t="e">
        <f t="shared" ca="1" si="611"/>
        <v>#REF!</v>
      </c>
      <c r="DY171" s="212">
        <f>IF(R171="","",IF(R171&gt;0,MAX(Tabla1[[#This Row],[FECHA C2]:[FECHA C13]],Tabla1[[#This Row],[FECHA CONSULTA PRIMERA VEZ PROGRAMA CPN ]])))</f>
        <v>45149</v>
      </c>
      <c r="DZ171" s="216">
        <f t="shared" si="612"/>
        <v>33</v>
      </c>
      <c r="EA171" s="222">
        <f>IF(R171&gt;0,SUM(COUNTA(DF171:DQ171)+COUNTA(Tabla1[[#This Row],[FECHA CONSULTA PRIMERA VEZ PROGRAMA CPN ]])),"")</f>
        <v>3</v>
      </c>
      <c r="EB171" s="222" t="str">
        <f t="shared" si="613"/>
        <v>NO</v>
      </c>
      <c r="EC171" s="214">
        <f t="shared" si="614"/>
        <v>7</v>
      </c>
      <c r="ED171" s="227">
        <f t="shared" si="615"/>
        <v>0.42857142857142855</v>
      </c>
      <c r="EE171" s="22">
        <v>45056</v>
      </c>
      <c r="EF171" s="22">
        <v>45121</v>
      </c>
      <c r="EG171" s="22">
        <v>45056</v>
      </c>
      <c r="EH171" s="22"/>
      <c r="EI171" s="22">
        <v>45056</v>
      </c>
      <c r="EJ171" s="22"/>
      <c r="EK171" s="22"/>
      <c r="EL171" s="21"/>
      <c r="EM171" s="21">
        <v>12.1</v>
      </c>
      <c r="EN171" s="22">
        <v>45056</v>
      </c>
      <c r="EO171" s="222">
        <f t="shared" si="616"/>
        <v>20</v>
      </c>
      <c r="EP171" s="214" t="str">
        <f t="shared" si="617"/>
        <v>NORMAL- SUMINISTRAR SULFATO FERROSO</v>
      </c>
      <c r="EQ171" s="216" t="str">
        <f t="shared" si="618"/>
        <v>II TRIM</v>
      </c>
      <c r="ER171" s="24"/>
      <c r="ES171" s="22"/>
      <c r="ET171" s="29" t="str">
        <f t="shared" ca="1" si="676"/>
        <v>TOMA DE HEMOGLOBINA TARDÍA</v>
      </c>
      <c r="EU171" s="25" t="str">
        <f t="shared" si="619"/>
        <v/>
      </c>
      <c r="EV171" s="24" t="s">
        <v>1510</v>
      </c>
      <c r="EW171" s="32">
        <v>45056</v>
      </c>
      <c r="EX171" s="22"/>
      <c r="EY171" s="29">
        <f t="shared" si="691"/>
        <v>20</v>
      </c>
      <c r="EZ171" s="25" t="str">
        <f t="shared" si="692"/>
        <v>SIN RIESGO DE ISOINMUNIZACIÓN</v>
      </c>
      <c r="FA171" s="21">
        <v>63</v>
      </c>
      <c r="FB171" s="22">
        <v>45056</v>
      </c>
      <c r="FC171" s="29">
        <f t="shared" si="620"/>
        <v>20</v>
      </c>
      <c r="FD171" s="29"/>
      <c r="FE171" s="29"/>
      <c r="FF171" s="29"/>
      <c r="FG171" s="21" t="str">
        <f t="shared" ca="1" si="621"/>
        <v/>
      </c>
      <c r="FH171" s="31"/>
      <c r="FI171" s="29" t="str">
        <f t="shared" si="622"/>
        <v>TOMAR EXAMEN</v>
      </c>
      <c r="FJ171" s="22"/>
      <c r="FK171" s="32"/>
      <c r="FL171" s="29" t="str">
        <f t="shared" ca="1" si="623"/>
        <v>NO APLICA-INGRESO TARDIO</v>
      </c>
      <c r="FM171" s="22" t="s">
        <v>867</v>
      </c>
      <c r="FN171" s="32">
        <v>45056</v>
      </c>
      <c r="FO171" s="29">
        <f t="shared" ca="1" si="677"/>
        <v>20</v>
      </c>
      <c r="FP171" s="22"/>
      <c r="FQ171" s="32"/>
      <c r="FR171" s="29" t="str">
        <f t="shared" ca="1" si="678"/>
        <v>TOMA INMEDIATA DE TAMIZAJE</v>
      </c>
      <c r="FS171" s="22"/>
      <c r="FT171" s="32"/>
      <c r="FU171" s="29" t="str">
        <f>IF(AND(FJ171="",FM171="",FP171="",FS171=""),"",IF(OR(OR(Tabla1[[#This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1" s="28"/>
      <c r="FW171" s="22"/>
      <c r="FX171" s="29" t="str">
        <f t="shared" si="624"/>
        <v>TOMAR EXAMEN</v>
      </c>
      <c r="FY171" s="22"/>
      <c r="FZ171" s="22"/>
      <c r="GA171" s="29" t="str">
        <f t="shared" ca="1" si="690"/>
        <v>NO APLICA-INGRESO TARDIO</v>
      </c>
      <c r="GB171" s="22" t="s">
        <v>868</v>
      </c>
      <c r="GC171" s="22">
        <v>45056</v>
      </c>
      <c r="GD171" s="29">
        <f t="shared" ca="1" si="679"/>
        <v>20</v>
      </c>
      <c r="GE171" s="22"/>
      <c r="GF171" s="22"/>
      <c r="GG171" s="29" t="str">
        <f t="shared" ca="1" si="680"/>
        <v>TOMA INMEDIATA DE TAMIZAJE</v>
      </c>
      <c r="GH171" s="22"/>
      <c r="GI171" s="29"/>
      <c r="GJ171" s="22"/>
      <c r="GK171" s="22"/>
      <c r="GL171" s="22"/>
      <c r="GM171" s="22"/>
      <c r="GN171" s="28" t="s">
        <v>869</v>
      </c>
      <c r="GO171" s="22">
        <v>45056</v>
      </c>
      <c r="GP171" s="29">
        <f t="shared" si="625"/>
        <v>20</v>
      </c>
      <c r="GQ171" s="28" t="s">
        <v>869</v>
      </c>
      <c r="GR171" s="28" t="s">
        <v>869</v>
      </c>
      <c r="GS171" s="22" t="str">
        <f t="shared" si="726"/>
        <v>CONTROL Igm</v>
      </c>
      <c r="GT171" s="22">
        <v>45056</v>
      </c>
      <c r="GU171" s="29">
        <f t="shared" si="627"/>
        <v>20</v>
      </c>
      <c r="GV171" s="21" t="str">
        <f t="shared" si="628"/>
        <v>II TRIM</v>
      </c>
      <c r="GW171" s="28" t="s">
        <v>869</v>
      </c>
      <c r="GX171" s="30"/>
      <c r="GY171" s="21"/>
      <c r="GZ171" s="21"/>
      <c r="HA171" s="21"/>
      <c r="HB171" s="21"/>
      <c r="HC171" s="21"/>
      <c r="HD171" s="21"/>
      <c r="HE171" s="21"/>
      <c r="HF171" s="22"/>
      <c r="HG171" s="22" t="str">
        <f>IF(OR(O171&gt;0,R171&gt;0),CONCATENATE(IF(Tabla1[[#This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1" s="22" t="e">
        <f t="shared" si="629"/>
        <v>#REF!</v>
      </c>
      <c r="HI171" s="22" t="e">
        <f t="shared" ca="1" si="630"/>
        <v>#REF!</v>
      </c>
      <c r="HJ171" s="21"/>
      <c r="HK171" s="21" t="str">
        <f t="shared" si="631"/>
        <v>SIN ANTECEDENTES DE RIESGO</v>
      </c>
      <c r="HL171" s="24" t="str">
        <f t="shared" si="632"/>
        <v>APARENTEMENTE NORMAL</v>
      </c>
      <c r="HM171" s="21" t="e">
        <f t="shared" ca="1" si="633"/>
        <v>#REF!</v>
      </c>
      <c r="HN171" s="30" t="str">
        <f t="shared" si="681"/>
        <v>ACTIVA INGRESO A CPN</v>
      </c>
      <c r="HO171" s="21"/>
      <c r="HP171" s="21"/>
      <c r="HQ171" s="349">
        <v>45056</v>
      </c>
      <c r="HR171" s="21" t="str">
        <f>IF(R171="","",IF(Tabla1[[#This Row],[ALARMA FACTORES DE RIESGO COMPLICACIONES HIPERTENSIVAS3]]="SIN ANTECEDENTES DE RIESGO","No Aplica para suministro de ASA",IF(AND(Tabla1[[#This Row],[FECHA INICIO DE SUMINISTRO DE ASA]]&gt;0,RV171&lt;12),"Inicia ASA ANTES de Sem 12",IF(AND(RV171&gt;11,RV171&lt;17,OR(HK171="RIESGO ALTO DE COMPLICACIONES HIPERTENSIVAS VER MANEJO GUIA SUMINISTRO ASA Y CALCIO",HK171="RIESGO MODERADO (2 O MAS CRITERIOS) VER MANEJO GUIA SUMINISTRO ASA Y CALCIO")),"Inicio oportuno de ASA",IF(AND(RV171&gt;12,OR(HK171="RIESGO ALTO DE COMPLICACIONES HIPERTENSIVAS VER MANEJO GUIA SUMINISTRO ASA Y CALCIO",HK171="RIESGO MODERADO (2 O MAS CRITERIOS) VER MANEJO GUIA SUMINISTRO ASA Y CALCIO")),"Inicio no oportuno mayor a 16 semanas",IF(AND(BU171&lt;12,OR(HK171="RIESGO ALTO DE COMPLICACIONES HIPERTENSIVAS VER MANEJO GUIA SUMINISTRO ASA Y CALCIO",HK171="RIESGO MODERADO (2 O MAS CRITERIOS) VER MANEJO GUIA SUMINISTRO ASA Y CALCIO")),"Pendiente Inicio de ASA a la semana 12",IF(AND(BU171&gt;11,BU171&lt;17,OR(HK171="RIESGO ALTO DE COMPLICACIONES HIPERTENSIVAS VER MANEJO GUIA SUMINISTRO ASA Y CALCIO",HK171="RIESGO MODERADO (2 O MAS CRITERIOS) VER MANEJO GUIA SUMINISTRO ASA Y CALCIO")),"Iniciar de inmediato ASA",IF(AND(BU171&gt;16,OR(HK171="RIESGO ALTO DE COMPLICACIONES HIPERTENSIVAS VER MANEJO GUIA SUMINISTRO ASA Y CALCIO",HK171="RIESGO MODERADO (2 O MAS CRITERIOS) VER MANEJO GUIA SUMINISTRO ASA Y CALCIO")),"Pierde Oportunidad, Inicio tardío de ASA","XXXXX"))))))))</f>
        <v>No Aplica para suministro de ASA</v>
      </c>
      <c r="HS171" s="22">
        <v>45056</v>
      </c>
      <c r="HT171" s="22" t="s">
        <v>870</v>
      </c>
      <c r="HU171" s="22">
        <v>45056</v>
      </c>
      <c r="HV171" s="22" t="s">
        <v>870</v>
      </c>
      <c r="HW171" s="22">
        <v>45056</v>
      </c>
      <c r="HX171" s="22" t="s">
        <v>870</v>
      </c>
      <c r="HY171" s="22">
        <v>45056</v>
      </c>
      <c r="HZ171" s="28">
        <f t="shared" si="634"/>
        <v>20</v>
      </c>
      <c r="IA171" s="26"/>
      <c r="IB171" s="26"/>
      <c r="IC171" s="111">
        <v>45121</v>
      </c>
      <c r="ID171" s="111">
        <v>45121</v>
      </c>
      <c r="IE171" s="22" t="str">
        <f t="shared" ca="1" si="635"/>
        <v>VACUNA APLICADA ENTRE SEMANA 27 Y EL PARTO</v>
      </c>
      <c r="IF171" s="22"/>
      <c r="IG171" s="22">
        <f t="shared" si="636"/>
        <v>45196</v>
      </c>
      <c r="IH171" s="29">
        <f t="shared" ca="1" si="637"/>
        <v>-37</v>
      </c>
      <c r="II171" s="22" t="str">
        <f t="shared" ca="1" si="638"/>
        <v>POSIBLEMENTE NACIO</v>
      </c>
      <c r="IJ171" s="22"/>
      <c r="IK171" s="21"/>
      <c r="IL171" s="21"/>
      <c r="IM171" s="34"/>
      <c r="IN171" s="22"/>
      <c r="IO171" s="21"/>
      <c r="IP171" s="29" t="str">
        <f t="shared" ref="IP171:IP193" si="728">IF(AND(IN171&gt;0,IK171&lt;&gt;""),SUM(IN171-RW171)/7,"")</f>
        <v/>
      </c>
      <c r="IQ171" s="35"/>
      <c r="IR171" s="21"/>
      <c r="IS171" s="21"/>
      <c r="IT171" s="21"/>
      <c r="IU171" s="21"/>
      <c r="IV171" s="21"/>
      <c r="IW171" s="21"/>
      <c r="IX171" s="21"/>
      <c r="IY171" s="21"/>
      <c r="IZ171" s="21"/>
      <c r="JA171" s="21"/>
      <c r="JB171" s="30"/>
      <c r="JC171" s="21"/>
      <c r="JD171" s="36"/>
      <c r="JE171" s="21" t="str">
        <f t="shared" si="682"/>
        <v/>
      </c>
      <c r="JF171" s="30"/>
      <c r="JG171" s="21"/>
      <c r="JH171" s="21"/>
      <c r="JI171" s="21"/>
      <c r="JJ171" s="30"/>
      <c r="JK171" s="22"/>
      <c r="JL171" s="22"/>
      <c r="JM171" s="21"/>
      <c r="JN171" s="36"/>
      <c r="JO171" s="21" t="str">
        <f t="shared" si="683"/>
        <v/>
      </c>
      <c r="JP171" s="22"/>
      <c r="JQ171" s="21"/>
      <c r="JR171" s="21"/>
      <c r="JS171" s="21"/>
      <c r="JT171" s="30"/>
      <c r="JU171" s="22"/>
      <c r="JV171" s="22"/>
      <c r="JW171" s="33"/>
      <c r="JX171" s="28" t="str">
        <f t="shared" si="684"/>
        <v/>
      </c>
      <c r="JY171" s="33"/>
      <c r="JZ171" s="28" t="str">
        <f t="shared" si="685"/>
        <v/>
      </c>
      <c r="KA171" s="21"/>
      <c r="KB171" s="21"/>
      <c r="KC171" s="21"/>
      <c r="KD171" s="37"/>
      <c r="KE171" s="28"/>
      <c r="KF171" s="28"/>
      <c r="KG171" s="28"/>
      <c r="KH171" s="39"/>
      <c r="KI171" s="39"/>
      <c r="KJ171" s="66"/>
      <c r="KK171" s="39"/>
      <c r="KL171" s="39"/>
      <c r="KM171" s="66"/>
      <c r="KN171" s="39"/>
      <c r="KO171" s="39"/>
      <c r="KP171" s="39"/>
      <c r="KQ171" s="39"/>
      <c r="KR171" s="39"/>
      <c r="KS171" s="39"/>
      <c r="KT171" s="39"/>
      <c r="KU171" s="38"/>
      <c r="KV171" s="38"/>
      <c r="KW171" s="38"/>
      <c r="KX171" s="38"/>
      <c r="KY171" s="38"/>
      <c r="KZ171" s="38"/>
      <c r="LA171" s="38"/>
      <c r="LB171" s="38"/>
      <c r="LC171" s="38"/>
      <c r="LD171" s="38"/>
      <c r="LE171" s="38"/>
      <c r="LF171" s="38"/>
      <c r="LG171" s="38"/>
      <c r="LH171" s="38"/>
      <c r="LI171" s="38"/>
      <c r="LJ171" s="38"/>
      <c r="LK171" s="38"/>
      <c r="LL171" s="38"/>
      <c r="LM171" s="38"/>
      <c r="LN171" s="38"/>
      <c r="LO171" s="38"/>
      <c r="LP171" s="38"/>
      <c r="LQ171" s="38"/>
      <c r="LR171" s="38"/>
      <c r="LS171" s="38"/>
      <c r="LT171" s="38"/>
      <c r="LU171" s="38"/>
      <c r="LV171" s="38"/>
      <c r="LW171" s="38"/>
      <c r="LX171" s="38"/>
      <c r="LY171" s="38"/>
      <c r="LZ171" s="38"/>
      <c r="MA171" s="38"/>
      <c r="MB171" s="38"/>
      <c r="MC171" s="38"/>
      <c r="MD171" s="38"/>
      <c r="ME171" s="38"/>
      <c r="MF171" s="38"/>
      <c r="MG171" s="38"/>
      <c r="MH171" s="43">
        <f t="shared" si="695"/>
        <v>0</v>
      </c>
      <c r="MI171" s="43" t="str">
        <f t="shared" si="696"/>
        <v/>
      </c>
      <c r="MJ171" s="43" t="str">
        <f t="shared" si="697"/>
        <v/>
      </c>
      <c r="MK171" s="43">
        <f t="shared" si="698"/>
        <v>0</v>
      </c>
      <c r="ML17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1" s="43">
        <f t="shared" si="699"/>
        <v>20</v>
      </c>
      <c r="MN171" s="43">
        <f t="shared" si="700"/>
        <v>5</v>
      </c>
      <c r="MO171" s="43">
        <f t="shared" si="701"/>
        <v>2023</v>
      </c>
      <c r="MP171" s="43" t="str">
        <f t="shared" si="702"/>
        <v>II TRIMESTRE AÑO</v>
      </c>
      <c r="MQ171" s="43">
        <f t="shared" si="703"/>
        <v>35.879325448970654</v>
      </c>
      <c r="MR171" s="43">
        <f t="shared" si="704"/>
        <v>2</v>
      </c>
      <c r="MS171" s="43" t="str">
        <f t="shared" si="705"/>
        <v xml:space="preserve"> DE 35 A 39 AÑOS</v>
      </c>
      <c r="MT171" s="43">
        <f t="shared" si="706"/>
        <v>0</v>
      </c>
      <c r="MU171" s="43">
        <f t="shared" si="707"/>
        <v>0</v>
      </c>
      <c r="MV171" s="43">
        <f t="shared" si="708"/>
        <v>0</v>
      </c>
      <c r="MW171" s="43">
        <f t="shared" si="709"/>
        <v>0</v>
      </c>
      <c r="MX171" s="43" t="str">
        <f t="shared" si="710"/>
        <v/>
      </c>
      <c r="MY171" s="43" t="str">
        <f t="shared" ca="1" si="686"/>
        <v/>
      </c>
      <c r="MZ171" s="43" t="str">
        <f t="shared" si="711"/>
        <v/>
      </c>
      <c r="NA171" s="43" t="str">
        <f t="shared" si="712"/>
        <v/>
      </c>
      <c r="NB171" s="43" t="str">
        <f t="shared" si="713"/>
        <v/>
      </c>
      <c r="NC171" s="43" t="str">
        <f t="shared" si="714"/>
        <v/>
      </c>
      <c r="ND171" s="43">
        <f t="shared" ca="1" si="715"/>
        <v>2</v>
      </c>
      <c r="NE171" s="43">
        <f>IF(OR(O171&gt;0,R171&gt;0),SUM(COUNTIF(Tabla1[[#This Row],[AÑOS AL INICIO5 CPN]],"&gt;=40"),COUNTIF(AS171,"0"),COUNTIF(AR171,"SI"),COUNTIF(CC171,"SI"),COUNTIF(BQ171,"&gt;119"),COUNTIF(CI171,"&gt;=35")),"")</f>
        <v>0</v>
      </c>
      <c r="NF171" s="43">
        <f t="shared" si="716"/>
        <v>29.285714285714285</v>
      </c>
      <c r="NG171" s="43">
        <f t="shared" si="717"/>
        <v>0</v>
      </c>
      <c r="NH171" s="43">
        <f t="shared" si="718"/>
        <v>205.1</v>
      </c>
      <c r="NI17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CPN",P171="NO"),"Z",IF(AND(Tabla1[[#This Row],[CITA PROXIMO CONTROL]]="CITA MANUAL",Tabla1[[#This Row],[GESTANTES ACTUALES]]="ACTIVA INGRESO A CPN"),"W",IF(AND(Tabla1[[#This Row],[GESTANTES ACTUALES]]="SALIO PROGRAMA",IN171=""),"S",IF(AND(Tabla1[[#This Row],[CITA PROXIMO CONTROL]]&gt;0,IN171=""),(Tabla1[[#This Row],[CITA PROXIMO CONTROL]]-TODAY()),"SD"))))))))</f>
        <v>#REF!</v>
      </c>
      <c r="NJ171" s="43">
        <f>MONTH(Tabla1[[#This Row],[FECHA DE SALIDA  DEL PROGRAMA]])</f>
        <v>1</v>
      </c>
      <c r="NK171" s="43">
        <f>YEAR(Tabla1[[#This Row],[FECHA DE SALIDA  DEL PROGRAMA]])</f>
        <v>1900</v>
      </c>
      <c r="NL171" s="43" t="str">
        <f t="shared" si="719"/>
        <v>X</v>
      </c>
      <c r="NM171" s="43" t="str">
        <f t="shared" si="693"/>
        <v>NO</v>
      </c>
      <c r="NN171" s="43" t="str">
        <f ca="1">IF(AND(O171&gt;0,R171=""),"NO CPN",IF(AND(O171="",R171=""),"",IF(AND(R171&gt;0,Tabla1[[#This Row],[SEMANAS DE GESTACION ACTUALIZADAS]]&lt;=12),"NO APLICA",IF(AND(FH171&lt;&gt;"",FN171&lt;&gt;""),"SI","NO"))))</f>
        <v>NO</v>
      </c>
      <c r="NO171" s="43" t="str">
        <f ca="1">IF(AND(O171&gt;0,R171=""),"NO CPN",IF(AND(O171="",R171=""),"",IF(AND(R171&gt;0,Tabla1[[#This Row],[SEMANAS DE GESTACION ACTUALIZADAS]]&lt;=27),"NO APLICA",IF(AND(ES171&lt;&gt;"",FQ171&lt;&gt;"",GF171&lt;&gt;""),"SI","NO"))))</f>
        <v>NO</v>
      </c>
      <c r="NP171" s="204" t="str">
        <f t="shared" si="720"/>
        <v>II TRIM</v>
      </c>
      <c r="NQ171" s="21" t="str">
        <f t="shared" ref="NQ171:NQ193" si="729">IF(AND(IP172&gt;0,IP172&lt;37),10,IF(OR(CD172="Transversa",CD172="Oblicua"),9,IF(CC172="SI",8,IF(AND(AT172=0,AW172=0,CC172="NO",CD172="Cefálica",IP172&gt;=37,IT172="INICIO ESPONTÁNEO"),1,IF(AND(AND(AT172=0,AW172=0,CC172="NO",CD172="Cefálica",IP172&gt;=37),OR(IT172="LE HACEN INDUCCIÓN",IT172="LE HACEN CESÁREA SIN INICIO TRABAJO DE PARTO")),2,IF(AND(AT172&gt;=1,AW172=0,CC172="NO",CD172="Cefálica",IP172&gt;=37,IT172="INICIO ESPONTÁNEO"),3,IF(AND(AND(AT172&gt;=1,AW172=0,CC172="NO",CD172="Cefálica",IP172&gt;=37),OR(IT172="LE HACEN INDUCCIÓN",IT172="LE HACEN CESÁREA SIN INICIO TRABAJO DE PARTO")),4,IF(AND(AND(AT172&gt;=1,AW172&gt;=1,CC172="NO",CD172="Cefálica",IP172&gt;=37),OR(IT172="LE HACEN INDUCCIÓN",IT172="LE HACEN CESÁREA SIN INICIO TRABAJO DE PARTO",IT172="INICIO ESPONTÁNEO")),5,IF(AND(AND(AT172=0,AW172=0,CC172="NO",CD172="Podálica",IP172&gt;=1),OR(IT172="LE HACEN INDUCCIÓN",IT172="LE HACEN CESÁREA SIN INICIO TRABAJO DE PARTO",IT172="INICIO ESPONTÁNEO")),6,IF(AND(AND(AT172&gt;=1,CC172="NO",CD172="Podálica",IP172&gt;=1),OR(IT172="LE HACEN INDUCCIÓN",IT172="LE HACEN CESÁREA SIN INICIO TRABAJO DE PARTO",IT172="INICIO ESPONTÁNEO"),OR(AW172=0,AW172&gt;=1)),7,""))))))))))</f>
        <v/>
      </c>
      <c r="NR171" s="21" t="str">
        <f t="shared" ca="1" si="687"/>
        <v>REVISAR FUM O FECHA SALIDA PROGRAMA</v>
      </c>
      <c r="NS171" s="205">
        <f t="shared" ca="1" si="721"/>
        <v>1</v>
      </c>
      <c r="NT171" s="21">
        <f t="shared" ca="1" si="722"/>
        <v>1</v>
      </c>
      <c r="NU171" s="21" t="str">
        <f t="shared" ca="1" si="723"/>
        <v>POR DEFINIR</v>
      </c>
      <c r="NV171" s="21" t="str">
        <f t="shared" ca="1" si="724"/>
        <v>POR DEFINIR</v>
      </c>
      <c r="NW171" s="206" t="str">
        <f>IF(AND(O171="",R171=""),"",IF(OR(AND(Tabla1[[#This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1" s="207" t="str">
        <f t="shared" ca="1" si="725"/>
        <v>VACUNADA</v>
      </c>
      <c r="NY171" s="43">
        <f>ROW(Tabla1[[#This Row],['# DE TAMIZAJES SIFILIS TOMADOS ]])</f>
        <v>171</v>
      </c>
      <c r="NZ171" s="43">
        <f t="shared" si="501"/>
        <v>20</v>
      </c>
      <c r="OA171" s="43" t="str">
        <f t="shared" si="502"/>
        <v/>
      </c>
      <c r="OB171" s="43" t="str">
        <f t="shared" si="503"/>
        <v/>
      </c>
      <c r="OC171" s="43" t="str">
        <f t="shared" si="504"/>
        <v/>
      </c>
      <c r="OD171" s="43" t="str">
        <f t="shared" si="505"/>
        <v/>
      </c>
      <c r="OE171" s="43" t="str">
        <f t="shared" si="506"/>
        <v/>
      </c>
      <c r="OF171" s="43" t="str">
        <f t="shared" si="507"/>
        <v/>
      </c>
      <c r="OG171" s="43" t="str">
        <f t="shared" si="508"/>
        <v/>
      </c>
      <c r="OH171" s="43" t="str">
        <f t="shared" si="509"/>
        <v/>
      </c>
      <c r="OI171" s="43" t="str">
        <f t="shared" si="510"/>
        <v/>
      </c>
      <c r="OJ171" s="43" t="str">
        <f t="shared" si="511"/>
        <v/>
      </c>
      <c r="OK171" s="43" t="str">
        <f t="shared" si="512"/>
        <v/>
      </c>
      <c r="OL171" s="43" t="str">
        <f t="shared" si="513"/>
        <v>NORMAL</v>
      </c>
      <c r="OM171" s="43" t="str">
        <f t="shared" si="514"/>
        <v/>
      </c>
      <c r="ON171" s="43" t="str">
        <f t="shared" si="515"/>
        <v/>
      </c>
      <c r="OO171" s="43" t="str">
        <f t="shared" si="516"/>
        <v/>
      </c>
      <c r="OP171" s="43" t="str">
        <f t="shared" si="517"/>
        <v/>
      </c>
      <c r="OQ171" s="43" t="str">
        <f t="shared" si="518"/>
        <v/>
      </c>
      <c r="OR171" s="43" t="str">
        <f t="shared" si="519"/>
        <v/>
      </c>
      <c r="OS171" s="43" t="str">
        <f t="shared" si="520"/>
        <v/>
      </c>
      <c r="OT171" s="43" t="str">
        <f t="shared" si="521"/>
        <v/>
      </c>
      <c r="OU171" s="43" t="str">
        <f t="shared" si="522"/>
        <v/>
      </c>
      <c r="OV171" s="110" t="str">
        <f t="shared" si="523"/>
        <v/>
      </c>
      <c r="OW171" s="43" t="str">
        <f t="shared" si="524"/>
        <v/>
      </c>
      <c r="OX171" s="43" t="str">
        <f t="shared" si="525"/>
        <v/>
      </c>
      <c r="OY171" s="43" t="str">
        <f t="shared" si="526"/>
        <v/>
      </c>
      <c r="OZ171" s="43" t="str">
        <f t="shared" si="527"/>
        <v/>
      </c>
      <c r="PA171" s="43" t="str">
        <f t="shared" si="528"/>
        <v/>
      </c>
      <c r="PB171" s="43" t="str">
        <f t="shared" si="529"/>
        <v/>
      </c>
      <c r="PC171" s="43" t="str">
        <f t="shared" si="530"/>
        <v/>
      </c>
      <c r="PD171" s="43" t="str">
        <f t="shared" si="531"/>
        <v/>
      </c>
      <c r="PE171" s="43" t="str">
        <f t="shared" si="532"/>
        <v/>
      </c>
      <c r="PF171" s="43" t="str">
        <f t="shared" si="533"/>
        <v/>
      </c>
      <c r="PG171" s="43" t="str">
        <f t="shared" si="534"/>
        <v/>
      </c>
      <c r="PH171" s="43" t="str">
        <f t="shared" si="535"/>
        <v/>
      </c>
      <c r="PI171" s="43">
        <f t="shared" si="536"/>
        <v>33</v>
      </c>
      <c r="PJ171" s="43" t="str">
        <f t="shared" si="537"/>
        <v/>
      </c>
      <c r="PK171" s="43" t="str">
        <f t="shared" si="538"/>
        <v/>
      </c>
      <c r="PL171" s="43" t="str">
        <f t="shared" si="539"/>
        <v/>
      </c>
      <c r="PM171" s="43" t="str">
        <f t="shared" si="540"/>
        <v/>
      </c>
      <c r="PN171" s="43" t="str">
        <f t="shared" si="541"/>
        <v/>
      </c>
      <c r="PO171" s="43" t="str">
        <f t="shared" si="542"/>
        <v/>
      </c>
      <c r="PP171" s="43" t="str">
        <f t="shared" si="543"/>
        <v/>
      </c>
      <c r="PQ171" s="43" t="str">
        <f t="shared" si="544"/>
        <v/>
      </c>
      <c r="PR171" s="43" t="str">
        <f t="shared" si="545"/>
        <v/>
      </c>
      <c r="PS171" s="43" t="str">
        <f t="shared" si="546"/>
        <v/>
      </c>
      <c r="PT171" s="43" t="str">
        <f t="shared" si="547"/>
        <v/>
      </c>
      <c r="PU171" s="43" t="str">
        <f t="shared" si="548"/>
        <v/>
      </c>
      <c r="PV171" s="43" t="str">
        <f t="shared" si="549"/>
        <v/>
      </c>
      <c r="PW171" s="43" t="str">
        <f t="shared" si="550"/>
        <v/>
      </c>
      <c r="PX171" s="43" t="str">
        <f t="shared" si="551"/>
        <v/>
      </c>
      <c r="PY171" s="43" t="str">
        <f t="shared" si="552"/>
        <v/>
      </c>
      <c r="PZ171" s="43" t="str">
        <f t="shared" si="553"/>
        <v/>
      </c>
      <c r="QA171" s="43" t="str">
        <f t="shared" si="554"/>
        <v/>
      </c>
      <c r="QB171" s="43" t="str">
        <f t="shared" si="555"/>
        <v/>
      </c>
      <c r="QC171" s="43" t="str">
        <f t="shared" si="556"/>
        <v/>
      </c>
      <c r="QD171" s="43" t="str">
        <f t="shared" si="557"/>
        <v/>
      </c>
      <c r="QE171" s="43" t="str">
        <f t="shared" si="558"/>
        <v/>
      </c>
      <c r="QF171" s="43" t="str">
        <f t="shared" si="559"/>
        <v/>
      </c>
      <c r="QG171" s="43" t="str">
        <f t="shared" si="560"/>
        <v/>
      </c>
      <c r="QH171" s="43" t="str">
        <f t="shared" si="561"/>
        <v>NORMAL</v>
      </c>
      <c r="QI171" s="43" t="str">
        <f t="shared" si="562"/>
        <v/>
      </c>
      <c r="QJ171" s="43" t="str">
        <f t="shared" si="563"/>
        <v/>
      </c>
      <c r="QK171" s="43" t="str">
        <f t="shared" si="564"/>
        <v/>
      </c>
      <c r="QL171" s="43" t="str">
        <f t="shared" si="565"/>
        <v/>
      </c>
      <c r="QM171" s="43" t="str">
        <f t="shared" si="566"/>
        <v/>
      </c>
      <c r="QN171" s="43" t="str">
        <f t="shared" si="567"/>
        <v/>
      </c>
      <c r="QO171" s="43" t="str">
        <f t="shared" si="568"/>
        <v/>
      </c>
      <c r="QP171" s="43" t="str">
        <f t="shared" si="569"/>
        <v/>
      </c>
      <c r="QQ171" s="43" t="str">
        <f t="shared" si="570"/>
        <v/>
      </c>
      <c r="QR171" s="43">
        <f t="shared" si="670"/>
        <v>33</v>
      </c>
      <c r="QS171" s="43"/>
      <c r="QT171" s="21" t="str">
        <f t="shared" si="571"/>
        <v/>
      </c>
      <c r="QU171" s="21" t="str">
        <f t="shared" si="572"/>
        <v/>
      </c>
      <c r="QV171" s="21" t="str">
        <f t="shared" si="573"/>
        <v/>
      </c>
      <c r="QW171" s="21" t="str">
        <f t="shared" si="574"/>
        <v/>
      </c>
      <c r="QX171" s="21" t="str">
        <f t="shared" si="575"/>
        <v/>
      </c>
      <c r="QY171" s="21" t="str">
        <f t="shared" si="576"/>
        <v/>
      </c>
      <c r="QZ171" s="21" t="str">
        <f t="shared" si="577"/>
        <v/>
      </c>
      <c r="RA171" s="21" t="str">
        <f t="shared" si="578"/>
        <v/>
      </c>
      <c r="RB171" s="21" t="str">
        <f t="shared" si="579"/>
        <v/>
      </c>
      <c r="RC171" s="21" t="str">
        <f t="shared" si="580"/>
        <v/>
      </c>
      <c r="RD171" s="21" t="str">
        <f t="shared" si="581"/>
        <v/>
      </c>
      <c r="RE171" s="21" t="str">
        <f t="shared" si="582"/>
        <v/>
      </c>
      <c r="RF171" s="21" t="str">
        <f t="shared" si="583"/>
        <v/>
      </c>
      <c r="RG171" s="21" t="str">
        <f t="shared" si="584"/>
        <v/>
      </c>
      <c r="RH171" s="21" t="str">
        <f t="shared" si="585"/>
        <v/>
      </c>
      <c r="RI171" s="21" t="str">
        <f t="shared" si="586"/>
        <v/>
      </c>
      <c r="RJ171" s="21" t="str">
        <f t="shared" si="587"/>
        <v/>
      </c>
      <c r="RK171" s="21" t="str">
        <f t="shared" si="588"/>
        <v/>
      </c>
      <c r="RL171" s="21" t="str">
        <f t="shared" si="589"/>
        <v/>
      </c>
      <c r="RM171" s="21" t="str">
        <f t="shared" si="590"/>
        <v/>
      </c>
      <c r="RN171" s="21" t="str">
        <f t="shared" si="591"/>
        <v>ALTO PARA EDAD GESTACIONAL</v>
      </c>
      <c r="RO171" s="21" t="str">
        <f t="shared" si="592"/>
        <v/>
      </c>
      <c r="RP171" s="21" t="str">
        <f t="shared" si="593"/>
        <v/>
      </c>
      <c r="RQ171" s="21" t="str">
        <f t="shared" si="594"/>
        <v/>
      </c>
      <c r="RR171" s="21" t="str">
        <f t="shared" si="595"/>
        <v/>
      </c>
      <c r="RS171" s="21" t="str">
        <f t="shared" si="596"/>
        <v/>
      </c>
      <c r="RT171" s="21" t="str">
        <f t="shared" si="597"/>
        <v/>
      </c>
      <c r="RU171" s="21" t="str">
        <f t="shared" si="598"/>
        <v/>
      </c>
      <c r="RV171" s="21">
        <f t="shared" si="599"/>
        <v>20</v>
      </c>
      <c r="RW171" s="284">
        <f>IF(OR(Tabla1[[#This Row],[FUM FORMULA CONFIABLE]]="",Tabla1[[#This Row],[FUM FORMULA CONFIABLE]]="SD"),"",IF(Tabla1[[#This Row],[FUM FORMULA CONFIABLE]]="CORREGIDA",Tabla1[[#This Row],[FUM X ECO 1]],Tabla1[[#This Row],[FUM x AMENORREA]]))</f>
        <v>44916</v>
      </c>
      <c r="RX171" s="21">
        <f>IF(AND(Tabla1[[#This Row],[FUM X ECO 1]]="",Tabla1[[#This Row],[FUM x AMENORREA]]=""),"",IF(AND(Tabla1[[#This Row],[FUM X ECO 1]]="",Tabla1[[#This Row],[FUM x AMENORREA]]&lt;&gt;""),"X",SUM(Tabla1[[#This Row],[FUM X ECO 1]]-Tabla1[[#This Row],[FUM x AMENORREA]])))</f>
        <v>-9.9999999998544808E-2</v>
      </c>
      <c r="RY171" s="21">
        <f t="shared" si="671"/>
        <v>0</v>
      </c>
    </row>
    <row r="172" spans="1:493" ht="45" customHeight="1" x14ac:dyDescent="0.25">
      <c r="A172" s="109" t="s">
        <v>1563</v>
      </c>
      <c r="B172" s="43"/>
      <c r="C172" s="43" t="s">
        <v>845</v>
      </c>
      <c r="D172" s="124"/>
      <c r="E172" s="43" t="s">
        <v>914</v>
      </c>
      <c r="F172" s="43" t="s">
        <v>848</v>
      </c>
      <c r="G172" s="43" t="s">
        <v>1485</v>
      </c>
      <c r="H172" s="43" t="s">
        <v>1285</v>
      </c>
      <c r="I172" s="109" t="s">
        <v>851</v>
      </c>
      <c r="J172" s="110" t="s">
        <v>1486</v>
      </c>
      <c r="K172" s="43" t="s">
        <v>852</v>
      </c>
      <c r="L172" s="175" t="s">
        <v>853</v>
      </c>
      <c r="M172" s="22">
        <v>35991</v>
      </c>
      <c r="N172" s="213">
        <f t="shared" ca="1" si="600"/>
        <v>25.32054794520548</v>
      </c>
      <c r="O172" s="22">
        <v>45062</v>
      </c>
      <c r="P172" s="214" t="str">
        <f t="shared" si="673"/>
        <v>SI</v>
      </c>
      <c r="Q172" s="26" t="s">
        <v>855</v>
      </c>
      <c r="R172" s="22">
        <v>45062</v>
      </c>
      <c r="S172" s="21" t="s">
        <v>856</v>
      </c>
      <c r="T172" s="24" t="s">
        <v>690</v>
      </c>
      <c r="U172" s="21" t="s">
        <v>857</v>
      </c>
      <c r="V172" s="21" t="s">
        <v>858</v>
      </c>
      <c r="W172" s="21" t="s">
        <v>1200</v>
      </c>
      <c r="X172" s="21"/>
      <c r="Y172" s="21"/>
      <c r="Z172" s="21" t="s">
        <v>894</v>
      </c>
      <c r="AA172" s="21" t="s">
        <v>860</v>
      </c>
      <c r="AB172" s="27" t="s">
        <v>861</v>
      </c>
      <c r="AC172" s="26" t="s">
        <v>846</v>
      </c>
      <c r="AD172" s="38" t="s">
        <v>1546</v>
      </c>
      <c r="AE172" s="26" t="s">
        <v>854</v>
      </c>
      <c r="AF172" s="26" t="s">
        <v>854</v>
      </c>
      <c r="AG172" s="23" t="s">
        <v>864</v>
      </c>
      <c r="AH172" s="23" t="s">
        <v>864</v>
      </c>
      <c r="AI172" s="24" t="s">
        <v>863</v>
      </c>
      <c r="AJ172" s="23" t="s">
        <v>864</v>
      </c>
      <c r="AK172" s="220" t="str">
        <f>IF(AND(AD172="",AE172="",AF172="",AG172="",AH172="",AI172="",AJ172=""),"",IF(OR(Tabla1[[#This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EVALUACIÓN",IF(AND(O172="",R172=""),"",IF(AND(OR(O172&gt;0,R172&gt;0),NG172&gt;=0,NG172&lt;2),"SIN RIESGO",IF(AND(OR(O172&gt;0,R172&gt;0),NG172&gt;=2),"CON RIESGO","ASD")))))</f>
        <v>SIN RIESGO</v>
      </c>
      <c r="AL172" s="23" t="s">
        <v>864</v>
      </c>
      <c r="AM172" s="26" t="s">
        <v>864</v>
      </c>
      <c r="AN172" s="26" t="s">
        <v>864</v>
      </c>
      <c r="AO172" s="26" t="s">
        <v>864</v>
      </c>
      <c r="AP172" s="26" t="s">
        <v>864</v>
      </c>
      <c r="AQ172" s="26" t="s">
        <v>864</v>
      </c>
      <c r="AR172" s="26" t="s">
        <v>864</v>
      </c>
      <c r="AS172" s="21">
        <v>2</v>
      </c>
      <c r="AT172" s="21">
        <v>2</v>
      </c>
      <c r="AU172" s="21">
        <v>0</v>
      </c>
      <c r="AV172" s="26" t="s">
        <v>864</v>
      </c>
      <c r="AW172" s="21">
        <v>0</v>
      </c>
      <c r="AX172" s="26" t="s">
        <v>864</v>
      </c>
      <c r="AY172" s="26" t="s">
        <v>864</v>
      </c>
      <c r="AZ172" s="26" t="s">
        <v>864</v>
      </c>
      <c r="BA172" s="26" t="s">
        <v>864</v>
      </c>
      <c r="BB172" s="26" t="s">
        <v>864</v>
      </c>
      <c r="BC172" s="26" t="s">
        <v>864</v>
      </c>
      <c r="BD172" s="26" t="s">
        <v>864</v>
      </c>
      <c r="BE172" s="26" t="s">
        <v>864</v>
      </c>
      <c r="BF172" s="26" t="s">
        <v>864</v>
      </c>
      <c r="BG172" s="26" t="s">
        <v>864</v>
      </c>
      <c r="BH172" s="26" t="s">
        <v>864</v>
      </c>
      <c r="BI172" s="26" t="s">
        <v>864</v>
      </c>
      <c r="BJ172" s="26" t="s">
        <v>864</v>
      </c>
      <c r="BK172" s="26" t="s">
        <v>865</v>
      </c>
      <c r="BL172" s="26" t="s">
        <v>864</v>
      </c>
      <c r="BM172" s="26" t="s">
        <v>864</v>
      </c>
      <c r="BN172" s="22">
        <v>44554</v>
      </c>
      <c r="BO172" s="22">
        <v>44969</v>
      </c>
      <c r="BP172" s="21" t="s">
        <v>1380</v>
      </c>
      <c r="BQ172" s="222">
        <f t="shared" si="601"/>
        <v>12.296666666666715</v>
      </c>
      <c r="BR172" s="223">
        <f t="shared" si="602"/>
        <v>44922.9</v>
      </c>
      <c r="BS172" s="224">
        <f t="shared" si="603"/>
        <v>19.871428571428364</v>
      </c>
      <c r="BT172" s="216" t="str">
        <f t="shared" si="604"/>
        <v>II TRIM</v>
      </c>
      <c r="BU172" s="214" t="str">
        <f t="shared" ca="1" si="605"/>
        <v/>
      </c>
      <c r="BV172" s="25" t="s">
        <v>988</v>
      </c>
      <c r="BW172" s="22">
        <v>45121</v>
      </c>
      <c r="BX172" s="28">
        <v>28.3</v>
      </c>
      <c r="BY172" s="28"/>
      <c r="BZ172" s="22"/>
      <c r="CA172" s="21"/>
      <c r="CB172" s="26" t="s">
        <v>864</v>
      </c>
      <c r="CC172" s="26" t="s">
        <v>864</v>
      </c>
      <c r="CD172" s="26"/>
      <c r="CE172" s="26" t="s">
        <v>854</v>
      </c>
      <c r="CF172" s="22" t="s">
        <v>1517</v>
      </c>
      <c r="CG172" s="21">
        <v>1.47</v>
      </c>
      <c r="CH172" s="21">
        <v>53</v>
      </c>
      <c r="CI172" s="214">
        <f t="shared" si="606"/>
        <v>24.526817529732984</v>
      </c>
      <c r="CJ172" s="225" t="e">
        <f>IF(AND(CI172&lt;10,CH172="SD"),"SIN DATO PESO PREGESTACION O I TRIM",IF(AND(OR(R172&gt;0,O172&gt;0),CI172="X"),"INGRESAR DATO DE PESO",IF(CI172="SD","INGRESAR DATO DE TALLA Y PESO",IF(AND(OR(Tabla1[[#This Row],[MOMENTO EN QUE SE REALIZA EL PESO AL INGRESO A CPN]]="PREGESTACIÓN",NZ172="Menor"),CI172&lt;18.5),"BAJO PESO",IF(AND(OR(Tabla1[[#This Row],[MOMENTO EN QUE SE REALIZA EL PESO AL INGRESO A CPN]]="PREGESTACIÓN",NZ172="Menor"),CI172&lt;25),"NORMAL",IF(AND(OR(Tabla1[[#This Row],[MOMENTO EN QUE SE REALIZA EL PESO AL INGRESO A CPN]]="PREGESTACIÓN",NZ172="Menor"),CI172&lt;30),"SOBREPESO",IF(AND(OR(Tabla1[[#This Row],[MOMENTO EN QUE SE REALIZA EL PESO AL INGRESO A CPN]]="PREGESTACIÓN",NZ172="Menor"),CI172&gt;=30,CI172&lt;50),"OBESIDAD",IF(AND(BS172&gt;0,Tabla1[[#This Row],[MOMENTO EN QUE SE REALIZA EL PESO AL INGRESO A CPN]]="GESTACIÓN"),HLOOKUP(NZ172,$OA$2:PH172,NY172),""))))))))</f>
        <v>#REF!</v>
      </c>
      <c r="CK172" s="212">
        <f t="shared" si="607"/>
        <v>45140</v>
      </c>
      <c r="CL172" s="21">
        <v>55.7</v>
      </c>
      <c r="CM172" s="214">
        <f t="shared" si="608"/>
        <v>25.776296913323154</v>
      </c>
      <c r="CN172" s="216">
        <f t="shared" si="609"/>
        <v>31</v>
      </c>
      <c r="CO172" s="216" t="e">
        <f>IF(PI172="","",IF(PI172&gt;0,HLOOKUP(PI172,$PJ$2:QQ172,NY172),""))</f>
        <v>#REF!</v>
      </c>
      <c r="CP172" s="21">
        <v>32</v>
      </c>
      <c r="CQ172" s="216" t="e">
        <f>IF(QR172="Menor","NO APLICA-MENOR 13 SEM",IF(AND(CC172="SI",CN172&gt;23),"NO APLICA- GEMELAR",IF(QR172="","",IF(QR172&gt;0,HLOOKUP(QR172,$QS$2:RU172,NY172),""))))</f>
        <v>#REF!</v>
      </c>
      <c r="CR172" s="21"/>
      <c r="CS172" s="21"/>
      <c r="CT172" s="217" t="str">
        <f>IF(R172="","",IF(AND(BS172&gt;1,BS172&lt;12,Tabla1[[#This Row],[T.A. SISTOLICA - ANTES DE SEMANA 12]]="",Tabla1[[#This Row],[T.A. DIASTOLICA - ANTES DE SEMANA 12]]=""),"REGISTRE DATO TA ANTES SEMANA 12",IF(AND(BS172&gt;11,BS172&lt;43,Tabla1[[#This Row],[T.A. SISTOLICA - ANTES DE SEMANA 12]]="",Tabla1[[#This Row],[T.A. DIASTOLICA - ANTES DE SEMANA 12]]=""),"NO APLICA REGISTRO TA-INGRESO TARDIO",IF(AND(OR(O172&gt;0,R172&gt;0),OR(CR172&gt;=140,CS172&gt;=90)),"DEFINIR ESTADIO HTA",IF(AND(OR(O172&gt;0,R172&gt;0),AND(CR172&gt;120,CR172&lt;=139)),"PRE HTA SEGUIMIENTO",IF(AND(OR(O172&gt;0,R172&gt;0),AND(CS172&gt;80,CS172&lt;=89)),"PRE HTA SEGUIMIENTO",IF(AND(OR(O172&gt;0,R172&gt;0),AND(CR172&gt;=80,CR172&lt;=120)),"APARENTEMENTE NORMAL",IF(AND(OR(O172&gt;0,R172&gt;0),AND(CS172&gt;=50,CS172&lt;=80)),"APARENTEMENTE NORMAL",IF(AND(OR(O172&gt;0,R172&gt;0),AND(CR172&gt;1,CR172&lt;=70),AND(CS172&gt;1,CS172&lt;=40)),"HIPOTENSIÓN","")))))))))</f>
        <v>NO APLICA REGISTRO TA-INGRESO TARDIO</v>
      </c>
      <c r="CU172" s="21">
        <v>90</v>
      </c>
      <c r="CV172" s="21">
        <v>60</v>
      </c>
      <c r="CW172" s="217" t="str">
        <f ca="1">IF(R172="","",IF(AND(CN172&gt;19,CN172&lt;27,Tabla1[[#This Row],[T.A. SISTOLICA (Entre semana 20 y 26)]]="",Tabla1[[#This Row],[T.A. DIATOLICA (Entre semana 20 y 26)]]=""),"ACUDE A CONTROL SEM 20 A 26 REGISTRE TA AHORA",IF(AND(BS172&gt;1,BS172&lt;27,BU172&gt;19,Tabla1[[#This Row],[T.A. SISTOLICA (Entre semana 20 y 26)]]="",Tabla1[[#This Row],[T.A. DIATOLICA (Entre semana 20 y 26)]]=""),"COMPLETE REGISTRO TA CONTROL SEM 20 A26 ",IF(AND(BS172&gt;26,BS172&lt;43,Tabla1[[#This Row],[T.A. SISTOLICA (Entre semana 20 y 26)]]="",Tabla1[[#This Row],[T.A. DIATOLICA (Entre semana 20 y 26)]]=""),"NO APLICA REGISTRO TA-INGRESO TARDIO",IF(AND(OR(O172&gt;0,R172&gt;0),OR(CU172&gt;=140,CV172&gt;=90)),"ALTO RIESGO PREECLAMPSIA,DEFINIR ESTADIO HTA",IF(AND(OR(O172&gt;0,R172&gt;0),AND(CU172&gt;120,CU172&lt;=139)),"PRE HTA SEGUIMIENTO,RIESGO HIPERTENSION INDUCIDA POR EL EMBARAZO",IF(AND(OR(O172&gt;0,R172&gt;0),AND(CV172&gt;80,CV172&lt;=89)),"PRE HTA SEGUIMIENTO, RIESGO HIPERTENSION INDUCIDA POR EL EMBARAZO",IF(AND(OR(O172&lt;&gt;"",R172&lt;&gt;""),CS172&lt;&gt;"",CV172&lt;&gt;"",CS172&lt;=CV172),"VIGILAR CIFRAS PRESION ARTERIAL",IF(AND(OR(O172&gt;0,R172&gt;0),AND(CU172&gt;120,CU172&lt;=139)),"PRE HTA SEGUIMIENTO",IF(AND(OR(O172&gt;0,R172&gt;0),AND(CU172&gt;1,CU172&lt;=70),AND(CV172&gt;1,CV172&lt;=40)),"HIPOTENSIÓN",IF(AND(OR(O172&lt;&gt;"",R172&lt;&gt;""),CS172&lt;&gt;"",CV172&lt;&gt;"",CS172&gt;CV172),"APARENTEMENTE NORMAL",IF(AND(OR(O172&gt;0,R172&gt;0),AND(CU172&gt;=80,CU172&lt;=120)),"APARENTEMENTE NORMAL",IF(AND(OR(O172&gt;0,R172&gt;0),AND(CV172&gt;=50,CV172&lt;=80)),"APARENTEMENTE NORMAL","")))))))))))))</f>
        <v>APARENTEMENTE NORMAL</v>
      </c>
      <c r="CX172" s="21">
        <v>90</v>
      </c>
      <c r="CY172" s="21">
        <v>60</v>
      </c>
      <c r="CZ172" s="216" t="str">
        <f t="shared" si="727"/>
        <v>APARENTEMENTE NORMAL</v>
      </c>
      <c r="DA172" s="21">
        <v>90</v>
      </c>
      <c r="DB172" s="21">
        <v>60</v>
      </c>
      <c r="DC172" s="217" t="str">
        <f t="shared" si="610"/>
        <v>APARENTEMENTE NORMAL</v>
      </c>
      <c r="DD172" s="22">
        <v>45062</v>
      </c>
      <c r="DE172" s="22">
        <v>45062</v>
      </c>
      <c r="DF172" s="22">
        <v>45140</v>
      </c>
      <c r="DG172" s="22"/>
      <c r="DH172" s="22"/>
      <c r="DI172" s="22"/>
      <c r="DJ172" s="22"/>
      <c r="DK172" s="22"/>
      <c r="DL172" s="22"/>
      <c r="DM172" s="22"/>
      <c r="DN172" s="22"/>
      <c r="DO172" s="22"/>
      <c r="DP172" s="22"/>
      <c r="DQ172" s="22"/>
      <c r="DR172" s="28">
        <v>0</v>
      </c>
      <c r="DS172" s="22"/>
      <c r="DT172" s="22"/>
      <c r="DU172" s="216" t="str">
        <f t="shared" ca="1" si="674"/>
        <v>CONCERTAR PLAN DE PARTO INMEDIATO</v>
      </c>
      <c r="DV172" s="226" t="str">
        <f t="shared" si="675"/>
        <v>ACTIVA INGRESO A CPN</v>
      </c>
      <c r="DW17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2" s="216" t="e">
        <f t="shared" ca="1" si="611"/>
        <v>#REF!</v>
      </c>
      <c r="DY172" s="212">
        <f>IF(R172="","",IF(R172&gt;0,MAX(Tabla1[[#This Row],[FECHA C2]:[FECHA C13]],Tabla1[[#This Row],[FECHA CONSULTA PRIMERA VEZ PROGRAMA CPN ]])))</f>
        <v>45140</v>
      </c>
      <c r="DZ172" s="216">
        <f t="shared" si="612"/>
        <v>31</v>
      </c>
      <c r="EA172" s="222">
        <f>IF(R172&gt;0,SUM(COUNTA(DF172:DQ172)+COUNTA(Tabla1[[#This Row],[FECHA CONSULTA PRIMERA VEZ PROGRAMA CPN ]])),"")</f>
        <v>2</v>
      </c>
      <c r="EB172" s="222" t="str">
        <f t="shared" si="613"/>
        <v>NO</v>
      </c>
      <c r="EC172" s="214">
        <f t="shared" si="614"/>
        <v>7</v>
      </c>
      <c r="ED172" s="227">
        <f t="shared" si="615"/>
        <v>0.2857142857142857</v>
      </c>
      <c r="EE172" s="22">
        <v>45062</v>
      </c>
      <c r="EF172" s="22">
        <v>45121</v>
      </c>
      <c r="EG172" s="22">
        <v>45062</v>
      </c>
      <c r="EH172" s="22"/>
      <c r="EI172" s="22">
        <v>45062</v>
      </c>
      <c r="EJ172" s="22"/>
      <c r="EK172" s="22"/>
      <c r="EL172" s="21"/>
      <c r="EM172" s="21">
        <v>11.1</v>
      </c>
      <c r="EN172" s="22">
        <v>45066</v>
      </c>
      <c r="EO172" s="222">
        <f t="shared" si="616"/>
        <v>20.442857142856933</v>
      </c>
      <c r="EP172" s="214" t="str">
        <f t="shared" si="617"/>
        <v>NORMAL- SUMINISTRAR SULFATO FERROSO</v>
      </c>
      <c r="EQ172" s="216" t="str">
        <f t="shared" si="618"/>
        <v>II TRIM</v>
      </c>
      <c r="ER172" s="24"/>
      <c r="ES172" s="22"/>
      <c r="ET172" s="29" t="str">
        <f t="shared" ca="1" si="676"/>
        <v>TOMA DE HEMOGLOBINA TARDÍA</v>
      </c>
      <c r="EU172" s="25" t="str">
        <f t="shared" si="619"/>
        <v/>
      </c>
      <c r="EV172" s="24" t="s">
        <v>1510</v>
      </c>
      <c r="EW172" s="24">
        <v>45066</v>
      </c>
      <c r="EX172" s="22"/>
      <c r="EY172" s="29">
        <f t="shared" si="691"/>
        <v>20.442857142856933</v>
      </c>
      <c r="EZ172" s="25" t="str">
        <f t="shared" si="692"/>
        <v>SIN RIESGO DE ISOINMUNIZACIÓN</v>
      </c>
      <c r="FA172" s="21">
        <v>76</v>
      </c>
      <c r="FB172" s="22">
        <v>45066</v>
      </c>
      <c r="FC172" s="29">
        <f t="shared" si="620"/>
        <v>20.442857142856933</v>
      </c>
      <c r="FD172" s="29"/>
      <c r="FE172" s="29"/>
      <c r="FF172" s="29"/>
      <c r="FG172" s="21" t="str">
        <f t="shared" ca="1" si="621"/>
        <v/>
      </c>
      <c r="FH172" s="31"/>
      <c r="FI172" s="29" t="str">
        <f t="shared" si="622"/>
        <v>TOMAR EXAMEN</v>
      </c>
      <c r="FJ172" s="22"/>
      <c r="FK172" s="22"/>
      <c r="FL172" s="29" t="str">
        <f t="shared" ca="1" si="623"/>
        <v>NO APLICA-INGRESO TARDIO</v>
      </c>
      <c r="FM172" s="22" t="s">
        <v>867</v>
      </c>
      <c r="FN172" s="32">
        <v>45066</v>
      </c>
      <c r="FO172" s="29">
        <f t="shared" ca="1" si="677"/>
        <v>20.442857142856933</v>
      </c>
      <c r="FP172" s="22"/>
      <c r="FQ172" s="32"/>
      <c r="FR172" s="29" t="str">
        <f t="shared" ca="1" si="678"/>
        <v>TOMA INMEDIATA DE TAMIZAJE</v>
      </c>
      <c r="FS172" s="22"/>
      <c r="FT172" s="32"/>
      <c r="FU172" s="29" t="str">
        <f>IF(AND(FJ172="",FM172="",FP172="",FS172=""),"",IF(OR(OR(Tabla1[[#This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2" s="28"/>
      <c r="FW172" s="22"/>
      <c r="FX172" s="29" t="str">
        <f t="shared" si="624"/>
        <v>TOMAR EXAMEN</v>
      </c>
      <c r="FY172" s="22"/>
      <c r="FZ172" s="22"/>
      <c r="GA172" s="29" t="str">
        <f t="shared" ca="1" si="690"/>
        <v>NO APLICA-INGRESO TARDIO</v>
      </c>
      <c r="GB172" s="22" t="s">
        <v>868</v>
      </c>
      <c r="GC172" s="22">
        <v>45066</v>
      </c>
      <c r="GD172" s="29">
        <f t="shared" ca="1" si="679"/>
        <v>20.442857142856933</v>
      </c>
      <c r="GE172" s="22"/>
      <c r="GF172" s="22"/>
      <c r="GG172" s="29" t="str">
        <f t="shared" ca="1" si="680"/>
        <v>TOMA INMEDIATA DE TAMIZAJE</v>
      </c>
      <c r="GH172" s="22"/>
      <c r="GI172" s="29"/>
      <c r="GJ172" s="22"/>
      <c r="GK172" s="22"/>
      <c r="GL172" s="22"/>
      <c r="GM172" s="22"/>
      <c r="GN172" s="28" t="s">
        <v>869</v>
      </c>
      <c r="GO172" s="22">
        <v>45066</v>
      </c>
      <c r="GP172" s="29">
        <f t="shared" si="625"/>
        <v>20.442857142856933</v>
      </c>
      <c r="GQ172" s="28" t="s">
        <v>869</v>
      </c>
      <c r="GR172" s="28" t="s">
        <v>869</v>
      </c>
      <c r="GS172" s="22" t="str">
        <f t="shared" si="726"/>
        <v>CONTROL Igm</v>
      </c>
      <c r="GT172" s="22">
        <v>45066</v>
      </c>
      <c r="GU172" s="29">
        <f t="shared" si="627"/>
        <v>13.857142857142858</v>
      </c>
      <c r="GV172" s="21" t="str">
        <f t="shared" si="628"/>
        <v>II TRIM</v>
      </c>
      <c r="GW172" s="28" t="s">
        <v>869</v>
      </c>
      <c r="GX172" s="30"/>
      <c r="GY172" s="21"/>
      <c r="GZ172" s="21"/>
      <c r="HA172" s="21"/>
      <c r="HB172" s="21"/>
      <c r="HC172" s="21"/>
      <c r="HD172" s="21"/>
      <c r="HE172" s="21"/>
      <c r="HF172" s="22"/>
      <c r="HG172" s="22" t="str">
        <f>IF(OR(O172&gt;0,R172&gt;0),CONCATENATE(IF(Tabla1[[#This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2" s="22" t="e">
        <f t="shared" si="629"/>
        <v>#REF!</v>
      </c>
      <c r="HI172" s="22" t="e">
        <f t="shared" ca="1" si="630"/>
        <v>#REF!</v>
      </c>
      <c r="HJ172" s="21"/>
      <c r="HK172" s="21" t="str">
        <f t="shared" si="631"/>
        <v>SIN ANTECEDENTES DE RIESGO</v>
      </c>
      <c r="HL172" s="24" t="str">
        <f t="shared" si="632"/>
        <v>APARENTEMENTE NORMAL</v>
      </c>
      <c r="HM172" s="21" t="e">
        <f t="shared" ca="1" si="633"/>
        <v>#REF!</v>
      </c>
      <c r="HN172" s="30" t="str">
        <f t="shared" si="681"/>
        <v>ACTIVA INGRESO A CPN</v>
      </c>
      <c r="HO172" s="21"/>
      <c r="HP172" s="21"/>
      <c r="HQ172" s="349">
        <v>45062</v>
      </c>
      <c r="HR172" s="21" t="str">
        <f>IF(R172="","",IF(Tabla1[[#This Row],[ALARMA FACTORES DE RIESGO COMPLICACIONES HIPERTENSIVAS3]]="SIN ANTECEDENTES DE RIESGO","No Aplica para suministro de ASA",IF(AND(Tabla1[[#This Row],[FECHA INICIO DE SUMINISTRO DE ASA]]&gt;0,RV172&lt;12),"Inicia ASA ANTES de Sem 12",IF(AND(RV172&gt;11,RV172&lt;17,OR(HK172="RIESGO ALTO DE COMPLICACIONES HIPERTENSIVAS VER MANEJO GUIA SUMINISTRO ASA Y CALCIO",HK172="RIESGO MODERADO (2 O MAS CRITERIOS) VER MANEJO GUIA SUMINISTRO ASA Y CALCIO")),"Inicio oportuno de ASA",IF(AND(RV172&gt;12,OR(HK172="RIESGO ALTO DE COMPLICACIONES HIPERTENSIVAS VER MANEJO GUIA SUMINISTRO ASA Y CALCIO",HK172="RIESGO MODERADO (2 O MAS CRITERIOS) VER MANEJO GUIA SUMINISTRO ASA Y CALCIO")),"Inicio no oportuno mayor a 16 semanas",IF(AND(BU172&lt;12,OR(HK172="RIESGO ALTO DE COMPLICACIONES HIPERTENSIVAS VER MANEJO GUIA SUMINISTRO ASA Y CALCIO",HK172="RIESGO MODERADO (2 O MAS CRITERIOS) VER MANEJO GUIA SUMINISTRO ASA Y CALCIO")),"Pendiente Inicio de ASA a la semana 12",IF(AND(BU172&gt;11,BU172&lt;17,OR(HK172="RIESGO ALTO DE COMPLICACIONES HIPERTENSIVAS VER MANEJO GUIA SUMINISTRO ASA Y CALCIO",HK172="RIESGO MODERADO (2 O MAS CRITERIOS) VER MANEJO GUIA SUMINISTRO ASA Y CALCIO")),"Iniciar de inmediato ASA",IF(AND(BU172&gt;16,OR(HK172="RIESGO ALTO DE COMPLICACIONES HIPERTENSIVAS VER MANEJO GUIA SUMINISTRO ASA Y CALCIO",HK172="RIESGO MODERADO (2 O MAS CRITERIOS) VER MANEJO GUIA SUMINISTRO ASA Y CALCIO")),"Pierde Oportunidad, Inicio tardío de ASA","XXXXX"))))))))</f>
        <v>No Aplica para suministro de ASA</v>
      </c>
      <c r="HS172" s="22">
        <v>45062</v>
      </c>
      <c r="HT172" s="22" t="s">
        <v>870</v>
      </c>
      <c r="HU172" s="22">
        <v>45062</v>
      </c>
      <c r="HV172" s="22" t="s">
        <v>870</v>
      </c>
      <c r="HW172" s="22">
        <v>45062</v>
      </c>
      <c r="HX172" s="22" t="s">
        <v>870</v>
      </c>
      <c r="HY172" s="22">
        <v>45065</v>
      </c>
      <c r="HZ172" s="28">
        <f t="shared" si="634"/>
        <v>20.299999999999791</v>
      </c>
      <c r="IA172" s="26" t="s">
        <v>854</v>
      </c>
      <c r="IB172" s="26"/>
      <c r="IC172" s="111"/>
      <c r="ID172" s="22"/>
      <c r="IE172" s="22" t="str">
        <f t="shared" ca="1" si="635"/>
        <v/>
      </c>
      <c r="IF172" s="22"/>
      <c r="IG172" s="22">
        <f t="shared" si="636"/>
        <v>45202.9</v>
      </c>
      <c r="IH172" s="29">
        <f t="shared" ca="1" si="637"/>
        <v>-30.099999999998545</v>
      </c>
      <c r="II172" s="22" t="str">
        <f t="shared" ca="1" si="638"/>
        <v>POSIBLEMENTE NACIO</v>
      </c>
      <c r="IJ172" s="22"/>
      <c r="IK172" s="21"/>
      <c r="IL172" s="21"/>
      <c r="IM172" s="34"/>
      <c r="IN172" s="22"/>
      <c r="IO172" s="21"/>
      <c r="IP172" s="29" t="str">
        <f t="shared" si="728"/>
        <v/>
      </c>
      <c r="IQ172" s="35"/>
      <c r="IR172" s="21"/>
      <c r="IS172" s="21"/>
      <c r="IT172" s="21"/>
      <c r="IU172" s="21"/>
      <c r="IV172" s="21"/>
      <c r="IW172" s="21"/>
      <c r="IX172" s="21"/>
      <c r="IY172" s="21"/>
      <c r="IZ172" s="21"/>
      <c r="JA172" s="21"/>
      <c r="JB172" s="30"/>
      <c r="JC172" s="21"/>
      <c r="JD172" s="36"/>
      <c r="JE172" s="21" t="str">
        <f t="shared" si="682"/>
        <v/>
      </c>
      <c r="JF172" s="30"/>
      <c r="JG172" s="21"/>
      <c r="JH172" s="21"/>
      <c r="JI172" s="21"/>
      <c r="JJ172" s="30"/>
      <c r="JK172" s="22"/>
      <c r="JL172" s="22"/>
      <c r="JM172" s="21"/>
      <c r="JN172" s="36"/>
      <c r="JO172" s="21" t="str">
        <f t="shared" si="683"/>
        <v/>
      </c>
      <c r="JP172" s="22"/>
      <c r="JQ172" s="21"/>
      <c r="JR172" s="21"/>
      <c r="JS172" s="21"/>
      <c r="JT172" s="30"/>
      <c r="JU172" s="22"/>
      <c r="JV172" s="22"/>
      <c r="JW172" s="33"/>
      <c r="JX172" s="28" t="str">
        <f t="shared" si="684"/>
        <v/>
      </c>
      <c r="JY172" s="33"/>
      <c r="JZ172" s="28" t="str">
        <f t="shared" si="685"/>
        <v/>
      </c>
      <c r="KA172" s="21"/>
      <c r="KB172" s="21"/>
      <c r="KC172" s="21"/>
      <c r="KD172" s="37"/>
      <c r="KE172" s="28"/>
      <c r="KF172" s="28"/>
      <c r="KG172" s="28"/>
      <c r="KH172" s="39"/>
      <c r="KI172" s="39"/>
      <c r="KJ172" s="66"/>
      <c r="KK172" s="39"/>
      <c r="KL172" s="39"/>
      <c r="KM172" s="66"/>
      <c r="KN172" s="39"/>
      <c r="KO172" s="39"/>
      <c r="KP172" s="39"/>
      <c r="KQ172" s="39"/>
      <c r="KR172" s="39"/>
      <c r="KS172" s="39"/>
      <c r="KT172" s="39"/>
      <c r="KU172" s="38"/>
      <c r="KV172" s="38"/>
      <c r="KW172" s="38"/>
      <c r="KX172" s="38"/>
      <c r="KY172" s="38"/>
      <c r="KZ172" s="38"/>
      <c r="LA172" s="38"/>
      <c r="LB172" s="38"/>
      <c r="LC172" s="38"/>
      <c r="LD172" s="38"/>
      <c r="LE172" s="38"/>
      <c r="LF172" s="38"/>
      <c r="LG172" s="38"/>
      <c r="LH172" s="38"/>
      <c r="LI172" s="38"/>
      <c r="LJ172" s="38"/>
      <c r="LK172" s="38"/>
      <c r="LL172" s="38"/>
      <c r="LM172" s="38"/>
      <c r="LN172" s="38"/>
      <c r="LO172" s="38"/>
      <c r="LP172" s="38"/>
      <c r="LQ172" s="38"/>
      <c r="LR172" s="38"/>
      <c r="LS172" s="38"/>
      <c r="LT172" s="38"/>
      <c r="LU172" s="38"/>
      <c r="LV172" s="38"/>
      <c r="LW172" s="38"/>
      <c r="LX172" s="38"/>
      <c r="LY172" s="38"/>
      <c r="LZ172" s="38"/>
      <c r="MA172" s="38"/>
      <c r="MB172" s="38"/>
      <c r="MC172" s="38"/>
      <c r="MD172" s="38"/>
      <c r="ME172" s="38"/>
      <c r="MF172" s="38"/>
      <c r="MG172" s="38"/>
      <c r="MH172" s="43">
        <f t="shared" si="695"/>
        <v>0</v>
      </c>
      <c r="MI172" s="43" t="str">
        <f t="shared" si="696"/>
        <v/>
      </c>
      <c r="MJ172" s="43" t="str">
        <f t="shared" si="697"/>
        <v/>
      </c>
      <c r="MK172" s="43">
        <f t="shared" si="698"/>
        <v>0</v>
      </c>
      <c r="ML17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2" s="43">
        <f t="shared" si="699"/>
        <v>19.871428571428364</v>
      </c>
      <c r="MN172" s="43">
        <f t="shared" si="700"/>
        <v>5</v>
      </c>
      <c r="MO172" s="43">
        <f t="shared" si="701"/>
        <v>2023</v>
      </c>
      <c r="MP172" s="43" t="str">
        <f t="shared" si="702"/>
        <v>II TRIMESTRE AÑO</v>
      </c>
      <c r="MQ172" s="43">
        <f t="shared" si="703"/>
        <v>24.477113447218571</v>
      </c>
      <c r="MR172" s="43">
        <f t="shared" si="704"/>
        <v>0</v>
      </c>
      <c r="MS172" s="43" t="str">
        <f t="shared" si="705"/>
        <v xml:space="preserve"> DE 20 A 24 AÑOS</v>
      </c>
      <c r="MT172" s="43">
        <f t="shared" si="706"/>
        <v>0</v>
      </c>
      <c r="MU172" s="43">
        <f t="shared" si="707"/>
        <v>0</v>
      </c>
      <c r="MV172" s="43">
        <f t="shared" si="708"/>
        <v>0</v>
      </c>
      <c r="MW172" s="43">
        <f t="shared" si="709"/>
        <v>0</v>
      </c>
      <c r="MX172" s="43" t="str">
        <f t="shared" si="710"/>
        <v/>
      </c>
      <c r="MY172" s="43" t="str">
        <f t="shared" ca="1" si="686"/>
        <v/>
      </c>
      <c r="MZ172" s="43" t="str">
        <f t="shared" si="711"/>
        <v/>
      </c>
      <c r="NA172" s="43" t="str">
        <f t="shared" si="712"/>
        <v/>
      </c>
      <c r="NB172" s="43" t="str">
        <f t="shared" si="713"/>
        <v/>
      </c>
      <c r="NC172" s="43" t="str">
        <f t="shared" si="714"/>
        <v/>
      </c>
      <c r="ND172" s="43">
        <f t="shared" ca="1" si="715"/>
        <v>2</v>
      </c>
      <c r="NE172" s="43">
        <f>IF(OR(O172&gt;0,R172&gt;0),SUM(COUNTIF(Tabla1[[#This Row],[AÑOS AL INICIO5 CPN]],"&gt;=40"),COUNTIF(AS172,"0"),COUNTIF(AR172,"SI"),COUNTIF(CC172,"SI"),COUNTIF(BQ172,"&gt;119"),COUNTIF(CI172,"&gt;=35")),"")</f>
        <v>0</v>
      </c>
      <c r="NF172" s="43" t="str">
        <f t="shared" si="716"/>
        <v/>
      </c>
      <c r="NG172" s="43">
        <f t="shared" si="717"/>
        <v>0</v>
      </c>
      <c r="NH172" s="43">
        <f t="shared" si="718"/>
        <v>198.1</v>
      </c>
      <c r="NI17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CPN",P172="NO"),"Z",IF(AND(Tabla1[[#This Row],[CITA PROXIMO CONTROL]]="CITA MANUAL",Tabla1[[#This Row],[GESTANTES ACTUALES]]="ACTIVA INGRESO A CPN"),"W",IF(AND(Tabla1[[#This Row],[GESTANTES ACTUALES]]="SALIO PROGRAMA",IN172=""),"S",IF(AND(Tabla1[[#This Row],[CITA PROXIMO CONTROL]]&gt;0,IN172=""),(Tabla1[[#This Row],[CITA PROXIMO CONTROL]]-TODAY()),"SD"))))))))</f>
        <v>#REF!</v>
      </c>
      <c r="NJ172" s="43">
        <f>MONTH(Tabla1[[#This Row],[FECHA DE SALIDA  DEL PROGRAMA]])</f>
        <v>1</v>
      </c>
      <c r="NK172" s="43">
        <f>YEAR(Tabla1[[#This Row],[FECHA DE SALIDA  DEL PROGRAMA]])</f>
        <v>1900</v>
      </c>
      <c r="NL172" s="43" t="str">
        <f t="shared" si="719"/>
        <v>X</v>
      </c>
      <c r="NM172" s="43" t="str">
        <f t="shared" si="693"/>
        <v>NO</v>
      </c>
      <c r="NN172" s="43" t="str">
        <f ca="1">IF(AND(O172&gt;0,R172=""),"NO CPN",IF(AND(O172="",R172=""),"",IF(AND(R172&gt;0,Tabla1[[#This Row],[SEMANAS DE GESTACION ACTUALIZADAS]]&lt;=12),"NO APLICA",IF(AND(FH172&lt;&gt;"",FN172&lt;&gt;""),"SI","NO"))))</f>
        <v>NO</v>
      </c>
      <c r="NO172" s="43" t="str">
        <f ca="1">IF(AND(O172&gt;0,R172=""),"NO CPN",IF(AND(O172="",R172=""),"",IF(AND(R172&gt;0,Tabla1[[#This Row],[SEMANAS DE GESTACION ACTUALIZADAS]]&lt;=27),"NO APLICA",IF(AND(ES172&lt;&gt;"",FQ172&lt;&gt;"",GF172&lt;&gt;""),"SI","NO"))))</f>
        <v>NO</v>
      </c>
      <c r="NP172" s="204" t="str">
        <f t="shared" si="720"/>
        <v>II TRIM</v>
      </c>
      <c r="NQ172" s="21" t="str">
        <f t="shared" si="729"/>
        <v/>
      </c>
      <c r="NR172" s="21" t="str">
        <f t="shared" ca="1" si="687"/>
        <v>REVISAR FUM O FECHA SALIDA PROGRAMA</v>
      </c>
      <c r="NS172" s="205">
        <f t="shared" ca="1" si="721"/>
        <v>1</v>
      </c>
      <c r="NT172" s="21">
        <f t="shared" ca="1" si="722"/>
        <v>1</v>
      </c>
      <c r="NU172" s="21" t="str">
        <f t="shared" ca="1" si="723"/>
        <v>POR DEFINIR</v>
      </c>
      <c r="NV172" s="21" t="str">
        <f t="shared" ca="1" si="724"/>
        <v>POR DEFINIR</v>
      </c>
      <c r="NW172" s="206" t="str">
        <f>IF(AND(O172="",R172=""),"",IF(OR(AND(Tabla1[[#This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2" s="207" t="str">
        <f t="shared" ca="1" si="725"/>
        <v>SIN VACUNAR</v>
      </c>
      <c r="NY172" s="43">
        <f>ROW(Tabla1[[#This Row],['# DE TAMIZAJES SIFILIS TOMADOS ]])</f>
        <v>172</v>
      </c>
      <c r="NZ172" s="43">
        <f t="shared" si="501"/>
        <v>19</v>
      </c>
      <c r="OA172" s="43" t="str">
        <f t="shared" si="502"/>
        <v/>
      </c>
      <c r="OB172" s="43" t="str">
        <f t="shared" si="503"/>
        <v/>
      </c>
      <c r="OC172" s="43" t="str">
        <f t="shared" si="504"/>
        <v/>
      </c>
      <c r="OD172" s="43" t="str">
        <f t="shared" si="505"/>
        <v/>
      </c>
      <c r="OE172" s="43" t="str">
        <f t="shared" si="506"/>
        <v/>
      </c>
      <c r="OF172" s="43" t="str">
        <f t="shared" si="507"/>
        <v/>
      </c>
      <c r="OG172" s="43" t="str">
        <f t="shared" si="508"/>
        <v/>
      </c>
      <c r="OH172" s="43" t="str">
        <f t="shared" si="509"/>
        <v/>
      </c>
      <c r="OI172" s="43" t="str">
        <f t="shared" si="510"/>
        <v/>
      </c>
      <c r="OJ172" s="43" t="str">
        <f t="shared" si="511"/>
        <v/>
      </c>
      <c r="OK172" s="43" t="str">
        <f t="shared" si="512"/>
        <v>NORMAL</v>
      </c>
      <c r="OL172" s="43" t="str">
        <f t="shared" si="513"/>
        <v/>
      </c>
      <c r="OM172" s="43" t="str">
        <f t="shared" si="514"/>
        <v/>
      </c>
      <c r="ON172" s="43" t="str">
        <f t="shared" si="515"/>
        <v/>
      </c>
      <c r="OO172" s="43" t="str">
        <f t="shared" si="516"/>
        <v/>
      </c>
      <c r="OP172" s="43" t="str">
        <f t="shared" si="517"/>
        <v/>
      </c>
      <c r="OQ172" s="43" t="str">
        <f t="shared" si="518"/>
        <v/>
      </c>
      <c r="OR172" s="43" t="str">
        <f t="shared" si="519"/>
        <v/>
      </c>
      <c r="OS172" s="43" t="str">
        <f t="shared" si="520"/>
        <v/>
      </c>
      <c r="OT172" s="43" t="str">
        <f t="shared" si="521"/>
        <v/>
      </c>
      <c r="OU172" s="43" t="str">
        <f t="shared" si="522"/>
        <v/>
      </c>
      <c r="OV172" s="110" t="str">
        <f t="shared" si="523"/>
        <v/>
      </c>
      <c r="OW172" s="43" t="str">
        <f t="shared" si="524"/>
        <v/>
      </c>
      <c r="OX172" s="43" t="str">
        <f t="shared" si="525"/>
        <v/>
      </c>
      <c r="OY172" s="43" t="str">
        <f t="shared" si="526"/>
        <v/>
      </c>
      <c r="OZ172" s="43" t="str">
        <f t="shared" si="527"/>
        <v/>
      </c>
      <c r="PA172" s="43" t="str">
        <f t="shared" si="528"/>
        <v/>
      </c>
      <c r="PB172" s="43" t="str">
        <f t="shared" si="529"/>
        <v/>
      </c>
      <c r="PC172" s="43" t="str">
        <f t="shared" si="530"/>
        <v/>
      </c>
      <c r="PD172" s="43" t="str">
        <f t="shared" si="531"/>
        <v/>
      </c>
      <c r="PE172" s="43" t="str">
        <f t="shared" si="532"/>
        <v/>
      </c>
      <c r="PF172" s="43" t="str">
        <f t="shared" si="533"/>
        <v/>
      </c>
      <c r="PG172" s="43" t="str">
        <f t="shared" si="534"/>
        <v/>
      </c>
      <c r="PH172" s="43" t="str">
        <f t="shared" si="535"/>
        <v/>
      </c>
      <c r="PI172" s="43">
        <f t="shared" si="536"/>
        <v>31</v>
      </c>
      <c r="PJ172" s="43" t="str">
        <f t="shared" si="537"/>
        <v/>
      </c>
      <c r="PK172" s="43" t="str">
        <f t="shared" si="538"/>
        <v/>
      </c>
      <c r="PL172" s="43" t="str">
        <f t="shared" si="539"/>
        <v/>
      </c>
      <c r="PM172" s="43" t="str">
        <f t="shared" si="540"/>
        <v/>
      </c>
      <c r="PN172" s="43" t="str">
        <f t="shared" si="541"/>
        <v/>
      </c>
      <c r="PO172" s="43" t="str">
        <f t="shared" si="542"/>
        <v/>
      </c>
      <c r="PP172" s="43" t="str">
        <f t="shared" si="543"/>
        <v/>
      </c>
      <c r="PQ172" s="43" t="str">
        <f t="shared" si="544"/>
        <v/>
      </c>
      <c r="PR172" s="43" t="str">
        <f t="shared" si="545"/>
        <v/>
      </c>
      <c r="PS172" s="43" t="str">
        <f t="shared" si="546"/>
        <v/>
      </c>
      <c r="PT172" s="43" t="str">
        <f t="shared" si="547"/>
        <v/>
      </c>
      <c r="PU172" s="43" t="str">
        <f t="shared" si="548"/>
        <v/>
      </c>
      <c r="PV172" s="43" t="str">
        <f t="shared" si="549"/>
        <v/>
      </c>
      <c r="PW172" s="43" t="str">
        <f t="shared" si="550"/>
        <v/>
      </c>
      <c r="PX172" s="43" t="str">
        <f t="shared" si="551"/>
        <v/>
      </c>
      <c r="PY172" s="43" t="str">
        <f t="shared" si="552"/>
        <v/>
      </c>
      <c r="PZ172" s="43" t="str">
        <f t="shared" si="553"/>
        <v/>
      </c>
      <c r="QA172" s="43" t="str">
        <f t="shared" si="554"/>
        <v/>
      </c>
      <c r="QB172" s="43" t="str">
        <f t="shared" si="555"/>
        <v/>
      </c>
      <c r="QC172" s="43" t="str">
        <f t="shared" si="556"/>
        <v/>
      </c>
      <c r="QD172" s="43" t="str">
        <f t="shared" si="557"/>
        <v/>
      </c>
      <c r="QE172" s="43" t="str">
        <f t="shared" si="558"/>
        <v/>
      </c>
      <c r="QF172" s="43" t="str">
        <f t="shared" si="559"/>
        <v>NORMAL</v>
      </c>
      <c r="QG172" s="43" t="str">
        <f t="shared" si="560"/>
        <v/>
      </c>
      <c r="QH172" s="43" t="str">
        <f t="shared" si="561"/>
        <v/>
      </c>
      <c r="QI172" s="43" t="str">
        <f t="shared" si="562"/>
        <v/>
      </c>
      <c r="QJ172" s="43" t="str">
        <f t="shared" si="563"/>
        <v/>
      </c>
      <c r="QK172" s="43" t="str">
        <f t="shared" si="564"/>
        <v/>
      </c>
      <c r="QL172" s="43" t="str">
        <f t="shared" si="565"/>
        <v/>
      </c>
      <c r="QM172" s="43" t="str">
        <f t="shared" si="566"/>
        <v/>
      </c>
      <c r="QN172" s="43" t="str">
        <f t="shared" si="567"/>
        <v/>
      </c>
      <c r="QO172" s="43" t="str">
        <f t="shared" si="568"/>
        <v/>
      </c>
      <c r="QP172" s="43" t="str">
        <f t="shared" si="569"/>
        <v/>
      </c>
      <c r="QQ172" s="43" t="str">
        <f t="shared" si="570"/>
        <v/>
      </c>
      <c r="QR172" s="43">
        <f t="shared" si="670"/>
        <v>31</v>
      </c>
      <c r="QS172" s="43"/>
      <c r="QT172" s="21" t="str">
        <f t="shared" si="571"/>
        <v/>
      </c>
      <c r="QU172" s="21" t="str">
        <f t="shared" si="572"/>
        <v/>
      </c>
      <c r="QV172" s="21" t="str">
        <f t="shared" si="573"/>
        <v/>
      </c>
      <c r="QW172" s="21" t="str">
        <f t="shared" si="574"/>
        <v/>
      </c>
      <c r="QX172" s="21" t="str">
        <f t="shared" si="575"/>
        <v/>
      </c>
      <c r="QY172" s="21" t="str">
        <f t="shared" si="576"/>
        <v/>
      </c>
      <c r="QZ172" s="21" t="str">
        <f t="shared" si="577"/>
        <v/>
      </c>
      <c r="RA172" s="21" t="str">
        <f t="shared" si="578"/>
        <v/>
      </c>
      <c r="RB172" s="21" t="str">
        <f t="shared" si="579"/>
        <v/>
      </c>
      <c r="RC172" s="21" t="str">
        <f t="shared" si="580"/>
        <v/>
      </c>
      <c r="RD172" s="21" t="str">
        <f t="shared" si="581"/>
        <v/>
      </c>
      <c r="RE172" s="21" t="str">
        <f t="shared" si="582"/>
        <v/>
      </c>
      <c r="RF172" s="21" t="str">
        <f t="shared" si="583"/>
        <v/>
      </c>
      <c r="RG172" s="21" t="str">
        <f t="shared" si="584"/>
        <v/>
      </c>
      <c r="RH172" s="21" t="str">
        <f t="shared" si="585"/>
        <v/>
      </c>
      <c r="RI172" s="21" t="str">
        <f t="shared" si="586"/>
        <v/>
      </c>
      <c r="RJ172" s="21" t="str">
        <f t="shared" si="587"/>
        <v/>
      </c>
      <c r="RK172" s="21" t="str">
        <f t="shared" si="588"/>
        <v/>
      </c>
      <c r="RL172" s="21" t="str">
        <f t="shared" si="589"/>
        <v>ALTO PARA EDAD GESTACIONAL</v>
      </c>
      <c r="RM172" s="21" t="str">
        <f t="shared" si="590"/>
        <v/>
      </c>
      <c r="RN172" s="21" t="str">
        <f t="shared" si="591"/>
        <v/>
      </c>
      <c r="RO172" s="21" t="str">
        <f t="shared" si="592"/>
        <v/>
      </c>
      <c r="RP172" s="21" t="str">
        <f t="shared" si="593"/>
        <v/>
      </c>
      <c r="RQ172" s="21" t="str">
        <f t="shared" si="594"/>
        <v/>
      </c>
      <c r="RR172" s="21" t="str">
        <f t="shared" si="595"/>
        <v/>
      </c>
      <c r="RS172" s="21" t="str">
        <f t="shared" si="596"/>
        <v/>
      </c>
      <c r="RT172" s="21" t="str">
        <f t="shared" si="597"/>
        <v/>
      </c>
      <c r="RU172" s="21" t="str">
        <f t="shared" si="598"/>
        <v/>
      </c>
      <c r="RV172" s="21">
        <f t="shared" si="599"/>
        <v>19.871428571428364</v>
      </c>
      <c r="RW172" s="284">
        <f>IF(OR(Tabla1[[#This Row],[FUM FORMULA CONFIABLE]]="",Tabla1[[#This Row],[FUM FORMULA CONFIABLE]]="SD"),"",IF(Tabla1[[#This Row],[FUM FORMULA CONFIABLE]]="CORREGIDA",Tabla1[[#This Row],[FUM X ECO 1]],Tabla1[[#This Row],[FUM x AMENORREA]]))</f>
        <v>44922.9</v>
      </c>
      <c r="RX172" s="21">
        <f>IF(AND(Tabla1[[#This Row],[FUM X ECO 1]]="",Tabla1[[#This Row],[FUM x AMENORREA]]=""),"",IF(AND(Tabla1[[#This Row],[FUM X ECO 1]]="",Tabla1[[#This Row],[FUM x AMENORREA]]&lt;&gt;""),"X",SUM(Tabla1[[#This Row],[FUM X ECO 1]]-Tabla1[[#This Row],[FUM x AMENORREA]])))</f>
        <v>-46.099999999998545</v>
      </c>
      <c r="RY172" s="21">
        <f t="shared" si="671"/>
        <v>1</v>
      </c>
    </row>
    <row r="173" spans="1:493" ht="45" customHeight="1" x14ac:dyDescent="0.25">
      <c r="A173" s="109"/>
      <c r="B173" s="43"/>
      <c r="C173" s="43" t="s">
        <v>845</v>
      </c>
      <c r="D173" s="124"/>
      <c r="E173" s="43" t="s">
        <v>1365</v>
      </c>
      <c r="F173" s="43" t="s">
        <v>857</v>
      </c>
      <c r="G173" s="43" t="s">
        <v>1217</v>
      </c>
      <c r="H173" s="43" t="s">
        <v>1487</v>
      </c>
      <c r="I173" s="109" t="s">
        <v>851</v>
      </c>
      <c r="J173" s="110" t="s">
        <v>1488</v>
      </c>
      <c r="K173" s="43" t="s">
        <v>852</v>
      </c>
      <c r="L173" s="175"/>
      <c r="M173" s="22">
        <v>32971</v>
      </c>
      <c r="N173" s="213">
        <f t="shared" ca="1" si="600"/>
        <v>33.594520547945208</v>
      </c>
      <c r="O173" s="22">
        <v>45063</v>
      </c>
      <c r="P173" s="214" t="str">
        <f t="shared" si="673"/>
        <v>SI</v>
      </c>
      <c r="Q173" s="26" t="s">
        <v>855</v>
      </c>
      <c r="R173" s="22">
        <v>45063</v>
      </c>
      <c r="S173" s="21" t="s">
        <v>856</v>
      </c>
      <c r="T173" s="24" t="s">
        <v>690</v>
      </c>
      <c r="U173" s="21" t="s">
        <v>857</v>
      </c>
      <c r="V173" s="21" t="s">
        <v>858</v>
      </c>
      <c r="W173" s="21" t="s">
        <v>887</v>
      </c>
      <c r="X173" s="21"/>
      <c r="Y173" s="21"/>
      <c r="Z173" s="21">
        <v>3127048251</v>
      </c>
      <c r="AA173" s="21" t="s">
        <v>860</v>
      </c>
      <c r="AB173" s="27" t="s">
        <v>861</v>
      </c>
      <c r="AC173" s="26" t="s">
        <v>888</v>
      </c>
      <c r="AD173" s="38" t="s">
        <v>846</v>
      </c>
      <c r="AE173" s="26" t="s">
        <v>854</v>
      </c>
      <c r="AF173" s="26" t="s">
        <v>854</v>
      </c>
      <c r="AG173" s="23" t="s">
        <v>864</v>
      </c>
      <c r="AH173" s="23" t="s">
        <v>864</v>
      </c>
      <c r="AI173" s="24" t="s">
        <v>863</v>
      </c>
      <c r="AJ173" s="23" t="s">
        <v>864</v>
      </c>
      <c r="AK173" s="220" t="str">
        <f>IF(AND(AD173="",AE173="",AF173="",AG173="",AH173="",AI173="",AJ173=""),"",IF(OR(Tabla1[[#This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EVALUACIÓN",IF(AND(O173="",R173=""),"",IF(AND(OR(O173&gt;0,R173&gt;0),NG173&gt;=0,NG173&lt;2),"SIN RIESGO",IF(AND(OR(O173&gt;0,R173&gt;0),NG173&gt;=2),"CON RIESGO","ASD")))))</f>
        <v>SIN RIESGO</v>
      </c>
      <c r="AL173" s="23" t="s">
        <v>864</v>
      </c>
      <c r="AM173" s="26" t="s">
        <v>864</v>
      </c>
      <c r="AN173" s="26" t="s">
        <v>864</v>
      </c>
      <c r="AO173" s="26" t="s">
        <v>864</v>
      </c>
      <c r="AP173" s="26" t="s">
        <v>864</v>
      </c>
      <c r="AQ173" s="26" t="s">
        <v>864</v>
      </c>
      <c r="AR173" s="26" t="s">
        <v>864</v>
      </c>
      <c r="AS173" s="21">
        <v>2</v>
      </c>
      <c r="AT173" s="21">
        <v>2</v>
      </c>
      <c r="AU173" s="21">
        <v>0</v>
      </c>
      <c r="AV173" s="26" t="s">
        <v>864</v>
      </c>
      <c r="AW173" s="21">
        <v>0</v>
      </c>
      <c r="AX173" s="26" t="s">
        <v>864</v>
      </c>
      <c r="AY173" s="26" t="s">
        <v>864</v>
      </c>
      <c r="AZ173" s="26" t="s">
        <v>864</v>
      </c>
      <c r="BA173" s="26" t="s">
        <v>864</v>
      </c>
      <c r="BB173" s="26" t="s">
        <v>864</v>
      </c>
      <c r="BC173" s="26" t="s">
        <v>864</v>
      </c>
      <c r="BD173" s="26" t="s">
        <v>864</v>
      </c>
      <c r="BE173" s="26" t="s">
        <v>864</v>
      </c>
      <c r="BF173" s="26" t="s">
        <v>864</v>
      </c>
      <c r="BG173" s="26" t="s">
        <v>864</v>
      </c>
      <c r="BH173" s="26" t="s">
        <v>864</v>
      </c>
      <c r="BI173" s="26" t="s">
        <v>864</v>
      </c>
      <c r="BJ173" s="26"/>
      <c r="BK173" s="26" t="s">
        <v>864</v>
      </c>
      <c r="BL173" s="26" t="s">
        <v>864</v>
      </c>
      <c r="BM173" s="26" t="s">
        <v>864</v>
      </c>
      <c r="BN173" s="22"/>
      <c r="BO173" s="22">
        <v>44942</v>
      </c>
      <c r="BP173" s="21" t="s">
        <v>1380</v>
      </c>
      <c r="BQ173" s="222">
        <f t="shared" si="601"/>
        <v>0</v>
      </c>
      <c r="BR173" s="223">
        <f t="shared" si="602"/>
        <v>44839.8</v>
      </c>
      <c r="BS173" s="224">
        <f t="shared" si="603"/>
        <v>31.88571428571387</v>
      </c>
      <c r="BT173" s="216" t="str">
        <f t="shared" si="604"/>
        <v>III TRIM</v>
      </c>
      <c r="BU173" s="214" t="str">
        <f t="shared" ca="1" si="605"/>
        <v/>
      </c>
      <c r="BV173" s="25" t="s">
        <v>988</v>
      </c>
      <c r="BW173" s="22">
        <v>44942</v>
      </c>
      <c r="BX173" s="28">
        <v>14.6</v>
      </c>
      <c r="BY173" s="28" t="s">
        <v>988</v>
      </c>
      <c r="BZ173" s="22">
        <v>45051</v>
      </c>
      <c r="CA173" s="21">
        <v>14.3</v>
      </c>
      <c r="CB173" s="26" t="s">
        <v>864</v>
      </c>
      <c r="CC173" s="26" t="s">
        <v>864</v>
      </c>
      <c r="CD173" s="26"/>
      <c r="CE173" s="26" t="s">
        <v>864</v>
      </c>
      <c r="CF173" s="22" t="s">
        <v>1517</v>
      </c>
      <c r="CG173" s="21">
        <v>1.4</v>
      </c>
      <c r="CH173" s="21">
        <v>39.200000000000003</v>
      </c>
      <c r="CI173" s="214">
        <f t="shared" si="606"/>
        <v>20.000000000000004</v>
      </c>
      <c r="CJ173" s="225" t="e">
        <f>IF(AND(CI173&lt;10,CH173="SD"),"SIN DATO PESO PREGESTACION O I TRIM",IF(AND(OR(R173&gt;0,O173&gt;0),CI173="X"),"INGRESAR DATO DE PESO",IF(CI173="SD","INGRESAR DATO DE TALLA Y PESO",IF(AND(OR(Tabla1[[#This Row],[MOMENTO EN QUE SE REALIZA EL PESO AL INGRESO A CPN]]="PREGESTACIÓN",NZ173="Menor"),CI173&lt;18.5),"BAJO PESO",IF(AND(OR(Tabla1[[#This Row],[MOMENTO EN QUE SE REALIZA EL PESO AL INGRESO A CPN]]="PREGESTACIÓN",NZ173="Menor"),CI173&lt;25),"NORMAL",IF(AND(OR(Tabla1[[#This Row],[MOMENTO EN QUE SE REALIZA EL PESO AL INGRESO A CPN]]="PREGESTACIÓN",NZ173="Menor"),CI173&lt;30),"SOBREPESO",IF(AND(OR(Tabla1[[#This Row],[MOMENTO EN QUE SE REALIZA EL PESO AL INGRESO A CPN]]="PREGESTACIÓN",NZ173="Menor"),CI173&gt;=30,CI173&lt;50),"OBESIDAD",IF(AND(BS173&gt;0,Tabla1[[#This Row],[MOMENTO EN QUE SE REALIZA EL PESO AL INGRESO A CPN]]="GESTACIÓN"),HLOOKUP(NZ173,$OA$2:PH173,NY173),""))))))))</f>
        <v>#REF!</v>
      </c>
      <c r="CK173" s="212">
        <f t="shared" si="607"/>
        <v>45155</v>
      </c>
      <c r="CL173" s="21">
        <v>43</v>
      </c>
      <c r="CM173" s="214">
        <f t="shared" si="608"/>
        <v>21.938775510204085</v>
      </c>
      <c r="CN173" s="216">
        <f t="shared" si="609"/>
        <v>45</v>
      </c>
      <c r="CO173" s="216" t="e">
        <f>IF(PI173="","",IF(PI173&gt;0,HLOOKUP(PI173,$PJ$2:QQ173,NY173),""))</f>
        <v>#REF!</v>
      </c>
      <c r="CP173" s="21"/>
      <c r="CQ173" s="216" t="e">
        <f>IF(QR173="Menor","NO APLICA-MENOR 13 SEM",IF(AND(CC173="SI",CN173&gt;23),"NO APLICA- GEMELAR",IF(QR173="","",IF(QR173&gt;0,HLOOKUP(QR173,$QS$2:RU173,NY173),""))))</f>
        <v>#REF!</v>
      </c>
      <c r="CR173" s="21"/>
      <c r="CS173" s="21"/>
      <c r="CT173" s="217" t="str">
        <f>IF(R173="","",IF(AND(BS173&gt;1,BS173&lt;12,Tabla1[[#This Row],[T.A. SISTOLICA - ANTES DE SEMANA 12]]="",Tabla1[[#This Row],[T.A. DIASTOLICA - ANTES DE SEMANA 12]]=""),"REGISTRE DATO TA ANTES SEMANA 12",IF(AND(BS173&gt;11,BS173&lt;43,Tabla1[[#This Row],[T.A. SISTOLICA - ANTES DE SEMANA 12]]="",Tabla1[[#This Row],[T.A. DIASTOLICA - ANTES DE SEMANA 12]]=""),"NO APLICA REGISTRO TA-INGRESO TARDIO",IF(AND(OR(O173&gt;0,R173&gt;0),OR(CR173&gt;=140,CS173&gt;=90)),"DEFINIR ESTADIO HTA",IF(AND(OR(O173&gt;0,R173&gt;0),AND(CR173&gt;120,CR173&lt;=139)),"PRE HTA SEGUIMIENTO",IF(AND(OR(O173&gt;0,R173&gt;0),AND(CS173&gt;80,CS173&lt;=89)),"PRE HTA SEGUIMIENTO",IF(AND(OR(O173&gt;0,R173&gt;0),AND(CR173&gt;=80,CR173&lt;=120)),"APARENTEMENTE NORMAL",IF(AND(OR(O173&gt;0,R173&gt;0),AND(CS173&gt;=50,CS173&lt;=80)),"APARENTEMENTE NORMAL",IF(AND(OR(O173&gt;0,R173&gt;0),AND(CR173&gt;1,CR173&lt;=70),AND(CS173&gt;1,CS173&lt;=40)),"HIPOTENSIÓN","")))))))))</f>
        <v>NO APLICA REGISTRO TA-INGRESO TARDIO</v>
      </c>
      <c r="CU173" s="21"/>
      <c r="CV173" s="21"/>
      <c r="CW173" s="217" t="str">
        <f ca="1">IF(R173="","",IF(AND(CN173&gt;19,CN173&lt;27,Tabla1[[#This Row],[T.A. SISTOLICA (Entre semana 20 y 26)]]="",Tabla1[[#This Row],[T.A. DIATOLICA (Entre semana 20 y 26)]]=""),"ACUDE A CONTROL SEM 20 A 26 REGISTRE TA AHORA",IF(AND(BS173&gt;1,BS173&lt;27,BU173&gt;19,Tabla1[[#This Row],[T.A. SISTOLICA (Entre semana 20 y 26)]]="",Tabla1[[#This Row],[T.A. DIATOLICA (Entre semana 20 y 26)]]=""),"COMPLETE REGISTRO TA CONTROL SEM 20 A26 ",IF(AND(BS173&gt;26,BS173&lt;43,Tabla1[[#This Row],[T.A. SISTOLICA (Entre semana 20 y 26)]]="",Tabla1[[#This Row],[T.A. DIATOLICA (Entre semana 20 y 26)]]=""),"NO APLICA REGISTRO TA-INGRESO TARDIO",IF(AND(OR(O173&gt;0,R173&gt;0),OR(CU173&gt;=140,CV173&gt;=90)),"ALTO RIESGO PREECLAMPSIA,DEFINIR ESTADIO HTA",IF(AND(OR(O173&gt;0,R173&gt;0),AND(CU173&gt;120,CU173&lt;=139)),"PRE HTA SEGUIMIENTO,RIESGO HIPERTENSION INDUCIDA POR EL EMBARAZO",IF(AND(OR(O173&gt;0,R173&gt;0),AND(CV173&gt;80,CV173&lt;=89)),"PRE HTA SEGUIMIENTO, RIESGO HIPERTENSION INDUCIDA POR EL EMBARAZO",IF(AND(OR(O173&lt;&gt;"",R173&lt;&gt;""),CS173&lt;&gt;"",CV173&lt;&gt;"",CS173&lt;=CV173),"VIGILAR CIFRAS PRESION ARTERIAL",IF(AND(OR(O173&gt;0,R173&gt;0),AND(CU173&gt;120,CU173&lt;=139)),"PRE HTA SEGUIMIENTO",IF(AND(OR(O173&gt;0,R173&gt;0),AND(CU173&gt;1,CU173&lt;=70),AND(CV173&gt;1,CV173&lt;=40)),"HIPOTENSIÓN",IF(AND(OR(O173&lt;&gt;"",R173&lt;&gt;""),CS173&lt;&gt;"",CV173&lt;&gt;"",CS173&gt;CV173),"APARENTEMENTE NORMAL",IF(AND(OR(O173&gt;0,R173&gt;0),AND(CU173&gt;=80,CU173&lt;=120)),"APARENTEMENTE NORMAL",IF(AND(OR(O173&gt;0,R173&gt;0),AND(CV173&gt;=50,CV173&lt;=80)),"APARENTEMENTE NORMAL","")))))))))))))</f>
        <v>NO APLICA REGISTRO TA-INGRESO TARDIO</v>
      </c>
      <c r="CX173" s="21"/>
      <c r="CY173" s="21"/>
      <c r="CZ173" s="216" t="str">
        <f t="shared" si="727"/>
        <v/>
      </c>
      <c r="DA173" s="21">
        <v>90</v>
      </c>
      <c r="DB173" s="21">
        <v>60</v>
      </c>
      <c r="DC173" s="217" t="str">
        <f t="shared" si="610"/>
        <v>APARENTEMENTE NORMAL</v>
      </c>
      <c r="DD173" s="22">
        <v>45063</v>
      </c>
      <c r="DE173" s="22">
        <v>45063</v>
      </c>
      <c r="DF173" s="22">
        <v>45155</v>
      </c>
      <c r="DG173" s="22"/>
      <c r="DH173" s="22"/>
      <c r="DI173" s="22"/>
      <c r="DJ173" s="22"/>
      <c r="DK173" s="22"/>
      <c r="DL173" s="22"/>
      <c r="DM173" s="22"/>
      <c r="DN173" s="22"/>
      <c r="DO173" s="22"/>
      <c r="DP173" s="22"/>
      <c r="DQ173" s="22"/>
      <c r="DR173" s="28">
        <v>0</v>
      </c>
      <c r="DS173" s="22"/>
      <c r="DT173" s="22"/>
      <c r="DU173" s="216" t="str">
        <f t="shared" ca="1" si="674"/>
        <v>CONCERTAR PLAN DE PARTO INMEDIATO</v>
      </c>
      <c r="DV173" s="226" t="str">
        <f t="shared" si="675"/>
        <v>ACTIVA INGRESO A CPN</v>
      </c>
      <c r="DW173"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
      </c>
      <c r="DX173" s="216" t="e">
        <f t="shared" ca="1" si="611"/>
        <v>#VALUE!</v>
      </c>
      <c r="DY173" s="212">
        <f>IF(R173="","",IF(R173&gt;0,MAX(Tabla1[[#This Row],[FECHA C2]:[FECHA C13]],Tabla1[[#This Row],[FECHA CONSULTA PRIMERA VEZ PROGRAMA CPN ]])))</f>
        <v>45155</v>
      </c>
      <c r="DZ173" s="216">
        <f t="shared" si="612"/>
        <v>45</v>
      </c>
      <c r="EA173" s="222">
        <f>IF(R173&gt;0,SUM(COUNTA(DF173:DQ173)+COUNTA(Tabla1[[#This Row],[FECHA CONSULTA PRIMERA VEZ PROGRAMA CPN ]])),"")</f>
        <v>2</v>
      </c>
      <c r="EB173" s="222" t="str">
        <f t="shared" si="613"/>
        <v>NO</v>
      </c>
      <c r="EC173" s="214">
        <f t="shared" si="614"/>
        <v>4</v>
      </c>
      <c r="ED173" s="227">
        <f t="shared" si="615"/>
        <v>0.5</v>
      </c>
      <c r="EE173" s="22">
        <v>45063</v>
      </c>
      <c r="EF173" s="22"/>
      <c r="EG173" s="22">
        <v>45063</v>
      </c>
      <c r="EH173" s="22"/>
      <c r="EI173" s="22">
        <v>45063</v>
      </c>
      <c r="EJ173" s="22"/>
      <c r="EK173" s="22"/>
      <c r="EL173" s="21"/>
      <c r="EM173" s="21">
        <v>11.1</v>
      </c>
      <c r="EN173" s="22">
        <v>45063</v>
      </c>
      <c r="EO173" s="222">
        <f t="shared" si="616"/>
        <v>31.88571428571387</v>
      </c>
      <c r="EP173" s="214" t="str">
        <f t="shared" si="617"/>
        <v>NORMAL- SUMINISTRAR SULFATO FERROSO</v>
      </c>
      <c r="EQ173" s="216" t="str">
        <f t="shared" si="618"/>
        <v>III TRIM</v>
      </c>
      <c r="ER173" s="24"/>
      <c r="ES173" s="22"/>
      <c r="ET173" s="29" t="str">
        <f t="shared" ca="1" si="676"/>
        <v>TOMA DE HEMOGLOBINA TARDÍA</v>
      </c>
      <c r="EU173" s="25" t="str">
        <f t="shared" si="619"/>
        <v/>
      </c>
      <c r="EV173" s="24" t="s">
        <v>866</v>
      </c>
      <c r="EW173" s="24">
        <v>45063</v>
      </c>
      <c r="EX173" s="22"/>
      <c r="EY173" s="29">
        <f t="shared" si="691"/>
        <v>31.88571428571387</v>
      </c>
      <c r="EZ173" s="25" t="str">
        <f t="shared" ca="1" si="692"/>
        <v/>
      </c>
      <c r="FA173" s="21">
        <v>71</v>
      </c>
      <c r="FB173" s="22">
        <v>45063</v>
      </c>
      <c r="FC173" s="29" t="str">
        <f t="shared" si="620"/>
        <v>NO APLICA &gt; 23 SEM -TOMAR PTOG</v>
      </c>
      <c r="FD173" s="29"/>
      <c r="FE173" s="29"/>
      <c r="FF173" s="29"/>
      <c r="FG173" s="21" t="str">
        <f t="shared" ca="1" si="621"/>
        <v/>
      </c>
      <c r="FH173" s="31"/>
      <c r="FI173" s="29" t="str">
        <f t="shared" si="622"/>
        <v>TOMAR EXAMEN</v>
      </c>
      <c r="FJ173" s="22"/>
      <c r="FK173" s="22"/>
      <c r="FL173" s="29" t="str">
        <f t="shared" ca="1" si="623"/>
        <v>NO APLICA-INGRESO TARDIO</v>
      </c>
      <c r="FM173" s="22" t="s">
        <v>867</v>
      </c>
      <c r="FN173" s="32">
        <v>45063</v>
      </c>
      <c r="FO173" s="29" t="str">
        <f t="shared" ca="1" si="677"/>
        <v>REGISTRAR EN III TRIMESTRE</v>
      </c>
      <c r="FP173" s="22"/>
      <c r="FQ173" s="32"/>
      <c r="FR173" s="29" t="str">
        <f t="shared" ca="1" si="678"/>
        <v>TOMA INMEDIATA DE TAMIZAJE</v>
      </c>
      <c r="FS173" s="22"/>
      <c r="FT173" s="32"/>
      <c r="FU173" s="29" t="str">
        <f>IF(AND(FJ173="",FM173="",FP173="",FS173=""),"",IF(OR(OR(Tabla1[[#This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3" s="28"/>
      <c r="FW173" s="22"/>
      <c r="FX173" s="29" t="str">
        <f t="shared" si="624"/>
        <v>TOMAR EXAMEN</v>
      </c>
      <c r="FY173" s="22">
        <v>45063</v>
      </c>
      <c r="FZ173" s="22" t="s">
        <v>1489</v>
      </c>
      <c r="GA173" s="29" t="e">
        <f t="shared" si="690"/>
        <v>#VALUE!</v>
      </c>
      <c r="GB173" s="22" t="s">
        <v>868</v>
      </c>
      <c r="GC173" s="22">
        <v>45063</v>
      </c>
      <c r="GD173" s="29" t="str">
        <f t="shared" ca="1" si="679"/>
        <v>REGISTRAR EN III TRIMESTRE</v>
      </c>
      <c r="GE173" s="22"/>
      <c r="GF173" s="22"/>
      <c r="GG173" s="29" t="str">
        <f t="shared" ca="1" si="680"/>
        <v>TOMA INMEDIATA DE TAMIZAJE</v>
      </c>
      <c r="GH173" s="22"/>
      <c r="GI173" s="29"/>
      <c r="GJ173" s="22"/>
      <c r="GK173" s="22"/>
      <c r="GL173" s="22"/>
      <c r="GM173" s="22"/>
      <c r="GN173" s="28" t="s">
        <v>869</v>
      </c>
      <c r="GO173" s="22">
        <v>45063</v>
      </c>
      <c r="GP173" s="29">
        <f t="shared" si="625"/>
        <v>31.88571428571387</v>
      </c>
      <c r="GQ173" s="28" t="s">
        <v>869</v>
      </c>
      <c r="GR173" s="28" t="s">
        <v>869</v>
      </c>
      <c r="GS173" s="22" t="str">
        <f t="shared" si="726"/>
        <v>CONTROL Igm</v>
      </c>
      <c r="GT173" s="22">
        <v>45063</v>
      </c>
      <c r="GU173" s="29">
        <f t="shared" si="627"/>
        <v>17.285714285714285</v>
      </c>
      <c r="GV173" s="21" t="str">
        <f t="shared" si="628"/>
        <v>II TRIM</v>
      </c>
      <c r="GW173" s="28" t="s">
        <v>869</v>
      </c>
      <c r="GX173" s="30"/>
      <c r="GY173" s="21"/>
      <c r="GZ173" s="21"/>
      <c r="HA173" s="21"/>
      <c r="HB173" s="21"/>
      <c r="HC173" s="21"/>
      <c r="HD173" s="21"/>
      <c r="HE173" s="21"/>
      <c r="HF173" s="22"/>
      <c r="HG173" s="22" t="str">
        <f>IF(OR(O173&gt;0,R173&gt;0),CONCATENATE(IF(Tabla1[[#This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3" s="22" t="e">
        <f t="shared" si="629"/>
        <v>#REF!</v>
      </c>
      <c r="HI173" s="22" t="e">
        <f t="shared" ca="1" si="630"/>
        <v>#REF!</v>
      </c>
      <c r="HJ173" s="21"/>
      <c r="HK173" s="21" t="str">
        <f t="shared" si="631"/>
        <v>SIN ANTECEDENTES DE RIESGO</v>
      </c>
      <c r="HL173" s="24" t="str">
        <f t="shared" si="632"/>
        <v>APARENTEMENTE NORMAL</v>
      </c>
      <c r="HM173" s="21" t="e">
        <f t="shared" ca="1" si="633"/>
        <v>#VALUE!</v>
      </c>
      <c r="HN173" s="30" t="str">
        <f t="shared" si="681"/>
        <v>ACTIVA INGRESO A CPN</v>
      </c>
      <c r="HO173" s="21"/>
      <c r="HP173" s="21"/>
      <c r="HQ173" s="21">
        <v>45063</v>
      </c>
      <c r="HR173" s="21" t="str">
        <f>IF(R173="","",IF(Tabla1[[#This Row],[ALARMA FACTORES DE RIESGO COMPLICACIONES HIPERTENSIVAS3]]="SIN ANTECEDENTES DE RIESGO","No Aplica para suministro de ASA",IF(AND(Tabla1[[#This Row],[FECHA INICIO DE SUMINISTRO DE ASA]]&gt;0,RV173&lt;12),"Inicia ASA ANTES de Sem 12",IF(AND(RV173&gt;11,RV173&lt;17,OR(HK173="RIESGO ALTO DE COMPLICACIONES HIPERTENSIVAS VER MANEJO GUIA SUMINISTRO ASA Y CALCIO",HK173="RIESGO MODERADO (2 O MAS CRITERIOS) VER MANEJO GUIA SUMINISTRO ASA Y CALCIO")),"Inicio oportuno de ASA",IF(AND(RV173&gt;12,OR(HK173="RIESGO ALTO DE COMPLICACIONES HIPERTENSIVAS VER MANEJO GUIA SUMINISTRO ASA Y CALCIO",HK173="RIESGO MODERADO (2 O MAS CRITERIOS) VER MANEJO GUIA SUMINISTRO ASA Y CALCIO")),"Inicio no oportuno mayor a 16 semanas",IF(AND(BU173&lt;12,OR(HK173="RIESGO ALTO DE COMPLICACIONES HIPERTENSIVAS VER MANEJO GUIA SUMINISTRO ASA Y CALCIO",HK173="RIESGO MODERADO (2 O MAS CRITERIOS) VER MANEJO GUIA SUMINISTRO ASA Y CALCIO")),"Pendiente Inicio de ASA a la semana 12",IF(AND(BU173&gt;11,BU173&lt;17,OR(HK173="RIESGO ALTO DE COMPLICACIONES HIPERTENSIVAS VER MANEJO GUIA SUMINISTRO ASA Y CALCIO",HK173="RIESGO MODERADO (2 O MAS CRITERIOS) VER MANEJO GUIA SUMINISTRO ASA Y CALCIO")),"Iniciar de inmediato ASA",IF(AND(BU173&gt;16,OR(HK173="RIESGO ALTO DE COMPLICACIONES HIPERTENSIVAS VER MANEJO GUIA SUMINISTRO ASA Y CALCIO",HK173="RIESGO MODERADO (2 O MAS CRITERIOS) VER MANEJO GUIA SUMINISTRO ASA Y CALCIO")),"Pierde Oportunidad, Inicio tardío de ASA","XXXXX"))))))))</f>
        <v>No Aplica para suministro de ASA</v>
      </c>
      <c r="HS173" s="22">
        <v>45063</v>
      </c>
      <c r="HT173" s="22" t="s">
        <v>870</v>
      </c>
      <c r="HU173" s="22"/>
      <c r="HV173" s="22"/>
      <c r="HW173" s="22">
        <v>45063</v>
      </c>
      <c r="HX173" s="22" t="s">
        <v>870</v>
      </c>
      <c r="HY173" s="22">
        <v>45063</v>
      </c>
      <c r="HZ173" s="28">
        <f t="shared" si="634"/>
        <v>31.88571428571387</v>
      </c>
      <c r="IA173" s="26"/>
      <c r="IB173" s="26"/>
      <c r="IC173" s="111"/>
      <c r="ID173" s="22"/>
      <c r="IE173" s="22" t="str">
        <f t="shared" ca="1" si="635"/>
        <v/>
      </c>
      <c r="IF173" s="22"/>
      <c r="IG173" s="22">
        <f t="shared" si="636"/>
        <v>45119.8</v>
      </c>
      <c r="IH173" s="29">
        <f t="shared" ca="1" si="637"/>
        <v>-113.19999999999709</v>
      </c>
      <c r="II173" s="22" t="str">
        <f t="shared" ca="1" si="638"/>
        <v>POSIBLEMENTE NACIO</v>
      </c>
      <c r="IJ173" s="22"/>
      <c r="IK173" s="21"/>
      <c r="IL173" s="21"/>
      <c r="IM173" s="34"/>
      <c r="IN173" s="349"/>
      <c r="IO173" s="21"/>
      <c r="IP173" s="29" t="str">
        <f t="shared" si="728"/>
        <v/>
      </c>
      <c r="IQ173" s="35"/>
      <c r="IR173" s="21"/>
      <c r="IS173" s="21"/>
      <c r="IT173" s="21"/>
      <c r="IU173" s="21"/>
      <c r="IV173" s="21"/>
      <c r="IW173" s="21"/>
      <c r="IX173" s="21"/>
      <c r="IY173" s="21"/>
      <c r="IZ173" s="21"/>
      <c r="JA173" s="21"/>
      <c r="JB173" s="30"/>
      <c r="JC173" s="21"/>
      <c r="JD173" s="36"/>
      <c r="JE173" s="21" t="str">
        <f t="shared" si="682"/>
        <v/>
      </c>
      <c r="JF173" s="30"/>
      <c r="JG173" s="21"/>
      <c r="JH173" s="21"/>
      <c r="JI173" s="21"/>
      <c r="JJ173" s="30"/>
      <c r="JK173" s="22"/>
      <c r="JL173" s="22"/>
      <c r="JM173" s="21"/>
      <c r="JN173" s="36"/>
      <c r="JO173" s="21" t="str">
        <f t="shared" si="683"/>
        <v/>
      </c>
      <c r="JP173" s="22"/>
      <c r="JQ173" s="21"/>
      <c r="JR173" s="21"/>
      <c r="JS173" s="21"/>
      <c r="JT173" s="30"/>
      <c r="JU173" s="22"/>
      <c r="JV173" s="22"/>
      <c r="JW173" s="33"/>
      <c r="JX173" s="28" t="str">
        <f t="shared" si="684"/>
        <v/>
      </c>
      <c r="JY173" s="33"/>
      <c r="JZ173" s="28" t="str">
        <f t="shared" si="685"/>
        <v/>
      </c>
      <c r="KA173" s="21"/>
      <c r="KB173" s="21"/>
      <c r="KC173" s="21"/>
      <c r="KD173" s="37"/>
      <c r="KE173" s="28"/>
      <c r="KF173" s="28"/>
      <c r="KG173" s="28"/>
      <c r="KH173" s="39"/>
      <c r="KI173" s="39"/>
      <c r="KJ173" s="66"/>
      <c r="KK173" s="39"/>
      <c r="KL173" s="39"/>
      <c r="KM173" s="66"/>
      <c r="KN173" s="39"/>
      <c r="KO173" s="39"/>
      <c r="KP173" s="39"/>
      <c r="KQ173" s="39"/>
      <c r="KR173" s="39"/>
      <c r="KS173" s="39"/>
      <c r="KT173" s="39"/>
      <c r="KU173" s="38"/>
      <c r="KV173" s="38"/>
      <c r="KW173" s="38"/>
      <c r="KX173" s="38"/>
      <c r="KY173" s="38"/>
      <c r="KZ173" s="38"/>
      <c r="LA173" s="38"/>
      <c r="LB173" s="38"/>
      <c r="LC173" s="38"/>
      <c r="LD173" s="38"/>
      <c r="LE173" s="38"/>
      <c r="LF173" s="38"/>
      <c r="LG173" s="38"/>
      <c r="LH173" s="38"/>
      <c r="LI173" s="38"/>
      <c r="LJ173" s="38"/>
      <c r="LK173" s="38"/>
      <c r="LL173" s="38"/>
      <c r="LM173" s="38"/>
      <c r="LN173" s="38"/>
      <c r="LO173" s="38"/>
      <c r="LP173" s="38"/>
      <c r="LQ173" s="38"/>
      <c r="LR173" s="38"/>
      <c r="LS173" s="38"/>
      <c r="LT173" s="38"/>
      <c r="LU173" s="38"/>
      <c r="LV173" s="38"/>
      <c r="LW173" s="38"/>
      <c r="LX173" s="38"/>
      <c r="LY173" s="38"/>
      <c r="LZ173" s="38"/>
      <c r="MA173" s="38"/>
      <c r="MB173" s="38"/>
      <c r="MC173" s="38"/>
      <c r="MD173" s="38"/>
      <c r="ME173" s="38"/>
      <c r="MF173" s="38"/>
      <c r="MG173" s="38"/>
      <c r="MH173" s="43">
        <f t="shared" si="695"/>
        <v>0</v>
      </c>
      <c r="MI173" s="43" t="str">
        <f t="shared" si="696"/>
        <v/>
      </c>
      <c r="MJ173" s="43" t="str">
        <f t="shared" si="697"/>
        <v/>
      </c>
      <c r="MK173" s="43">
        <f t="shared" si="698"/>
        <v>0</v>
      </c>
      <c r="ML17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3" s="43">
        <f t="shared" si="699"/>
        <v>31.88571428571387</v>
      </c>
      <c r="MN173" s="43">
        <f t="shared" si="700"/>
        <v>5</v>
      </c>
      <c r="MO173" s="43">
        <f t="shared" si="701"/>
        <v>2023</v>
      </c>
      <c r="MP173" s="43" t="str">
        <f t="shared" si="702"/>
        <v>II TRIMESTRE AÑO</v>
      </c>
      <c r="MQ173" s="43">
        <f t="shared" si="703"/>
        <v>32.629763469119574</v>
      </c>
      <c r="MR173" s="43">
        <f t="shared" si="704"/>
        <v>0</v>
      </c>
      <c r="MS173" s="43" t="str">
        <f t="shared" si="705"/>
        <v xml:space="preserve"> DE 30 A 34 AÑOS</v>
      </c>
      <c r="MT173" s="43">
        <f t="shared" si="706"/>
        <v>0</v>
      </c>
      <c r="MU173" s="43">
        <f t="shared" si="707"/>
        <v>0</v>
      </c>
      <c r="MV173" s="43">
        <f t="shared" si="708"/>
        <v>0</v>
      </c>
      <c r="MW173" s="43">
        <f t="shared" si="709"/>
        <v>0</v>
      </c>
      <c r="MX173" s="43" t="str">
        <f t="shared" si="710"/>
        <v/>
      </c>
      <c r="MY173" s="43" t="str">
        <f t="shared" ca="1" si="686"/>
        <v/>
      </c>
      <c r="MZ173" s="43" t="str">
        <f t="shared" si="711"/>
        <v/>
      </c>
      <c r="NA173" s="43" t="str">
        <f t="shared" si="712"/>
        <v/>
      </c>
      <c r="NB173" s="43" t="str">
        <f t="shared" si="713"/>
        <v/>
      </c>
      <c r="NC173" s="43" t="str">
        <f t="shared" si="714"/>
        <v/>
      </c>
      <c r="ND173" s="43">
        <f t="shared" ca="1" si="715"/>
        <v>0</v>
      </c>
      <c r="NE173" s="43">
        <f>IF(OR(O173&gt;0,R173&gt;0),SUM(COUNTIF(Tabla1[[#This Row],[AÑOS AL INICIO5 CPN]],"&gt;=40"),COUNTIF(AS173,"0"),COUNTIF(AR173,"SI"),COUNTIF(CC173,"SI"),COUNTIF(BQ173,"&gt;119"),COUNTIF(CI173,"&gt;=35")),"")</f>
        <v>0</v>
      </c>
      <c r="NF173" s="43" t="str">
        <f t="shared" si="716"/>
        <v/>
      </c>
      <c r="NG173" s="43">
        <f t="shared" si="717"/>
        <v>0</v>
      </c>
      <c r="NH173" s="43">
        <f t="shared" si="718"/>
        <v>102.2</v>
      </c>
      <c r="NI17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CPN",P173="NO"),"Z",IF(AND(Tabla1[[#This Row],[CITA PROXIMO CONTROL]]="CITA MANUAL",Tabla1[[#This Row],[GESTANTES ACTUALES]]="ACTIVA INGRESO A CPN"),"W",IF(AND(Tabla1[[#This Row],[GESTANTES ACTUALES]]="SALIO PROGRAMA",IN173=""),"S",IF(AND(Tabla1[[#This Row],[CITA PROXIMO CONTROL]]&gt;0,IN173=""),(Tabla1[[#This Row],[CITA PROXIMO CONTROL]]-TODAY()),"SD"))))))))</f>
        <v>#VALUE!</v>
      </c>
      <c r="NJ173" s="43">
        <f>MONTH(Tabla1[[#This Row],[FECHA DE SALIDA  DEL PROGRAMA]])</f>
        <v>1</v>
      </c>
      <c r="NK173" s="43">
        <f>YEAR(Tabla1[[#This Row],[FECHA DE SALIDA  DEL PROGRAMA]])</f>
        <v>1900</v>
      </c>
      <c r="NL173" s="43" t="str">
        <f t="shared" si="719"/>
        <v>X</v>
      </c>
      <c r="NM173" s="43" t="str">
        <f t="shared" si="693"/>
        <v>NO</v>
      </c>
      <c r="NN173" s="43" t="str">
        <f ca="1">IF(AND(O173&gt;0,R173=""),"NO CPN",IF(AND(O173="",R173=""),"",IF(AND(R173&gt;0,Tabla1[[#This Row],[SEMANAS DE GESTACION ACTUALIZADAS]]&lt;=12),"NO APLICA",IF(AND(FH173&lt;&gt;"",FN173&lt;&gt;""),"SI","NO"))))</f>
        <v>NO</v>
      </c>
      <c r="NO173" s="43" t="str">
        <f ca="1">IF(AND(O173&gt;0,R173=""),"NO CPN",IF(AND(O173="",R173=""),"",IF(AND(R173&gt;0,Tabla1[[#This Row],[SEMANAS DE GESTACION ACTUALIZADAS]]&lt;=27),"NO APLICA",IF(AND(ES173&lt;&gt;"",FQ173&lt;&gt;"",GF173&lt;&gt;""),"SI","NO"))))</f>
        <v>NO</v>
      </c>
      <c r="NP173" s="204" t="str">
        <f t="shared" si="720"/>
        <v>III TRIM</v>
      </c>
      <c r="NQ173" s="21" t="str">
        <f t="shared" si="729"/>
        <v/>
      </c>
      <c r="NR173" s="21">
        <f t="shared" si="687"/>
        <v>1</v>
      </c>
      <c r="NS173" s="205">
        <f t="shared" ca="1" si="721"/>
        <v>0</v>
      </c>
      <c r="NT173" s="21">
        <f t="shared" ca="1" si="722"/>
        <v>0</v>
      </c>
      <c r="NU173" s="21" t="str">
        <f t="shared" ca="1" si="723"/>
        <v>INCOMPLETO</v>
      </c>
      <c r="NV173" s="21" t="str">
        <f t="shared" ca="1" si="724"/>
        <v>INCOMPLETO</v>
      </c>
      <c r="NW173" s="206" t="str">
        <f>IF(AND(O173="",R173=""),"",IF(OR(AND(Tabla1[[#This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3" s="207" t="str">
        <f t="shared" ca="1" si="725"/>
        <v>SIN VACUNAR</v>
      </c>
      <c r="NY173" s="43">
        <f>ROW(Tabla1[[#This Row],['# DE TAMIZAJES SIFILIS TOMADOS ]])</f>
        <v>173</v>
      </c>
      <c r="NZ173" s="43">
        <f t="shared" si="501"/>
        <v>31</v>
      </c>
      <c r="OA173" s="43" t="str">
        <f t="shared" si="502"/>
        <v/>
      </c>
      <c r="OB173" s="43" t="str">
        <f t="shared" si="503"/>
        <v/>
      </c>
      <c r="OC173" s="43" t="str">
        <f t="shared" si="504"/>
        <v/>
      </c>
      <c r="OD173" s="43" t="str">
        <f t="shared" si="505"/>
        <v/>
      </c>
      <c r="OE173" s="43" t="str">
        <f t="shared" si="506"/>
        <v/>
      </c>
      <c r="OF173" s="43" t="str">
        <f t="shared" si="507"/>
        <v/>
      </c>
      <c r="OG173" s="43" t="str">
        <f t="shared" si="508"/>
        <v/>
      </c>
      <c r="OH173" s="43" t="str">
        <f t="shared" si="509"/>
        <v/>
      </c>
      <c r="OI173" s="43" t="str">
        <f t="shared" si="510"/>
        <v/>
      </c>
      <c r="OJ173" s="43" t="str">
        <f t="shared" si="511"/>
        <v/>
      </c>
      <c r="OK173" s="43" t="str">
        <f t="shared" si="512"/>
        <v/>
      </c>
      <c r="OL173" s="43" t="str">
        <f t="shared" si="513"/>
        <v/>
      </c>
      <c r="OM173" s="43" t="str">
        <f t="shared" si="514"/>
        <v/>
      </c>
      <c r="ON173" s="43" t="str">
        <f t="shared" si="515"/>
        <v/>
      </c>
      <c r="OO173" s="43" t="str">
        <f t="shared" si="516"/>
        <v/>
      </c>
      <c r="OP173" s="43" t="str">
        <f t="shared" si="517"/>
        <v/>
      </c>
      <c r="OQ173" s="43" t="str">
        <f t="shared" si="518"/>
        <v/>
      </c>
      <c r="OR173" s="43" t="str">
        <f t="shared" si="519"/>
        <v/>
      </c>
      <c r="OS173" s="43" t="str">
        <f t="shared" si="520"/>
        <v/>
      </c>
      <c r="OT173" s="43" t="str">
        <f t="shared" si="521"/>
        <v/>
      </c>
      <c r="OU173" s="43" t="str">
        <f t="shared" si="522"/>
        <v/>
      </c>
      <c r="OV173" s="110" t="str">
        <f t="shared" si="523"/>
        <v/>
      </c>
      <c r="OW173" s="43" t="str">
        <f t="shared" si="524"/>
        <v>BAJO PESO</v>
      </c>
      <c r="OX173" s="43" t="str">
        <f t="shared" si="525"/>
        <v/>
      </c>
      <c r="OY173" s="43" t="str">
        <f t="shared" si="526"/>
        <v/>
      </c>
      <c r="OZ173" s="43" t="str">
        <f t="shared" si="527"/>
        <v/>
      </c>
      <c r="PA173" s="43" t="str">
        <f t="shared" si="528"/>
        <v/>
      </c>
      <c r="PB173" s="43" t="str">
        <f t="shared" si="529"/>
        <v/>
      </c>
      <c r="PC173" s="43" t="str">
        <f t="shared" si="530"/>
        <v/>
      </c>
      <c r="PD173" s="43" t="str">
        <f t="shared" si="531"/>
        <v/>
      </c>
      <c r="PE173" s="43" t="str">
        <f t="shared" si="532"/>
        <v/>
      </c>
      <c r="PF173" s="43" t="str">
        <f t="shared" si="533"/>
        <v/>
      </c>
      <c r="PG173" s="43" t="str">
        <f t="shared" si="534"/>
        <v/>
      </c>
      <c r="PH173" s="43" t="str">
        <f t="shared" si="535"/>
        <v/>
      </c>
      <c r="PI173" s="43">
        <f t="shared" si="536"/>
        <v>45</v>
      </c>
      <c r="PJ173" s="43" t="str">
        <f t="shared" si="537"/>
        <v/>
      </c>
      <c r="PK173" s="43" t="str">
        <f t="shared" si="538"/>
        <v/>
      </c>
      <c r="PL173" s="43" t="str">
        <f t="shared" si="539"/>
        <v/>
      </c>
      <c r="PM173" s="43" t="str">
        <f t="shared" si="540"/>
        <v/>
      </c>
      <c r="PN173" s="43" t="str">
        <f t="shared" si="541"/>
        <v/>
      </c>
      <c r="PO173" s="43" t="str">
        <f t="shared" si="542"/>
        <v/>
      </c>
      <c r="PP173" s="43" t="str">
        <f t="shared" si="543"/>
        <v/>
      </c>
      <c r="PQ173" s="43" t="str">
        <f t="shared" si="544"/>
        <v/>
      </c>
      <c r="PR173" s="43" t="str">
        <f t="shared" si="545"/>
        <v/>
      </c>
      <c r="PS173" s="43" t="str">
        <f t="shared" si="546"/>
        <v/>
      </c>
      <c r="PT173" s="43" t="str">
        <f t="shared" si="547"/>
        <v/>
      </c>
      <c r="PU173" s="43" t="str">
        <f t="shared" si="548"/>
        <v/>
      </c>
      <c r="PV173" s="43" t="str">
        <f t="shared" si="549"/>
        <v/>
      </c>
      <c r="PW173" s="43" t="str">
        <f t="shared" si="550"/>
        <v/>
      </c>
      <c r="PX173" s="43" t="str">
        <f t="shared" si="551"/>
        <v/>
      </c>
      <c r="PY173" s="43" t="str">
        <f t="shared" si="552"/>
        <v/>
      </c>
      <c r="PZ173" s="43" t="str">
        <f t="shared" si="553"/>
        <v/>
      </c>
      <c r="QA173" s="43" t="str">
        <f t="shared" si="554"/>
        <v/>
      </c>
      <c r="QB173" s="43" t="str">
        <f t="shared" si="555"/>
        <v/>
      </c>
      <c r="QC173" s="43" t="str">
        <f t="shared" si="556"/>
        <v/>
      </c>
      <c r="QD173" s="43" t="str">
        <f t="shared" si="557"/>
        <v/>
      </c>
      <c r="QE173" s="43" t="str">
        <f t="shared" si="558"/>
        <v/>
      </c>
      <c r="QF173" s="43" t="str">
        <f t="shared" si="559"/>
        <v/>
      </c>
      <c r="QG173" s="43" t="str">
        <f t="shared" si="560"/>
        <v/>
      </c>
      <c r="QH173" s="43" t="str">
        <f t="shared" si="561"/>
        <v/>
      </c>
      <c r="QI173" s="43" t="str">
        <f t="shared" si="562"/>
        <v/>
      </c>
      <c r="QJ173" s="43" t="str">
        <f t="shared" si="563"/>
        <v/>
      </c>
      <c r="QK173" s="43" t="str">
        <f t="shared" si="564"/>
        <v/>
      </c>
      <c r="QL173" s="43" t="str">
        <f t="shared" si="565"/>
        <v/>
      </c>
      <c r="QM173" s="43" t="str">
        <f t="shared" si="566"/>
        <v/>
      </c>
      <c r="QN173" s="43" t="str">
        <f t="shared" si="567"/>
        <v/>
      </c>
      <c r="QO173" s="43" t="str">
        <f t="shared" si="568"/>
        <v/>
      </c>
      <c r="QP173" s="43" t="str">
        <f t="shared" si="569"/>
        <v/>
      </c>
      <c r="QQ173" s="43" t="str">
        <f t="shared" si="570"/>
        <v/>
      </c>
      <c r="QR173" s="43" t="str">
        <f t="shared" si="670"/>
        <v>Mayor</v>
      </c>
      <c r="QS173" s="43"/>
      <c r="QT173" s="21" t="str">
        <f t="shared" si="571"/>
        <v/>
      </c>
      <c r="QU173" s="21" t="str">
        <f t="shared" si="572"/>
        <v/>
      </c>
      <c r="QV173" s="21" t="str">
        <f t="shared" si="573"/>
        <v/>
      </c>
      <c r="QW173" s="21" t="str">
        <f t="shared" si="574"/>
        <v/>
      </c>
      <c r="QX173" s="21" t="str">
        <f t="shared" si="575"/>
        <v/>
      </c>
      <c r="QY173" s="21" t="str">
        <f t="shared" si="576"/>
        <v/>
      </c>
      <c r="QZ173" s="21" t="str">
        <f t="shared" si="577"/>
        <v/>
      </c>
      <c r="RA173" s="21" t="str">
        <f t="shared" si="578"/>
        <v/>
      </c>
      <c r="RB173" s="21" t="str">
        <f t="shared" si="579"/>
        <v/>
      </c>
      <c r="RC173" s="21" t="str">
        <f t="shared" si="580"/>
        <v/>
      </c>
      <c r="RD173" s="21" t="str">
        <f t="shared" si="581"/>
        <v/>
      </c>
      <c r="RE173" s="21" t="str">
        <f t="shared" si="582"/>
        <v/>
      </c>
      <c r="RF173" s="21" t="str">
        <f t="shared" si="583"/>
        <v/>
      </c>
      <c r="RG173" s="21" t="str">
        <f t="shared" si="584"/>
        <v/>
      </c>
      <c r="RH173" s="21" t="str">
        <f t="shared" si="585"/>
        <v/>
      </c>
      <c r="RI173" s="21" t="str">
        <f t="shared" si="586"/>
        <v/>
      </c>
      <c r="RJ173" s="21" t="str">
        <f t="shared" si="587"/>
        <v/>
      </c>
      <c r="RK173" s="21" t="str">
        <f t="shared" si="588"/>
        <v/>
      </c>
      <c r="RL173" s="21" t="str">
        <f t="shared" si="589"/>
        <v/>
      </c>
      <c r="RM173" s="21" t="str">
        <f t="shared" si="590"/>
        <v/>
      </c>
      <c r="RN173" s="21" t="str">
        <f t="shared" si="591"/>
        <v/>
      </c>
      <c r="RO173" s="21" t="str">
        <f t="shared" si="592"/>
        <v/>
      </c>
      <c r="RP173" s="21" t="str">
        <f t="shared" si="593"/>
        <v/>
      </c>
      <c r="RQ173" s="21" t="str">
        <f t="shared" si="594"/>
        <v/>
      </c>
      <c r="RR173" s="21" t="str">
        <f t="shared" si="595"/>
        <v/>
      </c>
      <c r="RS173" s="21" t="str">
        <f t="shared" si="596"/>
        <v/>
      </c>
      <c r="RT173" s="21" t="str">
        <f t="shared" si="597"/>
        <v/>
      </c>
      <c r="RU173" s="21" t="str">
        <f t="shared" si="598"/>
        <v/>
      </c>
      <c r="RV173" s="21">
        <f t="shared" si="599"/>
        <v>31.88571428571387</v>
      </c>
      <c r="RW173" s="284">
        <f>IF(OR(Tabla1[[#This Row],[FUM FORMULA CONFIABLE]]="",Tabla1[[#This Row],[FUM FORMULA CONFIABLE]]="SD"),"",IF(Tabla1[[#This Row],[FUM FORMULA CONFIABLE]]="CORREGIDA",Tabla1[[#This Row],[FUM X ECO 1]],Tabla1[[#This Row],[FUM x AMENORREA]]))</f>
        <v>44839.8</v>
      </c>
      <c r="RX173" s="21">
        <f>IF(AND(Tabla1[[#This Row],[FUM X ECO 1]]="",Tabla1[[#This Row],[FUM x AMENORREA]]=""),"",IF(AND(Tabla1[[#This Row],[FUM X ECO 1]]="",Tabla1[[#This Row],[FUM x AMENORREA]]&lt;&gt;""),"X",SUM(Tabla1[[#This Row],[FUM X ECO 1]]-Tabla1[[#This Row],[FUM x AMENORREA]])))</f>
        <v>-102.19999999999709</v>
      </c>
      <c r="RY173" s="21">
        <f t="shared" si="671"/>
        <v>1</v>
      </c>
    </row>
    <row r="174" spans="1:493" ht="45" customHeight="1" x14ac:dyDescent="0.25">
      <c r="A174" s="109"/>
      <c r="B174" s="43"/>
      <c r="C174" s="43" t="s">
        <v>845</v>
      </c>
      <c r="D174" s="124"/>
      <c r="E174" s="43" t="s">
        <v>974</v>
      </c>
      <c r="F174" s="43" t="s">
        <v>943</v>
      </c>
      <c r="G174" s="43" t="s">
        <v>1217</v>
      </c>
      <c r="H174" s="43" t="s">
        <v>1490</v>
      </c>
      <c r="I174" s="109" t="s">
        <v>851</v>
      </c>
      <c r="J174" s="110" t="s">
        <v>1491</v>
      </c>
      <c r="K174" s="43" t="s">
        <v>852</v>
      </c>
      <c r="L174" s="175" t="s">
        <v>1509</v>
      </c>
      <c r="M174" s="22">
        <v>31149</v>
      </c>
      <c r="N174" s="213">
        <f t="shared" ca="1" si="600"/>
        <v>38.586301369863016</v>
      </c>
      <c r="O174" s="22">
        <v>45065</v>
      </c>
      <c r="P174" s="214" t="str">
        <f t="shared" si="673"/>
        <v>SI</v>
      </c>
      <c r="Q174" s="26" t="s">
        <v>855</v>
      </c>
      <c r="R174" s="22">
        <v>45065</v>
      </c>
      <c r="S174" s="21" t="s">
        <v>856</v>
      </c>
      <c r="T174" s="24" t="s">
        <v>690</v>
      </c>
      <c r="U174" s="21" t="s">
        <v>857</v>
      </c>
      <c r="V174" s="21" t="s">
        <v>858</v>
      </c>
      <c r="W174" s="21" t="s">
        <v>846</v>
      </c>
      <c r="X174" s="21"/>
      <c r="Y174" s="21"/>
      <c r="Z174" s="21">
        <v>3233082485</v>
      </c>
      <c r="AA174" s="21" t="s">
        <v>860</v>
      </c>
      <c r="AB174" s="27" t="s">
        <v>861</v>
      </c>
      <c r="AC174" s="26" t="s">
        <v>846</v>
      </c>
      <c r="AD174" s="38" t="s">
        <v>1546</v>
      </c>
      <c r="AE174" s="26" t="s">
        <v>854</v>
      </c>
      <c r="AF174" s="26" t="s">
        <v>854</v>
      </c>
      <c r="AG174" s="23" t="s">
        <v>864</v>
      </c>
      <c r="AH174" s="23" t="s">
        <v>864</v>
      </c>
      <c r="AI174" s="24" t="s">
        <v>863</v>
      </c>
      <c r="AJ174" s="23" t="s">
        <v>864</v>
      </c>
      <c r="AK174" s="220" t="str">
        <f>IF(AND(AD174="",AE174="",AF174="",AG174="",AH174="",AI174="",AJ174=""),"",IF(OR(Tabla1[[#This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EVALUACIÓN",IF(AND(O174="",R174=""),"",IF(AND(OR(O174&gt;0,R174&gt;0),NG174&gt;=0,NG174&lt;2),"SIN RIESGO",IF(AND(OR(O174&gt;0,R174&gt;0),NG174&gt;=2),"CON RIESGO","ASD")))))</f>
        <v>SIN RIESGO</v>
      </c>
      <c r="AL174" s="23" t="s">
        <v>864</v>
      </c>
      <c r="AM174" s="26" t="s">
        <v>864</v>
      </c>
      <c r="AN174" s="26" t="s">
        <v>864</v>
      </c>
      <c r="AO174" s="26" t="s">
        <v>864</v>
      </c>
      <c r="AP174" s="26" t="s">
        <v>864</v>
      </c>
      <c r="AQ174" s="26" t="s">
        <v>864</v>
      </c>
      <c r="AR174" s="26" t="s">
        <v>864</v>
      </c>
      <c r="AS174" s="21">
        <v>6</v>
      </c>
      <c r="AT174" s="21">
        <v>5</v>
      </c>
      <c r="AU174" s="21">
        <v>1</v>
      </c>
      <c r="AV174" s="26" t="s">
        <v>864</v>
      </c>
      <c r="AW174" s="21">
        <v>0</v>
      </c>
      <c r="AX174" s="26" t="s">
        <v>864</v>
      </c>
      <c r="AY174" s="26" t="s">
        <v>864</v>
      </c>
      <c r="AZ174" s="26" t="s">
        <v>864</v>
      </c>
      <c r="BA174" s="26" t="s">
        <v>864</v>
      </c>
      <c r="BB174" s="26" t="s">
        <v>864</v>
      </c>
      <c r="BC174" s="26" t="s">
        <v>864</v>
      </c>
      <c r="BD174" s="26" t="s">
        <v>864</v>
      </c>
      <c r="BE174" s="26" t="s">
        <v>864</v>
      </c>
      <c r="BF174" s="26" t="s">
        <v>864</v>
      </c>
      <c r="BG174" s="26" t="s">
        <v>864</v>
      </c>
      <c r="BH174" s="26" t="s">
        <v>864</v>
      </c>
      <c r="BI174" s="26" t="s">
        <v>864</v>
      </c>
      <c r="BJ174" s="26" t="s">
        <v>864</v>
      </c>
      <c r="BK174" s="26" t="s">
        <v>864</v>
      </c>
      <c r="BL174" s="26" t="s">
        <v>864</v>
      </c>
      <c r="BM174" s="26" t="s">
        <v>864</v>
      </c>
      <c r="BN174" s="22">
        <v>42097</v>
      </c>
      <c r="BO174" s="22">
        <v>44995</v>
      </c>
      <c r="BP174" s="21" t="s">
        <v>854</v>
      </c>
      <c r="BQ174" s="222">
        <f t="shared" si="601"/>
        <v>96.6</v>
      </c>
      <c r="BR174" s="223">
        <f t="shared" si="602"/>
        <v>44829.8</v>
      </c>
      <c r="BS174" s="224">
        <f t="shared" si="603"/>
        <v>10</v>
      </c>
      <c r="BT174" s="216" t="str">
        <f t="shared" si="604"/>
        <v>II TRIM</v>
      </c>
      <c r="BU174" s="214">
        <f t="shared" ca="1" si="605"/>
        <v>34</v>
      </c>
      <c r="BV174" s="25" t="s">
        <v>988</v>
      </c>
      <c r="BW174" s="22">
        <v>44995</v>
      </c>
      <c r="BX174" s="28">
        <v>23.6</v>
      </c>
      <c r="BY174" s="28"/>
      <c r="BZ174" s="22"/>
      <c r="CA174" s="21"/>
      <c r="CB174" s="26" t="s">
        <v>864</v>
      </c>
      <c r="CC174" s="26" t="s">
        <v>864</v>
      </c>
      <c r="CD174" s="26"/>
      <c r="CE174" s="26" t="s">
        <v>864</v>
      </c>
      <c r="CF174" s="22" t="s">
        <v>1517</v>
      </c>
      <c r="CG174" s="21">
        <v>1.51</v>
      </c>
      <c r="CH174" s="21">
        <v>60</v>
      </c>
      <c r="CI174" s="214">
        <f t="shared" si="606"/>
        <v>26.314635323012148</v>
      </c>
      <c r="CJ174" s="225" t="e">
        <f>IF(AND(CI174&lt;10,CH174="SD"),"SIN DATO PESO PREGESTACION O I TRIM",IF(AND(OR(R174&gt;0,O174&gt;0),CI174="X"),"INGRESAR DATO DE PESO",IF(CI174="SD","INGRESAR DATO DE TALLA Y PESO",IF(AND(OR(Tabla1[[#This Row],[MOMENTO EN QUE SE REALIZA EL PESO AL INGRESO A CPN]]="PREGESTACIÓN",NZ174="Menor"),CI174&lt;18.5),"BAJO PESO",IF(AND(OR(Tabla1[[#This Row],[MOMENTO EN QUE SE REALIZA EL PESO AL INGRESO A CPN]]="PREGESTACIÓN",NZ174="Menor"),CI174&lt;25),"NORMAL",IF(AND(OR(Tabla1[[#This Row],[MOMENTO EN QUE SE REALIZA EL PESO AL INGRESO A CPN]]="PREGESTACIÓN",NZ174="Menor"),CI174&lt;30),"SOBREPESO",IF(AND(OR(Tabla1[[#This Row],[MOMENTO EN QUE SE REALIZA EL PESO AL INGRESO A CPN]]="PREGESTACIÓN",NZ174="Menor"),CI174&gt;=30,CI174&lt;50),"OBESIDAD",IF(AND(BS174&gt;0,Tabla1[[#This Row],[MOMENTO EN QUE SE REALIZA EL PESO AL INGRESO A CPN]]="GESTACIÓN"),HLOOKUP(NZ174,$OA$2:PH174,NY174),""))))))))</f>
        <v>#REF!</v>
      </c>
      <c r="CK174" s="212">
        <f t="shared" si="607"/>
        <v>45154</v>
      </c>
      <c r="CL174" s="21">
        <v>63.5</v>
      </c>
      <c r="CM174" s="214">
        <f t="shared" si="608"/>
        <v>27.849655716854524</v>
      </c>
      <c r="CN174" s="216">
        <f t="shared" si="609"/>
        <v>22</v>
      </c>
      <c r="CO174" s="216" t="e">
        <f>IF(PI174="","",IF(PI174&gt;0,HLOOKUP(PI174,$PJ$2:QQ174,NY174),""))</f>
        <v>#REF!</v>
      </c>
      <c r="CP174" s="21">
        <v>24</v>
      </c>
      <c r="CQ174" s="216" t="e">
        <f>IF(QR174="Menor","NO APLICA-MENOR 13 SEM",IF(AND(CC174="SI",CN174&gt;23),"NO APLICA- GEMELAR",IF(QR174="","",IF(QR174&gt;0,HLOOKUP(QR174,$QS$2:RU174,NY174),""))))</f>
        <v>#REF!</v>
      </c>
      <c r="CR174" s="21">
        <v>100</v>
      </c>
      <c r="CS174" s="21">
        <v>70</v>
      </c>
      <c r="CT174" s="217" t="str">
        <f>IF(R174="","",IF(AND(BS174&gt;1,BS174&lt;12,Tabla1[[#This Row],[T.A. SISTOLICA - ANTES DE SEMANA 12]]="",Tabla1[[#This Row],[T.A. DIASTOLICA - ANTES DE SEMANA 12]]=""),"REGISTRE DATO TA ANTES SEMANA 12",IF(AND(BS174&gt;11,BS174&lt;43,Tabla1[[#This Row],[T.A. SISTOLICA - ANTES DE SEMANA 12]]="",Tabla1[[#This Row],[T.A. DIASTOLICA - ANTES DE SEMANA 12]]=""),"NO APLICA REGISTRO TA-INGRESO TARDIO",IF(AND(OR(O174&gt;0,R174&gt;0),OR(CR174&gt;=140,CS174&gt;=90)),"DEFINIR ESTADIO HTA",IF(AND(OR(O174&gt;0,R174&gt;0),AND(CR174&gt;120,CR174&lt;=139)),"PRE HTA SEGUIMIENTO",IF(AND(OR(O174&gt;0,R174&gt;0),AND(CS174&gt;80,CS174&lt;=89)),"PRE HTA SEGUIMIENTO",IF(AND(OR(O174&gt;0,R174&gt;0),AND(CR174&gt;=80,CR174&lt;=120)),"APARENTEMENTE NORMAL",IF(AND(OR(O174&gt;0,R174&gt;0),AND(CS174&gt;=50,CS174&lt;=80)),"APARENTEMENTE NORMAL",IF(AND(OR(O174&gt;0,R174&gt;0),AND(CR174&gt;1,CR174&lt;=70),AND(CS174&gt;1,CS174&lt;=40)),"HIPOTENSIÓN","")))))))))</f>
        <v>APARENTEMENTE NORMAL</v>
      </c>
      <c r="CU174" s="21">
        <v>100</v>
      </c>
      <c r="CV174" s="21">
        <v>60</v>
      </c>
      <c r="CW174" s="217" t="str">
        <f ca="1">IF(R174="","",IF(AND(CN174&gt;19,CN174&lt;27,Tabla1[[#This Row],[T.A. SISTOLICA (Entre semana 20 y 26)]]="",Tabla1[[#This Row],[T.A. DIATOLICA (Entre semana 20 y 26)]]=""),"ACUDE A CONTROL SEM 20 A 26 REGISTRE TA AHORA",IF(AND(BS174&gt;1,BS174&lt;27,BU174&gt;19,Tabla1[[#This Row],[T.A. SISTOLICA (Entre semana 20 y 26)]]="",Tabla1[[#This Row],[T.A. DIATOLICA (Entre semana 20 y 26)]]=""),"COMPLETE REGISTRO TA CONTROL SEM 20 A26 ",IF(AND(BS174&gt;26,BS174&lt;43,Tabla1[[#This Row],[T.A. SISTOLICA (Entre semana 20 y 26)]]="",Tabla1[[#This Row],[T.A. DIATOLICA (Entre semana 20 y 26)]]=""),"NO APLICA REGISTRO TA-INGRESO TARDIO",IF(AND(OR(O174&gt;0,R174&gt;0),OR(CU174&gt;=140,CV174&gt;=90)),"ALTO RIESGO PREECLAMPSIA,DEFINIR ESTADIO HTA",IF(AND(OR(O174&gt;0,R174&gt;0),AND(CU174&gt;120,CU174&lt;=139)),"PRE HTA SEGUIMIENTO,RIESGO HIPERTENSION INDUCIDA POR EL EMBARAZO",IF(AND(OR(O174&gt;0,R174&gt;0),AND(CV174&gt;80,CV174&lt;=89)),"PRE HTA SEGUIMIENTO, RIESGO HIPERTENSION INDUCIDA POR EL EMBARAZO",IF(AND(OR(O174&lt;&gt;"",R174&lt;&gt;""),CS174&lt;&gt;"",CV174&lt;&gt;"",CS174&lt;=CV174),"VIGILAR CIFRAS PRESION ARTERIAL",IF(AND(OR(O174&gt;0,R174&gt;0),AND(CU174&gt;120,CU174&lt;=139)),"PRE HTA SEGUIMIENTO",IF(AND(OR(O174&gt;0,R174&gt;0),AND(CU174&gt;1,CU174&lt;=70),AND(CV174&gt;1,CV174&lt;=40)),"HIPOTENSIÓN",IF(AND(OR(O174&lt;&gt;"",R174&lt;&gt;""),CS174&lt;&gt;"",CV174&lt;&gt;"",CS174&gt;CV174),"APARENTEMENTE NORMAL",IF(AND(OR(O174&gt;0,R174&gt;0),AND(CU174&gt;=80,CU174&lt;=120)),"APARENTEMENTE NORMAL",IF(AND(OR(O174&gt;0,R174&gt;0),AND(CV174&gt;=50,CV174&lt;=80)),"APARENTEMENTE NORMAL","")))))))))))))</f>
        <v>APARENTEMENTE NORMAL</v>
      </c>
      <c r="CX174" s="21"/>
      <c r="CY174" s="21"/>
      <c r="CZ174" s="216" t="str">
        <f t="shared" si="727"/>
        <v/>
      </c>
      <c r="DA174" s="21">
        <v>100</v>
      </c>
      <c r="DB174" s="21">
        <v>60</v>
      </c>
      <c r="DC174" s="217" t="str">
        <f t="shared" si="610"/>
        <v>APARENTEMENTE NORMAL</v>
      </c>
      <c r="DD174" s="22">
        <v>45065</v>
      </c>
      <c r="DE174" s="22">
        <v>45065</v>
      </c>
      <c r="DF174" s="22">
        <v>45110</v>
      </c>
      <c r="DG174" s="22">
        <v>45154</v>
      </c>
      <c r="DH174" s="22"/>
      <c r="DI174" s="22"/>
      <c r="DJ174" s="22"/>
      <c r="DK174" s="22"/>
      <c r="DL174" s="22"/>
      <c r="DM174" s="22"/>
      <c r="DN174" s="22"/>
      <c r="DO174" s="22"/>
      <c r="DP174" s="22"/>
      <c r="DQ174" s="22"/>
      <c r="DR174" s="28">
        <v>0</v>
      </c>
      <c r="DS174" s="22"/>
      <c r="DT174" s="22"/>
      <c r="DU174" s="216" t="str">
        <f t="shared" ca="1" si="674"/>
        <v>PLANEAR PLAN DE PARTO</v>
      </c>
      <c r="DV174" s="226" t="str">
        <f t="shared" si="675"/>
        <v>ACTIVA INGRESO A CPN</v>
      </c>
      <c r="DW17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4" s="216" t="e">
        <f t="shared" ca="1" si="611"/>
        <v>#REF!</v>
      </c>
      <c r="DY174" s="212">
        <f>IF(R174="","",IF(R174&gt;0,MAX(Tabla1[[#This Row],[FECHA C2]:[FECHA C13]],Tabla1[[#This Row],[FECHA CONSULTA PRIMERA VEZ PROGRAMA CPN ]])))</f>
        <v>45154</v>
      </c>
      <c r="DZ174" s="216">
        <f t="shared" si="612"/>
        <v>22</v>
      </c>
      <c r="EA174" s="222">
        <f>IF(R174&gt;0,SUM(COUNTA(DF174:DQ174)+COUNTA(Tabla1[[#This Row],[FECHA CONSULTA PRIMERA VEZ PROGRAMA CPN ]])),"")</f>
        <v>3</v>
      </c>
      <c r="EB174" s="222" t="str">
        <f t="shared" si="613"/>
        <v>NO</v>
      </c>
      <c r="EC174" s="214">
        <f t="shared" si="614"/>
        <v>9</v>
      </c>
      <c r="ED174" s="227">
        <f t="shared" si="615"/>
        <v>0.33333333333333331</v>
      </c>
      <c r="EE174" s="22">
        <v>45065</v>
      </c>
      <c r="EF174" s="22"/>
      <c r="EG174" s="22">
        <v>45065</v>
      </c>
      <c r="EH174" s="22"/>
      <c r="EI174" s="22">
        <v>45065</v>
      </c>
      <c r="EJ174" s="22"/>
      <c r="EK174" s="22"/>
      <c r="EL174" s="21"/>
      <c r="EM174" s="21">
        <v>16.100000000000001</v>
      </c>
      <c r="EN174" s="22">
        <v>45066</v>
      </c>
      <c r="EO174" s="222">
        <f t="shared" si="616"/>
        <v>10.142857142857142</v>
      </c>
      <c r="EP174" s="214" t="str">
        <f t="shared" si="617"/>
        <v>NO DAR SULFATO FERROSO</v>
      </c>
      <c r="EQ174" s="216" t="str">
        <f t="shared" si="618"/>
        <v>I TRIM</v>
      </c>
      <c r="ER174" s="24"/>
      <c r="ES174" s="22"/>
      <c r="ET174" s="29" t="str">
        <f t="shared" ca="1" si="676"/>
        <v>TOMA DE HEMOGLOBINA TARDÍA</v>
      </c>
      <c r="EU174" s="25" t="str">
        <f t="shared" si="619"/>
        <v/>
      </c>
      <c r="EV174" s="24" t="s">
        <v>1510</v>
      </c>
      <c r="EW174" s="24">
        <v>45066</v>
      </c>
      <c r="EX174" s="22"/>
      <c r="EY174" s="29">
        <f t="shared" si="691"/>
        <v>10.142857142857142</v>
      </c>
      <c r="EZ174" s="25" t="str">
        <f t="shared" si="692"/>
        <v>SIN RIESGO DE ISOINMUNIZACIÓN</v>
      </c>
      <c r="FA174" s="21">
        <v>72</v>
      </c>
      <c r="FB174" s="22">
        <v>45066</v>
      </c>
      <c r="FC174" s="29">
        <f t="shared" si="620"/>
        <v>10.142857142857142</v>
      </c>
      <c r="FD174" s="29"/>
      <c r="FE174" s="29"/>
      <c r="FF174" s="29"/>
      <c r="FG174" s="21" t="str">
        <f t="shared" ca="1" si="621"/>
        <v>TOMAR PTOG</v>
      </c>
      <c r="FH174" s="31"/>
      <c r="FI174" s="29" t="str">
        <f t="shared" si="622"/>
        <v>TOMAR EXAMEN</v>
      </c>
      <c r="FJ174" s="22" t="s">
        <v>867</v>
      </c>
      <c r="FK174" s="22">
        <v>45066</v>
      </c>
      <c r="FL174" s="29">
        <f t="shared" ca="1" si="623"/>
        <v>10.142857142857142</v>
      </c>
      <c r="FM174" s="22"/>
      <c r="FN174" s="32"/>
      <c r="FO174" s="29" t="str">
        <f t="shared" ca="1" si="677"/>
        <v>PIERDE TOMA DE TAMIZAJE</v>
      </c>
      <c r="FP174" s="22"/>
      <c r="FQ174" s="32"/>
      <c r="FR174" s="29" t="str">
        <f t="shared" ca="1" si="678"/>
        <v>EN RANGO PARA TOMAR EXAMEN</v>
      </c>
      <c r="FS174" s="22"/>
      <c r="FT174" s="32"/>
      <c r="FU174" s="29" t="str">
        <f>IF(AND(FJ174="",FM174="",FP174="",FS174=""),"",IF(OR(OR(Tabla1[[#This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4" s="28"/>
      <c r="FW174" s="22"/>
      <c r="FX174" s="29" t="str">
        <f t="shared" si="624"/>
        <v>TOMAR EXAMEN</v>
      </c>
      <c r="FY174" s="22">
        <v>45066</v>
      </c>
      <c r="FZ174" s="22">
        <v>45066</v>
      </c>
      <c r="GA174" s="29">
        <f t="shared" ca="1" si="690"/>
        <v>10.142857142857142</v>
      </c>
      <c r="GB174" s="22"/>
      <c r="GC174" s="22"/>
      <c r="GD174" s="29" t="str">
        <f t="shared" ref="GD174:GD203" ca="1" si="730">IF(AND(BT174="ERROR FUM O INGRESO",GC174&gt;0),"ERROR FUM O INGRESO",IF(AND(GC174="",R174="",O174=""),"",IF(AND(GC174&lt;&gt;"",GC174&lt;RW174), "INCOHERENCIA FUM Y FECHA TAMIZAJE",IF(AND(GC174="",DV174="ACTIVA INGRESO A CPN",AND(BU174&gt;0,BU174&lt;13)),"EN ESPERA-ESTÁ I TRIM", IF(AND(GC174="",AND(BS174&gt;0, BS174&lt;12),OR(O174&gt;0,R174&gt;0),AND(IP174&gt;0,IP174&lt;13)),"NO APLICA-SALIO DEL PROGRAMA I TRIM",IF(AND(GC174&lt;&gt;"",AND(SUM((GC174-RW174)/7)&gt;0,SUM((GC174-RW174)/7)&lt;13)),"REGISTRAR EN I TRIMESTRE",IF(AND(GC174&lt;&gt;"",AND(SUM((GC174-RW174)/7)&gt;=27,SUM((GC174-RW174)/7)&lt;44)),"REGISTRAR EN III TRIMESTRE",IF(AND(GC174="",OR(O174&gt;0,R174&gt;0),AND(BU174&gt;=12,BU174&lt;25),DV174="ACTIVA INGRESO A CPN"),"EN RANGO PARA TOMAR EXAMEN",IF(AND(GC174="",OR(O174&gt;0,R174&gt;0),AND(BU174&gt;=25,BU174&lt;27),DV174="ACTIVA INGRESO A CPN"),"TOMA INMEDIATA DE TAMIZAJE",IF(AND(GC174="",OR(O174&gt;0,R174&gt;0),AND(BS174&gt;=27,BS174&lt;43)),"NO APLICA-INGRESO TARDIO",IF(AND(GC174="",BS174&lt;27),"PIERDE TOMA DE TAMIZAJE",IF(GC174&gt;0,SUM(GC174-RW174)/7,""))))))))))))</f>
        <v>PIERDE TOMA DE TAMIZAJE</v>
      </c>
      <c r="GE174" s="22"/>
      <c r="GF174" s="22"/>
      <c r="GG174" s="29" t="str">
        <f t="shared" ca="1" si="680"/>
        <v>EN RANGO PARA TOMAR EXAMEN</v>
      </c>
      <c r="GH174" s="22"/>
      <c r="GI174" s="29"/>
      <c r="GJ174" s="22"/>
      <c r="GK174" s="22"/>
      <c r="GL174" s="22"/>
      <c r="GM174" s="22"/>
      <c r="GN174" s="28" t="s">
        <v>869</v>
      </c>
      <c r="GO174" s="22">
        <v>45066</v>
      </c>
      <c r="GP174" s="29">
        <f t="shared" si="625"/>
        <v>10.142857142857142</v>
      </c>
      <c r="GQ174" s="28" t="s">
        <v>869</v>
      </c>
      <c r="GR174" s="28" t="s">
        <v>869</v>
      </c>
      <c r="GS174" s="22" t="str">
        <f t="shared" si="726"/>
        <v>CONTROL Igm</v>
      </c>
      <c r="GT174" s="22">
        <v>45066</v>
      </c>
      <c r="GU174" s="29">
        <f t="shared" si="627"/>
        <v>10.142857142857142</v>
      </c>
      <c r="GV174" s="21" t="str">
        <f t="shared" si="628"/>
        <v>I TRIM</v>
      </c>
      <c r="GW174" s="28" t="s">
        <v>869</v>
      </c>
      <c r="GX174" s="30"/>
      <c r="GY174" s="21"/>
      <c r="GZ174" s="21"/>
      <c r="HA174" s="21"/>
      <c r="HB174" s="21"/>
      <c r="HC174" s="21"/>
      <c r="HD174" s="21"/>
      <c r="HE174" s="21"/>
      <c r="HF174" s="22"/>
      <c r="HG174" s="22" t="str">
        <f>IF(OR(O174&gt;0,R174&gt;0),CONCATENATE(IF(Tabla1[[#This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4" s="22" t="e">
        <f t="shared" si="629"/>
        <v>#REF!</v>
      </c>
      <c r="HI174" s="22" t="e">
        <f t="shared" ca="1" si="630"/>
        <v>#REF!</v>
      </c>
      <c r="HJ174" s="21"/>
      <c r="HK174" s="21" t="str">
        <f t="shared" si="631"/>
        <v>SIN ANTECEDENTES DE RIESGO</v>
      </c>
      <c r="HL174" s="24" t="str">
        <f t="shared" si="632"/>
        <v>APARENTEMENTE NORMAL</v>
      </c>
      <c r="HM174" s="21" t="e">
        <f t="shared" ca="1" si="633"/>
        <v>#REF!</v>
      </c>
      <c r="HN174" s="30" t="str">
        <f t="shared" si="681"/>
        <v>ACTIVA INGRESO A CPN</v>
      </c>
      <c r="HO174" s="21"/>
      <c r="HP174" s="21"/>
      <c r="HQ174" s="349">
        <v>45065</v>
      </c>
      <c r="HR174" s="21" t="str">
        <f>IF(R174="","",IF(Tabla1[[#This Row],[ALARMA FACTORES DE RIESGO COMPLICACIONES HIPERTENSIVAS3]]="SIN ANTECEDENTES DE RIESGO","No Aplica para suministro de ASA",IF(AND(Tabla1[[#This Row],[FECHA INICIO DE SUMINISTRO DE ASA]]&gt;0,RV174&lt;12),"Inicia ASA ANTES de Sem 12",IF(AND(RV174&gt;11,RV174&lt;17,OR(HK174="RIESGO ALTO DE COMPLICACIONES HIPERTENSIVAS VER MANEJO GUIA SUMINISTRO ASA Y CALCIO",HK174="RIESGO MODERADO (2 O MAS CRITERIOS) VER MANEJO GUIA SUMINISTRO ASA Y CALCIO")),"Inicio oportuno de ASA",IF(AND(RV174&gt;12,OR(HK174="RIESGO ALTO DE COMPLICACIONES HIPERTENSIVAS VER MANEJO GUIA SUMINISTRO ASA Y CALCIO",HK174="RIESGO MODERADO (2 O MAS CRITERIOS) VER MANEJO GUIA SUMINISTRO ASA Y CALCIO")),"Inicio no oportuno mayor a 16 semanas",IF(AND(BU174&lt;12,OR(HK174="RIESGO ALTO DE COMPLICACIONES HIPERTENSIVAS VER MANEJO GUIA SUMINISTRO ASA Y CALCIO",HK174="RIESGO MODERADO (2 O MAS CRITERIOS) VER MANEJO GUIA SUMINISTRO ASA Y CALCIO")),"Pendiente Inicio de ASA a la semana 12",IF(AND(BU174&gt;11,BU174&lt;17,OR(HK174="RIESGO ALTO DE COMPLICACIONES HIPERTENSIVAS VER MANEJO GUIA SUMINISTRO ASA Y CALCIO",HK174="RIESGO MODERADO (2 O MAS CRITERIOS) VER MANEJO GUIA SUMINISTRO ASA Y CALCIO")),"Iniciar de inmediato ASA",IF(AND(BU174&gt;16,OR(HK174="RIESGO ALTO DE COMPLICACIONES HIPERTENSIVAS VER MANEJO GUIA SUMINISTRO ASA Y CALCIO",HK174="RIESGO MODERADO (2 O MAS CRITERIOS) VER MANEJO GUIA SUMINISTRO ASA Y CALCIO")),"Pierde Oportunidad, Inicio tardío de ASA","XXXXX"))))))))</f>
        <v>No Aplica para suministro de ASA</v>
      </c>
      <c r="HS174" s="22">
        <v>45065</v>
      </c>
      <c r="HT174" s="22" t="s">
        <v>870</v>
      </c>
      <c r="HU174" s="22">
        <v>45065</v>
      </c>
      <c r="HV174" s="22" t="s">
        <v>870</v>
      </c>
      <c r="HW174" s="22">
        <v>45065</v>
      </c>
      <c r="HX174" s="22" t="s">
        <v>870</v>
      </c>
      <c r="HY174" s="22">
        <v>45154</v>
      </c>
      <c r="HZ174" s="28">
        <f t="shared" si="634"/>
        <v>22.714285714285715</v>
      </c>
      <c r="IA174" s="26"/>
      <c r="IB174" s="26"/>
      <c r="IC174" s="111"/>
      <c r="ID174" s="22"/>
      <c r="IE174" s="22" t="str">
        <f t="shared" ca="1" si="635"/>
        <v>INASISTENTE</v>
      </c>
      <c r="IF174" s="22"/>
      <c r="IG174" s="22">
        <f t="shared" si="636"/>
        <v>45275</v>
      </c>
      <c r="IH174" s="29">
        <f t="shared" ca="1" si="637"/>
        <v>42</v>
      </c>
      <c r="II174" s="22" t="str">
        <f t="shared" ca="1" si="638"/>
        <v>PENDIENTE</v>
      </c>
      <c r="IJ174" s="22"/>
      <c r="IK174" s="21"/>
      <c r="IL174" s="21"/>
      <c r="IM174" s="34"/>
      <c r="IN174" s="22"/>
      <c r="IO174" s="21"/>
      <c r="IP174" s="29" t="str">
        <f t="shared" si="728"/>
        <v/>
      </c>
      <c r="IQ174" s="35"/>
      <c r="IR174" s="21"/>
      <c r="IS174" s="21"/>
      <c r="IT174" s="21"/>
      <c r="IU174" s="21"/>
      <c r="IV174" s="21"/>
      <c r="IW174" s="21"/>
      <c r="IX174" s="21"/>
      <c r="IY174" s="21"/>
      <c r="IZ174" s="21"/>
      <c r="JA174" s="21"/>
      <c r="JB174" s="30"/>
      <c r="JC174" s="21"/>
      <c r="JD174" s="36"/>
      <c r="JE174" s="21" t="str">
        <f t="shared" ref="JE174:JE193" si="731">IF(AND(JD174&gt;700,JD174&lt;2500,IP174&gt;36),"BAJO PESO AL NACER",IF(AND(JD174&gt;500,JD174&lt;2500,IP174&lt;37),"PREMATURO",IF(AND(JD174&gt;2499,JD174&lt;5000,IP174&lt;37),"ERROR VERIFICAR DATO EDAD GESTACIONAL VS PESO",IF(AND(JD174&gt;2499,JD174&lt;4000,IP174&gt;36),"PESO ADECUADO EDAD GESTACIONAL",IF(AND(JD174&gt;3999,JD174&lt;6000,IP174&gt;36),"PESO GRANDE EDAD GESTACIONAL","")))))</f>
        <v/>
      </c>
      <c r="JF174" s="30"/>
      <c r="JG174" s="21"/>
      <c r="JH174" s="21"/>
      <c r="JI174" s="21"/>
      <c r="JJ174" s="30"/>
      <c r="JK174" s="22"/>
      <c r="JL174" s="22"/>
      <c r="JM174" s="21"/>
      <c r="JN174" s="36"/>
      <c r="JO174" s="21" t="str">
        <f t="shared" ref="JO174:JO193" si="732">IF(AND(JN174&gt;700,JN174&lt;2500,IP174&gt;36,IP174&lt;43),"BAJO PESO AL NACER",IF(AND(JN174&gt;700,JN174&lt;2500,IP174&lt;37),"PREMATURO",IF(AND(JN174&gt;2499,JN174&lt;5000,IP174&lt;37),"ERROR VERIFICAR DATO EDAD GESTACIONAL VS PESO",IF(AND(JN174&gt;2499,JN174&lt;4000,IP174&gt;36,IP174&lt;43),"PESO ADECUADO EDAD GESTACIONAL",IF(AND(JN174&gt;3999,JN174&lt;6000,IP174&gt;36,IP174&lt;43),"PESO GRANDE EDAD GESTACIONAL","")))))</f>
        <v/>
      </c>
      <c r="JP174" s="22"/>
      <c r="JQ174" s="21"/>
      <c r="JR174" s="21"/>
      <c r="JS174" s="21"/>
      <c r="JT174" s="30"/>
      <c r="JU174" s="22"/>
      <c r="JV174" s="22"/>
      <c r="JW174" s="33"/>
      <c r="JX174" s="28" t="str">
        <f t="shared" ref="JX174:JX193" si="733">IF(AND(JW174&lt;&gt;"",JW174&lt;IN174),"INCONSISTENCIA FECHA CONTROL",IF(AND(OR(IK174="Parto",IK174="Cesarea"),JW174&gt;0,IN174&gt;0),SUM(JW174-IN174),IF(AND(OR(IK174="Parto",IK174="Cesarea"),JW174="",IN174&gt;0),"INASISTENTE","")))</f>
        <v/>
      </c>
      <c r="JY174" s="33"/>
      <c r="JZ174" s="28" t="str">
        <f t="shared" ref="JZ174:JZ193" si="734">IF(AND(JY174&lt;&gt;"",JY174&lt;IN174),"INCONSISTENCIA FECHA CONTROL",IF(AND(OR(IK174="Parto",IK174="Cesarea",IK174="Aborto Espontaneo",IK174="Aborto Inducido",IK174="IVE"),JY174&gt;0,IN174&gt;0),SUM(JY174-IN174),IF(AND(JY174&lt;&gt;"",JY174&lt;IN174),"INCONSISTENCIA FECHA CONTROL",IF(AND(OR(IK174="Parto",IK174="Cesarea",IK174="Aborto Espontaneo",IK174="Aborto Inducido",IK174="IVE"),JY174="",IN174&gt;0),"INASISTENTE",""))))</f>
        <v/>
      </c>
      <c r="KA174" s="21"/>
      <c r="KB174" s="21"/>
      <c r="KC174" s="21"/>
      <c r="KD174" s="37"/>
      <c r="KE174" s="28"/>
      <c r="KF174" s="28"/>
      <c r="KG174" s="28"/>
      <c r="KH174" s="39"/>
      <c r="KI174" s="39"/>
      <c r="KJ174" s="66"/>
      <c r="KK174" s="39"/>
      <c r="KL174" s="39"/>
      <c r="KM174" s="66"/>
      <c r="KN174" s="39"/>
      <c r="KO174" s="39"/>
      <c r="KP174" s="39"/>
      <c r="KQ174" s="39"/>
      <c r="KR174" s="39"/>
      <c r="KS174" s="39"/>
      <c r="KT174" s="39"/>
      <c r="KU174" s="38"/>
      <c r="KV174" s="38"/>
      <c r="KW174" s="38"/>
      <c r="KX174" s="38"/>
      <c r="KY174" s="38"/>
      <c r="KZ174" s="38"/>
      <c r="LA174" s="38"/>
      <c r="LB174" s="38"/>
      <c r="LC174" s="38"/>
      <c r="LD174" s="38"/>
      <c r="LE174" s="38"/>
      <c r="LF174" s="38"/>
      <c r="LG174" s="38"/>
      <c r="LH174" s="38"/>
      <c r="LI174" s="38"/>
      <c r="LJ174" s="38"/>
      <c r="LK174" s="38"/>
      <c r="LL174" s="38"/>
      <c r="LM174" s="38"/>
      <c r="LN174" s="38"/>
      <c r="LO174" s="38"/>
      <c r="LP174" s="38"/>
      <c r="LQ174" s="38"/>
      <c r="LR174" s="38"/>
      <c r="LS174" s="38"/>
      <c r="LT174" s="38"/>
      <c r="LU174" s="38"/>
      <c r="LV174" s="38"/>
      <c r="LW174" s="38"/>
      <c r="LX174" s="38"/>
      <c r="LY174" s="38"/>
      <c r="LZ174" s="38"/>
      <c r="MA174" s="38"/>
      <c r="MB174" s="38"/>
      <c r="MC174" s="38"/>
      <c r="MD174" s="38"/>
      <c r="ME174" s="38"/>
      <c r="MF174" s="38"/>
      <c r="MG174" s="38"/>
      <c r="MH174" s="43">
        <f t="shared" si="695"/>
        <v>0</v>
      </c>
      <c r="MI174" s="43" t="str">
        <f t="shared" si="696"/>
        <v/>
      </c>
      <c r="MJ174" s="43" t="str">
        <f t="shared" si="697"/>
        <v/>
      </c>
      <c r="MK174" s="43">
        <f t="shared" si="698"/>
        <v>0</v>
      </c>
      <c r="ML17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4" s="43">
        <f t="shared" si="699"/>
        <v>10</v>
      </c>
      <c r="MN174" s="43">
        <f t="shared" si="700"/>
        <v>5</v>
      </c>
      <c r="MO174" s="43">
        <f t="shared" si="701"/>
        <v>2023</v>
      </c>
      <c r="MP174" s="43" t="str">
        <f t="shared" si="702"/>
        <v>II TRIMESTRE AÑO</v>
      </c>
      <c r="MQ174" s="43">
        <f t="shared" si="703"/>
        <v>37.552014892685058</v>
      </c>
      <c r="MR174" s="43">
        <f t="shared" si="704"/>
        <v>2</v>
      </c>
      <c r="MS174" s="43" t="str">
        <f t="shared" si="705"/>
        <v xml:space="preserve"> DE 35 A 39 AÑOS</v>
      </c>
      <c r="MT174" s="43">
        <f t="shared" si="706"/>
        <v>0</v>
      </c>
      <c r="MU174" s="43">
        <f t="shared" si="707"/>
        <v>2</v>
      </c>
      <c r="MV174" s="43">
        <f t="shared" si="708"/>
        <v>0</v>
      </c>
      <c r="MW174" s="43">
        <f t="shared" si="709"/>
        <v>0</v>
      </c>
      <c r="MX174" s="43" t="str">
        <f t="shared" si="710"/>
        <v/>
      </c>
      <c r="MY174" s="43" t="str">
        <f t="shared" ref="MY174:MY193" ca="1" si="735">IF(AND(AND(BU174&gt;40.9,BU174&lt;43),IN174=""),1,"")</f>
        <v/>
      </c>
      <c r="MZ174" s="43" t="str">
        <f t="shared" si="711"/>
        <v/>
      </c>
      <c r="NA174" s="43" t="str">
        <f t="shared" si="712"/>
        <v/>
      </c>
      <c r="NB174" s="43" t="str">
        <f t="shared" si="713"/>
        <v/>
      </c>
      <c r="NC174" s="43" t="str">
        <f t="shared" si="714"/>
        <v/>
      </c>
      <c r="ND174" s="43">
        <f t="shared" ca="1" si="715"/>
        <v>4</v>
      </c>
      <c r="NE174" s="43">
        <f>IF(OR(O174&gt;0,R174&gt;0),SUM(COUNTIF(Tabla1[[#This Row],[AÑOS AL INICIO5 CPN]],"&gt;=40"),COUNTIF(AS174,"0"),COUNTIF(AR174,"SI"),COUNTIF(CC174,"SI"),COUNTIF(BQ174,"&gt;119"),COUNTIF(CI174,"&gt;=35")),"")</f>
        <v>0</v>
      </c>
      <c r="NF174" s="43" t="str">
        <f t="shared" si="716"/>
        <v/>
      </c>
      <c r="NG174" s="43">
        <f t="shared" si="717"/>
        <v>0</v>
      </c>
      <c r="NH174" s="43">
        <f t="shared" si="718"/>
        <v>165.20000000000002</v>
      </c>
      <c r="NI17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CPN",P174="NO"),"Z",IF(AND(Tabla1[[#This Row],[CITA PROXIMO CONTROL]]="CITA MANUAL",Tabla1[[#This Row],[GESTANTES ACTUALES]]="ACTIVA INGRESO A CPN"),"W",IF(AND(Tabla1[[#This Row],[GESTANTES ACTUALES]]="SALIO PROGRAMA",IN174=""),"S",IF(AND(Tabla1[[#This Row],[CITA PROXIMO CONTROL]]&gt;0,IN174=""),(Tabla1[[#This Row],[CITA PROXIMO CONTROL]]-TODAY()),"SD"))))))))</f>
        <v>#REF!</v>
      </c>
      <c r="NJ174" s="43">
        <f>MONTH(Tabla1[[#This Row],[FECHA DE SALIDA  DEL PROGRAMA]])</f>
        <v>1</v>
      </c>
      <c r="NK174" s="43">
        <f>YEAR(Tabla1[[#This Row],[FECHA DE SALIDA  DEL PROGRAMA]])</f>
        <v>1900</v>
      </c>
      <c r="NL174" s="43" t="str">
        <f t="shared" si="719"/>
        <v>X</v>
      </c>
      <c r="NM174" s="43" t="str">
        <f t="shared" si="693"/>
        <v>NO</v>
      </c>
      <c r="NN174" s="43" t="str">
        <f ca="1">IF(AND(O174&gt;0,R174=""),"NO CPN",IF(AND(O174="",R174=""),"",IF(AND(R174&gt;0,Tabla1[[#This Row],[SEMANAS DE GESTACION ACTUALIZADAS]]&lt;=12),"NO APLICA",IF(AND(FH174&lt;&gt;"",FN174&lt;&gt;""),"SI","NO"))))</f>
        <v>NO</v>
      </c>
      <c r="NO174" s="43" t="str">
        <f ca="1">IF(AND(O174&gt;0,R174=""),"NO CPN",IF(AND(O174="",R174=""),"",IF(AND(R174&gt;0,Tabla1[[#This Row],[SEMANAS DE GESTACION ACTUALIZADAS]]&lt;=27),"NO APLICA",IF(AND(ES174&lt;&gt;"",FQ174&lt;&gt;"",GF174&lt;&gt;""),"SI","NO"))))</f>
        <v>NO</v>
      </c>
      <c r="NP174" s="204" t="str">
        <f t="shared" si="720"/>
        <v>I TRIM</v>
      </c>
      <c r="NQ174" s="21" t="str">
        <f t="shared" si="729"/>
        <v/>
      </c>
      <c r="NR174" s="21">
        <f t="shared" ref="NR174:NR193" ca="1" si="736">IF(AND(O174="",R174=""),"",IF(AND(BS174&gt;0,BS174&lt;12,IP174&gt;28,IP174&lt;44),3, IF(OR(AND(BS174&gt;=12,BS174&lt;28,IP174&gt;=28,IP174&lt;44),AND(BS174&gt;0,BS174&lt;12,IP174&gt;=12,IP174&lt;29)),2,IF(OR(AND(BS174&gt;=28,BS174&lt;44),AND(BS174&gt;0,BS174&lt;12,IP174&gt;0,IP174&lt;12),AND(BS174&gt;=12,BS174&lt;28,IP174&gt;=12,IP174&lt;28)),1,IF(AND(BS174&gt;0,BS174&lt;12,BU174&gt;=28,BU174&lt;44,DV174="ACTIVA INGRESO A CPN"),3,IF(OR(AND(BS174&gt;0,BS174&lt;12,BU174&gt;=12,BU174&lt;28,DV174="ACTIVA INGRESO A CPN"),AND(BS174&gt;=12,BS174&lt;28,BU174&gt;=28,BU174&lt;44,DV174="ACTIVA INGRESO A CPN")),2,IF(OR(AND(BS174&gt;0,BS174&lt;12,BU174&gt;0,BU174&lt;12,DV174="ACTIVA INGRESO A CPN"),AND(BS174&gt;=12,BS174&lt;28,BU174&gt;=12,BU174&lt;28,DV174="ACTIVA INGRESO A CPN")),1,"REVISAR FUM O FECHA SALIDA PROGRAMA")))))))</f>
        <v>3</v>
      </c>
      <c r="NS174" s="205">
        <f t="shared" ca="1" si="721"/>
        <v>1</v>
      </c>
      <c r="NT174" s="21">
        <f t="shared" ca="1" si="722"/>
        <v>1</v>
      </c>
      <c r="NU174" s="21" t="str">
        <f t="shared" ca="1" si="723"/>
        <v>INCOMPLETO</v>
      </c>
      <c r="NV174" s="21" t="str">
        <f t="shared" ca="1" si="724"/>
        <v>INCOMPLETO</v>
      </c>
      <c r="NW174" s="206" t="str">
        <f>IF(AND(O174="",R174=""),"",IF(OR(AND(Tabla1[[#This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4" s="207" t="str">
        <f t="shared" ca="1" si="725"/>
        <v>SIN VACUNAR</v>
      </c>
      <c r="NY174" s="43">
        <f>ROW(Tabla1[[#This Row],['# DE TAMIZAJES SIFILIS TOMADOS ]])</f>
        <v>174</v>
      </c>
      <c r="NZ174" s="43">
        <f t="shared" si="501"/>
        <v>10</v>
      </c>
      <c r="OA174" s="43" t="str">
        <f t="shared" si="502"/>
        <v/>
      </c>
      <c r="OB174" s="43" t="str">
        <f t="shared" si="503"/>
        <v>SOBREPESO</v>
      </c>
      <c r="OC174" s="43" t="str">
        <f t="shared" si="504"/>
        <v/>
      </c>
      <c r="OD174" s="43" t="str">
        <f t="shared" si="505"/>
        <v/>
      </c>
      <c r="OE174" s="43" t="str">
        <f t="shared" si="506"/>
        <v/>
      </c>
      <c r="OF174" s="43" t="str">
        <f t="shared" si="507"/>
        <v/>
      </c>
      <c r="OG174" s="43" t="str">
        <f t="shared" si="508"/>
        <v/>
      </c>
      <c r="OH174" s="43" t="str">
        <f t="shared" si="509"/>
        <v/>
      </c>
      <c r="OI174" s="43" t="str">
        <f t="shared" si="510"/>
        <v/>
      </c>
      <c r="OJ174" s="43" t="str">
        <f t="shared" si="511"/>
        <v/>
      </c>
      <c r="OK174" s="43" t="str">
        <f t="shared" si="512"/>
        <v/>
      </c>
      <c r="OL174" s="43" t="str">
        <f t="shared" si="513"/>
        <v/>
      </c>
      <c r="OM174" s="43" t="str">
        <f t="shared" si="514"/>
        <v/>
      </c>
      <c r="ON174" s="43" t="str">
        <f t="shared" si="515"/>
        <v/>
      </c>
      <c r="OO174" s="43" t="str">
        <f t="shared" si="516"/>
        <v/>
      </c>
      <c r="OP174" s="43" t="str">
        <f t="shared" si="517"/>
        <v/>
      </c>
      <c r="OQ174" s="43" t="str">
        <f t="shared" si="518"/>
        <v/>
      </c>
      <c r="OR174" s="43" t="str">
        <f t="shared" si="519"/>
        <v/>
      </c>
      <c r="OS174" s="43" t="str">
        <f t="shared" si="520"/>
        <v/>
      </c>
      <c r="OT174" s="43" t="str">
        <f t="shared" si="521"/>
        <v/>
      </c>
      <c r="OU174" s="43" t="str">
        <f t="shared" si="522"/>
        <v/>
      </c>
      <c r="OV174" s="110" t="str">
        <f t="shared" si="523"/>
        <v/>
      </c>
      <c r="OW174" s="43" t="str">
        <f t="shared" si="524"/>
        <v/>
      </c>
      <c r="OX174" s="43" t="str">
        <f t="shared" si="525"/>
        <v/>
      </c>
      <c r="OY174" s="43" t="str">
        <f t="shared" si="526"/>
        <v/>
      </c>
      <c r="OZ174" s="43" t="str">
        <f t="shared" si="527"/>
        <v/>
      </c>
      <c r="PA174" s="43" t="str">
        <f t="shared" si="528"/>
        <v/>
      </c>
      <c r="PB174" s="43" t="str">
        <f t="shared" si="529"/>
        <v/>
      </c>
      <c r="PC174" s="43" t="str">
        <f t="shared" si="530"/>
        <v/>
      </c>
      <c r="PD174" s="43" t="str">
        <f t="shared" si="531"/>
        <v/>
      </c>
      <c r="PE174" s="43" t="str">
        <f t="shared" si="532"/>
        <v/>
      </c>
      <c r="PF174" s="43" t="str">
        <f t="shared" si="533"/>
        <v/>
      </c>
      <c r="PG174" s="43" t="str">
        <f t="shared" si="534"/>
        <v/>
      </c>
      <c r="PH174" s="43" t="str">
        <f t="shared" si="535"/>
        <v/>
      </c>
      <c r="PI174" s="43">
        <f t="shared" si="536"/>
        <v>22</v>
      </c>
      <c r="PJ174" s="43" t="str">
        <f t="shared" si="537"/>
        <v/>
      </c>
      <c r="PK174" s="43" t="str">
        <f t="shared" si="538"/>
        <v/>
      </c>
      <c r="PL174" s="43" t="str">
        <f t="shared" si="539"/>
        <v/>
      </c>
      <c r="PM174" s="43" t="str">
        <f t="shared" si="540"/>
        <v/>
      </c>
      <c r="PN174" s="43" t="str">
        <f t="shared" si="541"/>
        <v/>
      </c>
      <c r="PO174" s="43" t="str">
        <f t="shared" si="542"/>
        <v/>
      </c>
      <c r="PP174" s="43" t="str">
        <f t="shared" si="543"/>
        <v/>
      </c>
      <c r="PQ174" s="43" t="str">
        <f t="shared" si="544"/>
        <v/>
      </c>
      <c r="PR174" s="43" t="str">
        <f t="shared" si="545"/>
        <v/>
      </c>
      <c r="PS174" s="43" t="str">
        <f t="shared" si="546"/>
        <v/>
      </c>
      <c r="PT174" s="43" t="str">
        <f t="shared" si="547"/>
        <v/>
      </c>
      <c r="PU174" s="43" t="str">
        <f t="shared" si="548"/>
        <v/>
      </c>
      <c r="PV174" s="43" t="str">
        <f t="shared" si="549"/>
        <v/>
      </c>
      <c r="PW174" s="43" t="str">
        <f t="shared" si="550"/>
        <v>SOBREPESO</v>
      </c>
      <c r="PX174" s="43" t="str">
        <f t="shared" si="551"/>
        <v/>
      </c>
      <c r="PY174" s="43" t="str">
        <f t="shared" si="552"/>
        <v/>
      </c>
      <c r="PZ174" s="43" t="str">
        <f t="shared" si="553"/>
        <v/>
      </c>
      <c r="QA174" s="43" t="str">
        <f t="shared" si="554"/>
        <v/>
      </c>
      <c r="QB174" s="43" t="str">
        <f t="shared" si="555"/>
        <v/>
      </c>
      <c r="QC174" s="43" t="str">
        <f t="shared" si="556"/>
        <v/>
      </c>
      <c r="QD174" s="43" t="str">
        <f t="shared" si="557"/>
        <v/>
      </c>
      <c r="QE174" s="43" t="str">
        <f t="shared" si="558"/>
        <v/>
      </c>
      <c r="QF174" s="43" t="str">
        <f t="shared" si="559"/>
        <v/>
      </c>
      <c r="QG174" s="43" t="str">
        <f t="shared" si="560"/>
        <v/>
      </c>
      <c r="QH174" s="43" t="str">
        <f t="shared" si="561"/>
        <v/>
      </c>
      <c r="QI174" s="43" t="str">
        <f t="shared" si="562"/>
        <v/>
      </c>
      <c r="QJ174" s="43" t="str">
        <f t="shared" si="563"/>
        <v/>
      </c>
      <c r="QK174" s="43" t="str">
        <f t="shared" si="564"/>
        <v/>
      </c>
      <c r="QL174" s="43" t="str">
        <f t="shared" si="565"/>
        <v/>
      </c>
      <c r="QM174" s="43" t="str">
        <f t="shared" si="566"/>
        <v/>
      </c>
      <c r="QN174" s="43" t="str">
        <f t="shared" si="567"/>
        <v/>
      </c>
      <c r="QO174" s="43" t="str">
        <f t="shared" si="568"/>
        <v/>
      </c>
      <c r="QP174" s="43" t="str">
        <f t="shared" si="569"/>
        <v/>
      </c>
      <c r="QQ174" s="43" t="str">
        <f t="shared" si="570"/>
        <v/>
      </c>
      <c r="QR174" s="43">
        <f t="shared" si="670"/>
        <v>22</v>
      </c>
      <c r="QS174" s="43"/>
      <c r="QT174" s="21" t="str">
        <f t="shared" si="571"/>
        <v/>
      </c>
      <c r="QU174" s="21" t="str">
        <f t="shared" si="572"/>
        <v/>
      </c>
      <c r="QV174" s="21" t="str">
        <f t="shared" si="573"/>
        <v/>
      </c>
      <c r="QW174" s="21" t="str">
        <f t="shared" si="574"/>
        <v/>
      </c>
      <c r="QX174" s="21" t="str">
        <f t="shared" si="575"/>
        <v/>
      </c>
      <c r="QY174" s="21" t="str">
        <f t="shared" si="576"/>
        <v/>
      </c>
      <c r="QZ174" s="21" t="str">
        <f t="shared" si="577"/>
        <v/>
      </c>
      <c r="RA174" s="21" t="str">
        <f t="shared" si="578"/>
        <v/>
      </c>
      <c r="RB174" s="21" t="str">
        <f t="shared" si="579"/>
        <v/>
      </c>
      <c r="RC174" s="21" t="str">
        <f t="shared" si="580"/>
        <v>ALTO PARA EDAD GESTACIONAL</v>
      </c>
      <c r="RD174" s="21" t="str">
        <f t="shared" si="581"/>
        <v/>
      </c>
      <c r="RE174" s="21" t="str">
        <f t="shared" si="582"/>
        <v/>
      </c>
      <c r="RF174" s="21" t="str">
        <f t="shared" si="583"/>
        <v/>
      </c>
      <c r="RG174" s="21" t="str">
        <f t="shared" si="584"/>
        <v/>
      </c>
      <c r="RH174" s="21" t="str">
        <f t="shared" si="585"/>
        <v/>
      </c>
      <c r="RI174" s="21" t="str">
        <f t="shared" si="586"/>
        <v/>
      </c>
      <c r="RJ174" s="21" t="str">
        <f t="shared" si="587"/>
        <v/>
      </c>
      <c r="RK174" s="21" t="str">
        <f t="shared" si="588"/>
        <v/>
      </c>
      <c r="RL174" s="21" t="str">
        <f t="shared" si="589"/>
        <v/>
      </c>
      <c r="RM174" s="21" t="str">
        <f t="shared" si="590"/>
        <v/>
      </c>
      <c r="RN174" s="21" t="str">
        <f t="shared" si="591"/>
        <v/>
      </c>
      <c r="RO174" s="21" t="str">
        <f t="shared" si="592"/>
        <v/>
      </c>
      <c r="RP174" s="21" t="str">
        <f t="shared" si="593"/>
        <v/>
      </c>
      <c r="RQ174" s="21" t="str">
        <f t="shared" si="594"/>
        <v/>
      </c>
      <c r="RR174" s="21" t="str">
        <f t="shared" si="595"/>
        <v/>
      </c>
      <c r="RS174" s="21" t="str">
        <f t="shared" si="596"/>
        <v/>
      </c>
      <c r="RT174" s="21" t="str">
        <f t="shared" si="597"/>
        <v/>
      </c>
      <c r="RU174" s="21" t="str">
        <f t="shared" si="598"/>
        <v/>
      </c>
      <c r="RV174" s="21">
        <f t="shared" si="599"/>
        <v>10</v>
      </c>
      <c r="RW174" s="284">
        <f>IF(OR(Tabla1[[#This Row],[FUM FORMULA CONFIABLE]]="",Tabla1[[#This Row],[FUM FORMULA CONFIABLE]]="SD"),"",IF(Tabla1[[#This Row],[FUM FORMULA CONFIABLE]]="CORREGIDA",Tabla1[[#This Row],[FUM X ECO 1]],Tabla1[[#This Row],[FUM x AMENORREA]]))</f>
        <v>44995</v>
      </c>
      <c r="RX174" s="21">
        <f>IF(AND(Tabla1[[#This Row],[FUM X ECO 1]]="",Tabla1[[#This Row],[FUM x AMENORREA]]=""),"",IF(AND(Tabla1[[#This Row],[FUM X ECO 1]]="",Tabla1[[#This Row],[FUM x AMENORREA]]&lt;&gt;""),"X",SUM(Tabla1[[#This Row],[FUM X ECO 1]]-Tabla1[[#This Row],[FUM x AMENORREA]])))</f>
        <v>-165.19999999999709</v>
      </c>
      <c r="RY174" s="21">
        <f t="shared" si="671"/>
        <v>1</v>
      </c>
    </row>
    <row r="175" spans="1:493" ht="45" customHeight="1" x14ac:dyDescent="0.25">
      <c r="A175" s="109"/>
      <c r="B175" s="43"/>
      <c r="C175" s="43" t="s">
        <v>845</v>
      </c>
      <c r="D175" s="124"/>
      <c r="E175" s="43" t="s">
        <v>967</v>
      </c>
      <c r="F175" s="43" t="s">
        <v>980</v>
      </c>
      <c r="G175" s="43" t="s">
        <v>1492</v>
      </c>
      <c r="H175" s="43"/>
      <c r="I175" s="109" t="s">
        <v>851</v>
      </c>
      <c r="J175" s="110" t="s">
        <v>1493</v>
      </c>
      <c r="K175" s="43" t="s">
        <v>852</v>
      </c>
      <c r="L175" s="175"/>
      <c r="M175" s="22">
        <v>31948</v>
      </c>
      <c r="N175" s="213">
        <f t="shared" ca="1" si="600"/>
        <v>36.397260273972606</v>
      </c>
      <c r="O175" s="22">
        <v>45065</v>
      </c>
      <c r="P175" s="214" t="str">
        <f t="shared" si="673"/>
        <v>SI</v>
      </c>
      <c r="Q175" s="26" t="s">
        <v>855</v>
      </c>
      <c r="R175" s="22">
        <v>45065</v>
      </c>
      <c r="S175" s="21" t="s">
        <v>856</v>
      </c>
      <c r="T175" s="24" t="s">
        <v>690</v>
      </c>
      <c r="U175" s="21" t="s">
        <v>857</v>
      </c>
      <c r="V175" s="21" t="s">
        <v>858</v>
      </c>
      <c r="W175" s="21" t="s">
        <v>846</v>
      </c>
      <c r="X175" s="21"/>
      <c r="Y175" s="21"/>
      <c r="Z175" s="21" t="s">
        <v>894</v>
      </c>
      <c r="AA175" s="21" t="s">
        <v>860</v>
      </c>
      <c r="AB175" s="27" t="s">
        <v>861</v>
      </c>
      <c r="AC175" s="26" t="s">
        <v>846</v>
      </c>
      <c r="AD175" s="38" t="s">
        <v>1546</v>
      </c>
      <c r="AE175" s="26" t="s">
        <v>854</v>
      </c>
      <c r="AF175" s="26" t="s">
        <v>854</v>
      </c>
      <c r="AG175" s="23" t="s">
        <v>864</v>
      </c>
      <c r="AH175" s="23" t="s">
        <v>864</v>
      </c>
      <c r="AI175" s="24" t="s">
        <v>863</v>
      </c>
      <c r="AJ175" s="23" t="s">
        <v>864</v>
      </c>
      <c r="AK175" s="220" t="str">
        <f>IF(AND(AD175="",AE175="",AF175="",AG175="",AH175="",AI175="",AJ175=""),"",IF(OR(Tabla1[[#This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EVALUACIÓN",IF(AND(O175="",R175=""),"",IF(AND(OR(O175&gt;0,R175&gt;0),NG175&gt;=0,NG175&lt;2),"SIN RIESGO",IF(AND(OR(O175&gt;0,R175&gt;0),NG175&gt;=2),"CON RIESGO","ASD")))))</f>
        <v>SIN RIESGO</v>
      </c>
      <c r="AL175" s="23" t="s">
        <v>864</v>
      </c>
      <c r="AM175" s="26" t="s">
        <v>864</v>
      </c>
      <c r="AN175" s="26" t="s">
        <v>864</v>
      </c>
      <c r="AO175" s="26" t="s">
        <v>864</v>
      </c>
      <c r="AP175" s="26" t="s">
        <v>864</v>
      </c>
      <c r="AQ175" s="26" t="s">
        <v>864</v>
      </c>
      <c r="AR175" s="26" t="s">
        <v>864</v>
      </c>
      <c r="AS175" s="21">
        <v>5</v>
      </c>
      <c r="AT175" s="21">
        <v>5</v>
      </c>
      <c r="AU175" s="21">
        <v>0</v>
      </c>
      <c r="AV175" s="26" t="s">
        <v>864</v>
      </c>
      <c r="AW175" s="21">
        <v>0</v>
      </c>
      <c r="AX175" s="26" t="s">
        <v>864</v>
      </c>
      <c r="AY175" s="26" t="s">
        <v>864</v>
      </c>
      <c r="AZ175" s="26" t="s">
        <v>864</v>
      </c>
      <c r="BA175" s="26" t="s">
        <v>864</v>
      </c>
      <c r="BB175" s="26" t="s">
        <v>864</v>
      </c>
      <c r="BC175" s="26" t="s">
        <v>864</v>
      </c>
      <c r="BD175" s="26" t="s">
        <v>864</v>
      </c>
      <c r="BE175" s="26" t="s">
        <v>864</v>
      </c>
      <c r="BF175" s="26" t="s">
        <v>864</v>
      </c>
      <c r="BG175" s="26" t="s">
        <v>864</v>
      </c>
      <c r="BH175" s="26" t="s">
        <v>864</v>
      </c>
      <c r="BI175" s="26" t="s">
        <v>864</v>
      </c>
      <c r="BJ175" s="26" t="s">
        <v>864</v>
      </c>
      <c r="BK175" s="26" t="s">
        <v>865</v>
      </c>
      <c r="BL175" s="26" t="s">
        <v>864</v>
      </c>
      <c r="BM175" s="26" t="s">
        <v>864</v>
      </c>
      <c r="BN175" s="22">
        <v>43918</v>
      </c>
      <c r="BO175" s="22">
        <v>45030</v>
      </c>
      <c r="BP175" s="21" t="s">
        <v>854</v>
      </c>
      <c r="BQ175" s="222">
        <f t="shared" si="601"/>
        <v>37.06666666666667</v>
      </c>
      <c r="BR175" s="223">
        <f t="shared" si="602"/>
        <v>45029.3</v>
      </c>
      <c r="BS175" s="224">
        <f t="shared" si="603"/>
        <v>5</v>
      </c>
      <c r="BT175" s="216" t="str">
        <f t="shared" si="604"/>
        <v>I TRIM</v>
      </c>
      <c r="BU175" s="214">
        <f t="shared" ca="1" si="605"/>
        <v>29</v>
      </c>
      <c r="BV175" s="25" t="s">
        <v>1478</v>
      </c>
      <c r="BW175" s="22">
        <v>45072</v>
      </c>
      <c r="BX175" s="28">
        <v>6.1</v>
      </c>
      <c r="BY175" s="28"/>
      <c r="BZ175" s="22"/>
      <c r="CA175" s="21"/>
      <c r="CB175" s="26"/>
      <c r="CC175" s="26"/>
      <c r="CD175" s="26"/>
      <c r="CE175" s="26"/>
      <c r="CF175" s="22" t="s">
        <v>1517</v>
      </c>
      <c r="CG175" s="21">
        <v>1.54</v>
      </c>
      <c r="CH175" s="21">
        <v>60</v>
      </c>
      <c r="CI175" s="214">
        <f t="shared" si="606"/>
        <v>25.299375948726599</v>
      </c>
      <c r="CJ175" s="225" t="str">
        <f>IF(AND(CI175&lt;10,CH175="SD"),"SIN DATO PESO PREGESTACION O I TRIM",IF(AND(OR(R175&gt;0,O175&gt;0),CI175="X"),"INGRESAR DATO DE PESO",IF(CI175="SD","INGRESAR DATO DE TALLA Y PESO",IF(AND(OR(Tabla1[[#This Row],[MOMENTO EN QUE SE REALIZA EL PESO AL INGRESO A CPN]]="PREGESTACIÓN",NZ175="Menor"),CI175&lt;18.5),"BAJO PESO",IF(AND(OR(Tabla1[[#This Row],[MOMENTO EN QUE SE REALIZA EL PESO AL INGRESO A CPN]]="PREGESTACIÓN",NZ175="Menor"),CI175&lt;25),"NORMAL",IF(AND(OR(Tabla1[[#This Row],[MOMENTO EN QUE SE REALIZA EL PESO AL INGRESO A CPN]]="PREGESTACIÓN",NZ175="Menor"),CI175&lt;30),"SOBREPESO",IF(AND(OR(Tabla1[[#This Row],[MOMENTO EN QUE SE REALIZA EL PESO AL INGRESO A CPN]]="PREGESTACIÓN",NZ175="Menor"),CI175&gt;=30,CI175&lt;50),"OBESIDAD",IF(AND(BS175&gt;0,Tabla1[[#This Row],[MOMENTO EN QUE SE REALIZA EL PESO AL INGRESO A CPN]]="GESTACIÓN"),HLOOKUP(NZ175,$OA$2:PH175,NY175),""))))))))</f>
        <v>SOBREPESO</v>
      </c>
      <c r="CK175" s="212">
        <f t="shared" si="607"/>
        <v>45139</v>
      </c>
      <c r="CL175" s="21">
        <v>63</v>
      </c>
      <c r="CM175" s="214">
        <f t="shared" si="608"/>
        <v>26.564344746162927</v>
      </c>
      <c r="CN175" s="216">
        <f t="shared" si="609"/>
        <v>15</v>
      </c>
      <c r="CO175" s="216" t="e">
        <f>IF(PI175="","",IF(PI175&gt;0,HLOOKUP(PI175,$PJ$2:QQ175,NY175),""))</f>
        <v>#REF!</v>
      </c>
      <c r="CP175" s="21">
        <v>18</v>
      </c>
      <c r="CQ175" s="216" t="e">
        <f>IF(QR175="Menor","NO APLICA-MENOR 13 SEM",IF(AND(CC175="SI",CN175&gt;23),"NO APLICA- GEMELAR",IF(QR175="","",IF(QR175&gt;0,HLOOKUP(QR175,$QS$2:RU175,NY175),""))))</f>
        <v>#REF!</v>
      </c>
      <c r="CR175" s="21">
        <v>90</v>
      </c>
      <c r="CS175" s="21">
        <v>60</v>
      </c>
      <c r="CT175" s="217" t="str">
        <f>IF(R175="","",IF(AND(BS175&gt;1,BS175&lt;12,Tabla1[[#This Row],[T.A. SISTOLICA - ANTES DE SEMANA 12]]="",Tabla1[[#This Row],[T.A. DIASTOLICA - ANTES DE SEMANA 12]]=""),"REGISTRE DATO TA ANTES SEMANA 12",IF(AND(BS175&gt;11,BS175&lt;43,Tabla1[[#This Row],[T.A. SISTOLICA - ANTES DE SEMANA 12]]="",Tabla1[[#This Row],[T.A. DIASTOLICA - ANTES DE SEMANA 12]]=""),"NO APLICA REGISTRO TA-INGRESO TARDIO",IF(AND(OR(O175&gt;0,R175&gt;0),OR(CR175&gt;=140,CS175&gt;=90)),"DEFINIR ESTADIO HTA",IF(AND(OR(O175&gt;0,R175&gt;0),AND(CR175&gt;120,CR175&lt;=139)),"PRE HTA SEGUIMIENTO",IF(AND(OR(O175&gt;0,R175&gt;0),AND(CS175&gt;80,CS175&lt;=89)),"PRE HTA SEGUIMIENTO",IF(AND(OR(O175&gt;0,R175&gt;0),AND(CR175&gt;=80,CR175&lt;=120)),"APARENTEMENTE NORMAL",IF(AND(OR(O175&gt;0,R175&gt;0),AND(CS175&gt;=50,CS175&lt;=80)),"APARENTEMENTE NORMAL",IF(AND(OR(O175&gt;0,R175&gt;0),AND(CR175&gt;1,CR175&lt;=70),AND(CS175&gt;1,CS175&lt;=40)),"HIPOTENSIÓN","")))))))))</f>
        <v>APARENTEMENTE NORMAL</v>
      </c>
      <c r="CU175" s="21"/>
      <c r="CV175" s="21"/>
      <c r="CW175" s="217" t="str">
        <f ca="1">IF(R175="","",IF(AND(CN175&gt;19,CN175&lt;27,Tabla1[[#This Row],[T.A. SISTOLICA (Entre semana 20 y 26)]]="",Tabla1[[#This Row],[T.A. DIATOLICA (Entre semana 20 y 26)]]=""),"ACUDE A CONTROL SEM 20 A 26 REGISTRE TA AHORA",IF(AND(BS175&gt;1,BS175&lt;27,BU175&gt;19,Tabla1[[#This Row],[T.A. SISTOLICA (Entre semana 20 y 26)]]="",Tabla1[[#This Row],[T.A. DIATOLICA (Entre semana 20 y 26)]]=""),"COMPLETE REGISTRO TA CONTROL SEM 20 A26 ",IF(AND(BS175&gt;26,BS175&lt;43,Tabla1[[#This Row],[T.A. SISTOLICA (Entre semana 20 y 26)]]="",Tabla1[[#This Row],[T.A. DIATOLICA (Entre semana 20 y 26)]]=""),"NO APLICA REGISTRO TA-INGRESO TARDIO",IF(AND(OR(O175&gt;0,R175&gt;0),OR(CU175&gt;=140,CV175&gt;=90)),"ALTO RIESGO PREECLAMPSIA,DEFINIR ESTADIO HTA",IF(AND(OR(O175&gt;0,R175&gt;0),AND(CU175&gt;120,CU175&lt;=139)),"PRE HTA SEGUIMIENTO,RIESGO HIPERTENSION INDUCIDA POR EL EMBARAZO",IF(AND(OR(O175&gt;0,R175&gt;0),AND(CV175&gt;80,CV175&lt;=89)),"PRE HTA SEGUIMIENTO, RIESGO HIPERTENSION INDUCIDA POR EL EMBARAZO",IF(AND(OR(O175&lt;&gt;"",R175&lt;&gt;""),CS175&lt;&gt;"",CV175&lt;&gt;"",CS175&lt;=CV175),"VIGILAR CIFRAS PRESION ARTERIAL",IF(AND(OR(O175&gt;0,R175&gt;0),AND(CU175&gt;120,CU175&lt;=139)),"PRE HTA SEGUIMIENTO",IF(AND(OR(O175&gt;0,R175&gt;0),AND(CU175&gt;1,CU175&lt;=70),AND(CV175&gt;1,CV175&lt;=40)),"HIPOTENSIÓN",IF(AND(OR(O175&lt;&gt;"",R175&lt;&gt;""),CS175&lt;&gt;"",CV175&lt;&gt;"",CS175&gt;CV175),"APARENTEMENTE NORMAL",IF(AND(OR(O175&gt;0,R175&gt;0),AND(CU175&gt;=80,CU175&lt;=120)),"APARENTEMENTE NORMAL",IF(AND(OR(O175&gt;0,R175&gt;0),AND(CV175&gt;=50,CV175&lt;=80)),"APARENTEMENTE NORMAL","")))))))))))))</f>
        <v xml:space="preserve">COMPLETE REGISTRO TA CONTROL SEM 20 A26 </v>
      </c>
      <c r="CX175" s="21"/>
      <c r="CY175" s="21"/>
      <c r="CZ175" s="216" t="str">
        <f t="shared" si="727"/>
        <v/>
      </c>
      <c r="DA175" s="21">
        <v>100</v>
      </c>
      <c r="DB175" s="21">
        <v>60</v>
      </c>
      <c r="DC175" s="217" t="str">
        <f t="shared" si="610"/>
        <v>APARENTEMENTE NORMAL</v>
      </c>
      <c r="DD175" s="22">
        <v>45065</v>
      </c>
      <c r="DE175" s="22">
        <v>45065</v>
      </c>
      <c r="DF175" s="22">
        <v>45098</v>
      </c>
      <c r="DG175" s="22">
        <v>45139</v>
      </c>
      <c r="DH175" s="22"/>
      <c r="DI175" s="22"/>
      <c r="DJ175" s="22"/>
      <c r="DK175" s="22"/>
      <c r="DL175" s="22"/>
      <c r="DM175" s="22"/>
      <c r="DN175" s="22"/>
      <c r="DO175" s="22"/>
      <c r="DP175" s="22"/>
      <c r="DQ175" s="22"/>
      <c r="DR175" s="28">
        <v>0</v>
      </c>
      <c r="DS175" s="22"/>
      <c r="DT175" s="22"/>
      <c r="DU175" s="216" t="str">
        <f t="shared" ca="1" si="674"/>
        <v>PLANEAR PLAN DE PARTO</v>
      </c>
      <c r="DV175" s="226" t="str">
        <f t="shared" si="675"/>
        <v>ACTIVA INGRESO A CPN</v>
      </c>
      <c r="DW17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5" s="216" t="e">
        <f t="shared" ca="1" si="611"/>
        <v>#REF!</v>
      </c>
      <c r="DY175" s="212">
        <f>IF(R175="","",IF(R175&gt;0,MAX(Tabla1[[#This Row],[FECHA C2]:[FECHA C13]],Tabla1[[#This Row],[FECHA CONSULTA PRIMERA VEZ PROGRAMA CPN ]])))</f>
        <v>45139</v>
      </c>
      <c r="DZ175" s="216">
        <f t="shared" si="612"/>
        <v>15</v>
      </c>
      <c r="EA175" s="222">
        <f>IF(R175&gt;0,SUM(COUNTA(DF175:DQ175)+COUNTA(Tabla1[[#This Row],[FECHA CONSULTA PRIMERA VEZ PROGRAMA CPN ]])),"")</f>
        <v>3</v>
      </c>
      <c r="EB175" s="222" t="str">
        <f t="shared" si="613"/>
        <v>NO</v>
      </c>
      <c r="EC175" s="214">
        <f t="shared" si="614"/>
        <v>10</v>
      </c>
      <c r="ED175" s="227">
        <f t="shared" si="615"/>
        <v>0.3</v>
      </c>
      <c r="EE175" s="22">
        <v>45065</v>
      </c>
      <c r="EF175" s="22">
        <v>45065</v>
      </c>
      <c r="EG175" s="22">
        <v>45065</v>
      </c>
      <c r="EH175" s="22"/>
      <c r="EI175" s="22">
        <v>45065</v>
      </c>
      <c r="EJ175" s="22"/>
      <c r="EK175" s="22"/>
      <c r="EL175" s="21"/>
      <c r="EM175" s="21">
        <v>14.1</v>
      </c>
      <c r="EN175" s="22">
        <v>45065</v>
      </c>
      <c r="EO175" s="222">
        <f t="shared" si="616"/>
        <v>5</v>
      </c>
      <c r="EP175" s="214" t="str">
        <f t="shared" si="617"/>
        <v>NO DAR SULFATO FERROSO</v>
      </c>
      <c r="EQ175" s="216" t="str">
        <f t="shared" si="618"/>
        <v>I TRIM</v>
      </c>
      <c r="ER175" s="24"/>
      <c r="ES175" s="22"/>
      <c r="ET175" s="29" t="str">
        <f t="shared" ca="1" si="676"/>
        <v>EN SEMANA 28 TOMA INMEDIATA DE EXAMEN</v>
      </c>
      <c r="EU175" s="25" t="str">
        <f t="shared" si="619"/>
        <v/>
      </c>
      <c r="EV175" s="24" t="s">
        <v>1510</v>
      </c>
      <c r="EW175" s="32">
        <v>45066</v>
      </c>
      <c r="EX175" s="22"/>
      <c r="EY175" s="29">
        <f t="shared" si="691"/>
        <v>5.1428571428571432</v>
      </c>
      <c r="EZ175" s="25" t="str">
        <f t="shared" si="692"/>
        <v>SIN RIESGO DE ISOINMUNIZACIÓN</v>
      </c>
      <c r="FA175" s="21">
        <v>80</v>
      </c>
      <c r="FB175" s="22">
        <v>45066</v>
      </c>
      <c r="FC175" s="29">
        <f t="shared" si="620"/>
        <v>5.1428571428571432</v>
      </c>
      <c r="FD175" s="29"/>
      <c r="FE175" s="29"/>
      <c r="FF175" s="29"/>
      <c r="FG175" s="21" t="str">
        <f t="shared" ca="1" si="621"/>
        <v>TOMAR PTOG</v>
      </c>
      <c r="FH175" s="31"/>
      <c r="FI175" s="29" t="str">
        <f t="shared" si="622"/>
        <v>TOMAR EXAMEN</v>
      </c>
      <c r="FJ175" s="22" t="s">
        <v>867</v>
      </c>
      <c r="FK175" s="22">
        <v>45066</v>
      </c>
      <c r="FL175" s="29">
        <f t="shared" ca="1" si="623"/>
        <v>5.1428571428571432</v>
      </c>
      <c r="FM175" s="22"/>
      <c r="FN175" s="32"/>
      <c r="FO175" s="29" t="str">
        <f t="shared" ca="1" si="677"/>
        <v>PIERDE TOMA DE TAMIZAJE</v>
      </c>
      <c r="FP175" s="22"/>
      <c r="FQ175" s="32"/>
      <c r="FR175" s="29" t="str">
        <f t="shared" ca="1" si="678"/>
        <v>EN RANGO PARA TOMAR EXAMEN</v>
      </c>
      <c r="FS175" s="22"/>
      <c r="FT175" s="32"/>
      <c r="FU175" s="29" t="str">
        <f>IF(AND(FJ175="",FM175="",FP175="",FS175=""),"",IF(OR(OR(Tabla1[[#This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5" s="28"/>
      <c r="FW175" s="22"/>
      <c r="FX175" s="29" t="str">
        <f t="shared" si="624"/>
        <v>TOMAR EXAMEN</v>
      </c>
      <c r="FY175" s="22">
        <v>45066</v>
      </c>
      <c r="FZ175" s="22">
        <v>45066</v>
      </c>
      <c r="GA175" s="29">
        <f t="shared" ca="1" si="690"/>
        <v>5.1428571428571432</v>
      </c>
      <c r="GB175" s="22"/>
      <c r="GC175" s="22"/>
      <c r="GD175" s="29" t="str">
        <f t="shared" ca="1" si="730"/>
        <v>PIERDE TOMA DE TAMIZAJE</v>
      </c>
      <c r="GE175" s="22"/>
      <c r="GF175" s="22"/>
      <c r="GG175" s="29" t="str">
        <f t="shared" ca="1" si="680"/>
        <v>EN RANGO PARA TOMAR EXAMEN</v>
      </c>
      <c r="GH175" s="22"/>
      <c r="GI175" s="29"/>
      <c r="GJ175" s="22"/>
      <c r="GK175" s="22"/>
      <c r="GL175" s="22"/>
      <c r="GM175" s="22"/>
      <c r="GN175" s="28" t="s">
        <v>869</v>
      </c>
      <c r="GO175" s="22">
        <v>45066</v>
      </c>
      <c r="GP175" s="29">
        <f t="shared" si="625"/>
        <v>5.1428571428571432</v>
      </c>
      <c r="GQ175" s="28" t="s">
        <v>869</v>
      </c>
      <c r="GR175" s="28" t="s">
        <v>869</v>
      </c>
      <c r="GS175" s="22" t="str">
        <f t="shared" si="726"/>
        <v>CONTROL Igm</v>
      </c>
      <c r="GT175" s="22">
        <v>45066</v>
      </c>
      <c r="GU175" s="29">
        <f t="shared" si="627"/>
        <v>5.1428571428571432</v>
      </c>
      <c r="GV175" s="21" t="str">
        <f t="shared" si="628"/>
        <v>I TRIM</v>
      </c>
      <c r="GW175" s="28" t="s">
        <v>869</v>
      </c>
      <c r="GX175" s="30"/>
      <c r="GY175" s="21"/>
      <c r="GZ175" s="21"/>
      <c r="HA175" s="21"/>
      <c r="HB175" s="21"/>
      <c r="HC175" s="21"/>
      <c r="HD175" s="21"/>
      <c r="HE175" s="21"/>
      <c r="HF175" s="22"/>
      <c r="HG175" s="22" t="str">
        <f>IF(OR(O175&gt;0,R175&gt;0),CONCATENATE(IF(Tabla1[[#This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5" s="22" t="e">
        <f t="shared" si="629"/>
        <v>#REF!</v>
      </c>
      <c r="HI175" s="22" t="e">
        <f t="shared" ca="1" si="630"/>
        <v>#REF!</v>
      </c>
      <c r="HJ175" s="21"/>
      <c r="HK175" s="21" t="str">
        <f t="shared" si="631"/>
        <v>SIN ANTECEDENTES DE RIESGO</v>
      </c>
      <c r="HL175" s="24" t="str">
        <f t="shared" si="632"/>
        <v>APARENTEMENTE NORMAL</v>
      </c>
      <c r="HM175" s="21" t="e">
        <f t="shared" ca="1" si="633"/>
        <v>#REF!</v>
      </c>
      <c r="HN175" s="30" t="str">
        <f t="shared" si="681"/>
        <v>ACTIVA INGRESO A CPN</v>
      </c>
      <c r="HO175" s="21"/>
      <c r="HP175" s="21"/>
      <c r="HQ175" s="349">
        <v>45065</v>
      </c>
      <c r="HR175" s="21" t="str">
        <f>IF(R175="","",IF(Tabla1[[#This Row],[ALARMA FACTORES DE RIESGO COMPLICACIONES HIPERTENSIVAS3]]="SIN ANTECEDENTES DE RIESGO","No Aplica para suministro de ASA",IF(AND(Tabla1[[#This Row],[FECHA INICIO DE SUMINISTRO DE ASA]]&gt;0,RV175&lt;12),"Inicia ASA ANTES de Sem 12",IF(AND(RV175&gt;11,RV175&lt;17,OR(HK175="RIESGO ALTO DE COMPLICACIONES HIPERTENSIVAS VER MANEJO GUIA SUMINISTRO ASA Y CALCIO",HK175="RIESGO MODERADO (2 O MAS CRITERIOS) VER MANEJO GUIA SUMINISTRO ASA Y CALCIO")),"Inicio oportuno de ASA",IF(AND(RV175&gt;12,OR(HK175="RIESGO ALTO DE COMPLICACIONES HIPERTENSIVAS VER MANEJO GUIA SUMINISTRO ASA Y CALCIO",HK175="RIESGO MODERADO (2 O MAS CRITERIOS) VER MANEJO GUIA SUMINISTRO ASA Y CALCIO")),"Inicio no oportuno mayor a 16 semanas",IF(AND(BU175&lt;12,OR(HK175="RIESGO ALTO DE COMPLICACIONES HIPERTENSIVAS VER MANEJO GUIA SUMINISTRO ASA Y CALCIO",HK175="RIESGO MODERADO (2 O MAS CRITERIOS) VER MANEJO GUIA SUMINISTRO ASA Y CALCIO")),"Pendiente Inicio de ASA a la semana 12",IF(AND(BU175&gt;11,BU175&lt;17,OR(HK175="RIESGO ALTO DE COMPLICACIONES HIPERTENSIVAS VER MANEJO GUIA SUMINISTRO ASA Y CALCIO",HK175="RIESGO MODERADO (2 O MAS CRITERIOS) VER MANEJO GUIA SUMINISTRO ASA Y CALCIO")),"Iniciar de inmediato ASA",IF(AND(BU175&gt;16,OR(HK175="RIESGO ALTO DE COMPLICACIONES HIPERTENSIVAS VER MANEJO GUIA SUMINISTRO ASA Y CALCIO",HK175="RIESGO MODERADO (2 O MAS CRITERIOS) VER MANEJO GUIA SUMINISTRO ASA Y CALCIO")),"Pierde Oportunidad, Inicio tardío de ASA","XXXXX"))))))))</f>
        <v>No Aplica para suministro de ASA</v>
      </c>
      <c r="HS175" s="22">
        <v>45065</v>
      </c>
      <c r="HT175" s="22" t="s">
        <v>870</v>
      </c>
      <c r="HU175" s="22">
        <v>45065</v>
      </c>
      <c r="HV175" s="22" t="s">
        <v>870</v>
      </c>
      <c r="HW175" s="22">
        <v>45065</v>
      </c>
      <c r="HX175" s="22" t="s">
        <v>870</v>
      </c>
      <c r="HY175" s="22">
        <v>45071</v>
      </c>
      <c r="HZ175" s="28">
        <f t="shared" si="634"/>
        <v>5.8571428571428568</v>
      </c>
      <c r="IA175" s="26"/>
      <c r="IB175" s="26"/>
      <c r="IC175" s="111"/>
      <c r="ID175" s="22"/>
      <c r="IE175" s="22" t="str">
        <f t="shared" ca="1" si="635"/>
        <v>INASISTENTE</v>
      </c>
      <c r="IF175" s="22"/>
      <c r="IG175" s="22">
        <f t="shared" si="636"/>
        <v>45310</v>
      </c>
      <c r="IH175" s="29">
        <f t="shared" ca="1" si="637"/>
        <v>77</v>
      </c>
      <c r="II175" s="22" t="str">
        <f t="shared" ca="1" si="638"/>
        <v>PENDIENTE</v>
      </c>
      <c r="IJ175" s="22"/>
      <c r="IK175" s="21"/>
      <c r="IL175" s="21"/>
      <c r="IM175" s="34"/>
      <c r="IN175" s="22"/>
      <c r="IO175" s="21"/>
      <c r="IP175" s="29" t="str">
        <f t="shared" si="728"/>
        <v/>
      </c>
      <c r="IQ175" s="35"/>
      <c r="IR175" s="21"/>
      <c r="IS175" s="21"/>
      <c r="IT175" s="21"/>
      <c r="IU175" s="21"/>
      <c r="IV175" s="21"/>
      <c r="IW175" s="21"/>
      <c r="IX175" s="21"/>
      <c r="IY175" s="21"/>
      <c r="IZ175" s="21"/>
      <c r="JA175" s="21"/>
      <c r="JB175" s="30"/>
      <c r="JC175" s="21"/>
      <c r="JD175" s="36"/>
      <c r="JE175" s="21" t="str">
        <f t="shared" si="731"/>
        <v/>
      </c>
      <c r="JF175" s="30"/>
      <c r="JG175" s="21"/>
      <c r="JH175" s="21"/>
      <c r="JI175" s="21"/>
      <c r="JJ175" s="30"/>
      <c r="JK175" s="22"/>
      <c r="JL175" s="22"/>
      <c r="JM175" s="21"/>
      <c r="JN175" s="36"/>
      <c r="JO175" s="21" t="str">
        <f t="shared" si="732"/>
        <v/>
      </c>
      <c r="JP175" s="22"/>
      <c r="JQ175" s="21"/>
      <c r="JR175" s="21"/>
      <c r="JS175" s="21"/>
      <c r="JT175" s="30"/>
      <c r="JU175" s="22"/>
      <c r="JV175" s="22"/>
      <c r="JW175" s="33"/>
      <c r="JX175" s="28" t="str">
        <f t="shared" si="733"/>
        <v/>
      </c>
      <c r="JY175" s="33"/>
      <c r="JZ175" s="28" t="str">
        <f t="shared" si="734"/>
        <v/>
      </c>
      <c r="KA175" s="21"/>
      <c r="KB175" s="21"/>
      <c r="KC175" s="21"/>
      <c r="KD175" s="37"/>
      <c r="KE175" s="28"/>
      <c r="KF175" s="28"/>
      <c r="KG175" s="28"/>
      <c r="KH175" s="39"/>
      <c r="KI175" s="39"/>
      <c r="KJ175" s="66"/>
      <c r="KK175" s="39"/>
      <c r="KL175" s="39"/>
      <c r="KM175" s="66"/>
      <c r="KN175" s="39"/>
      <c r="KO175" s="39"/>
      <c r="KP175" s="39"/>
      <c r="KQ175" s="39"/>
      <c r="KR175" s="39"/>
      <c r="KS175" s="39"/>
      <c r="KT175" s="39"/>
      <c r="KU175" s="38"/>
      <c r="KV175" s="38"/>
      <c r="KW175" s="38"/>
      <c r="KX175" s="38"/>
      <c r="KY175" s="38"/>
      <c r="KZ175" s="38"/>
      <c r="LA175" s="38"/>
      <c r="LB175" s="38"/>
      <c r="LC175" s="38"/>
      <c r="LD175" s="38"/>
      <c r="LE175" s="38"/>
      <c r="LF175" s="38"/>
      <c r="LG175" s="38"/>
      <c r="LH175" s="38"/>
      <c r="LI175" s="38"/>
      <c r="LJ175" s="38"/>
      <c r="LK175" s="38"/>
      <c r="LL175" s="38"/>
      <c r="LM175" s="38"/>
      <c r="LN175" s="38"/>
      <c r="LO175" s="38"/>
      <c r="LP175" s="38"/>
      <c r="LQ175" s="38"/>
      <c r="LR175" s="38"/>
      <c r="LS175" s="38"/>
      <c r="LT175" s="38"/>
      <c r="LU175" s="38"/>
      <c r="LV175" s="38"/>
      <c r="LW175" s="38"/>
      <c r="LX175" s="38"/>
      <c r="LY175" s="38"/>
      <c r="LZ175" s="38"/>
      <c r="MA175" s="38"/>
      <c r="MB175" s="38"/>
      <c r="MC175" s="38"/>
      <c r="MD175" s="38"/>
      <c r="ME175" s="38"/>
      <c r="MF175" s="38"/>
      <c r="MG175" s="38"/>
      <c r="MH175" s="43">
        <f t="shared" si="695"/>
        <v>0</v>
      </c>
      <c r="MI175" s="43" t="str">
        <f t="shared" si="696"/>
        <v/>
      </c>
      <c r="MJ175" s="43" t="str">
        <f t="shared" si="697"/>
        <v/>
      </c>
      <c r="MK175" s="43">
        <f t="shared" si="698"/>
        <v>0</v>
      </c>
      <c r="ML17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5" s="43">
        <f t="shared" si="699"/>
        <v>5</v>
      </c>
      <c r="MN175" s="43">
        <f t="shared" si="700"/>
        <v>5</v>
      </c>
      <c r="MO175" s="43">
        <f t="shared" si="701"/>
        <v>2023</v>
      </c>
      <c r="MP175" s="43" t="str">
        <f t="shared" si="702"/>
        <v>II TRIMESTRE AÑO</v>
      </c>
      <c r="MQ175" s="43">
        <f t="shared" si="703"/>
        <v>35.394765659220319</v>
      </c>
      <c r="MR175" s="43">
        <f t="shared" si="704"/>
        <v>2</v>
      </c>
      <c r="MS175" s="43" t="str">
        <f t="shared" si="705"/>
        <v xml:space="preserve"> DE 35 A 39 AÑOS</v>
      </c>
      <c r="MT175" s="43">
        <f t="shared" si="706"/>
        <v>0</v>
      </c>
      <c r="MU175" s="43">
        <f t="shared" si="707"/>
        <v>2</v>
      </c>
      <c r="MV175" s="43">
        <f t="shared" si="708"/>
        <v>0</v>
      </c>
      <c r="MW175" s="43">
        <f t="shared" si="709"/>
        <v>0</v>
      </c>
      <c r="MX175" s="43" t="str">
        <f t="shared" si="710"/>
        <v/>
      </c>
      <c r="MY175" s="43" t="str">
        <f t="shared" ca="1" si="735"/>
        <v/>
      </c>
      <c r="MZ175" s="43" t="str">
        <f t="shared" si="711"/>
        <v/>
      </c>
      <c r="NA175" s="43" t="str">
        <f t="shared" si="712"/>
        <v/>
      </c>
      <c r="NB175" s="43" t="str">
        <f t="shared" si="713"/>
        <v/>
      </c>
      <c r="NC175" s="43" t="str">
        <f t="shared" si="714"/>
        <v/>
      </c>
      <c r="ND175" s="43">
        <f t="shared" ca="1" si="715"/>
        <v>4</v>
      </c>
      <c r="NE175" s="43">
        <f>IF(OR(O175&gt;0,R175&gt;0),SUM(COUNTIF(Tabla1[[#This Row],[AÑOS AL INICIO5 CPN]],"&gt;=40"),COUNTIF(AS175,"0"),COUNTIF(AR175,"SI"),COUNTIF(CC175,"SI"),COUNTIF(BQ175,"&gt;119"),COUNTIF(CI175,"&gt;=35")),"")</f>
        <v>0</v>
      </c>
      <c r="NF175" s="43" t="str">
        <f t="shared" si="716"/>
        <v/>
      </c>
      <c r="NG175" s="43">
        <f t="shared" si="717"/>
        <v>0</v>
      </c>
      <c r="NH175" s="43">
        <f t="shared" si="718"/>
        <v>42.699999999999996</v>
      </c>
      <c r="NI17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CPN",P175="NO"),"Z",IF(AND(Tabla1[[#This Row],[CITA PROXIMO CONTROL]]="CITA MANUAL",Tabla1[[#This Row],[GESTANTES ACTUALES]]="ACTIVA INGRESO A CPN"),"W",IF(AND(Tabla1[[#This Row],[GESTANTES ACTUALES]]="SALIO PROGRAMA",IN175=""),"S",IF(AND(Tabla1[[#This Row],[CITA PROXIMO CONTROL]]&gt;0,IN175=""),(Tabla1[[#This Row],[CITA PROXIMO CONTROL]]-TODAY()),"SD"))))))))</f>
        <v>#REF!</v>
      </c>
      <c r="NJ175" s="43">
        <f>MONTH(Tabla1[[#This Row],[FECHA DE SALIDA  DEL PROGRAMA]])</f>
        <v>1</v>
      </c>
      <c r="NK175" s="43">
        <f>YEAR(Tabla1[[#This Row],[FECHA DE SALIDA  DEL PROGRAMA]])</f>
        <v>1900</v>
      </c>
      <c r="NL175" s="43" t="str">
        <f t="shared" si="719"/>
        <v>X</v>
      </c>
      <c r="NM175" s="43" t="str">
        <f t="shared" si="693"/>
        <v>NO</v>
      </c>
      <c r="NN175" s="43" t="str">
        <f ca="1">IF(AND(O175&gt;0,R175=""),"NO CPN",IF(AND(O175="",R175=""),"",IF(AND(R175&gt;0,Tabla1[[#This Row],[SEMANAS DE GESTACION ACTUALIZADAS]]&lt;=12),"NO APLICA",IF(AND(FH175&lt;&gt;"",FN175&lt;&gt;""),"SI","NO"))))</f>
        <v>NO</v>
      </c>
      <c r="NO175" s="43" t="str">
        <f ca="1">IF(AND(O175&gt;0,R175=""),"NO CPN",IF(AND(O175="",R175=""),"",IF(AND(R175&gt;0,Tabla1[[#This Row],[SEMANAS DE GESTACION ACTUALIZADAS]]&lt;=27),"NO APLICA",IF(AND(ES175&lt;&gt;"",FQ175&lt;&gt;"",GF175&lt;&gt;""),"SI","NO"))))</f>
        <v>NO</v>
      </c>
      <c r="NP175" s="204" t="str">
        <f t="shared" si="720"/>
        <v>I TRIM</v>
      </c>
      <c r="NQ175" s="21" t="str">
        <f t="shared" si="729"/>
        <v/>
      </c>
      <c r="NR175" s="21">
        <f t="shared" ca="1" si="736"/>
        <v>3</v>
      </c>
      <c r="NS175" s="205">
        <f t="shared" ca="1" si="721"/>
        <v>1</v>
      </c>
      <c r="NT175" s="21">
        <f t="shared" ca="1" si="722"/>
        <v>1</v>
      </c>
      <c r="NU175" s="21" t="str">
        <f t="shared" ca="1" si="723"/>
        <v>INCOMPLETO</v>
      </c>
      <c r="NV175" s="21" t="str">
        <f t="shared" ca="1" si="724"/>
        <v>INCOMPLETO</v>
      </c>
      <c r="NW175" s="206" t="str">
        <f>IF(AND(O175="",R175=""),"",IF(OR(AND(Tabla1[[#This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5" s="207" t="str">
        <f t="shared" ca="1" si="725"/>
        <v>SIN VACUNAR</v>
      </c>
      <c r="NY175" s="43">
        <f>ROW(Tabla1[[#This Row],['# DE TAMIZAJES SIFILIS TOMADOS ]])</f>
        <v>175</v>
      </c>
      <c r="NZ175" s="43" t="str">
        <f t="shared" si="501"/>
        <v>Menor</v>
      </c>
      <c r="OA175" s="43" t="str">
        <f t="shared" si="502"/>
        <v>SOBREPESO</v>
      </c>
      <c r="OB175" s="43" t="str">
        <f t="shared" si="503"/>
        <v/>
      </c>
      <c r="OC175" s="43" t="str">
        <f t="shared" si="504"/>
        <v/>
      </c>
      <c r="OD175" s="43" t="str">
        <f t="shared" si="505"/>
        <v/>
      </c>
      <c r="OE175" s="43" t="str">
        <f t="shared" si="506"/>
        <v/>
      </c>
      <c r="OF175" s="43" t="str">
        <f t="shared" si="507"/>
        <v/>
      </c>
      <c r="OG175" s="43" t="str">
        <f t="shared" si="508"/>
        <v/>
      </c>
      <c r="OH175" s="43" t="str">
        <f t="shared" si="509"/>
        <v/>
      </c>
      <c r="OI175" s="43" t="str">
        <f t="shared" si="510"/>
        <v/>
      </c>
      <c r="OJ175" s="43" t="str">
        <f t="shared" si="511"/>
        <v/>
      </c>
      <c r="OK175" s="43" t="str">
        <f t="shared" si="512"/>
        <v/>
      </c>
      <c r="OL175" s="43" t="str">
        <f t="shared" si="513"/>
        <v/>
      </c>
      <c r="OM175" s="43" t="str">
        <f t="shared" si="514"/>
        <v/>
      </c>
      <c r="ON175" s="43" t="str">
        <f t="shared" si="515"/>
        <v/>
      </c>
      <c r="OO175" s="43" t="str">
        <f t="shared" si="516"/>
        <v/>
      </c>
      <c r="OP175" s="43" t="str">
        <f t="shared" si="517"/>
        <v/>
      </c>
      <c r="OQ175" s="43" t="str">
        <f t="shared" si="518"/>
        <v/>
      </c>
      <c r="OR175" s="43" t="str">
        <f t="shared" si="519"/>
        <v/>
      </c>
      <c r="OS175" s="43" t="str">
        <f t="shared" si="520"/>
        <v/>
      </c>
      <c r="OT175" s="43" t="str">
        <f t="shared" si="521"/>
        <v/>
      </c>
      <c r="OU175" s="43" t="str">
        <f t="shared" si="522"/>
        <v/>
      </c>
      <c r="OV175" s="110" t="str">
        <f t="shared" si="523"/>
        <v/>
      </c>
      <c r="OW175" s="43" t="str">
        <f t="shared" si="524"/>
        <v/>
      </c>
      <c r="OX175" s="43" t="str">
        <f t="shared" si="525"/>
        <v/>
      </c>
      <c r="OY175" s="43" t="str">
        <f t="shared" si="526"/>
        <v/>
      </c>
      <c r="OZ175" s="43" t="str">
        <f t="shared" si="527"/>
        <v/>
      </c>
      <c r="PA175" s="43" t="str">
        <f t="shared" si="528"/>
        <v/>
      </c>
      <c r="PB175" s="43" t="str">
        <f t="shared" si="529"/>
        <v/>
      </c>
      <c r="PC175" s="43" t="str">
        <f t="shared" si="530"/>
        <v/>
      </c>
      <c r="PD175" s="43" t="str">
        <f t="shared" si="531"/>
        <v/>
      </c>
      <c r="PE175" s="43" t="str">
        <f t="shared" si="532"/>
        <v/>
      </c>
      <c r="PF175" s="43" t="str">
        <f t="shared" si="533"/>
        <v/>
      </c>
      <c r="PG175" s="43" t="str">
        <f t="shared" si="534"/>
        <v/>
      </c>
      <c r="PH175" s="43" t="str">
        <f t="shared" si="535"/>
        <v/>
      </c>
      <c r="PI175" s="43">
        <f t="shared" si="536"/>
        <v>15</v>
      </c>
      <c r="PJ175" s="43" t="str">
        <f t="shared" si="537"/>
        <v/>
      </c>
      <c r="PK175" s="43" t="str">
        <f t="shared" si="538"/>
        <v/>
      </c>
      <c r="PL175" s="43" t="str">
        <f t="shared" si="539"/>
        <v/>
      </c>
      <c r="PM175" s="43" t="str">
        <f t="shared" si="540"/>
        <v/>
      </c>
      <c r="PN175" s="43" t="str">
        <f t="shared" si="541"/>
        <v/>
      </c>
      <c r="PO175" s="43" t="str">
        <f t="shared" si="542"/>
        <v/>
      </c>
      <c r="PP175" s="43" t="str">
        <f t="shared" si="543"/>
        <v>SOBREPESO</v>
      </c>
      <c r="PQ175" s="43" t="str">
        <f t="shared" si="544"/>
        <v/>
      </c>
      <c r="PR175" s="43" t="str">
        <f t="shared" si="545"/>
        <v/>
      </c>
      <c r="PS175" s="43" t="str">
        <f t="shared" si="546"/>
        <v/>
      </c>
      <c r="PT175" s="43" t="str">
        <f t="shared" si="547"/>
        <v/>
      </c>
      <c r="PU175" s="43" t="str">
        <f t="shared" si="548"/>
        <v/>
      </c>
      <c r="PV175" s="43" t="str">
        <f t="shared" si="549"/>
        <v/>
      </c>
      <c r="PW175" s="43" t="str">
        <f t="shared" si="550"/>
        <v/>
      </c>
      <c r="PX175" s="43" t="str">
        <f t="shared" si="551"/>
        <v/>
      </c>
      <c r="PY175" s="43" t="str">
        <f t="shared" si="552"/>
        <v/>
      </c>
      <c r="PZ175" s="43" t="str">
        <f t="shared" si="553"/>
        <v/>
      </c>
      <c r="QA175" s="43" t="str">
        <f t="shared" si="554"/>
        <v/>
      </c>
      <c r="QB175" s="43" t="str">
        <f t="shared" si="555"/>
        <v/>
      </c>
      <c r="QC175" s="43" t="str">
        <f t="shared" si="556"/>
        <v/>
      </c>
      <c r="QD175" s="43" t="str">
        <f t="shared" si="557"/>
        <v/>
      </c>
      <c r="QE175" s="43" t="str">
        <f t="shared" si="558"/>
        <v/>
      </c>
      <c r="QF175" s="43" t="str">
        <f t="shared" si="559"/>
        <v/>
      </c>
      <c r="QG175" s="43" t="str">
        <f t="shared" si="560"/>
        <v/>
      </c>
      <c r="QH175" s="43" t="str">
        <f t="shared" si="561"/>
        <v/>
      </c>
      <c r="QI175" s="43" t="str">
        <f t="shared" si="562"/>
        <v/>
      </c>
      <c r="QJ175" s="43" t="str">
        <f t="shared" si="563"/>
        <v/>
      </c>
      <c r="QK175" s="43" t="str">
        <f t="shared" si="564"/>
        <v/>
      </c>
      <c r="QL175" s="43" t="str">
        <f t="shared" si="565"/>
        <v/>
      </c>
      <c r="QM175" s="43" t="str">
        <f t="shared" si="566"/>
        <v/>
      </c>
      <c r="QN175" s="43" t="str">
        <f t="shared" si="567"/>
        <v/>
      </c>
      <c r="QO175" s="43" t="str">
        <f t="shared" si="568"/>
        <v/>
      </c>
      <c r="QP175" s="43" t="str">
        <f t="shared" si="569"/>
        <v/>
      </c>
      <c r="QQ175" s="43" t="str">
        <f t="shared" si="570"/>
        <v/>
      </c>
      <c r="QR175" s="43">
        <f t="shared" si="670"/>
        <v>15</v>
      </c>
      <c r="QS175" s="43"/>
      <c r="QT175" s="21" t="str">
        <f t="shared" si="571"/>
        <v/>
      </c>
      <c r="QU175" s="21" t="str">
        <f t="shared" si="572"/>
        <v/>
      </c>
      <c r="QV175" s="21" t="str">
        <f t="shared" si="573"/>
        <v>ALTO PARA EDAD GESTACIONAL</v>
      </c>
      <c r="QW175" s="21" t="str">
        <f t="shared" si="574"/>
        <v/>
      </c>
      <c r="QX175" s="21" t="str">
        <f t="shared" si="575"/>
        <v/>
      </c>
      <c r="QY175" s="21" t="str">
        <f t="shared" si="576"/>
        <v/>
      </c>
      <c r="QZ175" s="21" t="str">
        <f t="shared" si="577"/>
        <v/>
      </c>
      <c r="RA175" s="21" t="str">
        <f t="shared" si="578"/>
        <v/>
      </c>
      <c r="RB175" s="21" t="str">
        <f t="shared" si="579"/>
        <v/>
      </c>
      <c r="RC175" s="21" t="str">
        <f t="shared" si="580"/>
        <v/>
      </c>
      <c r="RD175" s="21" t="str">
        <f t="shared" si="581"/>
        <v/>
      </c>
      <c r="RE175" s="21" t="str">
        <f t="shared" si="582"/>
        <v/>
      </c>
      <c r="RF175" s="21" t="str">
        <f t="shared" si="583"/>
        <v/>
      </c>
      <c r="RG175" s="21" t="str">
        <f t="shared" si="584"/>
        <v/>
      </c>
      <c r="RH175" s="21" t="str">
        <f t="shared" si="585"/>
        <v/>
      </c>
      <c r="RI175" s="21" t="str">
        <f t="shared" si="586"/>
        <v/>
      </c>
      <c r="RJ175" s="21" t="str">
        <f t="shared" si="587"/>
        <v/>
      </c>
      <c r="RK175" s="21" t="str">
        <f t="shared" si="588"/>
        <v/>
      </c>
      <c r="RL175" s="21" t="str">
        <f t="shared" si="589"/>
        <v/>
      </c>
      <c r="RM175" s="21" t="str">
        <f t="shared" si="590"/>
        <v/>
      </c>
      <c r="RN175" s="21" t="str">
        <f t="shared" si="591"/>
        <v/>
      </c>
      <c r="RO175" s="21" t="str">
        <f t="shared" si="592"/>
        <v/>
      </c>
      <c r="RP175" s="21" t="str">
        <f t="shared" si="593"/>
        <v/>
      </c>
      <c r="RQ175" s="21" t="str">
        <f t="shared" si="594"/>
        <v/>
      </c>
      <c r="RR175" s="21" t="str">
        <f t="shared" si="595"/>
        <v/>
      </c>
      <c r="RS175" s="21" t="str">
        <f t="shared" si="596"/>
        <v/>
      </c>
      <c r="RT175" s="21" t="str">
        <f t="shared" si="597"/>
        <v/>
      </c>
      <c r="RU175" s="21" t="str">
        <f t="shared" si="598"/>
        <v/>
      </c>
      <c r="RV175" s="21">
        <f t="shared" si="599"/>
        <v>5</v>
      </c>
      <c r="RW175" s="284">
        <f>IF(OR(Tabla1[[#This Row],[FUM FORMULA CONFIABLE]]="",Tabla1[[#This Row],[FUM FORMULA CONFIABLE]]="SD"),"",IF(Tabla1[[#This Row],[FUM FORMULA CONFIABLE]]="CORREGIDA",Tabla1[[#This Row],[FUM X ECO 1]],Tabla1[[#This Row],[FUM x AMENORREA]]))</f>
        <v>45030</v>
      </c>
      <c r="RX175" s="21">
        <f>IF(AND(Tabla1[[#This Row],[FUM X ECO 1]]="",Tabla1[[#This Row],[FUM x AMENORREA]]=""),"",IF(AND(Tabla1[[#This Row],[FUM X ECO 1]]="",Tabla1[[#This Row],[FUM x AMENORREA]]&lt;&gt;""),"X",SUM(Tabla1[[#This Row],[FUM X ECO 1]]-Tabla1[[#This Row],[FUM x AMENORREA]])))</f>
        <v>-0.69999999999708962</v>
      </c>
      <c r="RY175" s="21">
        <f t="shared" si="671"/>
        <v>0</v>
      </c>
    </row>
    <row r="176" spans="1:493" ht="45" customHeight="1" x14ac:dyDescent="0.25">
      <c r="A176" s="109"/>
      <c r="B176" s="43"/>
      <c r="C176" s="43" t="s">
        <v>845</v>
      </c>
      <c r="D176" s="124"/>
      <c r="E176" s="43" t="s">
        <v>884</v>
      </c>
      <c r="F176" s="43" t="s">
        <v>1378</v>
      </c>
      <c r="G176" s="43" t="s">
        <v>1494</v>
      </c>
      <c r="H176" s="43" t="s">
        <v>1495</v>
      </c>
      <c r="I176" s="109" t="s">
        <v>851</v>
      </c>
      <c r="J176" s="110" t="s">
        <v>1496</v>
      </c>
      <c r="K176" s="43" t="s">
        <v>852</v>
      </c>
      <c r="L176" s="175" t="s">
        <v>1509</v>
      </c>
      <c r="M176" s="22">
        <v>34472</v>
      </c>
      <c r="N176" s="213">
        <f t="shared" ca="1" si="600"/>
        <v>29.482191780821918</v>
      </c>
      <c r="O176" s="22">
        <v>45065</v>
      </c>
      <c r="P176" s="214" t="str">
        <f t="shared" si="673"/>
        <v>SI</v>
      </c>
      <c r="Q176" s="26" t="s">
        <v>855</v>
      </c>
      <c r="R176" s="22">
        <v>45065</v>
      </c>
      <c r="S176" s="21" t="s">
        <v>856</v>
      </c>
      <c r="T176" s="24" t="s">
        <v>690</v>
      </c>
      <c r="U176" s="21" t="s">
        <v>857</v>
      </c>
      <c r="V176" s="21" t="s">
        <v>858</v>
      </c>
      <c r="W176" s="21" t="s">
        <v>1497</v>
      </c>
      <c r="X176" s="21"/>
      <c r="Y176" s="21" t="s">
        <v>859</v>
      </c>
      <c r="Z176" s="21">
        <v>3226055618</v>
      </c>
      <c r="AA176" s="21" t="s">
        <v>860</v>
      </c>
      <c r="AB176" s="27" t="s">
        <v>861</v>
      </c>
      <c r="AC176" s="26" t="s">
        <v>846</v>
      </c>
      <c r="AD176" s="38" t="s">
        <v>1546</v>
      </c>
      <c r="AE176" s="26" t="s">
        <v>854</v>
      </c>
      <c r="AF176" s="26" t="s">
        <v>854</v>
      </c>
      <c r="AG176" s="23" t="s">
        <v>864</v>
      </c>
      <c r="AH176" s="23" t="s">
        <v>864</v>
      </c>
      <c r="AI176" s="24" t="s">
        <v>863</v>
      </c>
      <c r="AJ176" s="23" t="s">
        <v>864</v>
      </c>
      <c r="AK176" s="220" t="str">
        <f>IF(AND(AD176="",AE176="",AF176="",AG176="",AH176="",AI176="",AJ176=""),"",IF(OR(Tabla1[[#This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EVALUACIÓN",IF(AND(O176="",R176=""),"",IF(AND(OR(O176&gt;0,R176&gt;0),NG176&gt;=0,NG176&lt;2),"SIN RIESGO",IF(AND(OR(O176&gt;0,R176&gt;0),NG176&gt;=2),"CON RIESGO","ASD")))))</f>
        <v>SIN RIESGO</v>
      </c>
      <c r="AL176" s="23" t="s">
        <v>864</v>
      </c>
      <c r="AM176" s="26" t="s">
        <v>864</v>
      </c>
      <c r="AN176" s="26" t="s">
        <v>864</v>
      </c>
      <c r="AO176" s="26" t="s">
        <v>864</v>
      </c>
      <c r="AP176" s="26" t="s">
        <v>864</v>
      </c>
      <c r="AQ176" s="26" t="s">
        <v>864</v>
      </c>
      <c r="AR176" s="26" t="s">
        <v>864</v>
      </c>
      <c r="AS176" s="21">
        <v>1</v>
      </c>
      <c r="AT176" s="21">
        <v>0</v>
      </c>
      <c r="AU176" s="21">
        <v>1</v>
      </c>
      <c r="AV176" s="26" t="s">
        <v>864</v>
      </c>
      <c r="AW176" s="21">
        <v>0</v>
      </c>
      <c r="AX176" s="26" t="s">
        <v>864</v>
      </c>
      <c r="AY176" s="26" t="s">
        <v>864</v>
      </c>
      <c r="AZ176" s="26" t="s">
        <v>864</v>
      </c>
      <c r="BA176" s="26" t="s">
        <v>864</v>
      </c>
      <c r="BB176" s="26" t="s">
        <v>864</v>
      </c>
      <c r="BC176" s="26" t="s">
        <v>864</v>
      </c>
      <c r="BD176" s="26" t="s">
        <v>864</v>
      </c>
      <c r="BE176" s="26" t="s">
        <v>864</v>
      </c>
      <c r="BF176" s="26" t="s">
        <v>864</v>
      </c>
      <c r="BG176" s="26" t="s">
        <v>864</v>
      </c>
      <c r="BH176" s="26" t="s">
        <v>864</v>
      </c>
      <c r="BI176" s="26" t="s">
        <v>864</v>
      </c>
      <c r="BJ176" s="26" t="s">
        <v>864</v>
      </c>
      <c r="BK176" s="26" t="s">
        <v>864</v>
      </c>
      <c r="BL176" s="26" t="s">
        <v>864</v>
      </c>
      <c r="BM176" s="26" t="s">
        <v>864</v>
      </c>
      <c r="BN176" s="22">
        <v>43228</v>
      </c>
      <c r="BO176" s="22">
        <v>45018</v>
      </c>
      <c r="BP176" s="21" t="s">
        <v>854</v>
      </c>
      <c r="BQ176" s="222">
        <f t="shared" si="601"/>
        <v>59.666666666666664</v>
      </c>
      <c r="BR176" s="223">
        <f t="shared" si="602"/>
        <v>45011.6</v>
      </c>
      <c r="BS176" s="224">
        <f t="shared" si="603"/>
        <v>6.7142857142857144</v>
      </c>
      <c r="BT176" s="216" t="str">
        <f t="shared" si="604"/>
        <v>I TRIM</v>
      </c>
      <c r="BU176" s="214">
        <f t="shared" ca="1" si="605"/>
        <v>30.714285714285715</v>
      </c>
      <c r="BV176" s="25" t="s">
        <v>1478</v>
      </c>
      <c r="BW176" s="22">
        <v>45083</v>
      </c>
      <c r="BX176" s="28">
        <v>10.199999999999999</v>
      </c>
      <c r="BY176" s="28"/>
      <c r="BZ176" s="22"/>
      <c r="CA176" s="21"/>
      <c r="CB176" s="26" t="s">
        <v>864</v>
      </c>
      <c r="CC176" s="26" t="s">
        <v>864</v>
      </c>
      <c r="CD176" s="26"/>
      <c r="CE176" s="26" t="s">
        <v>864</v>
      </c>
      <c r="CF176" s="22" t="s">
        <v>1517</v>
      </c>
      <c r="CG176" s="21">
        <v>1.57</v>
      </c>
      <c r="CH176" s="21">
        <v>67</v>
      </c>
      <c r="CI176" s="214">
        <f t="shared" si="606"/>
        <v>27.181630086413239</v>
      </c>
      <c r="CJ176" s="225" t="str">
        <f>IF(AND(CI176&lt;10,CH176="SD"),"SIN DATO PESO PREGESTACION O I TRIM",IF(AND(OR(R176&gt;0,O176&gt;0),CI176="X"),"INGRESAR DATO DE PESO",IF(CI176="SD","INGRESAR DATO DE TALLA Y PESO",IF(AND(OR(Tabla1[[#This Row],[MOMENTO EN QUE SE REALIZA EL PESO AL INGRESO A CPN]]="PREGESTACIÓN",NZ176="Menor"),CI176&lt;18.5),"BAJO PESO",IF(AND(OR(Tabla1[[#This Row],[MOMENTO EN QUE SE REALIZA EL PESO AL INGRESO A CPN]]="PREGESTACIÓN",NZ176="Menor"),CI176&lt;25),"NORMAL",IF(AND(OR(Tabla1[[#This Row],[MOMENTO EN QUE SE REALIZA EL PESO AL INGRESO A CPN]]="PREGESTACIÓN",NZ176="Menor"),CI176&lt;30),"SOBREPESO",IF(AND(OR(Tabla1[[#This Row],[MOMENTO EN QUE SE REALIZA EL PESO AL INGRESO A CPN]]="PREGESTACIÓN",NZ176="Menor"),CI176&gt;=30,CI176&lt;50),"OBESIDAD",IF(AND(BS176&gt;0,Tabla1[[#This Row],[MOMENTO EN QUE SE REALIZA EL PESO AL INGRESO A CPN]]="GESTACIÓN"),HLOOKUP(NZ176,$OA$2:PH176,NY176),""))))))))</f>
        <v>SOBREPESO</v>
      </c>
      <c r="CK176" s="212">
        <f t="shared" si="607"/>
        <v>45153</v>
      </c>
      <c r="CL176" s="21">
        <v>67.5</v>
      </c>
      <c r="CM176" s="214">
        <f t="shared" si="608"/>
        <v>27.384478072132744</v>
      </c>
      <c r="CN176" s="216">
        <f t="shared" si="609"/>
        <v>19</v>
      </c>
      <c r="CO176" s="216" t="e">
        <f>IF(PI176="","",IF(PI176&gt;0,HLOOKUP(PI176,$PJ$2:QQ176,NY176),""))</f>
        <v>#REF!</v>
      </c>
      <c r="CP176" s="21">
        <v>22</v>
      </c>
      <c r="CQ176" s="216" t="e">
        <f>IF(QR176="Menor","NO APLICA-MENOR 13 SEM",IF(AND(CC176="SI",CN176&gt;23),"NO APLICA- GEMELAR",IF(QR176="","",IF(QR176&gt;0,HLOOKUP(QR176,$QS$2:RU176,NY176),""))))</f>
        <v>#REF!</v>
      </c>
      <c r="CR176" s="21">
        <v>100</v>
      </c>
      <c r="CS176" s="21">
        <v>60</v>
      </c>
      <c r="CT176" s="217" t="str">
        <f>IF(R176="","",IF(AND(BS176&gt;1,BS176&lt;12,Tabla1[[#This Row],[T.A. SISTOLICA - ANTES DE SEMANA 12]]="",Tabla1[[#This Row],[T.A. DIASTOLICA - ANTES DE SEMANA 12]]=""),"REGISTRE DATO TA ANTES SEMANA 12",IF(AND(BS176&gt;11,BS176&lt;43,Tabla1[[#This Row],[T.A. SISTOLICA - ANTES DE SEMANA 12]]="",Tabla1[[#This Row],[T.A. DIASTOLICA - ANTES DE SEMANA 12]]=""),"NO APLICA REGISTRO TA-INGRESO TARDIO",IF(AND(OR(O176&gt;0,R176&gt;0),OR(CR176&gt;=140,CS176&gt;=90)),"DEFINIR ESTADIO HTA",IF(AND(OR(O176&gt;0,R176&gt;0),AND(CR176&gt;120,CR176&lt;=139)),"PRE HTA SEGUIMIENTO",IF(AND(OR(O176&gt;0,R176&gt;0),AND(CS176&gt;80,CS176&lt;=89)),"PRE HTA SEGUIMIENTO",IF(AND(OR(O176&gt;0,R176&gt;0),AND(CR176&gt;=80,CR176&lt;=120)),"APARENTEMENTE NORMAL",IF(AND(OR(O176&gt;0,R176&gt;0),AND(CS176&gt;=50,CS176&lt;=80)),"APARENTEMENTE NORMAL",IF(AND(OR(O176&gt;0,R176&gt;0),AND(CR176&gt;1,CR176&lt;=70),AND(CS176&gt;1,CS176&lt;=40)),"HIPOTENSIÓN","")))))))))</f>
        <v>APARENTEMENTE NORMAL</v>
      </c>
      <c r="CU176" s="21">
        <v>100</v>
      </c>
      <c r="CV176" s="21">
        <v>60</v>
      </c>
      <c r="CW176" s="217" t="str">
        <f ca="1">IF(R176="","",IF(AND(CN176&gt;19,CN176&lt;27,Tabla1[[#This Row],[T.A. SISTOLICA (Entre semana 20 y 26)]]="",Tabla1[[#This Row],[T.A. DIATOLICA (Entre semana 20 y 26)]]=""),"ACUDE A CONTROL SEM 20 A 26 REGISTRE TA AHORA",IF(AND(BS176&gt;1,BS176&lt;27,BU176&gt;19,Tabla1[[#This Row],[T.A. SISTOLICA (Entre semana 20 y 26)]]="",Tabla1[[#This Row],[T.A. DIATOLICA (Entre semana 20 y 26)]]=""),"COMPLETE REGISTRO TA CONTROL SEM 20 A26 ",IF(AND(BS176&gt;26,BS176&lt;43,Tabla1[[#This Row],[T.A. SISTOLICA (Entre semana 20 y 26)]]="",Tabla1[[#This Row],[T.A. DIATOLICA (Entre semana 20 y 26)]]=""),"NO APLICA REGISTRO TA-INGRESO TARDIO",IF(AND(OR(O176&gt;0,R176&gt;0),OR(CU176&gt;=140,CV176&gt;=90)),"ALTO RIESGO PREECLAMPSIA,DEFINIR ESTADIO HTA",IF(AND(OR(O176&gt;0,R176&gt;0),AND(CU176&gt;120,CU176&lt;=139)),"PRE HTA SEGUIMIENTO,RIESGO HIPERTENSION INDUCIDA POR EL EMBARAZO",IF(AND(OR(O176&gt;0,R176&gt;0),AND(CV176&gt;80,CV176&lt;=89)),"PRE HTA SEGUIMIENTO, RIESGO HIPERTENSION INDUCIDA POR EL EMBARAZO",IF(AND(OR(O176&lt;&gt;"",R176&lt;&gt;""),CS176&lt;&gt;"",CV176&lt;&gt;"",CS176&lt;=CV176),"VIGILAR CIFRAS PRESION ARTERIAL",IF(AND(OR(O176&gt;0,R176&gt;0),AND(CU176&gt;120,CU176&lt;=139)),"PRE HTA SEGUIMIENTO",IF(AND(OR(O176&gt;0,R176&gt;0),AND(CU176&gt;1,CU176&lt;=70),AND(CV176&gt;1,CV176&lt;=40)),"HIPOTENSIÓN",IF(AND(OR(O176&lt;&gt;"",R176&lt;&gt;""),CS176&lt;&gt;"",CV176&lt;&gt;"",CS176&gt;CV176),"APARENTEMENTE NORMAL",IF(AND(OR(O176&gt;0,R176&gt;0),AND(CU176&gt;=80,CU176&lt;=120)),"APARENTEMENTE NORMAL",IF(AND(OR(O176&gt;0,R176&gt;0),AND(CV176&gt;=50,CV176&lt;=80)),"APARENTEMENTE NORMAL","")))))))))))))</f>
        <v>VIGILAR CIFRAS PRESION ARTERIAL</v>
      </c>
      <c r="CX176" s="21"/>
      <c r="CY176" s="21"/>
      <c r="CZ176" s="216" t="str">
        <f t="shared" si="727"/>
        <v/>
      </c>
      <c r="DA176" s="21">
        <v>100</v>
      </c>
      <c r="DB176" s="21">
        <v>60</v>
      </c>
      <c r="DC176" s="217" t="str">
        <f t="shared" si="610"/>
        <v>APARENTEMENTE NORMAL</v>
      </c>
      <c r="DD176" s="22">
        <v>45065</v>
      </c>
      <c r="DE176" s="22">
        <v>45065</v>
      </c>
      <c r="DF176" s="22">
        <v>45094</v>
      </c>
      <c r="DG176" s="22">
        <v>45122</v>
      </c>
      <c r="DH176" s="22">
        <v>45153</v>
      </c>
      <c r="DI176" s="22"/>
      <c r="DJ176" s="22"/>
      <c r="DK176" s="22"/>
      <c r="DL176" s="22"/>
      <c r="DM176" s="22"/>
      <c r="DN176" s="22"/>
      <c r="DO176" s="22"/>
      <c r="DP176" s="22"/>
      <c r="DQ176" s="22"/>
      <c r="DR176" s="28">
        <v>0</v>
      </c>
      <c r="DS176" s="22"/>
      <c r="DT176" s="22"/>
      <c r="DU176" s="216" t="str">
        <f t="shared" ca="1" si="674"/>
        <v>PLANEAR PLAN DE PARTO</v>
      </c>
      <c r="DV176" s="226" t="str">
        <f t="shared" si="675"/>
        <v>ACTIVA INGRESO A CPN</v>
      </c>
      <c r="DW17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6" s="216" t="e">
        <f t="shared" ca="1" si="611"/>
        <v>#REF!</v>
      </c>
      <c r="DY176" s="212">
        <f>IF(R176="","",IF(R176&gt;0,MAX(Tabla1[[#This Row],[FECHA C2]:[FECHA C13]],Tabla1[[#This Row],[FECHA CONSULTA PRIMERA VEZ PROGRAMA CPN ]])))</f>
        <v>45153</v>
      </c>
      <c r="DZ176" s="216">
        <f t="shared" si="612"/>
        <v>19</v>
      </c>
      <c r="EA176" s="222">
        <f>IF(R176&gt;0,SUM(COUNTA(DF176:DQ176)+COUNTA(Tabla1[[#This Row],[FECHA CONSULTA PRIMERA VEZ PROGRAMA CPN ]])),"")</f>
        <v>4</v>
      </c>
      <c r="EB176" s="222" t="str">
        <f t="shared" si="613"/>
        <v>SI</v>
      </c>
      <c r="EC176" s="214">
        <f t="shared" si="614"/>
        <v>10</v>
      </c>
      <c r="ED176" s="227">
        <f t="shared" si="615"/>
        <v>0.4</v>
      </c>
      <c r="EE176" s="22">
        <v>45065</v>
      </c>
      <c r="EF176" s="22">
        <v>45073</v>
      </c>
      <c r="EG176" s="22">
        <v>45065</v>
      </c>
      <c r="EH176" s="22"/>
      <c r="EI176" s="22">
        <v>45065</v>
      </c>
      <c r="EJ176" s="22">
        <v>45083</v>
      </c>
      <c r="EK176" s="22"/>
      <c r="EL176" s="21"/>
      <c r="EM176" s="21">
        <v>14.2</v>
      </c>
      <c r="EN176" s="22">
        <v>45066</v>
      </c>
      <c r="EO176" s="222">
        <f t="shared" si="616"/>
        <v>6.8571428571428568</v>
      </c>
      <c r="EP176" s="214" t="str">
        <f t="shared" si="617"/>
        <v>NO DAR SULFATO FERROSO</v>
      </c>
      <c r="EQ176" s="216" t="str">
        <f t="shared" si="618"/>
        <v>I TRIM</v>
      </c>
      <c r="ER176" s="24"/>
      <c r="ES176" s="22"/>
      <c r="ET176" s="29" t="str">
        <f t="shared" ca="1" si="676"/>
        <v>EN SEMANA 28 TOMA INMEDIATA DE EXAMEN</v>
      </c>
      <c r="EU176" s="25" t="str">
        <f t="shared" si="619"/>
        <v/>
      </c>
      <c r="EV176" s="24" t="s">
        <v>1510</v>
      </c>
      <c r="EW176" s="24">
        <v>45066</v>
      </c>
      <c r="EX176" s="22"/>
      <c r="EY176" s="29">
        <f t="shared" si="691"/>
        <v>6.8571428571428568</v>
      </c>
      <c r="EZ176" s="25" t="str">
        <f t="shared" si="692"/>
        <v>SIN RIESGO DE ISOINMUNIZACIÓN</v>
      </c>
      <c r="FA176" s="21">
        <v>76</v>
      </c>
      <c r="FB176" s="22">
        <v>45066</v>
      </c>
      <c r="FC176" s="29">
        <f t="shared" si="620"/>
        <v>6.8571428571428568</v>
      </c>
      <c r="FD176" s="29"/>
      <c r="FE176" s="29"/>
      <c r="FF176" s="29"/>
      <c r="FG176" s="21" t="str">
        <f t="shared" ca="1" si="621"/>
        <v>TOMAR PTOG</v>
      </c>
      <c r="FH176" s="31"/>
      <c r="FI176" s="29" t="str">
        <f t="shared" si="622"/>
        <v>TOMAR EXAMEN</v>
      </c>
      <c r="FJ176" s="22" t="s">
        <v>867</v>
      </c>
      <c r="FK176" s="22">
        <v>45066</v>
      </c>
      <c r="FL176" s="29">
        <f t="shared" ca="1" si="623"/>
        <v>6.8571428571428568</v>
      </c>
      <c r="FM176" s="22"/>
      <c r="FN176" s="32"/>
      <c r="FO176" s="29" t="str">
        <f t="shared" ca="1" si="677"/>
        <v>PIERDE TOMA DE TAMIZAJE</v>
      </c>
      <c r="FP176" s="22"/>
      <c r="FQ176" s="32"/>
      <c r="FR176" s="29" t="str">
        <f t="shared" ca="1" si="678"/>
        <v>EN RANGO PARA TOMAR EXAMEN</v>
      </c>
      <c r="FS176" s="22"/>
      <c r="FT176" s="32"/>
      <c r="FU176" s="29" t="str">
        <f>IF(AND(FJ176="",FM176="",FP176="",FS176=""),"",IF(OR(OR(Tabla1[[#This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6" s="28"/>
      <c r="FW176" s="22"/>
      <c r="FX176" s="29" t="str">
        <f t="shared" si="624"/>
        <v>TOMAR EXAMEN</v>
      </c>
      <c r="FY176" s="22">
        <v>45066</v>
      </c>
      <c r="FZ176" s="22">
        <v>45066</v>
      </c>
      <c r="GA176" s="29">
        <f t="shared" ca="1" si="690"/>
        <v>6.8571428571428568</v>
      </c>
      <c r="GB176" s="22"/>
      <c r="GC176" s="22"/>
      <c r="GD176" s="29" t="str">
        <f t="shared" ca="1" si="730"/>
        <v>PIERDE TOMA DE TAMIZAJE</v>
      </c>
      <c r="GE176" s="22"/>
      <c r="GF176" s="22"/>
      <c r="GG176" s="29" t="str">
        <f t="shared" ca="1" si="680"/>
        <v>EN RANGO PARA TOMAR EXAMEN</v>
      </c>
      <c r="GH176" s="22"/>
      <c r="GI176" s="29"/>
      <c r="GJ176" s="22"/>
      <c r="GK176" s="22"/>
      <c r="GL176" s="22"/>
      <c r="GM176" s="22"/>
      <c r="GN176" s="28" t="s">
        <v>869</v>
      </c>
      <c r="GO176" s="22">
        <v>45066</v>
      </c>
      <c r="GP176" s="29">
        <f t="shared" si="625"/>
        <v>6.8571428571428568</v>
      </c>
      <c r="GQ176" s="28" t="s">
        <v>869</v>
      </c>
      <c r="GR176" s="28" t="s">
        <v>869</v>
      </c>
      <c r="GS176" s="22" t="str">
        <f t="shared" si="726"/>
        <v>CONTROL Igm</v>
      </c>
      <c r="GT176" s="22">
        <v>45066</v>
      </c>
      <c r="GU176" s="29">
        <f t="shared" si="627"/>
        <v>6.8571428571428568</v>
      </c>
      <c r="GV176" s="21" t="str">
        <f t="shared" si="628"/>
        <v>I TRIM</v>
      </c>
      <c r="GW176" s="28" t="s">
        <v>869</v>
      </c>
      <c r="GX176" s="30"/>
      <c r="GY176" s="21"/>
      <c r="GZ176" s="21"/>
      <c r="HA176" s="21"/>
      <c r="HB176" s="21"/>
      <c r="HC176" s="21"/>
      <c r="HD176" s="21"/>
      <c r="HE176" s="21"/>
      <c r="HF176" s="22"/>
      <c r="HG176" s="22" t="str">
        <f>IF(OR(O176&gt;0,R176&gt;0),CONCATENATE(IF(Tabla1[[#This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6" s="22" t="e">
        <f t="shared" si="629"/>
        <v>#REF!</v>
      </c>
      <c r="HI176" s="22" t="e">
        <f t="shared" ca="1" si="630"/>
        <v>#REF!</v>
      </c>
      <c r="HJ176" s="21"/>
      <c r="HK176" s="21" t="str">
        <f t="shared" si="631"/>
        <v>SIN ANTECEDENTES DE RIESGO</v>
      </c>
      <c r="HL176" s="24" t="str">
        <f t="shared" si="632"/>
        <v>APARENTEMENTE NORMAL</v>
      </c>
      <c r="HM176" s="21" t="e">
        <f t="shared" ca="1" si="633"/>
        <v>#REF!</v>
      </c>
      <c r="HN176" s="30" t="str">
        <f t="shared" si="681"/>
        <v>ACTIVA INGRESO A CPN</v>
      </c>
      <c r="HO176" s="21"/>
      <c r="HP176" s="21"/>
      <c r="HQ176" s="349">
        <v>45066</v>
      </c>
      <c r="HR176" s="21" t="str">
        <f>IF(R176="","",IF(Tabla1[[#This Row],[ALARMA FACTORES DE RIESGO COMPLICACIONES HIPERTENSIVAS3]]="SIN ANTECEDENTES DE RIESGO","No Aplica para suministro de ASA",IF(AND(Tabla1[[#This Row],[FECHA INICIO DE SUMINISTRO DE ASA]]&gt;0,RV176&lt;12),"Inicia ASA ANTES de Sem 12",IF(AND(RV176&gt;11,RV176&lt;17,OR(HK176="RIESGO ALTO DE COMPLICACIONES HIPERTENSIVAS VER MANEJO GUIA SUMINISTRO ASA Y CALCIO",HK176="RIESGO MODERADO (2 O MAS CRITERIOS) VER MANEJO GUIA SUMINISTRO ASA Y CALCIO")),"Inicio oportuno de ASA",IF(AND(RV176&gt;12,OR(HK176="RIESGO ALTO DE COMPLICACIONES HIPERTENSIVAS VER MANEJO GUIA SUMINISTRO ASA Y CALCIO",HK176="RIESGO MODERADO (2 O MAS CRITERIOS) VER MANEJO GUIA SUMINISTRO ASA Y CALCIO")),"Inicio no oportuno mayor a 16 semanas",IF(AND(BU176&lt;12,OR(HK176="RIESGO ALTO DE COMPLICACIONES HIPERTENSIVAS VER MANEJO GUIA SUMINISTRO ASA Y CALCIO",HK176="RIESGO MODERADO (2 O MAS CRITERIOS) VER MANEJO GUIA SUMINISTRO ASA Y CALCIO")),"Pendiente Inicio de ASA a la semana 12",IF(AND(BU176&gt;11,BU176&lt;17,OR(HK176="RIESGO ALTO DE COMPLICACIONES HIPERTENSIVAS VER MANEJO GUIA SUMINISTRO ASA Y CALCIO",HK176="RIESGO MODERADO (2 O MAS CRITERIOS) VER MANEJO GUIA SUMINISTRO ASA Y CALCIO")),"Iniciar de inmediato ASA",IF(AND(BU176&gt;16,OR(HK176="RIESGO ALTO DE COMPLICACIONES HIPERTENSIVAS VER MANEJO GUIA SUMINISTRO ASA Y CALCIO",HK176="RIESGO MODERADO (2 O MAS CRITERIOS) VER MANEJO GUIA SUMINISTRO ASA Y CALCIO")),"Pierde Oportunidad, Inicio tardío de ASA","XXXXX"))))))))</f>
        <v>No Aplica para suministro de ASA</v>
      </c>
      <c r="HS176" s="22">
        <v>45066</v>
      </c>
      <c r="HT176" s="22" t="s">
        <v>870</v>
      </c>
      <c r="HU176" s="22">
        <v>45066</v>
      </c>
      <c r="HV176" s="22" t="s">
        <v>870</v>
      </c>
      <c r="HW176" s="22">
        <v>45066</v>
      </c>
      <c r="HX176" s="22" t="s">
        <v>870</v>
      </c>
      <c r="HY176" s="22"/>
      <c r="HZ176" s="28" t="str">
        <f t="shared" si="634"/>
        <v>PENDIENTE CONSULTA</v>
      </c>
      <c r="IA176" s="26"/>
      <c r="IB176" s="26"/>
      <c r="IC176" s="111"/>
      <c r="ID176" s="22"/>
      <c r="IE176" s="22" t="str">
        <f t="shared" ca="1" si="635"/>
        <v>INASISTENTE</v>
      </c>
      <c r="IF176" s="22"/>
      <c r="IG176" s="22">
        <f t="shared" si="636"/>
        <v>45298</v>
      </c>
      <c r="IH176" s="29">
        <f t="shared" ca="1" si="637"/>
        <v>65</v>
      </c>
      <c r="II176" s="22" t="str">
        <f t="shared" ca="1" si="638"/>
        <v>PENDIENTE</v>
      </c>
      <c r="IJ176" s="22"/>
      <c r="IK176" s="21"/>
      <c r="IL176" s="21"/>
      <c r="IM176" s="34"/>
      <c r="IN176" s="22"/>
      <c r="IO176" s="21"/>
      <c r="IP176" s="29" t="str">
        <f t="shared" si="728"/>
        <v/>
      </c>
      <c r="IQ176" s="35"/>
      <c r="IR176" s="21"/>
      <c r="IS176" s="21"/>
      <c r="IT176" s="21"/>
      <c r="IU176" s="21"/>
      <c r="IV176" s="21"/>
      <c r="IW176" s="21"/>
      <c r="IX176" s="21"/>
      <c r="IY176" s="21"/>
      <c r="IZ176" s="21"/>
      <c r="JA176" s="21"/>
      <c r="JB176" s="30"/>
      <c r="JC176" s="21"/>
      <c r="JD176" s="36"/>
      <c r="JE176" s="21" t="str">
        <f t="shared" si="731"/>
        <v/>
      </c>
      <c r="JF176" s="30"/>
      <c r="JG176" s="21"/>
      <c r="JH176" s="21"/>
      <c r="JI176" s="21"/>
      <c r="JJ176" s="30"/>
      <c r="JK176" s="22"/>
      <c r="JL176" s="22"/>
      <c r="JM176" s="21"/>
      <c r="JN176" s="36"/>
      <c r="JO176" s="21" t="str">
        <f t="shared" si="732"/>
        <v/>
      </c>
      <c r="JP176" s="22"/>
      <c r="JQ176" s="21"/>
      <c r="JR176" s="21"/>
      <c r="JS176" s="21"/>
      <c r="JT176" s="30"/>
      <c r="JU176" s="22"/>
      <c r="JV176" s="22"/>
      <c r="JW176" s="33"/>
      <c r="JX176" s="28" t="str">
        <f t="shared" si="733"/>
        <v/>
      </c>
      <c r="JY176" s="33"/>
      <c r="JZ176" s="28" t="str">
        <f t="shared" si="734"/>
        <v/>
      </c>
      <c r="KA176" s="21"/>
      <c r="KB176" s="21"/>
      <c r="KC176" s="21"/>
      <c r="KD176" s="37"/>
      <c r="KE176" s="28"/>
      <c r="KF176" s="28"/>
      <c r="KG176" s="28"/>
      <c r="KH176" s="39"/>
      <c r="KI176" s="39"/>
      <c r="KJ176" s="66"/>
      <c r="KK176" s="39"/>
      <c r="KL176" s="39"/>
      <c r="KM176" s="66"/>
      <c r="KN176" s="39"/>
      <c r="KO176" s="39"/>
      <c r="KP176" s="39"/>
      <c r="KQ176" s="39"/>
      <c r="KR176" s="39"/>
      <c r="KS176" s="39"/>
      <c r="KT176" s="39"/>
      <c r="KU176" s="38"/>
      <c r="KV176" s="38"/>
      <c r="KW176" s="38"/>
      <c r="KX176" s="38"/>
      <c r="KY176" s="38"/>
      <c r="KZ176" s="38"/>
      <c r="LA176" s="38"/>
      <c r="LB176" s="38"/>
      <c r="LC176" s="38"/>
      <c r="LD176" s="38"/>
      <c r="LE176" s="38"/>
      <c r="LF176" s="38"/>
      <c r="LG176" s="38"/>
      <c r="LH176" s="38"/>
      <c r="LI176" s="38"/>
      <c r="LJ176" s="38"/>
      <c r="LK176" s="38"/>
      <c r="LL176" s="38"/>
      <c r="LM176" s="38"/>
      <c r="LN176" s="38"/>
      <c r="LO176" s="38"/>
      <c r="LP176" s="38"/>
      <c r="LQ176" s="38"/>
      <c r="LR176" s="38"/>
      <c r="LS176" s="38"/>
      <c r="LT176" s="38"/>
      <c r="LU176" s="38"/>
      <c r="LV176" s="38"/>
      <c r="LW176" s="38"/>
      <c r="LX176" s="38"/>
      <c r="LY176" s="38"/>
      <c r="LZ176" s="38"/>
      <c r="MA176" s="38"/>
      <c r="MB176" s="38"/>
      <c r="MC176" s="38"/>
      <c r="MD176" s="38"/>
      <c r="ME176" s="38"/>
      <c r="MF176" s="38"/>
      <c r="MG176" s="38"/>
      <c r="MH176" s="43">
        <f t="shared" si="695"/>
        <v>0</v>
      </c>
      <c r="MI176" s="43" t="str">
        <f t="shared" si="696"/>
        <v/>
      </c>
      <c r="MJ176" s="43" t="str">
        <f t="shared" si="697"/>
        <v/>
      </c>
      <c r="MK176" s="43">
        <f t="shared" si="698"/>
        <v>0</v>
      </c>
      <c r="ML17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6" s="43">
        <f t="shared" si="699"/>
        <v>6.7142857142857144</v>
      </c>
      <c r="MN176" s="43">
        <f t="shared" si="700"/>
        <v>5</v>
      </c>
      <c r="MO176" s="43">
        <f t="shared" si="701"/>
        <v>2023</v>
      </c>
      <c r="MP176" s="43" t="str">
        <f t="shared" si="702"/>
        <v>II TRIMESTRE AÑO</v>
      </c>
      <c r="MQ176" s="43">
        <f t="shared" si="703"/>
        <v>28.583552343407792</v>
      </c>
      <c r="MR176" s="43">
        <f t="shared" si="704"/>
        <v>0</v>
      </c>
      <c r="MS176" s="43" t="str">
        <f t="shared" si="705"/>
        <v xml:space="preserve"> DE 25 A 29 AÑOS</v>
      </c>
      <c r="MT176" s="43">
        <f t="shared" si="706"/>
        <v>0</v>
      </c>
      <c r="MU176" s="43">
        <f t="shared" si="707"/>
        <v>1</v>
      </c>
      <c r="MV176" s="43">
        <f t="shared" si="708"/>
        <v>0</v>
      </c>
      <c r="MW176" s="43">
        <f t="shared" si="709"/>
        <v>0</v>
      </c>
      <c r="MX176" s="43" t="str">
        <f t="shared" si="710"/>
        <v/>
      </c>
      <c r="MY176" s="43" t="str">
        <f t="shared" ca="1" si="735"/>
        <v/>
      </c>
      <c r="MZ176" s="43" t="str">
        <f t="shared" si="711"/>
        <v/>
      </c>
      <c r="NA176" s="43" t="str">
        <f t="shared" si="712"/>
        <v/>
      </c>
      <c r="NB176" s="43" t="str">
        <f t="shared" si="713"/>
        <v/>
      </c>
      <c r="NC176" s="43" t="str">
        <f t="shared" si="714"/>
        <v/>
      </c>
      <c r="ND176" s="43">
        <f t="shared" ca="1" si="715"/>
        <v>1</v>
      </c>
      <c r="NE176" s="43">
        <f>IF(OR(O176&gt;0,R176&gt;0),SUM(COUNTIF(Tabla1[[#This Row],[AÑOS AL INICIO5 CPN]],"&gt;=40"),COUNTIF(AS176,"0"),COUNTIF(AR176,"SI"),COUNTIF(CC176,"SI"),COUNTIF(BQ176,"&gt;119"),COUNTIF(CI176,"&gt;=35")),"")</f>
        <v>0</v>
      </c>
      <c r="NF176" s="43" t="str">
        <f t="shared" si="716"/>
        <v/>
      </c>
      <c r="NG176" s="43">
        <f t="shared" si="717"/>
        <v>0</v>
      </c>
      <c r="NH176" s="43">
        <f t="shared" si="718"/>
        <v>71.399999999999991</v>
      </c>
      <c r="NI17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CPN",P176="NO"),"Z",IF(AND(Tabla1[[#This Row],[CITA PROXIMO CONTROL]]="CITA MANUAL",Tabla1[[#This Row],[GESTANTES ACTUALES]]="ACTIVA INGRESO A CPN"),"W",IF(AND(Tabla1[[#This Row],[GESTANTES ACTUALES]]="SALIO PROGRAMA",IN176=""),"S",IF(AND(Tabla1[[#This Row],[CITA PROXIMO CONTROL]]&gt;0,IN176=""),(Tabla1[[#This Row],[CITA PROXIMO CONTROL]]-TODAY()),"SD"))))))))</f>
        <v>#REF!</v>
      </c>
      <c r="NJ176" s="43">
        <f>MONTH(Tabla1[[#This Row],[FECHA DE SALIDA  DEL PROGRAMA]])</f>
        <v>1</v>
      </c>
      <c r="NK176" s="43">
        <f>YEAR(Tabla1[[#This Row],[FECHA DE SALIDA  DEL PROGRAMA]])</f>
        <v>1900</v>
      </c>
      <c r="NL176" s="43">
        <f t="shared" si="719"/>
        <v>18</v>
      </c>
      <c r="NM176" s="43" t="str">
        <f t="shared" si="693"/>
        <v>NO</v>
      </c>
      <c r="NN176" s="43" t="str">
        <f ca="1">IF(AND(O176&gt;0,R176=""),"NO CPN",IF(AND(O176="",R176=""),"",IF(AND(R176&gt;0,Tabla1[[#This Row],[SEMANAS DE GESTACION ACTUALIZADAS]]&lt;=12),"NO APLICA",IF(AND(FH176&lt;&gt;"",FN176&lt;&gt;""),"SI","NO"))))</f>
        <v>NO</v>
      </c>
      <c r="NO176" s="43" t="str">
        <f ca="1">IF(AND(O176&gt;0,R176=""),"NO CPN",IF(AND(O176="",R176=""),"",IF(AND(R176&gt;0,Tabla1[[#This Row],[SEMANAS DE GESTACION ACTUALIZADAS]]&lt;=27),"NO APLICA",IF(AND(ES176&lt;&gt;"",FQ176&lt;&gt;"",GF176&lt;&gt;""),"SI","NO"))))</f>
        <v>NO</v>
      </c>
      <c r="NP176" s="204" t="str">
        <f t="shared" si="720"/>
        <v>I TRIM</v>
      </c>
      <c r="NQ176" s="21" t="str">
        <f t="shared" si="729"/>
        <v/>
      </c>
      <c r="NR176" s="21">
        <f t="shared" ca="1" si="736"/>
        <v>3</v>
      </c>
      <c r="NS176" s="205">
        <f t="shared" ca="1" si="721"/>
        <v>1</v>
      </c>
      <c r="NT176" s="21">
        <f t="shared" ca="1" si="722"/>
        <v>1</v>
      </c>
      <c r="NU176" s="21" t="str">
        <f t="shared" ca="1" si="723"/>
        <v>INCOMPLETO</v>
      </c>
      <c r="NV176" s="21" t="str">
        <f t="shared" ca="1" si="724"/>
        <v>INCOMPLETO</v>
      </c>
      <c r="NW176" s="206" t="str">
        <f>IF(AND(O176="",R176=""),"",IF(OR(AND(Tabla1[[#This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6" s="207" t="str">
        <f t="shared" ca="1" si="725"/>
        <v>SIN VACUNAR</v>
      </c>
      <c r="NY176" s="43">
        <f>ROW(Tabla1[[#This Row],['# DE TAMIZAJES SIFILIS TOMADOS ]])</f>
        <v>176</v>
      </c>
      <c r="NZ176" s="43" t="str">
        <f t="shared" si="501"/>
        <v>Menor</v>
      </c>
      <c r="OA176" s="43" t="str">
        <f t="shared" si="502"/>
        <v>SOBREPESO</v>
      </c>
      <c r="OB176" s="43" t="str">
        <f t="shared" si="503"/>
        <v/>
      </c>
      <c r="OC176" s="43" t="str">
        <f t="shared" si="504"/>
        <v/>
      </c>
      <c r="OD176" s="43" t="str">
        <f t="shared" si="505"/>
        <v/>
      </c>
      <c r="OE176" s="43" t="str">
        <f t="shared" si="506"/>
        <v/>
      </c>
      <c r="OF176" s="43" t="str">
        <f t="shared" si="507"/>
        <v/>
      </c>
      <c r="OG176" s="43" t="str">
        <f t="shared" si="508"/>
        <v/>
      </c>
      <c r="OH176" s="43" t="str">
        <f t="shared" si="509"/>
        <v/>
      </c>
      <c r="OI176" s="43" t="str">
        <f t="shared" si="510"/>
        <v/>
      </c>
      <c r="OJ176" s="43" t="str">
        <f t="shared" si="511"/>
        <v/>
      </c>
      <c r="OK176" s="43" t="str">
        <f t="shared" si="512"/>
        <v/>
      </c>
      <c r="OL176" s="43" t="str">
        <f t="shared" si="513"/>
        <v/>
      </c>
      <c r="OM176" s="43" t="str">
        <f t="shared" si="514"/>
        <v/>
      </c>
      <c r="ON176" s="43" t="str">
        <f t="shared" si="515"/>
        <v/>
      </c>
      <c r="OO176" s="43" t="str">
        <f t="shared" si="516"/>
        <v/>
      </c>
      <c r="OP176" s="43" t="str">
        <f t="shared" si="517"/>
        <v/>
      </c>
      <c r="OQ176" s="43" t="str">
        <f t="shared" si="518"/>
        <v/>
      </c>
      <c r="OR176" s="43" t="str">
        <f t="shared" si="519"/>
        <v/>
      </c>
      <c r="OS176" s="43" t="str">
        <f t="shared" si="520"/>
        <v/>
      </c>
      <c r="OT176" s="43" t="str">
        <f t="shared" si="521"/>
        <v/>
      </c>
      <c r="OU176" s="43" t="str">
        <f t="shared" si="522"/>
        <v/>
      </c>
      <c r="OV176" s="110" t="str">
        <f t="shared" si="523"/>
        <v/>
      </c>
      <c r="OW176" s="43" t="str">
        <f t="shared" si="524"/>
        <v/>
      </c>
      <c r="OX176" s="43" t="str">
        <f t="shared" si="525"/>
        <v/>
      </c>
      <c r="OY176" s="43" t="str">
        <f t="shared" si="526"/>
        <v/>
      </c>
      <c r="OZ176" s="43" t="str">
        <f t="shared" si="527"/>
        <v/>
      </c>
      <c r="PA176" s="43" t="str">
        <f t="shared" si="528"/>
        <v/>
      </c>
      <c r="PB176" s="43" t="str">
        <f t="shared" si="529"/>
        <v/>
      </c>
      <c r="PC176" s="43" t="str">
        <f t="shared" si="530"/>
        <v/>
      </c>
      <c r="PD176" s="43" t="str">
        <f t="shared" si="531"/>
        <v/>
      </c>
      <c r="PE176" s="43" t="str">
        <f t="shared" si="532"/>
        <v/>
      </c>
      <c r="PF176" s="43" t="str">
        <f t="shared" si="533"/>
        <v/>
      </c>
      <c r="PG176" s="43" t="str">
        <f t="shared" si="534"/>
        <v/>
      </c>
      <c r="PH176" s="43" t="str">
        <f t="shared" si="535"/>
        <v/>
      </c>
      <c r="PI176" s="43">
        <f t="shared" si="536"/>
        <v>19</v>
      </c>
      <c r="PJ176" s="43" t="str">
        <f t="shared" si="537"/>
        <v/>
      </c>
      <c r="PK176" s="43" t="str">
        <f t="shared" si="538"/>
        <v/>
      </c>
      <c r="PL176" s="43" t="str">
        <f t="shared" si="539"/>
        <v/>
      </c>
      <c r="PM176" s="43" t="str">
        <f t="shared" si="540"/>
        <v/>
      </c>
      <c r="PN176" s="43" t="str">
        <f t="shared" si="541"/>
        <v/>
      </c>
      <c r="PO176" s="43" t="str">
        <f t="shared" si="542"/>
        <v/>
      </c>
      <c r="PP176" s="43" t="str">
        <f t="shared" si="543"/>
        <v/>
      </c>
      <c r="PQ176" s="43" t="str">
        <f t="shared" si="544"/>
        <v/>
      </c>
      <c r="PR176" s="43" t="str">
        <f t="shared" si="545"/>
        <v/>
      </c>
      <c r="PS176" s="43" t="str">
        <f t="shared" si="546"/>
        <v/>
      </c>
      <c r="PT176" s="43" t="str">
        <f t="shared" si="547"/>
        <v>SOBREPESO</v>
      </c>
      <c r="PU176" s="43" t="str">
        <f t="shared" si="548"/>
        <v/>
      </c>
      <c r="PV176" s="43" t="str">
        <f t="shared" si="549"/>
        <v/>
      </c>
      <c r="PW176" s="43" t="str">
        <f t="shared" si="550"/>
        <v/>
      </c>
      <c r="PX176" s="43" t="str">
        <f t="shared" si="551"/>
        <v/>
      </c>
      <c r="PY176" s="43" t="str">
        <f t="shared" si="552"/>
        <v/>
      </c>
      <c r="PZ176" s="43" t="str">
        <f t="shared" si="553"/>
        <v/>
      </c>
      <c r="QA176" s="43" t="str">
        <f t="shared" si="554"/>
        <v/>
      </c>
      <c r="QB176" s="43" t="str">
        <f t="shared" si="555"/>
        <v/>
      </c>
      <c r="QC176" s="43" t="str">
        <f t="shared" si="556"/>
        <v/>
      </c>
      <c r="QD176" s="43" t="str">
        <f t="shared" si="557"/>
        <v/>
      </c>
      <c r="QE176" s="43" t="str">
        <f t="shared" si="558"/>
        <v/>
      </c>
      <c r="QF176" s="43" t="str">
        <f t="shared" si="559"/>
        <v/>
      </c>
      <c r="QG176" s="43" t="str">
        <f t="shared" si="560"/>
        <v/>
      </c>
      <c r="QH176" s="43" t="str">
        <f t="shared" si="561"/>
        <v/>
      </c>
      <c r="QI176" s="43" t="str">
        <f t="shared" si="562"/>
        <v/>
      </c>
      <c r="QJ176" s="43" t="str">
        <f t="shared" si="563"/>
        <v/>
      </c>
      <c r="QK176" s="43" t="str">
        <f t="shared" si="564"/>
        <v/>
      </c>
      <c r="QL176" s="43" t="str">
        <f t="shared" si="565"/>
        <v/>
      </c>
      <c r="QM176" s="43" t="str">
        <f t="shared" si="566"/>
        <v/>
      </c>
      <c r="QN176" s="43" t="str">
        <f t="shared" si="567"/>
        <v/>
      </c>
      <c r="QO176" s="43" t="str">
        <f t="shared" si="568"/>
        <v/>
      </c>
      <c r="QP176" s="43" t="str">
        <f t="shared" si="569"/>
        <v/>
      </c>
      <c r="QQ176" s="43" t="str">
        <f t="shared" si="570"/>
        <v/>
      </c>
      <c r="QR176" s="43">
        <f t="shared" si="670"/>
        <v>19</v>
      </c>
      <c r="QS176" s="43"/>
      <c r="QT176" s="21" t="str">
        <f t="shared" si="571"/>
        <v/>
      </c>
      <c r="QU176" s="21" t="str">
        <f t="shared" si="572"/>
        <v/>
      </c>
      <c r="QV176" s="21" t="str">
        <f t="shared" si="573"/>
        <v/>
      </c>
      <c r="QW176" s="21" t="str">
        <f t="shared" si="574"/>
        <v/>
      </c>
      <c r="QX176" s="21" t="str">
        <f t="shared" si="575"/>
        <v/>
      </c>
      <c r="QY176" s="21" t="str">
        <f t="shared" si="576"/>
        <v/>
      </c>
      <c r="QZ176" s="21" t="str">
        <f t="shared" si="577"/>
        <v>ALTO PARA EDAD GESTACIONAL</v>
      </c>
      <c r="RA176" s="21" t="str">
        <f t="shared" si="578"/>
        <v/>
      </c>
      <c r="RB176" s="21" t="str">
        <f t="shared" si="579"/>
        <v/>
      </c>
      <c r="RC176" s="21" t="str">
        <f t="shared" si="580"/>
        <v/>
      </c>
      <c r="RD176" s="21" t="str">
        <f t="shared" si="581"/>
        <v/>
      </c>
      <c r="RE176" s="21" t="str">
        <f t="shared" si="582"/>
        <v/>
      </c>
      <c r="RF176" s="21" t="str">
        <f t="shared" si="583"/>
        <v/>
      </c>
      <c r="RG176" s="21" t="str">
        <f t="shared" si="584"/>
        <v/>
      </c>
      <c r="RH176" s="21" t="str">
        <f t="shared" si="585"/>
        <v/>
      </c>
      <c r="RI176" s="21" t="str">
        <f t="shared" si="586"/>
        <v/>
      </c>
      <c r="RJ176" s="21" t="str">
        <f t="shared" si="587"/>
        <v/>
      </c>
      <c r="RK176" s="21" t="str">
        <f t="shared" si="588"/>
        <v/>
      </c>
      <c r="RL176" s="21" t="str">
        <f t="shared" si="589"/>
        <v/>
      </c>
      <c r="RM176" s="21" t="str">
        <f t="shared" si="590"/>
        <v/>
      </c>
      <c r="RN176" s="21" t="str">
        <f t="shared" si="591"/>
        <v/>
      </c>
      <c r="RO176" s="21" t="str">
        <f t="shared" si="592"/>
        <v/>
      </c>
      <c r="RP176" s="21" t="str">
        <f t="shared" si="593"/>
        <v/>
      </c>
      <c r="RQ176" s="21" t="str">
        <f t="shared" si="594"/>
        <v/>
      </c>
      <c r="RR176" s="21" t="str">
        <f t="shared" si="595"/>
        <v/>
      </c>
      <c r="RS176" s="21" t="str">
        <f t="shared" si="596"/>
        <v/>
      </c>
      <c r="RT176" s="21" t="str">
        <f t="shared" si="597"/>
        <v/>
      </c>
      <c r="RU176" s="21" t="str">
        <f t="shared" si="598"/>
        <v/>
      </c>
      <c r="RV176" s="21">
        <f t="shared" si="599"/>
        <v>6.8571428571428568</v>
      </c>
      <c r="RW176" s="284">
        <f>IF(OR(Tabla1[[#This Row],[FUM FORMULA CONFIABLE]]="",Tabla1[[#This Row],[FUM FORMULA CONFIABLE]]="SD"),"",IF(Tabla1[[#This Row],[FUM FORMULA CONFIABLE]]="CORREGIDA",Tabla1[[#This Row],[FUM X ECO 1]],Tabla1[[#This Row],[FUM x AMENORREA]]))</f>
        <v>45018</v>
      </c>
      <c r="RX176" s="21">
        <f>IF(AND(Tabla1[[#This Row],[FUM X ECO 1]]="",Tabla1[[#This Row],[FUM x AMENORREA]]=""),"",IF(AND(Tabla1[[#This Row],[FUM X ECO 1]]="",Tabla1[[#This Row],[FUM x AMENORREA]]&lt;&gt;""),"X",SUM(Tabla1[[#This Row],[FUM X ECO 1]]-Tabla1[[#This Row],[FUM x AMENORREA]])))</f>
        <v>-6.4000000000014552</v>
      </c>
      <c r="RY176" s="21">
        <f t="shared" si="671"/>
        <v>0</v>
      </c>
    </row>
    <row r="177" spans="1:493" ht="45" customHeight="1" x14ac:dyDescent="0.25">
      <c r="A177" s="109"/>
      <c r="B177" s="43"/>
      <c r="C177" s="43" t="s">
        <v>845</v>
      </c>
      <c r="D177" s="124"/>
      <c r="E177" s="43" t="s">
        <v>992</v>
      </c>
      <c r="F177" s="43" t="s">
        <v>1498</v>
      </c>
      <c r="G177" s="43" t="s">
        <v>938</v>
      </c>
      <c r="H177" s="43" t="s">
        <v>1499</v>
      </c>
      <c r="I177" s="109" t="s">
        <v>851</v>
      </c>
      <c r="J177" s="110" t="s">
        <v>1500</v>
      </c>
      <c r="K177" s="43" t="s">
        <v>852</v>
      </c>
      <c r="L177" s="175" t="s">
        <v>853</v>
      </c>
      <c r="M177" s="22">
        <v>30081</v>
      </c>
      <c r="N177" s="213">
        <f t="shared" ca="1" si="600"/>
        <v>41.512328767123286</v>
      </c>
      <c r="O177" s="22">
        <v>45065</v>
      </c>
      <c r="P177" s="214" t="str">
        <f t="shared" si="673"/>
        <v>SI</v>
      </c>
      <c r="Q177" s="26" t="s">
        <v>855</v>
      </c>
      <c r="R177" s="22">
        <v>45065</v>
      </c>
      <c r="S177" s="21" t="s">
        <v>856</v>
      </c>
      <c r="T177" s="24" t="s">
        <v>690</v>
      </c>
      <c r="U177" s="21" t="s">
        <v>857</v>
      </c>
      <c r="V177" s="21" t="s">
        <v>858</v>
      </c>
      <c r="W177" s="21" t="s">
        <v>846</v>
      </c>
      <c r="X177" s="21"/>
      <c r="Y177" s="21"/>
      <c r="Z177" s="21" t="s">
        <v>894</v>
      </c>
      <c r="AA177" s="21" t="s">
        <v>860</v>
      </c>
      <c r="AB177" s="27" t="s">
        <v>861</v>
      </c>
      <c r="AC177" s="26" t="s">
        <v>846</v>
      </c>
      <c r="AD177" s="38" t="s">
        <v>1546</v>
      </c>
      <c r="AE177" s="26" t="s">
        <v>854</v>
      </c>
      <c r="AF177" s="26" t="s">
        <v>854</v>
      </c>
      <c r="AG177" s="23" t="s">
        <v>864</v>
      </c>
      <c r="AH177" s="23" t="s">
        <v>864</v>
      </c>
      <c r="AI177" s="24" t="s">
        <v>863</v>
      </c>
      <c r="AJ177" s="23" t="s">
        <v>864</v>
      </c>
      <c r="AK177" s="220" t="str">
        <f>IF(AND(AD177="",AE177="",AF177="",AG177="",AH177="",AI177="",AJ177=""),"",IF(OR(Tabla1[[#This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EVALUACIÓN",IF(AND(O177="",R177=""),"",IF(AND(OR(O177&gt;0,R177&gt;0),NG177&gt;=0,NG177&lt;2),"SIN RIESGO",IF(AND(OR(O177&gt;0,R177&gt;0),NG177&gt;=2),"CON RIESGO","ASD")))))</f>
        <v>SIN RIESGO</v>
      </c>
      <c r="AL177" s="23" t="s">
        <v>854</v>
      </c>
      <c r="AM177" s="26" t="s">
        <v>864</v>
      </c>
      <c r="AN177" s="26" t="s">
        <v>864</v>
      </c>
      <c r="AO177" s="26" t="s">
        <v>864</v>
      </c>
      <c r="AP177" s="26" t="s">
        <v>864</v>
      </c>
      <c r="AQ177" s="26" t="s">
        <v>854</v>
      </c>
      <c r="AR177" s="26" t="s">
        <v>854</v>
      </c>
      <c r="AS177" s="21">
        <v>6</v>
      </c>
      <c r="AT177" s="21">
        <v>6</v>
      </c>
      <c r="AU177" s="21">
        <v>0</v>
      </c>
      <c r="AV177" s="26" t="s">
        <v>864</v>
      </c>
      <c r="AW177" s="21">
        <v>1</v>
      </c>
      <c r="AX177" s="26" t="s">
        <v>864</v>
      </c>
      <c r="AY177" s="26" t="s">
        <v>864</v>
      </c>
      <c r="AZ177" s="26" t="s">
        <v>864</v>
      </c>
      <c r="BA177" s="26" t="s">
        <v>864</v>
      </c>
      <c r="BB177" s="26" t="s">
        <v>864</v>
      </c>
      <c r="BC177" s="26" t="s">
        <v>864</v>
      </c>
      <c r="BD177" s="26" t="s">
        <v>864</v>
      </c>
      <c r="BE177" s="26" t="s">
        <v>864</v>
      </c>
      <c r="BF177" s="26" t="s">
        <v>864</v>
      </c>
      <c r="BG177" s="26" t="s">
        <v>864</v>
      </c>
      <c r="BH177" s="26" t="s">
        <v>864</v>
      </c>
      <c r="BI177" s="26" t="s">
        <v>864</v>
      </c>
      <c r="BJ177" s="26" t="s">
        <v>864</v>
      </c>
      <c r="BK177" s="26" t="s">
        <v>864</v>
      </c>
      <c r="BL177" s="26" t="s">
        <v>864</v>
      </c>
      <c r="BM177" s="26" t="s">
        <v>864</v>
      </c>
      <c r="BN177" s="22">
        <v>42496</v>
      </c>
      <c r="BO177" s="22">
        <v>44967</v>
      </c>
      <c r="BP177" s="21" t="s">
        <v>1380</v>
      </c>
      <c r="BQ177" s="222">
        <f t="shared" si="601"/>
        <v>83.15</v>
      </c>
      <c r="BR177" s="223">
        <f t="shared" si="602"/>
        <v>44990.5</v>
      </c>
      <c r="BS177" s="224">
        <f t="shared" si="603"/>
        <v>10.642857142857142</v>
      </c>
      <c r="BT177" s="216" t="str">
        <f t="shared" si="604"/>
        <v>II TRIM</v>
      </c>
      <c r="BU177" s="214">
        <f t="shared" ca="1" si="605"/>
        <v>34.642857142857146</v>
      </c>
      <c r="BV177" s="25" t="s">
        <v>1525</v>
      </c>
      <c r="BW177" s="22">
        <v>45071</v>
      </c>
      <c r="BX177" s="28">
        <v>11.5</v>
      </c>
      <c r="BY177" s="28" t="s">
        <v>989</v>
      </c>
      <c r="BZ177" s="22">
        <v>45078</v>
      </c>
      <c r="CA177" s="21">
        <v>12.3</v>
      </c>
      <c r="CB177" s="26"/>
      <c r="CC177" s="26"/>
      <c r="CD177" s="26"/>
      <c r="CE177" s="26"/>
      <c r="CF177" s="22" t="s">
        <v>1517</v>
      </c>
      <c r="CG177" s="21">
        <v>1.47</v>
      </c>
      <c r="CH177" s="21">
        <v>63</v>
      </c>
      <c r="CI177" s="214">
        <f t="shared" si="606"/>
        <v>29.154518950437321</v>
      </c>
      <c r="CJ177" s="225" t="e">
        <f>IF(AND(CI177&lt;10,CH177="SD"),"SIN DATO PESO PREGESTACION O I TRIM",IF(AND(OR(R177&gt;0,O177&gt;0),CI177="X"),"INGRESAR DATO DE PESO",IF(CI177="SD","INGRESAR DATO DE TALLA Y PESO",IF(AND(OR(Tabla1[[#This Row],[MOMENTO EN QUE SE REALIZA EL PESO AL INGRESO A CPN]]="PREGESTACIÓN",NZ177="Menor"),CI177&lt;18.5),"BAJO PESO",IF(AND(OR(Tabla1[[#This Row],[MOMENTO EN QUE SE REALIZA EL PESO AL INGRESO A CPN]]="PREGESTACIÓN",NZ177="Menor"),CI177&lt;25),"NORMAL",IF(AND(OR(Tabla1[[#This Row],[MOMENTO EN QUE SE REALIZA EL PESO AL INGRESO A CPN]]="PREGESTACIÓN",NZ177="Menor"),CI177&lt;30),"SOBREPESO",IF(AND(OR(Tabla1[[#This Row],[MOMENTO EN QUE SE REALIZA EL PESO AL INGRESO A CPN]]="PREGESTACIÓN",NZ177="Menor"),CI177&gt;=30,CI177&lt;50),"OBESIDAD",IF(AND(BS177&gt;0,Tabla1[[#This Row],[MOMENTO EN QUE SE REALIZA EL PESO AL INGRESO A CPN]]="GESTACIÓN"),HLOOKUP(NZ177,$OA$2:PH177,NY177),""))))))))</f>
        <v>#REF!</v>
      </c>
      <c r="CK177" s="212">
        <f t="shared" si="607"/>
        <v>45112</v>
      </c>
      <c r="CL177" s="21">
        <v>63.6</v>
      </c>
      <c r="CM177" s="214">
        <f t="shared" si="608"/>
        <v>29.43218103567958</v>
      </c>
      <c r="CN177" s="216">
        <f t="shared" si="609"/>
        <v>17</v>
      </c>
      <c r="CO177" s="216" t="e">
        <f>IF(PI177="","",IF(PI177&gt;0,HLOOKUP(PI177,$PJ$2:QQ177,NY177),""))</f>
        <v>#REF!</v>
      </c>
      <c r="CP177" s="21"/>
      <c r="CQ177" s="216" t="e">
        <f>IF(QR177="Menor","NO APLICA-MENOR 13 SEM",IF(AND(CC177="SI",CN177&gt;23),"NO APLICA- GEMELAR",IF(QR177="","",IF(QR177&gt;0,HLOOKUP(QR177,$QS$2:RU177,NY177),""))))</f>
        <v>#REF!</v>
      </c>
      <c r="CR177" s="21">
        <v>110</v>
      </c>
      <c r="CS177" s="21">
        <v>60</v>
      </c>
      <c r="CT177" s="217" t="str">
        <f>IF(R177="","",IF(AND(BS177&gt;1,BS177&lt;12,Tabla1[[#This Row],[T.A. SISTOLICA - ANTES DE SEMANA 12]]="",Tabla1[[#This Row],[T.A. DIASTOLICA - ANTES DE SEMANA 12]]=""),"REGISTRE DATO TA ANTES SEMANA 12",IF(AND(BS177&gt;11,BS177&lt;43,Tabla1[[#This Row],[T.A. SISTOLICA - ANTES DE SEMANA 12]]="",Tabla1[[#This Row],[T.A. DIASTOLICA - ANTES DE SEMANA 12]]=""),"NO APLICA REGISTRO TA-INGRESO TARDIO",IF(AND(OR(O177&gt;0,R177&gt;0),OR(CR177&gt;=140,CS177&gt;=90)),"DEFINIR ESTADIO HTA",IF(AND(OR(O177&gt;0,R177&gt;0),AND(CR177&gt;120,CR177&lt;=139)),"PRE HTA SEGUIMIENTO",IF(AND(OR(O177&gt;0,R177&gt;0),AND(CS177&gt;80,CS177&lt;=89)),"PRE HTA SEGUIMIENTO",IF(AND(OR(O177&gt;0,R177&gt;0),AND(CR177&gt;=80,CR177&lt;=120)),"APARENTEMENTE NORMAL",IF(AND(OR(O177&gt;0,R177&gt;0),AND(CS177&gt;=50,CS177&lt;=80)),"APARENTEMENTE NORMAL",IF(AND(OR(O177&gt;0,R177&gt;0),AND(CR177&gt;1,CR177&lt;=70),AND(CS177&gt;1,CS177&lt;=40)),"HIPOTENSIÓN","")))))))))</f>
        <v>APARENTEMENTE NORMAL</v>
      </c>
      <c r="CU177" s="21"/>
      <c r="CV177" s="21"/>
      <c r="CW177" s="217" t="str">
        <f ca="1">IF(R177="","",IF(AND(CN177&gt;19,CN177&lt;27,Tabla1[[#This Row],[T.A. SISTOLICA (Entre semana 20 y 26)]]="",Tabla1[[#This Row],[T.A. DIATOLICA (Entre semana 20 y 26)]]=""),"ACUDE A CONTROL SEM 20 A 26 REGISTRE TA AHORA",IF(AND(BS177&gt;1,BS177&lt;27,BU177&gt;19,Tabla1[[#This Row],[T.A. SISTOLICA (Entre semana 20 y 26)]]="",Tabla1[[#This Row],[T.A. DIATOLICA (Entre semana 20 y 26)]]=""),"COMPLETE REGISTRO TA CONTROL SEM 20 A26 ",IF(AND(BS177&gt;26,BS177&lt;43,Tabla1[[#This Row],[T.A. SISTOLICA (Entre semana 20 y 26)]]="",Tabla1[[#This Row],[T.A. DIATOLICA (Entre semana 20 y 26)]]=""),"NO APLICA REGISTRO TA-INGRESO TARDIO",IF(AND(OR(O177&gt;0,R177&gt;0),OR(CU177&gt;=140,CV177&gt;=90)),"ALTO RIESGO PREECLAMPSIA,DEFINIR ESTADIO HTA",IF(AND(OR(O177&gt;0,R177&gt;0),AND(CU177&gt;120,CU177&lt;=139)),"PRE HTA SEGUIMIENTO,RIESGO HIPERTENSION INDUCIDA POR EL EMBARAZO",IF(AND(OR(O177&gt;0,R177&gt;0),AND(CV177&gt;80,CV177&lt;=89)),"PRE HTA SEGUIMIENTO, RIESGO HIPERTENSION INDUCIDA POR EL EMBARAZO",IF(AND(OR(O177&lt;&gt;"",R177&lt;&gt;""),CS177&lt;&gt;"",CV177&lt;&gt;"",CS177&lt;=CV177),"VIGILAR CIFRAS PRESION ARTERIAL",IF(AND(OR(O177&gt;0,R177&gt;0),AND(CU177&gt;120,CU177&lt;=139)),"PRE HTA SEGUIMIENTO",IF(AND(OR(O177&gt;0,R177&gt;0),AND(CU177&gt;1,CU177&lt;=70),AND(CV177&gt;1,CV177&lt;=40)),"HIPOTENSIÓN",IF(AND(OR(O177&lt;&gt;"",R177&lt;&gt;""),CS177&lt;&gt;"",CV177&lt;&gt;"",CS177&gt;CV177),"APARENTEMENTE NORMAL",IF(AND(OR(O177&gt;0,R177&gt;0),AND(CU177&gt;=80,CU177&lt;=120)),"APARENTEMENTE NORMAL",IF(AND(OR(O177&gt;0,R177&gt;0),AND(CV177&gt;=50,CV177&lt;=80)),"APARENTEMENTE NORMAL","")))))))))))))</f>
        <v xml:space="preserve">COMPLETE REGISTRO TA CONTROL SEM 20 A26 </v>
      </c>
      <c r="CX177" s="21"/>
      <c r="CY177" s="21"/>
      <c r="CZ177" s="216" t="str">
        <f t="shared" si="727"/>
        <v/>
      </c>
      <c r="DA177" s="21">
        <v>110</v>
      </c>
      <c r="DB177" s="21">
        <v>60</v>
      </c>
      <c r="DC177" s="217" t="str">
        <f t="shared" si="610"/>
        <v>APARENTEMENTE NORMAL</v>
      </c>
      <c r="DD177" s="22">
        <v>45065</v>
      </c>
      <c r="DE177" s="22">
        <v>45065</v>
      </c>
      <c r="DF177" s="22">
        <v>45112</v>
      </c>
      <c r="DG177" s="22"/>
      <c r="DH177" s="22"/>
      <c r="DI177" s="22"/>
      <c r="DJ177" s="22"/>
      <c r="DK177" s="22"/>
      <c r="DL177" s="22"/>
      <c r="DM177" s="22"/>
      <c r="DN177" s="22"/>
      <c r="DO177" s="22"/>
      <c r="DP177" s="22"/>
      <c r="DQ177" s="22"/>
      <c r="DR177" s="28">
        <v>0</v>
      </c>
      <c r="DS177" s="22"/>
      <c r="DT177" s="22"/>
      <c r="DU177" s="216" t="str">
        <f t="shared" ca="1" si="674"/>
        <v>PLANEAR PLAN DE PARTO</v>
      </c>
      <c r="DV177" s="226" t="str">
        <f t="shared" si="675"/>
        <v>ACTIVA INGRESO A CPN</v>
      </c>
      <c r="DW17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7" s="216" t="e">
        <f t="shared" ca="1" si="611"/>
        <v>#REF!</v>
      </c>
      <c r="DY177" s="212">
        <f>IF(R177="","",IF(R177&gt;0,MAX(Tabla1[[#This Row],[FECHA C2]:[FECHA C13]],Tabla1[[#This Row],[FECHA CONSULTA PRIMERA VEZ PROGRAMA CPN ]])))</f>
        <v>45112</v>
      </c>
      <c r="DZ177" s="216">
        <f t="shared" si="612"/>
        <v>17</v>
      </c>
      <c r="EA177" s="222">
        <f>IF(R177&gt;0,SUM(COUNTA(DF177:DQ177)+COUNTA(Tabla1[[#This Row],[FECHA CONSULTA PRIMERA VEZ PROGRAMA CPN ]])),"")</f>
        <v>2</v>
      </c>
      <c r="EB177" s="222" t="str">
        <f t="shared" si="613"/>
        <v>NO</v>
      </c>
      <c r="EC177" s="214">
        <f t="shared" si="614"/>
        <v>9</v>
      </c>
      <c r="ED177" s="227">
        <f t="shared" si="615"/>
        <v>0.22222222222222221</v>
      </c>
      <c r="EE177" s="22">
        <v>45065</v>
      </c>
      <c r="EF177" s="22">
        <v>45072</v>
      </c>
      <c r="EG177" s="22">
        <v>45065</v>
      </c>
      <c r="EH177" s="22">
        <v>45079</v>
      </c>
      <c r="EI177" s="22">
        <v>45065</v>
      </c>
      <c r="EJ177" s="22"/>
      <c r="EK177" s="22"/>
      <c r="EL177" s="21"/>
      <c r="EM177" s="21">
        <v>15</v>
      </c>
      <c r="EN177" s="22">
        <v>45072</v>
      </c>
      <c r="EO177" s="222">
        <f t="shared" si="616"/>
        <v>11.642857142857142</v>
      </c>
      <c r="EP177" s="214" t="str">
        <f t="shared" si="617"/>
        <v>NO DAR SULFATO FERROSO</v>
      </c>
      <c r="EQ177" s="216" t="str">
        <f t="shared" si="618"/>
        <v>I TRIM</v>
      </c>
      <c r="ER177" s="24"/>
      <c r="ES177" s="22"/>
      <c r="ET177" s="29" t="str">
        <f t="shared" ca="1" si="676"/>
        <v>TOMA DE HEMOGLOBINA TARDÍA</v>
      </c>
      <c r="EU177" s="25" t="str">
        <f t="shared" si="619"/>
        <v/>
      </c>
      <c r="EV177" s="24" t="s">
        <v>1510</v>
      </c>
      <c r="EW177" s="32">
        <v>45072</v>
      </c>
      <c r="EX177" s="22"/>
      <c r="EY177" s="29">
        <f t="shared" si="691"/>
        <v>11.642857142857142</v>
      </c>
      <c r="EZ177" s="25" t="str">
        <f t="shared" si="692"/>
        <v>SIN RIESGO DE ISOINMUNIZACIÓN</v>
      </c>
      <c r="FA177" s="21">
        <v>66</v>
      </c>
      <c r="FB177" s="22">
        <v>45062</v>
      </c>
      <c r="FC177" s="29">
        <f t="shared" si="620"/>
        <v>10.214285714285714</v>
      </c>
      <c r="FD177" s="29"/>
      <c r="FE177" s="29"/>
      <c r="FF177" s="29"/>
      <c r="FG177" s="21" t="str">
        <f t="shared" ca="1" si="621"/>
        <v>TOMAR PTOG</v>
      </c>
      <c r="FH177" s="31"/>
      <c r="FI177" s="29" t="str">
        <f t="shared" si="622"/>
        <v>TOMAR EXAMEN</v>
      </c>
      <c r="FJ177" s="22" t="s">
        <v>867</v>
      </c>
      <c r="FK177" s="32">
        <v>45072</v>
      </c>
      <c r="FL177" s="29">
        <f t="shared" ca="1" si="623"/>
        <v>11.642857142857142</v>
      </c>
      <c r="FM177" s="22"/>
      <c r="FN177" s="32"/>
      <c r="FO177" s="29" t="str">
        <f t="shared" ca="1" si="677"/>
        <v>PIERDE TOMA DE TAMIZAJE</v>
      </c>
      <c r="FP177" s="22"/>
      <c r="FQ177" s="32"/>
      <c r="FR177" s="29" t="str">
        <f t="shared" ca="1" si="678"/>
        <v>EN RANGO PARA TOMAR EXAMEN</v>
      </c>
      <c r="FS177" s="22"/>
      <c r="FT177" s="32"/>
      <c r="FU177" s="29" t="str">
        <f>IF(AND(FJ177="",FM177="",FP177="",FS177=""),"",IF(OR(OR(Tabla1[[#This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7" s="28"/>
      <c r="FW177" s="22"/>
      <c r="FX177" s="29" t="str">
        <f t="shared" si="624"/>
        <v>TOMAR EXAMEN</v>
      </c>
      <c r="FY177" s="22" t="s">
        <v>868</v>
      </c>
      <c r="FZ177" s="22">
        <v>45072</v>
      </c>
      <c r="GA177" s="29">
        <f t="shared" ca="1" si="690"/>
        <v>11.642857142857142</v>
      </c>
      <c r="GB177" s="22"/>
      <c r="GC177" s="22"/>
      <c r="GD177" s="29" t="str">
        <f t="shared" ca="1" si="730"/>
        <v>PIERDE TOMA DE TAMIZAJE</v>
      </c>
      <c r="GE177" s="22"/>
      <c r="GF177" s="22"/>
      <c r="GG177" s="29" t="str">
        <f t="shared" ca="1" si="680"/>
        <v>EN RANGO PARA TOMAR EXAMEN</v>
      </c>
      <c r="GH177" s="22"/>
      <c r="GI177" s="29"/>
      <c r="GJ177" s="22"/>
      <c r="GK177" s="22"/>
      <c r="GL177" s="22"/>
      <c r="GM177" s="22"/>
      <c r="GN177" s="28" t="s">
        <v>869</v>
      </c>
      <c r="GO177" s="22">
        <v>45072</v>
      </c>
      <c r="GP177" s="29">
        <f t="shared" si="625"/>
        <v>11.642857142857142</v>
      </c>
      <c r="GQ177" s="28" t="s">
        <v>869</v>
      </c>
      <c r="GR177" s="28" t="s">
        <v>869</v>
      </c>
      <c r="GS177" s="22" t="str">
        <f t="shared" si="726"/>
        <v>CONTROL Igm</v>
      </c>
      <c r="GT177" s="22">
        <v>45072</v>
      </c>
      <c r="GU177" s="29">
        <f t="shared" si="627"/>
        <v>15</v>
      </c>
      <c r="GV177" s="21" t="str">
        <f t="shared" si="628"/>
        <v>II TRIM</v>
      </c>
      <c r="GW177" s="28"/>
      <c r="GX177" s="30"/>
      <c r="GY177" s="21"/>
      <c r="GZ177" s="21"/>
      <c r="HA177" s="21"/>
      <c r="HB177" s="21"/>
      <c r="HC177" s="21"/>
      <c r="HD177" s="21"/>
      <c r="HE177" s="21"/>
      <c r="HF177" s="22"/>
      <c r="HG177" s="22" t="str">
        <f>IF(OR(O177&gt;0,R177&gt;0),CONCATENATE(IF(Tabla1[[#This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7" s="22" t="e">
        <f t="shared" si="629"/>
        <v>#REF!</v>
      </c>
      <c r="HI177" s="22" t="str">
        <f t="shared" si="630"/>
        <v>ALTO RIESGO</v>
      </c>
      <c r="HJ177" s="21"/>
      <c r="HK177" s="21" t="str">
        <f t="shared" si="631"/>
        <v>RIESGO ALTO DE COMPLICACIONES HIPERTENSIVAS VER MANEJO GUIA SUMINISTRO ASA Y CALCIO</v>
      </c>
      <c r="HL177" s="24" t="str">
        <f t="shared" si="632"/>
        <v>APARENTEMENTE NORMAL</v>
      </c>
      <c r="HM177" s="21" t="e">
        <f t="shared" ca="1" si="633"/>
        <v>#REF!</v>
      </c>
      <c r="HN177" s="30" t="str">
        <f t="shared" si="681"/>
        <v>ACTIVA INGRESO A CPN</v>
      </c>
      <c r="HO177" s="21"/>
      <c r="HP177" s="21"/>
      <c r="HQ177" s="349">
        <v>45065</v>
      </c>
      <c r="HR177" s="21" t="str">
        <f>IF(R177="","",IF(Tabla1[[#This Row],[ALARMA FACTORES DE RIESGO COMPLICACIONES HIPERTENSIVAS3]]="SIN ANTECEDENTES DE RIESGO","No Aplica para suministro de ASA",IF(AND(Tabla1[[#This Row],[FECHA INICIO DE SUMINISTRO DE ASA]]&gt;0,RV177&lt;12),"Inicia ASA ANTES de Sem 12",IF(AND(RV177&gt;11,RV177&lt;17,OR(HK177="RIESGO ALTO DE COMPLICACIONES HIPERTENSIVAS VER MANEJO GUIA SUMINISTRO ASA Y CALCIO",HK177="RIESGO MODERADO (2 O MAS CRITERIOS) VER MANEJO GUIA SUMINISTRO ASA Y CALCIO")),"Inicio oportuno de ASA",IF(AND(RV177&gt;12,OR(HK177="RIESGO ALTO DE COMPLICACIONES HIPERTENSIVAS VER MANEJO GUIA SUMINISTRO ASA Y CALCIO",HK177="RIESGO MODERADO (2 O MAS CRITERIOS) VER MANEJO GUIA SUMINISTRO ASA Y CALCIO")),"Inicio no oportuno mayor a 16 semanas",IF(AND(BU177&lt;12,OR(HK177="RIESGO ALTO DE COMPLICACIONES HIPERTENSIVAS VER MANEJO GUIA SUMINISTRO ASA Y CALCIO",HK177="RIESGO MODERADO (2 O MAS CRITERIOS) VER MANEJO GUIA SUMINISTRO ASA Y CALCIO")),"Pendiente Inicio de ASA a la semana 12",IF(AND(BU177&gt;11,BU177&lt;17,OR(HK177="RIESGO ALTO DE COMPLICACIONES HIPERTENSIVAS VER MANEJO GUIA SUMINISTRO ASA Y CALCIO",HK177="RIESGO MODERADO (2 O MAS CRITERIOS) VER MANEJO GUIA SUMINISTRO ASA Y CALCIO")),"Iniciar de inmediato ASA",IF(AND(BU177&gt;16,OR(HK177="RIESGO ALTO DE COMPLICACIONES HIPERTENSIVAS VER MANEJO GUIA SUMINISTRO ASA Y CALCIO",HK177="RIESGO MODERADO (2 O MAS CRITERIOS) VER MANEJO GUIA SUMINISTRO ASA Y CALCIO")),"Pierde Oportunidad, Inicio tardío de ASA","XXXXX"))))))))</f>
        <v>Inicia ASA ANTES de Sem 12</v>
      </c>
      <c r="HS177" s="22">
        <v>45065</v>
      </c>
      <c r="HT177" s="22" t="s">
        <v>870</v>
      </c>
      <c r="HU177" s="22">
        <v>45065</v>
      </c>
      <c r="HV177" s="22" t="s">
        <v>870</v>
      </c>
      <c r="HW177" s="22">
        <v>45065</v>
      </c>
      <c r="HX177" s="22" t="s">
        <v>870</v>
      </c>
      <c r="HY177" s="22">
        <v>45065</v>
      </c>
      <c r="HZ177" s="28">
        <f t="shared" si="634"/>
        <v>10.642857142857142</v>
      </c>
      <c r="IA177" s="26"/>
      <c r="IB177" s="26"/>
      <c r="IC177" s="111"/>
      <c r="ID177" s="22"/>
      <c r="IE177" s="22" t="str">
        <f t="shared" ca="1" si="635"/>
        <v>INASISTENTE</v>
      </c>
      <c r="IF177" s="22"/>
      <c r="IG177" s="22">
        <f t="shared" si="636"/>
        <v>45270.5</v>
      </c>
      <c r="IH177" s="29">
        <f t="shared" ca="1" si="637"/>
        <v>37.5</v>
      </c>
      <c r="II177" s="22" t="str">
        <f t="shared" ca="1" si="638"/>
        <v>PENDIENTE</v>
      </c>
      <c r="IJ177" s="22"/>
      <c r="IK177" s="21"/>
      <c r="IL177" s="21"/>
      <c r="IM177" s="34"/>
      <c r="IN177" s="22"/>
      <c r="IO177" s="21"/>
      <c r="IP177" s="29" t="str">
        <f t="shared" si="728"/>
        <v/>
      </c>
      <c r="IQ177" s="35"/>
      <c r="IR177" s="21"/>
      <c r="IS177" s="21"/>
      <c r="IT177" s="21"/>
      <c r="IU177" s="21"/>
      <c r="IV177" s="21"/>
      <c r="IW177" s="21"/>
      <c r="IX177" s="21"/>
      <c r="IY177" s="21"/>
      <c r="IZ177" s="21"/>
      <c r="JA177" s="21"/>
      <c r="JB177" s="30"/>
      <c r="JC177" s="21"/>
      <c r="JD177" s="36"/>
      <c r="JE177" s="21" t="str">
        <f t="shared" si="731"/>
        <v/>
      </c>
      <c r="JF177" s="30"/>
      <c r="JG177" s="21"/>
      <c r="JH177" s="21"/>
      <c r="JI177" s="21"/>
      <c r="JJ177" s="30"/>
      <c r="JK177" s="22"/>
      <c r="JL177" s="22"/>
      <c r="JM177" s="21"/>
      <c r="JN177" s="36"/>
      <c r="JO177" s="21" t="str">
        <f t="shared" si="732"/>
        <v/>
      </c>
      <c r="JP177" s="22"/>
      <c r="JQ177" s="21"/>
      <c r="JR177" s="21"/>
      <c r="JS177" s="21"/>
      <c r="JT177" s="30"/>
      <c r="JU177" s="22"/>
      <c r="JV177" s="22"/>
      <c r="JW177" s="33"/>
      <c r="JX177" s="28" t="str">
        <f t="shared" si="733"/>
        <v/>
      </c>
      <c r="JY177" s="33"/>
      <c r="JZ177" s="28" t="str">
        <f t="shared" si="734"/>
        <v/>
      </c>
      <c r="KA177" s="21"/>
      <c r="KB177" s="21"/>
      <c r="KC177" s="21"/>
      <c r="KD177" s="37"/>
      <c r="KE177" s="28"/>
      <c r="KF177" s="28"/>
      <c r="KG177" s="28"/>
      <c r="KH177" s="39"/>
      <c r="KI177" s="39"/>
      <c r="KJ177" s="66"/>
      <c r="KK177" s="39"/>
      <c r="KL177" s="39"/>
      <c r="KM177" s="66"/>
      <c r="KN177" s="39"/>
      <c r="KO177" s="39"/>
      <c r="KP177" s="39"/>
      <c r="KQ177" s="39"/>
      <c r="KR177" s="39"/>
      <c r="KS177" s="39"/>
      <c r="KT177" s="39"/>
      <c r="KU177" s="38"/>
      <c r="KV177" s="38"/>
      <c r="KW177" s="38"/>
      <c r="KX177" s="38"/>
      <c r="KY177" s="38"/>
      <c r="KZ177" s="38"/>
      <c r="LA177" s="38"/>
      <c r="LB177" s="38"/>
      <c r="LC177" s="38"/>
      <c r="LD177" s="38"/>
      <c r="LE177" s="38"/>
      <c r="LF177" s="38"/>
      <c r="LG177" s="38"/>
      <c r="LH177" s="38"/>
      <c r="LI177" s="38"/>
      <c r="LJ177" s="38"/>
      <c r="LK177" s="38"/>
      <c r="LL177" s="38"/>
      <c r="LM177" s="38"/>
      <c r="LN177" s="38"/>
      <c r="LO177" s="38"/>
      <c r="LP177" s="38"/>
      <c r="LQ177" s="38"/>
      <c r="LR177" s="38"/>
      <c r="LS177" s="38"/>
      <c r="LT177" s="38"/>
      <c r="LU177" s="38"/>
      <c r="LV177" s="38"/>
      <c r="LW177" s="38"/>
      <c r="LX177" s="38"/>
      <c r="LY177" s="38"/>
      <c r="LZ177" s="38"/>
      <c r="MA177" s="38"/>
      <c r="MB177" s="38"/>
      <c r="MC177" s="38"/>
      <c r="MD177" s="38"/>
      <c r="ME177" s="38"/>
      <c r="MF177" s="38"/>
      <c r="MG177" s="38"/>
      <c r="MH177" s="43">
        <f t="shared" si="695"/>
        <v>0</v>
      </c>
      <c r="MI177" s="43" t="str">
        <f t="shared" si="696"/>
        <v/>
      </c>
      <c r="MJ177" s="43" t="str">
        <f t="shared" si="697"/>
        <v/>
      </c>
      <c r="MK177" s="43">
        <f t="shared" si="698"/>
        <v>0</v>
      </c>
      <c r="ML17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7" s="43">
        <f t="shared" si="699"/>
        <v>10.642857142857142</v>
      </c>
      <c r="MN177" s="43">
        <f t="shared" si="700"/>
        <v>5</v>
      </c>
      <c r="MO177" s="43">
        <f t="shared" si="701"/>
        <v>2023</v>
      </c>
      <c r="MP177" s="43" t="str">
        <f t="shared" si="702"/>
        <v>II TRIMESTRE AÑO</v>
      </c>
      <c r="MQ177" s="43">
        <f t="shared" si="703"/>
        <v>40.431997371879106</v>
      </c>
      <c r="MR177" s="43">
        <f t="shared" si="704"/>
        <v>2</v>
      </c>
      <c r="MS177" s="43" t="str">
        <f t="shared" si="705"/>
        <v xml:space="preserve"> DE 40 Y MAS</v>
      </c>
      <c r="MT177" s="43">
        <f t="shared" si="706"/>
        <v>0</v>
      </c>
      <c r="MU177" s="43">
        <f t="shared" si="707"/>
        <v>2</v>
      </c>
      <c r="MV177" s="43">
        <f t="shared" si="708"/>
        <v>1</v>
      </c>
      <c r="MW177" s="43">
        <f t="shared" si="709"/>
        <v>0</v>
      </c>
      <c r="MX177" s="43" t="str">
        <f t="shared" si="710"/>
        <v/>
      </c>
      <c r="MY177" s="43" t="str">
        <f t="shared" ca="1" si="735"/>
        <v/>
      </c>
      <c r="MZ177" s="43" t="str">
        <f t="shared" si="711"/>
        <v/>
      </c>
      <c r="NA177" s="43" t="str">
        <f t="shared" si="712"/>
        <v/>
      </c>
      <c r="NB177" s="43" t="str">
        <f t="shared" si="713"/>
        <v/>
      </c>
      <c r="NC177" s="43" t="str">
        <f t="shared" si="714"/>
        <v/>
      </c>
      <c r="ND177" s="43">
        <f t="shared" ca="1" si="715"/>
        <v>8</v>
      </c>
      <c r="NE177" s="43">
        <f>IF(OR(O177&gt;0,R177&gt;0),SUM(COUNTIF(Tabla1[[#This Row],[AÑOS AL INICIO5 CPN]],"&gt;=40"),COUNTIF(AS177,"0"),COUNTIF(AR177,"SI"),COUNTIF(CC177,"SI"),COUNTIF(BQ177,"&gt;119"),COUNTIF(CI177,"&gt;=35")),"")</f>
        <v>2</v>
      </c>
      <c r="NF177" s="43" t="str">
        <f t="shared" si="716"/>
        <v/>
      </c>
      <c r="NG177" s="43">
        <f t="shared" si="717"/>
        <v>0</v>
      </c>
      <c r="NH177" s="43">
        <f t="shared" si="718"/>
        <v>80.5</v>
      </c>
      <c r="NI17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CPN",P177="NO"),"Z",IF(AND(Tabla1[[#This Row],[CITA PROXIMO CONTROL]]="CITA MANUAL",Tabla1[[#This Row],[GESTANTES ACTUALES]]="ACTIVA INGRESO A CPN"),"W",IF(AND(Tabla1[[#This Row],[GESTANTES ACTUALES]]="SALIO PROGRAMA",IN177=""),"S",IF(AND(Tabla1[[#This Row],[CITA PROXIMO CONTROL]]&gt;0,IN177=""),(Tabla1[[#This Row],[CITA PROXIMO CONTROL]]-TODAY()),"SD"))))))))</f>
        <v>#REF!</v>
      </c>
      <c r="NJ177" s="43">
        <f>MONTH(Tabla1[[#This Row],[FECHA DE SALIDA  DEL PROGRAMA]])</f>
        <v>1</v>
      </c>
      <c r="NK177" s="43">
        <f>YEAR(Tabla1[[#This Row],[FECHA DE SALIDA  DEL PROGRAMA]])</f>
        <v>1900</v>
      </c>
      <c r="NL177" s="43" t="str">
        <f t="shared" si="719"/>
        <v>X</v>
      </c>
      <c r="NM177" s="43" t="str">
        <f t="shared" si="693"/>
        <v>NO</v>
      </c>
      <c r="NN177" s="43" t="str">
        <f ca="1">IF(AND(O177&gt;0,R177=""),"NO CPN",IF(AND(O177="",R177=""),"",IF(AND(R177&gt;0,Tabla1[[#This Row],[SEMANAS DE GESTACION ACTUALIZADAS]]&lt;=12),"NO APLICA",IF(AND(FH177&lt;&gt;"",FN177&lt;&gt;""),"SI","NO"))))</f>
        <v>NO</v>
      </c>
      <c r="NO177" s="43" t="str">
        <f ca="1">IF(AND(O177&gt;0,R177=""),"NO CPN",IF(AND(O177="",R177=""),"",IF(AND(R177&gt;0,Tabla1[[#This Row],[SEMANAS DE GESTACION ACTUALIZADAS]]&lt;=27),"NO APLICA",IF(AND(ES177&lt;&gt;"",FQ177&lt;&gt;"",GF177&lt;&gt;""),"SI","NO"))))</f>
        <v>NO</v>
      </c>
      <c r="NP177" s="204" t="str">
        <f t="shared" si="720"/>
        <v>I TRIM</v>
      </c>
      <c r="NQ177" s="21" t="str">
        <f t="shared" si="729"/>
        <v/>
      </c>
      <c r="NR177" s="21">
        <f t="shared" ca="1" si="736"/>
        <v>3</v>
      </c>
      <c r="NS177" s="205">
        <f t="shared" ca="1" si="721"/>
        <v>1</v>
      </c>
      <c r="NT177" s="21">
        <f t="shared" ca="1" si="722"/>
        <v>1</v>
      </c>
      <c r="NU177" s="21" t="str">
        <f t="shared" ca="1" si="723"/>
        <v>INCOMPLETO</v>
      </c>
      <c r="NV177" s="21" t="str">
        <f t="shared" ca="1" si="724"/>
        <v>INCOMPLETO</v>
      </c>
      <c r="NW177" s="206" t="str">
        <f>IF(AND(O177="",R177=""),"",IF(OR(AND(Tabla1[[#This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177" s="207" t="str">
        <f t="shared" ca="1" si="725"/>
        <v>SIN VACUNAR</v>
      </c>
      <c r="NY177" s="43">
        <f>ROW(Tabla1[[#This Row],['# DE TAMIZAJES SIFILIS TOMADOS ]])</f>
        <v>177</v>
      </c>
      <c r="NZ177" s="43">
        <f t="shared" si="501"/>
        <v>10</v>
      </c>
      <c r="OA177" s="43" t="str">
        <f t="shared" si="502"/>
        <v/>
      </c>
      <c r="OB177" s="43" t="str">
        <f t="shared" si="503"/>
        <v>SOBREPESO</v>
      </c>
      <c r="OC177" s="43" t="str">
        <f t="shared" si="504"/>
        <v/>
      </c>
      <c r="OD177" s="43" t="str">
        <f t="shared" si="505"/>
        <v/>
      </c>
      <c r="OE177" s="43" t="str">
        <f t="shared" si="506"/>
        <v/>
      </c>
      <c r="OF177" s="43" t="str">
        <f t="shared" si="507"/>
        <v/>
      </c>
      <c r="OG177" s="43" t="str">
        <f t="shared" si="508"/>
        <v/>
      </c>
      <c r="OH177" s="43" t="str">
        <f t="shared" si="509"/>
        <v/>
      </c>
      <c r="OI177" s="43" t="str">
        <f t="shared" si="510"/>
        <v/>
      </c>
      <c r="OJ177" s="43" t="str">
        <f t="shared" si="511"/>
        <v/>
      </c>
      <c r="OK177" s="43" t="str">
        <f t="shared" si="512"/>
        <v/>
      </c>
      <c r="OL177" s="43" t="str">
        <f t="shared" si="513"/>
        <v/>
      </c>
      <c r="OM177" s="43" t="str">
        <f t="shared" si="514"/>
        <v/>
      </c>
      <c r="ON177" s="43" t="str">
        <f t="shared" si="515"/>
        <v/>
      </c>
      <c r="OO177" s="43" t="str">
        <f t="shared" si="516"/>
        <v/>
      </c>
      <c r="OP177" s="43" t="str">
        <f t="shared" si="517"/>
        <v/>
      </c>
      <c r="OQ177" s="43" t="str">
        <f t="shared" si="518"/>
        <v/>
      </c>
      <c r="OR177" s="43" t="str">
        <f t="shared" si="519"/>
        <v/>
      </c>
      <c r="OS177" s="43" t="str">
        <f t="shared" si="520"/>
        <v/>
      </c>
      <c r="OT177" s="43" t="str">
        <f t="shared" si="521"/>
        <v/>
      </c>
      <c r="OU177" s="43" t="str">
        <f t="shared" si="522"/>
        <v/>
      </c>
      <c r="OV177" s="110" t="str">
        <f t="shared" si="523"/>
        <v/>
      </c>
      <c r="OW177" s="43" t="str">
        <f t="shared" si="524"/>
        <v/>
      </c>
      <c r="OX177" s="43" t="str">
        <f t="shared" si="525"/>
        <v/>
      </c>
      <c r="OY177" s="43" t="str">
        <f t="shared" si="526"/>
        <v/>
      </c>
      <c r="OZ177" s="43" t="str">
        <f t="shared" si="527"/>
        <v/>
      </c>
      <c r="PA177" s="43" t="str">
        <f t="shared" si="528"/>
        <v/>
      </c>
      <c r="PB177" s="43" t="str">
        <f t="shared" si="529"/>
        <v/>
      </c>
      <c r="PC177" s="43" t="str">
        <f t="shared" si="530"/>
        <v/>
      </c>
      <c r="PD177" s="43" t="str">
        <f t="shared" si="531"/>
        <v/>
      </c>
      <c r="PE177" s="43" t="str">
        <f t="shared" si="532"/>
        <v/>
      </c>
      <c r="PF177" s="43" t="str">
        <f t="shared" si="533"/>
        <v/>
      </c>
      <c r="PG177" s="43" t="str">
        <f t="shared" si="534"/>
        <v/>
      </c>
      <c r="PH177" s="43" t="str">
        <f t="shared" si="535"/>
        <v/>
      </c>
      <c r="PI177" s="43">
        <f t="shared" si="536"/>
        <v>17</v>
      </c>
      <c r="PJ177" s="43" t="str">
        <f t="shared" si="537"/>
        <v/>
      </c>
      <c r="PK177" s="43" t="str">
        <f t="shared" si="538"/>
        <v/>
      </c>
      <c r="PL177" s="43" t="str">
        <f t="shared" si="539"/>
        <v/>
      </c>
      <c r="PM177" s="43" t="str">
        <f t="shared" si="540"/>
        <v/>
      </c>
      <c r="PN177" s="43" t="str">
        <f t="shared" si="541"/>
        <v/>
      </c>
      <c r="PO177" s="43" t="str">
        <f t="shared" si="542"/>
        <v/>
      </c>
      <c r="PP177" s="43" t="str">
        <f t="shared" si="543"/>
        <v/>
      </c>
      <c r="PQ177" s="43" t="str">
        <f t="shared" si="544"/>
        <v/>
      </c>
      <c r="PR177" s="43" t="str">
        <f t="shared" si="545"/>
        <v>SOBREPESO</v>
      </c>
      <c r="PS177" s="43" t="str">
        <f t="shared" si="546"/>
        <v/>
      </c>
      <c r="PT177" s="43" t="str">
        <f t="shared" si="547"/>
        <v/>
      </c>
      <c r="PU177" s="43" t="str">
        <f t="shared" si="548"/>
        <v/>
      </c>
      <c r="PV177" s="43" t="str">
        <f t="shared" si="549"/>
        <v/>
      </c>
      <c r="PW177" s="43" t="str">
        <f t="shared" si="550"/>
        <v/>
      </c>
      <c r="PX177" s="43" t="str">
        <f t="shared" si="551"/>
        <v/>
      </c>
      <c r="PY177" s="43" t="str">
        <f t="shared" si="552"/>
        <v/>
      </c>
      <c r="PZ177" s="43" t="str">
        <f t="shared" si="553"/>
        <v/>
      </c>
      <c r="QA177" s="43" t="str">
        <f t="shared" si="554"/>
        <v/>
      </c>
      <c r="QB177" s="43" t="str">
        <f t="shared" si="555"/>
        <v/>
      </c>
      <c r="QC177" s="43" t="str">
        <f t="shared" si="556"/>
        <v/>
      </c>
      <c r="QD177" s="43" t="str">
        <f t="shared" si="557"/>
        <v/>
      </c>
      <c r="QE177" s="43" t="str">
        <f t="shared" si="558"/>
        <v/>
      </c>
      <c r="QF177" s="43" t="str">
        <f t="shared" si="559"/>
        <v/>
      </c>
      <c r="QG177" s="43" t="str">
        <f t="shared" si="560"/>
        <v/>
      </c>
      <c r="QH177" s="43" t="str">
        <f t="shared" si="561"/>
        <v/>
      </c>
      <c r="QI177" s="43" t="str">
        <f t="shared" si="562"/>
        <v/>
      </c>
      <c r="QJ177" s="43" t="str">
        <f t="shared" si="563"/>
        <v/>
      </c>
      <c r="QK177" s="43" t="str">
        <f t="shared" si="564"/>
        <v/>
      </c>
      <c r="QL177" s="43" t="str">
        <f t="shared" si="565"/>
        <v/>
      </c>
      <c r="QM177" s="43" t="str">
        <f t="shared" si="566"/>
        <v/>
      </c>
      <c r="QN177" s="43" t="str">
        <f t="shared" si="567"/>
        <v/>
      </c>
      <c r="QO177" s="43" t="str">
        <f t="shared" si="568"/>
        <v/>
      </c>
      <c r="QP177" s="43" t="str">
        <f t="shared" si="569"/>
        <v/>
      </c>
      <c r="QQ177" s="43" t="str">
        <f t="shared" si="570"/>
        <v/>
      </c>
      <c r="QR177" s="43">
        <f t="shared" si="670"/>
        <v>17</v>
      </c>
      <c r="QS177" s="43"/>
      <c r="QT177" s="21" t="str">
        <f t="shared" si="571"/>
        <v/>
      </c>
      <c r="QU177" s="21" t="str">
        <f t="shared" si="572"/>
        <v/>
      </c>
      <c r="QV177" s="21" t="str">
        <f t="shared" si="573"/>
        <v/>
      </c>
      <c r="QW177" s="21" t="str">
        <f t="shared" si="574"/>
        <v/>
      </c>
      <c r="QX177" s="21" t="str">
        <f t="shared" si="575"/>
        <v/>
      </c>
      <c r="QY177" s="21" t="str">
        <f t="shared" si="576"/>
        <v/>
      </c>
      <c r="QZ177" s="21" t="str">
        <f t="shared" si="577"/>
        <v/>
      </c>
      <c r="RA177" s="21" t="str">
        <f t="shared" si="578"/>
        <v/>
      </c>
      <c r="RB177" s="21" t="str">
        <f t="shared" si="579"/>
        <v/>
      </c>
      <c r="RC177" s="21" t="str">
        <f t="shared" si="580"/>
        <v/>
      </c>
      <c r="RD177" s="21" t="str">
        <f t="shared" si="581"/>
        <v/>
      </c>
      <c r="RE177" s="21" t="str">
        <f t="shared" si="582"/>
        <v/>
      </c>
      <c r="RF177" s="21" t="str">
        <f t="shared" si="583"/>
        <v/>
      </c>
      <c r="RG177" s="21" t="str">
        <f t="shared" si="584"/>
        <v/>
      </c>
      <c r="RH177" s="21" t="str">
        <f t="shared" si="585"/>
        <v/>
      </c>
      <c r="RI177" s="21" t="str">
        <f t="shared" si="586"/>
        <v/>
      </c>
      <c r="RJ177" s="21" t="str">
        <f t="shared" si="587"/>
        <v/>
      </c>
      <c r="RK177" s="21" t="str">
        <f t="shared" si="588"/>
        <v/>
      </c>
      <c r="RL177" s="21" t="str">
        <f t="shared" si="589"/>
        <v/>
      </c>
      <c r="RM177" s="21" t="str">
        <f t="shared" si="590"/>
        <v/>
      </c>
      <c r="RN177" s="21" t="str">
        <f t="shared" si="591"/>
        <v/>
      </c>
      <c r="RO177" s="21" t="str">
        <f t="shared" si="592"/>
        <v/>
      </c>
      <c r="RP177" s="21" t="str">
        <f t="shared" si="593"/>
        <v/>
      </c>
      <c r="RQ177" s="21" t="str">
        <f t="shared" si="594"/>
        <v/>
      </c>
      <c r="RR177" s="21" t="str">
        <f t="shared" si="595"/>
        <v/>
      </c>
      <c r="RS177" s="21" t="str">
        <f t="shared" si="596"/>
        <v/>
      </c>
      <c r="RT177" s="21" t="str">
        <f t="shared" si="597"/>
        <v/>
      </c>
      <c r="RU177" s="21" t="str">
        <f t="shared" si="598"/>
        <v/>
      </c>
      <c r="RV177" s="21">
        <f t="shared" si="599"/>
        <v>10.642857142857142</v>
      </c>
      <c r="RW177" s="284">
        <f>IF(OR(Tabla1[[#This Row],[FUM FORMULA CONFIABLE]]="",Tabla1[[#This Row],[FUM FORMULA CONFIABLE]]="SD"),"",IF(Tabla1[[#This Row],[FUM FORMULA CONFIABLE]]="CORREGIDA",Tabla1[[#This Row],[FUM X ECO 1]],Tabla1[[#This Row],[FUM x AMENORREA]]))</f>
        <v>44990.5</v>
      </c>
      <c r="RX177" s="21">
        <f>IF(AND(Tabla1[[#This Row],[FUM X ECO 1]]="",Tabla1[[#This Row],[FUM x AMENORREA]]=""),"",IF(AND(Tabla1[[#This Row],[FUM X ECO 1]]="",Tabla1[[#This Row],[FUM x AMENORREA]]&lt;&gt;""),"X",SUM(Tabla1[[#This Row],[FUM X ECO 1]]-Tabla1[[#This Row],[FUM x AMENORREA]])))</f>
        <v>23.5</v>
      </c>
      <c r="RY177" s="21">
        <f t="shared" si="671"/>
        <v>1</v>
      </c>
    </row>
    <row r="178" spans="1:493" ht="45" customHeight="1" x14ac:dyDescent="0.25">
      <c r="A178" s="109"/>
      <c r="B178" s="43"/>
      <c r="C178" s="43" t="s">
        <v>845</v>
      </c>
      <c r="D178" s="124"/>
      <c r="E178" s="43" t="s">
        <v>848</v>
      </c>
      <c r="F178" s="43" t="s">
        <v>953</v>
      </c>
      <c r="G178" s="43" t="s">
        <v>1501</v>
      </c>
      <c r="H178" s="43" t="s">
        <v>919</v>
      </c>
      <c r="I178" s="109" t="s">
        <v>851</v>
      </c>
      <c r="J178" s="110" t="s">
        <v>1502</v>
      </c>
      <c r="K178" s="43" t="s">
        <v>852</v>
      </c>
      <c r="L178" s="175"/>
      <c r="M178" s="22">
        <v>36299</v>
      </c>
      <c r="N178" s="213">
        <f t="shared" ca="1" si="600"/>
        <v>24.476712328767125</v>
      </c>
      <c r="O178" s="22">
        <v>45065</v>
      </c>
      <c r="P178" s="214" t="str">
        <f t="shared" si="673"/>
        <v>SI</v>
      </c>
      <c r="Q178" s="26" t="s">
        <v>855</v>
      </c>
      <c r="R178" s="22">
        <v>45065</v>
      </c>
      <c r="S178" s="21" t="s">
        <v>856</v>
      </c>
      <c r="T178" s="24" t="s">
        <v>690</v>
      </c>
      <c r="U178" s="21" t="s">
        <v>857</v>
      </c>
      <c r="V178" s="21" t="s">
        <v>858</v>
      </c>
      <c r="W178" s="21" t="s">
        <v>1503</v>
      </c>
      <c r="X178" s="21"/>
      <c r="Y178" s="21"/>
      <c r="Z178" s="21">
        <v>3122495708</v>
      </c>
      <c r="AA178" s="21" t="s">
        <v>860</v>
      </c>
      <c r="AB178" s="27" t="s">
        <v>861</v>
      </c>
      <c r="AC178" s="26" t="s">
        <v>888</v>
      </c>
      <c r="AD178" s="38" t="s">
        <v>1546</v>
      </c>
      <c r="AE178" s="26" t="s">
        <v>854</v>
      </c>
      <c r="AF178" s="26" t="s">
        <v>854</v>
      </c>
      <c r="AG178" s="23" t="s">
        <v>864</v>
      </c>
      <c r="AH178" s="23" t="s">
        <v>864</v>
      </c>
      <c r="AI178" s="24" t="s">
        <v>863</v>
      </c>
      <c r="AJ178" s="23" t="s">
        <v>864</v>
      </c>
      <c r="AK178" s="220" t="str">
        <f>IF(AND(AD178="",AE178="",AF178="",AG178="",AH178="",AI178="",AJ178=""),"",IF(OR(Tabla1[[#This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EVALUACIÓN",IF(AND(O178="",R178=""),"",IF(AND(OR(O178&gt;0,R178&gt;0),NG178&gt;=0,NG178&lt;2),"SIN RIESGO",IF(AND(OR(O178&gt;0,R178&gt;0),NG178&gt;=2),"CON RIESGO","ASD")))))</f>
        <v>SIN RIESGO</v>
      </c>
      <c r="AL178" s="23" t="s">
        <v>864</v>
      </c>
      <c r="AM178" s="26" t="s">
        <v>864</v>
      </c>
      <c r="AN178" s="26" t="s">
        <v>864</v>
      </c>
      <c r="AO178" s="26" t="s">
        <v>864</v>
      </c>
      <c r="AP178" s="26" t="s">
        <v>864</v>
      </c>
      <c r="AQ178" s="26" t="s">
        <v>864</v>
      </c>
      <c r="AR178" s="26" t="s">
        <v>864</v>
      </c>
      <c r="AS178" s="21">
        <v>2</v>
      </c>
      <c r="AT178" s="21">
        <v>2</v>
      </c>
      <c r="AU178" s="21">
        <v>0</v>
      </c>
      <c r="AV178" s="26" t="s">
        <v>864</v>
      </c>
      <c r="AW178" s="21">
        <v>0</v>
      </c>
      <c r="AX178" s="26" t="s">
        <v>864</v>
      </c>
      <c r="AY178" s="26" t="s">
        <v>864</v>
      </c>
      <c r="AZ178" s="26" t="s">
        <v>864</v>
      </c>
      <c r="BA178" s="26" t="s">
        <v>864</v>
      </c>
      <c r="BB178" s="26" t="s">
        <v>864</v>
      </c>
      <c r="BC178" s="26" t="s">
        <v>864</v>
      </c>
      <c r="BD178" s="26" t="s">
        <v>864</v>
      </c>
      <c r="BE178" s="26" t="s">
        <v>864</v>
      </c>
      <c r="BF178" s="26" t="s">
        <v>864</v>
      </c>
      <c r="BG178" s="26" t="s">
        <v>864</v>
      </c>
      <c r="BH178" s="26" t="s">
        <v>864</v>
      </c>
      <c r="BI178" s="26" t="s">
        <v>864</v>
      </c>
      <c r="BJ178" s="26" t="s">
        <v>864</v>
      </c>
      <c r="BK178" s="26" t="s">
        <v>865</v>
      </c>
      <c r="BL178" s="26" t="s">
        <v>864</v>
      </c>
      <c r="BM178" s="26" t="s">
        <v>864</v>
      </c>
      <c r="BN178" s="22"/>
      <c r="BO178" s="22">
        <v>45006</v>
      </c>
      <c r="BP178" s="21" t="s">
        <v>854</v>
      </c>
      <c r="BQ178" s="222">
        <f t="shared" si="601"/>
        <v>0</v>
      </c>
      <c r="BR178" s="223" t="str">
        <f t="shared" si="602"/>
        <v/>
      </c>
      <c r="BS178" s="224">
        <f t="shared" si="603"/>
        <v>8.4285714285714288</v>
      </c>
      <c r="BT178" s="216" t="str">
        <f t="shared" si="604"/>
        <v>I TRIM</v>
      </c>
      <c r="BU178" s="214">
        <f t="shared" ca="1" si="605"/>
        <v>32.428571428571431</v>
      </c>
      <c r="BV178" s="25"/>
      <c r="BW178" s="22"/>
      <c r="BX178" s="28"/>
      <c r="BY178" s="28"/>
      <c r="BZ178" s="22"/>
      <c r="CA178" s="21"/>
      <c r="CB178" s="26"/>
      <c r="CC178" s="26"/>
      <c r="CD178" s="26"/>
      <c r="CE178" s="26"/>
      <c r="CF178" s="22" t="s">
        <v>1517</v>
      </c>
      <c r="CG178" s="21">
        <v>1.53</v>
      </c>
      <c r="CH178" s="21">
        <v>82</v>
      </c>
      <c r="CI178" s="214">
        <f t="shared" si="606"/>
        <v>35.029262249562137</v>
      </c>
      <c r="CJ178" s="225" t="str">
        <f>IF(AND(CI178&lt;10,CH178="SD"),"SIN DATO PESO PREGESTACION O I TRIM",IF(AND(OR(R178&gt;0,O178&gt;0),CI178="X"),"INGRESAR DATO DE PESO",IF(CI178="SD","INGRESAR DATO DE TALLA Y PESO",IF(AND(OR(Tabla1[[#This Row],[MOMENTO EN QUE SE REALIZA EL PESO AL INGRESO A CPN]]="PREGESTACIÓN",NZ178="Menor"),CI178&lt;18.5),"BAJO PESO",IF(AND(OR(Tabla1[[#This Row],[MOMENTO EN QUE SE REALIZA EL PESO AL INGRESO A CPN]]="PREGESTACIÓN",NZ178="Menor"),CI178&lt;25),"NORMAL",IF(AND(OR(Tabla1[[#This Row],[MOMENTO EN QUE SE REALIZA EL PESO AL INGRESO A CPN]]="PREGESTACIÓN",NZ178="Menor"),CI178&lt;30),"SOBREPESO",IF(AND(OR(Tabla1[[#This Row],[MOMENTO EN QUE SE REALIZA EL PESO AL INGRESO A CPN]]="PREGESTACIÓN",NZ178="Menor"),CI178&gt;=30,CI178&lt;50),"OBESIDAD",IF(AND(BS178&gt;0,Tabla1[[#This Row],[MOMENTO EN QUE SE REALIZA EL PESO AL INGRESO A CPN]]="GESTACIÓN"),HLOOKUP(NZ178,$OA$2:PH178,NY178),""))))))))</f>
        <v>OBESIDAD</v>
      </c>
      <c r="CK178" s="212">
        <f t="shared" si="607"/>
        <v>45065</v>
      </c>
      <c r="CL178" s="21">
        <v>82</v>
      </c>
      <c r="CM178" s="214">
        <f t="shared" si="608"/>
        <v>35.029262249562137</v>
      </c>
      <c r="CN178" s="216">
        <f t="shared" si="609"/>
        <v>8</v>
      </c>
      <c r="CO178" s="216" t="e">
        <f>IF(PI178="","",IF(PI178&gt;0,HLOOKUP(PI178,$PJ$2:QQ178,NY178),""))</f>
        <v>#REF!</v>
      </c>
      <c r="CP178" s="21"/>
      <c r="CQ178" s="216" t="str">
        <f>IF(QR178="Menor","NO APLICA-MENOR 13 SEM",IF(AND(CC178="SI",CN178&gt;23),"NO APLICA- GEMELAR",IF(QR178="","",IF(QR178&gt;0,HLOOKUP(QR178,$QS$2:RU178,NY178),""))))</f>
        <v>NO APLICA-MENOR 13 SEM</v>
      </c>
      <c r="CR178" s="21">
        <v>120</v>
      </c>
      <c r="CS178" s="21">
        <v>60</v>
      </c>
      <c r="CT178" s="217" t="str">
        <f>IF(R178="","",IF(AND(BS178&gt;1,BS178&lt;12,Tabla1[[#This Row],[T.A. SISTOLICA - ANTES DE SEMANA 12]]="",Tabla1[[#This Row],[T.A. DIASTOLICA - ANTES DE SEMANA 12]]=""),"REGISTRE DATO TA ANTES SEMANA 12",IF(AND(BS178&gt;11,BS178&lt;43,Tabla1[[#This Row],[T.A. SISTOLICA - ANTES DE SEMANA 12]]="",Tabla1[[#This Row],[T.A. DIASTOLICA - ANTES DE SEMANA 12]]=""),"NO APLICA REGISTRO TA-INGRESO TARDIO",IF(AND(OR(O178&gt;0,R178&gt;0),OR(CR178&gt;=140,CS178&gt;=90)),"DEFINIR ESTADIO HTA",IF(AND(OR(O178&gt;0,R178&gt;0),AND(CR178&gt;120,CR178&lt;=139)),"PRE HTA SEGUIMIENTO",IF(AND(OR(O178&gt;0,R178&gt;0),AND(CS178&gt;80,CS178&lt;=89)),"PRE HTA SEGUIMIENTO",IF(AND(OR(O178&gt;0,R178&gt;0),AND(CR178&gt;=80,CR178&lt;=120)),"APARENTEMENTE NORMAL",IF(AND(OR(O178&gt;0,R178&gt;0),AND(CS178&gt;=50,CS178&lt;=80)),"APARENTEMENTE NORMAL",IF(AND(OR(O178&gt;0,R178&gt;0),AND(CR178&gt;1,CR178&lt;=70),AND(CS178&gt;1,CS178&lt;=40)),"HIPOTENSIÓN","")))))))))</f>
        <v>APARENTEMENTE NORMAL</v>
      </c>
      <c r="CU178" s="21"/>
      <c r="CV178" s="21"/>
      <c r="CW178" s="217" t="str">
        <f ca="1">IF(R178="","",IF(AND(CN178&gt;19,CN178&lt;27,Tabla1[[#This Row],[T.A. SISTOLICA (Entre semana 20 y 26)]]="",Tabla1[[#This Row],[T.A. DIATOLICA (Entre semana 20 y 26)]]=""),"ACUDE A CONTROL SEM 20 A 26 REGISTRE TA AHORA",IF(AND(BS178&gt;1,BS178&lt;27,BU178&gt;19,Tabla1[[#This Row],[T.A. SISTOLICA (Entre semana 20 y 26)]]="",Tabla1[[#This Row],[T.A. DIATOLICA (Entre semana 20 y 26)]]=""),"COMPLETE REGISTRO TA CONTROL SEM 20 A26 ",IF(AND(BS178&gt;26,BS178&lt;43,Tabla1[[#This Row],[T.A. SISTOLICA (Entre semana 20 y 26)]]="",Tabla1[[#This Row],[T.A. DIATOLICA (Entre semana 20 y 26)]]=""),"NO APLICA REGISTRO TA-INGRESO TARDIO",IF(AND(OR(O178&gt;0,R178&gt;0),OR(CU178&gt;=140,CV178&gt;=90)),"ALTO RIESGO PREECLAMPSIA,DEFINIR ESTADIO HTA",IF(AND(OR(O178&gt;0,R178&gt;0),AND(CU178&gt;120,CU178&lt;=139)),"PRE HTA SEGUIMIENTO,RIESGO HIPERTENSION INDUCIDA POR EL EMBARAZO",IF(AND(OR(O178&gt;0,R178&gt;0),AND(CV178&gt;80,CV178&lt;=89)),"PRE HTA SEGUIMIENTO, RIESGO HIPERTENSION INDUCIDA POR EL EMBARAZO",IF(AND(OR(O178&lt;&gt;"",R178&lt;&gt;""),CS178&lt;&gt;"",CV178&lt;&gt;"",CS178&lt;=CV178),"VIGILAR CIFRAS PRESION ARTERIAL",IF(AND(OR(O178&gt;0,R178&gt;0),AND(CU178&gt;120,CU178&lt;=139)),"PRE HTA SEGUIMIENTO",IF(AND(OR(O178&gt;0,R178&gt;0),AND(CU178&gt;1,CU178&lt;=70),AND(CV178&gt;1,CV178&lt;=40)),"HIPOTENSIÓN",IF(AND(OR(O178&lt;&gt;"",R178&lt;&gt;""),CS178&lt;&gt;"",CV178&lt;&gt;"",CS178&gt;CV178),"APARENTEMENTE NORMAL",IF(AND(OR(O178&gt;0,R178&gt;0),AND(CU178&gt;=80,CU178&lt;=120)),"APARENTEMENTE NORMAL",IF(AND(OR(O178&gt;0,R178&gt;0),AND(CV178&gt;=50,CV178&lt;=80)),"APARENTEMENTE NORMAL","")))))))))))))</f>
        <v xml:space="preserve">COMPLETE REGISTRO TA CONTROL SEM 20 A26 </v>
      </c>
      <c r="CX178" s="21"/>
      <c r="CY178" s="21"/>
      <c r="CZ178" s="216" t="str">
        <f t="shared" si="727"/>
        <v/>
      </c>
      <c r="DA178" s="21">
        <v>120</v>
      </c>
      <c r="DB178" s="21">
        <v>60</v>
      </c>
      <c r="DC178" s="217" t="str">
        <f t="shared" si="610"/>
        <v>APARENTEMENTE NORMAL</v>
      </c>
      <c r="DD178" s="22">
        <v>45065</v>
      </c>
      <c r="DE178" s="22">
        <v>45065</v>
      </c>
      <c r="DF178" s="22"/>
      <c r="DG178" s="22"/>
      <c r="DH178" s="22"/>
      <c r="DI178" s="22"/>
      <c r="DJ178" s="22"/>
      <c r="DK178" s="22"/>
      <c r="DL178" s="22"/>
      <c r="DM178" s="22"/>
      <c r="DN178" s="22"/>
      <c r="DO178" s="22"/>
      <c r="DP178" s="22"/>
      <c r="DQ178" s="22"/>
      <c r="DR178" s="28">
        <v>0</v>
      </c>
      <c r="DS178" s="22"/>
      <c r="DT178" s="22"/>
      <c r="DU178" s="216" t="str">
        <f t="shared" ca="1" si="674"/>
        <v>PLANEAR PLAN DE PARTO</v>
      </c>
      <c r="DV178" s="226" t="str">
        <f t="shared" si="675"/>
        <v>ACTIVA INGRESO A CPN</v>
      </c>
      <c r="DW17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8" s="216" t="e">
        <f t="shared" ca="1" si="611"/>
        <v>#REF!</v>
      </c>
      <c r="DY178" s="212">
        <f>IF(R178="","",IF(R178&gt;0,MAX(Tabla1[[#This Row],[FECHA C2]:[FECHA C13]],Tabla1[[#This Row],[FECHA CONSULTA PRIMERA VEZ PROGRAMA CPN ]])))</f>
        <v>45065</v>
      </c>
      <c r="DZ178" s="216">
        <f t="shared" si="612"/>
        <v>8</v>
      </c>
      <c r="EA178" s="222">
        <f>IF(R178&gt;0,SUM(COUNTA(DF178:DQ178)+COUNTA(Tabla1[[#This Row],[FECHA CONSULTA PRIMERA VEZ PROGRAMA CPN ]])),"")</f>
        <v>1</v>
      </c>
      <c r="EB178" s="222" t="str">
        <f t="shared" si="613"/>
        <v>NO</v>
      </c>
      <c r="EC178" s="214">
        <f t="shared" si="614"/>
        <v>9</v>
      </c>
      <c r="ED178" s="227">
        <f t="shared" si="615"/>
        <v>0.1111111111111111</v>
      </c>
      <c r="EE178" s="22">
        <v>45065</v>
      </c>
      <c r="EF178" s="22"/>
      <c r="EG178" s="22">
        <v>45065</v>
      </c>
      <c r="EH178" s="22"/>
      <c r="EI178" s="22">
        <v>45065</v>
      </c>
      <c r="EJ178" s="22"/>
      <c r="EK178" s="22"/>
      <c r="EL178" s="21"/>
      <c r="EM178" s="21">
        <v>14.6</v>
      </c>
      <c r="EN178" s="22">
        <v>45071</v>
      </c>
      <c r="EO178" s="222">
        <f t="shared" si="616"/>
        <v>9.2857142857142865</v>
      </c>
      <c r="EP178" s="214" t="str">
        <f t="shared" si="617"/>
        <v>NO DAR SULFATO FERROSO</v>
      </c>
      <c r="EQ178" s="216" t="str">
        <f t="shared" si="618"/>
        <v>I TRIM</v>
      </c>
      <c r="ER178" s="24"/>
      <c r="ES178" s="22"/>
      <c r="ET178" s="29" t="str">
        <f t="shared" ca="1" si="676"/>
        <v>TOMA DE HEMOGLOBINA TARDÍA</v>
      </c>
      <c r="EU178" s="25" t="str">
        <f t="shared" si="619"/>
        <v/>
      </c>
      <c r="EV178" s="24" t="s">
        <v>1510</v>
      </c>
      <c r="EW178" s="24">
        <v>45066</v>
      </c>
      <c r="EX178" s="22"/>
      <c r="EY178" s="29">
        <f t="shared" si="691"/>
        <v>8.5714285714285712</v>
      </c>
      <c r="EZ178" s="25" t="str">
        <f t="shared" si="692"/>
        <v>SIN RIESGO DE ISOINMUNIZACIÓN</v>
      </c>
      <c r="FA178" s="21">
        <v>70</v>
      </c>
      <c r="FB178" s="22">
        <v>45066</v>
      </c>
      <c r="FC178" s="29">
        <f t="shared" si="620"/>
        <v>8.5714285714285712</v>
      </c>
      <c r="FD178" s="29"/>
      <c r="FE178" s="29"/>
      <c r="FF178" s="29"/>
      <c r="FG178" s="21" t="str">
        <f t="shared" ca="1" si="621"/>
        <v>TOMAR PTOG</v>
      </c>
      <c r="FH178" s="31"/>
      <c r="FI178" s="29" t="str">
        <f t="shared" si="622"/>
        <v>TOMAR EXAMEN</v>
      </c>
      <c r="FJ178" s="22" t="s">
        <v>867</v>
      </c>
      <c r="FK178" s="22">
        <v>45066</v>
      </c>
      <c r="FL178" s="29">
        <f t="shared" ca="1" si="623"/>
        <v>8.5714285714285712</v>
      </c>
      <c r="FM178" s="22"/>
      <c r="FN178" s="32"/>
      <c r="FO178" s="29" t="str">
        <f t="shared" ca="1" si="677"/>
        <v>PIERDE TOMA DE TAMIZAJE</v>
      </c>
      <c r="FP178" s="22"/>
      <c r="FQ178" s="32"/>
      <c r="FR178" s="29" t="str">
        <f t="shared" ca="1" si="678"/>
        <v>EN RANGO PARA TOMAR EXAMEN</v>
      </c>
      <c r="FS178" s="22"/>
      <c r="FT178" s="32"/>
      <c r="FU178" s="29" t="str">
        <f>IF(AND(FJ178="",FM178="",FP178="",FS178=""),"",IF(OR(OR(Tabla1[[#This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8" s="28"/>
      <c r="FW178" s="22"/>
      <c r="FX178" s="29" t="str">
        <f t="shared" si="624"/>
        <v>TOMAR EXAMEN</v>
      </c>
      <c r="FY178" s="22">
        <v>45065</v>
      </c>
      <c r="FZ178" s="22">
        <v>45065</v>
      </c>
      <c r="GA178" s="29">
        <f t="shared" ca="1" si="690"/>
        <v>8.4285714285714288</v>
      </c>
      <c r="GB178" s="22"/>
      <c r="GC178" s="22"/>
      <c r="GD178" s="29" t="str">
        <f t="shared" ca="1" si="730"/>
        <v>PIERDE TOMA DE TAMIZAJE</v>
      </c>
      <c r="GE178" s="22"/>
      <c r="GF178" s="22"/>
      <c r="GG178" s="29" t="str">
        <f t="shared" ca="1" si="680"/>
        <v>EN RANGO PARA TOMAR EXAMEN</v>
      </c>
      <c r="GH178" s="22"/>
      <c r="GI178" s="29"/>
      <c r="GJ178" s="22"/>
      <c r="GK178" s="22"/>
      <c r="GL178" s="22"/>
      <c r="GM178" s="22"/>
      <c r="GN178" s="28" t="s">
        <v>869</v>
      </c>
      <c r="GO178" s="22">
        <v>45071</v>
      </c>
      <c r="GP178" s="29">
        <f t="shared" si="625"/>
        <v>9.2857142857142865</v>
      </c>
      <c r="GQ178" s="28" t="s">
        <v>869</v>
      </c>
      <c r="GR178" s="28" t="s">
        <v>869</v>
      </c>
      <c r="GS178" s="22" t="str">
        <f t="shared" si="726"/>
        <v>CONTROL Igm</v>
      </c>
      <c r="GT178" s="22">
        <v>45066</v>
      </c>
      <c r="GU178" s="29">
        <f t="shared" si="627"/>
        <v>8.5714285714285712</v>
      </c>
      <c r="GV178" s="21" t="str">
        <f t="shared" si="628"/>
        <v>I TRIM</v>
      </c>
      <c r="GW178" s="28" t="s">
        <v>869</v>
      </c>
      <c r="GX178" s="30"/>
      <c r="GY178" s="21"/>
      <c r="GZ178" s="21"/>
      <c r="HA178" s="21"/>
      <c r="HB178" s="21"/>
      <c r="HC178" s="21"/>
      <c r="HD178" s="21"/>
      <c r="HE178" s="21"/>
      <c r="HF178" s="22"/>
      <c r="HG178" s="22" t="str">
        <f>IF(OR(O178&gt;0,R178&gt;0),CONCATENATE(IF(Tabla1[[#This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8" s="22" t="e">
        <f t="shared" si="629"/>
        <v>#REF!</v>
      </c>
      <c r="HI178" s="22" t="e">
        <f t="shared" ca="1" si="630"/>
        <v>#REF!</v>
      </c>
      <c r="HJ178" s="21"/>
      <c r="HK178" s="21" t="str">
        <f t="shared" si="631"/>
        <v>SIN ANTECEDENTES DE RIESGO</v>
      </c>
      <c r="HL178" s="24" t="str">
        <f t="shared" si="632"/>
        <v>APARENTEMENTE NORMAL</v>
      </c>
      <c r="HM178" s="21" t="e">
        <f t="shared" ca="1" si="633"/>
        <v>#REF!</v>
      </c>
      <c r="HN178" s="30" t="str">
        <f t="shared" si="681"/>
        <v>ACTIVA INGRESO A CPN</v>
      </c>
      <c r="HO178" s="21"/>
      <c r="HP178" s="21"/>
      <c r="HQ178" s="349"/>
      <c r="HR178" s="21" t="str">
        <f>IF(R178="","",IF(Tabla1[[#This Row],[ALARMA FACTORES DE RIESGO COMPLICACIONES HIPERTENSIVAS3]]="SIN ANTECEDENTES DE RIESGO","No Aplica para suministro de ASA",IF(AND(Tabla1[[#This Row],[FECHA INICIO DE SUMINISTRO DE ASA]]&gt;0,RV178&lt;12),"Inicia ASA ANTES de Sem 12",IF(AND(RV178&gt;11,RV178&lt;17,OR(HK178="RIESGO ALTO DE COMPLICACIONES HIPERTENSIVAS VER MANEJO GUIA SUMINISTRO ASA Y CALCIO",HK178="RIESGO MODERADO (2 O MAS CRITERIOS) VER MANEJO GUIA SUMINISTRO ASA Y CALCIO")),"Inicio oportuno de ASA",IF(AND(RV178&gt;12,OR(HK178="RIESGO ALTO DE COMPLICACIONES HIPERTENSIVAS VER MANEJO GUIA SUMINISTRO ASA Y CALCIO",HK178="RIESGO MODERADO (2 O MAS CRITERIOS) VER MANEJO GUIA SUMINISTRO ASA Y CALCIO")),"Inicio no oportuno mayor a 16 semanas",IF(AND(BU178&lt;12,OR(HK178="RIESGO ALTO DE COMPLICACIONES HIPERTENSIVAS VER MANEJO GUIA SUMINISTRO ASA Y CALCIO",HK178="RIESGO MODERADO (2 O MAS CRITERIOS) VER MANEJO GUIA SUMINISTRO ASA Y CALCIO")),"Pendiente Inicio de ASA a la semana 12",IF(AND(BU178&gt;11,BU178&lt;17,OR(HK178="RIESGO ALTO DE COMPLICACIONES HIPERTENSIVAS VER MANEJO GUIA SUMINISTRO ASA Y CALCIO",HK178="RIESGO MODERADO (2 O MAS CRITERIOS) VER MANEJO GUIA SUMINISTRO ASA Y CALCIO")),"Iniciar de inmediato ASA",IF(AND(BU178&gt;16,OR(HK178="RIESGO ALTO DE COMPLICACIONES HIPERTENSIVAS VER MANEJO GUIA SUMINISTRO ASA Y CALCIO",HK178="RIESGO MODERADO (2 O MAS CRITERIOS) VER MANEJO GUIA SUMINISTRO ASA Y CALCIO")),"Pierde Oportunidad, Inicio tardío de ASA","XXXXX"))))))))</f>
        <v>No Aplica para suministro de ASA</v>
      </c>
      <c r="HS178" s="22"/>
      <c r="HT178" s="22"/>
      <c r="HU178" s="22">
        <v>45065</v>
      </c>
      <c r="HV178" s="22" t="s">
        <v>870</v>
      </c>
      <c r="HW178" s="22">
        <v>45065</v>
      </c>
      <c r="HX178" s="22" t="s">
        <v>870</v>
      </c>
      <c r="HY178" s="22"/>
      <c r="HZ178" s="28" t="str">
        <f t="shared" si="634"/>
        <v>PENDIENTE CONSULTA</v>
      </c>
      <c r="IA178" s="26"/>
      <c r="IB178" s="26"/>
      <c r="IC178" s="111"/>
      <c r="ID178" s="22"/>
      <c r="IE178" s="22" t="str">
        <f t="shared" ca="1" si="635"/>
        <v>INASISTENTE</v>
      </c>
      <c r="IF178" s="22"/>
      <c r="IG178" s="22">
        <f t="shared" si="636"/>
        <v>45286</v>
      </c>
      <c r="IH178" s="29">
        <f t="shared" ca="1" si="637"/>
        <v>53</v>
      </c>
      <c r="II178" s="22" t="str">
        <f t="shared" ca="1" si="638"/>
        <v>PENDIENTE</v>
      </c>
      <c r="IJ178" s="22"/>
      <c r="IK178" s="21"/>
      <c r="IL178" s="21"/>
      <c r="IM178" s="34"/>
      <c r="IN178" s="22"/>
      <c r="IO178" s="21"/>
      <c r="IP178" s="29" t="str">
        <f t="shared" si="728"/>
        <v/>
      </c>
      <c r="IQ178" s="35"/>
      <c r="IR178" s="21"/>
      <c r="IS178" s="21"/>
      <c r="IT178" s="21"/>
      <c r="IU178" s="21"/>
      <c r="IV178" s="21"/>
      <c r="IW178" s="21"/>
      <c r="IX178" s="21"/>
      <c r="IY178" s="21"/>
      <c r="IZ178" s="21"/>
      <c r="JA178" s="21"/>
      <c r="JB178" s="30"/>
      <c r="JC178" s="21"/>
      <c r="JD178" s="36"/>
      <c r="JE178" s="21" t="str">
        <f t="shared" si="731"/>
        <v/>
      </c>
      <c r="JF178" s="30"/>
      <c r="JG178" s="21"/>
      <c r="JH178" s="21"/>
      <c r="JI178" s="21"/>
      <c r="JJ178" s="30"/>
      <c r="JK178" s="22"/>
      <c r="JL178" s="22"/>
      <c r="JM178" s="21"/>
      <c r="JN178" s="36"/>
      <c r="JO178" s="21" t="str">
        <f t="shared" si="732"/>
        <v/>
      </c>
      <c r="JP178" s="22"/>
      <c r="JQ178" s="21"/>
      <c r="JR178" s="21"/>
      <c r="JS178" s="21"/>
      <c r="JT178" s="30"/>
      <c r="JU178" s="22"/>
      <c r="JV178" s="22"/>
      <c r="JW178" s="33"/>
      <c r="JX178" s="28" t="str">
        <f t="shared" si="733"/>
        <v/>
      </c>
      <c r="JY178" s="33"/>
      <c r="JZ178" s="28" t="str">
        <f t="shared" si="734"/>
        <v/>
      </c>
      <c r="KA178" s="21"/>
      <c r="KB178" s="21"/>
      <c r="KC178" s="21"/>
      <c r="KD178" s="37"/>
      <c r="KE178" s="28"/>
      <c r="KF178" s="28"/>
      <c r="KG178" s="28"/>
      <c r="KH178" s="39"/>
      <c r="KI178" s="39"/>
      <c r="KJ178" s="66"/>
      <c r="KK178" s="39"/>
      <c r="KL178" s="39"/>
      <c r="KM178" s="66"/>
      <c r="KN178" s="39"/>
      <c r="KO178" s="39"/>
      <c r="KP178" s="39"/>
      <c r="KQ178" s="39"/>
      <c r="KR178" s="39"/>
      <c r="KS178" s="39"/>
      <c r="KT178" s="39"/>
      <c r="KU178" s="38"/>
      <c r="KV178" s="38"/>
      <c r="KW178" s="38"/>
      <c r="KX178" s="38"/>
      <c r="KY178" s="38"/>
      <c r="KZ178" s="38"/>
      <c r="LA178" s="38"/>
      <c r="LB178" s="38"/>
      <c r="LC178" s="38"/>
      <c r="LD178" s="38"/>
      <c r="LE178" s="38"/>
      <c r="LF178" s="38"/>
      <c r="LG178" s="38"/>
      <c r="LH178" s="38"/>
      <c r="LI178" s="38"/>
      <c r="LJ178" s="38"/>
      <c r="LK178" s="38"/>
      <c r="LL178" s="38"/>
      <c r="LM178" s="38"/>
      <c r="LN178" s="38"/>
      <c r="LO178" s="38"/>
      <c r="LP178" s="38"/>
      <c r="LQ178" s="38"/>
      <c r="LR178" s="38"/>
      <c r="LS178" s="38"/>
      <c r="LT178" s="38"/>
      <c r="LU178" s="38"/>
      <c r="LV178" s="38"/>
      <c r="LW178" s="38"/>
      <c r="LX178" s="38"/>
      <c r="LY178" s="38"/>
      <c r="LZ178" s="38"/>
      <c r="MA178" s="38"/>
      <c r="MB178" s="38"/>
      <c r="MC178" s="38"/>
      <c r="MD178" s="38"/>
      <c r="ME178" s="38"/>
      <c r="MF178" s="38"/>
      <c r="MG178" s="38"/>
      <c r="MH178" s="43">
        <f t="shared" si="695"/>
        <v>0</v>
      </c>
      <c r="MI178" s="43" t="str">
        <f t="shared" si="696"/>
        <v/>
      </c>
      <c r="MJ178" s="43" t="str">
        <f t="shared" si="697"/>
        <v/>
      </c>
      <c r="MK178" s="43">
        <f t="shared" si="698"/>
        <v>0</v>
      </c>
      <c r="ML17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8" s="43">
        <f t="shared" si="699"/>
        <v>8.4285714285714288</v>
      </c>
      <c r="MN178" s="43">
        <f t="shared" si="700"/>
        <v>5</v>
      </c>
      <c r="MO178" s="43">
        <f t="shared" si="701"/>
        <v>2023</v>
      </c>
      <c r="MP178" s="43" t="str">
        <f t="shared" si="702"/>
        <v>II TRIMESTRE AÑO</v>
      </c>
      <c r="MQ178" s="43">
        <f t="shared" si="703"/>
        <v>23.653088042049934</v>
      </c>
      <c r="MR178" s="43">
        <f t="shared" si="704"/>
        <v>0</v>
      </c>
      <c r="MS178" s="43" t="str">
        <f t="shared" si="705"/>
        <v xml:space="preserve"> DE 20 A 24 AÑOS</v>
      </c>
      <c r="MT178" s="43">
        <f t="shared" si="706"/>
        <v>0</v>
      </c>
      <c r="MU178" s="43">
        <f t="shared" si="707"/>
        <v>0</v>
      </c>
      <c r="MV178" s="43">
        <f t="shared" si="708"/>
        <v>0</v>
      </c>
      <c r="MW178" s="43">
        <f t="shared" si="709"/>
        <v>0</v>
      </c>
      <c r="MX178" s="43" t="str">
        <f t="shared" si="710"/>
        <v/>
      </c>
      <c r="MY178" s="43" t="str">
        <f t="shared" ca="1" si="735"/>
        <v/>
      </c>
      <c r="MZ178" s="43" t="str">
        <f t="shared" si="711"/>
        <v/>
      </c>
      <c r="NA178" s="43" t="str">
        <f t="shared" si="712"/>
        <v/>
      </c>
      <c r="NB178" s="43" t="str">
        <f t="shared" si="713"/>
        <v/>
      </c>
      <c r="NC178" s="43" t="str">
        <f t="shared" si="714"/>
        <v/>
      </c>
      <c r="ND178" s="43">
        <f t="shared" ca="1" si="715"/>
        <v>0</v>
      </c>
      <c r="NE178" s="43">
        <f>IF(OR(O178&gt;0,R178&gt;0),SUM(COUNTIF(Tabla1[[#This Row],[AÑOS AL INICIO5 CPN]],"&gt;=40"),COUNTIF(AS178,"0"),COUNTIF(AR178,"SI"),COUNTIF(CC178,"SI"),COUNTIF(BQ178,"&gt;119"),COUNTIF(CI178,"&gt;=35")),"")</f>
        <v>1</v>
      </c>
      <c r="NF178" s="43" t="str">
        <f t="shared" si="716"/>
        <v/>
      </c>
      <c r="NG178" s="43">
        <f t="shared" si="717"/>
        <v>0</v>
      </c>
      <c r="NH178" s="43" t="str">
        <f t="shared" si="718"/>
        <v/>
      </c>
      <c r="NI17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CPN",P178="NO"),"Z",IF(AND(Tabla1[[#This Row],[CITA PROXIMO CONTROL]]="CITA MANUAL",Tabla1[[#This Row],[GESTANTES ACTUALES]]="ACTIVA INGRESO A CPN"),"W",IF(AND(Tabla1[[#This Row],[GESTANTES ACTUALES]]="SALIO PROGRAMA",IN178=""),"S",IF(AND(Tabla1[[#This Row],[CITA PROXIMO CONTROL]]&gt;0,IN178=""),(Tabla1[[#This Row],[CITA PROXIMO CONTROL]]-TODAY()),"SD"))))))))</f>
        <v>#REF!</v>
      </c>
      <c r="NJ178" s="43">
        <f>MONTH(Tabla1[[#This Row],[FECHA DE SALIDA  DEL PROGRAMA]])</f>
        <v>1</v>
      </c>
      <c r="NK178" s="43">
        <f>YEAR(Tabla1[[#This Row],[FECHA DE SALIDA  DEL PROGRAMA]])</f>
        <v>1900</v>
      </c>
      <c r="NL178" s="43" t="str">
        <f t="shared" si="719"/>
        <v>X</v>
      </c>
      <c r="NM178" s="43" t="str">
        <f t="shared" si="693"/>
        <v>NO</v>
      </c>
      <c r="NN178" s="43" t="str">
        <f ca="1">IF(AND(O178&gt;0,R178=""),"NO CPN",IF(AND(O178="",R178=""),"",IF(AND(R178&gt;0,Tabla1[[#This Row],[SEMANAS DE GESTACION ACTUALIZADAS]]&lt;=12),"NO APLICA",IF(AND(FH178&lt;&gt;"",FN178&lt;&gt;""),"SI","NO"))))</f>
        <v>NO</v>
      </c>
      <c r="NO178" s="43" t="str">
        <f ca="1">IF(AND(O178&gt;0,R178=""),"NO CPN",IF(AND(O178="",R178=""),"",IF(AND(R178&gt;0,Tabla1[[#This Row],[SEMANAS DE GESTACION ACTUALIZADAS]]&lt;=27),"NO APLICA",IF(AND(ES178&lt;&gt;"",FQ178&lt;&gt;"",GF178&lt;&gt;""),"SI","NO"))))</f>
        <v>NO</v>
      </c>
      <c r="NP178" s="204" t="str">
        <f t="shared" si="720"/>
        <v>I TRIM</v>
      </c>
      <c r="NQ178" s="21" t="str">
        <f t="shared" si="729"/>
        <v/>
      </c>
      <c r="NR178" s="21">
        <f t="shared" ca="1" si="736"/>
        <v>3</v>
      </c>
      <c r="NS178" s="205">
        <f t="shared" ca="1" si="721"/>
        <v>1</v>
      </c>
      <c r="NT178" s="21">
        <f t="shared" ca="1" si="722"/>
        <v>1</v>
      </c>
      <c r="NU178" s="21" t="str">
        <f t="shared" ca="1" si="723"/>
        <v>INCOMPLETO</v>
      </c>
      <c r="NV178" s="21" t="str">
        <f t="shared" ca="1" si="724"/>
        <v>INCOMPLETO</v>
      </c>
      <c r="NW178" s="206" t="str">
        <f>IF(AND(O178="",R178=""),"",IF(OR(AND(Tabla1[[#This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8" s="207" t="str">
        <f t="shared" ca="1" si="725"/>
        <v>SIN VACUNAR</v>
      </c>
      <c r="NY178" s="43">
        <f>ROW(Tabla1[[#This Row],['# DE TAMIZAJES SIFILIS TOMADOS ]])</f>
        <v>178</v>
      </c>
      <c r="NZ178" s="43" t="str">
        <f t="shared" si="501"/>
        <v>Menor</v>
      </c>
      <c r="OA178" s="43" t="str">
        <f t="shared" si="502"/>
        <v>OBESIDAD</v>
      </c>
      <c r="OB178" s="43" t="str">
        <f t="shared" si="503"/>
        <v/>
      </c>
      <c r="OC178" s="43" t="str">
        <f t="shared" si="504"/>
        <v/>
      </c>
      <c r="OD178" s="43" t="str">
        <f t="shared" si="505"/>
        <v/>
      </c>
      <c r="OE178" s="43" t="str">
        <f t="shared" si="506"/>
        <v/>
      </c>
      <c r="OF178" s="43" t="str">
        <f t="shared" si="507"/>
        <v/>
      </c>
      <c r="OG178" s="43" t="str">
        <f t="shared" si="508"/>
        <v/>
      </c>
      <c r="OH178" s="43" t="str">
        <f t="shared" si="509"/>
        <v/>
      </c>
      <c r="OI178" s="43" t="str">
        <f t="shared" si="510"/>
        <v/>
      </c>
      <c r="OJ178" s="43" t="str">
        <f t="shared" si="511"/>
        <v/>
      </c>
      <c r="OK178" s="43" t="str">
        <f t="shared" si="512"/>
        <v/>
      </c>
      <c r="OL178" s="43" t="str">
        <f t="shared" si="513"/>
        <v/>
      </c>
      <c r="OM178" s="43" t="str">
        <f t="shared" si="514"/>
        <v/>
      </c>
      <c r="ON178" s="43" t="str">
        <f t="shared" si="515"/>
        <v/>
      </c>
      <c r="OO178" s="43" t="str">
        <f t="shared" si="516"/>
        <v/>
      </c>
      <c r="OP178" s="43" t="str">
        <f t="shared" si="517"/>
        <v/>
      </c>
      <c r="OQ178" s="43" t="str">
        <f t="shared" si="518"/>
        <v/>
      </c>
      <c r="OR178" s="43" t="str">
        <f t="shared" si="519"/>
        <v/>
      </c>
      <c r="OS178" s="43" t="str">
        <f t="shared" si="520"/>
        <v/>
      </c>
      <c r="OT178" s="43" t="str">
        <f t="shared" si="521"/>
        <v/>
      </c>
      <c r="OU178" s="43" t="str">
        <f t="shared" si="522"/>
        <v/>
      </c>
      <c r="OV178" s="110" t="str">
        <f t="shared" si="523"/>
        <v/>
      </c>
      <c r="OW178" s="43" t="str">
        <f t="shared" si="524"/>
        <v/>
      </c>
      <c r="OX178" s="43" t="str">
        <f t="shared" si="525"/>
        <v/>
      </c>
      <c r="OY178" s="43" t="str">
        <f t="shared" si="526"/>
        <v/>
      </c>
      <c r="OZ178" s="43" t="str">
        <f t="shared" si="527"/>
        <v/>
      </c>
      <c r="PA178" s="43" t="str">
        <f t="shared" si="528"/>
        <v/>
      </c>
      <c r="PB178" s="43" t="str">
        <f t="shared" si="529"/>
        <v/>
      </c>
      <c r="PC178" s="43" t="str">
        <f t="shared" si="530"/>
        <v/>
      </c>
      <c r="PD178" s="43" t="str">
        <f t="shared" si="531"/>
        <v/>
      </c>
      <c r="PE178" s="43" t="str">
        <f t="shared" si="532"/>
        <v/>
      </c>
      <c r="PF178" s="43" t="str">
        <f t="shared" si="533"/>
        <v/>
      </c>
      <c r="PG178" s="43" t="str">
        <f t="shared" si="534"/>
        <v/>
      </c>
      <c r="PH178" s="43" t="str">
        <f t="shared" si="535"/>
        <v/>
      </c>
      <c r="PI178" s="43" t="str">
        <f t="shared" si="536"/>
        <v>Menor</v>
      </c>
      <c r="PJ178" s="43" t="str">
        <f t="shared" si="537"/>
        <v>OBESIDAD</v>
      </c>
      <c r="PK178" s="43" t="str">
        <f t="shared" si="538"/>
        <v/>
      </c>
      <c r="PL178" s="43" t="str">
        <f t="shared" si="539"/>
        <v/>
      </c>
      <c r="PM178" s="43" t="str">
        <f t="shared" si="540"/>
        <v/>
      </c>
      <c r="PN178" s="43" t="str">
        <f t="shared" si="541"/>
        <v/>
      </c>
      <c r="PO178" s="43" t="str">
        <f t="shared" si="542"/>
        <v/>
      </c>
      <c r="PP178" s="43" t="str">
        <f t="shared" si="543"/>
        <v/>
      </c>
      <c r="PQ178" s="43" t="str">
        <f t="shared" si="544"/>
        <v/>
      </c>
      <c r="PR178" s="43" t="str">
        <f t="shared" si="545"/>
        <v/>
      </c>
      <c r="PS178" s="43" t="str">
        <f t="shared" si="546"/>
        <v/>
      </c>
      <c r="PT178" s="43" t="str">
        <f t="shared" si="547"/>
        <v/>
      </c>
      <c r="PU178" s="43" t="str">
        <f t="shared" si="548"/>
        <v/>
      </c>
      <c r="PV178" s="43" t="str">
        <f t="shared" si="549"/>
        <v/>
      </c>
      <c r="PW178" s="43" t="str">
        <f t="shared" si="550"/>
        <v/>
      </c>
      <c r="PX178" s="43" t="str">
        <f t="shared" si="551"/>
        <v/>
      </c>
      <c r="PY178" s="43" t="str">
        <f t="shared" si="552"/>
        <v/>
      </c>
      <c r="PZ178" s="43" t="str">
        <f t="shared" si="553"/>
        <v/>
      </c>
      <c r="QA178" s="43" t="str">
        <f t="shared" si="554"/>
        <v/>
      </c>
      <c r="QB178" s="43" t="str">
        <f t="shared" si="555"/>
        <v/>
      </c>
      <c r="QC178" s="43" t="str">
        <f t="shared" si="556"/>
        <v/>
      </c>
      <c r="QD178" s="43" t="str">
        <f t="shared" si="557"/>
        <v/>
      </c>
      <c r="QE178" s="43" t="str">
        <f t="shared" si="558"/>
        <v/>
      </c>
      <c r="QF178" s="43" t="str">
        <f t="shared" si="559"/>
        <v/>
      </c>
      <c r="QG178" s="43" t="str">
        <f t="shared" si="560"/>
        <v/>
      </c>
      <c r="QH178" s="43" t="str">
        <f t="shared" si="561"/>
        <v/>
      </c>
      <c r="QI178" s="43" t="str">
        <f t="shared" si="562"/>
        <v/>
      </c>
      <c r="QJ178" s="43" t="str">
        <f t="shared" si="563"/>
        <v/>
      </c>
      <c r="QK178" s="43" t="str">
        <f t="shared" si="564"/>
        <v/>
      </c>
      <c r="QL178" s="43" t="str">
        <f t="shared" si="565"/>
        <v/>
      </c>
      <c r="QM178" s="43" t="str">
        <f t="shared" si="566"/>
        <v/>
      </c>
      <c r="QN178" s="43" t="str">
        <f t="shared" si="567"/>
        <v/>
      </c>
      <c r="QO178" s="43" t="str">
        <f t="shared" si="568"/>
        <v/>
      </c>
      <c r="QP178" s="43" t="str">
        <f t="shared" si="569"/>
        <v/>
      </c>
      <c r="QQ178" s="43" t="str">
        <f t="shared" si="570"/>
        <v/>
      </c>
      <c r="QR178" s="43" t="str">
        <f t="shared" si="670"/>
        <v>Menor</v>
      </c>
      <c r="QS178" s="43"/>
      <c r="QT178" s="21" t="str">
        <f t="shared" si="571"/>
        <v/>
      </c>
      <c r="QU178" s="21" t="str">
        <f t="shared" si="572"/>
        <v/>
      </c>
      <c r="QV178" s="21" t="str">
        <f t="shared" si="573"/>
        <v/>
      </c>
      <c r="QW178" s="21" t="str">
        <f t="shared" si="574"/>
        <v/>
      </c>
      <c r="QX178" s="21" t="str">
        <f t="shared" si="575"/>
        <v/>
      </c>
      <c r="QY178" s="21" t="str">
        <f t="shared" si="576"/>
        <v/>
      </c>
      <c r="QZ178" s="21" t="str">
        <f t="shared" si="577"/>
        <v/>
      </c>
      <c r="RA178" s="21" t="str">
        <f t="shared" si="578"/>
        <v/>
      </c>
      <c r="RB178" s="21" t="str">
        <f t="shared" si="579"/>
        <v/>
      </c>
      <c r="RC178" s="21" t="str">
        <f t="shared" si="580"/>
        <v/>
      </c>
      <c r="RD178" s="21" t="str">
        <f t="shared" si="581"/>
        <v/>
      </c>
      <c r="RE178" s="21" t="str">
        <f t="shared" si="582"/>
        <v/>
      </c>
      <c r="RF178" s="21" t="str">
        <f t="shared" si="583"/>
        <v/>
      </c>
      <c r="RG178" s="21" t="str">
        <f t="shared" si="584"/>
        <v/>
      </c>
      <c r="RH178" s="21" t="str">
        <f t="shared" si="585"/>
        <v/>
      </c>
      <c r="RI178" s="21" t="str">
        <f t="shared" si="586"/>
        <v/>
      </c>
      <c r="RJ178" s="21" t="str">
        <f t="shared" si="587"/>
        <v/>
      </c>
      <c r="RK178" s="21" t="str">
        <f t="shared" si="588"/>
        <v/>
      </c>
      <c r="RL178" s="21" t="str">
        <f t="shared" si="589"/>
        <v/>
      </c>
      <c r="RM178" s="21" t="str">
        <f t="shared" si="590"/>
        <v/>
      </c>
      <c r="RN178" s="21" t="str">
        <f t="shared" si="591"/>
        <v/>
      </c>
      <c r="RO178" s="21" t="str">
        <f t="shared" si="592"/>
        <v/>
      </c>
      <c r="RP178" s="21" t="str">
        <f t="shared" si="593"/>
        <v/>
      </c>
      <c r="RQ178" s="21" t="str">
        <f t="shared" si="594"/>
        <v/>
      </c>
      <c r="RR178" s="21" t="str">
        <f t="shared" si="595"/>
        <v/>
      </c>
      <c r="RS178" s="21" t="str">
        <f t="shared" si="596"/>
        <v/>
      </c>
      <c r="RT178" s="21" t="str">
        <f t="shared" si="597"/>
        <v/>
      </c>
      <c r="RU178" s="21" t="str">
        <f t="shared" si="598"/>
        <v/>
      </c>
      <c r="RV178" s="21">
        <f t="shared" si="599"/>
        <v>-1</v>
      </c>
      <c r="RW178" s="284">
        <f>IF(OR(Tabla1[[#This Row],[FUM FORMULA CONFIABLE]]="",Tabla1[[#This Row],[FUM FORMULA CONFIABLE]]="SD"),"",IF(Tabla1[[#This Row],[FUM FORMULA CONFIABLE]]="CORREGIDA",Tabla1[[#This Row],[FUM X ECO 1]],Tabla1[[#This Row],[FUM x AMENORREA]]))</f>
        <v>45006</v>
      </c>
      <c r="RX178" s="21" t="str">
        <f>IF(AND(Tabla1[[#This Row],[FUM X ECO 1]]="",Tabla1[[#This Row],[FUM x AMENORREA]]=""),"",IF(AND(Tabla1[[#This Row],[FUM X ECO 1]]="",Tabla1[[#This Row],[FUM x AMENORREA]]&lt;&gt;""),"X",SUM(Tabla1[[#This Row],[FUM X ECO 1]]-Tabla1[[#This Row],[FUM x AMENORREA]])))</f>
        <v>X</v>
      </c>
      <c r="RY178" s="21" t="str">
        <f t="shared" si="671"/>
        <v>x</v>
      </c>
    </row>
    <row r="179" spans="1:493" ht="45" customHeight="1" x14ac:dyDescent="0.25">
      <c r="A179" s="109"/>
      <c r="B179" s="43"/>
      <c r="C179" s="43" t="s">
        <v>845</v>
      </c>
      <c r="D179" s="124"/>
      <c r="E179" s="43" t="s">
        <v>992</v>
      </c>
      <c r="F179" s="43" t="s">
        <v>848</v>
      </c>
      <c r="G179" s="43" t="s">
        <v>1504</v>
      </c>
      <c r="H179" s="43" t="s">
        <v>1157</v>
      </c>
      <c r="I179" s="109" t="s">
        <v>851</v>
      </c>
      <c r="J179" s="110">
        <v>1002848292</v>
      </c>
      <c r="K179" s="43" t="s">
        <v>852</v>
      </c>
      <c r="L179" s="175" t="s">
        <v>1509</v>
      </c>
      <c r="M179" s="22">
        <v>38020</v>
      </c>
      <c r="N179" s="213">
        <f t="shared" ca="1" si="600"/>
        <v>19.761643835616439</v>
      </c>
      <c r="O179" s="22">
        <v>45083</v>
      </c>
      <c r="P179" s="214" t="str">
        <f t="shared" si="673"/>
        <v>SI</v>
      </c>
      <c r="Q179" s="26" t="s">
        <v>855</v>
      </c>
      <c r="R179" s="22">
        <v>45083</v>
      </c>
      <c r="S179" s="21" t="s">
        <v>856</v>
      </c>
      <c r="T179" s="24" t="s">
        <v>690</v>
      </c>
      <c r="U179" s="21" t="s">
        <v>857</v>
      </c>
      <c r="V179" s="21" t="s">
        <v>858</v>
      </c>
      <c r="W179" s="21" t="s">
        <v>1106</v>
      </c>
      <c r="X179" s="21"/>
      <c r="Y179" s="21" t="s">
        <v>859</v>
      </c>
      <c r="Z179" s="21" t="s">
        <v>1562</v>
      </c>
      <c r="AA179" s="21" t="s">
        <v>860</v>
      </c>
      <c r="AB179" s="27" t="s">
        <v>861</v>
      </c>
      <c r="AC179" s="26" t="s">
        <v>888</v>
      </c>
      <c r="AD179" s="38" t="s">
        <v>1546</v>
      </c>
      <c r="AE179" s="26" t="s">
        <v>854</v>
      </c>
      <c r="AF179" s="26" t="s">
        <v>854</v>
      </c>
      <c r="AG179" s="23" t="s">
        <v>864</v>
      </c>
      <c r="AH179" s="23" t="s">
        <v>864</v>
      </c>
      <c r="AI179" s="24" t="s">
        <v>863</v>
      </c>
      <c r="AJ179" s="23" t="s">
        <v>864</v>
      </c>
      <c r="AK179" s="220" t="str">
        <f>IF(AND(AD179="",AE179="",AF179="",AG179="",AH179="",AI179="",AJ179=""),"",IF(OR(Tabla1[[#This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EVALUACIÓN",IF(AND(O179="",R179=""),"",IF(AND(OR(O179&gt;0,R179&gt;0),NG179&gt;=0,NG179&lt;2),"SIN RIESGO",IF(AND(OR(O179&gt;0,R179&gt;0),NG179&gt;=2),"CON RIESGO","ASD")))))</f>
        <v>SIN RIESGO</v>
      </c>
      <c r="AL179" s="23" t="s">
        <v>864</v>
      </c>
      <c r="AM179" s="26" t="s">
        <v>864</v>
      </c>
      <c r="AN179" s="26" t="s">
        <v>864</v>
      </c>
      <c r="AO179" s="26" t="s">
        <v>864</v>
      </c>
      <c r="AP179" s="26" t="s">
        <v>864</v>
      </c>
      <c r="AQ179" s="26" t="s">
        <v>864</v>
      </c>
      <c r="AR179" s="26" t="s">
        <v>864</v>
      </c>
      <c r="AS179" s="21">
        <v>0</v>
      </c>
      <c r="AT179" s="21">
        <v>0</v>
      </c>
      <c r="AU179" s="21">
        <v>0</v>
      </c>
      <c r="AV179" s="26" t="s">
        <v>864</v>
      </c>
      <c r="AW179" s="21">
        <v>0</v>
      </c>
      <c r="AX179" s="26" t="s">
        <v>864</v>
      </c>
      <c r="AY179" s="26" t="s">
        <v>864</v>
      </c>
      <c r="AZ179" s="26" t="s">
        <v>864</v>
      </c>
      <c r="BA179" s="26" t="s">
        <v>864</v>
      </c>
      <c r="BB179" s="26" t="s">
        <v>864</v>
      </c>
      <c r="BC179" s="26" t="s">
        <v>864</v>
      </c>
      <c r="BD179" s="26" t="s">
        <v>864</v>
      </c>
      <c r="BE179" s="26" t="s">
        <v>864</v>
      </c>
      <c r="BF179" s="26" t="s">
        <v>864</v>
      </c>
      <c r="BG179" s="26" t="s">
        <v>864</v>
      </c>
      <c r="BH179" s="26" t="s">
        <v>864</v>
      </c>
      <c r="BI179" s="26" t="s">
        <v>864</v>
      </c>
      <c r="BJ179" s="26" t="s">
        <v>864</v>
      </c>
      <c r="BK179" s="26" t="s">
        <v>864</v>
      </c>
      <c r="BL179" s="26" t="s">
        <v>864</v>
      </c>
      <c r="BM179" s="26" t="s">
        <v>864</v>
      </c>
      <c r="BN179" s="22"/>
      <c r="BO179" s="22">
        <v>45054</v>
      </c>
      <c r="BP179" s="21" t="s">
        <v>854</v>
      </c>
      <c r="BQ179" s="222">
        <f t="shared" si="601"/>
        <v>0</v>
      </c>
      <c r="BR179" s="223">
        <f t="shared" si="602"/>
        <v>45051</v>
      </c>
      <c r="BS179" s="224">
        <f t="shared" si="603"/>
        <v>4.1428571428571432</v>
      </c>
      <c r="BT179" s="216" t="str">
        <f t="shared" si="604"/>
        <v>I TRIM</v>
      </c>
      <c r="BU179" s="214">
        <f t="shared" ca="1" si="605"/>
        <v>25.571428571428573</v>
      </c>
      <c r="BV179" s="25" t="s">
        <v>1478</v>
      </c>
      <c r="BW179" s="22">
        <v>45121</v>
      </c>
      <c r="BX179" s="28">
        <v>10</v>
      </c>
      <c r="BY179" s="28"/>
      <c r="BZ179" s="22"/>
      <c r="CA179" s="21"/>
      <c r="CB179" s="26" t="s">
        <v>864</v>
      </c>
      <c r="CC179" s="26" t="s">
        <v>864</v>
      </c>
      <c r="CD179" s="26"/>
      <c r="CE179" s="26" t="s">
        <v>864</v>
      </c>
      <c r="CF179" s="22" t="s">
        <v>1517</v>
      </c>
      <c r="CG179" s="21">
        <v>1.6</v>
      </c>
      <c r="CH179" s="21">
        <v>71.400000000000006</v>
      </c>
      <c r="CI179" s="214">
        <f t="shared" si="606"/>
        <v>27.890624999999996</v>
      </c>
      <c r="CJ179" s="225" t="str">
        <f>IF(AND(CI179&lt;10,CH179="SD"),"SIN DATO PESO PREGESTACION O I TRIM",IF(AND(OR(R179&gt;0,O179&gt;0),CI179="X"),"INGRESAR DATO DE PESO",IF(CI179="SD","INGRESAR DATO DE TALLA Y PESO",IF(AND(OR(Tabla1[[#This Row],[MOMENTO EN QUE SE REALIZA EL PESO AL INGRESO A CPN]]="PREGESTACIÓN",NZ179="Menor"),CI179&lt;18.5),"BAJO PESO",IF(AND(OR(Tabla1[[#This Row],[MOMENTO EN QUE SE REALIZA EL PESO AL INGRESO A CPN]]="PREGESTACIÓN",NZ179="Menor"),CI179&lt;25),"NORMAL",IF(AND(OR(Tabla1[[#This Row],[MOMENTO EN QUE SE REALIZA EL PESO AL INGRESO A CPN]]="PREGESTACIÓN",NZ179="Menor"),CI179&lt;30),"SOBREPESO",IF(AND(OR(Tabla1[[#This Row],[MOMENTO EN QUE SE REALIZA EL PESO AL INGRESO A CPN]]="PREGESTACIÓN",NZ179="Menor"),CI179&gt;=30,CI179&lt;50),"OBESIDAD",IF(AND(BS179&gt;0,Tabla1[[#This Row],[MOMENTO EN QUE SE REALIZA EL PESO AL INGRESO A CPN]]="GESTACIÓN"),HLOOKUP(NZ179,$OA$2:PH179,NY179),""))))))))</f>
        <v>SOBREPESO</v>
      </c>
      <c r="CK179" s="212">
        <f t="shared" si="607"/>
        <v>45147</v>
      </c>
      <c r="CL179" s="21">
        <v>67.5</v>
      </c>
      <c r="CM179" s="214">
        <f t="shared" si="608"/>
        <v>26.367187499999996</v>
      </c>
      <c r="CN179" s="216">
        <f t="shared" si="609"/>
        <v>13</v>
      </c>
      <c r="CO179" s="216" t="e">
        <f>IF(PI179="","",IF(PI179&gt;0,HLOOKUP(PI179,$PJ$2:QQ179,NY179),""))</f>
        <v>#REF!</v>
      </c>
      <c r="CP179" s="21"/>
      <c r="CQ179" s="216" t="e">
        <f>IF(QR179="Menor","NO APLICA-MENOR 13 SEM",IF(AND(CC179="SI",CN179&gt;23),"NO APLICA- GEMELAR",IF(QR179="","",IF(QR179&gt;0,HLOOKUP(QR179,$QS$2:RU179,NY179),""))))</f>
        <v>#REF!</v>
      </c>
      <c r="CR179" s="21">
        <v>90</v>
      </c>
      <c r="CS179" s="21">
        <v>60</v>
      </c>
      <c r="CT179" s="217" t="str">
        <f>IF(R179="","",IF(AND(BS179&gt;1,BS179&lt;12,Tabla1[[#This Row],[T.A. SISTOLICA - ANTES DE SEMANA 12]]="",Tabla1[[#This Row],[T.A. DIASTOLICA - ANTES DE SEMANA 12]]=""),"REGISTRE DATO TA ANTES SEMANA 12",IF(AND(BS179&gt;11,BS179&lt;43,Tabla1[[#This Row],[T.A. SISTOLICA - ANTES DE SEMANA 12]]="",Tabla1[[#This Row],[T.A. DIASTOLICA - ANTES DE SEMANA 12]]=""),"NO APLICA REGISTRO TA-INGRESO TARDIO",IF(AND(OR(O179&gt;0,R179&gt;0),OR(CR179&gt;=140,CS179&gt;=90)),"DEFINIR ESTADIO HTA",IF(AND(OR(O179&gt;0,R179&gt;0),AND(CR179&gt;120,CR179&lt;=139)),"PRE HTA SEGUIMIENTO",IF(AND(OR(O179&gt;0,R179&gt;0),AND(CS179&gt;80,CS179&lt;=89)),"PRE HTA SEGUIMIENTO",IF(AND(OR(O179&gt;0,R179&gt;0),AND(CR179&gt;=80,CR179&lt;=120)),"APARENTEMENTE NORMAL",IF(AND(OR(O179&gt;0,R179&gt;0),AND(CS179&gt;=50,CS179&lt;=80)),"APARENTEMENTE NORMAL",IF(AND(OR(O179&gt;0,R179&gt;0),AND(CR179&gt;1,CR179&lt;=70),AND(CS179&gt;1,CS179&lt;=40)),"HIPOTENSIÓN","")))))))))</f>
        <v>APARENTEMENTE NORMAL</v>
      </c>
      <c r="CU179" s="21"/>
      <c r="CV179" s="21"/>
      <c r="CW179" s="217" t="str">
        <f ca="1">IF(R179="","",IF(AND(CN179&gt;19,CN179&lt;27,Tabla1[[#This Row],[T.A. SISTOLICA (Entre semana 20 y 26)]]="",Tabla1[[#This Row],[T.A. DIATOLICA (Entre semana 20 y 26)]]=""),"ACUDE A CONTROL SEM 20 A 26 REGISTRE TA AHORA",IF(AND(BS179&gt;1,BS179&lt;27,BU179&gt;19,Tabla1[[#This Row],[T.A. SISTOLICA (Entre semana 20 y 26)]]="",Tabla1[[#This Row],[T.A. DIATOLICA (Entre semana 20 y 26)]]=""),"COMPLETE REGISTRO TA CONTROL SEM 20 A26 ",IF(AND(BS179&gt;26,BS179&lt;43,Tabla1[[#This Row],[T.A. SISTOLICA (Entre semana 20 y 26)]]="",Tabla1[[#This Row],[T.A. DIATOLICA (Entre semana 20 y 26)]]=""),"NO APLICA REGISTRO TA-INGRESO TARDIO",IF(AND(OR(O179&gt;0,R179&gt;0),OR(CU179&gt;=140,CV179&gt;=90)),"ALTO RIESGO PREECLAMPSIA,DEFINIR ESTADIO HTA",IF(AND(OR(O179&gt;0,R179&gt;0),AND(CU179&gt;120,CU179&lt;=139)),"PRE HTA SEGUIMIENTO,RIESGO HIPERTENSION INDUCIDA POR EL EMBARAZO",IF(AND(OR(O179&gt;0,R179&gt;0),AND(CV179&gt;80,CV179&lt;=89)),"PRE HTA SEGUIMIENTO, RIESGO HIPERTENSION INDUCIDA POR EL EMBARAZO",IF(AND(OR(O179&lt;&gt;"",R179&lt;&gt;""),CS179&lt;&gt;"",CV179&lt;&gt;"",CS179&lt;=CV179),"VIGILAR CIFRAS PRESION ARTERIAL",IF(AND(OR(O179&gt;0,R179&gt;0),AND(CU179&gt;120,CU179&lt;=139)),"PRE HTA SEGUIMIENTO",IF(AND(OR(O179&gt;0,R179&gt;0),AND(CU179&gt;1,CU179&lt;=70),AND(CV179&gt;1,CV179&lt;=40)),"HIPOTENSIÓN",IF(AND(OR(O179&lt;&gt;"",R179&lt;&gt;""),CS179&lt;&gt;"",CV179&lt;&gt;"",CS179&gt;CV179),"APARENTEMENTE NORMAL",IF(AND(OR(O179&gt;0,R179&gt;0),AND(CU179&gt;=80,CU179&lt;=120)),"APARENTEMENTE NORMAL",IF(AND(OR(O179&gt;0,R179&gt;0),AND(CV179&gt;=50,CV179&lt;=80)),"APARENTEMENTE NORMAL","")))))))))))))</f>
        <v xml:space="preserve">COMPLETE REGISTRO TA CONTROL SEM 20 A26 </v>
      </c>
      <c r="CX179" s="21"/>
      <c r="CY179" s="21"/>
      <c r="CZ179" s="216" t="str">
        <f t="shared" si="727"/>
        <v/>
      </c>
      <c r="DA179" s="21">
        <v>90</v>
      </c>
      <c r="DB179" s="21">
        <v>60</v>
      </c>
      <c r="DC179" s="217" t="str">
        <f t="shared" si="610"/>
        <v>APARENTEMENTE NORMAL</v>
      </c>
      <c r="DD179" s="22">
        <v>45083</v>
      </c>
      <c r="DE179" s="22">
        <v>45083</v>
      </c>
      <c r="DF179" s="22">
        <v>45119</v>
      </c>
      <c r="DG179" s="22">
        <v>45147</v>
      </c>
      <c r="DH179" s="22"/>
      <c r="DI179" s="22"/>
      <c r="DJ179" s="22"/>
      <c r="DK179" s="22"/>
      <c r="DL179" s="22"/>
      <c r="DM179" s="22"/>
      <c r="DN179" s="22"/>
      <c r="DO179" s="22"/>
      <c r="DP179" s="22"/>
      <c r="DQ179" s="22"/>
      <c r="DR179" s="28">
        <v>0</v>
      </c>
      <c r="DS179" s="22"/>
      <c r="DT179" s="22"/>
      <c r="DU179" s="216" t="str">
        <f t="shared" ca="1" si="674"/>
        <v>EN ESPERA</v>
      </c>
      <c r="DV179" s="226" t="str">
        <f t="shared" si="675"/>
        <v>ACTIVA INGRESO A CPN</v>
      </c>
      <c r="DW17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79" s="216" t="e">
        <f t="shared" ca="1" si="611"/>
        <v>#REF!</v>
      </c>
      <c r="DY179" s="212">
        <f>IF(R179="","",IF(R179&gt;0,MAX(Tabla1[[#This Row],[FECHA C2]:[FECHA C13]],Tabla1[[#This Row],[FECHA CONSULTA PRIMERA VEZ PROGRAMA CPN ]])))</f>
        <v>45147</v>
      </c>
      <c r="DZ179" s="216">
        <f t="shared" si="612"/>
        <v>13</v>
      </c>
      <c r="EA179" s="222">
        <f>IF(R179&gt;0,SUM(COUNTA(DF179:DQ179)+COUNTA(Tabla1[[#This Row],[FECHA CONSULTA PRIMERA VEZ PROGRAMA CPN ]])),"")</f>
        <v>3</v>
      </c>
      <c r="EB179" s="222" t="str">
        <f t="shared" si="613"/>
        <v>NO</v>
      </c>
      <c r="EC179" s="214">
        <f t="shared" si="614"/>
        <v>10</v>
      </c>
      <c r="ED179" s="227">
        <f t="shared" si="615"/>
        <v>0.3</v>
      </c>
      <c r="EE179" s="22">
        <v>45083</v>
      </c>
      <c r="EF179" s="22">
        <v>45083</v>
      </c>
      <c r="EG179" s="22">
        <v>45083</v>
      </c>
      <c r="EH179" s="22">
        <v>45106</v>
      </c>
      <c r="EI179" s="22">
        <v>45083</v>
      </c>
      <c r="EJ179" s="22">
        <v>45106</v>
      </c>
      <c r="EK179" s="22">
        <v>45106</v>
      </c>
      <c r="EL179" s="21">
        <v>1</v>
      </c>
      <c r="EM179" s="21">
        <v>13.5</v>
      </c>
      <c r="EN179" s="22">
        <v>45111</v>
      </c>
      <c r="EO179" s="222">
        <f t="shared" si="616"/>
        <v>8.1428571428571423</v>
      </c>
      <c r="EP179" s="214" t="str">
        <f t="shared" si="617"/>
        <v>NORMAL- SUMINISTRAR SULFATO FERROSO</v>
      </c>
      <c r="EQ179" s="216" t="str">
        <f t="shared" si="618"/>
        <v>I TRIM</v>
      </c>
      <c r="ER179" s="24"/>
      <c r="ES179" s="22"/>
      <c r="ET179" s="29" t="str">
        <f t="shared" ca="1" si="676"/>
        <v>PROGRAMAR TOMA HEMOGLOBINA A SEM 28</v>
      </c>
      <c r="EU179" s="25" t="str">
        <f t="shared" si="619"/>
        <v/>
      </c>
      <c r="EV179" s="24" t="s">
        <v>1510</v>
      </c>
      <c r="EW179" s="32">
        <v>45105</v>
      </c>
      <c r="EX179" s="22"/>
      <c r="EY179" s="29">
        <f t="shared" si="691"/>
        <v>7.2857142857142856</v>
      </c>
      <c r="EZ179" s="25" t="str">
        <f t="shared" si="692"/>
        <v>SIN RIESGO DE ISOINMUNIZACIÓN</v>
      </c>
      <c r="FA179" s="21">
        <v>66</v>
      </c>
      <c r="FB179" s="22">
        <v>45111</v>
      </c>
      <c r="FC179" s="29">
        <f t="shared" si="620"/>
        <v>8.1428571428571423</v>
      </c>
      <c r="FD179" s="29"/>
      <c r="FE179" s="29"/>
      <c r="FF179" s="29"/>
      <c r="FG179" s="21" t="str">
        <f t="shared" ca="1" si="621"/>
        <v>TOMAR PTOG</v>
      </c>
      <c r="FH179" s="31"/>
      <c r="FI179" s="29" t="str">
        <f t="shared" si="622"/>
        <v>TOMAR EXAMEN</v>
      </c>
      <c r="FJ179" s="22" t="s">
        <v>867</v>
      </c>
      <c r="FK179" s="22">
        <v>45111</v>
      </c>
      <c r="FL179" s="29">
        <f t="shared" ca="1" si="623"/>
        <v>8.1428571428571423</v>
      </c>
      <c r="FM179" s="22"/>
      <c r="FN179" s="32"/>
      <c r="FO179" s="29" t="str">
        <f t="shared" ca="1" si="677"/>
        <v>TOMA INMEDIATA DE TAMIZAJE</v>
      </c>
      <c r="FP179" s="22"/>
      <c r="FQ179" s="32"/>
      <c r="FR179" s="29" t="str">
        <f t="shared" ca="1" si="678"/>
        <v>EN ESPERA-ESTÁ I TRIM O II TRIM</v>
      </c>
      <c r="FS179" s="22"/>
      <c r="FT179" s="32"/>
      <c r="FU179" s="29" t="str">
        <f>IF(AND(FJ179="",FM179="",FP179="",FS179=""),"",IF(OR(OR(Tabla1[[#This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79" s="28"/>
      <c r="FW179" s="22"/>
      <c r="FX179" s="29" t="str">
        <f t="shared" si="624"/>
        <v>TOMAR EXAMEN</v>
      </c>
      <c r="FY179" s="22" t="s">
        <v>868</v>
      </c>
      <c r="FZ179" s="22">
        <v>45111</v>
      </c>
      <c r="GA179" s="29">
        <f t="shared" ca="1" si="690"/>
        <v>8.1428571428571423</v>
      </c>
      <c r="GB179" s="22"/>
      <c r="GC179" s="22"/>
      <c r="GD179" s="29" t="str">
        <f t="shared" ca="1" si="730"/>
        <v>TOMA INMEDIATA DE TAMIZAJE</v>
      </c>
      <c r="GE179" s="22"/>
      <c r="GF179" s="22"/>
      <c r="GG179" s="29" t="str">
        <f t="shared" ca="1" si="680"/>
        <v>EN ESPERA-ESTÁ I TRIM O II TRIM</v>
      </c>
      <c r="GH179" s="22"/>
      <c r="GI179" s="29"/>
      <c r="GJ179" s="22"/>
      <c r="GK179" s="22"/>
      <c r="GL179" s="22"/>
      <c r="GM179" s="22"/>
      <c r="GN179" s="28" t="s">
        <v>869</v>
      </c>
      <c r="GO179" s="22">
        <v>45111</v>
      </c>
      <c r="GP179" s="29">
        <f t="shared" si="625"/>
        <v>8.1428571428571423</v>
      </c>
      <c r="GQ179" s="28"/>
      <c r="GR179" s="28" t="s">
        <v>869</v>
      </c>
      <c r="GS179" s="22" t="str">
        <f t="shared" si="726"/>
        <v/>
      </c>
      <c r="GT179" s="22">
        <v>45111</v>
      </c>
      <c r="GU179" s="29">
        <f t="shared" si="627"/>
        <v>8.1428571428571423</v>
      </c>
      <c r="GV179" s="21" t="str">
        <f t="shared" si="628"/>
        <v>I TRIM</v>
      </c>
      <c r="GW179" s="28"/>
      <c r="GX179" s="30"/>
      <c r="GY179" s="21"/>
      <c r="GZ179" s="21"/>
      <c r="HA179" s="21"/>
      <c r="HB179" s="21"/>
      <c r="HC179" s="21"/>
      <c r="HD179" s="21"/>
      <c r="HE179" s="21"/>
      <c r="HF179" s="22"/>
      <c r="HG179" s="22" t="str">
        <f>IF(OR(O179&gt;0,R179&gt;0),CONCATENATE(IF(Tabla1[[#This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79" s="22" t="e">
        <f t="shared" si="629"/>
        <v>#REF!</v>
      </c>
      <c r="HI179" s="22" t="e">
        <f t="shared" ca="1" si="630"/>
        <v>#REF!</v>
      </c>
      <c r="HJ179" s="21"/>
      <c r="HK179" s="21" t="str">
        <f t="shared" si="631"/>
        <v>SIN ANTECEDENTES DE RIESGO</v>
      </c>
      <c r="HL179" s="24" t="str">
        <f t="shared" si="632"/>
        <v>APARENTEMENTE NORMAL</v>
      </c>
      <c r="HM179" s="21" t="e">
        <f t="shared" ca="1" si="633"/>
        <v>#REF!</v>
      </c>
      <c r="HN179" s="30" t="str">
        <f t="shared" si="681"/>
        <v>ACTIVA INGRESO A CPN</v>
      </c>
      <c r="HO179" s="21"/>
      <c r="HP179" s="21"/>
      <c r="HQ179" s="349"/>
      <c r="HR179" s="21" t="str">
        <f>IF(R179="","",IF(Tabla1[[#This Row],[ALARMA FACTORES DE RIESGO COMPLICACIONES HIPERTENSIVAS3]]="SIN ANTECEDENTES DE RIESGO","No Aplica para suministro de ASA",IF(AND(Tabla1[[#This Row],[FECHA INICIO DE SUMINISTRO DE ASA]]&gt;0,RV179&lt;12),"Inicia ASA ANTES de Sem 12",IF(AND(RV179&gt;11,RV179&lt;17,OR(HK179="RIESGO ALTO DE COMPLICACIONES HIPERTENSIVAS VER MANEJO GUIA SUMINISTRO ASA Y CALCIO",HK179="RIESGO MODERADO (2 O MAS CRITERIOS) VER MANEJO GUIA SUMINISTRO ASA Y CALCIO")),"Inicio oportuno de ASA",IF(AND(RV179&gt;12,OR(HK179="RIESGO ALTO DE COMPLICACIONES HIPERTENSIVAS VER MANEJO GUIA SUMINISTRO ASA Y CALCIO",HK179="RIESGO MODERADO (2 O MAS CRITERIOS) VER MANEJO GUIA SUMINISTRO ASA Y CALCIO")),"Inicio no oportuno mayor a 16 semanas",IF(AND(BU179&lt;12,OR(HK179="RIESGO ALTO DE COMPLICACIONES HIPERTENSIVAS VER MANEJO GUIA SUMINISTRO ASA Y CALCIO",HK179="RIESGO MODERADO (2 O MAS CRITERIOS) VER MANEJO GUIA SUMINISTRO ASA Y CALCIO")),"Pendiente Inicio de ASA a la semana 12",IF(AND(BU179&gt;11,BU179&lt;17,OR(HK179="RIESGO ALTO DE COMPLICACIONES HIPERTENSIVAS VER MANEJO GUIA SUMINISTRO ASA Y CALCIO",HK179="RIESGO MODERADO (2 O MAS CRITERIOS) VER MANEJO GUIA SUMINISTRO ASA Y CALCIO")),"Iniciar de inmediato ASA",IF(AND(BU179&gt;16,OR(HK179="RIESGO ALTO DE COMPLICACIONES HIPERTENSIVAS VER MANEJO GUIA SUMINISTRO ASA Y CALCIO",HK179="RIESGO MODERADO (2 O MAS CRITERIOS) VER MANEJO GUIA SUMINISTRO ASA Y CALCIO")),"Pierde Oportunidad, Inicio tardío de ASA","XXXXX"))))))))</f>
        <v>No Aplica para suministro de ASA</v>
      </c>
      <c r="HS179" s="22">
        <v>45083</v>
      </c>
      <c r="HT179" s="22" t="s">
        <v>1505</v>
      </c>
      <c r="HU179" s="22">
        <v>45083</v>
      </c>
      <c r="HV179" s="22" t="s">
        <v>1506</v>
      </c>
      <c r="HW179" s="22"/>
      <c r="HX179" s="22"/>
      <c r="HY179" s="22"/>
      <c r="HZ179" s="28" t="str">
        <f t="shared" si="634"/>
        <v>PENDIENTE CONSULTA</v>
      </c>
      <c r="IA179" s="26"/>
      <c r="IB179" s="26"/>
      <c r="IC179" s="111"/>
      <c r="ID179" s="22"/>
      <c r="IE179" s="22" t="str">
        <f t="shared" ca="1" si="635"/>
        <v>PROGRAMAR APLICACION DE VACUNA</v>
      </c>
      <c r="IF179" s="22"/>
      <c r="IG179" s="22">
        <f t="shared" si="636"/>
        <v>45334</v>
      </c>
      <c r="IH179" s="29">
        <f t="shared" ca="1" si="637"/>
        <v>101</v>
      </c>
      <c r="II179" s="22" t="str">
        <f t="shared" ca="1" si="638"/>
        <v>PENDIENTE</v>
      </c>
      <c r="IJ179" s="22"/>
      <c r="IK179" s="21"/>
      <c r="IL179" s="21"/>
      <c r="IM179" s="34"/>
      <c r="IN179" s="22"/>
      <c r="IO179" s="21"/>
      <c r="IP179" s="29" t="str">
        <f t="shared" si="728"/>
        <v/>
      </c>
      <c r="IQ179" s="35"/>
      <c r="IR179" s="21"/>
      <c r="IS179" s="21"/>
      <c r="IT179" s="21"/>
      <c r="IU179" s="21"/>
      <c r="IV179" s="21"/>
      <c r="IW179" s="21"/>
      <c r="IX179" s="21"/>
      <c r="IY179" s="21"/>
      <c r="IZ179" s="21"/>
      <c r="JA179" s="21"/>
      <c r="JB179" s="30"/>
      <c r="JC179" s="21"/>
      <c r="JD179" s="36"/>
      <c r="JE179" s="21" t="str">
        <f t="shared" si="731"/>
        <v/>
      </c>
      <c r="JF179" s="30"/>
      <c r="JG179" s="21"/>
      <c r="JH179" s="21"/>
      <c r="JI179" s="21"/>
      <c r="JJ179" s="30"/>
      <c r="JK179" s="22"/>
      <c r="JL179" s="22"/>
      <c r="JM179" s="21"/>
      <c r="JN179" s="36"/>
      <c r="JO179" s="21" t="str">
        <f t="shared" si="732"/>
        <v/>
      </c>
      <c r="JP179" s="22"/>
      <c r="JQ179" s="21"/>
      <c r="JR179" s="21"/>
      <c r="JS179" s="21"/>
      <c r="JT179" s="30"/>
      <c r="JU179" s="22"/>
      <c r="JV179" s="22"/>
      <c r="JW179" s="33"/>
      <c r="JX179" s="28" t="str">
        <f t="shared" si="733"/>
        <v/>
      </c>
      <c r="JY179" s="33"/>
      <c r="JZ179" s="28" t="str">
        <f t="shared" si="734"/>
        <v/>
      </c>
      <c r="KA179" s="21"/>
      <c r="KB179" s="21"/>
      <c r="KC179" s="21"/>
      <c r="KD179" s="37"/>
      <c r="KE179" s="28"/>
      <c r="KF179" s="28"/>
      <c r="KG179" s="28"/>
      <c r="KH179" s="39"/>
      <c r="KI179" s="39"/>
      <c r="KJ179" s="66"/>
      <c r="KK179" s="39"/>
      <c r="KL179" s="39"/>
      <c r="KM179" s="66"/>
      <c r="KN179" s="39"/>
      <c r="KO179" s="39"/>
      <c r="KP179" s="39"/>
      <c r="KQ179" s="39"/>
      <c r="KR179" s="39"/>
      <c r="KS179" s="39"/>
      <c r="KT179" s="39"/>
      <c r="KU179" s="38"/>
      <c r="KV179" s="38"/>
      <c r="KW179" s="38"/>
      <c r="KX179" s="38"/>
      <c r="KY179" s="38"/>
      <c r="KZ179" s="38"/>
      <c r="LA179" s="38"/>
      <c r="LB179" s="38"/>
      <c r="LC179" s="38"/>
      <c r="LD179" s="38"/>
      <c r="LE179" s="38"/>
      <c r="LF179" s="38"/>
      <c r="LG179" s="38"/>
      <c r="LH179" s="38"/>
      <c r="LI179" s="38"/>
      <c r="LJ179" s="38"/>
      <c r="LK179" s="38"/>
      <c r="LL179" s="38"/>
      <c r="LM179" s="38"/>
      <c r="LN179" s="38"/>
      <c r="LO179" s="38"/>
      <c r="LP179" s="38"/>
      <c r="LQ179" s="38"/>
      <c r="LR179" s="38"/>
      <c r="LS179" s="38"/>
      <c r="LT179" s="38"/>
      <c r="LU179" s="38"/>
      <c r="LV179" s="38"/>
      <c r="LW179" s="38"/>
      <c r="LX179" s="38"/>
      <c r="LY179" s="38"/>
      <c r="LZ179" s="38"/>
      <c r="MA179" s="38"/>
      <c r="MB179" s="38"/>
      <c r="MC179" s="38"/>
      <c r="MD179" s="38"/>
      <c r="ME179" s="38"/>
      <c r="MF179" s="38"/>
      <c r="MG179" s="38"/>
      <c r="MH179" s="43">
        <f t="shared" si="695"/>
        <v>0</v>
      </c>
      <c r="MI179" s="43" t="str">
        <f t="shared" si="696"/>
        <v/>
      </c>
      <c r="MJ179" s="43" t="str">
        <f t="shared" si="697"/>
        <v/>
      </c>
      <c r="MK179" s="43">
        <f t="shared" si="698"/>
        <v>0</v>
      </c>
      <c r="ML17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79" s="43">
        <f t="shared" si="699"/>
        <v>4.1428571428571432</v>
      </c>
      <c r="MN179" s="43">
        <f t="shared" si="700"/>
        <v>6</v>
      </c>
      <c r="MO179" s="43">
        <f t="shared" si="701"/>
        <v>2023</v>
      </c>
      <c r="MP179" s="43" t="str">
        <f t="shared" si="702"/>
        <v>II TRIMESTRE AÑO</v>
      </c>
      <c r="MQ179" s="43">
        <f t="shared" si="703"/>
        <v>19.062089356110381</v>
      </c>
      <c r="MR179" s="43">
        <f t="shared" si="704"/>
        <v>0</v>
      </c>
      <c r="MS179" s="43" t="str">
        <f t="shared" si="705"/>
        <v>DE 14 A 19AÑOS</v>
      </c>
      <c r="MT179" s="43">
        <f t="shared" si="706"/>
        <v>0</v>
      </c>
      <c r="MU179" s="43">
        <f t="shared" si="707"/>
        <v>1</v>
      </c>
      <c r="MV179" s="43">
        <f t="shared" si="708"/>
        <v>0</v>
      </c>
      <c r="MW179" s="43">
        <f t="shared" si="709"/>
        <v>0</v>
      </c>
      <c r="MX179" s="43" t="str">
        <f t="shared" si="710"/>
        <v/>
      </c>
      <c r="MY179" s="43" t="str">
        <f t="shared" ca="1" si="735"/>
        <v/>
      </c>
      <c r="MZ179" s="43" t="str">
        <f t="shared" si="711"/>
        <v/>
      </c>
      <c r="NA179" s="43" t="str">
        <f t="shared" si="712"/>
        <v/>
      </c>
      <c r="NB179" s="43" t="str">
        <f t="shared" si="713"/>
        <v/>
      </c>
      <c r="NC179" s="43" t="str">
        <f t="shared" si="714"/>
        <v/>
      </c>
      <c r="ND179" s="43">
        <f t="shared" ca="1" si="715"/>
        <v>1</v>
      </c>
      <c r="NE179" s="43">
        <f>IF(OR(O179&gt;0,R179&gt;0),SUM(COUNTIF(Tabla1[[#This Row],[AÑOS AL INICIO5 CPN]],"&gt;=40"),COUNTIF(AS179,"0"),COUNTIF(AR179,"SI"),COUNTIF(CC179,"SI"),COUNTIF(BQ179,"&gt;119"),COUNTIF(CI179,"&gt;=35")),"")</f>
        <v>1</v>
      </c>
      <c r="NF179" s="43" t="str">
        <f t="shared" si="716"/>
        <v/>
      </c>
      <c r="NG179" s="43">
        <f t="shared" si="717"/>
        <v>0</v>
      </c>
      <c r="NH179" s="43">
        <f t="shared" si="718"/>
        <v>70</v>
      </c>
      <c r="NI17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CPN",P179="NO"),"Z",IF(AND(Tabla1[[#This Row],[CITA PROXIMO CONTROL]]="CITA MANUAL",Tabla1[[#This Row],[GESTANTES ACTUALES]]="ACTIVA INGRESO A CPN"),"W",IF(AND(Tabla1[[#This Row],[GESTANTES ACTUALES]]="SALIO PROGRAMA",IN179=""),"S",IF(AND(Tabla1[[#This Row],[CITA PROXIMO CONTROL]]&gt;0,IN179=""),(Tabla1[[#This Row],[CITA PROXIMO CONTROL]]-TODAY()),"SD"))))))))</f>
        <v>#REF!</v>
      </c>
      <c r="NJ179" s="43">
        <f>MONTH(Tabla1[[#This Row],[FECHA DE SALIDA  DEL PROGRAMA]])</f>
        <v>1</v>
      </c>
      <c r="NK179" s="43">
        <f>YEAR(Tabla1[[#This Row],[FECHA DE SALIDA  DEL PROGRAMA]])</f>
        <v>1900</v>
      </c>
      <c r="NL179" s="43">
        <f t="shared" si="719"/>
        <v>23</v>
      </c>
      <c r="NM179" s="43" t="str">
        <f t="shared" si="693"/>
        <v>NO</v>
      </c>
      <c r="NN179" s="43" t="str">
        <f ca="1">IF(AND(O179&gt;0,R179=""),"NO CPN",IF(AND(O179="",R179=""),"",IF(AND(R179&gt;0,Tabla1[[#This Row],[SEMANAS DE GESTACION ACTUALIZADAS]]&lt;=12),"NO APLICA",IF(AND(FH179&lt;&gt;"",FN179&lt;&gt;""),"SI","NO"))))</f>
        <v>NO</v>
      </c>
      <c r="NO179" s="43" t="str">
        <f ca="1">IF(AND(O179&gt;0,R179=""),"NO CPN",IF(AND(O179="",R179=""),"",IF(AND(R179&gt;0,Tabla1[[#This Row],[SEMANAS DE GESTACION ACTUALIZADAS]]&lt;=27),"NO APLICA",IF(AND(ES179&lt;&gt;"",FQ179&lt;&gt;"",GF179&lt;&gt;""),"SI","NO"))))</f>
        <v>NO APLICA</v>
      </c>
      <c r="NP179" s="204" t="str">
        <f t="shared" si="720"/>
        <v>I TRIM</v>
      </c>
      <c r="NQ179" s="21" t="str">
        <f t="shared" si="729"/>
        <v/>
      </c>
      <c r="NR179" s="21">
        <f t="shared" ca="1" si="736"/>
        <v>2</v>
      </c>
      <c r="NS179" s="205">
        <f t="shared" ca="1" si="721"/>
        <v>1</v>
      </c>
      <c r="NT179" s="21">
        <f t="shared" ca="1" si="722"/>
        <v>1</v>
      </c>
      <c r="NU179" s="21" t="str">
        <f t="shared" ca="1" si="723"/>
        <v>INCOMPLETO</v>
      </c>
      <c r="NV179" s="21" t="str">
        <f t="shared" ca="1" si="724"/>
        <v>INCOMPLETO</v>
      </c>
      <c r="NW179" s="206" t="str">
        <f>IF(AND(O179="",R179=""),"",IF(OR(AND(Tabla1[[#This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79" s="207" t="str">
        <f t="shared" ca="1" si="725"/>
        <v>SIN VACUNAR</v>
      </c>
      <c r="NY179" s="43">
        <f>ROW(Tabla1[[#This Row],['# DE TAMIZAJES SIFILIS TOMADOS ]])</f>
        <v>179</v>
      </c>
      <c r="NZ179" s="43" t="str">
        <f t="shared" si="501"/>
        <v>Menor</v>
      </c>
      <c r="OA179" s="43" t="str">
        <f t="shared" si="502"/>
        <v>SOBREPESO</v>
      </c>
      <c r="OB179" s="43" t="str">
        <f t="shared" si="503"/>
        <v/>
      </c>
      <c r="OC179" s="43" t="str">
        <f t="shared" si="504"/>
        <v/>
      </c>
      <c r="OD179" s="43" t="str">
        <f t="shared" si="505"/>
        <v/>
      </c>
      <c r="OE179" s="43" t="str">
        <f t="shared" si="506"/>
        <v/>
      </c>
      <c r="OF179" s="43" t="str">
        <f t="shared" si="507"/>
        <v/>
      </c>
      <c r="OG179" s="43" t="str">
        <f t="shared" si="508"/>
        <v/>
      </c>
      <c r="OH179" s="43" t="str">
        <f t="shared" si="509"/>
        <v/>
      </c>
      <c r="OI179" s="43" t="str">
        <f t="shared" si="510"/>
        <v/>
      </c>
      <c r="OJ179" s="43" t="str">
        <f t="shared" si="511"/>
        <v/>
      </c>
      <c r="OK179" s="43" t="str">
        <f t="shared" si="512"/>
        <v/>
      </c>
      <c r="OL179" s="43" t="str">
        <f t="shared" si="513"/>
        <v/>
      </c>
      <c r="OM179" s="43" t="str">
        <f t="shared" si="514"/>
        <v/>
      </c>
      <c r="ON179" s="43" t="str">
        <f t="shared" si="515"/>
        <v/>
      </c>
      <c r="OO179" s="43" t="str">
        <f t="shared" si="516"/>
        <v/>
      </c>
      <c r="OP179" s="43" t="str">
        <f t="shared" si="517"/>
        <v/>
      </c>
      <c r="OQ179" s="43" t="str">
        <f t="shared" si="518"/>
        <v/>
      </c>
      <c r="OR179" s="43" t="str">
        <f t="shared" si="519"/>
        <v/>
      </c>
      <c r="OS179" s="43" t="str">
        <f t="shared" si="520"/>
        <v/>
      </c>
      <c r="OT179" s="43" t="str">
        <f t="shared" si="521"/>
        <v/>
      </c>
      <c r="OU179" s="43" t="str">
        <f t="shared" si="522"/>
        <v/>
      </c>
      <c r="OV179" s="110" t="str">
        <f t="shared" si="523"/>
        <v/>
      </c>
      <c r="OW179" s="43" t="str">
        <f t="shared" si="524"/>
        <v/>
      </c>
      <c r="OX179" s="43" t="str">
        <f t="shared" si="525"/>
        <v/>
      </c>
      <c r="OY179" s="43" t="str">
        <f t="shared" si="526"/>
        <v/>
      </c>
      <c r="OZ179" s="43" t="str">
        <f t="shared" si="527"/>
        <v/>
      </c>
      <c r="PA179" s="43" t="str">
        <f t="shared" si="528"/>
        <v/>
      </c>
      <c r="PB179" s="43" t="str">
        <f t="shared" si="529"/>
        <v/>
      </c>
      <c r="PC179" s="43" t="str">
        <f t="shared" si="530"/>
        <v/>
      </c>
      <c r="PD179" s="43" t="str">
        <f t="shared" si="531"/>
        <v/>
      </c>
      <c r="PE179" s="43" t="str">
        <f t="shared" si="532"/>
        <v/>
      </c>
      <c r="PF179" s="43" t="str">
        <f t="shared" si="533"/>
        <v/>
      </c>
      <c r="PG179" s="43" t="str">
        <f t="shared" si="534"/>
        <v/>
      </c>
      <c r="PH179" s="43" t="str">
        <f t="shared" si="535"/>
        <v/>
      </c>
      <c r="PI179" s="43">
        <f t="shared" si="536"/>
        <v>13</v>
      </c>
      <c r="PJ179" s="43" t="str">
        <f t="shared" si="537"/>
        <v/>
      </c>
      <c r="PK179" s="43" t="str">
        <f t="shared" si="538"/>
        <v/>
      </c>
      <c r="PL179" s="43" t="str">
        <f t="shared" si="539"/>
        <v/>
      </c>
      <c r="PM179" s="43" t="str">
        <f t="shared" si="540"/>
        <v/>
      </c>
      <c r="PN179" s="43" t="str">
        <f t="shared" si="541"/>
        <v>SOBREPESO</v>
      </c>
      <c r="PO179" s="43" t="str">
        <f t="shared" si="542"/>
        <v/>
      </c>
      <c r="PP179" s="43" t="str">
        <f t="shared" si="543"/>
        <v/>
      </c>
      <c r="PQ179" s="43" t="str">
        <f t="shared" si="544"/>
        <v/>
      </c>
      <c r="PR179" s="43" t="str">
        <f t="shared" si="545"/>
        <v/>
      </c>
      <c r="PS179" s="43" t="str">
        <f t="shared" si="546"/>
        <v/>
      </c>
      <c r="PT179" s="43" t="str">
        <f t="shared" si="547"/>
        <v/>
      </c>
      <c r="PU179" s="43" t="str">
        <f t="shared" si="548"/>
        <v/>
      </c>
      <c r="PV179" s="43" t="str">
        <f t="shared" si="549"/>
        <v/>
      </c>
      <c r="PW179" s="43" t="str">
        <f t="shared" si="550"/>
        <v/>
      </c>
      <c r="PX179" s="43" t="str">
        <f t="shared" si="551"/>
        <v/>
      </c>
      <c r="PY179" s="43" t="str">
        <f t="shared" si="552"/>
        <v/>
      </c>
      <c r="PZ179" s="43" t="str">
        <f t="shared" si="553"/>
        <v/>
      </c>
      <c r="QA179" s="43" t="str">
        <f t="shared" si="554"/>
        <v/>
      </c>
      <c r="QB179" s="43" t="str">
        <f t="shared" si="555"/>
        <v/>
      </c>
      <c r="QC179" s="43" t="str">
        <f t="shared" si="556"/>
        <v/>
      </c>
      <c r="QD179" s="43" t="str">
        <f t="shared" si="557"/>
        <v/>
      </c>
      <c r="QE179" s="43" t="str">
        <f t="shared" si="558"/>
        <v/>
      </c>
      <c r="QF179" s="43" t="str">
        <f t="shared" si="559"/>
        <v/>
      </c>
      <c r="QG179" s="43" t="str">
        <f t="shared" si="560"/>
        <v/>
      </c>
      <c r="QH179" s="43" t="str">
        <f t="shared" si="561"/>
        <v/>
      </c>
      <c r="QI179" s="43" t="str">
        <f t="shared" si="562"/>
        <v/>
      </c>
      <c r="QJ179" s="43" t="str">
        <f t="shared" si="563"/>
        <v/>
      </c>
      <c r="QK179" s="43" t="str">
        <f t="shared" si="564"/>
        <v/>
      </c>
      <c r="QL179" s="43" t="str">
        <f t="shared" si="565"/>
        <v/>
      </c>
      <c r="QM179" s="43" t="str">
        <f t="shared" si="566"/>
        <v/>
      </c>
      <c r="QN179" s="43" t="str">
        <f t="shared" si="567"/>
        <v/>
      </c>
      <c r="QO179" s="43" t="str">
        <f t="shared" si="568"/>
        <v/>
      </c>
      <c r="QP179" s="43" t="str">
        <f t="shared" si="569"/>
        <v/>
      </c>
      <c r="QQ179" s="43" t="str">
        <f t="shared" si="570"/>
        <v/>
      </c>
      <c r="QR179" s="43">
        <f t="shared" si="670"/>
        <v>13</v>
      </c>
      <c r="QS179" s="43"/>
      <c r="QT179" s="21" t="str">
        <f t="shared" si="571"/>
        <v/>
      </c>
      <c r="QU179" s="21" t="str">
        <f t="shared" si="572"/>
        <v/>
      </c>
      <c r="QV179" s="21" t="str">
        <f t="shared" si="573"/>
        <v/>
      </c>
      <c r="QW179" s="21" t="str">
        <f t="shared" si="574"/>
        <v/>
      </c>
      <c r="QX179" s="21" t="str">
        <f t="shared" si="575"/>
        <v/>
      </c>
      <c r="QY179" s="21" t="str">
        <f t="shared" si="576"/>
        <v/>
      </c>
      <c r="QZ179" s="21" t="str">
        <f t="shared" si="577"/>
        <v/>
      </c>
      <c r="RA179" s="21" t="str">
        <f t="shared" si="578"/>
        <v/>
      </c>
      <c r="RB179" s="21" t="str">
        <f t="shared" si="579"/>
        <v/>
      </c>
      <c r="RC179" s="21" t="str">
        <f t="shared" si="580"/>
        <v/>
      </c>
      <c r="RD179" s="21" t="str">
        <f t="shared" si="581"/>
        <v/>
      </c>
      <c r="RE179" s="21" t="str">
        <f t="shared" si="582"/>
        <v/>
      </c>
      <c r="RF179" s="21" t="str">
        <f t="shared" si="583"/>
        <v/>
      </c>
      <c r="RG179" s="21" t="str">
        <f t="shared" si="584"/>
        <v/>
      </c>
      <c r="RH179" s="21" t="str">
        <f t="shared" si="585"/>
        <v/>
      </c>
      <c r="RI179" s="21" t="str">
        <f t="shared" si="586"/>
        <v/>
      </c>
      <c r="RJ179" s="21" t="str">
        <f t="shared" si="587"/>
        <v/>
      </c>
      <c r="RK179" s="21" t="str">
        <f t="shared" si="588"/>
        <v/>
      </c>
      <c r="RL179" s="21" t="str">
        <f t="shared" si="589"/>
        <v/>
      </c>
      <c r="RM179" s="21" t="str">
        <f t="shared" si="590"/>
        <v/>
      </c>
      <c r="RN179" s="21" t="str">
        <f t="shared" si="591"/>
        <v/>
      </c>
      <c r="RO179" s="21" t="str">
        <f t="shared" si="592"/>
        <v/>
      </c>
      <c r="RP179" s="21" t="str">
        <f t="shared" si="593"/>
        <v/>
      </c>
      <c r="RQ179" s="21" t="str">
        <f t="shared" si="594"/>
        <v/>
      </c>
      <c r="RR179" s="21" t="str">
        <f t="shared" si="595"/>
        <v/>
      </c>
      <c r="RS179" s="21" t="str">
        <f t="shared" si="596"/>
        <v/>
      </c>
      <c r="RT179" s="21" t="str">
        <f t="shared" si="597"/>
        <v/>
      </c>
      <c r="RU179" s="21" t="str">
        <f t="shared" si="598"/>
        <v/>
      </c>
      <c r="RV179" s="21">
        <f t="shared" si="599"/>
        <v>-1</v>
      </c>
      <c r="RW179" s="284">
        <f>IF(OR(Tabla1[[#This Row],[FUM FORMULA CONFIABLE]]="",Tabla1[[#This Row],[FUM FORMULA CONFIABLE]]="SD"),"",IF(Tabla1[[#This Row],[FUM FORMULA CONFIABLE]]="CORREGIDA",Tabla1[[#This Row],[FUM X ECO 1]],Tabla1[[#This Row],[FUM x AMENORREA]]))</f>
        <v>45054</v>
      </c>
      <c r="RX179" s="21">
        <f>IF(AND(Tabla1[[#This Row],[FUM X ECO 1]]="",Tabla1[[#This Row],[FUM x AMENORREA]]=""),"",IF(AND(Tabla1[[#This Row],[FUM X ECO 1]]="",Tabla1[[#This Row],[FUM x AMENORREA]]&lt;&gt;""),"X",SUM(Tabla1[[#This Row],[FUM X ECO 1]]-Tabla1[[#This Row],[FUM x AMENORREA]])))</f>
        <v>-3</v>
      </c>
      <c r="RY179" s="21">
        <f t="shared" si="671"/>
        <v>0</v>
      </c>
    </row>
    <row r="180" spans="1:493" ht="45" customHeight="1" x14ac:dyDescent="0.25">
      <c r="A180" s="109"/>
      <c r="B180" s="43"/>
      <c r="C180" s="43" t="s">
        <v>845</v>
      </c>
      <c r="D180" s="124"/>
      <c r="E180" s="43" t="s">
        <v>1507</v>
      </c>
      <c r="F180" s="43" t="s">
        <v>1365</v>
      </c>
      <c r="G180" s="43" t="s">
        <v>1508</v>
      </c>
      <c r="H180" s="43"/>
      <c r="I180" s="109" t="s">
        <v>851</v>
      </c>
      <c r="J180" s="110">
        <v>1059600322</v>
      </c>
      <c r="K180" s="43" t="s">
        <v>852</v>
      </c>
      <c r="L180" s="175" t="s">
        <v>1509</v>
      </c>
      <c r="M180" s="22">
        <v>37744</v>
      </c>
      <c r="N180" s="213">
        <f t="shared" ca="1" si="600"/>
        <v>20.517808219178082</v>
      </c>
      <c r="O180" s="22">
        <v>45084</v>
      </c>
      <c r="P180" s="214" t="str">
        <f t="shared" si="673"/>
        <v>SI</v>
      </c>
      <c r="Q180" s="26" t="s">
        <v>855</v>
      </c>
      <c r="R180" s="22">
        <v>45084</v>
      </c>
      <c r="S180" s="21" t="s">
        <v>856</v>
      </c>
      <c r="T180" s="24" t="s">
        <v>690</v>
      </c>
      <c r="U180" s="21" t="s">
        <v>857</v>
      </c>
      <c r="V180" s="21" t="s">
        <v>858</v>
      </c>
      <c r="W180" s="21" t="s">
        <v>1062</v>
      </c>
      <c r="X180" s="21"/>
      <c r="Y180" s="21"/>
      <c r="Z180" s="21" t="s">
        <v>894</v>
      </c>
      <c r="AA180" s="21" t="s">
        <v>860</v>
      </c>
      <c r="AB180" s="27" t="s">
        <v>861</v>
      </c>
      <c r="AC180" s="26" t="s">
        <v>888</v>
      </c>
      <c r="AD180" s="38" t="s">
        <v>1546</v>
      </c>
      <c r="AE180" s="26" t="s">
        <v>854</v>
      </c>
      <c r="AF180" s="26" t="s">
        <v>854</v>
      </c>
      <c r="AG180" s="23" t="s">
        <v>864</v>
      </c>
      <c r="AH180" s="23" t="s">
        <v>864</v>
      </c>
      <c r="AI180" s="24" t="s">
        <v>863</v>
      </c>
      <c r="AJ180" s="23" t="s">
        <v>864</v>
      </c>
      <c r="AK180" s="220" t="str">
        <f>IF(AND(AD180="",AE180="",AF180="",AG180="",AH180="",AI180="",AJ180=""),"",IF(OR(Tabla1[[#This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EVALUACIÓN",IF(AND(O180="",R180=""),"",IF(AND(OR(O180&gt;0,R180&gt;0),NG180&gt;=0,NG180&lt;2),"SIN RIESGO",IF(AND(OR(O180&gt;0,R180&gt;0),NG180&gt;=2),"CON RIESGO","ASD")))))</f>
        <v>SIN RIESGO</v>
      </c>
      <c r="AL180" s="23" t="s">
        <v>864</v>
      </c>
      <c r="AM180" s="26" t="s">
        <v>864</v>
      </c>
      <c r="AN180" s="26" t="s">
        <v>864</v>
      </c>
      <c r="AO180" s="26" t="s">
        <v>864</v>
      </c>
      <c r="AP180" s="26" t="s">
        <v>864</v>
      </c>
      <c r="AQ180" s="26" t="s">
        <v>864</v>
      </c>
      <c r="AR180" s="26" t="s">
        <v>864</v>
      </c>
      <c r="AS180" s="21">
        <v>1</v>
      </c>
      <c r="AT180" s="21">
        <v>1</v>
      </c>
      <c r="AU180" s="21">
        <v>0</v>
      </c>
      <c r="AV180" s="26" t="s">
        <v>864</v>
      </c>
      <c r="AW180" s="21">
        <v>0</v>
      </c>
      <c r="AX180" s="26" t="s">
        <v>864</v>
      </c>
      <c r="AY180" s="26" t="s">
        <v>864</v>
      </c>
      <c r="AZ180" s="26" t="s">
        <v>864</v>
      </c>
      <c r="BA180" s="26" t="s">
        <v>864</v>
      </c>
      <c r="BB180" s="26" t="s">
        <v>864</v>
      </c>
      <c r="BC180" s="26" t="s">
        <v>864</v>
      </c>
      <c r="BD180" s="26" t="s">
        <v>864</v>
      </c>
      <c r="BE180" s="26" t="s">
        <v>864</v>
      </c>
      <c r="BF180" s="26" t="s">
        <v>864</v>
      </c>
      <c r="BG180" s="26" t="s">
        <v>864</v>
      </c>
      <c r="BH180" s="26" t="s">
        <v>864</v>
      </c>
      <c r="BI180" s="26" t="s">
        <v>864</v>
      </c>
      <c r="BJ180" s="26" t="s">
        <v>864</v>
      </c>
      <c r="BK180" s="26" t="s">
        <v>864</v>
      </c>
      <c r="BL180" s="26" t="s">
        <v>864</v>
      </c>
      <c r="BM180" s="26" t="s">
        <v>864</v>
      </c>
      <c r="BN180" s="22"/>
      <c r="BO180" s="22">
        <v>45025</v>
      </c>
      <c r="BP180" s="21" t="s">
        <v>864</v>
      </c>
      <c r="BQ180" s="222">
        <f t="shared" si="601"/>
        <v>0</v>
      </c>
      <c r="BR180" s="223">
        <f t="shared" si="602"/>
        <v>45021.599999999999</v>
      </c>
      <c r="BS180" s="224">
        <f t="shared" si="603"/>
        <v>8.4285714285714288</v>
      </c>
      <c r="BT180" s="216" t="str">
        <f t="shared" si="604"/>
        <v>DEFINIR CON ECO</v>
      </c>
      <c r="BU180" s="214">
        <f t="shared" ca="1" si="605"/>
        <v>29.714285714285715</v>
      </c>
      <c r="BV180" s="25" t="s">
        <v>988</v>
      </c>
      <c r="BW180" s="22">
        <v>45121</v>
      </c>
      <c r="BX180" s="28">
        <v>14.2</v>
      </c>
      <c r="BY180" s="28"/>
      <c r="BZ180" s="22"/>
      <c r="CA180" s="21"/>
      <c r="CB180" s="26" t="s">
        <v>864</v>
      </c>
      <c r="CC180" s="26" t="s">
        <v>864</v>
      </c>
      <c r="CD180" s="26"/>
      <c r="CE180" s="26" t="s">
        <v>864</v>
      </c>
      <c r="CF180" s="22" t="s">
        <v>1517</v>
      </c>
      <c r="CG180" s="21">
        <v>1.43</v>
      </c>
      <c r="CH180" s="21">
        <v>43</v>
      </c>
      <c r="CI180" s="214">
        <f t="shared" si="606"/>
        <v>21.027923125825225</v>
      </c>
      <c r="CJ180" s="225" t="str">
        <f>IF(AND(CI180&lt;10,CH180="SD"),"SIN DATO PESO PREGESTACION O I TRIM",IF(AND(OR(R180&gt;0,O180&gt;0),CI180="X"),"INGRESAR DATO DE PESO",IF(CI180="SD","INGRESAR DATO DE TALLA Y PESO",IF(AND(OR(Tabla1[[#This Row],[MOMENTO EN QUE SE REALIZA EL PESO AL INGRESO A CPN]]="PREGESTACIÓN",NZ180="Menor"),CI180&lt;18.5),"BAJO PESO",IF(AND(OR(Tabla1[[#This Row],[MOMENTO EN QUE SE REALIZA EL PESO AL INGRESO A CPN]]="PREGESTACIÓN",NZ180="Menor"),CI180&lt;25),"NORMAL",IF(AND(OR(Tabla1[[#This Row],[MOMENTO EN QUE SE REALIZA EL PESO AL INGRESO A CPN]]="PREGESTACIÓN",NZ180="Menor"),CI180&lt;30),"SOBREPESO",IF(AND(OR(Tabla1[[#This Row],[MOMENTO EN QUE SE REALIZA EL PESO AL INGRESO A CPN]]="PREGESTACIÓN",NZ180="Menor"),CI180&gt;=30,CI180&lt;50),"OBESIDAD",IF(AND(BS180&gt;0,Tabla1[[#This Row],[MOMENTO EN QUE SE REALIZA EL PESO AL INGRESO A CPN]]="GESTACIÓN"),HLOOKUP(NZ180,$OA$2:PH180,NY180),""))))))))</f>
        <v>NORMAL</v>
      </c>
      <c r="CK180" s="212">
        <f t="shared" si="607"/>
        <v>45147</v>
      </c>
      <c r="CL180" s="21">
        <v>43</v>
      </c>
      <c r="CM180" s="214">
        <f t="shared" si="608"/>
        <v>21.027923125825225</v>
      </c>
      <c r="CN180" s="216">
        <f t="shared" si="609"/>
        <v>17</v>
      </c>
      <c r="CO180" s="216" t="e">
        <f>IF(PI180="","",IF(PI180&gt;0,HLOOKUP(PI180,$PJ$2:QQ180,NY180),""))</f>
        <v>#REF!</v>
      </c>
      <c r="CP180" s="21">
        <v>13.5</v>
      </c>
      <c r="CQ180" s="216" t="e">
        <f>IF(QR180="Menor","NO APLICA-MENOR 13 SEM",IF(AND(CC180="SI",CN180&gt;23),"NO APLICA- GEMELAR",IF(QR180="","",IF(QR180&gt;0,HLOOKUP(QR180,$QS$2:RU180,NY180),""))))</f>
        <v>#REF!</v>
      </c>
      <c r="CR180" s="21">
        <v>90</v>
      </c>
      <c r="CS180" s="21">
        <v>70</v>
      </c>
      <c r="CT180" s="217" t="str">
        <f>IF(R180="","",IF(AND(BS180&gt;1,BS180&lt;12,Tabla1[[#This Row],[T.A. SISTOLICA - ANTES DE SEMANA 12]]="",Tabla1[[#This Row],[T.A. DIASTOLICA - ANTES DE SEMANA 12]]=""),"REGISTRE DATO TA ANTES SEMANA 12",IF(AND(BS180&gt;11,BS180&lt;43,Tabla1[[#This Row],[T.A. SISTOLICA - ANTES DE SEMANA 12]]="",Tabla1[[#This Row],[T.A. DIASTOLICA - ANTES DE SEMANA 12]]=""),"NO APLICA REGISTRO TA-INGRESO TARDIO",IF(AND(OR(O180&gt;0,R180&gt;0),OR(CR180&gt;=140,CS180&gt;=90)),"DEFINIR ESTADIO HTA",IF(AND(OR(O180&gt;0,R180&gt;0),AND(CR180&gt;120,CR180&lt;=139)),"PRE HTA SEGUIMIENTO",IF(AND(OR(O180&gt;0,R180&gt;0),AND(CS180&gt;80,CS180&lt;=89)),"PRE HTA SEGUIMIENTO",IF(AND(OR(O180&gt;0,R180&gt;0),AND(CR180&gt;=80,CR180&lt;=120)),"APARENTEMENTE NORMAL",IF(AND(OR(O180&gt;0,R180&gt;0),AND(CS180&gt;=50,CS180&lt;=80)),"APARENTEMENTE NORMAL",IF(AND(OR(O180&gt;0,R180&gt;0),AND(CR180&gt;1,CR180&lt;=70),AND(CS180&gt;1,CS180&lt;=40)),"HIPOTENSIÓN","")))))))))</f>
        <v>APARENTEMENTE NORMAL</v>
      </c>
      <c r="CU180" s="21"/>
      <c r="CV180" s="21"/>
      <c r="CW180" s="217" t="str">
        <f ca="1">IF(R180="","",IF(AND(CN180&gt;19,CN180&lt;27,Tabla1[[#This Row],[T.A. SISTOLICA (Entre semana 20 y 26)]]="",Tabla1[[#This Row],[T.A. DIATOLICA (Entre semana 20 y 26)]]=""),"ACUDE A CONTROL SEM 20 A 26 REGISTRE TA AHORA",IF(AND(BS180&gt;1,BS180&lt;27,BU180&gt;19,Tabla1[[#This Row],[T.A. SISTOLICA (Entre semana 20 y 26)]]="",Tabla1[[#This Row],[T.A. DIATOLICA (Entre semana 20 y 26)]]=""),"COMPLETE REGISTRO TA CONTROL SEM 20 A26 ",IF(AND(BS180&gt;26,BS180&lt;43,Tabla1[[#This Row],[T.A. SISTOLICA (Entre semana 20 y 26)]]="",Tabla1[[#This Row],[T.A. DIATOLICA (Entre semana 20 y 26)]]=""),"NO APLICA REGISTRO TA-INGRESO TARDIO",IF(AND(OR(O180&gt;0,R180&gt;0),OR(CU180&gt;=140,CV180&gt;=90)),"ALTO RIESGO PREECLAMPSIA,DEFINIR ESTADIO HTA",IF(AND(OR(O180&gt;0,R180&gt;0),AND(CU180&gt;120,CU180&lt;=139)),"PRE HTA SEGUIMIENTO,RIESGO HIPERTENSION INDUCIDA POR EL EMBARAZO",IF(AND(OR(O180&gt;0,R180&gt;0),AND(CV180&gt;80,CV180&lt;=89)),"PRE HTA SEGUIMIENTO, RIESGO HIPERTENSION INDUCIDA POR EL EMBARAZO",IF(AND(OR(O180&lt;&gt;"",R180&lt;&gt;""),CS180&lt;&gt;"",CV180&lt;&gt;"",CS180&lt;=CV180),"VIGILAR CIFRAS PRESION ARTERIAL",IF(AND(OR(O180&gt;0,R180&gt;0),AND(CU180&gt;120,CU180&lt;=139)),"PRE HTA SEGUIMIENTO",IF(AND(OR(O180&gt;0,R180&gt;0),AND(CU180&gt;1,CU180&lt;=70),AND(CV180&gt;1,CV180&lt;=40)),"HIPOTENSIÓN",IF(AND(OR(O180&lt;&gt;"",R180&lt;&gt;""),CS180&lt;&gt;"",CV180&lt;&gt;"",CS180&gt;CV180),"APARENTEMENTE NORMAL",IF(AND(OR(O180&gt;0,R180&gt;0),AND(CU180&gt;=80,CU180&lt;=120)),"APARENTEMENTE NORMAL",IF(AND(OR(O180&gt;0,R180&gt;0),AND(CV180&gt;=50,CV180&lt;=80)),"APARENTEMENTE NORMAL","")))))))))))))</f>
        <v xml:space="preserve">COMPLETE REGISTRO TA CONTROL SEM 20 A26 </v>
      </c>
      <c r="CX180" s="21"/>
      <c r="CY180" s="21"/>
      <c r="CZ180" s="216" t="str">
        <f t="shared" si="727"/>
        <v/>
      </c>
      <c r="DA180" s="21">
        <v>90</v>
      </c>
      <c r="DB180" s="21">
        <v>60</v>
      </c>
      <c r="DC180" s="217" t="str">
        <f t="shared" si="610"/>
        <v>APARENTEMENTE NORMAL</v>
      </c>
      <c r="DD180" s="22">
        <v>45084</v>
      </c>
      <c r="DE180" s="22">
        <v>45084</v>
      </c>
      <c r="DF180" s="22">
        <v>45121</v>
      </c>
      <c r="DG180" s="22">
        <v>45147</v>
      </c>
      <c r="DH180" s="22"/>
      <c r="DI180" s="22"/>
      <c r="DJ180" s="22"/>
      <c r="DK180" s="22"/>
      <c r="DL180" s="22"/>
      <c r="DM180" s="22"/>
      <c r="DN180" s="22"/>
      <c r="DO180" s="22"/>
      <c r="DP180" s="22"/>
      <c r="DQ180" s="22"/>
      <c r="DR180" s="28">
        <v>0</v>
      </c>
      <c r="DS180" s="22"/>
      <c r="DT180" s="22"/>
      <c r="DU180" s="216" t="str">
        <f t="shared" ca="1" si="674"/>
        <v>PLANEAR PLAN DE PARTO</v>
      </c>
      <c r="DV180" s="226" t="str">
        <f t="shared" si="675"/>
        <v>ACTIVA INGRESO A CPN</v>
      </c>
      <c r="DW18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0" s="216" t="e">
        <f t="shared" ca="1" si="611"/>
        <v>#REF!</v>
      </c>
      <c r="DY180" s="212">
        <f>IF(R180="","",IF(R180&gt;0,MAX(Tabla1[[#This Row],[FECHA C2]:[FECHA C13]],Tabla1[[#This Row],[FECHA CONSULTA PRIMERA VEZ PROGRAMA CPN ]])))</f>
        <v>45147</v>
      </c>
      <c r="DZ180" s="216">
        <f t="shared" si="612"/>
        <v>17</v>
      </c>
      <c r="EA180" s="222">
        <f>IF(R180&gt;0,SUM(COUNTA(DF180:DQ180)+COUNTA(Tabla1[[#This Row],[FECHA CONSULTA PRIMERA VEZ PROGRAMA CPN ]])),"")</f>
        <v>3</v>
      </c>
      <c r="EB180" s="222" t="str">
        <f t="shared" si="613"/>
        <v>NO</v>
      </c>
      <c r="EC180" s="214">
        <f t="shared" si="614"/>
        <v>9</v>
      </c>
      <c r="ED180" s="227">
        <f t="shared" si="615"/>
        <v>0.33333333333333331</v>
      </c>
      <c r="EE180" s="22">
        <v>45084</v>
      </c>
      <c r="EF180" s="22">
        <v>45084</v>
      </c>
      <c r="EG180" s="22">
        <v>45084</v>
      </c>
      <c r="EH180" s="22"/>
      <c r="EI180" s="22">
        <v>45084</v>
      </c>
      <c r="EJ180" s="22"/>
      <c r="EK180" s="22"/>
      <c r="EL180" s="21"/>
      <c r="EM180" s="21">
        <v>13.4</v>
      </c>
      <c r="EN180" s="22">
        <v>45087</v>
      </c>
      <c r="EO180" s="222">
        <f t="shared" si="616"/>
        <v>8.8571428571428577</v>
      </c>
      <c r="EP180" s="214" t="str">
        <f t="shared" si="617"/>
        <v>NORMAL- SUMINISTRAR SULFATO FERROSO</v>
      </c>
      <c r="EQ180" s="216" t="str">
        <f t="shared" si="618"/>
        <v>I TRIM</v>
      </c>
      <c r="ER180" s="24"/>
      <c r="ES180" s="22"/>
      <c r="ET180" s="29" t="str">
        <f t="shared" ca="1" si="676"/>
        <v>EN SEMANA 28 TOMA INMEDIATA DE EXAMEN</v>
      </c>
      <c r="EU180" s="25" t="str">
        <f t="shared" si="619"/>
        <v/>
      </c>
      <c r="EV180" s="24" t="s">
        <v>1510</v>
      </c>
      <c r="EW180" s="24">
        <v>45087</v>
      </c>
      <c r="EX180" s="22"/>
      <c r="EY180" s="29">
        <f t="shared" si="691"/>
        <v>8.8571428571428577</v>
      </c>
      <c r="EZ180" s="25" t="str">
        <f t="shared" si="692"/>
        <v>SIN RIESGO DE ISOINMUNIZACIÓN</v>
      </c>
      <c r="FA180" s="21">
        <v>60</v>
      </c>
      <c r="FB180" s="22">
        <v>45087</v>
      </c>
      <c r="FC180" s="29">
        <f t="shared" si="620"/>
        <v>8.8571428571428577</v>
      </c>
      <c r="FD180" s="29"/>
      <c r="FE180" s="29"/>
      <c r="FF180" s="29"/>
      <c r="FG180" s="21" t="str">
        <f t="shared" ca="1" si="621"/>
        <v>TOMAR PTOG</v>
      </c>
      <c r="FH180" s="31"/>
      <c r="FI180" s="29" t="str">
        <f t="shared" si="622"/>
        <v>TOMAR EXAMEN</v>
      </c>
      <c r="FJ180" s="22" t="s">
        <v>867</v>
      </c>
      <c r="FK180" s="22">
        <v>45087</v>
      </c>
      <c r="FL180" s="29">
        <f t="shared" ca="1" si="623"/>
        <v>8.8571428571428577</v>
      </c>
      <c r="FM180" s="22"/>
      <c r="FN180" s="32"/>
      <c r="FO180" s="29" t="str">
        <f t="shared" ca="1" si="677"/>
        <v>PIERDE TOMA DE TAMIZAJE</v>
      </c>
      <c r="FP180" s="22"/>
      <c r="FQ180" s="32"/>
      <c r="FR180" s="29" t="str">
        <f t="shared" ca="1" si="678"/>
        <v>EN RANGO PARA TOMAR EXAMEN</v>
      </c>
      <c r="FS180" s="22"/>
      <c r="FT180" s="32"/>
      <c r="FU180" s="29" t="str">
        <f>IF(AND(FJ180="",FM180="",FP180="",FS180=""),"",IF(OR(OR(Tabla1[[#This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0" s="28"/>
      <c r="FW180" s="22"/>
      <c r="FX180" s="29" t="str">
        <f t="shared" si="624"/>
        <v>TOMAR EXAMEN</v>
      </c>
      <c r="FY180" s="22" t="s">
        <v>868</v>
      </c>
      <c r="FZ180" s="22">
        <v>45087</v>
      </c>
      <c r="GA180" s="29">
        <f t="shared" ca="1" si="690"/>
        <v>8.8571428571428577</v>
      </c>
      <c r="GB180" s="22"/>
      <c r="GC180" s="22"/>
      <c r="GD180" s="29" t="str">
        <f t="shared" ca="1" si="730"/>
        <v>PIERDE TOMA DE TAMIZAJE</v>
      </c>
      <c r="GE180" s="22"/>
      <c r="GF180" s="22"/>
      <c r="GG180" s="29" t="str">
        <f t="shared" ca="1" si="680"/>
        <v>EN RANGO PARA TOMAR EXAMEN</v>
      </c>
      <c r="GH180" s="22"/>
      <c r="GI180" s="29"/>
      <c r="GJ180" s="22"/>
      <c r="GK180" s="22"/>
      <c r="GL180" s="22"/>
      <c r="GM180" s="22"/>
      <c r="GN180" s="28" t="s">
        <v>869</v>
      </c>
      <c r="GO180" s="22">
        <v>45087</v>
      </c>
      <c r="GP180" s="29">
        <f t="shared" si="625"/>
        <v>8.8571428571428577</v>
      </c>
      <c r="GQ180" s="28" t="s">
        <v>869</v>
      </c>
      <c r="GR180" s="28" t="s">
        <v>869</v>
      </c>
      <c r="GS180" s="22" t="str">
        <f t="shared" si="726"/>
        <v>CONTROL Igm</v>
      </c>
      <c r="GT180" s="22">
        <v>45087</v>
      </c>
      <c r="GU180" s="29">
        <f t="shared" si="627"/>
        <v>8.8571428571428577</v>
      </c>
      <c r="GV180" s="21" t="str">
        <f t="shared" si="628"/>
        <v>I TRIM</v>
      </c>
      <c r="GW180" s="28"/>
      <c r="GX180" s="30"/>
      <c r="GY180" s="21"/>
      <c r="GZ180" s="21"/>
      <c r="HA180" s="21"/>
      <c r="HB180" s="21"/>
      <c r="HC180" s="21"/>
      <c r="HD180" s="21"/>
      <c r="HE180" s="21"/>
      <c r="HF180" s="22"/>
      <c r="HG180" s="22" t="str">
        <f>IF(OR(O180&gt;0,R180&gt;0),CONCATENATE(IF(Tabla1[[#This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0" s="22" t="e">
        <f t="shared" si="629"/>
        <v>#REF!</v>
      </c>
      <c r="HI180" s="22" t="e">
        <f t="shared" ca="1" si="630"/>
        <v>#REF!</v>
      </c>
      <c r="HJ180" s="21"/>
      <c r="HK180" s="21" t="str">
        <f t="shared" si="631"/>
        <v>SIN ANTECEDENTES DE RIESGO</v>
      </c>
      <c r="HL180" s="24" t="str">
        <f t="shared" si="632"/>
        <v>APARENTEMENTE NORMAL</v>
      </c>
      <c r="HM180" s="21" t="e">
        <f t="shared" ca="1" si="633"/>
        <v>#REF!</v>
      </c>
      <c r="HN180" s="30" t="str">
        <f t="shared" si="681"/>
        <v>ACTIVA INGRESO A CPN</v>
      </c>
      <c r="HO180" s="21"/>
      <c r="HP180" s="21"/>
      <c r="HQ180" s="349"/>
      <c r="HR180" s="21" t="str">
        <f>IF(R180="","",IF(Tabla1[[#This Row],[ALARMA FACTORES DE RIESGO COMPLICACIONES HIPERTENSIVAS3]]="SIN ANTECEDENTES DE RIESGO","No Aplica para suministro de ASA",IF(AND(Tabla1[[#This Row],[FECHA INICIO DE SUMINISTRO DE ASA]]&gt;0,RV180&lt;12),"Inicia ASA ANTES de Sem 12",IF(AND(RV180&gt;11,RV180&lt;17,OR(HK180="RIESGO ALTO DE COMPLICACIONES HIPERTENSIVAS VER MANEJO GUIA SUMINISTRO ASA Y CALCIO",HK180="RIESGO MODERADO (2 O MAS CRITERIOS) VER MANEJO GUIA SUMINISTRO ASA Y CALCIO")),"Inicio oportuno de ASA",IF(AND(RV180&gt;12,OR(HK180="RIESGO ALTO DE COMPLICACIONES HIPERTENSIVAS VER MANEJO GUIA SUMINISTRO ASA Y CALCIO",HK180="RIESGO MODERADO (2 O MAS CRITERIOS) VER MANEJO GUIA SUMINISTRO ASA Y CALCIO")),"Inicio no oportuno mayor a 16 semanas",IF(AND(BU180&lt;12,OR(HK180="RIESGO ALTO DE COMPLICACIONES HIPERTENSIVAS VER MANEJO GUIA SUMINISTRO ASA Y CALCIO",HK180="RIESGO MODERADO (2 O MAS CRITERIOS) VER MANEJO GUIA SUMINISTRO ASA Y CALCIO")),"Pendiente Inicio de ASA a la semana 12",IF(AND(BU180&gt;11,BU180&lt;17,OR(HK180="RIESGO ALTO DE COMPLICACIONES HIPERTENSIVAS VER MANEJO GUIA SUMINISTRO ASA Y CALCIO",HK180="RIESGO MODERADO (2 O MAS CRITERIOS) VER MANEJO GUIA SUMINISTRO ASA Y CALCIO")),"Iniciar de inmediato ASA",IF(AND(BU180&gt;16,OR(HK180="RIESGO ALTO DE COMPLICACIONES HIPERTENSIVAS VER MANEJO GUIA SUMINISTRO ASA Y CALCIO",HK180="RIESGO MODERADO (2 O MAS CRITERIOS) VER MANEJO GUIA SUMINISTRO ASA Y CALCIO")),"Pierde Oportunidad, Inicio tardío de ASA","XXXXX"))))))))</f>
        <v>No Aplica para suministro de ASA</v>
      </c>
      <c r="HS180" s="22">
        <v>45084</v>
      </c>
      <c r="HT180" s="22" t="s">
        <v>1505</v>
      </c>
      <c r="HU180" s="22">
        <v>45084</v>
      </c>
      <c r="HV180" s="22" t="s">
        <v>1506</v>
      </c>
      <c r="HW180" s="22">
        <v>45084</v>
      </c>
      <c r="HX180" s="22" t="s">
        <v>1511</v>
      </c>
      <c r="HY180" s="22"/>
      <c r="HZ180" s="28" t="str">
        <f t="shared" si="634"/>
        <v>PENDIENTE CONSULTA</v>
      </c>
      <c r="IA180" s="26"/>
      <c r="IB180" s="26"/>
      <c r="IC180" s="111"/>
      <c r="ID180" s="22"/>
      <c r="IE180" s="22" t="str">
        <f t="shared" ca="1" si="635"/>
        <v>INASISTENTE</v>
      </c>
      <c r="IF180" s="22"/>
      <c r="IG180" s="22">
        <f t="shared" si="636"/>
        <v>45305</v>
      </c>
      <c r="IH180" s="29">
        <f t="shared" ca="1" si="637"/>
        <v>72</v>
      </c>
      <c r="II180" s="22" t="str">
        <f t="shared" ca="1" si="638"/>
        <v>PENDIENTE</v>
      </c>
      <c r="IJ180" s="22"/>
      <c r="IK180" s="21"/>
      <c r="IL180" s="21"/>
      <c r="IM180" s="34"/>
      <c r="IN180" s="22"/>
      <c r="IO180" s="21"/>
      <c r="IP180" s="29" t="str">
        <f t="shared" si="728"/>
        <v/>
      </c>
      <c r="IQ180" s="35"/>
      <c r="IR180" s="21"/>
      <c r="IS180" s="21"/>
      <c r="IT180" s="21"/>
      <c r="IU180" s="21"/>
      <c r="IV180" s="21"/>
      <c r="IW180" s="21"/>
      <c r="IX180" s="21"/>
      <c r="IY180" s="21"/>
      <c r="IZ180" s="21"/>
      <c r="JA180" s="21"/>
      <c r="JB180" s="30"/>
      <c r="JC180" s="21"/>
      <c r="JD180" s="36"/>
      <c r="JE180" s="21" t="str">
        <f t="shared" si="731"/>
        <v/>
      </c>
      <c r="JF180" s="30"/>
      <c r="JG180" s="21"/>
      <c r="JH180" s="21"/>
      <c r="JI180" s="21"/>
      <c r="JJ180" s="30"/>
      <c r="JK180" s="22"/>
      <c r="JL180" s="22"/>
      <c r="JM180" s="21"/>
      <c r="JN180" s="36"/>
      <c r="JO180" s="21" t="str">
        <f t="shared" si="732"/>
        <v/>
      </c>
      <c r="JP180" s="22"/>
      <c r="JQ180" s="21"/>
      <c r="JR180" s="21"/>
      <c r="JS180" s="21"/>
      <c r="JT180" s="30"/>
      <c r="JU180" s="22"/>
      <c r="JV180" s="22"/>
      <c r="JW180" s="33"/>
      <c r="JX180" s="28" t="str">
        <f t="shared" si="733"/>
        <v/>
      </c>
      <c r="JY180" s="33"/>
      <c r="JZ180" s="28" t="str">
        <f t="shared" si="734"/>
        <v/>
      </c>
      <c r="KA180" s="21"/>
      <c r="KB180" s="21"/>
      <c r="KC180" s="21"/>
      <c r="KD180" s="37"/>
      <c r="KE180" s="28"/>
      <c r="KF180" s="28"/>
      <c r="KG180" s="28"/>
      <c r="KH180" s="39"/>
      <c r="KI180" s="39"/>
      <c r="KJ180" s="66"/>
      <c r="KK180" s="39"/>
      <c r="KL180" s="39"/>
      <c r="KM180" s="66"/>
      <c r="KN180" s="39"/>
      <c r="KO180" s="39"/>
      <c r="KP180" s="39"/>
      <c r="KQ180" s="39"/>
      <c r="KR180" s="39"/>
      <c r="KS180" s="39"/>
      <c r="KT180" s="39"/>
      <c r="KU180" s="38"/>
      <c r="KV180" s="38"/>
      <c r="KW180" s="38"/>
      <c r="KX180" s="38"/>
      <c r="KY180" s="38"/>
      <c r="KZ180" s="38"/>
      <c r="LA180" s="38"/>
      <c r="LB180" s="38"/>
      <c r="LC180" s="38"/>
      <c r="LD180" s="38"/>
      <c r="LE180" s="38"/>
      <c r="LF180" s="38"/>
      <c r="LG180" s="38"/>
      <c r="LH180" s="38"/>
      <c r="LI180" s="38"/>
      <c r="LJ180" s="38"/>
      <c r="LK180" s="38"/>
      <c r="LL180" s="38"/>
      <c r="LM180" s="38"/>
      <c r="LN180" s="38"/>
      <c r="LO180" s="38"/>
      <c r="LP180" s="38"/>
      <c r="LQ180" s="38"/>
      <c r="LR180" s="38"/>
      <c r="LS180" s="38"/>
      <c r="LT180" s="38"/>
      <c r="LU180" s="38"/>
      <c r="LV180" s="38"/>
      <c r="LW180" s="38"/>
      <c r="LX180" s="38"/>
      <c r="LY180" s="38"/>
      <c r="LZ180" s="38"/>
      <c r="MA180" s="38"/>
      <c r="MB180" s="38"/>
      <c r="MC180" s="38"/>
      <c r="MD180" s="38"/>
      <c r="ME180" s="38"/>
      <c r="MF180" s="38"/>
      <c r="MG180" s="38"/>
      <c r="MH180" s="43">
        <f t="shared" si="695"/>
        <v>0</v>
      </c>
      <c r="MI180" s="43" t="str">
        <f t="shared" si="696"/>
        <v/>
      </c>
      <c r="MJ180" s="43" t="str">
        <f t="shared" si="697"/>
        <v/>
      </c>
      <c r="MK180" s="43">
        <f t="shared" si="698"/>
        <v>0</v>
      </c>
      <c r="ML18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0" s="43">
        <f t="shared" si="699"/>
        <v>8.4285714285714288</v>
      </c>
      <c r="MN180" s="43">
        <f t="shared" si="700"/>
        <v>6</v>
      </c>
      <c r="MO180" s="43">
        <f t="shared" si="701"/>
        <v>2023</v>
      </c>
      <c r="MP180" s="43" t="str">
        <f t="shared" si="702"/>
        <v>II TRIMESTRE AÑO</v>
      </c>
      <c r="MQ180" s="43">
        <f t="shared" si="703"/>
        <v>19.803985983355233</v>
      </c>
      <c r="MR180" s="43">
        <f t="shared" si="704"/>
        <v>0</v>
      </c>
      <c r="MS180" s="43" t="str">
        <f t="shared" si="705"/>
        <v>DE 14 A 19AÑOS</v>
      </c>
      <c r="MT180" s="43">
        <f t="shared" si="706"/>
        <v>0</v>
      </c>
      <c r="MU180" s="43">
        <f t="shared" si="707"/>
        <v>0</v>
      </c>
      <c r="MV180" s="43">
        <f t="shared" si="708"/>
        <v>0</v>
      </c>
      <c r="MW180" s="43">
        <f t="shared" si="709"/>
        <v>0</v>
      </c>
      <c r="MX180" s="43" t="str">
        <f t="shared" si="710"/>
        <v/>
      </c>
      <c r="MY180" s="43" t="str">
        <f t="shared" ca="1" si="735"/>
        <v/>
      </c>
      <c r="MZ180" s="43" t="str">
        <f t="shared" si="711"/>
        <v/>
      </c>
      <c r="NA180" s="43" t="str">
        <f t="shared" si="712"/>
        <v/>
      </c>
      <c r="NB180" s="43" t="str">
        <f t="shared" si="713"/>
        <v/>
      </c>
      <c r="NC180" s="43" t="str">
        <f t="shared" si="714"/>
        <v/>
      </c>
      <c r="ND180" s="43">
        <f t="shared" ca="1" si="715"/>
        <v>0</v>
      </c>
      <c r="NE180" s="43">
        <f>IF(OR(O180&gt;0,R180&gt;0),SUM(COUNTIF(Tabla1[[#This Row],[AÑOS AL INICIO5 CPN]],"&gt;=40"),COUNTIF(AS180,"0"),COUNTIF(AR180,"SI"),COUNTIF(CC180,"SI"),COUNTIF(BQ180,"&gt;119"),COUNTIF(CI180,"&gt;=35")),"")</f>
        <v>0</v>
      </c>
      <c r="NF180" s="43" t="str">
        <f t="shared" si="716"/>
        <v/>
      </c>
      <c r="NG180" s="43">
        <f t="shared" si="717"/>
        <v>0</v>
      </c>
      <c r="NH180" s="43">
        <f t="shared" si="718"/>
        <v>99.399999999999991</v>
      </c>
      <c r="NI18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CPN",P180="NO"),"Z",IF(AND(Tabla1[[#This Row],[CITA PROXIMO CONTROL]]="CITA MANUAL",Tabla1[[#This Row],[GESTANTES ACTUALES]]="ACTIVA INGRESO A CPN"),"W",IF(AND(Tabla1[[#This Row],[GESTANTES ACTUALES]]="SALIO PROGRAMA",IN180=""),"S",IF(AND(Tabla1[[#This Row],[CITA PROXIMO CONTROL]]&gt;0,IN180=""),(Tabla1[[#This Row],[CITA PROXIMO CONTROL]]-TODAY()),"SD"))))))))</f>
        <v>#REF!</v>
      </c>
      <c r="NJ180" s="43">
        <f>MONTH(Tabla1[[#This Row],[FECHA DE SALIDA  DEL PROGRAMA]])</f>
        <v>1</v>
      </c>
      <c r="NK180" s="43">
        <f>YEAR(Tabla1[[#This Row],[FECHA DE SALIDA  DEL PROGRAMA]])</f>
        <v>1900</v>
      </c>
      <c r="NL180" s="43" t="str">
        <f t="shared" si="719"/>
        <v>X</v>
      </c>
      <c r="NM180" s="43" t="str">
        <f t="shared" si="693"/>
        <v>NO</v>
      </c>
      <c r="NN180" s="43" t="str">
        <f ca="1">IF(AND(O180&gt;0,R180=""),"NO CPN",IF(AND(O180="",R180=""),"",IF(AND(R180&gt;0,Tabla1[[#This Row],[SEMANAS DE GESTACION ACTUALIZADAS]]&lt;=12),"NO APLICA",IF(AND(FH180&lt;&gt;"",FN180&lt;&gt;""),"SI","NO"))))</f>
        <v>NO</v>
      </c>
      <c r="NO180" s="43" t="str">
        <f ca="1">IF(AND(O180&gt;0,R180=""),"NO CPN",IF(AND(O180="",R180=""),"",IF(AND(R180&gt;0,Tabla1[[#This Row],[SEMANAS DE GESTACION ACTUALIZADAS]]&lt;=27),"NO APLICA",IF(AND(ES180&lt;&gt;"",FQ180&lt;&gt;"",GF180&lt;&gt;""),"SI","NO"))))</f>
        <v>NO</v>
      </c>
      <c r="NP180" s="204" t="str">
        <f t="shared" si="720"/>
        <v>DEFINIR CON ECO</v>
      </c>
      <c r="NQ180" s="21" t="str">
        <f t="shared" si="729"/>
        <v/>
      </c>
      <c r="NR180" s="21">
        <f t="shared" ca="1" si="736"/>
        <v>3</v>
      </c>
      <c r="NS180" s="205">
        <f t="shared" ca="1" si="721"/>
        <v>1</v>
      </c>
      <c r="NT180" s="21">
        <f t="shared" ca="1" si="722"/>
        <v>1</v>
      </c>
      <c r="NU180" s="21" t="str">
        <f t="shared" ca="1" si="723"/>
        <v>INCOMPLETO</v>
      </c>
      <c r="NV180" s="21" t="str">
        <f t="shared" ca="1" si="724"/>
        <v>INCOMPLETO</v>
      </c>
      <c r="NW180" s="206" t="str">
        <f>IF(AND(O180="",R180=""),"",IF(OR(AND(Tabla1[[#This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0" s="207" t="str">
        <f t="shared" ca="1" si="725"/>
        <v>SIN VACUNAR</v>
      </c>
      <c r="NY180" s="43">
        <f>ROW(Tabla1[[#This Row],['# DE TAMIZAJES SIFILIS TOMADOS ]])</f>
        <v>180</v>
      </c>
      <c r="NZ180" s="43" t="str">
        <f t="shared" si="501"/>
        <v>Menor</v>
      </c>
      <c r="OA180" s="43" t="str">
        <f t="shared" si="502"/>
        <v>NORMAL</v>
      </c>
      <c r="OB180" s="43" t="str">
        <f t="shared" si="503"/>
        <v/>
      </c>
      <c r="OC180" s="43" t="str">
        <f t="shared" si="504"/>
        <v/>
      </c>
      <c r="OD180" s="43" t="str">
        <f t="shared" si="505"/>
        <v/>
      </c>
      <c r="OE180" s="43" t="str">
        <f t="shared" si="506"/>
        <v/>
      </c>
      <c r="OF180" s="43" t="str">
        <f t="shared" si="507"/>
        <v/>
      </c>
      <c r="OG180" s="43" t="str">
        <f t="shared" si="508"/>
        <v/>
      </c>
      <c r="OH180" s="43" t="str">
        <f t="shared" si="509"/>
        <v/>
      </c>
      <c r="OI180" s="43" t="str">
        <f t="shared" si="510"/>
        <v/>
      </c>
      <c r="OJ180" s="43" t="str">
        <f t="shared" si="511"/>
        <v/>
      </c>
      <c r="OK180" s="43" t="str">
        <f t="shared" si="512"/>
        <v/>
      </c>
      <c r="OL180" s="43" t="str">
        <f t="shared" si="513"/>
        <v/>
      </c>
      <c r="OM180" s="43" t="str">
        <f t="shared" si="514"/>
        <v/>
      </c>
      <c r="ON180" s="43" t="str">
        <f t="shared" si="515"/>
        <v/>
      </c>
      <c r="OO180" s="43" t="str">
        <f t="shared" si="516"/>
        <v/>
      </c>
      <c r="OP180" s="43" t="str">
        <f t="shared" si="517"/>
        <v/>
      </c>
      <c r="OQ180" s="43" t="str">
        <f t="shared" si="518"/>
        <v/>
      </c>
      <c r="OR180" s="43" t="str">
        <f t="shared" si="519"/>
        <v/>
      </c>
      <c r="OS180" s="43" t="str">
        <f t="shared" si="520"/>
        <v/>
      </c>
      <c r="OT180" s="43" t="str">
        <f t="shared" si="521"/>
        <v/>
      </c>
      <c r="OU180" s="43" t="str">
        <f t="shared" si="522"/>
        <v/>
      </c>
      <c r="OV180" s="110" t="str">
        <f t="shared" si="523"/>
        <v/>
      </c>
      <c r="OW180" s="43" t="str">
        <f t="shared" si="524"/>
        <v/>
      </c>
      <c r="OX180" s="43" t="str">
        <f t="shared" si="525"/>
        <v/>
      </c>
      <c r="OY180" s="43" t="str">
        <f t="shared" si="526"/>
        <v/>
      </c>
      <c r="OZ180" s="43" t="str">
        <f t="shared" si="527"/>
        <v/>
      </c>
      <c r="PA180" s="43" t="str">
        <f t="shared" si="528"/>
        <v/>
      </c>
      <c r="PB180" s="43" t="str">
        <f t="shared" si="529"/>
        <v/>
      </c>
      <c r="PC180" s="43" t="str">
        <f t="shared" si="530"/>
        <v/>
      </c>
      <c r="PD180" s="43" t="str">
        <f t="shared" si="531"/>
        <v/>
      </c>
      <c r="PE180" s="43" t="str">
        <f t="shared" si="532"/>
        <v/>
      </c>
      <c r="PF180" s="43" t="str">
        <f t="shared" si="533"/>
        <v/>
      </c>
      <c r="PG180" s="43" t="str">
        <f t="shared" si="534"/>
        <v/>
      </c>
      <c r="PH180" s="43" t="str">
        <f t="shared" si="535"/>
        <v/>
      </c>
      <c r="PI180" s="43">
        <f t="shared" si="536"/>
        <v>17</v>
      </c>
      <c r="PJ180" s="43" t="str">
        <f t="shared" si="537"/>
        <v/>
      </c>
      <c r="PK180" s="43" t="str">
        <f t="shared" si="538"/>
        <v/>
      </c>
      <c r="PL180" s="43" t="str">
        <f t="shared" si="539"/>
        <v/>
      </c>
      <c r="PM180" s="43" t="str">
        <f t="shared" si="540"/>
        <v/>
      </c>
      <c r="PN180" s="43" t="str">
        <f t="shared" si="541"/>
        <v/>
      </c>
      <c r="PO180" s="43" t="str">
        <f t="shared" si="542"/>
        <v/>
      </c>
      <c r="PP180" s="43" t="str">
        <f t="shared" si="543"/>
        <v/>
      </c>
      <c r="PQ180" s="43" t="str">
        <f t="shared" si="544"/>
        <v/>
      </c>
      <c r="PR180" s="43" t="str">
        <f t="shared" si="545"/>
        <v>BAJO PESO</v>
      </c>
      <c r="PS180" s="43" t="str">
        <f t="shared" si="546"/>
        <v/>
      </c>
      <c r="PT180" s="43" t="str">
        <f t="shared" si="547"/>
        <v/>
      </c>
      <c r="PU180" s="43" t="str">
        <f t="shared" si="548"/>
        <v/>
      </c>
      <c r="PV180" s="43" t="str">
        <f t="shared" si="549"/>
        <v/>
      </c>
      <c r="PW180" s="43" t="str">
        <f t="shared" si="550"/>
        <v/>
      </c>
      <c r="PX180" s="43" t="str">
        <f t="shared" si="551"/>
        <v/>
      </c>
      <c r="PY180" s="43" t="str">
        <f t="shared" si="552"/>
        <v/>
      </c>
      <c r="PZ180" s="43" t="str">
        <f t="shared" si="553"/>
        <v/>
      </c>
      <c r="QA180" s="43" t="str">
        <f t="shared" si="554"/>
        <v/>
      </c>
      <c r="QB180" s="43" t="str">
        <f t="shared" si="555"/>
        <v/>
      </c>
      <c r="QC180" s="43" t="str">
        <f t="shared" si="556"/>
        <v/>
      </c>
      <c r="QD180" s="43" t="str">
        <f t="shared" si="557"/>
        <v/>
      </c>
      <c r="QE180" s="43" t="str">
        <f t="shared" si="558"/>
        <v/>
      </c>
      <c r="QF180" s="43" t="str">
        <f t="shared" si="559"/>
        <v/>
      </c>
      <c r="QG180" s="43" t="str">
        <f t="shared" si="560"/>
        <v/>
      </c>
      <c r="QH180" s="43" t="str">
        <f t="shared" si="561"/>
        <v/>
      </c>
      <c r="QI180" s="43" t="str">
        <f t="shared" si="562"/>
        <v/>
      </c>
      <c r="QJ180" s="43" t="str">
        <f t="shared" si="563"/>
        <v/>
      </c>
      <c r="QK180" s="43" t="str">
        <f t="shared" si="564"/>
        <v/>
      </c>
      <c r="QL180" s="43" t="str">
        <f t="shared" si="565"/>
        <v/>
      </c>
      <c r="QM180" s="43" t="str">
        <f t="shared" si="566"/>
        <v/>
      </c>
      <c r="QN180" s="43" t="str">
        <f t="shared" si="567"/>
        <v/>
      </c>
      <c r="QO180" s="43" t="str">
        <f t="shared" si="568"/>
        <v/>
      </c>
      <c r="QP180" s="43" t="str">
        <f t="shared" si="569"/>
        <v/>
      </c>
      <c r="QQ180" s="43" t="str">
        <f t="shared" si="570"/>
        <v/>
      </c>
      <c r="QR180" s="43">
        <f t="shared" si="670"/>
        <v>17</v>
      </c>
      <c r="QS180" s="43"/>
      <c r="QT180" s="21" t="str">
        <f t="shared" si="571"/>
        <v/>
      </c>
      <c r="QU180" s="21" t="str">
        <f t="shared" si="572"/>
        <v/>
      </c>
      <c r="QV180" s="21" t="str">
        <f t="shared" si="573"/>
        <v/>
      </c>
      <c r="QW180" s="21" t="str">
        <f t="shared" si="574"/>
        <v/>
      </c>
      <c r="QX180" s="21" t="str">
        <f t="shared" si="575"/>
        <v>ADECUADO PARA EDAD GESTACIONAL</v>
      </c>
      <c r="QY180" s="21" t="str">
        <f t="shared" si="576"/>
        <v/>
      </c>
      <c r="QZ180" s="21" t="str">
        <f t="shared" si="577"/>
        <v/>
      </c>
      <c r="RA180" s="21" t="str">
        <f t="shared" si="578"/>
        <v/>
      </c>
      <c r="RB180" s="21" t="str">
        <f t="shared" si="579"/>
        <v/>
      </c>
      <c r="RC180" s="21" t="str">
        <f t="shared" si="580"/>
        <v/>
      </c>
      <c r="RD180" s="21" t="str">
        <f t="shared" si="581"/>
        <v/>
      </c>
      <c r="RE180" s="21" t="str">
        <f t="shared" si="582"/>
        <v/>
      </c>
      <c r="RF180" s="21" t="str">
        <f t="shared" si="583"/>
        <v/>
      </c>
      <c r="RG180" s="21" t="str">
        <f t="shared" si="584"/>
        <v/>
      </c>
      <c r="RH180" s="21" t="str">
        <f t="shared" si="585"/>
        <v/>
      </c>
      <c r="RI180" s="21" t="str">
        <f t="shared" si="586"/>
        <v/>
      </c>
      <c r="RJ180" s="21" t="str">
        <f t="shared" si="587"/>
        <v/>
      </c>
      <c r="RK180" s="21" t="str">
        <f t="shared" si="588"/>
        <v/>
      </c>
      <c r="RL180" s="21" t="str">
        <f t="shared" si="589"/>
        <v/>
      </c>
      <c r="RM180" s="21" t="str">
        <f t="shared" si="590"/>
        <v/>
      </c>
      <c r="RN180" s="21" t="str">
        <f t="shared" si="591"/>
        <v/>
      </c>
      <c r="RO180" s="21" t="str">
        <f t="shared" si="592"/>
        <v/>
      </c>
      <c r="RP180" s="21" t="str">
        <f t="shared" si="593"/>
        <v/>
      </c>
      <c r="RQ180" s="21" t="str">
        <f t="shared" si="594"/>
        <v/>
      </c>
      <c r="RR180" s="21" t="str">
        <f t="shared" si="595"/>
        <v/>
      </c>
      <c r="RS180" s="21" t="str">
        <f t="shared" si="596"/>
        <v/>
      </c>
      <c r="RT180" s="21" t="str">
        <f t="shared" si="597"/>
        <v/>
      </c>
      <c r="RU180" s="21" t="str">
        <f t="shared" si="598"/>
        <v/>
      </c>
      <c r="RV180" s="21">
        <f t="shared" si="599"/>
        <v>-1</v>
      </c>
      <c r="RW180" s="284">
        <f>IF(OR(Tabla1[[#This Row],[FUM FORMULA CONFIABLE]]="",Tabla1[[#This Row],[FUM FORMULA CONFIABLE]]="SD"),"",IF(Tabla1[[#This Row],[FUM FORMULA CONFIABLE]]="CORREGIDA",Tabla1[[#This Row],[FUM X ECO 1]],Tabla1[[#This Row],[FUM x AMENORREA]]))</f>
        <v>45025</v>
      </c>
      <c r="RX180" s="21">
        <f>IF(AND(Tabla1[[#This Row],[FUM X ECO 1]]="",Tabla1[[#This Row],[FUM x AMENORREA]]=""),"",IF(AND(Tabla1[[#This Row],[FUM X ECO 1]]="",Tabla1[[#This Row],[FUM x AMENORREA]]&lt;&gt;""),"X",SUM(Tabla1[[#This Row],[FUM X ECO 1]]-Tabla1[[#This Row],[FUM x AMENORREA]])))</f>
        <v>-3.4000000000014552</v>
      </c>
      <c r="RY180" s="21">
        <f t="shared" si="671"/>
        <v>0</v>
      </c>
    </row>
    <row r="181" spans="1:493" ht="45" customHeight="1" x14ac:dyDescent="0.25">
      <c r="A181" s="109"/>
      <c r="B181" s="43"/>
      <c r="C181" s="43" t="s">
        <v>845</v>
      </c>
      <c r="D181" s="124"/>
      <c r="E181" s="43" t="s">
        <v>1041</v>
      </c>
      <c r="F181" s="43" t="s">
        <v>1147</v>
      </c>
      <c r="G181" s="43" t="s">
        <v>1512</v>
      </c>
      <c r="H181" s="43"/>
      <c r="I181" s="109" t="s">
        <v>851</v>
      </c>
      <c r="J181" s="110">
        <v>1059604976</v>
      </c>
      <c r="K181" s="43" t="s">
        <v>852</v>
      </c>
      <c r="L181" s="175" t="s">
        <v>1509</v>
      </c>
      <c r="M181" s="22">
        <v>35501</v>
      </c>
      <c r="N181" s="213">
        <f t="shared" ca="1" si="600"/>
        <v>26.663013698630138</v>
      </c>
      <c r="O181" s="22">
        <v>45086</v>
      </c>
      <c r="P181" s="214" t="str">
        <f t="shared" si="673"/>
        <v>SI</v>
      </c>
      <c r="Q181" s="26" t="s">
        <v>855</v>
      </c>
      <c r="R181" s="22">
        <v>45086</v>
      </c>
      <c r="S181" s="21" t="s">
        <v>856</v>
      </c>
      <c r="T181" s="24" t="s">
        <v>690</v>
      </c>
      <c r="U181" s="21" t="s">
        <v>857</v>
      </c>
      <c r="V181" s="21" t="s">
        <v>858</v>
      </c>
      <c r="W181" s="21" t="s">
        <v>987</v>
      </c>
      <c r="X181" s="21" t="s">
        <v>987</v>
      </c>
      <c r="Y181" s="21" t="s">
        <v>859</v>
      </c>
      <c r="Z181" s="21">
        <v>3156412487</v>
      </c>
      <c r="AA181" s="21" t="s">
        <v>860</v>
      </c>
      <c r="AB181" s="27" t="s">
        <v>861</v>
      </c>
      <c r="AC181" s="26" t="s">
        <v>888</v>
      </c>
      <c r="AD181" s="38" t="s">
        <v>1546</v>
      </c>
      <c r="AE181" s="26" t="s">
        <v>854</v>
      </c>
      <c r="AF181" s="26" t="s">
        <v>854</v>
      </c>
      <c r="AG181" s="23" t="s">
        <v>864</v>
      </c>
      <c r="AH181" s="23" t="s">
        <v>864</v>
      </c>
      <c r="AI181" s="24" t="s">
        <v>863</v>
      </c>
      <c r="AJ181" s="23" t="s">
        <v>864</v>
      </c>
      <c r="AK181" s="220" t="str">
        <f>IF(AND(AD181="",AE181="",AF181="",AG181="",AH181="",AI181="",AJ181=""),"",IF(OR(Tabla1[[#This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EVALUACIÓN",IF(AND(O181="",R181=""),"",IF(AND(OR(O181&gt;0,R181&gt;0),NG181&gt;=0,NG181&lt;2),"SIN RIESGO",IF(AND(OR(O181&gt;0,R181&gt;0),NG181&gt;=2),"CON RIESGO","ASD")))))</f>
        <v>SIN RIESGO</v>
      </c>
      <c r="AL181" s="23" t="s">
        <v>864</v>
      </c>
      <c r="AM181" s="26" t="s">
        <v>864</v>
      </c>
      <c r="AN181" s="26" t="s">
        <v>864</v>
      </c>
      <c r="AO181" s="26" t="s">
        <v>864</v>
      </c>
      <c r="AP181" s="26" t="s">
        <v>864</v>
      </c>
      <c r="AQ181" s="26" t="s">
        <v>864</v>
      </c>
      <c r="AR181" s="26" t="s">
        <v>864</v>
      </c>
      <c r="AS181" s="21">
        <v>1</v>
      </c>
      <c r="AT181" s="21">
        <v>1</v>
      </c>
      <c r="AU181" s="21">
        <v>0</v>
      </c>
      <c r="AV181" s="26" t="s">
        <v>864</v>
      </c>
      <c r="AW181" s="21">
        <v>0</v>
      </c>
      <c r="AX181" s="26" t="s">
        <v>864</v>
      </c>
      <c r="AY181" s="26" t="s">
        <v>864</v>
      </c>
      <c r="AZ181" s="26" t="s">
        <v>864</v>
      </c>
      <c r="BA181" s="26" t="s">
        <v>864</v>
      </c>
      <c r="BB181" s="26" t="s">
        <v>864</v>
      </c>
      <c r="BC181" s="26" t="s">
        <v>864</v>
      </c>
      <c r="BD181" s="26" t="s">
        <v>864</v>
      </c>
      <c r="BE181" s="26" t="s">
        <v>864</v>
      </c>
      <c r="BF181" s="26" t="s">
        <v>864</v>
      </c>
      <c r="BG181" s="26" t="s">
        <v>864</v>
      </c>
      <c r="BH181" s="26" t="s">
        <v>864</v>
      </c>
      <c r="BI181" s="26" t="s">
        <v>864</v>
      </c>
      <c r="BJ181" s="26" t="s">
        <v>864</v>
      </c>
      <c r="BK181" s="26" t="s">
        <v>864</v>
      </c>
      <c r="BL181" s="26" t="s">
        <v>864</v>
      </c>
      <c r="BM181" s="26" t="s">
        <v>864</v>
      </c>
      <c r="BN181" s="22">
        <v>43172</v>
      </c>
      <c r="BO181" s="22">
        <v>44999</v>
      </c>
      <c r="BP181" s="21" t="s">
        <v>854</v>
      </c>
      <c r="BQ181" s="222">
        <f t="shared" si="601"/>
        <v>60.9</v>
      </c>
      <c r="BR181" s="223">
        <f t="shared" si="602"/>
        <v>44999.9</v>
      </c>
      <c r="BS181" s="224">
        <f t="shared" si="603"/>
        <v>12.428571428571429</v>
      </c>
      <c r="BT181" s="216" t="str">
        <f t="shared" si="604"/>
        <v>II TRIM</v>
      </c>
      <c r="BU181" s="214">
        <f t="shared" ca="1" si="605"/>
        <v>33.428571428571431</v>
      </c>
      <c r="BV181" s="25" t="s">
        <v>988</v>
      </c>
      <c r="BW181" s="22">
        <v>45149</v>
      </c>
      <c r="BX181" s="28">
        <v>21.3</v>
      </c>
      <c r="BY181" s="28"/>
      <c r="BZ181" s="22"/>
      <c r="CA181" s="21"/>
      <c r="CB181" s="26"/>
      <c r="CC181" s="26"/>
      <c r="CD181" s="26"/>
      <c r="CE181" s="26"/>
      <c r="CF181" s="22" t="s">
        <v>1517</v>
      </c>
      <c r="CG181" s="21">
        <v>1.53</v>
      </c>
      <c r="CH181" s="21">
        <v>68.5</v>
      </c>
      <c r="CI181" s="214">
        <f t="shared" si="606"/>
        <v>29.262249562134222</v>
      </c>
      <c r="CJ181" s="225" t="e">
        <f>IF(AND(CI181&lt;10,CH181="SD"),"SIN DATO PESO PREGESTACION O I TRIM",IF(AND(OR(R181&gt;0,O181&gt;0),CI181="X"),"INGRESAR DATO DE PESO",IF(CI181="SD","INGRESAR DATO DE TALLA Y PESO",IF(AND(OR(Tabla1[[#This Row],[MOMENTO EN QUE SE REALIZA EL PESO AL INGRESO A CPN]]="PREGESTACIÓN",NZ181="Menor"),CI181&lt;18.5),"BAJO PESO",IF(AND(OR(Tabla1[[#This Row],[MOMENTO EN QUE SE REALIZA EL PESO AL INGRESO A CPN]]="PREGESTACIÓN",NZ181="Menor"),CI181&lt;25),"NORMAL",IF(AND(OR(Tabla1[[#This Row],[MOMENTO EN QUE SE REALIZA EL PESO AL INGRESO A CPN]]="PREGESTACIÓN",NZ181="Menor"),CI181&lt;30),"SOBREPESO",IF(AND(OR(Tabla1[[#This Row],[MOMENTO EN QUE SE REALIZA EL PESO AL INGRESO A CPN]]="PREGESTACIÓN",NZ181="Menor"),CI181&gt;=30,CI181&lt;50),"OBESIDAD",IF(AND(BS181&gt;0,Tabla1[[#This Row],[MOMENTO EN QUE SE REALIZA EL PESO AL INGRESO A CPN]]="GESTACIÓN"),HLOOKUP(NZ181,$OA$2:PH181,NY181),""))))))))</f>
        <v>#REF!</v>
      </c>
      <c r="CK181" s="212">
        <f t="shared" si="607"/>
        <v>45126</v>
      </c>
      <c r="CL181" s="21">
        <v>70.7</v>
      </c>
      <c r="CM181" s="214">
        <f t="shared" si="608"/>
        <v>30.202059037122474</v>
      </c>
      <c r="CN181" s="216">
        <f t="shared" si="609"/>
        <v>18</v>
      </c>
      <c r="CO181" s="216" t="e">
        <f>IF(PI181="","",IF(PI181&gt;0,HLOOKUP(PI181,$PJ$2:QQ181,NY181),""))</f>
        <v>#REF!</v>
      </c>
      <c r="CP181" s="21">
        <v>18</v>
      </c>
      <c r="CQ181" s="216" t="e">
        <f>IF(QR181="Menor","NO APLICA-MENOR 13 SEM",IF(AND(CC181="SI",CN181&gt;23),"NO APLICA- GEMELAR",IF(QR181="","",IF(QR181&gt;0,HLOOKUP(QR181,$QS$2:RU181,NY181),""))))</f>
        <v>#REF!</v>
      </c>
      <c r="CR181" s="21">
        <v>110</v>
      </c>
      <c r="CS181" s="21">
        <v>60</v>
      </c>
      <c r="CT181" s="217" t="str">
        <f>IF(R181="","",IF(AND(BS181&gt;1,BS181&lt;12,Tabla1[[#This Row],[T.A. SISTOLICA - ANTES DE SEMANA 12]]="",Tabla1[[#This Row],[T.A. DIASTOLICA - ANTES DE SEMANA 12]]=""),"REGISTRE DATO TA ANTES SEMANA 12",IF(AND(BS181&gt;11,BS181&lt;43,Tabla1[[#This Row],[T.A. SISTOLICA - ANTES DE SEMANA 12]]="",Tabla1[[#This Row],[T.A. DIASTOLICA - ANTES DE SEMANA 12]]=""),"NO APLICA REGISTRO TA-INGRESO TARDIO",IF(AND(OR(O181&gt;0,R181&gt;0),OR(CR181&gt;=140,CS181&gt;=90)),"DEFINIR ESTADIO HTA",IF(AND(OR(O181&gt;0,R181&gt;0),AND(CR181&gt;120,CR181&lt;=139)),"PRE HTA SEGUIMIENTO",IF(AND(OR(O181&gt;0,R181&gt;0),AND(CS181&gt;80,CS181&lt;=89)),"PRE HTA SEGUIMIENTO",IF(AND(OR(O181&gt;0,R181&gt;0),AND(CR181&gt;=80,CR181&lt;=120)),"APARENTEMENTE NORMAL",IF(AND(OR(O181&gt;0,R181&gt;0),AND(CS181&gt;=50,CS181&lt;=80)),"APARENTEMENTE NORMAL",IF(AND(OR(O181&gt;0,R181&gt;0),AND(CR181&gt;1,CR181&lt;=70),AND(CS181&gt;1,CS181&lt;=40)),"HIPOTENSIÓN","")))))))))</f>
        <v>APARENTEMENTE NORMAL</v>
      </c>
      <c r="CU181" s="21"/>
      <c r="CV181" s="21"/>
      <c r="CW181" s="217" t="str">
        <f ca="1">IF(R181="","",IF(AND(CN181&gt;19,CN181&lt;27,Tabla1[[#This Row],[T.A. SISTOLICA (Entre semana 20 y 26)]]="",Tabla1[[#This Row],[T.A. DIATOLICA (Entre semana 20 y 26)]]=""),"ACUDE A CONTROL SEM 20 A 26 REGISTRE TA AHORA",IF(AND(BS181&gt;1,BS181&lt;27,BU181&gt;19,Tabla1[[#This Row],[T.A. SISTOLICA (Entre semana 20 y 26)]]="",Tabla1[[#This Row],[T.A. DIATOLICA (Entre semana 20 y 26)]]=""),"COMPLETE REGISTRO TA CONTROL SEM 20 A26 ",IF(AND(BS181&gt;26,BS181&lt;43,Tabla1[[#This Row],[T.A. SISTOLICA (Entre semana 20 y 26)]]="",Tabla1[[#This Row],[T.A. DIATOLICA (Entre semana 20 y 26)]]=""),"NO APLICA REGISTRO TA-INGRESO TARDIO",IF(AND(OR(O181&gt;0,R181&gt;0),OR(CU181&gt;=140,CV181&gt;=90)),"ALTO RIESGO PREECLAMPSIA,DEFINIR ESTADIO HTA",IF(AND(OR(O181&gt;0,R181&gt;0),AND(CU181&gt;120,CU181&lt;=139)),"PRE HTA SEGUIMIENTO,RIESGO HIPERTENSION INDUCIDA POR EL EMBARAZO",IF(AND(OR(O181&gt;0,R181&gt;0),AND(CV181&gt;80,CV181&lt;=89)),"PRE HTA SEGUIMIENTO, RIESGO HIPERTENSION INDUCIDA POR EL EMBARAZO",IF(AND(OR(O181&lt;&gt;"",R181&lt;&gt;""),CS181&lt;&gt;"",CV181&lt;&gt;"",CS181&lt;=CV181),"VIGILAR CIFRAS PRESION ARTERIAL",IF(AND(OR(O181&gt;0,R181&gt;0),AND(CU181&gt;120,CU181&lt;=139)),"PRE HTA SEGUIMIENTO",IF(AND(OR(O181&gt;0,R181&gt;0),AND(CU181&gt;1,CU181&lt;=70),AND(CV181&gt;1,CV181&lt;=40)),"HIPOTENSIÓN",IF(AND(OR(O181&lt;&gt;"",R181&lt;&gt;""),CS181&lt;&gt;"",CV181&lt;&gt;"",CS181&gt;CV181),"APARENTEMENTE NORMAL",IF(AND(OR(O181&gt;0,R181&gt;0),AND(CU181&gt;=80,CU181&lt;=120)),"APARENTEMENTE NORMAL",IF(AND(OR(O181&gt;0,R181&gt;0),AND(CV181&gt;=50,CV181&lt;=80)),"APARENTEMENTE NORMAL","")))))))))))))</f>
        <v xml:space="preserve">COMPLETE REGISTRO TA CONTROL SEM 20 A26 </v>
      </c>
      <c r="CX181" s="21"/>
      <c r="CY181" s="21"/>
      <c r="CZ181" s="216" t="str">
        <f t="shared" si="727"/>
        <v/>
      </c>
      <c r="DA181" s="21">
        <v>100</v>
      </c>
      <c r="DB181" s="21">
        <v>60</v>
      </c>
      <c r="DC181" s="217" t="str">
        <f t="shared" si="610"/>
        <v>APARENTEMENTE NORMAL</v>
      </c>
      <c r="DD181" s="22">
        <v>45086</v>
      </c>
      <c r="DE181" s="22">
        <v>45086</v>
      </c>
      <c r="DF181" s="22">
        <v>45126</v>
      </c>
      <c r="DG181" s="22"/>
      <c r="DH181" s="22"/>
      <c r="DI181" s="22"/>
      <c r="DJ181" s="22"/>
      <c r="DK181" s="22"/>
      <c r="DL181" s="22"/>
      <c r="DM181" s="22"/>
      <c r="DN181" s="22"/>
      <c r="DO181" s="22"/>
      <c r="DP181" s="22"/>
      <c r="DQ181" s="22"/>
      <c r="DR181" s="28">
        <v>1</v>
      </c>
      <c r="DS181" s="22"/>
      <c r="DT181" s="22"/>
      <c r="DU181" s="216" t="str">
        <f t="shared" ca="1" si="674"/>
        <v>PLANEAR PLAN DE PARTO</v>
      </c>
      <c r="DV181" s="226" t="str">
        <f t="shared" si="675"/>
        <v>ACTIVA INGRESO A CPN</v>
      </c>
      <c r="DW18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1" s="216" t="e">
        <f t="shared" ca="1" si="611"/>
        <v>#REF!</v>
      </c>
      <c r="DY181" s="212">
        <f>IF(R181="","",IF(R181&gt;0,MAX(Tabla1[[#This Row],[FECHA C2]:[FECHA C13]],Tabla1[[#This Row],[FECHA CONSULTA PRIMERA VEZ PROGRAMA CPN ]])))</f>
        <v>45126</v>
      </c>
      <c r="DZ181" s="216">
        <f t="shared" si="612"/>
        <v>18</v>
      </c>
      <c r="EA181" s="222">
        <f>IF(R181&gt;0,SUM(COUNTA(DF181:DQ181)+COUNTA(Tabla1[[#This Row],[FECHA CONSULTA PRIMERA VEZ PROGRAMA CPN ]])),"")</f>
        <v>2</v>
      </c>
      <c r="EB181" s="222" t="str">
        <f t="shared" si="613"/>
        <v>NO</v>
      </c>
      <c r="EC181" s="214">
        <f t="shared" si="614"/>
        <v>8</v>
      </c>
      <c r="ED181" s="227">
        <f t="shared" si="615"/>
        <v>0.25</v>
      </c>
      <c r="EE181" s="22">
        <v>45086</v>
      </c>
      <c r="EF181" s="22">
        <v>45086</v>
      </c>
      <c r="EG181" s="22">
        <v>45086</v>
      </c>
      <c r="EH181" s="22"/>
      <c r="EI181" s="22">
        <v>45086</v>
      </c>
      <c r="EJ181" s="22"/>
      <c r="EK181" s="22"/>
      <c r="EL181" s="21"/>
      <c r="EM181" s="21">
        <v>13</v>
      </c>
      <c r="EN181" s="22">
        <v>45089</v>
      </c>
      <c r="EO181" s="222">
        <f t="shared" si="616"/>
        <v>12.857142857142858</v>
      </c>
      <c r="EP181" s="214" t="str">
        <f t="shared" si="617"/>
        <v>NORMAL- SUMINISTRAR SULFATO FERROSO</v>
      </c>
      <c r="EQ181" s="216" t="str">
        <f t="shared" si="618"/>
        <v>I TRIM</v>
      </c>
      <c r="ER181" s="24"/>
      <c r="ES181" s="22"/>
      <c r="ET181" s="29" t="str">
        <f t="shared" ca="1" si="676"/>
        <v>TOMA DE HEMOGLOBINA TARDÍA</v>
      </c>
      <c r="EU181" s="25" t="str">
        <f t="shared" si="619"/>
        <v/>
      </c>
      <c r="EV181" s="24" t="s">
        <v>1510</v>
      </c>
      <c r="EW181" s="24">
        <v>45089</v>
      </c>
      <c r="EX181" s="22"/>
      <c r="EY181" s="29">
        <f t="shared" si="691"/>
        <v>12.857142857142858</v>
      </c>
      <c r="EZ181" s="25" t="str">
        <f t="shared" si="692"/>
        <v>SIN RIESGO DE ISOINMUNIZACIÓN</v>
      </c>
      <c r="FA181" s="21">
        <v>92</v>
      </c>
      <c r="FB181" s="22">
        <v>45089</v>
      </c>
      <c r="FC181" s="29">
        <f t="shared" si="620"/>
        <v>12.857142857142858</v>
      </c>
      <c r="FD181" s="29"/>
      <c r="FE181" s="29"/>
      <c r="FF181" s="29"/>
      <c r="FG181" s="21" t="str">
        <f t="shared" ca="1" si="621"/>
        <v>TOMAR PTOG</v>
      </c>
      <c r="FH181" s="31"/>
      <c r="FI181" s="29" t="str">
        <f t="shared" si="622"/>
        <v>TOMAR EXAMEN</v>
      </c>
      <c r="FJ181" s="22" t="s">
        <v>867</v>
      </c>
      <c r="FK181" s="22">
        <v>45089</v>
      </c>
      <c r="FL181" s="29">
        <f t="shared" ca="1" si="623"/>
        <v>12.857142857142858</v>
      </c>
      <c r="FM181" s="22"/>
      <c r="FN181" s="32"/>
      <c r="FO181" s="29" t="str">
        <f t="shared" ca="1" si="677"/>
        <v>PIERDE TOMA DE TAMIZAJE</v>
      </c>
      <c r="FP181" s="22"/>
      <c r="FQ181" s="32"/>
      <c r="FR181" s="29" t="str">
        <f t="shared" ca="1" si="678"/>
        <v>EN RANGO PARA TOMAR EXAMEN</v>
      </c>
      <c r="FS181" s="22"/>
      <c r="FT181" s="32"/>
      <c r="FU181" s="29" t="str">
        <f>IF(AND(FJ181="",FM181="",FP181="",FS181=""),"",IF(OR(OR(Tabla1[[#This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1" s="28"/>
      <c r="FW181" s="22"/>
      <c r="FX181" s="29" t="str">
        <f t="shared" si="624"/>
        <v>TOMAR EXAMEN</v>
      </c>
      <c r="FY181" s="22" t="s">
        <v>868</v>
      </c>
      <c r="FZ181" s="22">
        <v>45089</v>
      </c>
      <c r="GA181" s="29">
        <f t="shared" ca="1" si="690"/>
        <v>12.857142857142858</v>
      </c>
      <c r="GB181" s="22"/>
      <c r="GC181" s="22"/>
      <c r="GD181" s="29" t="str">
        <f t="shared" ca="1" si="730"/>
        <v>PIERDE TOMA DE TAMIZAJE</v>
      </c>
      <c r="GE181" s="22"/>
      <c r="GF181" s="22"/>
      <c r="GG181" s="29" t="str">
        <f t="shared" ca="1" si="680"/>
        <v>EN RANGO PARA TOMAR EXAMEN</v>
      </c>
      <c r="GH181" s="22"/>
      <c r="GI181" s="29"/>
      <c r="GJ181" s="22"/>
      <c r="GK181" s="22"/>
      <c r="GL181" s="22"/>
      <c r="GM181" s="22"/>
      <c r="GN181" s="28" t="s">
        <v>869</v>
      </c>
      <c r="GO181" s="22">
        <v>45089</v>
      </c>
      <c r="GP181" s="29">
        <f t="shared" si="625"/>
        <v>12.857142857142858</v>
      </c>
      <c r="GQ181" s="28" t="s">
        <v>869</v>
      </c>
      <c r="GR181" s="28" t="s">
        <v>869</v>
      </c>
      <c r="GS181" s="22" t="str">
        <f t="shared" si="726"/>
        <v>CONTROL Igm</v>
      </c>
      <c r="GT181" s="22">
        <v>45089</v>
      </c>
      <c r="GU181" s="29">
        <f t="shared" si="627"/>
        <v>12.857142857142858</v>
      </c>
      <c r="GV181" s="21" t="str">
        <f t="shared" si="628"/>
        <v>I TRIM</v>
      </c>
      <c r="GW181" s="28"/>
      <c r="GX181" s="30"/>
      <c r="GY181" s="21"/>
      <c r="GZ181" s="21"/>
      <c r="HA181" s="21"/>
      <c r="HB181" s="21"/>
      <c r="HC181" s="21"/>
      <c r="HD181" s="21"/>
      <c r="HE181" s="21"/>
      <c r="HF181" s="22"/>
      <c r="HG181" s="22" t="str">
        <f>IF(OR(O181&gt;0,R181&gt;0),CONCATENATE(IF(Tabla1[[#This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1" s="22" t="e">
        <f t="shared" si="629"/>
        <v>#REF!</v>
      </c>
      <c r="HI181" s="22" t="e">
        <f t="shared" ca="1" si="630"/>
        <v>#REF!</v>
      </c>
      <c r="HJ181" s="21"/>
      <c r="HK181" s="21" t="str">
        <f t="shared" si="631"/>
        <v>SIN ANTECEDENTES DE RIESGO</v>
      </c>
      <c r="HL181" s="24" t="str">
        <f t="shared" si="632"/>
        <v>APARENTEMENTE NORMAL</v>
      </c>
      <c r="HM181" s="21" t="e">
        <f t="shared" ca="1" si="633"/>
        <v>#REF!</v>
      </c>
      <c r="HN181" s="30" t="str">
        <f t="shared" si="681"/>
        <v>ACTIVA INGRESO A CPN</v>
      </c>
      <c r="HO181" s="21"/>
      <c r="HP181" s="21"/>
      <c r="HQ181" s="349"/>
      <c r="HR181" s="21" t="str">
        <f>IF(R181="","",IF(Tabla1[[#This Row],[ALARMA FACTORES DE RIESGO COMPLICACIONES HIPERTENSIVAS3]]="SIN ANTECEDENTES DE RIESGO","No Aplica para suministro de ASA",IF(AND(Tabla1[[#This Row],[FECHA INICIO DE SUMINISTRO DE ASA]]&gt;0,RV181&lt;12),"Inicia ASA ANTES de Sem 12",IF(AND(RV181&gt;11,RV181&lt;17,OR(HK181="RIESGO ALTO DE COMPLICACIONES HIPERTENSIVAS VER MANEJO GUIA SUMINISTRO ASA Y CALCIO",HK181="RIESGO MODERADO (2 O MAS CRITERIOS) VER MANEJO GUIA SUMINISTRO ASA Y CALCIO")),"Inicio oportuno de ASA",IF(AND(RV181&gt;12,OR(HK181="RIESGO ALTO DE COMPLICACIONES HIPERTENSIVAS VER MANEJO GUIA SUMINISTRO ASA Y CALCIO",HK181="RIESGO MODERADO (2 O MAS CRITERIOS) VER MANEJO GUIA SUMINISTRO ASA Y CALCIO")),"Inicio no oportuno mayor a 16 semanas",IF(AND(BU181&lt;12,OR(HK181="RIESGO ALTO DE COMPLICACIONES HIPERTENSIVAS VER MANEJO GUIA SUMINISTRO ASA Y CALCIO",HK181="RIESGO MODERADO (2 O MAS CRITERIOS) VER MANEJO GUIA SUMINISTRO ASA Y CALCIO")),"Pendiente Inicio de ASA a la semana 12",IF(AND(BU181&gt;11,BU181&lt;17,OR(HK181="RIESGO ALTO DE COMPLICACIONES HIPERTENSIVAS VER MANEJO GUIA SUMINISTRO ASA Y CALCIO",HK181="RIESGO MODERADO (2 O MAS CRITERIOS) VER MANEJO GUIA SUMINISTRO ASA Y CALCIO")),"Iniciar de inmediato ASA",IF(AND(BU181&gt;16,OR(HK181="RIESGO ALTO DE COMPLICACIONES HIPERTENSIVAS VER MANEJO GUIA SUMINISTRO ASA Y CALCIO",HK181="RIESGO MODERADO (2 O MAS CRITERIOS) VER MANEJO GUIA SUMINISTRO ASA Y CALCIO")),"Pierde Oportunidad, Inicio tardío de ASA","XXXXX"))))))))</f>
        <v>No Aplica para suministro de ASA</v>
      </c>
      <c r="HS181" s="22">
        <v>45086</v>
      </c>
      <c r="HT181" s="22" t="s">
        <v>1505</v>
      </c>
      <c r="HU181" s="22">
        <v>45086</v>
      </c>
      <c r="HV181" s="22" t="s">
        <v>1506</v>
      </c>
      <c r="HW181" s="22">
        <v>45086</v>
      </c>
      <c r="HX181" s="22" t="s">
        <v>1511</v>
      </c>
      <c r="HY181" s="22"/>
      <c r="HZ181" s="28" t="str">
        <f t="shared" si="634"/>
        <v>PENDIENTE CONSULTA</v>
      </c>
      <c r="IA181" s="26"/>
      <c r="IB181" s="26"/>
      <c r="IC181" s="111"/>
      <c r="ID181" s="22"/>
      <c r="IE181" s="22" t="str">
        <f t="shared" ca="1" si="635"/>
        <v>INASISTENTE</v>
      </c>
      <c r="IF181" s="22"/>
      <c r="IG181" s="22">
        <f t="shared" si="636"/>
        <v>45279</v>
      </c>
      <c r="IH181" s="29">
        <f t="shared" ca="1" si="637"/>
        <v>46</v>
      </c>
      <c r="II181" s="22" t="str">
        <f t="shared" ca="1" si="638"/>
        <v>PENDIENTE</v>
      </c>
      <c r="IJ181" s="22"/>
      <c r="IK181" s="21"/>
      <c r="IL181" s="21"/>
      <c r="IM181" s="34"/>
      <c r="IN181" s="22"/>
      <c r="IO181" s="21"/>
      <c r="IP181" s="29" t="str">
        <f t="shared" si="728"/>
        <v/>
      </c>
      <c r="IQ181" s="35"/>
      <c r="IR181" s="21"/>
      <c r="IS181" s="21"/>
      <c r="IT181" s="21"/>
      <c r="IU181" s="21"/>
      <c r="IV181" s="21"/>
      <c r="IW181" s="21"/>
      <c r="IX181" s="21"/>
      <c r="IY181" s="21"/>
      <c r="IZ181" s="21"/>
      <c r="JA181" s="21"/>
      <c r="JB181" s="30"/>
      <c r="JC181" s="21"/>
      <c r="JD181" s="36"/>
      <c r="JE181" s="21" t="str">
        <f t="shared" si="731"/>
        <v/>
      </c>
      <c r="JF181" s="30"/>
      <c r="JG181" s="21"/>
      <c r="JH181" s="21"/>
      <c r="JI181" s="21"/>
      <c r="JJ181" s="30"/>
      <c r="JK181" s="22"/>
      <c r="JL181" s="22"/>
      <c r="JM181" s="21"/>
      <c r="JN181" s="36"/>
      <c r="JO181" s="21" t="str">
        <f t="shared" si="732"/>
        <v/>
      </c>
      <c r="JP181" s="22"/>
      <c r="JQ181" s="21"/>
      <c r="JR181" s="21"/>
      <c r="JS181" s="21"/>
      <c r="JT181" s="30"/>
      <c r="JU181" s="22"/>
      <c r="JV181" s="22"/>
      <c r="JW181" s="33"/>
      <c r="JX181" s="28" t="str">
        <f t="shared" si="733"/>
        <v/>
      </c>
      <c r="JY181" s="33"/>
      <c r="JZ181" s="28" t="str">
        <f t="shared" si="734"/>
        <v/>
      </c>
      <c r="KA181" s="21"/>
      <c r="KB181" s="21"/>
      <c r="KC181" s="21"/>
      <c r="KD181" s="37"/>
      <c r="KE181" s="28"/>
      <c r="KF181" s="28"/>
      <c r="KG181" s="28"/>
      <c r="KH181" s="39"/>
      <c r="KI181" s="39"/>
      <c r="KJ181" s="66"/>
      <c r="KK181" s="39"/>
      <c r="KL181" s="39"/>
      <c r="KM181" s="66"/>
      <c r="KN181" s="39"/>
      <c r="KO181" s="39"/>
      <c r="KP181" s="39"/>
      <c r="KQ181" s="39"/>
      <c r="KR181" s="39"/>
      <c r="KS181" s="39"/>
      <c r="KT181" s="39"/>
      <c r="KU181" s="38"/>
      <c r="KV181" s="38"/>
      <c r="KW181" s="38"/>
      <c r="KX181" s="38"/>
      <c r="KY181" s="38"/>
      <c r="KZ181" s="38"/>
      <c r="LA181" s="38"/>
      <c r="LB181" s="38"/>
      <c r="LC181" s="38"/>
      <c r="LD181" s="38"/>
      <c r="LE181" s="38"/>
      <c r="LF181" s="38"/>
      <c r="LG181" s="38"/>
      <c r="LH181" s="38"/>
      <c r="LI181" s="38"/>
      <c r="LJ181" s="38"/>
      <c r="LK181" s="38"/>
      <c r="LL181" s="38"/>
      <c r="LM181" s="38"/>
      <c r="LN181" s="38"/>
      <c r="LO181" s="38"/>
      <c r="LP181" s="38"/>
      <c r="LQ181" s="38"/>
      <c r="LR181" s="38"/>
      <c r="LS181" s="38"/>
      <c r="LT181" s="38"/>
      <c r="LU181" s="38"/>
      <c r="LV181" s="38"/>
      <c r="LW181" s="38"/>
      <c r="LX181" s="38"/>
      <c r="LY181" s="38"/>
      <c r="LZ181" s="38"/>
      <c r="MA181" s="38"/>
      <c r="MB181" s="38"/>
      <c r="MC181" s="38"/>
      <c r="MD181" s="38"/>
      <c r="ME181" s="38"/>
      <c r="MF181" s="38"/>
      <c r="MG181" s="38"/>
      <c r="MH181" s="43">
        <f t="shared" si="695"/>
        <v>0</v>
      </c>
      <c r="MI181" s="43" t="str">
        <f t="shared" si="696"/>
        <v/>
      </c>
      <c r="MJ181" s="43" t="str">
        <f t="shared" si="697"/>
        <v/>
      </c>
      <c r="MK181" s="43">
        <f t="shared" si="698"/>
        <v>0</v>
      </c>
      <c r="ML18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1" s="43">
        <f t="shared" si="699"/>
        <v>12.428571428571429</v>
      </c>
      <c r="MN181" s="43">
        <f t="shared" si="700"/>
        <v>6</v>
      </c>
      <c r="MO181" s="43">
        <f t="shared" si="701"/>
        <v>2023</v>
      </c>
      <c r="MP181" s="43" t="str">
        <f t="shared" si="702"/>
        <v>II TRIMESTRE AÑO</v>
      </c>
      <c r="MQ181" s="43">
        <f t="shared" si="703"/>
        <v>25.862352168199735</v>
      </c>
      <c r="MR181" s="43">
        <f t="shared" si="704"/>
        <v>0</v>
      </c>
      <c r="MS181" s="43" t="str">
        <f t="shared" si="705"/>
        <v xml:space="preserve"> DE 25 A 29 AÑOS</v>
      </c>
      <c r="MT181" s="43">
        <f t="shared" si="706"/>
        <v>0</v>
      </c>
      <c r="MU181" s="43">
        <f t="shared" si="707"/>
        <v>0</v>
      </c>
      <c r="MV181" s="43">
        <f t="shared" si="708"/>
        <v>0</v>
      </c>
      <c r="MW181" s="43">
        <f t="shared" si="709"/>
        <v>0</v>
      </c>
      <c r="MX181" s="43" t="str">
        <f t="shared" si="710"/>
        <v/>
      </c>
      <c r="MY181" s="43" t="str">
        <f t="shared" ca="1" si="735"/>
        <v/>
      </c>
      <c r="MZ181" s="43" t="str">
        <f t="shared" si="711"/>
        <v/>
      </c>
      <c r="NA181" s="43" t="str">
        <f t="shared" si="712"/>
        <v/>
      </c>
      <c r="NB181" s="43" t="str">
        <f t="shared" si="713"/>
        <v/>
      </c>
      <c r="NC181" s="43" t="str">
        <f t="shared" si="714"/>
        <v/>
      </c>
      <c r="ND181" s="43">
        <f t="shared" ca="1" si="715"/>
        <v>0</v>
      </c>
      <c r="NE181" s="43">
        <f>IF(OR(O181&gt;0,R181&gt;0),SUM(COUNTIF(Tabla1[[#This Row],[AÑOS AL INICIO5 CPN]],"&gt;=40"),COUNTIF(AS181,"0"),COUNTIF(AR181,"SI"),COUNTIF(CC181,"SI"),COUNTIF(BQ181,"&gt;119"),COUNTIF(CI181,"&gt;=35")),"")</f>
        <v>0</v>
      </c>
      <c r="NF181" s="43" t="str">
        <f t="shared" si="716"/>
        <v/>
      </c>
      <c r="NG181" s="43">
        <f t="shared" si="717"/>
        <v>0</v>
      </c>
      <c r="NH181" s="43">
        <f t="shared" si="718"/>
        <v>149.1</v>
      </c>
      <c r="NI18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CPN",P181="NO"),"Z",IF(AND(Tabla1[[#This Row],[CITA PROXIMO CONTROL]]="CITA MANUAL",Tabla1[[#This Row],[GESTANTES ACTUALES]]="ACTIVA INGRESO A CPN"),"W",IF(AND(Tabla1[[#This Row],[GESTANTES ACTUALES]]="SALIO PROGRAMA",IN181=""),"S",IF(AND(Tabla1[[#This Row],[CITA PROXIMO CONTROL]]&gt;0,IN181=""),(Tabla1[[#This Row],[CITA PROXIMO CONTROL]]-TODAY()),"SD"))))))))</f>
        <v>#REF!</v>
      </c>
      <c r="NJ181" s="43">
        <f>MONTH(Tabla1[[#This Row],[FECHA DE SALIDA  DEL PROGRAMA]])</f>
        <v>1</v>
      </c>
      <c r="NK181" s="43">
        <f>YEAR(Tabla1[[#This Row],[FECHA DE SALIDA  DEL PROGRAMA]])</f>
        <v>1900</v>
      </c>
      <c r="NL181" s="43" t="str">
        <f t="shared" si="719"/>
        <v>X</v>
      </c>
      <c r="NM181" s="43" t="str">
        <f t="shared" si="693"/>
        <v>NO</v>
      </c>
      <c r="NN181" s="43" t="str">
        <f ca="1">IF(AND(O181&gt;0,R181=""),"NO CPN",IF(AND(O181="",R181=""),"",IF(AND(R181&gt;0,Tabla1[[#This Row],[SEMANAS DE GESTACION ACTUALIZADAS]]&lt;=12),"NO APLICA",IF(AND(FH181&lt;&gt;"",FN181&lt;&gt;""),"SI","NO"))))</f>
        <v>NO</v>
      </c>
      <c r="NO181" s="43" t="str">
        <f ca="1">IF(AND(O181&gt;0,R181=""),"NO CPN",IF(AND(O181="",R181=""),"",IF(AND(R181&gt;0,Tabla1[[#This Row],[SEMANAS DE GESTACION ACTUALIZADAS]]&lt;=27),"NO APLICA",IF(AND(ES181&lt;&gt;"",FQ181&lt;&gt;"",GF181&lt;&gt;""),"SI","NO"))))</f>
        <v>NO</v>
      </c>
      <c r="NP181" s="204" t="str">
        <f t="shared" si="720"/>
        <v>II TRIM</v>
      </c>
      <c r="NQ181" s="21" t="str">
        <f t="shared" si="729"/>
        <v/>
      </c>
      <c r="NR181" s="21">
        <f t="shared" ca="1" si="736"/>
        <v>2</v>
      </c>
      <c r="NS181" s="205">
        <f t="shared" ca="1" si="721"/>
        <v>1</v>
      </c>
      <c r="NT181" s="21">
        <f t="shared" ca="1" si="722"/>
        <v>1</v>
      </c>
      <c r="NU181" s="21" t="str">
        <f t="shared" ca="1" si="723"/>
        <v>INCOMPLETO</v>
      </c>
      <c r="NV181" s="21" t="str">
        <f t="shared" ca="1" si="724"/>
        <v>INCOMPLETO</v>
      </c>
      <c r="NW181" s="206" t="str">
        <f>IF(AND(O181="",R181=""),"",IF(OR(AND(Tabla1[[#This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1" s="207" t="str">
        <f t="shared" ca="1" si="725"/>
        <v>SIN VACUNAR</v>
      </c>
      <c r="NY181" s="43">
        <f>ROW(Tabla1[[#This Row],['# DE TAMIZAJES SIFILIS TOMADOS ]])</f>
        <v>181</v>
      </c>
      <c r="NZ181" s="43">
        <f t="shared" si="501"/>
        <v>12</v>
      </c>
      <c r="OA181" s="43" t="str">
        <f t="shared" si="502"/>
        <v/>
      </c>
      <c r="OB181" s="43" t="str">
        <f t="shared" si="503"/>
        <v/>
      </c>
      <c r="OC181" s="43" t="str">
        <f t="shared" si="504"/>
        <v/>
      </c>
      <c r="OD181" s="43" t="str">
        <f t="shared" si="505"/>
        <v>SOBREPESO</v>
      </c>
      <c r="OE181" s="43" t="str">
        <f t="shared" si="506"/>
        <v/>
      </c>
      <c r="OF181" s="43" t="str">
        <f t="shared" si="507"/>
        <v/>
      </c>
      <c r="OG181" s="43" t="str">
        <f t="shared" si="508"/>
        <v/>
      </c>
      <c r="OH181" s="43" t="str">
        <f t="shared" si="509"/>
        <v/>
      </c>
      <c r="OI181" s="43" t="str">
        <f t="shared" si="510"/>
        <v/>
      </c>
      <c r="OJ181" s="43" t="str">
        <f t="shared" si="511"/>
        <v/>
      </c>
      <c r="OK181" s="43" t="str">
        <f t="shared" si="512"/>
        <v/>
      </c>
      <c r="OL181" s="43" t="str">
        <f t="shared" si="513"/>
        <v/>
      </c>
      <c r="OM181" s="43" t="str">
        <f t="shared" si="514"/>
        <v/>
      </c>
      <c r="ON181" s="43" t="str">
        <f t="shared" si="515"/>
        <v/>
      </c>
      <c r="OO181" s="43" t="str">
        <f t="shared" si="516"/>
        <v/>
      </c>
      <c r="OP181" s="43" t="str">
        <f t="shared" si="517"/>
        <v/>
      </c>
      <c r="OQ181" s="43" t="str">
        <f t="shared" si="518"/>
        <v/>
      </c>
      <c r="OR181" s="43" t="str">
        <f t="shared" si="519"/>
        <v/>
      </c>
      <c r="OS181" s="43" t="str">
        <f t="shared" si="520"/>
        <v/>
      </c>
      <c r="OT181" s="43" t="str">
        <f t="shared" si="521"/>
        <v/>
      </c>
      <c r="OU181" s="43" t="str">
        <f t="shared" si="522"/>
        <v/>
      </c>
      <c r="OV181" s="110" t="str">
        <f t="shared" si="523"/>
        <v/>
      </c>
      <c r="OW181" s="43" t="str">
        <f t="shared" si="524"/>
        <v/>
      </c>
      <c r="OX181" s="43" t="str">
        <f t="shared" si="525"/>
        <v/>
      </c>
      <c r="OY181" s="43" t="str">
        <f t="shared" si="526"/>
        <v/>
      </c>
      <c r="OZ181" s="43" t="str">
        <f t="shared" si="527"/>
        <v/>
      </c>
      <c r="PA181" s="43" t="str">
        <f t="shared" si="528"/>
        <v/>
      </c>
      <c r="PB181" s="43" t="str">
        <f t="shared" si="529"/>
        <v/>
      </c>
      <c r="PC181" s="43" t="str">
        <f t="shared" si="530"/>
        <v/>
      </c>
      <c r="PD181" s="43" t="str">
        <f t="shared" si="531"/>
        <v/>
      </c>
      <c r="PE181" s="43" t="str">
        <f t="shared" si="532"/>
        <v/>
      </c>
      <c r="PF181" s="43" t="str">
        <f t="shared" si="533"/>
        <v/>
      </c>
      <c r="PG181" s="43" t="str">
        <f t="shared" si="534"/>
        <v/>
      </c>
      <c r="PH181" s="43" t="str">
        <f t="shared" si="535"/>
        <v/>
      </c>
      <c r="PI181" s="43">
        <f t="shared" si="536"/>
        <v>18</v>
      </c>
      <c r="PJ181" s="43" t="str">
        <f t="shared" si="537"/>
        <v/>
      </c>
      <c r="PK181" s="43" t="str">
        <f t="shared" si="538"/>
        <v/>
      </c>
      <c r="PL181" s="43" t="str">
        <f t="shared" si="539"/>
        <v/>
      </c>
      <c r="PM181" s="43" t="str">
        <f t="shared" si="540"/>
        <v/>
      </c>
      <c r="PN181" s="43" t="str">
        <f t="shared" si="541"/>
        <v/>
      </c>
      <c r="PO181" s="43" t="str">
        <f t="shared" si="542"/>
        <v/>
      </c>
      <c r="PP181" s="43" t="str">
        <f t="shared" si="543"/>
        <v/>
      </c>
      <c r="PQ181" s="43" t="str">
        <f t="shared" si="544"/>
        <v/>
      </c>
      <c r="PR181" s="43" t="str">
        <f t="shared" si="545"/>
        <v/>
      </c>
      <c r="PS181" s="43" t="str">
        <f t="shared" si="546"/>
        <v>SOBREPESO</v>
      </c>
      <c r="PT181" s="43" t="str">
        <f t="shared" si="547"/>
        <v/>
      </c>
      <c r="PU181" s="43" t="str">
        <f t="shared" si="548"/>
        <v/>
      </c>
      <c r="PV181" s="43" t="str">
        <f t="shared" si="549"/>
        <v/>
      </c>
      <c r="PW181" s="43" t="str">
        <f t="shared" si="550"/>
        <v/>
      </c>
      <c r="PX181" s="43" t="str">
        <f t="shared" si="551"/>
        <v/>
      </c>
      <c r="PY181" s="43" t="str">
        <f t="shared" si="552"/>
        <v/>
      </c>
      <c r="PZ181" s="43" t="str">
        <f t="shared" si="553"/>
        <v/>
      </c>
      <c r="QA181" s="43" t="str">
        <f t="shared" si="554"/>
        <v/>
      </c>
      <c r="QB181" s="43" t="str">
        <f t="shared" si="555"/>
        <v/>
      </c>
      <c r="QC181" s="43" t="str">
        <f t="shared" si="556"/>
        <v/>
      </c>
      <c r="QD181" s="43" t="str">
        <f t="shared" si="557"/>
        <v/>
      </c>
      <c r="QE181" s="43" t="str">
        <f t="shared" si="558"/>
        <v/>
      </c>
      <c r="QF181" s="43" t="str">
        <f t="shared" si="559"/>
        <v/>
      </c>
      <c r="QG181" s="43" t="str">
        <f t="shared" si="560"/>
        <v/>
      </c>
      <c r="QH181" s="43" t="str">
        <f t="shared" si="561"/>
        <v/>
      </c>
      <c r="QI181" s="43" t="str">
        <f t="shared" si="562"/>
        <v/>
      </c>
      <c r="QJ181" s="43" t="str">
        <f t="shared" si="563"/>
        <v/>
      </c>
      <c r="QK181" s="43" t="str">
        <f t="shared" si="564"/>
        <v/>
      </c>
      <c r="QL181" s="43" t="str">
        <f t="shared" si="565"/>
        <v/>
      </c>
      <c r="QM181" s="43" t="str">
        <f t="shared" si="566"/>
        <v/>
      </c>
      <c r="QN181" s="43" t="str">
        <f t="shared" si="567"/>
        <v/>
      </c>
      <c r="QO181" s="43" t="str">
        <f t="shared" si="568"/>
        <v/>
      </c>
      <c r="QP181" s="43" t="str">
        <f t="shared" si="569"/>
        <v/>
      </c>
      <c r="QQ181" s="43" t="str">
        <f t="shared" si="570"/>
        <v/>
      </c>
      <c r="QR181" s="43">
        <f t="shared" si="670"/>
        <v>18</v>
      </c>
      <c r="QS181" s="43"/>
      <c r="QT181" s="21" t="str">
        <f t="shared" si="571"/>
        <v/>
      </c>
      <c r="QU181" s="21" t="str">
        <f t="shared" si="572"/>
        <v/>
      </c>
      <c r="QV181" s="21" t="str">
        <f t="shared" si="573"/>
        <v/>
      </c>
      <c r="QW181" s="21" t="str">
        <f t="shared" si="574"/>
        <v/>
      </c>
      <c r="QX181" s="21" t="str">
        <f t="shared" si="575"/>
        <v/>
      </c>
      <c r="QY181" s="21" t="str">
        <f t="shared" si="576"/>
        <v>ADECUADO PARA EDAD GESTACIONAL</v>
      </c>
      <c r="QZ181" s="21" t="str">
        <f t="shared" si="577"/>
        <v/>
      </c>
      <c r="RA181" s="21" t="str">
        <f t="shared" si="578"/>
        <v/>
      </c>
      <c r="RB181" s="21" t="str">
        <f t="shared" si="579"/>
        <v/>
      </c>
      <c r="RC181" s="21" t="str">
        <f t="shared" si="580"/>
        <v/>
      </c>
      <c r="RD181" s="21" t="str">
        <f t="shared" si="581"/>
        <v/>
      </c>
      <c r="RE181" s="21" t="str">
        <f t="shared" si="582"/>
        <v/>
      </c>
      <c r="RF181" s="21" t="str">
        <f t="shared" si="583"/>
        <v/>
      </c>
      <c r="RG181" s="21" t="str">
        <f t="shared" si="584"/>
        <v/>
      </c>
      <c r="RH181" s="21" t="str">
        <f t="shared" si="585"/>
        <v/>
      </c>
      <c r="RI181" s="21" t="str">
        <f t="shared" si="586"/>
        <v/>
      </c>
      <c r="RJ181" s="21" t="str">
        <f t="shared" si="587"/>
        <v/>
      </c>
      <c r="RK181" s="21" t="str">
        <f t="shared" si="588"/>
        <v/>
      </c>
      <c r="RL181" s="21" t="str">
        <f t="shared" si="589"/>
        <v/>
      </c>
      <c r="RM181" s="21" t="str">
        <f t="shared" si="590"/>
        <v/>
      </c>
      <c r="RN181" s="21" t="str">
        <f t="shared" si="591"/>
        <v/>
      </c>
      <c r="RO181" s="21" t="str">
        <f t="shared" si="592"/>
        <v/>
      </c>
      <c r="RP181" s="21" t="str">
        <f t="shared" si="593"/>
        <v/>
      </c>
      <c r="RQ181" s="21" t="str">
        <f t="shared" si="594"/>
        <v/>
      </c>
      <c r="RR181" s="21" t="str">
        <f t="shared" si="595"/>
        <v/>
      </c>
      <c r="RS181" s="21" t="str">
        <f t="shared" si="596"/>
        <v/>
      </c>
      <c r="RT181" s="21" t="str">
        <f t="shared" si="597"/>
        <v/>
      </c>
      <c r="RU181" s="21" t="str">
        <f t="shared" si="598"/>
        <v/>
      </c>
      <c r="RV181" s="21">
        <f t="shared" si="599"/>
        <v>-1</v>
      </c>
      <c r="RW181" s="284">
        <f>IF(OR(Tabla1[[#This Row],[FUM FORMULA CONFIABLE]]="",Tabla1[[#This Row],[FUM FORMULA CONFIABLE]]="SD"),"",IF(Tabla1[[#This Row],[FUM FORMULA CONFIABLE]]="CORREGIDA",Tabla1[[#This Row],[FUM X ECO 1]],Tabla1[[#This Row],[FUM x AMENORREA]]))</f>
        <v>44999</v>
      </c>
      <c r="RX181" s="21">
        <f>IF(AND(Tabla1[[#This Row],[FUM X ECO 1]]="",Tabla1[[#This Row],[FUM x AMENORREA]]=""),"",IF(AND(Tabla1[[#This Row],[FUM X ECO 1]]="",Tabla1[[#This Row],[FUM x AMENORREA]]&lt;&gt;""),"X",SUM(Tabla1[[#This Row],[FUM X ECO 1]]-Tabla1[[#This Row],[FUM x AMENORREA]])))</f>
        <v>0.90000000000145519</v>
      </c>
      <c r="RY181" s="21">
        <f t="shared" si="671"/>
        <v>0</v>
      </c>
    </row>
    <row r="182" spans="1:493" ht="45" customHeight="1" x14ac:dyDescent="0.25">
      <c r="A182" s="109"/>
      <c r="B182" s="43"/>
      <c r="C182" s="43" t="s">
        <v>845</v>
      </c>
      <c r="D182" s="124"/>
      <c r="E182" s="43" t="s">
        <v>1513</v>
      </c>
      <c r="F182" s="43" t="s">
        <v>1514</v>
      </c>
      <c r="G182" s="43" t="s">
        <v>1515</v>
      </c>
      <c r="H182" s="43"/>
      <c r="I182" s="109" t="s">
        <v>851</v>
      </c>
      <c r="J182" s="110">
        <v>1067461286</v>
      </c>
      <c r="K182" s="43" t="s">
        <v>852</v>
      </c>
      <c r="L182" s="175" t="s">
        <v>1516</v>
      </c>
      <c r="M182" s="22">
        <v>36963</v>
      </c>
      <c r="N182" s="213">
        <f t="shared" ca="1" si="600"/>
        <v>22.657534246575342</v>
      </c>
      <c r="O182" s="22">
        <v>45087</v>
      </c>
      <c r="P182" s="214" t="str">
        <f t="shared" si="673"/>
        <v>SI</v>
      </c>
      <c r="Q182" s="26" t="s">
        <v>855</v>
      </c>
      <c r="R182" s="22">
        <v>45087</v>
      </c>
      <c r="S182" s="21" t="s">
        <v>856</v>
      </c>
      <c r="T182" s="24" t="s">
        <v>690</v>
      </c>
      <c r="U182" s="21" t="s">
        <v>857</v>
      </c>
      <c r="V182" s="21" t="s">
        <v>858</v>
      </c>
      <c r="W182" s="21" t="s">
        <v>1163</v>
      </c>
      <c r="X182" s="21"/>
      <c r="Y182" s="21"/>
      <c r="Z182" s="21"/>
      <c r="AA182" s="21" t="s">
        <v>860</v>
      </c>
      <c r="AB182" s="27" t="s">
        <v>861</v>
      </c>
      <c r="AC182" s="26" t="s">
        <v>888</v>
      </c>
      <c r="AD182" s="38" t="s">
        <v>1546</v>
      </c>
      <c r="AE182" s="26" t="s">
        <v>854</v>
      </c>
      <c r="AF182" s="26" t="s">
        <v>854</v>
      </c>
      <c r="AG182" s="23" t="s">
        <v>864</v>
      </c>
      <c r="AH182" s="23" t="s">
        <v>864</v>
      </c>
      <c r="AI182" s="24" t="s">
        <v>863</v>
      </c>
      <c r="AJ182" s="23" t="s">
        <v>864</v>
      </c>
      <c r="AK182" s="220" t="str">
        <f>IF(AND(AD182="",AE182="",AF182="",AG182="",AH182="",AI182="",AJ182=""),"",IF(OR(Tabla1[[#This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EVALUACIÓN",IF(AND(O182="",R182=""),"",IF(AND(OR(O182&gt;0,R182&gt;0),NG182&gt;=0,NG182&lt;2),"SIN RIESGO",IF(AND(OR(O182&gt;0,R182&gt;0),NG182&gt;=2),"CON RIESGO","ASD")))))</f>
        <v>SIN RIESGO</v>
      </c>
      <c r="AL182" s="23" t="s">
        <v>864</v>
      </c>
      <c r="AM182" s="26" t="s">
        <v>864</v>
      </c>
      <c r="AN182" s="26" t="s">
        <v>864</v>
      </c>
      <c r="AO182" s="26" t="s">
        <v>864</v>
      </c>
      <c r="AP182" s="26" t="s">
        <v>864</v>
      </c>
      <c r="AQ182" s="26" t="s">
        <v>864</v>
      </c>
      <c r="AR182" s="26" t="s">
        <v>864</v>
      </c>
      <c r="AS182" s="21">
        <v>0</v>
      </c>
      <c r="AT182" s="21">
        <v>0</v>
      </c>
      <c r="AU182" s="21">
        <v>0</v>
      </c>
      <c r="AV182" s="26" t="s">
        <v>864</v>
      </c>
      <c r="AW182" s="21">
        <v>0</v>
      </c>
      <c r="AX182" s="26" t="s">
        <v>864</v>
      </c>
      <c r="AY182" s="26" t="s">
        <v>864</v>
      </c>
      <c r="AZ182" s="26" t="s">
        <v>864</v>
      </c>
      <c r="BA182" s="26" t="s">
        <v>864</v>
      </c>
      <c r="BB182" s="26" t="s">
        <v>864</v>
      </c>
      <c r="BC182" s="26" t="s">
        <v>864</v>
      </c>
      <c r="BD182" s="26" t="s">
        <v>864</v>
      </c>
      <c r="BE182" s="26" t="s">
        <v>864</v>
      </c>
      <c r="BF182" s="26" t="s">
        <v>864</v>
      </c>
      <c r="BG182" s="26" t="s">
        <v>864</v>
      </c>
      <c r="BH182" s="26" t="s">
        <v>864</v>
      </c>
      <c r="BI182" s="26" t="s">
        <v>864</v>
      </c>
      <c r="BJ182" s="26" t="s">
        <v>864</v>
      </c>
      <c r="BK182" s="26" t="s">
        <v>865</v>
      </c>
      <c r="BL182" s="26" t="s">
        <v>864</v>
      </c>
      <c r="BM182" s="26" t="s">
        <v>864</v>
      </c>
      <c r="BN182" s="22"/>
      <c r="BO182" s="22">
        <v>44963</v>
      </c>
      <c r="BP182" s="21" t="s">
        <v>854</v>
      </c>
      <c r="BQ182" s="222">
        <f t="shared" si="601"/>
        <v>0</v>
      </c>
      <c r="BR182" s="223" t="str">
        <f t="shared" si="602"/>
        <v/>
      </c>
      <c r="BS182" s="224">
        <f t="shared" si="603"/>
        <v>17.714285714285715</v>
      </c>
      <c r="BT182" s="216" t="str">
        <f t="shared" si="604"/>
        <v>II TRIM</v>
      </c>
      <c r="BU182" s="214">
        <f t="shared" ca="1" si="605"/>
        <v>38.571428571428569</v>
      </c>
      <c r="BV182" s="25"/>
      <c r="BW182" s="22"/>
      <c r="BX182" s="28"/>
      <c r="BY182" s="28"/>
      <c r="BZ182" s="22"/>
      <c r="CA182" s="21"/>
      <c r="CB182" s="26"/>
      <c r="CC182" s="26"/>
      <c r="CD182" s="26"/>
      <c r="CE182" s="26"/>
      <c r="CF182" s="22" t="s">
        <v>1517</v>
      </c>
      <c r="CG182" s="21">
        <v>1.5</v>
      </c>
      <c r="CH182" s="21">
        <v>49.1</v>
      </c>
      <c r="CI182" s="214">
        <f t="shared" si="606"/>
        <v>21.822222222222223</v>
      </c>
      <c r="CJ182" s="225" t="e">
        <f>IF(AND(CI182&lt;10,CH182="SD"),"SIN DATO PESO PREGESTACION O I TRIM",IF(AND(OR(R182&gt;0,O182&gt;0),CI182="X"),"INGRESAR DATO DE PESO",IF(CI182="SD","INGRESAR DATO DE TALLA Y PESO",IF(AND(OR(Tabla1[[#This Row],[MOMENTO EN QUE SE REALIZA EL PESO AL INGRESO A CPN]]="PREGESTACIÓN",NZ182="Menor"),CI182&lt;18.5),"BAJO PESO",IF(AND(OR(Tabla1[[#This Row],[MOMENTO EN QUE SE REALIZA EL PESO AL INGRESO A CPN]]="PREGESTACIÓN",NZ182="Menor"),CI182&lt;25),"NORMAL",IF(AND(OR(Tabla1[[#This Row],[MOMENTO EN QUE SE REALIZA EL PESO AL INGRESO A CPN]]="PREGESTACIÓN",NZ182="Menor"),CI182&lt;30),"SOBREPESO",IF(AND(OR(Tabla1[[#This Row],[MOMENTO EN QUE SE REALIZA EL PESO AL INGRESO A CPN]]="PREGESTACIÓN",NZ182="Menor"),CI182&gt;=30,CI182&lt;50),"OBESIDAD",IF(AND(BS182&gt;0,Tabla1[[#This Row],[MOMENTO EN QUE SE REALIZA EL PESO AL INGRESO A CPN]]="GESTACIÓN"),HLOOKUP(NZ182,$OA$2:PH182,NY182),""))))))))</f>
        <v>#REF!</v>
      </c>
      <c r="CK182" s="212">
        <f t="shared" si="607"/>
        <v>45087</v>
      </c>
      <c r="CL182" s="21">
        <v>49.1</v>
      </c>
      <c r="CM182" s="214">
        <f t="shared" si="608"/>
        <v>21.822222222222223</v>
      </c>
      <c r="CN182" s="216">
        <f t="shared" si="609"/>
        <v>17</v>
      </c>
      <c r="CO182" s="216" t="e">
        <f>IF(PI182="","",IF(PI182&gt;0,HLOOKUP(PI182,$PJ$2:QQ182,NY182),""))</f>
        <v>#REF!</v>
      </c>
      <c r="CP182" s="21"/>
      <c r="CQ182" s="216" t="e">
        <f>IF(QR182="Menor","NO APLICA-MENOR 13 SEM",IF(AND(CC182="SI",CN182&gt;23),"NO APLICA- GEMELAR",IF(QR182="","",IF(QR182&gt;0,HLOOKUP(QR182,$QS$2:RU182,NY182),""))))</f>
        <v>#REF!</v>
      </c>
      <c r="CR182" s="21"/>
      <c r="CS182" s="21"/>
      <c r="CT182" s="217" t="str">
        <f>IF(R182="","",IF(AND(BS182&gt;1,BS182&lt;12,Tabla1[[#This Row],[T.A. SISTOLICA - ANTES DE SEMANA 12]]="",Tabla1[[#This Row],[T.A. DIASTOLICA - ANTES DE SEMANA 12]]=""),"REGISTRE DATO TA ANTES SEMANA 12",IF(AND(BS182&gt;11,BS182&lt;43,Tabla1[[#This Row],[T.A. SISTOLICA - ANTES DE SEMANA 12]]="",Tabla1[[#This Row],[T.A. DIASTOLICA - ANTES DE SEMANA 12]]=""),"NO APLICA REGISTRO TA-INGRESO TARDIO",IF(AND(OR(O182&gt;0,R182&gt;0),OR(CR182&gt;=140,CS182&gt;=90)),"DEFINIR ESTADIO HTA",IF(AND(OR(O182&gt;0,R182&gt;0),AND(CR182&gt;120,CR182&lt;=139)),"PRE HTA SEGUIMIENTO",IF(AND(OR(O182&gt;0,R182&gt;0),AND(CS182&gt;80,CS182&lt;=89)),"PRE HTA SEGUIMIENTO",IF(AND(OR(O182&gt;0,R182&gt;0),AND(CR182&gt;=80,CR182&lt;=120)),"APARENTEMENTE NORMAL",IF(AND(OR(O182&gt;0,R182&gt;0),AND(CS182&gt;=50,CS182&lt;=80)),"APARENTEMENTE NORMAL",IF(AND(OR(O182&gt;0,R182&gt;0),AND(CR182&gt;1,CR182&lt;=70),AND(CS182&gt;1,CS182&lt;=40)),"HIPOTENSIÓN","")))))))))</f>
        <v>NO APLICA REGISTRO TA-INGRESO TARDIO</v>
      </c>
      <c r="CU182" s="21"/>
      <c r="CV182" s="21"/>
      <c r="CW182" s="217" t="str">
        <f ca="1">IF(R182="","",IF(AND(CN182&gt;19,CN182&lt;27,Tabla1[[#This Row],[T.A. SISTOLICA (Entre semana 20 y 26)]]="",Tabla1[[#This Row],[T.A. DIATOLICA (Entre semana 20 y 26)]]=""),"ACUDE A CONTROL SEM 20 A 26 REGISTRE TA AHORA",IF(AND(BS182&gt;1,BS182&lt;27,BU182&gt;19,Tabla1[[#This Row],[T.A. SISTOLICA (Entre semana 20 y 26)]]="",Tabla1[[#This Row],[T.A. DIATOLICA (Entre semana 20 y 26)]]=""),"COMPLETE REGISTRO TA CONTROL SEM 20 A26 ",IF(AND(BS182&gt;26,BS182&lt;43,Tabla1[[#This Row],[T.A. SISTOLICA (Entre semana 20 y 26)]]="",Tabla1[[#This Row],[T.A. DIATOLICA (Entre semana 20 y 26)]]=""),"NO APLICA REGISTRO TA-INGRESO TARDIO",IF(AND(OR(O182&gt;0,R182&gt;0),OR(CU182&gt;=140,CV182&gt;=90)),"ALTO RIESGO PREECLAMPSIA,DEFINIR ESTADIO HTA",IF(AND(OR(O182&gt;0,R182&gt;0),AND(CU182&gt;120,CU182&lt;=139)),"PRE HTA SEGUIMIENTO,RIESGO HIPERTENSION INDUCIDA POR EL EMBARAZO",IF(AND(OR(O182&gt;0,R182&gt;0),AND(CV182&gt;80,CV182&lt;=89)),"PRE HTA SEGUIMIENTO, RIESGO HIPERTENSION INDUCIDA POR EL EMBARAZO",IF(AND(OR(O182&lt;&gt;"",R182&lt;&gt;""),CS182&lt;&gt;"",CV182&lt;&gt;"",CS182&lt;=CV182),"VIGILAR CIFRAS PRESION ARTERIAL",IF(AND(OR(O182&gt;0,R182&gt;0),AND(CU182&gt;120,CU182&lt;=139)),"PRE HTA SEGUIMIENTO",IF(AND(OR(O182&gt;0,R182&gt;0),AND(CU182&gt;1,CU182&lt;=70),AND(CV182&gt;1,CV182&lt;=40)),"HIPOTENSIÓN",IF(AND(OR(O182&lt;&gt;"",R182&lt;&gt;""),CS182&lt;&gt;"",CV182&lt;&gt;"",CS182&gt;CV182),"APARENTEMENTE NORMAL",IF(AND(OR(O182&gt;0,R182&gt;0),AND(CU182&gt;=80,CU182&lt;=120)),"APARENTEMENTE NORMAL",IF(AND(OR(O182&gt;0,R182&gt;0),AND(CV182&gt;=50,CV182&lt;=80)),"APARENTEMENTE NORMAL","")))))))))))))</f>
        <v xml:space="preserve">COMPLETE REGISTRO TA CONTROL SEM 20 A26 </v>
      </c>
      <c r="CX182" s="21"/>
      <c r="CY182" s="21"/>
      <c r="CZ182" s="216" t="str">
        <f t="shared" si="727"/>
        <v/>
      </c>
      <c r="DA182" s="21">
        <v>90</v>
      </c>
      <c r="DB182" s="21">
        <v>60</v>
      </c>
      <c r="DC182" s="217" t="str">
        <f t="shared" si="610"/>
        <v>APARENTEMENTE NORMAL</v>
      </c>
      <c r="DD182" s="22">
        <v>45087</v>
      </c>
      <c r="DE182" s="22">
        <v>45087</v>
      </c>
      <c r="DF182" s="22"/>
      <c r="DG182" s="22"/>
      <c r="DH182" s="22"/>
      <c r="DI182" s="22"/>
      <c r="DJ182" s="22"/>
      <c r="DK182" s="22"/>
      <c r="DL182" s="22"/>
      <c r="DM182" s="22"/>
      <c r="DN182" s="22"/>
      <c r="DO182" s="22"/>
      <c r="DP182" s="22"/>
      <c r="DQ182" s="22"/>
      <c r="DR182" s="28">
        <v>0</v>
      </c>
      <c r="DS182" s="22"/>
      <c r="DT182" s="22"/>
      <c r="DU182" s="216" t="str">
        <f t="shared" ca="1" si="674"/>
        <v>CONCERTAR PLAN DE PARTO INMEDIATO</v>
      </c>
      <c r="DV182" s="226" t="str">
        <f t="shared" si="675"/>
        <v>ACTIVA INGRESO A CPN</v>
      </c>
      <c r="DW18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2" s="216" t="e">
        <f t="shared" ca="1" si="611"/>
        <v>#REF!</v>
      </c>
      <c r="DY182" s="212">
        <f>IF(R182="","",IF(R182&gt;0,MAX(Tabla1[[#This Row],[FECHA C2]:[FECHA C13]],Tabla1[[#This Row],[FECHA CONSULTA PRIMERA VEZ PROGRAMA CPN ]])))</f>
        <v>45087</v>
      </c>
      <c r="DZ182" s="216">
        <f t="shared" si="612"/>
        <v>17</v>
      </c>
      <c r="EA182" s="222">
        <f>IF(R182&gt;0,SUM(COUNTA(DF182:DQ182)+COUNTA(Tabla1[[#This Row],[FECHA CONSULTA PRIMERA VEZ PROGRAMA CPN ]])),"")</f>
        <v>1</v>
      </c>
      <c r="EB182" s="222" t="str">
        <f t="shared" si="613"/>
        <v>NO</v>
      </c>
      <c r="EC182" s="214">
        <f t="shared" si="614"/>
        <v>7</v>
      </c>
      <c r="ED182" s="227">
        <f t="shared" si="615"/>
        <v>0.14285714285714285</v>
      </c>
      <c r="EE182" s="22">
        <v>45087</v>
      </c>
      <c r="EF182" s="22"/>
      <c r="EG182" s="22">
        <v>45087</v>
      </c>
      <c r="EH182" s="22"/>
      <c r="EI182" s="22">
        <v>45087</v>
      </c>
      <c r="EJ182" s="22"/>
      <c r="EK182" s="22"/>
      <c r="EL182" s="21"/>
      <c r="EM182" s="21"/>
      <c r="EN182" s="22"/>
      <c r="EO182" s="222" t="str">
        <f t="shared" si="616"/>
        <v>TOMAR EXAMEN</v>
      </c>
      <c r="EP182" s="214" t="str">
        <f t="shared" si="617"/>
        <v/>
      </c>
      <c r="EQ182" s="216" t="str">
        <f t="shared" si="618"/>
        <v>POR DEFINIR</v>
      </c>
      <c r="ER182" s="24"/>
      <c r="ES182" s="22"/>
      <c r="ET182" s="29" t="str">
        <f t="shared" ca="1" si="676"/>
        <v>TOMA DE HEMOGLOBINA TARDÍA</v>
      </c>
      <c r="EU182" s="25" t="str">
        <f t="shared" si="619"/>
        <v/>
      </c>
      <c r="EV182" s="24"/>
      <c r="EW182" s="24"/>
      <c r="EX182" s="22"/>
      <c r="EY182" s="29" t="str">
        <f t="shared" si="691"/>
        <v>TOMAR EXAMEN</v>
      </c>
      <c r="EZ182" s="25" t="str">
        <f t="shared" ca="1" si="692"/>
        <v/>
      </c>
      <c r="FA182" s="21"/>
      <c r="FB182" s="22"/>
      <c r="FC182" s="29" t="str">
        <f t="shared" si="620"/>
        <v>TOMAR EXAMEN</v>
      </c>
      <c r="FD182" s="29"/>
      <c r="FE182" s="29"/>
      <c r="FF182" s="29"/>
      <c r="FG182" s="21" t="str">
        <f t="shared" ca="1" si="621"/>
        <v>TOMAR PTOG</v>
      </c>
      <c r="FH182" s="31"/>
      <c r="FI182" s="29" t="str">
        <f t="shared" si="622"/>
        <v>TOMAR EXAMEN</v>
      </c>
      <c r="FJ182" s="22"/>
      <c r="FK182" s="22"/>
      <c r="FL182" s="29" t="str">
        <f t="shared" ca="1" si="623"/>
        <v>NO APLICA-INGRESO TARDIO</v>
      </c>
      <c r="FM182" s="22"/>
      <c r="FN182" s="32"/>
      <c r="FO182" s="29" t="str">
        <f t="shared" ca="1" si="677"/>
        <v>PIERDE TOMA DE TAMIZAJE</v>
      </c>
      <c r="FP182" s="22"/>
      <c r="FQ182" s="32"/>
      <c r="FR182" s="29" t="str">
        <f t="shared" ca="1" si="678"/>
        <v>TOMA INMEDIATA DE TAMIZAJE</v>
      </c>
      <c r="FS182" s="22"/>
      <c r="FT182" s="32"/>
      <c r="FU182" s="29" t="str">
        <f>IF(AND(FJ182="",FM182="",FP182="",FS182=""),"",IF(OR(OR(Tabla1[[#This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2" s="28"/>
      <c r="FW182" s="22"/>
      <c r="FX182" s="29" t="str">
        <f t="shared" si="624"/>
        <v>TOMAR EXAMEN</v>
      </c>
      <c r="FY182" s="22"/>
      <c r="FZ182" s="22"/>
      <c r="GA182" s="29" t="str">
        <f t="shared" ca="1" si="690"/>
        <v>NO APLICA-INGRESO TARDIO</v>
      </c>
      <c r="GB182" s="22"/>
      <c r="GC182" s="22"/>
      <c r="GD182" s="29" t="str">
        <f t="shared" ca="1" si="730"/>
        <v>PIERDE TOMA DE TAMIZAJE</v>
      </c>
      <c r="GE182" s="22"/>
      <c r="GF182" s="22"/>
      <c r="GG182" s="29" t="str">
        <f t="shared" ca="1" si="680"/>
        <v>TOMA INMEDIATA DE TAMIZAJE</v>
      </c>
      <c r="GH182" s="22"/>
      <c r="GI182" s="29"/>
      <c r="GJ182" s="22"/>
      <c r="GK182" s="22"/>
      <c r="GL182" s="22"/>
      <c r="GM182" s="22"/>
      <c r="GN182" s="28"/>
      <c r="GO182" s="22"/>
      <c r="GP182" s="29" t="str">
        <f t="shared" si="625"/>
        <v>TOMAR EXAMEN</v>
      </c>
      <c r="GQ182" s="28"/>
      <c r="GR182" s="28"/>
      <c r="GS182" s="22" t="str">
        <f t="shared" si="726"/>
        <v/>
      </c>
      <c r="GT182" s="22"/>
      <c r="GU182" s="29" t="str">
        <f t="shared" si="627"/>
        <v>TOMAR EXAMEN</v>
      </c>
      <c r="GV182" s="21" t="str">
        <f t="shared" si="628"/>
        <v>POR DEFINIR</v>
      </c>
      <c r="GW182" s="28"/>
      <c r="GX182" s="30"/>
      <c r="GY182" s="21"/>
      <c r="GZ182" s="21"/>
      <c r="HA182" s="21"/>
      <c r="HB182" s="21"/>
      <c r="HC182" s="21"/>
      <c r="HD182" s="21"/>
      <c r="HE182" s="21"/>
      <c r="HF182" s="22"/>
      <c r="HG182" s="22" t="str">
        <f>IF(OR(O182&gt;0,R182&gt;0),CONCATENATE(IF(Tabla1[[#This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2" s="22" t="e">
        <f t="shared" si="629"/>
        <v>#REF!</v>
      </c>
      <c r="HI182" s="22" t="e">
        <f t="shared" ca="1" si="630"/>
        <v>#REF!</v>
      </c>
      <c r="HJ182" s="21"/>
      <c r="HK182" s="21" t="str">
        <f t="shared" si="631"/>
        <v>SIN ANTECEDENTES DE RIESGO</v>
      </c>
      <c r="HL182" s="24" t="str">
        <f t="shared" si="632"/>
        <v>APARENTEMENTE NORMAL</v>
      </c>
      <c r="HM182" s="21" t="e">
        <f t="shared" ca="1" si="633"/>
        <v>#REF!</v>
      </c>
      <c r="HN182" s="30" t="str">
        <f t="shared" si="681"/>
        <v>ACTIVA INGRESO A CPN</v>
      </c>
      <c r="HO182" s="21"/>
      <c r="HP182" s="21"/>
      <c r="HQ182" s="349"/>
      <c r="HR182" s="21" t="str">
        <f>IF(R182="","",IF(Tabla1[[#This Row],[ALARMA FACTORES DE RIESGO COMPLICACIONES HIPERTENSIVAS3]]="SIN ANTECEDENTES DE RIESGO","No Aplica para suministro de ASA",IF(AND(Tabla1[[#This Row],[FECHA INICIO DE SUMINISTRO DE ASA]]&gt;0,RV182&lt;12),"Inicia ASA ANTES de Sem 12",IF(AND(RV182&gt;11,RV182&lt;17,OR(HK182="RIESGO ALTO DE COMPLICACIONES HIPERTENSIVAS VER MANEJO GUIA SUMINISTRO ASA Y CALCIO",HK182="RIESGO MODERADO (2 O MAS CRITERIOS) VER MANEJO GUIA SUMINISTRO ASA Y CALCIO")),"Inicio oportuno de ASA",IF(AND(RV182&gt;12,OR(HK182="RIESGO ALTO DE COMPLICACIONES HIPERTENSIVAS VER MANEJO GUIA SUMINISTRO ASA Y CALCIO",HK182="RIESGO MODERADO (2 O MAS CRITERIOS) VER MANEJO GUIA SUMINISTRO ASA Y CALCIO")),"Inicio no oportuno mayor a 16 semanas",IF(AND(BU182&lt;12,OR(HK182="RIESGO ALTO DE COMPLICACIONES HIPERTENSIVAS VER MANEJO GUIA SUMINISTRO ASA Y CALCIO",HK182="RIESGO MODERADO (2 O MAS CRITERIOS) VER MANEJO GUIA SUMINISTRO ASA Y CALCIO")),"Pendiente Inicio de ASA a la semana 12",IF(AND(BU182&gt;11,BU182&lt;17,OR(HK182="RIESGO ALTO DE COMPLICACIONES HIPERTENSIVAS VER MANEJO GUIA SUMINISTRO ASA Y CALCIO",HK182="RIESGO MODERADO (2 O MAS CRITERIOS) VER MANEJO GUIA SUMINISTRO ASA Y CALCIO")),"Iniciar de inmediato ASA",IF(AND(BU182&gt;16,OR(HK182="RIESGO ALTO DE COMPLICACIONES HIPERTENSIVAS VER MANEJO GUIA SUMINISTRO ASA Y CALCIO",HK182="RIESGO MODERADO (2 O MAS CRITERIOS) VER MANEJO GUIA SUMINISTRO ASA Y CALCIO")),"Pierde Oportunidad, Inicio tardío de ASA","XXXXX"))))))))</f>
        <v>No Aplica para suministro de ASA</v>
      </c>
      <c r="HS182" s="22">
        <v>45087</v>
      </c>
      <c r="HT182" s="22" t="s">
        <v>1518</v>
      </c>
      <c r="HU182" s="22"/>
      <c r="HV182" s="22"/>
      <c r="HW182" s="22">
        <v>45087</v>
      </c>
      <c r="HX182" s="22" t="s">
        <v>1511</v>
      </c>
      <c r="HY182" s="22"/>
      <c r="HZ182" s="28" t="str">
        <f t="shared" si="634"/>
        <v>PENDIENTE CONSULTA</v>
      </c>
      <c r="IA182" s="26"/>
      <c r="IB182" s="26"/>
      <c r="IC182" s="111"/>
      <c r="ID182" s="22"/>
      <c r="IE182" s="22" t="str">
        <f t="shared" ca="1" si="635"/>
        <v>INASISTENTE</v>
      </c>
      <c r="IF182" s="22"/>
      <c r="IG182" s="22">
        <f t="shared" si="636"/>
        <v>45243</v>
      </c>
      <c r="IH182" s="29">
        <f t="shared" ca="1" si="637"/>
        <v>10</v>
      </c>
      <c r="II182" s="22" t="str">
        <f t="shared" ca="1" si="638"/>
        <v>MENOS DE 4 SEMANAS</v>
      </c>
      <c r="IJ182" s="22"/>
      <c r="IK182" s="21"/>
      <c r="IL182" s="21"/>
      <c r="IM182" s="34"/>
      <c r="IN182" s="22"/>
      <c r="IO182" s="21"/>
      <c r="IP182" s="29" t="str">
        <f t="shared" si="728"/>
        <v/>
      </c>
      <c r="IQ182" s="35"/>
      <c r="IR182" s="21"/>
      <c r="IS182" s="21"/>
      <c r="IT182" s="21"/>
      <c r="IU182" s="21"/>
      <c r="IV182" s="21"/>
      <c r="IW182" s="21"/>
      <c r="IX182" s="21"/>
      <c r="IY182" s="21"/>
      <c r="IZ182" s="21"/>
      <c r="JA182" s="21"/>
      <c r="JB182" s="30"/>
      <c r="JC182" s="21"/>
      <c r="JD182" s="36"/>
      <c r="JE182" s="21" t="str">
        <f t="shared" si="731"/>
        <v/>
      </c>
      <c r="JF182" s="30"/>
      <c r="JG182" s="21"/>
      <c r="JH182" s="21"/>
      <c r="JI182" s="21"/>
      <c r="JJ182" s="30"/>
      <c r="JK182" s="22"/>
      <c r="JL182" s="22"/>
      <c r="JM182" s="21"/>
      <c r="JN182" s="36"/>
      <c r="JO182" s="21" t="str">
        <f t="shared" si="732"/>
        <v/>
      </c>
      <c r="JP182" s="22"/>
      <c r="JQ182" s="21"/>
      <c r="JR182" s="21"/>
      <c r="JS182" s="21"/>
      <c r="JT182" s="30"/>
      <c r="JU182" s="22"/>
      <c r="JV182" s="22"/>
      <c r="JW182" s="33"/>
      <c r="JX182" s="28" t="str">
        <f t="shared" si="733"/>
        <v/>
      </c>
      <c r="JY182" s="33"/>
      <c r="JZ182" s="28" t="str">
        <f t="shared" si="734"/>
        <v/>
      </c>
      <c r="KA182" s="21"/>
      <c r="KB182" s="21"/>
      <c r="KC182" s="21"/>
      <c r="KD182" s="37"/>
      <c r="KE182" s="28"/>
      <c r="KF182" s="28"/>
      <c r="KG182" s="28"/>
      <c r="KH182" s="39"/>
      <c r="KI182" s="39"/>
      <c r="KJ182" s="66"/>
      <c r="KK182" s="39"/>
      <c r="KL182" s="39"/>
      <c r="KM182" s="66"/>
      <c r="KN182" s="39"/>
      <c r="KO182" s="39"/>
      <c r="KP182" s="39"/>
      <c r="KQ182" s="39"/>
      <c r="KR182" s="39"/>
      <c r="KS182" s="39"/>
      <c r="KT182" s="39"/>
      <c r="KU182" s="38"/>
      <c r="KV182" s="38"/>
      <c r="KW182" s="38"/>
      <c r="KX182" s="38"/>
      <c r="KY182" s="38"/>
      <c r="KZ182" s="38"/>
      <c r="LA182" s="38"/>
      <c r="LB182" s="38"/>
      <c r="LC182" s="38"/>
      <c r="LD182" s="38"/>
      <c r="LE182" s="38"/>
      <c r="LF182" s="38"/>
      <c r="LG182" s="38"/>
      <c r="LH182" s="38"/>
      <c r="LI182" s="38"/>
      <c r="LJ182" s="38"/>
      <c r="LK182" s="38"/>
      <c r="LL182" s="38"/>
      <c r="LM182" s="38"/>
      <c r="LN182" s="38"/>
      <c r="LO182" s="38"/>
      <c r="LP182" s="38"/>
      <c r="LQ182" s="38"/>
      <c r="LR182" s="38"/>
      <c r="LS182" s="38"/>
      <c r="LT182" s="38"/>
      <c r="LU182" s="38"/>
      <c r="LV182" s="38"/>
      <c r="LW182" s="38"/>
      <c r="LX182" s="38"/>
      <c r="LY182" s="38"/>
      <c r="LZ182" s="38"/>
      <c r="MA182" s="38"/>
      <c r="MB182" s="38"/>
      <c r="MC182" s="38"/>
      <c r="MD182" s="38"/>
      <c r="ME182" s="38"/>
      <c r="MF182" s="38"/>
      <c r="MG182" s="38"/>
      <c r="MH182" s="43">
        <f t="shared" si="695"/>
        <v>0</v>
      </c>
      <c r="MI182" s="43" t="str">
        <f t="shared" si="696"/>
        <v/>
      </c>
      <c r="MJ182" s="43" t="str">
        <f t="shared" si="697"/>
        <v/>
      </c>
      <c r="MK182" s="43">
        <f t="shared" si="698"/>
        <v>0</v>
      </c>
      <c r="ML18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2" s="43">
        <f t="shared" si="699"/>
        <v>17.714285714285715</v>
      </c>
      <c r="MN182" s="43">
        <f t="shared" si="700"/>
        <v>6</v>
      </c>
      <c r="MO182" s="43">
        <f t="shared" si="701"/>
        <v>2023</v>
      </c>
      <c r="MP182" s="43" t="str">
        <f t="shared" si="702"/>
        <v>II TRIMESTRE AÑO</v>
      </c>
      <c r="MQ182" s="43">
        <f t="shared" si="703"/>
        <v>21.920170827858083</v>
      </c>
      <c r="MR182" s="43">
        <f t="shared" si="704"/>
        <v>0</v>
      </c>
      <c r="MS182" s="43" t="str">
        <f t="shared" si="705"/>
        <v xml:space="preserve"> DE 20 A 24 AÑOS</v>
      </c>
      <c r="MT182" s="43">
        <f t="shared" si="706"/>
        <v>0</v>
      </c>
      <c r="MU182" s="43">
        <f t="shared" si="707"/>
        <v>1</v>
      </c>
      <c r="MV182" s="43">
        <f t="shared" si="708"/>
        <v>0</v>
      </c>
      <c r="MW182" s="43">
        <f t="shared" si="709"/>
        <v>0</v>
      </c>
      <c r="MX182" s="43" t="str">
        <f t="shared" si="710"/>
        <v/>
      </c>
      <c r="MY182" s="43" t="str">
        <f t="shared" ca="1" si="735"/>
        <v/>
      </c>
      <c r="MZ182" s="43" t="str">
        <f t="shared" si="711"/>
        <v/>
      </c>
      <c r="NA182" s="43" t="str">
        <f t="shared" si="712"/>
        <v/>
      </c>
      <c r="NB182" s="43" t="str">
        <f t="shared" si="713"/>
        <v/>
      </c>
      <c r="NC182" s="43" t="str">
        <f t="shared" si="714"/>
        <v/>
      </c>
      <c r="ND182" s="43">
        <f t="shared" ca="1" si="715"/>
        <v>1</v>
      </c>
      <c r="NE182" s="43">
        <f>IF(OR(O182&gt;0,R182&gt;0),SUM(COUNTIF(Tabla1[[#This Row],[AÑOS AL INICIO5 CPN]],"&gt;=40"),COUNTIF(AS182,"0"),COUNTIF(AR182,"SI"),COUNTIF(CC182,"SI"),COUNTIF(BQ182,"&gt;119"),COUNTIF(CI182,"&gt;=35")),"")</f>
        <v>1</v>
      </c>
      <c r="NF182" s="43" t="str">
        <f t="shared" si="716"/>
        <v/>
      </c>
      <c r="NG182" s="43">
        <f t="shared" si="717"/>
        <v>0</v>
      </c>
      <c r="NH182" s="43" t="str">
        <f t="shared" si="718"/>
        <v/>
      </c>
      <c r="NI18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CPN",P182="NO"),"Z",IF(AND(Tabla1[[#This Row],[CITA PROXIMO CONTROL]]="CITA MANUAL",Tabla1[[#This Row],[GESTANTES ACTUALES]]="ACTIVA INGRESO A CPN"),"W",IF(AND(Tabla1[[#This Row],[GESTANTES ACTUALES]]="SALIO PROGRAMA",IN182=""),"S",IF(AND(Tabla1[[#This Row],[CITA PROXIMO CONTROL]]&gt;0,IN182=""),(Tabla1[[#This Row],[CITA PROXIMO CONTROL]]-TODAY()),"SD"))))))))</f>
        <v>#REF!</v>
      </c>
      <c r="NJ182" s="43">
        <f>MONTH(Tabla1[[#This Row],[FECHA DE SALIDA  DEL PROGRAMA]])</f>
        <v>1</v>
      </c>
      <c r="NK182" s="43">
        <f>YEAR(Tabla1[[#This Row],[FECHA DE SALIDA  DEL PROGRAMA]])</f>
        <v>1900</v>
      </c>
      <c r="NL182" s="43" t="str">
        <f t="shared" si="719"/>
        <v>X</v>
      </c>
      <c r="NM182" s="43" t="str">
        <f t="shared" si="693"/>
        <v>NO</v>
      </c>
      <c r="NN182" s="43" t="str">
        <f ca="1">IF(AND(O182&gt;0,R182=""),"NO CPN",IF(AND(O182="",R182=""),"",IF(AND(R182&gt;0,Tabla1[[#This Row],[SEMANAS DE GESTACION ACTUALIZADAS]]&lt;=12),"NO APLICA",IF(AND(FH182&lt;&gt;"",FN182&lt;&gt;""),"SI","NO"))))</f>
        <v>NO</v>
      </c>
      <c r="NO182" s="43" t="str">
        <f ca="1">IF(AND(O182&gt;0,R182=""),"NO CPN",IF(AND(O182="",R182=""),"",IF(AND(R182&gt;0,Tabla1[[#This Row],[SEMANAS DE GESTACION ACTUALIZADAS]]&lt;=27),"NO APLICA",IF(AND(ES182&lt;&gt;"",FQ182&lt;&gt;"",GF182&lt;&gt;""),"SI","NO"))))</f>
        <v>NO</v>
      </c>
      <c r="NP182" s="204" t="str">
        <f t="shared" si="720"/>
        <v>II TRIM</v>
      </c>
      <c r="NQ182" s="21" t="str">
        <f t="shared" si="729"/>
        <v/>
      </c>
      <c r="NR182" s="21">
        <f t="shared" ca="1" si="736"/>
        <v>2</v>
      </c>
      <c r="NS182" s="205">
        <f t="shared" ca="1" si="721"/>
        <v>0</v>
      </c>
      <c r="NT182" s="21">
        <f t="shared" ca="1" si="722"/>
        <v>0</v>
      </c>
      <c r="NU182" s="21" t="str">
        <f t="shared" ca="1" si="723"/>
        <v>INCOMPLETO</v>
      </c>
      <c r="NV182" s="21" t="str">
        <f t="shared" ca="1" si="724"/>
        <v>INCOMPLETO</v>
      </c>
      <c r="NW182" s="206" t="str">
        <f>IF(AND(O182="",R182=""),"",IF(OR(AND(Tabla1[[#This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2" s="207" t="str">
        <f t="shared" ca="1" si="725"/>
        <v>SIN VACUNAR</v>
      </c>
      <c r="NY182" s="43">
        <f>ROW(Tabla1[[#This Row],['# DE TAMIZAJES SIFILIS TOMADOS ]])</f>
        <v>182</v>
      </c>
      <c r="NZ182" s="43">
        <f t="shared" si="501"/>
        <v>17</v>
      </c>
      <c r="OA182" s="43" t="str">
        <f t="shared" si="502"/>
        <v/>
      </c>
      <c r="OB182" s="43" t="str">
        <f t="shared" si="503"/>
        <v/>
      </c>
      <c r="OC182" s="43" t="str">
        <f t="shared" si="504"/>
        <v/>
      </c>
      <c r="OD182" s="43" t="str">
        <f t="shared" si="505"/>
        <v/>
      </c>
      <c r="OE182" s="43" t="str">
        <f t="shared" si="506"/>
        <v/>
      </c>
      <c r="OF182" s="43" t="str">
        <f t="shared" si="507"/>
        <v/>
      </c>
      <c r="OG182" s="43" t="str">
        <f t="shared" si="508"/>
        <v/>
      </c>
      <c r="OH182" s="43" t="str">
        <f t="shared" si="509"/>
        <v/>
      </c>
      <c r="OI182" s="43" t="str">
        <f t="shared" si="510"/>
        <v>NORMAL</v>
      </c>
      <c r="OJ182" s="43" t="str">
        <f t="shared" si="511"/>
        <v/>
      </c>
      <c r="OK182" s="43" t="str">
        <f t="shared" si="512"/>
        <v/>
      </c>
      <c r="OL182" s="43" t="str">
        <f t="shared" si="513"/>
        <v/>
      </c>
      <c r="OM182" s="43" t="str">
        <f t="shared" si="514"/>
        <v/>
      </c>
      <c r="ON182" s="43" t="str">
        <f t="shared" si="515"/>
        <v/>
      </c>
      <c r="OO182" s="43" t="str">
        <f t="shared" si="516"/>
        <v/>
      </c>
      <c r="OP182" s="43" t="str">
        <f t="shared" si="517"/>
        <v/>
      </c>
      <c r="OQ182" s="43" t="str">
        <f t="shared" si="518"/>
        <v/>
      </c>
      <c r="OR182" s="43" t="str">
        <f t="shared" si="519"/>
        <v/>
      </c>
      <c r="OS182" s="43" t="str">
        <f t="shared" si="520"/>
        <v/>
      </c>
      <c r="OT182" s="43" t="str">
        <f t="shared" si="521"/>
        <v/>
      </c>
      <c r="OU182" s="43" t="str">
        <f t="shared" si="522"/>
        <v/>
      </c>
      <c r="OV182" s="110" t="str">
        <f t="shared" si="523"/>
        <v/>
      </c>
      <c r="OW182" s="43" t="str">
        <f t="shared" si="524"/>
        <v/>
      </c>
      <c r="OX182" s="43" t="str">
        <f t="shared" si="525"/>
        <v/>
      </c>
      <c r="OY182" s="43" t="str">
        <f t="shared" si="526"/>
        <v/>
      </c>
      <c r="OZ182" s="43" t="str">
        <f t="shared" si="527"/>
        <v/>
      </c>
      <c r="PA182" s="43" t="str">
        <f t="shared" si="528"/>
        <v/>
      </c>
      <c r="PB182" s="43" t="str">
        <f t="shared" si="529"/>
        <v/>
      </c>
      <c r="PC182" s="43" t="str">
        <f t="shared" si="530"/>
        <v/>
      </c>
      <c r="PD182" s="43" t="str">
        <f t="shared" si="531"/>
        <v/>
      </c>
      <c r="PE182" s="43" t="str">
        <f t="shared" si="532"/>
        <v/>
      </c>
      <c r="PF182" s="43" t="str">
        <f t="shared" si="533"/>
        <v/>
      </c>
      <c r="PG182" s="43" t="str">
        <f t="shared" si="534"/>
        <v/>
      </c>
      <c r="PH182" s="43" t="str">
        <f t="shared" si="535"/>
        <v/>
      </c>
      <c r="PI182" s="43">
        <f t="shared" si="536"/>
        <v>17</v>
      </c>
      <c r="PJ182" s="43" t="str">
        <f t="shared" si="537"/>
        <v/>
      </c>
      <c r="PK182" s="43" t="str">
        <f t="shared" si="538"/>
        <v/>
      </c>
      <c r="PL182" s="43" t="str">
        <f t="shared" si="539"/>
        <v/>
      </c>
      <c r="PM182" s="43" t="str">
        <f t="shared" si="540"/>
        <v/>
      </c>
      <c r="PN182" s="43" t="str">
        <f t="shared" si="541"/>
        <v/>
      </c>
      <c r="PO182" s="43" t="str">
        <f t="shared" si="542"/>
        <v/>
      </c>
      <c r="PP182" s="43" t="str">
        <f t="shared" si="543"/>
        <v/>
      </c>
      <c r="PQ182" s="43" t="str">
        <f t="shared" si="544"/>
        <v/>
      </c>
      <c r="PR182" s="43" t="str">
        <f t="shared" si="545"/>
        <v>NORMAL</v>
      </c>
      <c r="PS182" s="43" t="str">
        <f t="shared" si="546"/>
        <v/>
      </c>
      <c r="PT182" s="43" t="str">
        <f t="shared" si="547"/>
        <v/>
      </c>
      <c r="PU182" s="43" t="str">
        <f t="shared" si="548"/>
        <v/>
      </c>
      <c r="PV182" s="43" t="str">
        <f t="shared" si="549"/>
        <v/>
      </c>
      <c r="PW182" s="43" t="str">
        <f t="shared" si="550"/>
        <v/>
      </c>
      <c r="PX182" s="43" t="str">
        <f t="shared" si="551"/>
        <v/>
      </c>
      <c r="PY182" s="43" t="str">
        <f t="shared" si="552"/>
        <v/>
      </c>
      <c r="PZ182" s="43" t="str">
        <f t="shared" si="553"/>
        <v/>
      </c>
      <c r="QA182" s="43" t="str">
        <f t="shared" si="554"/>
        <v/>
      </c>
      <c r="QB182" s="43" t="str">
        <f t="shared" si="555"/>
        <v/>
      </c>
      <c r="QC182" s="43" t="str">
        <f t="shared" si="556"/>
        <v/>
      </c>
      <c r="QD182" s="43" t="str">
        <f t="shared" si="557"/>
        <v/>
      </c>
      <c r="QE182" s="43" t="str">
        <f t="shared" si="558"/>
        <v/>
      </c>
      <c r="QF182" s="43" t="str">
        <f t="shared" si="559"/>
        <v/>
      </c>
      <c r="QG182" s="43" t="str">
        <f t="shared" si="560"/>
        <v/>
      </c>
      <c r="QH182" s="43" t="str">
        <f t="shared" si="561"/>
        <v/>
      </c>
      <c r="QI182" s="43" t="str">
        <f t="shared" si="562"/>
        <v/>
      </c>
      <c r="QJ182" s="43" t="str">
        <f t="shared" si="563"/>
        <v/>
      </c>
      <c r="QK182" s="43" t="str">
        <f t="shared" si="564"/>
        <v/>
      </c>
      <c r="QL182" s="43" t="str">
        <f t="shared" si="565"/>
        <v/>
      </c>
      <c r="QM182" s="43" t="str">
        <f t="shared" si="566"/>
        <v/>
      </c>
      <c r="QN182" s="43" t="str">
        <f t="shared" si="567"/>
        <v/>
      </c>
      <c r="QO182" s="43" t="str">
        <f t="shared" si="568"/>
        <v/>
      </c>
      <c r="QP182" s="43" t="str">
        <f t="shared" si="569"/>
        <v/>
      </c>
      <c r="QQ182" s="43" t="str">
        <f t="shared" si="570"/>
        <v/>
      </c>
      <c r="QR182" s="43">
        <f t="shared" si="670"/>
        <v>17</v>
      </c>
      <c r="QS182" s="43"/>
      <c r="QT182" s="21" t="str">
        <f t="shared" si="571"/>
        <v/>
      </c>
      <c r="QU182" s="21" t="str">
        <f t="shared" si="572"/>
        <v/>
      </c>
      <c r="QV182" s="21" t="str">
        <f t="shared" si="573"/>
        <v/>
      </c>
      <c r="QW182" s="21" t="str">
        <f t="shared" si="574"/>
        <v/>
      </c>
      <c r="QX182" s="21" t="str">
        <f t="shared" si="575"/>
        <v/>
      </c>
      <c r="QY182" s="21" t="str">
        <f t="shared" si="576"/>
        <v/>
      </c>
      <c r="QZ182" s="21" t="str">
        <f t="shared" si="577"/>
        <v/>
      </c>
      <c r="RA182" s="21" t="str">
        <f t="shared" si="578"/>
        <v/>
      </c>
      <c r="RB182" s="21" t="str">
        <f t="shared" si="579"/>
        <v/>
      </c>
      <c r="RC182" s="21" t="str">
        <f t="shared" si="580"/>
        <v/>
      </c>
      <c r="RD182" s="21" t="str">
        <f t="shared" si="581"/>
        <v/>
      </c>
      <c r="RE182" s="21" t="str">
        <f t="shared" si="582"/>
        <v/>
      </c>
      <c r="RF182" s="21" t="str">
        <f t="shared" si="583"/>
        <v/>
      </c>
      <c r="RG182" s="21" t="str">
        <f t="shared" si="584"/>
        <v/>
      </c>
      <c r="RH182" s="21" t="str">
        <f t="shared" si="585"/>
        <v/>
      </c>
      <c r="RI182" s="21" t="str">
        <f t="shared" si="586"/>
        <v/>
      </c>
      <c r="RJ182" s="21" t="str">
        <f t="shared" si="587"/>
        <v/>
      </c>
      <c r="RK182" s="21" t="str">
        <f t="shared" si="588"/>
        <v/>
      </c>
      <c r="RL182" s="21" t="str">
        <f t="shared" si="589"/>
        <v/>
      </c>
      <c r="RM182" s="21" t="str">
        <f t="shared" si="590"/>
        <v/>
      </c>
      <c r="RN182" s="21" t="str">
        <f t="shared" si="591"/>
        <v/>
      </c>
      <c r="RO182" s="21" t="str">
        <f t="shared" si="592"/>
        <v/>
      </c>
      <c r="RP182" s="21" t="str">
        <f t="shared" si="593"/>
        <v/>
      </c>
      <c r="RQ182" s="21" t="str">
        <f t="shared" si="594"/>
        <v/>
      </c>
      <c r="RR182" s="21" t="str">
        <f t="shared" si="595"/>
        <v/>
      </c>
      <c r="RS182" s="21" t="str">
        <f t="shared" si="596"/>
        <v/>
      </c>
      <c r="RT182" s="21" t="str">
        <f t="shared" si="597"/>
        <v/>
      </c>
      <c r="RU182" s="21" t="str">
        <f t="shared" si="598"/>
        <v/>
      </c>
      <c r="RV182" s="21">
        <f t="shared" si="599"/>
        <v>-1</v>
      </c>
      <c r="RW182" s="284">
        <f>IF(OR(Tabla1[[#This Row],[FUM FORMULA CONFIABLE]]="",Tabla1[[#This Row],[FUM FORMULA CONFIABLE]]="SD"),"",IF(Tabla1[[#This Row],[FUM FORMULA CONFIABLE]]="CORREGIDA",Tabla1[[#This Row],[FUM X ECO 1]],Tabla1[[#This Row],[FUM x AMENORREA]]))</f>
        <v>44963</v>
      </c>
      <c r="RX182" s="21" t="str">
        <f>IF(AND(Tabla1[[#This Row],[FUM X ECO 1]]="",Tabla1[[#This Row],[FUM x AMENORREA]]=""),"",IF(AND(Tabla1[[#This Row],[FUM X ECO 1]]="",Tabla1[[#This Row],[FUM x AMENORREA]]&lt;&gt;""),"X",SUM(Tabla1[[#This Row],[FUM X ECO 1]]-Tabla1[[#This Row],[FUM x AMENORREA]])))</f>
        <v>X</v>
      </c>
      <c r="RY182" s="21" t="str">
        <f t="shared" si="671"/>
        <v>x</v>
      </c>
    </row>
    <row r="183" spans="1:493" ht="45" customHeight="1" x14ac:dyDescent="0.25">
      <c r="A183" s="109"/>
      <c r="B183" s="43"/>
      <c r="C183" s="43" t="s">
        <v>845</v>
      </c>
      <c r="D183" s="124"/>
      <c r="E183" s="43" t="s">
        <v>1519</v>
      </c>
      <c r="F183" s="43" t="s">
        <v>848</v>
      </c>
      <c r="G183" s="43" t="s">
        <v>1520</v>
      </c>
      <c r="H183" s="43" t="s">
        <v>1521</v>
      </c>
      <c r="I183" s="109" t="s">
        <v>851</v>
      </c>
      <c r="J183" s="110">
        <v>1002950269</v>
      </c>
      <c r="K183" s="43" t="s">
        <v>852</v>
      </c>
      <c r="L183" s="175" t="s">
        <v>1516</v>
      </c>
      <c r="M183" s="22">
        <v>37950</v>
      </c>
      <c r="N183" s="213">
        <f t="shared" ca="1" si="600"/>
        <v>19.953424657534246</v>
      </c>
      <c r="O183" s="22">
        <v>45049</v>
      </c>
      <c r="P183" s="214" t="str">
        <f t="shared" si="673"/>
        <v>SI</v>
      </c>
      <c r="Q183" s="26" t="s">
        <v>855</v>
      </c>
      <c r="R183" s="22">
        <v>45049</v>
      </c>
      <c r="S183" s="21" t="s">
        <v>856</v>
      </c>
      <c r="T183" s="24" t="s">
        <v>690</v>
      </c>
      <c r="U183" s="21" t="s">
        <v>857</v>
      </c>
      <c r="V183" s="21" t="s">
        <v>858</v>
      </c>
      <c r="W183" s="21" t="s">
        <v>1522</v>
      </c>
      <c r="X183" s="21"/>
      <c r="Y183" s="21"/>
      <c r="Z183" s="21">
        <v>3125472546</v>
      </c>
      <c r="AA183" s="21" t="s">
        <v>860</v>
      </c>
      <c r="AB183" s="27" t="s">
        <v>861</v>
      </c>
      <c r="AC183" s="26" t="s">
        <v>888</v>
      </c>
      <c r="AD183" s="38" t="s">
        <v>1546</v>
      </c>
      <c r="AE183" s="26" t="s">
        <v>854</v>
      </c>
      <c r="AF183" s="26" t="s">
        <v>854</v>
      </c>
      <c r="AG183" s="23" t="s">
        <v>864</v>
      </c>
      <c r="AH183" s="23" t="s">
        <v>864</v>
      </c>
      <c r="AI183" s="24" t="s">
        <v>863</v>
      </c>
      <c r="AJ183" s="23" t="s">
        <v>864</v>
      </c>
      <c r="AK183" s="220" t="str">
        <f>IF(AND(AD183="",AE183="",AF183="",AG183="",AH183="",AI183="",AJ183=""),"",IF(OR(Tabla1[[#This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EVALUACIÓN",IF(AND(O183="",R183=""),"",IF(AND(OR(O183&gt;0,R183&gt;0),NG183&gt;=0,NG183&lt;2),"SIN RIESGO",IF(AND(OR(O183&gt;0,R183&gt;0),NG183&gt;=2),"CON RIESGO","ASD")))))</f>
        <v>SIN RIESGO</v>
      </c>
      <c r="AL183" s="23" t="s">
        <v>864</v>
      </c>
      <c r="AM183" s="26" t="s">
        <v>864</v>
      </c>
      <c r="AN183" s="26" t="s">
        <v>864</v>
      </c>
      <c r="AO183" s="26" t="s">
        <v>864</v>
      </c>
      <c r="AP183" s="26" t="s">
        <v>864</v>
      </c>
      <c r="AQ183" s="26" t="s">
        <v>864</v>
      </c>
      <c r="AR183" s="26" t="s">
        <v>864</v>
      </c>
      <c r="AS183" s="21">
        <v>1</v>
      </c>
      <c r="AT183" s="21">
        <v>0</v>
      </c>
      <c r="AU183" s="21">
        <v>1</v>
      </c>
      <c r="AV183" s="26" t="s">
        <v>864</v>
      </c>
      <c r="AW183" s="21">
        <v>0</v>
      </c>
      <c r="AX183" s="26" t="s">
        <v>864</v>
      </c>
      <c r="AY183" s="26" t="s">
        <v>864</v>
      </c>
      <c r="AZ183" s="26" t="s">
        <v>864</v>
      </c>
      <c r="BA183" s="26" t="s">
        <v>864</v>
      </c>
      <c r="BB183" s="26" t="s">
        <v>864</v>
      </c>
      <c r="BC183" s="26" t="s">
        <v>864</v>
      </c>
      <c r="BD183" s="26" t="s">
        <v>864</v>
      </c>
      <c r="BE183" s="26" t="s">
        <v>864</v>
      </c>
      <c r="BF183" s="26" t="s">
        <v>864</v>
      </c>
      <c r="BG183" s="26" t="s">
        <v>864</v>
      </c>
      <c r="BH183" s="26" t="s">
        <v>864</v>
      </c>
      <c r="BI183" s="26" t="s">
        <v>864</v>
      </c>
      <c r="BJ183" s="26" t="s">
        <v>864</v>
      </c>
      <c r="BK183" s="26" t="s">
        <v>865</v>
      </c>
      <c r="BL183" s="26" t="s">
        <v>864</v>
      </c>
      <c r="BM183" s="26" t="s">
        <v>864</v>
      </c>
      <c r="BN183" s="22"/>
      <c r="BO183" s="22">
        <v>44975</v>
      </c>
      <c r="BP183" s="21" t="s">
        <v>854</v>
      </c>
      <c r="BQ183" s="222">
        <f t="shared" si="601"/>
        <v>0</v>
      </c>
      <c r="BR183" s="223" t="str">
        <f t="shared" si="602"/>
        <v/>
      </c>
      <c r="BS183" s="224">
        <f t="shared" si="603"/>
        <v>10.571428571428571</v>
      </c>
      <c r="BT183" s="216" t="str">
        <f t="shared" si="604"/>
        <v>II TRIM</v>
      </c>
      <c r="BU183" s="214">
        <f t="shared" ca="1" si="605"/>
        <v>36.857142857142854</v>
      </c>
      <c r="BV183" s="25"/>
      <c r="BW183" s="22"/>
      <c r="BX183" s="28"/>
      <c r="BY183" s="28"/>
      <c r="BZ183" s="22"/>
      <c r="CA183" s="21"/>
      <c r="CB183" s="26"/>
      <c r="CC183" s="26"/>
      <c r="CD183" s="26"/>
      <c r="CE183" s="26"/>
      <c r="CF183" s="22" t="s">
        <v>1517</v>
      </c>
      <c r="CG183" s="21">
        <v>1.49</v>
      </c>
      <c r="CH183" s="21">
        <v>47</v>
      </c>
      <c r="CI183" s="214">
        <f t="shared" si="606"/>
        <v>21.170217557767668</v>
      </c>
      <c r="CJ183" s="225" t="e">
        <f>IF(AND(CI183&lt;10,CH183="SD"),"SIN DATO PESO PREGESTACION O I TRIM",IF(AND(OR(R183&gt;0,O183&gt;0),CI183="X"),"INGRESAR DATO DE PESO",IF(CI183="SD","INGRESAR DATO DE TALLA Y PESO",IF(AND(OR(Tabla1[[#This Row],[MOMENTO EN QUE SE REALIZA EL PESO AL INGRESO A CPN]]="PREGESTACIÓN",NZ183="Menor"),CI183&lt;18.5),"BAJO PESO",IF(AND(OR(Tabla1[[#This Row],[MOMENTO EN QUE SE REALIZA EL PESO AL INGRESO A CPN]]="PREGESTACIÓN",NZ183="Menor"),CI183&lt;25),"NORMAL",IF(AND(OR(Tabla1[[#This Row],[MOMENTO EN QUE SE REALIZA EL PESO AL INGRESO A CPN]]="PREGESTACIÓN",NZ183="Menor"),CI183&lt;30),"SOBREPESO",IF(AND(OR(Tabla1[[#This Row],[MOMENTO EN QUE SE REALIZA EL PESO AL INGRESO A CPN]]="PREGESTACIÓN",NZ183="Menor"),CI183&gt;=30,CI183&lt;50),"OBESIDAD",IF(AND(BS183&gt;0,Tabla1[[#This Row],[MOMENTO EN QUE SE REALIZA EL PESO AL INGRESO A CPN]]="GESTACIÓN"),HLOOKUP(NZ183,$OA$2:PH183,NY183),""))))))))</f>
        <v>#REF!</v>
      </c>
      <c r="CK183" s="212">
        <f t="shared" si="607"/>
        <v>45049</v>
      </c>
      <c r="CL183" s="21">
        <v>47</v>
      </c>
      <c r="CM183" s="214">
        <f t="shared" si="608"/>
        <v>21.170217557767668</v>
      </c>
      <c r="CN183" s="216">
        <f t="shared" si="609"/>
        <v>10</v>
      </c>
      <c r="CO183" s="216" t="e">
        <f>IF(PI183="","",IF(PI183&gt;0,HLOOKUP(PI183,$PJ$2:QQ183,NY183),""))</f>
        <v>#REF!</v>
      </c>
      <c r="CP183" s="21"/>
      <c r="CQ183" s="216" t="str">
        <f>IF(QR183="Menor","NO APLICA-MENOR 13 SEM",IF(AND(CC183="SI",CN183&gt;23),"NO APLICA- GEMELAR",IF(QR183="","",IF(QR183&gt;0,HLOOKUP(QR183,$QS$2:RU183,NY183),""))))</f>
        <v>NO APLICA-MENOR 13 SEM</v>
      </c>
      <c r="CR183" s="21">
        <v>100</v>
      </c>
      <c r="CS183" s="21">
        <v>60</v>
      </c>
      <c r="CT183" s="217" t="str">
        <f>IF(R183="","",IF(AND(BS183&gt;1,BS183&lt;12,Tabla1[[#This Row],[T.A. SISTOLICA - ANTES DE SEMANA 12]]="",Tabla1[[#This Row],[T.A. DIASTOLICA - ANTES DE SEMANA 12]]=""),"REGISTRE DATO TA ANTES SEMANA 12",IF(AND(BS183&gt;11,BS183&lt;43,Tabla1[[#This Row],[T.A. SISTOLICA - ANTES DE SEMANA 12]]="",Tabla1[[#This Row],[T.A. DIASTOLICA - ANTES DE SEMANA 12]]=""),"NO APLICA REGISTRO TA-INGRESO TARDIO",IF(AND(OR(O183&gt;0,R183&gt;0),OR(CR183&gt;=140,CS183&gt;=90)),"DEFINIR ESTADIO HTA",IF(AND(OR(O183&gt;0,R183&gt;0),AND(CR183&gt;120,CR183&lt;=139)),"PRE HTA SEGUIMIENTO",IF(AND(OR(O183&gt;0,R183&gt;0),AND(CS183&gt;80,CS183&lt;=89)),"PRE HTA SEGUIMIENTO",IF(AND(OR(O183&gt;0,R183&gt;0),AND(CR183&gt;=80,CR183&lt;=120)),"APARENTEMENTE NORMAL",IF(AND(OR(O183&gt;0,R183&gt;0),AND(CS183&gt;=50,CS183&lt;=80)),"APARENTEMENTE NORMAL",IF(AND(OR(O183&gt;0,R183&gt;0),AND(CR183&gt;1,CR183&lt;=70),AND(CS183&gt;1,CS183&lt;=40)),"HIPOTENSIÓN","")))))))))</f>
        <v>APARENTEMENTE NORMAL</v>
      </c>
      <c r="CU183" s="21"/>
      <c r="CV183" s="21"/>
      <c r="CW183" s="217" t="str">
        <f ca="1">IF(R183="","",IF(AND(CN183&gt;19,CN183&lt;27,Tabla1[[#This Row],[T.A. SISTOLICA (Entre semana 20 y 26)]]="",Tabla1[[#This Row],[T.A. DIATOLICA (Entre semana 20 y 26)]]=""),"ACUDE A CONTROL SEM 20 A 26 REGISTRE TA AHORA",IF(AND(BS183&gt;1,BS183&lt;27,BU183&gt;19,Tabla1[[#This Row],[T.A. SISTOLICA (Entre semana 20 y 26)]]="",Tabla1[[#This Row],[T.A. DIATOLICA (Entre semana 20 y 26)]]=""),"COMPLETE REGISTRO TA CONTROL SEM 20 A26 ",IF(AND(BS183&gt;26,BS183&lt;43,Tabla1[[#This Row],[T.A. SISTOLICA (Entre semana 20 y 26)]]="",Tabla1[[#This Row],[T.A. DIATOLICA (Entre semana 20 y 26)]]=""),"NO APLICA REGISTRO TA-INGRESO TARDIO",IF(AND(OR(O183&gt;0,R183&gt;0),OR(CU183&gt;=140,CV183&gt;=90)),"ALTO RIESGO PREECLAMPSIA,DEFINIR ESTADIO HTA",IF(AND(OR(O183&gt;0,R183&gt;0),AND(CU183&gt;120,CU183&lt;=139)),"PRE HTA SEGUIMIENTO,RIESGO HIPERTENSION INDUCIDA POR EL EMBARAZO",IF(AND(OR(O183&gt;0,R183&gt;0),AND(CV183&gt;80,CV183&lt;=89)),"PRE HTA SEGUIMIENTO, RIESGO HIPERTENSION INDUCIDA POR EL EMBARAZO",IF(AND(OR(O183&lt;&gt;"",R183&lt;&gt;""),CS183&lt;&gt;"",CV183&lt;&gt;"",CS183&lt;=CV183),"VIGILAR CIFRAS PRESION ARTERIAL",IF(AND(OR(O183&gt;0,R183&gt;0),AND(CU183&gt;120,CU183&lt;=139)),"PRE HTA SEGUIMIENTO",IF(AND(OR(O183&gt;0,R183&gt;0),AND(CU183&gt;1,CU183&lt;=70),AND(CV183&gt;1,CV183&lt;=40)),"HIPOTENSIÓN",IF(AND(OR(O183&lt;&gt;"",R183&lt;&gt;""),CS183&lt;&gt;"",CV183&lt;&gt;"",CS183&gt;CV183),"APARENTEMENTE NORMAL",IF(AND(OR(O183&gt;0,R183&gt;0),AND(CU183&gt;=80,CU183&lt;=120)),"APARENTEMENTE NORMAL",IF(AND(OR(O183&gt;0,R183&gt;0),AND(CV183&gt;=50,CV183&lt;=80)),"APARENTEMENTE NORMAL","")))))))))))))</f>
        <v xml:space="preserve">COMPLETE REGISTRO TA CONTROL SEM 20 A26 </v>
      </c>
      <c r="CX183" s="21"/>
      <c r="CY183" s="21"/>
      <c r="CZ183" s="216" t="str">
        <f t="shared" si="727"/>
        <v/>
      </c>
      <c r="DA183" s="21">
        <v>100</v>
      </c>
      <c r="DB183" s="21">
        <v>60</v>
      </c>
      <c r="DC183" s="217" t="str">
        <f t="shared" si="610"/>
        <v>APARENTEMENTE NORMAL</v>
      </c>
      <c r="DD183" s="22">
        <v>45049</v>
      </c>
      <c r="DE183" s="22">
        <v>45049</v>
      </c>
      <c r="DF183" s="22"/>
      <c r="DG183" s="22"/>
      <c r="DH183" s="22"/>
      <c r="DI183" s="22"/>
      <c r="DJ183" s="22"/>
      <c r="DK183" s="22"/>
      <c r="DL183" s="22"/>
      <c r="DM183" s="22"/>
      <c r="DN183" s="22"/>
      <c r="DO183" s="22"/>
      <c r="DP183" s="22"/>
      <c r="DQ183" s="22"/>
      <c r="DR183" s="28">
        <v>0</v>
      </c>
      <c r="DS183" s="22"/>
      <c r="DT183" s="22"/>
      <c r="DU183" s="216" t="str">
        <f t="shared" ca="1" si="674"/>
        <v>CONCERTAR PLAN DE PARTO INMEDIATO</v>
      </c>
      <c r="DV183" s="226" t="str">
        <f t="shared" si="675"/>
        <v>ACTIVA INGRESO A CPN</v>
      </c>
      <c r="DW18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3" s="216" t="e">
        <f t="shared" ca="1" si="611"/>
        <v>#REF!</v>
      </c>
      <c r="DY183" s="212">
        <f>IF(R183="","",IF(R183&gt;0,MAX(Tabla1[[#This Row],[FECHA C2]:[FECHA C13]],Tabla1[[#This Row],[FECHA CONSULTA PRIMERA VEZ PROGRAMA CPN ]])))</f>
        <v>45049</v>
      </c>
      <c r="DZ183" s="216">
        <f t="shared" si="612"/>
        <v>10</v>
      </c>
      <c r="EA183" s="222">
        <f>IF(R183&gt;0,SUM(COUNTA(DF183:DQ183)+COUNTA(Tabla1[[#This Row],[FECHA CONSULTA PRIMERA VEZ PROGRAMA CPN ]])),"")</f>
        <v>1</v>
      </c>
      <c r="EB183" s="222" t="str">
        <f t="shared" si="613"/>
        <v>NO</v>
      </c>
      <c r="EC183" s="214">
        <f t="shared" si="614"/>
        <v>9</v>
      </c>
      <c r="ED183" s="227">
        <f t="shared" si="615"/>
        <v>0.1111111111111111</v>
      </c>
      <c r="EE183" s="22">
        <v>45049</v>
      </c>
      <c r="EF183" s="22"/>
      <c r="EG183" s="22">
        <v>45049</v>
      </c>
      <c r="EH183" s="22"/>
      <c r="EI183" s="22">
        <v>45049</v>
      </c>
      <c r="EJ183" s="22"/>
      <c r="EK183" s="22"/>
      <c r="EL183" s="21"/>
      <c r="EM183" s="21">
        <v>12.3</v>
      </c>
      <c r="EN183" s="22">
        <v>45049</v>
      </c>
      <c r="EO183" s="222">
        <f t="shared" si="616"/>
        <v>10.571428571428571</v>
      </c>
      <c r="EP183" s="214" t="str">
        <f t="shared" si="617"/>
        <v>NORMAL- SUMINISTRAR SULFATO FERROSO</v>
      </c>
      <c r="EQ183" s="216" t="str">
        <f t="shared" si="618"/>
        <v>I TRIM</v>
      </c>
      <c r="ER183" s="24"/>
      <c r="ES183" s="22"/>
      <c r="ET183" s="29" t="str">
        <f t="shared" ca="1" si="676"/>
        <v>TOMA DE HEMOGLOBINA TARDÍA</v>
      </c>
      <c r="EU183" s="25" t="str">
        <f t="shared" si="619"/>
        <v/>
      </c>
      <c r="EV183" s="24" t="s">
        <v>1510</v>
      </c>
      <c r="EW183" s="32">
        <v>45049</v>
      </c>
      <c r="EX183" s="22"/>
      <c r="EY183" s="29">
        <f t="shared" si="691"/>
        <v>10.571428571428571</v>
      </c>
      <c r="EZ183" s="25" t="str">
        <f t="shared" si="692"/>
        <v>SIN RIESGO DE ISOINMUNIZACIÓN</v>
      </c>
      <c r="FA183" s="21">
        <v>73</v>
      </c>
      <c r="FB183" s="22">
        <v>45049</v>
      </c>
      <c r="FC183" s="29">
        <f t="shared" si="620"/>
        <v>10.571428571428571</v>
      </c>
      <c r="FD183" s="29"/>
      <c r="FE183" s="29"/>
      <c r="FF183" s="29"/>
      <c r="FG183" s="21" t="str">
        <f t="shared" ca="1" si="621"/>
        <v>TOMAR PTOG</v>
      </c>
      <c r="FH183" s="31"/>
      <c r="FI183" s="29" t="str">
        <f t="shared" si="622"/>
        <v>TOMAR EXAMEN</v>
      </c>
      <c r="FJ183" s="22"/>
      <c r="FK183" s="22"/>
      <c r="FL183" s="29" t="str">
        <f t="shared" ca="1" si="623"/>
        <v>PIERDE TOMA DE TAMIZAJE</v>
      </c>
      <c r="FM183" s="22"/>
      <c r="FN183" s="32"/>
      <c r="FO183" s="29" t="str">
        <f t="shared" ca="1" si="677"/>
        <v>PIERDE TOMA DE TAMIZAJE</v>
      </c>
      <c r="FP183" s="22"/>
      <c r="FQ183" s="32"/>
      <c r="FR183" s="29" t="str">
        <f t="shared" ca="1" si="678"/>
        <v>TOMA INMEDIATA DE TAMIZAJE</v>
      </c>
      <c r="FS183" s="22"/>
      <c r="FT183" s="32"/>
      <c r="FU183" s="29" t="str">
        <f>IF(AND(FJ183="",FM183="",FP183="",FS183=""),"",IF(OR(OR(Tabla1[[#This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3" s="28"/>
      <c r="FW183" s="22"/>
      <c r="FX183" s="29" t="str">
        <f t="shared" si="624"/>
        <v>TOMAR EXAMEN</v>
      </c>
      <c r="FY183" s="22" t="s">
        <v>868</v>
      </c>
      <c r="FZ183" s="22">
        <v>45049</v>
      </c>
      <c r="GA183" s="29">
        <f t="shared" ca="1" si="690"/>
        <v>10.571428571428571</v>
      </c>
      <c r="GB183" s="22"/>
      <c r="GC183" s="22"/>
      <c r="GD183" s="29" t="str">
        <f t="shared" ca="1" si="730"/>
        <v>PIERDE TOMA DE TAMIZAJE</v>
      </c>
      <c r="GE183" s="22"/>
      <c r="GF183" s="22"/>
      <c r="GG183" s="29" t="str">
        <f t="shared" ca="1" si="680"/>
        <v>TOMA INMEDIATA DE TAMIZAJE</v>
      </c>
      <c r="GH183" s="22"/>
      <c r="GI183" s="29"/>
      <c r="GJ183" s="22"/>
      <c r="GK183" s="22"/>
      <c r="GL183" s="22"/>
      <c r="GM183" s="22"/>
      <c r="GN183" s="28" t="s">
        <v>869</v>
      </c>
      <c r="GO183" s="22">
        <v>45049</v>
      </c>
      <c r="GP183" s="29">
        <f t="shared" si="625"/>
        <v>10.571428571428571</v>
      </c>
      <c r="GQ183" s="28" t="s">
        <v>869</v>
      </c>
      <c r="GR183" s="28" t="s">
        <v>869</v>
      </c>
      <c r="GS183" s="22" t="str">
        <f t="shared" si="726"/>
        <v>CONTROL Igm</v>
      </c>
      <c r="GT183" s="22">
        <v>45049</v>
      </c>
      <c r="GU183" s="29">
        <f t="shared" si="627"/>
        <v>10.571428571428571</v>
      </c>
      <c r="GV183" s="21" t="str">
        <f t="shared" si="628"/>
        <v>I TRIM</v>
      </c>
      <c r="GW183" s="28"/>
      <c r="GX183" s="30"/>
      <c r="GY183" s="21"/>
      <c r="GZ183" s="21"/>
      <c r="HA183" s="21"/>
      <c r="HB183" s="21"/>
      <c r="HC183" s="21"/>
      <c r="HD183" s="21"/>
      <c r="HE183" s="21"/>
      <c r="HF183" s="22"/>
      <c r="HG183" s="22" t="str">
        <f>IF(OR(O183&gt;0,R183&gt;0),CONCATENATE(IF(Tabla1[[#This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3" s="22" t="e">
        <f t="shared" si="629"/>
        <v>#REF!</v>
      </c>
      <c r="HI183" s="22" t="e">
        <f t="shared" ca="1" si="630"/>
        <v>#REF!</v>
      </c>
      <c r="HJ183" s="21"/>
      <c r="HK183" s="21" t="str">
        <f t="shared" si="631"/>
        <v>SIN ANTECEDENTES DE RIESGO</v>
      </c>
      <c r="HL183" s="24" t="str">
        <f t="shared" si="632"/>
        <v>APARENTEMENTE NORMAL</v>
      </c>
      <c r="HM183" s="21" t="e">
        <f t="shared" ca="1" si="633"/>
        <v>#REF!</v>
      </c>
      <c r="HN183" s="30" t="str">
        <f t="shared" si="681"/>
        <v>ACTIVA INGRESO A CPN</v>
      </c>
      <c r="HO183" s="21"/>
      <c r="HP183" s="21"/>
      <c r="HQ183" s="349"/>
      <c r="HR183" s="21" t="str">
        <f>IF(R183="","",IF(Tabla1[[#This Row],[ALARMA FACTORES DE RIESGO COMPLICACIONES HIPERTENSIVAS3]]="SIN ANTECEDENTES DE RIESGO","No Aplica para suministro de ASA",IF(AND(Tabla1[[#This Row],[FECHA INICIO DE SUMINISTRO DE ASA]]&gt;0,RV183&lt;12),"Inicia ASA ANTES de Sem 12",IF(AND(RV183&gt;11,RV183&lt;17,OR(HK183="RIESGO ALTO DE COMPLICACIONES HIPERTENSIVAS VER MANEJO GUIA SUMINISTRO ASA Y CALCIO",HK183="RIESGO MODERADO (2 O MAS CRITERIOS) VER MANEJO GUIA SUMINISTRO ASA Y CALCIO")),"Inicio oportuno de ASA",IF(AND(RV183&gt;12,OR(HK183="RIESGO ALTO DE COMPLICACIONES HIPERTENSIVAS VER MANEJO GUIA SUMINISTRO ASA Y CALCIO",HK183="RIESGO MODERADO (2 O MAS CRITERIOS) VER MANEJO GUIA SUMINISTRO ASA Y CALCIO")),"Inicio no oportuno mayor a 16 semanas",IF(AND(BU183&lt;12,OR(HK183="RIESGO ALTO DE COMPLICACIONES HIPERTENSIVAS VER MANEJO GUIA SUMINISTRO ASA Y CALCIO",HK183="RIESGO MODERADO (2 O MAS CRITERIOS) VER MANEJO GUIA SUMINISTRO ASA Y CALCIO")),"Pendiente Inicio de ASA a la semana 12",IF(AND(BU183&gt;11,BU183&lt;17,OR(HK183="RIESGO ALTO DE COMPLICACIONES HIPERTENSIVAS VER MANEJO GUIA SUMINISTRO ASA Y CALCIO",HK183="RIESGO MODERADO (2 O MAS CRITERIOS) VER MANEJO GUIA SUMINISTRO ASA Y CALCIO")),"Iniciar de inmediato ASA",IF(AND(BU183&gt;16,OR(HK183="RIESGO ALTO DE COMPLICACIONES HIPERTENSIVAS VER MANEJO GUIA SUMINISTRO ASA Y CALCIO",HK183="RIESGO MODERADO (2 O MAS CRITERIOS) VER MANEJO GUIA SUMINISTRO ASA Y CALCIO")),"Pierde Oportunidad, Inicio tardío de ASA","XXXXX"))))))))</f>
        <v>No Aplica para suministro de ASA</v>
      </c>
      <c r="HS183" s="22"/>
      <c r="HT183" s="22"/>
      <c r="HU183" s="22">
        <v>45049</v>
      </c>
      <c r="HV183" s="22" t="s">
        <v>1506</v>
      </c>
      <c r="HW183" s="22">
        <v>45049</v>
      </c>
      <c r="HX183" s="22" t="s">
        <v>1511</v>
      </c>
      <c r="HY183" s="22"/>
      <c r="HZ183" s="28" t="str">
        <f t="shared" si="634"/>
        <v>PENDIENTE CONSULTA</v>
      </c>
      <c r="IA183" s="26"/>
      <c r="IB183" s="26"/>
      <c r="IC183" s="111"/>
      <c r="ID183" s="22"/>
      <c r="IE183" s="22" t="str">
        <f t="shared" ca="1" si="635"/>
        <v>INASISTENTE</v>
      </c>
      <c r="IF183" s="22"/>
      <c r="IG183" s="22">
        <f t="shared" si="636"/>
        <v>45255</v>
      </c>
      <c r="IH183" s="29">
        <f t="shared" ca="1" si="637"/>
        <v>22</v>
      </c>
      <c r="II183" s="22" t="str">
        <f t="shared" ca="1" si="638"/>
        <v>MENOS DE 4 SEMANAS</v>
      </c>
      <c r="IJ183" s="22"/>
      <c r="IK183" s="21"/>
      <c r="IL183" s="21"/>
      <c r="IM183" s="34"/>
      <c r="IN183" s="22"/>
      <c r="IO183" s="21"/>
      <c r="IP183" s="29" t="str">
        <f t="shared" si="728"/>
        <v/>
      </c>
      <c r="IQ183" s="35"/>
      <c r="IR183" s="21"/>
      <c r="IS183" s="21"/>
      <c r="IT183" s="21"/>
      <c r="IU183" s="21"/>
      <c r="IV183" s="21"/>
      <c r="IW183" s="21"/>
      <c r="IX183" s="21"/>
      <c r="IY183" s="21"/>
      <c r="IZ183" s="21"/>
      <c r="JA183" s="21"/>
      <c r="JB183" s="30"/>
      <c r="JC183" s="21"/>
      <c r="JD183" s="36"/>
      <c r="JE183" s="21" t="str">
        <f t="shared" si="731"/>
        <v/>
      </c>
      <c r="JF183" s="30"/>
      <c r="JG183" s="21"/>
      <c r="JH183" s="21"/>
      <c r="JI183" s="21"/>
      <c r="JJ183" s="30"/>
      <c r="JK183" s="22"/>
      <c r="JL183" s="22"/>
      <c r="JM183" s="21"/>
      <c r="JN183" s="36"/>
      <c r="JO183" s="21" t="str">
        <f t="shared" si="732"/>
        <v/>
      </c>
      <c r="JP183" s="22"/>
      <c r="JQ183" s="21"/>
      <c r="JR183" s="21"/>
      <c r="JS183" s="21"/>
      <c r="JT183" s="30"/>
      <c r="JU183" s="22"/>
      <c r="JV183" s="22"/>
      <c r="JW183" s="33"/>
      <c r="JX183" s="28" t="str">
        <f t="shared" si="733"/>
        <v/>
      </c>
      <c r="JY183" s="33"/>
      <c r="JZ183" s="28" t="str">
        <f t="shared" si="734"/>
        <v/>
      </c>
      <c r="KA183" s="21"/>
      <c r="KB183" s="21"/>
      <c r="KC183" s="21"/>
      <c r="KD183" s="37"/>
      <c r="KE183" s="28"/>
      <c r="KF183" s="28"/>
      <c r="KG183" s="28"/>
      <c r="KH183" s="39"/>
      <c r="KI183" s="39"/>
      <c r="KJ183" s="66"/>
      <c r="KK183" s="39"/>
      <c r="KL183" s="39"/>
      <c r="KM183" s="66"/>
      <c r="KN183" s="39"/>
      <c r="KO183" s="39"/>
      <c r="KP183" s="39"/>
      <c r="KQ183" s="39"/>
      <c r="KR183" s="39"/>
      <c r="KS183" s="39"/>
      <c r="KT183" s="39"/>
      <c r="KU183" s="38"/>
      <c r="KV183" s="38"/>
      <c r="KW183" s="38"/>
      <c r="KX183" s="38"/>
      <c r="KY183" s="38"/>
      <c r="KZ183" s="38"/>
      <c r="LA183" s="38"/>
      <c r="LB183" s="38"/>
      <c r="LC183" s="38"/>
      <c r="LD183" s="38"/>
      <c r="LE183" s="38"/>
      <c r="LF183" s="38"/>
      <c r="LG183" s="38"/>
      <c r="LH183" s="38"/>
      <c r="LI183" s="38"/>
      <c r="LJ183" s="38"/>
      <c r="LK183" s="38"/>
      <c r="LL183" s="38"/>
      <c r="LM183" s="38"/>
      <c r="LN183" s="38"/>
      <c r="LO183" s="38"/>
      <c r="LP183" s="38"/>
      <c r="LQ183" s="38"/>
      <c r="LR183" s="38"/>
      <c r="LS183" s="38"/>
      <c r="LT183" s="38"/>
      <c r="LU183" s="38"/>
      <c r="LV183" s="38"/>
      <c r="LW183" s="38"/>
      <c r="LX183" s="38"/>
      <c r="LY183" s="38"/>
      <c r="LZ183" s="38"/>
      <c r="MA183" s="38"/>
      <c r="MB183" s="38"/>
      <c r="MC183" s="38"/>
      <c r="MD183" s="38"/>
      <c r="ME183" s="38"/>
      <c r="MF183" s="38"/>
      <c r="MG183" s="38"/>
      <c r="MH183" s="43">
        <f t="shared" si="695"/>
        <v>0</v>
      </c>
      <c r="MI183" s="43" t="str">
        <f t="shared" si="696"/>
        <v/>
      </c>
      <c r="MJ183" s="43" t="str">
        <f t="shared" si="697"/>
        <v/>
      </c>
      <c r="MK183" s="43">
        <f t="shared" si="698"/>
        <v>0</v>
      </c>
      <c r="ML18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3" s="43">
        <f t="shared" si="699"/>
        <v>10.571428571428571</v>
      </c>
      <c r="MN183" s="43">
        <f t="shared" si="700"/>
        <v>5</v>
      </c>
      <c r="MO183" s="43">
        <f t="shared" si="701"/>
        <v>2023</v>
      </c>
      <c r="MP183" s="43" t="str">
        <f t="shared" si="702"/>
        <v>II TRIMESTRE AÑO</v>
      </c>
      <c r="MQ183" s="43">
        <f t="shared" si="703"/>
        <v>19.15790626368813</v>
      </c>
      <c r="MR183" s="43">
        <f t="shared" si="704"/>
        <v>0</v>
      </c>
      <c r="MS183" s="43" t="str">
        <f t="shared" si="705"/>
        <v>DE 14 A 19AÑOS</v>
      </c>
      <c r="MT183" s="43">
        <f t="shared" si="706"/>
        <v>0</v>
      </c>
      <c r="MU183" s="43">
        <f t="shared" si="707"/>
        <v>1</v>
      </c>
      <c r="MV183" s="43">
        <f t="shared" si="708"/>
        <v>0</v>
      </c>
      <c r="MW183" s="43">
        <f t="shared" si="709"/>
        <v>0</v>
      </c>
      <c r="MX183" s="43" t="str">
        <f t="shared" si="710"/>
        <v/>
      </c>
      <c r="MY183" s="43" t="str">
        <f t="shared" ca="1" si="735"/>
        <v/>
      </c>
      <c r="MZ183" s="43" t="str">
        <f t="shared" si="711"/>
        <v/>
      </c>
      <c r="NA183" s="43" t="str">
        <f t="shared" si="712"/>
        <v/>
      </c>
      <c r="NB183" s="43" t="str">
        <f t="shared" si="713"/>
        <v/>
      </c>
      <c r="NC183" s="43" t="str">
        <f t="shared" si="714"/>
        <v/>
      </c>
      <c r="ND183" s="43">
        <f t="shared" ca="1" si="715"/>
        <v>1</v>
      </c>
      <c r="NE183" s="43">
        <f>IF(OR(O183&gt;0,R183&gt;0),SUM(COUNTIF(Tabla1[[#This Row],[AÑOS AL INICIO5 CPN]],"&gt;=40"),COUNTIF(AS183,"0"),COUNTIF(AR183,"SI"),COUNTIF(CC183,"SI"),COUNTIF(BQ183,"&gt;119"),COUNTIF(CI183,"&gt;=35")),"")</f>
        <v>0</v>
      </c>
      <c r="NF183" s="43" t="str">
        <f t="shared" si="716"/>
        <v/>
      </c>
      <c r="NG183" s="43">
        <f t="shared" si="717"/>
        <v>0</v>
      </c>
      <c r="NH183" s="43" t="str">
        <f t="shared" si="718"/>
        <v/>
      </c>
      <c r="NI18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CPN",P183="NO"),"Z",IF(AND(Tabla1[[#This Row],[CITA PROXIMO CONTROL]]="CITA MANUAL",Tabla1[[#This Row],[GESTANTES ACTUALES]]="ACTIVA INGRESO A CPN"),"W",IF(AND(Tabla1[[#This Row],[GESTANTES ACTUALES]]="SALIO PROGRAMA",IN183=""),"S",IF(AND(Tabla1[[#This Row],[CITA PROXIMO CONTROL]]&gt;0,IN183=""),(Tabla1[[#This Row],[CITA PROXIMO CONTROL]]-TODAY()),"SD"))))))))</f>
        <v>#REF!</v>
      </c>
      <c r="NJ183" s="43">
        <f>MONTH(Tabla1[[#This Row],[FECHA DE SALIDA  DEL PROGRAMA]])</f>
        <v>1</v>
      </c>
      <c r="NK183" s="43">
        <f>YEAR(Tabla1[[#This Row],[FECHA DE SALIDA  DEL PROGRAMA]])</f>
        <v>1900</v>
      </c>
      <c r="NL183" s="43" t="str">
        <f t="shared" si="719"/>
        <v>X</v>
      </c>
      <c r="NM183" s="43" t="str">
        <f t="shared" si="693"/>
        <v>NO</v>
      </c>
      <c r="NN183" s="43" t="str">
        <f ca="1">IF(AND(O183&gt;0,R183=""),"NO CPN",IF(AND(O183="",R183=""),"",IF(AND(R183&gt;0,Tabla1[[#This Row],[SEMANAS DE GESTACION ACTUALIZADAS]]&lt;=12),"NO APLICA",IF(AND(FH183&lt;&gt;"",FN183&lt;&gt;""),"SI","NO"))))</f>
        <v>NO</v>
      </c>
      <c r="NO183" s="43" t="str">
        <f ca="1">IF(AND(O183&gt;0,R183=""),"NO CPN",IF(AND(O183="",R183=""),"",IF(AND(R183&gt;0,Tabla1[[#This Row],[SEMANAS DE GESTACION ACTUALIZADAS]]&lt;=27),"NO APLICA",IF(AND(ES183&lt;&gt;"",FQ183&lt;&gt;"",GF183&lt;&gt;""),"SI","NO"))))</f>
        <v>NO</v>
      </c>
      <c r="NP183" s="204" t="str">
        <f t="shared" si="720"/>
        <v>I TRIM</v>
      </c>
      <c r="NQ183" s="21" t="str">
        <f t="shared" si="729"/>
        <v/>
      </c>
      <c r="NR183" s="21">
        <f t="shared" ca="1" si="736"/>
        <v>3</v>
      </c>
      <c r="NS183" s="205">
        <f t="shared" ca="1" si="721"/>
        <v>0</v>
      </c>
      <c r="NT183" s="21">
        <f t="shared" ca="1" si="722"/>
        <v>1</v>
      </c>
      <c r="NU183" s="21" t="str">
        <f t="shared" ca="1" si="723"/>
        <v>INCOMPLETO</v>
      </c>
      <c r="NV183" s="21" t="str">
        <f t="shared" ca="1" si="724"/>
        <v>INCOMPLETO</v>
      </c>
      <c r="NW183" s="206" t="str">
        <f>IF(AND(O183="",R183=""),"",IF(OR(AND(Tabla1[[#This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3" s="207" t="str">
        <f t="shared" ca="1" si="725"/>
        <v>SIN VACUNAR</v>
      </c>
      <c r="NY183" s="43">
        <f>ROW(Tabla1[[#This Row],['# DE TAMIZAJES SIFILIS TOMADOS ]])</f>
        <v>183</v>
      </c>
      <c r="NZ183" s="43">
        <f t="shared" si="501"/>
        <v>10</v>
      </c>
      <c r="OA183" s="43" t="str">
        <f t="shared" si="502"/>
        <v/>
      </c>
      <c r="OB183" s="43" t="str">
        <f t="shared" si="503"/>
        <v>NORMAL</v>
      </c>
      <c r="OC183" s="43" t="str">
        <f t="shared" si="504"/>
        <v/>
      </c>
      <c r="OD183" s="43" t="str">
        <f t="shared" si="505"/>
        <v/>
      </c>
      <c r="OE183" s="43" t="str">
        <f t="shared" si="506"/>
        <v/>
      </c>
      <c r="OF183" s="43" t="str">
        <f t="shared" si="507"/>
        <v/>
      </c>
      <c r="OG183" s="43" t="str">
        <f t="shared" si="508"/>
        <v/>
      </c>
      <c r="OH183" s="43" t="str">
        <f t="shared" si="509"/>
        <v/>
      </c>
      <c r="OI183" s="43" t="str">
        <f t="shared" si="510"/>
        <v/>
      </c>
      <c r="OJ183" s="43" t="str">
        <f t="shared" si="511"/>
        <v/>
      </c>
      <c r="OK183" s="43" t="str">
        <f t="shared" si="512"/>
        <v/>
      </c>
      <c r="OL183" s="43" t="str">
        <f t="shared" si="513"/>
        <v/>
      </c>
      <c r="OM183" s="43" t="str">
        <f t="shared" si="514"/>
        <v/>
      </c>
      <c r="ON183" s="43" t="str">
        <f t="shared" si="515"/>
        <v/>
      </c>
      <c r="OO183" s="43" t="str">
        <f t="shared" si="516"/>
        <v/>
      </c>
      <c r="OP183" s="43" t="str">
        <f t="shared" si="517"/>
        <v/>
      </c>
      <c r="OQ183" s="43" t="str">
        <f t="shared" si="518"/>
        <v/>
      </c>
      <c r="OR183" s="43" t="str">
        <f t="shared" si="519"/>
        <v/>
      </c>
      <c r="OS183" s="43" t="str">
        <f t="shared" si="520"/>
        <v/>
      </c>
      <c r="OT183" s="43" t="str">
        <f t="shared" si="521"/>
        <v/>
      </c>
      <c r="OU183" s="43" t="str">
        <f t="shared" si="522"/>
        <v/>
      </c>
      <c r="OV183" s="110" t="str">
        <f t="shared" si="523"/>
        <v/>
      </c>
      <c r="OW183" s="43" t="str">
        <f t="shared" si="524"/>
        <v/>
      </c>
      <c r="OX183" s="43" t="str">
        <f t="shared" si="525"/>
        <v/>
      </c>
      <c r="OY183" s="43" t="str">
        <f t="shared" si="526"/>
        <v/>
      </c>
      <c r="OZ183" s="43" t="str">
        <f t="shared" si="527"/>
        <v/>
      </c>
      <c r="PA183" s="43" t="str">
        <f t="shared" si="528"/>
        <v/>
      </c>
      <c r="PB183" s="43" t="str">
        <f t="shared" si="529"/>
        <v/>
      </c>
      <c r="PC183" s="43" t="str">
        <f t="shared" si="530"/>
        <v/>
      </c>
      <c r="PD183" s="43" t="str">
        <f t="shared" si="531"/>
        <v/>
      </c>
      <c r="PE183" s="43" t="str">
        <f t="shared" si="532"/>
        <v/>
      </c>
      <c r="PF183" s="43" t="str">
        <f t="shared" si="533"/>
        <v/>
      </c>
      <c r="PG183" s="43" t="str">
        <f t="shared" si="534"/>
        <v/>
      </c>
      <c r="PH183" s="43" t="str">
        <f t="shared" si="535"/>
        <v/>
      </c>
      <c r="PI183" s="43">
        <f t="shared" si="536"/>
        <v>10</v>
      </c>
      <c r="PJ183" s="43" t="str">
        <f t="shared" si="537"/>
        <v/>
      </c>
      <c r="PK183" s="43" t="str">
        <f t="shared" si="538"/>
        <v>NORMAL</v>
      </c>
      <c r="PL183" s="43" t="str">
        <f t="shared" si="539"/>
        <v/>
      </c>
      <c r="PM183" s="43" t="str">
        <f t="shared" si="540"/>
        <v/>
      </c>
      <c r="PN183" s="43" t="str">
        <f t="shared" si="541"/>
        <v/>
      </c>
      <c r="PO183" s="43" t="str">
        <f t="shared" si="542"/>
        <v/>
      </c>
      <c r="PP183" s="43" t="str">
        <f t="shared" si="543"/>
        <v/>
      </c>
      <c r="PQ183" s="43" t="str">
        <f t="shared" si="544"/>
        <v/>
      </c>
      <c r="PR183" s="43" t="str">
        <f t="shared" si="545"/>
        <v/>
      </c>
      <c r="PS183" s="43" t="str">
        <f t="shared" si="546"/>
        <v/>
      </c>
      <c r="PT183" s="43" t="str">
        <f t="shared" si="547"/>
        <v/>
      </c>
      <c r="PU183" s="43" t="str">
        <f t="shared" si="548"/>
        <v/>
      </c>
      <c r="PV183" s="43" t="str">
        <f t="shared" si="549"/>
        <v/>
      </c>
      <c r="PW183" s="43" t="str">
        <f t="shared" si="550"/>
        <v/>
      </c>
      <c r="PX183" s="43" t="str">
        <f t="shared" si="551"/>
        <v/>
      </c>
      <c r="PY183" s="43" t="str">
        <f t="shared" si="552"/>
        <v/>
      </c>
      <c r="PZ183" s="43" t="str">
        <f t="shared" si="553"/>
        <v/>
      </c>
      <c r="QA183" s="43" t="str">
        <f t="shared" si="554"/>
        <v/>
      </c>
      <c r="QB183" s="43" t="str">
        <f t="shared" si="555"/>
        <v/>
      </c>
      <c r="QC183" s="43" t="str">
        <f t="shared" si="556"/>
        <v/>
      </c>
      <c r="QD183" s="43" t="str">
        <f t="shared" si="557"/>
        <v/>
      </c>
      <c r="QE183" s="43" t="str">
        <f t="shared" si="558"/>
        <v/>
      </c>
      <c r="QF183" s="43" t="str">
        <f t="shared" si="559"/>
        <v/>
      </c>
      <c r="QG183" s="43" t="str">
        <f t="shared" si="560"/>
        <v/>
      </c>
      <c r="QH183" s="43" t="str">
        <f t="shared" si="561"/>
        <v/>
      </c>
      <c r="QI183" s="43" t="str">
        <f t="shared" si="562"/>
        <v/>
      </c>
      <c r="QJ183" s="43" t="str">
        <f t="shared" si="563"/>
        <v/>
      </c>
      <c r="QK183" s="43" t="str">
        <f t="shared" si="564"/>
        <v/>
      </c>
      <c r="QL183" s="43" t="str">
        <f t="shared" si="565"/>
        <v/>
      </c>
      <c r="QM183" s="43" t="str">
        <f t="shared" si="566"/>
        <v/>
      </c>
      <c r="QN183" s="43" t="str">
        <f t="shared" si="567"/>
        <v/>
      </c>
      <c r="QO183" s="43" t="str">
        <f t="shared" si="568"/>
        <v/>
      </c>
      <c r="QP183" s="43" t="str">
        <f t="shared" si="569"/>
        <v/>
      </c>
      <c r="QQ183" s="43" t="str">
        <f t="shared" si="570"/>
        <v/>
      </c>
      <c r="QR183" s="43" t="str">
        <f t="shared" si="670"/>
        <v>Menor</v>
      </c>
      <c r="QS183" s="43"/>
      <c r="QT183" s="21" t="str">
        <f t="shared" si="571"/>
        <v/>
      </c>
      <c r="QU183" s="21" t="str">
        <f t="shared" si="572"/>
        <v/>
      </c>
      <c r="QV183" s="21" t="str">
        <f t="shared" si="573"/>
        <v/>
      </c>
      <c r="QW183" s="21" t="str">
        <f t="shared" si="574"/>
        <v/>
      </c>
      <c r="QX183" s="21" t="str">
        <f t="shared" si="575"/>
        <v/>
      </c>
      <c r="QY183" s="21" t="str">
        <f t="shared" si="576"/>
        <v/>
      </c>
      <c r="QZ183" s="21" t="str">
        <f t="shared" si="577"/>
        <v/>
      </c>
      <c r="RA183" s="21" t="str">
        <f t="shared" si="578"/>
        <v/>
      </c>
      <c r="RB183" s="21" t="str">
        <f t="shared" si="579"/>
        <v/>
      </c>
      <c r="RC183" s="21" t="str">
        <f t="shared" si="580"/>
        <v/>
      </c>
      <c r="RD183" s="21" t="str">
        <f t="shared" si="581"/>
        <v/>
      </c>
      <c r="RE183" s="21" t="str">
        <f t="shared" si="582"/>
        <v/>
      </c>
      <c r="RF183" s="21" t="str">
        <f t="shared" si="583"/>
        <v/>
      </c>
      <c r="RG183" s="21" t="str">
        <f t="shared" si="584"/>
        <v/>
      </c>
      <c r="RH183" s="21" t="str">
        <f t="shared" si="585"/>
        <v/>
      </c>
      <c r="RI183" s="21" t="str">
        <f t="shared" si="586"/>
        <v/>
      </c>
      <c r="RJ183" s="21" t="str">
        <f t="shared" si="587"/>
        <v/>
      </c>
      <c r="RK183" s="21" t="str">
        <f t="shared" si="588"/>
        <v/>
      </c>
      <c r="RL183" s="21" t="str">
        <f t="shared" si="589"/>
        <v/>
      </c>
      <c r="RM183" s="21" t="str">
        <f t="shared" si="590"/>
        <v/>
      </c>
      <c r="RN183" s="21" t="str">
        <f t="shared" si="591"/>
        <v/>
      </c>
      <c r="RO183" s="21" t="str">
        <f t="shared" si="592"/>
        <v/>
      </c>
      <c r="RP183" s="21" t="str">
        <f t="shared" si="593"/>
        <v/>
      </c>
      <c r="RQ183" s="21" t="str">
        <f t="shared" si="594"/>
        <v/>
      </c>
      <c r="RR183" s="21" t="str">
        <f t="shared" si="595"/>
        <v/>
      </c>
      <c r="RS183" s="21" t="str">
        <f t="shared" si="596"/>
        <v/>
      </c>
      <c r="RT183" s="21" t="str">
        <f t="shared" si="597"/>
        <v/>
      </c>
      <c r="RU183" s="21" t="str">
        <f t="shared" si="598"/>
        <v/>
      </c>
      <c r="RV183" s="21">
        <f t="shared" si="599"/>
        <v>-1</v>
      </c>
      <c r="RW183" s="284">
        <f>IF(OR(Tabla1[[#This Row],[FUM FORMULA CONFIABLE]]="",Tabla1[[#This Row],[FUM FORMULA CONFIABLE]]="SD"),"",IF(Tabla1[[#This Row],[FUM FORMULA CONFIABLE]]="CORREGIDA",Tabla1[[#This Row],[FUM X ECO 1]],Tabla1[[#This Row],[FUM x AMENORREA]]))</f>
        <v>44975</v>
      </c>
      <c r="RX183" s="21" t="str">
        <f>IF(AND(Tabla1[[#This Row],[FUM X ECO 1]]="",Tabla1[[#This Row],[FUM x AMENORREA]]=""),"",IF(AND(Tabla1[[#This Row],[FUM X ECO 1]]="",Tabla1[[#This Row],[FUM x AMENORREA]]&lt;&gt;""),"X",SUM(Tabla1[[#This Row],[FUM X ECO 1]]-Tabla1[[#This Row],[FUM x AMENORREA]])))</f>
        <v>X</v>
      </c>
      <c r="RY183" s="21" t="str">
        <f t="shared" si="671"/>
        <v>x</v>
      </c>
    </row>
    <row r="184" spans="1:493" ht="45" customHeight="1" x14ac:dyDescent="0.25">
      <c r="A184" s="109"/>
      <c r="B184" s="43"/>
      <c r="C184" s="43" t="s">
        <v>845</v>
      </c>
      <c r="D184" s="124"/>
      <c r="E184" s="43" t="s">
        <v>914</v>
      </c>
      <c r="F184" s="43" t="s">
        <v>953</v>
      </c>
      <c r="G184" s="43" t="s">
        <v>1217</v>
      </c>
      <c r="H184" s="43" t="s">
        <v>1398</v>
      </c>
      <c r="I184" s="109" t="s">
        <v>851</v>
      </c>
      <c r="J184" s="110">
        <v>1059602321</v>
      </c>
      <c r="K184" s="43" t="s">
        <v>852</v>
      </c>
      <c r="L184" s="175" t="s">
        <v>1509</v>
      </c>
      <c r="M184" s="22">
        <v>34400</v>
      </c>
      <c r="N184" s="213">
        <f t="shared" ca="1" si="600"/>
        <v>29.67945205479452</v>
      </c>
      <c r="O184" s="22">
        <v>45051</v>
      </c>
      <c r="P184" s="214" t="str">
        <f t="shared" si="673"/>
        <v>SI</v>
      </c>
      <c r="Q184" s="26" t="s">
        <v>855</v>
      </c>
      <c r="R184" s="22">
        <v>45051</v>
      </c>
      <c r="S184" s="21" t="s">
        <v>856</v>
      </c>
      <c r="T184" s="24" t="s">
        <v>690</v>
      </c>
      <c r="U184" s="21" t="s">
        <v>857</v>
      </c>
      <c r="V184" s="21" t="s">
        <v>858</v>
      </c>
      <c r="W184" s="21" t="s">
        <v>1062</v>
      </c>
      <c r="X184" s="21"/>
      <c r="Y184" s="21"/>
      <c r="Z184" s="21"/>
      <c r="AA184" s="21" t="s">
        <v>860</v>
      </c>
      <c r="AB184" s="27" t="s">
        <v>861</v>
      </c>
      <c r="AC184" s="26" t="s">
        <v>877</v>
      </c>
      <c r="AD184" s="38" t="s">
        <v>865</v>
      </c>
      <c r="AE184" s="26" t="s">
        <v>854</v>
      </c>
      <c r="AF184" s="26" t="s">
        <v>854</v>
      </c>
      <c r="AG184" s="23" t="s">
        <v>864</v>
      </c>
      <c r="AH184" s="23" t="s">
        <v>864</v>
      </c>
      <c r="AI184" s="24" t="s">
        <v>863</v>
      </c>
      <c r="AJ184" s="23" t="s">
        <v>864</v>
      </c>
      <c r="AK184" s="220" t="str">
        <f>IF(AND(AD184="",AE184="",AF184="",AG184="",AH184="",AI184="",AJ184=""),"",IF(OR(Tabla1[[#This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EVALUACIÓN",IF(AND(O184="",R184=""),"",IF(AND(OR(O184&gt;0,R184&gt;0),NG184&gt;=0,NG184&lt;2),"SIN RIESGO",IF(AND(OR(O184&gt;0,R184&gt;0),NG184&gt;=2),"CON RIESGO","ASD")))))</f>
        <v>COMPLETAR EVALUACIÓN</v>
      </c>
      <c r="AL184" s="23" t="s">
        <v>864</v>
      </c>
      <c r="AM184" s="26" t="s">
        <v>864</v>
      </c>
      <c r="AN184" s="26" t="s">
        <v>864</v>
      </c>
      <c r="AO184" s="26" t="s">
        <v>864</v>
      </c>
      <c r="AP184" s="26" t="s">
        <v>864</v>
      </c>
      <c r="AQ184" s="26" t="s">
        <v>864</v>
      </c>
      <c r="AR184" s="26" t="s">
        <v>864</v>
      </c>
      <c r="AS184" s="21">
        <v>1</v>
      </c>
      <c r="AT184" s="21">
        <v>1</v>
      </c>
      <c r="AU184" s="21">
        <v>0</v>
      </c>
      <c r="AV184" s="26" t="s">
        <v>864</v>
      </c>
      <c r="AW184" s="21">
        <v>0</v>
      </c>
      <c r="AX184" s="26" t="s">
        <v>864</v>
      </c>
      <c r="AY184" s="26" t="s">
        <v>864</v>
      </c>
      <c r="AZ184" s="26" t="s">
        <v>864</v>
      </c>
      <c r="BA184" s="26" t="s">
        <v>864</v>
      </c>
      <c r="BB184" s="26" t="s">
        <v>864</v>
      </c>
      <c r="BC184" s="26" t="s">
        <v>864</v>
      </c>
      <c r="BD184" s="26" t="s">
        <v>864</v>
      </c>
      <c r="BE184" s="26" t="s">
        <v>864</v>
      </c>
      <c r="BF184" s="26" t="s">
        <v>864</v>
      </c>
      <c r="BG184" s="26" t="s">
        <v>864</v>
      </c>
      <c r="BH184" s="26" t="s">
        <v>864</v>
      </c>
      <c r="BI184" s="26" t="s">
        <v>864</v>
      </c>
      <c r="BJ184" s="26"/>
      <c r="BK184" s="26"/>
      <c r="BL184" s="26" t="s">
        <v>864</v>
      </c>
      <c r="BM184" s="26" t="s">
        <v>864</v>
      </c>
      <c r="BN184" s="22"/>
      <c r="BO184" s="22">
        <v>44868</v>
      </c>
      <c r="BP184" s="21" t="s">
        <v>854</v>
      </c>
      <c r="BQ184" s="222">
        <f t="shared" si="601"/>
        <v>0</v>
      </c>
      <c r="BR184" s="223" t="str">
        <f t="shared" si="602"/>
        <v/>
      </c>
      <c r="BS184" s="224">
        <f t="shared" si="603"/>
        <v>26.142857142857142</v>
      </c>
      <c r="BT184" s="216" t="str">
        <f t="shared" si="604"/>
        <v>II TRIM</v>
      </c>
      <c r="BU184" s="214" t="str">
        <f t="shared" ca="1" si="605"/>
        <v/>
      </c>
      <c r="BV184" s="25"/>
      <c r="BW184" s="22"/>
      <c r="BX184" s="28"/>
      <c r="BY184" s="28"/>
      <c r="BZ184" s="22"/>
      <c r="CA184" s="21"/>
      <c r="CB184" s="26"/>
      <c r="CC184" s="26"/>
      <c r="CD184" s="26"/>
      <c r="CE184" s="26"/>
      <c r="CF184" s="22" t="s">
        <v>1517</v>
      </c>
      <c r="CG184" s="21">
        <v>1.45</v>
      </c>
      <c r="CH184" s="21">
        <v>67.7</v>
      </c>
      <c r="CI184" s="214">
        <f t="shared" si="606"/>
        <v>32.199762187871585</v>
      </c>
      <c r="CJ184" s="225" t="e">
        <f>IF(AND(CI184&lt;10,CH184="SD"),"SIN DATO PESO PREGESTACION O I TRIM",IF(AND(OR(R184&gt;0,O184&gt;0),CI184="X"),"INGRESAR DATO DE PESO",IF(CI184="SD","INGRESAR DATO DE TALLA Y PESO",IF(AND(OR(Tabla1[[#This Row],[MOMENTO EN QUE SE REALIZA EL PESO AL INGRESO A CPN]]="PREGESTACIÓN",NZ184="Menor"),CI184&lt;18.5),"BAJO PESO",IF(AND(OR(Tabla1[[#This Row],[MOMENTO EN QUE SE REALIZA EL PESO AL INGRESO A CPN]]="PREGESTACIÓN",NZ184="Menor"),CI184&lt;25),"NORMAL",IF(AND(OR(Tabla1[[#This Row],[MOMENTO EN QUE SE REALIZA EL PESO AL INGRESO A CPN]]="PREGESTACIÓN",NZ184="Menor"),CI184&lt;30),"SOBREPESO",IF(AND(OR(Tabla1[[#This Row],[MOMENTO EN QUE SE REALIZA EL PESO AL INGRESO A CPN]]="PREGESTACIÓN",NZ184="Menor"),CI184&gt;=30,CI184&lt;50),"OBESIDAD",IF(AND(BS184&gt;0,Tabla1[[#This Row],[MOMENTO EN QUE SE REALIZA EL PESO AL INGRESO A CPN]]="GESTACIÓN"),HLOOKUP(NZ184,$OA$2:PH184,NY184),""))))))))</f>
        <v>#REF!</v>
      </c>
      <c r="CK184" s="212">
        <f t="shared" si="607"/>
        <v>45051</v>
      </c>
      <c r="CL184" s="21">
        <v>67.7</v>
      </c>
      <c r="CM184" s="214">
        <f t="shared" si="608"/>
        <v>32.199762187871585</v>
      </c>
      <c r="CN184" s="216">
        <f t="shared" si="609"/>
        <v>26</v>
      </c>
      <c r="CO184" s="216" t="e">
        <f>IF(PI184="","",IF(PI184&gt;0,HLOOKUP(PI184,$PJ$2:QQ184,NY184),""))</f>
        <v>#REF!</v>
      </c>
      <c r="CP184" s="21"/>
      <c r="CQ184" s="216" t="e">
        <f>IF(QR184="Menor","NO APLICA-MENOR 13 SEM",IF(AND(CC184="SI",CN184&gt;23),"NO APLICA- GEMELAR",IF(QR184="","",IF(QR184&gt;0,HLOOKUP(QR184,$QS$2:RU184,NY184),""))))</f>
        <v>#REF!</v>
      </c>
      <c r="CR184" s="21">
        <v>100</v>
      </c>
      <c r="CS184" s="21">
        <v>60</v>
      </c>
      <c r="CT184" s="217" t="str">
        <f>IF(R184="","",IF(AND(BS184&gt;1,BS184&lt;12,Tabla1[[#This Row],[T.A. SISTOLICA - ANTES DE SEMANA 12]]="",Tabla1[[#This Row],[T.A. DIASTOLICA - ANTES DE SEMANA 12]]=""),"REGISTRE DATO TA ANTES SEMANA 12",IF(AND(BS184&gt;11,BS184&lt;43,Tabla1[[#This Row],[T.A. SISTOLICA - ANTES DE SEMANA 12]]="",Tabla1[[#This Row],[T.A. DIASTOLICA - ANTES DE SEMANA 12]]=""),"NO APLICA REGISTRO TA-INGRESO TARDIO",IF(AND(OR(O184&gt;0,R184&gt;0),OR(CR184&gt;=140,CS184&gt;=90)),"DEFINIR ESTADIO HTA",IF(AND(OR(O184&gt;0,R184&gt;0),AND(CR184&gt;120,CR184&lt;=139)),"PRE HTA SEGUIMIENTO",IF(AND(OR(O184&gt;0,R184&gt;0),AND(CS184&gt;80,CS184&lt;=89)),"PRE HTA SEGUIMIENTO",IF(AND(OR(O184&gt;0,R184&gt;0),AND(CR184&gt;=80,CR184&lt;=120)),"APARENTEMENTE NORMAL",IF(AND(OR(O184&gt;0,R184&gt;0),AND(CS184&gt;=50,CS184&lt;=80)),"APARENTEMENTE NORMAL",IF(AND(OR(O184&gt;0,R184&gt;0),AND(CR184&gt;1,CR184&lt;=70),AND(CS184&gt;1,CS184&lt;=40)),"HIPOTENSIÓN","")))))))))</f>
        <v>APARENTEMENTE NORMAL</v>
      </c>
      <c r="CU184" s="21"/>
      <c r="CV184" s="21"/>
      <c r="CW184" s="217" t="str">
        <f>IF(R184="","",IF(AND(CN184&gt;19,CN184&lt;27,Tabla1[[#This Row],[T.A. SISTOLICA (Entre semana 20 y 26)]]="",Tabla1[[#This Row],[T.A. DIATOLICA (Entre semana 20 y 26)]]=""),"ACUDE A CONTROL SEM 20 A 26 REGISTRE TA AHORA",IF(AND(BS184&gt;1,BS184&lt;27,BU184&gt;19,Tabla1[[#This Row],[T.A. SISTOLICA (Entre semana 20 y 26)]]="",Tabla1[[#This Row],[T.A. DIATOLICA (Entre semana 20 y 26)]]=""),"COMPLETE REGISTRO TA CONTROL SEM 20 A26 ",IF(AND(BS184&gt;26,BS184&lt;43,Tabla1[[#This Row],[T.A. SISTOLICA (Entre semana 20 y 26)]]="",Tabla1[[#This Row],[T.A. DIATOLICA (Entre semana 20 y 26)]]=""),"NO APLICA REGISTRO TA-INGRESO TARDIO",IF(AND(OR(O184&gt;0,R184&gt;0),OR(CU184&gt;=140,CV184&gt;=90)),"ALTO RIESGO PREECLAMPSIA,DEFINIR ESTADIO HTA",IF(AND(OR(O184&gt;0,R184&gt;0),AND(CU184&gt;120,CU184&lt;=139)),"PRE HTA SEGUIMIENTO,RIESGO HIPERTENSION INDUCIDA POR EL EMBARAZO",IF(AND(OR(O184&gt;0,R184&gt;0),AND(CV184&gt;80,CV184&lt;=89)),"PRE HTA SEGUIMIENTO, RIESGO HIPERTENSION INDUCIDA POR EL EMBARAZO",IF(AND(OR(O184&lt;&gt;"",R184&lt;&gt;""),CS184&lt;&gt;"",CV184&lt;&gt;"",CS184&lt;=CV184),"VIGILAR CIFRAS PRESION ARTERIAL",IF(AND(OR(O184&gt;0,R184&gt;0),AND(CU184&gt;120,CU184&lt;=139)),"PRE HTA SEGUIMIENTO",IF(AND(OR(O184&gt;0,R184&gt;0),AND(CU184&gt;1,CU184&lt;=70),AND(CV184&gt;1,CV184&lt;=40)),"HIPOTENSIÓN",IF(AND(OR(O184&lt;&gt;"",R184&lt;&gt;""),CS184&lt;&gt;"",CV184&lt;&gt;"",CS184&gt;CV184),"APARENTEMENTE NORMAL",IF(AND(OR(O184&gt;0,R184&gt;0),AND(CU184&gt;=80,CU184&lt;=120)),"APARENTEMENTE NORMAL",IF(AND(OR(O184&gt;0,R184&gt;0),AND(CV184&gt;=50,CV184&lt;=80)),"APARENTEMENTE NORMAL","")))))))))))))</f>
        <v>ACUDE A CONTROL SEM 20 A 26 REGISTRE TA AHORA</v>
      </c>
      <c r="CX184" s="21"/>
      <c r="CY184" s="21"/>
      <c r="CZ184" s="216" t="str">
        <f t="shared" si="727"/>
        <v/>
      </c>
      <c r="DA184" s="21">
        <v>100</v>
      </c>
      <c r="DB184" s="21">
        <v>60</v>
      </c>
      <c r="DC184" s="217" t="str">
        <f t="shared" si="610"/>
        <v>APARENTEMENTE NORMAL</v>
      </c>
      <c r="DD184" s="22">
        <v>45051</v>
      </c>
      <c r="DE184" s="22">
        <v>45051</v>
      </c>
      <c r="DF184" s="22"/>
      <c r="DG184" s="22"/>
      <c r="DH184" s="22"/>
      <c r="DI184" s="22"/>
      <c r="DJ184" s="22"/>
      <c r="DK184" s="22"/>
      <c r="DL184" s="22"/>
      <c r="DM184" s="22"/>
      <c r="DN184" s="22"/>
      <c r="DO184" s="22"/>
      <c r="DP184" s="22"/>
      <c r="DQ184" s="22"/>
      <c r="DR184" s="28">
        <v>0</v>
      </c>
      <c r="DS184" s="22"/>
      <c r="DT184" s="22"/>
      <c r="DU184" s="216" t="str">
        <f t="shared" ca="1" si="674"/>
        <v>CONCERTAR PLAN DE PARTO INMEDIATO</v>
      </c>
      <c r="DV184" s="226" t="str">
        <f t="shared" si="675"/>
        <v>ACTIVA INGRESO A CPN</v>
      </c>
      <c r="DW18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4" s="216" t="e">
        <f t="shared" ca="1" si="611"/>
        <v>#REF!</v>
      </c>
      <c r="DY184" s="212">
        <f>IF(R184="","",IF(R184&gt;0,MAX(Tabla1[[#This Row],[FECHA C2]:[FECHA C13]],Tabla1[[#This Row],[FECHA CONSULTA PRIMERA VEZ PROGRAMA CPN ]])))</f>
        <v>45051</v>
      </c>
      <c r="DZ184" s="216">
        <f t="shared" si="612"/>
        <v>26</v>
      </c>
      <c r="EA184" s="222">
        <f>IF(R184&gt;0,SUM(COUNTA(DF184:DQ184)+COUNTA(Tabla1[[#This Row],[FECHA CONSULTA PRIMERA VEZ PROGRAMA CPN ]])),"")</f>
        <v>1</v>
      </c>
      <c r="EB184" s="222" t="str">
        <f t="shared" si="613"/>
        <v>NO</v>
      </c>
      <c r="EC184" s="214">
        <f t="shared" si="614"/>
        <v>5</v>
      </c>
      <c r="ED184" s="227">
        <f t="shared" si="615"/>
        <v>0.2</v>
      </c>
      <c r="EE184" s="22">
        <v>45051</v>
      </c>
      <c r="EF184" s="22"/>
      <c r="EG184" s="22">
        <v>45051</v>
      </c>
      <c r="EH184" s="22"/>
      <c r="EI184" s="22">
        <v>45051</v>
      </c>
      <c r="EJ184" s="22"/>
      <c r="EK184" s="22"/>
      <c r="EL184" s="21"/>
      <c r="EM184" s="21"/>
      <c r="EN184" s="22"/>
      <c r="EO184" s="222" t="str">
        <f t="shared" si="616"/>
        <v>TOMAR EXAMEN</v>
      </c>
      <c r="EP184" s="214" t="str">
        <f t="shared" si="617"/>
        <v/>
      </c>
      <c r="EQ184" s="216" t="str">
        <f t="shared" si="618"/>
        <v>POR DEFINIR</v>
      </c>
      <c r="ER184" s="24"/>
      <c r="ES184" s="22"/>
      <c r="ET184" s="29" t="str">
        <f t="shared" ca="1" si="676"/>
        <v>TOMA DE HEMOGLOBINA TARDÍA</v>
      </c>
      <c r="EU184" s="25" t="str">
        <f t="shared" si="619"/>
        <v/>
      </c>
      <c r="EV184" s="24"/>
      <c r="EW184" s="24"/>
      <c r="EX184" s="22"/>
      <c r="EY184" s="29" t="str">
        <f t="shared" si="691"/>
        <v>TOMAR EXAMEN</v>
      </c>
      <c r="EZ184" s="25" t="str">
        <f t="shared" ca="1" si="692"/>
        <v/>
      </c>
      <c r="FA184" s="21"/>
      <c r="FB184" s="22"/>
      <c r="FC184" s="29" t="str">
        <f t="shared" si="620"/>
        <v>PIERDE TOMA TAMIZAJE- INGRESO TARDIO</v>
      </c>
      <c r="FD184" s="29"/>
      <c r="FE184" s="29"/>
      <c r="FF184" s="29"/>
      <c r="FG184" s="21" t="str">
        <f t="shared" ca="1" si="621"/>
        <v/>
      </c>
      <c r="FH184" s="31"/>
      <c r="FI184" s="29" t="str">
        <f t="shared" si="622"/>
        <v>TOMAR EXAMEN</v>
      </c>
      <c r="FJ184" s="22"/>
      <c r="FK184" s="22"/>
      <c r="FL184" s="29" t="str">
        <f t="shared" ca="1" si="623"/>
        <v>NO APLICA-INGRESO TARDIO</v>
      </c>
      <c r="FM184" s="22"/>
      <c r="FN184" s="32"/>
      <c r="FO184" s="29" t="str">
        <f t="shared" ca="1" si="677"/>
        <v>PIERDE TOMA DE TAMIZAJE</v>
      </c>
      <c r="FP184" s="22"/>
      <c r="FQ184" s="32"/>
      <c r="FR184" s="29" t="str">
        <f t="shared" ca="1" si="678"/>
        <v>TOMA INMEDIATA DE TAMIZAJE</v>
      </c>
      <c r="FS184" s="22"/>
      <c r="FT184" s="32"/>
      <c r="FU184" s="29" t="str">
        <f>IF(AND(FJ184="",FM184="",FP184="",FS184=""),"",IF(OR(OR(Tabla1[[#This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4" s="28"/>
      <c r="FW184" s="22"/>
      <c r="FX184" s="29" t="str">
        <f t="shared" si="624"/>
        <v>TOMAR EXAMEN</v>
      </c>
      <c r="FY184" s="22"/>
      <c r="FZ184" s="22"/>
      <c r="GA184" s="29" t="str">
        <f t="shared" ca="1" si="690"/>
        <v>NO APLICA-INGRESO TARDIO</v>
      </c>
      <c r="GB184" s="22"/>
      <c r="GC184" s="22"/>
      <c r="GD184" s="29" t="str">
        <f t="shared" ca="1" si="730"/>
        <v>PIERDE TOMA DE TAMIZAJE</v>
      </c>
      <c r="GE184" s="22"/>
      <c r="GF184" s="22"/>
      <c r="GG184" s="29" t="str">
        <f t="shared" ca="1" si="680"/>
        <v>TOMA INMEDIATA DE TAMIZAJE</v>
      </c>
      <c r="GH184" s="22"/>
      <c r="GI184" s="29"/>
      <c r="GJ184" s="22"/>
      <c r="GK184" s="22"/>
      <c r="GL184" s="22"/>
      <c r="GM184" s="22"/>
      <c r="GN184" s="28"/>
      <c r="GO184" s="22"/>
      <c r="GP184" s="29" t="str">
        <f t="shared" si="625"/>
        <v>TOMAR EXAMEN</v>
      </c>
      <c r="GQ184" s="28"/>
      <c r="GR184" s="28"/>
      <c r="GS184" s="22" t="str">
        <f t="shared" si="726"/>
        <v/>
      </c>
      <c r="GT184" s="22"/>
      <c r="GU184" s="29" t="str">
        <f t="shared" si="627"/>
        <v>TOMAR EXAMEN</v>
      </c>
      <c r="GV184" s="21" t="str">
        <f t="shared" si="628"/>
        <v>POR DEFINIR</v>
      </c>
      <c r="GW184" s="28"/>
      <c r="GX184" s="30"/>
      <c r="GY184" s="21"/>
      <c r="GZ184" s="21"/>
      <c r="HA184" s="21"/>
      <c r="HB184" s="21"/>
      <c r="HC184" s="21"/>
      <c r="HD184" s="21"/>
      <c r="HE184" s="21"/>
      <c r="HF184" s="22"/>
      <c r="HG184" s="22" t="str">
        <f>IF(OR(O184&gt;0,R184&gt;0),CONCATENATE(IF(Tabla1[[#This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4" s="22" t="e">
        <f t="shared" si="629"/>
        <v>#REF!</v>
      </c>
      <c r="HI184" s="22" t="e">
        <f t="shared" ca="1" si="630"/>
        <v>#REF!</v>
      </c>
      <c r="HJ184" s="21"/>
      <c r="HK184" s="21" t="str">
        <f t="shared" si="631"/>
        <v>SIN ANTECEDENTES DE RIESGO</v>
      </c>
      <c r="HL184" s="24" t="str">
        <f t="shared" si="632"/>
        <v>APARENTEMENTE NORMAL</v>
      </c>
      <c r="HM184" s="21" t="e">
        <f t="shared" ca="1" si="633"/>
        <v>#REF!</v>
      </c>
      <c r="HN184" s="30" t="str">
        <f t="shared" si="681"/>
        <v>ACTIVA INGRESO A CPN</v>
      </c>
      <c r="HO184" s="21"/>
      <c r="HP184" s="21"/>
      <c r="HQ184" s="21"/>
      <c r="HR184" s="21" t="str">
        <f>IF(R184="","",IF(Tabla1[[#This Row],[ALARMA FACTORES DE RIESGO COMPLICACIONES HIPERTENSIVAS3]]="SIN ANTECEDENTES DE RIESGO","No Aplica para suministro de ASA",IF(AND(Tabla1[[#This Row],[FECHA INICIO DE SUMINISTRO DE ASA]]&gt;0,RV184&lt;12),"Inicia ASA ANTES de Sem 12",IF(AND(RV184&gt;11,RV184&lt;17,OR(HK184="RIESGO ALTO DE COMPLICACIONES HIPERTENSIVAS VER MANEJO GUIA SUMINISTRO ASA Y CALCIO",HK184="RIESGO MODERADO (2 O MAS CRITERIOS) VER MANEJO GUIA SUMINISTRO ASA Y CALCIO")),"Inicio oportuno de ASA",IF(AND(RV184&gt;12,OR(HK184="RIESGO ALTO DE COMPLICACIONES HIPERTENSIVAS VER MANEJO GUIA SUMINISTRO ASA Y CALCIO",HK184="RIESGO MODERADO (2 O MAS CRITERIOS) VER MANEJO GUIA SUMINISTRO ASA Y CALCIO")),"Inicio no oportuno mayor a 16 semanas",IF(AND(BU184&lt;12,OR(HK184="RIESGO ALTO DE COMPLICACIONES HIPERTENSIVAS VER MANEJO GUIA SUMINISTRO ASA Y CALCIO",HK184="RIESGO MODERADO (2 O MAS CRITERIOS) VER MANEJO GUIA SUMINISTRO ASA Y CALCIO")),"Pendiente Inicio de ASA a la semana 12",IF(AND(BU184&gt;11,BU184&lt;17,OR(HK184="RIESGO ALTO DE COMPLICACIONES HIPERTENSIVAS VER MANEJO GUIA SUMINISTRO ASA Y CALCIO",HK184="RIESGO MODERADO (2 O MAS CRITERIOS) VER MANEJO GUIA SUMINISTRO ASA Y CALCIO")),"Iniciar de inmediato ASA",IF(AND(BU184&gt;16,OR(HK184="RIESGO ALTO DE COMPLICACIONES HIPERTENSIVAS VER MANEJO GUIA SUMINISTRO ASA Y CALCIO",HK184="RIESGO MODERADO (2 O MAS CRITERIOS) VER MANEJO GUIA SUMINISTRO ASA Y CALCIO")),"Pierde Oportunidad, Inicio tardío de ASA","XXXXX"))))))))</f>
        <v>No Aplica para suministro de ASA</v>
      </c>
      <c r="HS184" s="22">
        <v>45051</v>
      </c>
      <c r="HT184" s="22" t="s">
        <v>1518</v>
      </c>
      <c r="HU184" s="22">
        <v>45051</v>
      </c>
      <c r="HV184" s="22" t="s">
        <v>1523</v>
      </c>
      <c r="HW184" s="22">
        <v>45051</v>
      </c>
      <c r="HX184" s="22" t="s">
        <v>1511</v>
      </c>
      <c r="HY184" s="22"/>
      <c r="HZ184" s="28" t="str">
        <f t="shared" si="634"/>
        <v>PENDIENTE CONSULTA</v>
      </c>
      <c r="IA184" s="26"/>
      <c r="IB184" s="26"/>
      <c r="IC184" s="111"/>
      <c r="ID184" s="22"/>
      <c r="IE184" s="22" t="str">
        <f t="shared" ca="1" si="635"/>
        <v/>
      </c>
      <c r="IF184" s="22"/>
      <c r="IG184" s="22">
        <f t="shared" si="636"/>
        <v>45148</v>
      </c>
      <c r="IH184" s="29">
        <f t="shared" ca="1" si="637"/>
        <v>-85</v>
      </c>
      <c r="II184" s="22" t="str">
        <f t="shared" ca="1" si="638"/>
        <v>POSIBLEMENTE NACIO</v>
      </c>
      <c r="IJ184" s="22"/>
      <c r="IK184" s="21"/>
      <c r="IL184" s="21"/>
      <c r="IM184" s="34"/>
      <c r="IN184" s="349"/>
      <c r="IO184" s="21"/>
      <c r="IP184" s="29" t="str">
        <f t="shared" si="728"/>
        <v/>
      </c>
      <c r="IQ184" s="35"/>
      <c r="IR184" s="21"/>
      <c r="IS184" s="21"/>
      <c r="IT184" s="21"/>
      <c r="IU184" s="21"/>
      <c r="IV184" s="21"/>
      <c r="IW184" s="21"/>
      <c r="IX184" s="21"/>
      <c r="IY184" s="21"/>
      <c r="IZ184" s="21"/>
      <c r="JA184" s="21"/>
      <c r="JB184" s="30"/>
      <c r="JC184" s="21"/>
      <c r="JD184" s="36"/>
      <c r="JE184" s="21" t="str">
        <f t="shared" si="731"/>
        <v/>
      </c>
      <c r="JF184" s="30"/>
      <c r="JG184" s="21"/>
      <c r="JH184" s="21"/>
      <c r="JI184" s="21"/>
      <c r="JJ184" s="30"/>
      <c r="JK184" s="22"/>
      <c r="JL184" s="22"/>
      <c r="JM184" s="21"/>
      <c r="JN184" s="36"/>
      <c r="JO184" s="21" t="str">
        <f t="shared" si="732"/>
        <v/>
      </c>
      <c r="JP184" s="22"/>
      <c r="JQ184" s="21"/>
      <c r="JR184" s="21"/>
      <c r="JS184" s="21"/>
      <c r="JT184" s="30"/>
      <c r="JU184" s="22"/>
      <c r="JV184" s="22"/>
      <c r="JW184" s="33"/>
      <c r="JX184" s="28" t="str">
        <f t="shared" si="733"/>
        <v/>
      </c>
      <c r="JY184" s="33"/>
      <c r="JZ184" s="28" t="str">
        <f t="shared" si="734"/>
        <v/>
      </c>
      <c r="KA184" s="21"/>
      <c r="KB184" s="21"/>
      <c r="KC184" s="21"/>
      <c r="KD184" s="37"/>
      <c r="KE184" s="28"/>
      <c r="KF184" s="28"/>
      <c r="KG184" s="28"/>
      <c r="KH184" s="39"/>
      <c r="KI184" s="39"/>
      <c r="KJ184" s="66"/>
      <c r="KK184" s="39"/>
      <c r="KL184" s="39"/>
      <c r="KM184" s="66"/>
      <c r="KN184" s="39"/>
      <c r="KO184" s="39"/>
      <c r="KP184" s="39"/>
      <c r="KQ184" s="39"/>
      <c r="KR184" s="39"/>
      <c r="KS184" s="39"/>
      <c r="KT184" s="39"/>
      <c r="KU184" s="38"/>
      <c r="KV184" s="38"/>
      <c r="KW184" s="38"/>
      <c r="KX184" s="38"/>
      <c r="KY184" s="38"/>
      <c r="KZ184" s="38"/>
      <c r="LA184" s="38"/>
      <c r="LB184" s="38"/>
      <c r="LC184" s="38"/>
      <c r="LD184" s="38"/>
      <c r="LE184" s="38"/>
      <c r="LF184" s="38"/>
      <c r="LG184" s="38"/>
      <c r="LH184" s="38"/>
      <c r="LI184" s="38"/>
      <c r="LJ184" s="38"/>
      <c r="LK184" s="38"/>
      <c r="LL184" s="38"/>
      <c r="LM184" s="38"/>
      <c r="LN184" s="38"/>
      <c r="LO184" s="38"/>
      <c r="LP184" s="38"/>
      <c r="LQ184" s="38"/>
      <c r="LR184" s="38"/>
      <c r="LS184" s="38"/>
      <c r="LT184" s="38"/>
      <c r="LU184" s="38"/>
      <c r="LV184" s="38"/>
      <c r="LW184" s="38"/>
      <c r="LX184" s="38"/>
      <c r="LY184" s="38"/>
      <c r="LZ184" s="38"/>
      <c r="MA184" s="38"/>
      <c r="MB184" s="38"/>
      <c r="MC184" s="38"/>
      <c r="MD184" s="38"/>
      <c r="ME184" s="38"/>
      <c r="MF184" s="38"/>
      <c r="MG184" s="38"/>
      <c r="MH184" s="43">
        <f t="shared" si="695"/>
        <v>0</v>
      </c>
      <c r="MI184" s="43" t="str">
        <f t="shared" si="696"/>
        <v/>
      </c>
      <c r="MJ184" s="43" t="str">
        <f t="shared" si="697"/>
        <v/>
      </c>
      <c r="MK184" s="43">
        <f t="shared" si="698"/>
        <v>0</v>
      </c>
      <c r="ML18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4" s="43">
        <f t="shared" si="699"/>
        <v>26.142857142857142</v>
      </c>
      <c r="MN184" s="43">
        <f t="shared" si="700"/>
        <v>5</v>
      </c>
      <c r="MO184" s="43">
        <f t="shared" si="701"/>
        <v>2023</v>
      </c>
      <c r="MP184" s="43" t="str">
        <f t="shared" si="702"/>
        <v>II TRIMESTRE AÑO</v>
      </c>
      <c r="MQ184" s="43">
        <f t="shared" si="703"/>
        <v>28.739597021462984</v>
      </c>
      <c r="MR184" s="43">
        <f t="shared" si="704"/>
        <v>0</v>
      </c>
      <c r="MS184" s="43" t="str">
        <f t="shared" si="705"/>
        <v xml:space="preserve"> DE 25 A 29 AÑOS</v>
      </c>
      <c r="MT184" s="43">
        <f t="shared" si="706"/>
        <v>0</v>
      </c>
      <c r="MU184" s="43">
        <f t="shared" si="707"/>
        <v>0</v>
      </c>
      <c r="MV184" s="43">
        <f t="shared" si="708"/>
        <v>0</v>
      </c>
      <c r="MW184" s="43">
        <f t="shared" si="709"/>
        <v>0</v>
      </c>
      <c r="MX184" s="43" t="str">
        <f t="shared" si="710"/>
        <v/>
      </c>
      <c r="MY184" s="43" t="str">
        <f t="shared" ca="1" si="735"/>
        <v/>
      </c>
      <c r="MZ184" s="43" t="str">
        <f t="shared" si="711"/>
        <v/>
      </c>
      <c r="NA184" s="43" t="str">
        <f t="shared" si="712"/>
        <v/>
      </c>
      <c r="NB184" s="43" t="str">
        <f t="shared" si="713"/>
        <v/>
      </c>
      <c r="NC184" s="43" t="str">
        <f t="shared" si="714"/>
        <v/>
      </c>
      <c r="ND184" s="43">
        <f t="shared" ca="1" si="715"/>
        <v>0</v>
      </c>
      <c r="NE184" s="43">
        <f>IF(OR(O184&gt;0,R184&gt;0),SUM(COUNTIF(Tabla1[[#This Row],[AÑOS AL INICIO5 CPN]],"&gt;=40"),COUNTIF(AS184,"0"),COUNTIF(AR184,"SI"),COUNTIF(CC184,"SI"),COUNTIF(BQ184,"&gt;119"),COUNTIF(CI184,"&gt;=35")),"")</f>
        <v>0</v>
      </c>
      <c r="NF184" s="43" t="str">
        <f t="shared" si="716"/>
        <v/>
      </c>
      <c r="NG184" s="43">
        <f t="shared" si="717"/>
        <v>0</v>
      </c>
      <c r="NH184" s="43" t="str">
        <f t="shared" si="718"/>
        <v/>
      </c>
      <c r="NI18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CPN",P184="NO"),"Z",IF(AND(Tabla1[[#This Row],[CITA PROXIMO CONTROL]]="CITA MANUAL",Tabla1[[#This Row],[GESTANTES ACTUALES]]="ACTIVA INGRESO A CPN"),"W",IF(AND(Tabla1[[#This Row],[GESTANTES ACTUALES]]="SALIO PROGRAMA",IN184=""),"S",IF(AND(Tabla1[[#This Row],[CITA PROXIMO CONTROL]]&gt;0,IN184=""),(Tabla1[[#This Row],[CITA PROXIMO CONTROL]]-TODAY()),"SD"))))))))</f>
        <v>#REF!</v>
      </c>
      <c r="NJ184" s="43">
        <f>MONTH(Tabla1[[#This Row],[FECHA DE SALIDA  DEL PROGRAMA]])</f>
        <v>1</v>
      </c>
      <c r="NK184" s="43">
        <f>YEAR(Tabla1[[#This Row],[FECHA DE SALIDA  DEL PROGRAMA]])</f>
        <v>1900</v>
      </c>
      <c r="NL184" s="43" t="str">
        <f t="shared" si="719"/>
        <v>X</v>
      </c>
      <c r="NM184" s="43" t="str">
        <f t="shared" si="693"/>
        <v>NO</v>
      </c>
      <c r="NN184" s="43" t="str">
        <f ca="1">IF(AND(O184&gt;0,R184=""),"NO CPN",IF(AND(O184="",R184=""),"",IF(AND(R184&gt;0,Tabla1[[#This Row],[SEMANAS DE GESTACION ACTUALIZADAS]]&lt;=12),"NO APLICA",IF(AND(FH184&lt;&gt;"",FN184&lt;&gt;""),"SI","NO"))))</f>
        <v>NO</v>
      </c>
      <c r="NO184" s="43" t="str">
        <f ca="1">IF(AND(O184&gt;0,R184=""),"NO CPN",IF(AND(O184="",R184=""),"",IF(AND(R184&gt;0,Tabla1[[#This Row],[SEMANAS DE GESTACION ACTUALIZADAS]]&lt;=27),"NO APLICA",IF(AND(ES184&lt;&gt;"",FQ184&lt;&gt;"",GF184&lt;&gt;""),"SI","NO"))))</f>
        <v>NO</v>
      </c>
      <c r="NP184" s="204" t="str">
        <f t="shared" si="720"/>
        <v>II TRIM</v>
      </c>
      <c r="NQ184" s="21" t="str">
        <f t="shared" si="729"/>
        <v/>
      </c>
      <c r="NR184" s="21" t="str">
        <f t="shared" ca="1" si="736"/>
        <v>REVISAR FUM O FECHA SALIDA PROGRAMA</v>
      </c>
      <c r="NS184" s="205">
        <f t="shared" ca="1" si="721"/>
        <v>0</v>
      </c>
      <c r="NT184" s="21">
        <f t="shared" ca="1" si="722"/>
        <v>0</v>
      </c>
      <c r="NU184" s="21" t="str">
        <f t="shared" ca="1" si="723"/>
        <v>POR DEFINIR</v>
      </c>
      <c r="NV184" s="21" t="str">
        <f t="shared" ca="1" si="724"/>
        <v>POR DEFINIR</v>
      </c>
      <c r="NW184" s="206" t="str">
        <f>IF(AND(O184="",R184=""),"",IF(OR(AND(Tabla1[[#This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4" s="207" t="str">
        <f t="shared" ca="1" si="725"/>
        <v>SIN VACUNAR</v>
      </c>
      <c r="NY184" s="43">
        <f>ROW(Tabla1[[#This Row],['# DE TAMIZAJES SIFILIS TOMADOS ]])</f>
        <v>184</v>
      </c>
      <c r="NZ184" s="43">
        <f t="shared" si="501"/>
        <v>26</v>
      </c>
      <c r="OA184" s="43" t="str">
        <f t="shared" si="502"/>
        <v/>
      </c>
      <c r="OB184" s="43" t="str">
        <f t="shared" si="503"/>
        <v/>
      </c>
      <c r="OC184" s="43" t="str">
        <f t="shared" si="504"/>
        <v/>
      </c>
      <c r="OD184" s="43" t="str">
        <f t="shared" si="505"/>
        <v/>
      </c>
      <c r="OE184" s="43" t="str">
        <f t="shared" si="506"/>
        <v/>
      </c>
      <c r="OF184" s="43" t="str">
        <f t="shared" si="507"/>
        <v/>
      </c>
      <c r="OG184" s="43" t="str">
        <f t="shared" si="508"/>
        <v/>
      </c>
      <c r="OH184" s="43" t="str">
        <f t="shared" si="509"/>
        <v/>
      </c>
      <c r="OI184" s="43" t="str">
        <f t="shared" si="510"/>
        <v/>
      </c>
      <c r="OJ184" s="43" t="str">
        <f t="shared" si="511"/>
        <v/>
      </c>
      <c r="OK184" s="43" t="str">
        <f t="shared" si="512"/>
        <v/>
      </c>
      <c r="OL184" s="43" t="str">
        <f t="shared" si="513"/>
        <v/>
      </c>
      <c r="OM184" s="43" t="str">
        <f t="shared" si="514"/>
        <v/>
      </c>
      <c r="ON184" s="43" t="str">
        <f t="shared" si="515"/>
        <v/>
      </c>
      <c r="OO184" s="43" t="str">
        <f t="shared" si="516"/>
        <v/>
      </c>
      <c r="OP184" s="43" t="str">
        <f t="shared" si="517"/>
        <v/>
      </c>
      <c r="OQ184" s="43" t="str">
        <f t="shared" si="518"/>
        <v/>
      </c>
      <c r="OR184" s="43" t="str">
        <f t="shared" si="519"/>
        <v>OBESIDAD</v>
      </c>
      <c r="OS184" s="43" t="str">
        <f t="shared" si="520"/>
        <v/>
      </c>
      <c r="OT184" s="43" t="str">
        <f t="shared" si="521"/>
        <v/>
      </c>
      <c r="OU184" s="43" t="str">
        <f t="shared" si="522"/>
        <v/>
      </c>
      <c r="OV184" s="110" t="str">
        <f t="shared" si="523"/>
        <v/>
      </c>
      <c r="OW184" s="43" t="str">
        <f t="shared" si="524"/>
        <v/>
      </c>
      <c r="OX184" s="43" t="str">
        <f t="shared" si="525"/>
        <v/>
      </c>
      <c r="OY184" s="43" t="str">
        <f t="shared" si="526"/>
        <v/>
      </c>
      <c r="OZ184" s="43" t="str">
        <f t="shared" si="527"/>
        <v/>
      </c>
      <c r="PA184" s="43" t="str">
        <f t="shared" si="528"/>
        <v/>
      </c>
      <c r="PB184" s="43" t="str">
        <f t="shared" si="529"/>
        <v/>
      </c>
      <c r="PC184" s="43" t="str">
        <f t="shared" si="530"/>
        <v/>
      </c>
      <c r="PD184" s="43" t="str">
        <f t="shared" si="531"/>
        <v/>
      </c>
      <c r="PE184" s="43" t="str">
        <f t="shared" si="532"/>
        <v/>
      </c>
      <c r="PF184" s="43" t="str">
        <f t="shared" si="533"/>
        <v/>
      </c>
      <c r="PG184" s="43" t="str">
        <f t="shared" si="534"/>
        <v/>
      </c>
      <c r="PH184" s="43" t="str">
        <f t="shared" si="535"/>
        <v/>
      </c>
      <c r="PI184" s="43">
        <f t="shared" si="536"/>
        <v>26</v>
      </c>
      <c r="PJ184" s="43" t="str">
        <f t="shared" si="537"/>
        <v/>
      </c>
      <c r="PK184" s="43" t="str">
        <f t="shared" si="538"/>
        <v/>
      </c>
      <c r="PL184" s="43" t="str">
        <f t="shared" si="539"/>
        <v/>
      </c>
      <c r="PM184" s="43" t="str">
        <f t="shared" si="540"/>
        <v/>
      </c>
      <c r="PN184" s="43" t="str">
        <f t="shared" si="541"/>
        <v/>
      </c>
      <c r="PO184" s="43" t="str">
        <f t="shared" si="542"/>
        <v/>
      </c>
      <c r="PP184" s="43" t="str">
        <f t="shared" si="543"/>
        <v/>
      </c>
      <c r="PQ184" s="43" t="str">
        <f t="shared" si="544"/>
        <v/>
      </c>
      <c r="PR184" s="43" t="str">
        <f t="shared" si="545"/>
        <v/>
      </c>
      <c r="PS184" s="43" t="str">
        <f t="shared" si="546"/>
        <v/>
      </c>
      <c r="PT184" s="43" t="str">
        <f t="shared" si="547"/>
        <v/>
      </c>
      <c r="PU184" s="43" t="str">
        <f t="shared" si="548"/>
        <v/>
      </c>
      <c r="PV184" s="43" t="str">
        <f t="shared" si="549"/>
        <v/>
      </c>
      <c r="PW184" s="43" t="str">
        <f t="shared" si="550"/>
        <v/>
      </c>
      <c r="PX184" s="43" t="str">
        <f t="shared" si="551"/>
        <v/>
      </c>
      <c r="PY184" s="43" t="str">
        <f t="shared" si="552"/>
        <v/>
      </c>
      <c r="PZ184" s="43" t="str">
        <f t="shared" si="553"/>
        <v/>
      </c>
      <c r="QA184" s="43" t="str">
        <f t="shared" si="554"/>
        <v>OBESIDAD</v>
      </c>
      <c r="QB184" s="43" t="str">
        <f t="shared" si="555"/>
        <v/>
      </c>
      <c r="QC184" s="43" t="str">
        <f t="shared" si="556"/>
        <v/>
      </c>
      <c r="QD184" s="43" t="str">
        <f t="shared" si="557"/>
        <v/>
      </c>
      <c r="QE184" s="43" t="str">
        <f t="shared" si="558"/>
        <v/>
      </c>
      <c r="QF184" s="43" t="str">
        <f t="shared" si="559"/>
        <v/>
      </c>
      <c r="QG184" s="43" t="str">
        <f t="shared" si="560"/>
        <v/>
      </c>
      <c r="QH184" s="43" t="str">
        <f t="shared" si="561"/>
        <v/>
      </c>
      <c r="QI184" s="43" t="str">
        <f t="shared" si="562"/>
        <v/>
      </c>
      <c r="QJ184" s="43" t="str">
        <f t="shared" si="563"/>
        <v/>
      </c>
      <c r="QK184" s="43" t="str">
        <f t="shared" si="564"/>
        <v/>
      </c>
      <c r="QL184" s="43" t="str">
        <f t="shared" si="565"/>
        <v/>
      </c>
      <c r="QM184" s="43" t="str">
        <f t="shared" si="566"/>
        <v/>
      </c>
      <c r="QN184" s="43" t="str">
        <f t="shared" si="567"/>
        <v/>
      </c>
      <c r="QO184" s="43" t="str">
        <f t="shared" si="568"/>
        <v/>
      </c>
      <c r="QP184" s="43" t="str">
        <f t="shared" si="569"/>
        <v/>
      </c>
      <c r="QQ184" s="43" t="str">
        <f t="shared" si="570"/>
        <v/>
      </c>
      <c r="QR184" s="43">
        <f t="shared" si="670"/>
        <v>26</v>
      </c>
      <c r="QS184" s="43"/>
      <c r="QT184" s="21" t="str">
        <f t="shared" si="571"/>
        <v/>
      </c>
      <c r="QU184" s="21" t="str">
        <f t="shared" si="572"/>
        <v/>
      </c>
      <c r="QV184" s="21" t="str">
        <f t="shared" si="573"/>
        <v/>
      </c>
      <c r="QW184" s="21" t="str">
        <f t="shared" si="574"/>
        <v/>
      </c>
      <c r="QX184" s="21" t="str">
        <f t="shared" si="575"/>
        <v/>
      </c>
      <c r="QY184" s="21" t="str">
        <f t="shared" si="576"/>
        <v/>
      </c>
      <c r="QZ184" s="21" t="str">
        <f t="shared" si="577"/>
        <v/>
      </c>
      <c r="RA184" s="21" t="str">
        <f t="shared" si="578"/>
        <v/>
      </c>
      <c r="RB184" s="21" t="str">
        <f t="shared" si="579"/>
        <v/>
      </c>
      <c r="RC184" s="21" t="str">
        <f t="shared" si="580"/>
        <v/>
      </c>
      <c r="RD184" s="21" t="str">
        <f t="shared" si="581"/>
        <v/>
      </c>
      <c r="RE184" s="21" t="str">
        <f t="shared" si="582"/>
        <v/>
      </c>
      <c r="RF184" s="21" t="str">
        <f t="shared" si="583"/>
        <v/>
      </c>
      <c r="RG184" s="21" t="str">
        <f t="shared" si="584"/>
        <v/>
      </c>
      <c r="RH184" s="21" t="str">
        <f t="shared" si="585"/>
        <v/>
      </c>
      <c r="RI184" s="21" t="str">
        <f t="shared" si="586"/>
        <v/>
      </c>
      <c r="RJ184" s="21" t="str">
        <f t="shared" si="587"/>
        <v/>
      </c>
      <c r="RK184" s="21" t="str">
        <f t="shared" si="588"/>
        <v/>
      </c>
      <c r="RL184" s="21" t="str">
        <f t="shared" si="589"/>
        <v/>
      </c>
      <c r="RM184" s="21" t="str">
        <f t="shared" si="590"/>
        <v/>
      </c>
      <c r="RN184" s="21" t="str">
        <f t="shared" si="591"/>
        <v/>
      </c>
      <c r="RO184" s="21" t="str">
        <f t="shared" si="592"/>
        <v/>
      </c>
      <c r="RP184" s="21" t="str">
        <f t="shared" si="593"/>
        <v/>
      </c>
      <c r="RQ184" s="21" t="str">
        <f t="shared" si="594"/>
        <v/>
      </c>
      <c r="RR184" s="21" t="str">
        <f t="shared" si="595"/>
        <v/>
      </c>
      <c r="RS184" s="21" t="str">
        <f t="shared" si="596"/>
        <v/>
      </c>
      <c r="RT184" s="21" t="str">
        <f t="shared" si="597"/>
        <v/>
      </c>
      <c r="RU184" s="21" t="str">
        <f t="shared" si="598"/>
        <v/>
      </c>
      <c r="RV184" s="21">
        <f t="shared" si="599"/>
        <v>-1</v>
      </c>
      <c r="RW184" s="284">
        <f>IF(OR(Tabla1[[#This Row],[FUM FORMULA CONFIABLE]]="",Tabla1[[#This Row],[FUM FORMULA CONFIABLE]]="SD"),"",IF(Tabla1[[#This Row],[FUM FORMULA CONFIABLE]]="CORREGIDA",Tabla1[[#This Row],[FUM X ECO 1]],Tabla1[[#This Row],[FUM x AMENORREA]]))</f>
        <v>44868</v>
      </c>
      <c r="RX184" s="21" t="str">
        <f>IF(AND(Tabla1[[#This Row],[FUM X ECO 1]]="",Tabla1[[#This Row],[FUM x AMENORREA]]=""),"",IF(AND(Tabla1[[#This Row],[FUM X ECO 1]]="",Tabla1[[#This Row],[FUM x AMENORREA]]&lt;&gt;""),"X",SUM(Tabla1[[#This Row],[FUM X ECO 1]]-Tabla1[[#This Row],[FUM x AMENORREA]])))</f>
        <v>X</v>
      </c>
      <c r="RY184" s="21" t="str">
        <f t="shared" si="671"/>
        <v>x</v>
      </c>
    </row>
    <row r="185" spans="1:493" ht="45" customHeight="1" x14ac:dyDescent="0.25">
      <c r="A185" s="109"/>
      <c r="B185" s="43"/>
      <c r="C185" s="43" t="s">
        <v>845</v>
      </c>
      <c r="D185" s="124"/>
      <c r="E185" s="43" t="s">
        <v>884</v>
      </c>
      <c r="F185" s="43" t="s">
        <v>1524</v>
      </c>
      <c r="G185" s="43" t="s">
        <v>945</v>
      </c>
      <c r="H185" s="43" t="s">
        <v>919</v>
      </c>
      <c r="I185" s="109" t="s">
        <v>851</v>
      </c>
      <c r="J185" s="110">
        <v>1002970266</v>
      </c>
      <c r="K185" s="43" t="s">
        <v>852</v>
      </c>
      <c r="L185" s="175" t="s">
        <v>1509</v>
      </c>
      <c r="M185" s="22">
        <v>36532</v>
      </c>
      <c r="N185" s="213">
        <f t="shared" ca="1" si="600"/>
        <v>23.838356164383562</v>
      </c>
      <c r="O185" s="22">
        <v>45051</v>
      </c>
      <c r="P185" s="214" t="str">
        <f t="shared" si="673"/>
        <v>SI</v>
      </c>
      <c r="Q185" s="26" t="s">
        <v>855</v>
      </c>
      <c r="R185" s="22">
        <v>45051</v>
      </c>
      <c r="S185" s="21" t="s">
        <v>856</v>
      </c>
      <c r="T185" s="24" t="s">
        <v>690</v>
      </c>
      <c r="U185" s="21" t="s">
        <v>857</v>
      </c>
      <c r="V185" s="21" t="s">
        <v>858</v>
      </c>
      <c r="W185" s="21" t="s">
        <v>905</v>
      </c>
      <c r="X185" s="21"/>
      <c r="Y185" s="21"/>
      <c r="Z185" s="21">
        <v>3115753287</v>
      </c>
      <c r="AA185" s="21" t="s">
        <v>860</v>
      </c>
      <c r="AB185" s="27" t="s">
        <v>861</v>
      </c>
      <c r="AC185" s="26" t="s">
        <v>888</v>
      </c>
      <c r="AD185" s="38" t="s">
        <v>1546</v>
      </c>
      <c r="AE185" s="26" t="s">
        <v>854</v>
      </c>
      <c r="AF185" s="26" t="s">
        <v>854</v>
      </c>
      <c r="AG185" s="23" t="s">
        <v>864</v>
      </c>
      <c r="AH185" s="23" t="s">
        <v>864</v>
      </c>
      <c r="AI185" s="24" t="s">
        <v>863</v>
      </c>
      <c r="AJ185" s="23" t="s">
        <v>864</v>
      </c>
      <c r="AK185" s="220" t="str">
        <f>IF(AND(AD185="",AE185="",AF185="",AG185="",AH185="",AI185="",AJ185=""),"",IF(OR(Tabla1[[#This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EVALUACIÓN",IF(AND(O185="",R185=""),"",IF(AND(OR(O185&gt;0,R185&gt;0),NG185&gt;=0,NG185&lt;2),"SIN RIESGO",IF(AND(OR(O185&gt;0,R185&gt;0),NG185&gt;=2),"CON RIESGO","ASD")))))</f>
        <v>SIN RIESGO</v>
      </c>
      <c r="AL185" s="23" t="s">
        <v>864</v>
      </c>
      <c r="AM185" s="26" t="s">
        <v>864</v>
      </c>
      <c r="AN185" s="26" t="s">
        <v>864</v>
      </c>
      <c r="AO185" s="26" t="s">
        <v>864</v>
      </c>
      <c r="AP185" s="26" t="s">
        <v>864</v>
      </c>
      <c r="AQ185" s="26" t="s">
        <v>864</v>
      </c>
      <c r="AR185" s="26" t="s">
        <v>864</v>
      </c>
      <c r="AS185" s="21">
        <v>0</v>
      </c>
      <c r="AT185" s="21">
        <v>0</v>
      </c>
      <c r="AU185" s="21">
        <v>0</v>
      </c>
      <c r="AV185" s="26" t="s">
        <v>864</v>
      </c>
      <c r="AW185" s="21">
        <v>0</v>
      </c>
      <c r="AX185" s="26" t="s">
        <v>864</v>
      </c>
      <c r="AY185" s="26" t="s">
        <v>864</v>
      </c>
      <c r="AZ185" s="26" t="s">
        <v>864</v>
      </c>
      <c r="BA185" s="26" t="s">
        <v>864</v>
      </c>
      <c r="BB185" s="26" t="s">
        <v>864</v>
      </c>
      <c r="BC185" s="26" t="s">
        <v>864</v>
      </c>
      <c r="BD185" s="26" t="s">
        <v>864</v>
      </c>
      <c r="BE185" s="26" t="s">
        <v>864</v>
      </c>
      <c r="BF185" s="26" t="s">
        <v>864</v>
      </c>
      <c r="BG185" s="26" t="s">
        <v>864</v>
      </c>
      <c r="BH185" s="26" t="s">
        <v>864</v>
      </c>
      <c r="BI185" s="26" t="s">
        <v>864</v>
      </c>
      <c r="BJ185" s="26" t="s">
        <v>864</v>
      </c>
      <c r="BK185" s="26" t="s">
        <v>864</v>
      </c>
      <c r="BL185" s="26" t="s">
        <v>864</v>
      </c>
      <c r="BM185" s="26" t="s">
        <v>864</v>
      </c>
      <c r="BN185" s="22"/>
      <c r="BO185" s="22">
        <v>44926</v>
      </c>
      <c r="BP185" s="21" t="s">
        <v>1380</v>
      </c>
      <c r="BQ185" s="222">
        <f t="shared" si="601"/>
        <v>0</v>
      </c>
      <c r="BR185" s="223">
        <f t="shared" si="602"/>
        <v>44965.599999999999</v>
      </c>
      <c r="BS185" s="224">
        <f t="shared" si="603"/>
        <v>12.200000000000207</v>
      </c>
      <c r="BT185" s="216" t="str">
        <f t="shared" si="604"/>
        <v>II TRIM</v>
      </c>
      <c r="BU185" s="214">
        <f t="shared" ca="1" si="605"/>
        <v>38.200000000000209</v>
      </c>
      <c r="BV185" s="25" t="s">
        <v>1525</v>
      </c>
      <c r="BW185" s="22">
        <v>45051</v>
      </c>
      <c r="BX185" s="28">
        <v>12.2</v>
      </c>
      <c r="BY185" s="28" t="s">
        <v>988</v>
      </c>
      <c r="BZ185" s="22"/>
      <c r="CA185" s="21"/>
      <c r="CB185" s="26" t="s">
        <v>864</v>
      </c>
      <c r="CC185" s="26" t="s">
        <v>864</v>
      </c>
      <c r="CD185" s="26"/>
      <c r="CE185" s="26" t="s">
        <v>864</v>
      </c>
      <c r="CF185" s="22" t="s">
        <v>1517</v>
      </c>
      <c r="CG185" s="21">
        <v>1.49</v>
      </c>
      <c r="CH185" s="21">
        <v>44.9</v>
      </c>
      <c r="CI185" s="214">
        <f t="shared" si="606"/>
        <v>20.224314220080178</v>
      </c>
      <c r="CJ185" s="225" t="e">
        <f>IF(AND(CI185&lt;10,CH185="SD"),"SIN DATO PESO PREGESTACION O I TRIM",IF(AND(OR(R185&gt;0,O185&gt;0),CI185="X"),"INGRESAR DATO DE PESO",IF(CI185="SD","INGRESAR DATO DE TALLA Y PESO",IF(AND(OR(Tabla1[[#This Row],[MOMENTO EN QUE SE REALIZA EL PESO AL INGRESO A CPN]]="PREGESTACIÓN",NZ185="Menor"),CI185&lt;18.5),"BAJO PESO",IF(AND(OR(Tabla1[[#This Row],[MOMENTO EN QUE SE REALIZA EL PESO AL INGRESO A CPN]]="PREGESTACIÓN",NZ185="Menor"),CI185&lt;25),"NORMAL",IF(AND(OR(Tabla1[[#This Row],[MOMENTO EN QUE SE REALIZA EL PESO AL INGRESO A CPN]]="PREGESTACIÓN",NZ185="Menor"),CI185&lt;30),"SOBREPESO",IF(AND(OR(Tabla1[[#This Row],[MOMENTO EN QUE SE REALIZA EL PESO AL INGRESO A CPN]]="PREGESTACIÓN",NZ185="Menor"),CI185&gt;=30,CI185&lt;50),"OBESIDAD",IF(AND(BS185&gt;0,Tabla1[[#This Row],[MOMENTO EN QUE SE REALIZA EL PESO AL INGRESO A CPN]]="GESTACIÓN"),HLOOKUP(NZ185,$OA$2:PH185,NY185),""))))))))</f>
        <v>#REF!</v>
      </c>
      <c r="CK185" s="212">
        <f t="shared" si="607"/>
        <v>45146</v>
      </c>
      <c r="CL185" s="21">
        <v>52</v>
      </c>
      <c r="CM185" s="214">
        <f t="shared" si="608"/>
        <v>23.422368361785505</v>
      </c>
      <c r="CN185" s="216">
        <f t="shared" si="609"/>
        <v>25</v>
      </c>
      <c r="CO185" s="216" t="e">
        <f>IF(PI185="","",IF(PI185&gt;0,HLOOKUP(PI185,$PJ$2:QQ185,NY185),""))</f>
        <v>#REF!</v>
      </c>
      <c r="CP185" s="21">
        <v>28</v>
      </c>
      <c r="CQ185" s="216" t="e">
        <f>IF(QR185="Menor","NO APLICA-MENOR 13 SEM",IF(AND(CC185="SI",CN185&gt;23),"NO APLICA- GEMELAR",IF(QR185="","",IF(QR185&gt;0,HLOOKUP(QR185,$QS$2:RU185,NY185),""))))</f>
        <v>#REF!</v>
      </c>
      <c r="CR185" s="21"/>
      <c r="CS185" s="21"/>
      <c r="CT185" s="217" t="str">
        <f>IF(R185="","",IF(AND(BS185&gt;1,BS185&lt;12,Tabla1[[#This Row],[T.A. SISTOLICA - ANTES DE SEMANA 12]]="",Tabla1[[#This Row],[T.A. DIASTOLICA - ANTES DE SEMANA 12]]=""),"REGISTRE DATO TA ANTES SEMANA 12",IF(AND(BS185&gt;11,BS185&lt;43,Tabla1[[#This Row],[T.A. SISTOLICA - ANTES DE SEMANA 12]]="",Tabla1[[#This Row],[T.A. DIASTOLICA - ANTES DE SEMANA 12]]=""),"NO APLICA REGISTRO TA-INGRESO TARDIO",IF(AND(OR(O185&gt;0,R185&gt;0),OR(CR185&gt;=140,CS185&gt;=90)),"DEFINIR ESTADIO HTA",IF(AND(OR(O185&gt;0,R185&gt;0),AND(CR185&gt;120,CR185&lt;=139)),"PRE HTA SEGUIMIENTO",IF(AND(OR(O185&gt;0,R185&gt;0),AND(CS185&gt;80,CS185&lt;=89)),"PRE HTA SEGUIMIENTO",IF(AND(OR(O185&gt;0,R185&gt;0),AND(CR185&gt;=80,CR185&lt;=120)),"APARENTEMENTE NORMAL",IF(AND(OR(O185&gt;0,R185&gt;0),AND(CS185&gt;=50,CS185&lt;=80)),"APARENTEMENTE NORMAL",IF(AND(OR(O185&gt;0,R185&gt;0),AND(CR185&gt;1,CR185&lt;=70),AND(CS185&gt;1,CS185&lt;=40)),"HIPOTENSIÓN","")))))))))</f>
        <v>NO APLICA REGISTRO TA-INGRESO TARDIO</v>
      </c>
      <c r="CU185" s="21">
        <v>100</v>
      </c>
      <c r="CV185" s="21">
        <v>60</v>
      </c>
      <c r="CW185" s="217" t="str">
        <f ca="1">IF(R185="","",IF(AND(CN185&gt;19,CN185&lt;27,Tabla1[[#This Row],[T.A. SISTOLICA (Entre semana 20 y 26)]]="",Tabla1[[#This Row],[T.A. DIATOLICA (Entre semana 20 y 26)]]=""),"ACUDE A CONTROL SEM 20 A 26 REGISTRE TA AHORA",IF(AND(BS185&gt;1,BS185&lt;27,BU185&gt;19,Tabla1[[#This Row],[T.A. SISTOLICA (Entre semana 20 y 26)]]="",Tabla1[[#This Row],[T.A. DIATOLICA (Entre semana 20 y 26)]]=""),"COMPLETE REGISTRO TA CONTROL SEM 20 A26 ",IF(AND(BS185&gt;26,BS185&lt;43,Tabla1[[#This Row],[T.A. SISTOLICA (Entre semana 20 y 26)]]="",Tabla1[[#This Row],[T.A. DIATOLICA (Entre semana 20 y 26)]]=""),"NO APLICA REGISTRO TA-INGRESO TARDIO",IF(AND(OR(O185&gt;0,R185&gt;0),OR(CU185&gt;=140,CV185&gt;=90)),"ALTO RIESGO PREECLAMPSIA,DEFINIR ESTADIO HTA",IF(AND(OR(O185&gt;0,R185&gt;0),AND(CU185&gt;120,CU185&lt;=139)),"PRE HTA SEGUIMIENTO,RIESGO HIPERTENSION INDUCIDA POR EL EMBARAZO",IF(AND(OR(O185&gt;0,R185&gt;0),AND(CV185&gt;80,CV185&lt;=89)),"PRE HTA SEGUIMIENTO, RIESGO HIPERTENSION INDUCIDA POR EL EMBARAZO",IF(AND(OR(O185&lt;&gt;"",R185&lt;&gt;""),CS185&lt;&gt;"",CV185&lt;&gt;"",CS185&lt;=CV185),"VIGILAR CIFRAS PRESION ARTERIAL",IF(AND(OR(O185&gt;0,R185&gt;0),AND(CU185&gt;120,CU185&lt;=139)),"PRE HTA SEGUIMIENTO",IF(AND(OR(O185&gt;0,R185&gt;0),AND(CU185&gt;1,CU185&lt;=70),AND(CV185&gt;1,CV185&lt;=40)),"HIPOTENSIÓN",IF(AND(OR(O185&lt;&gt;"",R185&lt;&gt;""),CS185&lt;&gt;"",CV185&lt;&gt;"",CS185&gt;CV185),"APARENTEMENTE NORMAL",IF(AND(OR(O185&gt;0,R185&gt;0),AND(CU185&gt;=80,CU185&lt;=120)),"APARENTEMENTE NORMAL",IF(AND(OR(O185&gt;0,R185&gt;0),AND(CV185&gt;=50,CV185&lt;=80)),"APARENTEMENTE NORMAL","")))))))))))))</f>
        <v>APARENTEMENTE NORMAL</v>
      </c>
      <c r="CX185" s="21"/>
      <c r="CY185" s="21"/>
      <c r="CZ185" s="216" t="str">
        <f t="shared" si="727"/>
        <v/>
      </c>
      <c r="DA185" s="21">
        <v>90</v>
      </c>
      <c r="DB185" s="21">
        <v>60</v>
      </c>
      <c r="DC185" s="217" t="str">
        <f t="shared" si="610"/>
        <v>APARENTEMENTE NORMAL</v>
      </c>
      <c r="DD185" s="22">
        <v>45051</v>
      </c>
      <c r="DE185" s="22">
        <v>45051</v>
      </c>
      <c r="DF185" s="22">
        <v>45083</v>
      </c>
      <c r="DG185" s="22">
        <v>45115</v>
      </c>
      <c r="DH185" s="22"/>
      <c r="DI185" s="22"/>
      <c r="DJ185" s="22">
        <v>45146</v>
      </c>
      <c r="DK185" s="22"/>
      <c r="DL185" s="22"/>
      <c r="DM185" s="22"/>
      <c r="DN185" s="22"/>
      <c r="DO185" s="22"/>
      <c r="DP185" s="22"/>
      <c r="DQ185" s="22"/>
      <c r="DR185" s="28">
        <v>0</v>
      </c>
      <c r="DS185" s="22"/>
      <c r="DT185" s="22"/>
      <c r="DU185" s="216" t="str">
        <f t="shared" ca="1" si="674"/>
        <v>CONCERTAR PLAN DE PARTO INMEDIATO</v>
      </c>
      <c r="DV185" s="226" t="str">
        <f t="shared" si="675"/>
        <v>ACTIVA INGRESO A CPN</v>
      </c>
      <c r="DW18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5" s="216" t="e">
        <f t="shared" ca="1" si="611"/>
        <v>#REF!</v>
      </c>
      <c r="DY185" s="212">
        <f>IF(R185="","",IF(R185&gt;0,MAX(Tabla1[[#This Row],[FECHA C2]:[FECHA C13]],Tabla1[[#This Row],[FECHA CONSULTA PRIMERA VEZ PROGRAMA CPN ]])))</f>
        <v>45146</v>
      </c>
      <c r="DZ185" s="216">
        <f t="shared" si="612"/>
        <v>25</v>
      </c>
      <c r="EA185" s="222">
        <f>IF(R185&gt;0,SUM(COUNTA(DF185:DQ185)+COUNTA(Tabla1[[#This Row],[FECHA CONSULTA PRIMERA VEZ PROGRAMA CPN ]])),"")</f>
        <v>4</v>
      </c>
      <c r="EB185" s="222" t="str">
        <f t="shared" si="613"/>
        <v>SI</v>
      </c>
      <c r="EC185" s="214">
        <f t="shared" si="614"/>
        <v>8</v>
      </c>
      <c r="ED185" s="227">
        <f t="shared" si="615"/>
        <v>0.5</v>
      </c>
      <c r="EE185" s="22">
        <v>45051</v>
      </c>
      <c r="EF185" s="22">
        <v>45051</v>
      </c>
      <c r="EG185" s="22">
        <v>45051</v>
      </c>
      <c r="EH185" s="22">
        <v>45030</v>
      </c>
      <c r="EI185" s="22">
        <v>45051</v>
      </c>
      <c r="EJ185" s="22">
        <v>45029</v>
      </c>
      <c r="EK185" s="22">
        <v>45043</v>
      </c>
      <c r="EL185" s="21"/>
      <c r="EM185" s="21">
        <v>12.7</v>
      </c>
      <c r="EN185" s="22">
        <v>45124</v>
      </c>
      <c r="EO185" s="222">
        <f t="shared" si="616"/>
        <v>22.628571428571636</v>
      </c>
      <c r="EP185" s="214" t="str">
        <f t="shared" si="617"/>
        <v>NORMAL- SUMINISTRAR SULFATO FERROSO</v>
      </c>
      <c r="EQ185" s="216" t="str">
        <f t="shared" si="618"/>
        <v>II TRIM</v>
      </c>
      <c r="ER185" s="24"/>
      <c r="ES185" s="22"/>
      <c r="ET185" s="29" t="str">
        <f t="shared" ca="1" si="676"/>
        <v>TOMA DE HEMOGLOBINA TARDÍA</v>
      </c>
      <c r="EU185" s="25" t="str">
        <f t="shared" si="619"/>
        <v/>
      </c>
      <c r="EV185" s="24" t="s">
        <v>1510</v>
      </c>
      <c r="EW185" s="32">
        <v>44994</v>
      </c>
      <c r="EX185" s="22"/>
      <c r="EY185" s="29">
        <f t="shared" si="691"/>
        <v>4.0571428571430648</v>
      </c>
      <c r="EZ185" s="25" t="str">
        <f t="shared" si="692"/>
        <v>SIN RIESGO DE ISOINMUNIZACIÓN</v>
      </c>
      <c r="FA185" s="21">
        <v>65</v>
      </c>
      <c r="FB185" s="32">
        <v>44994</v>
      </c>
      <c r="FC185" s="29">
        <f t="shared" si="620"/>
        <v>4.0571428571430648</v>
      </c>
      <c r="FD185" s="29">
        <v>76</v>
      </c>
      <c r="FE185" s="29">
        <v>120</v>
      </c>
      <c r="FF185" s="29"/>
      <c r="FG185" s="21" t="str">
        <f t="shared" ca="1" si="621"/>
        <v>NO COMPLETA EXAMEN</v>
      </c>
      <c r="FH185" s="31">
        <v>45139</v>
      </c>
      <c r="FI185" s="29">
        <f t="shared" si="622"/>
        <v>24.771428571428778</v>
      </c>
      <c r="FJ185" s="22" t="s">
        <v>867</v>
      </c>
      <c r="FK185" s="32">
        <v>44994</v>
      </c>
      <c r="FL185" s="29">
        <f t="shared" ca="1" si="623"/>
        <v>4.0571428571430648</v>
      </c>
      <c r="FM185" s="22"/>
      <c r="FN185" s="32"/>
      <c r="FO185" s="29" t="str">
        <f t="shared" ca="1" si="677"/>
        <v>PIERDE TOMA DE TAMIZAJE</v>
      </c>
      <c r="FP185" s="22"/>
      <c r="FQ185" s="32"/>
      <c r="FR185" s="29" t="str">
        <f t="shared" ca="1" si="678"/>
        <v>TOMA INMEDIATA DE TAMIZAJE</v>
      </c>
      <c r="FS185" s="22"/>
      <c r="FT185" s="32"/>
      <c r="FU185" s="29" t="str">
        <f>IF(AND(FJ185="",FM185="",FP185="",FS185=""),"",IF(OR(OR(Tabla1[[#This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5" s="28"/>
      <c r="FW185" s="22"/>
      <c r="FX185" s="29" t="str">
        <f t="shared" si="624"/>
        <v>TOMAR EXAMEN</v>
      </c>
      <c r="FY185" s="22" t="s">
        <v>868</v>
      </c>
      <c r="FZ185" s="32">
        <v>44994</v>
      </c>
      <c r="GA185" s="29">
        <f t="shared" ca="1" si="690"/>
        <v>4.0571428571430648</v>
      </c>
      <c r="GB185" s="22"/>
      <c r="GC185" s="22"/>
      <c r="GD185" s="29" t="str">
        <f t="shared" ca="1" si="730"/>
        <v>PIERDE TOMA DE TAMIZAJE</v>
      </c>
      <c r="GE185" s="22"/>
      <c r="GF185" s="22"/>
      <c r="GG185" s="29" t="str">
        <f t="shared" ca="1" si="680"/>
        <v>TOMA INMEDIATA DE TAMIZAJE</v>
      </c>
      <c r="GH185" s="22"/>
      <c r="GI185" s="29"/>
      <c r="GJ185" s="22"/>
      <c r="GK185" s="22"/>
      <c r="GL185" s="22"/>
      <c r="GM185" s="22"/>
      <c r="GN185" s="28" t="s">
        <v>869</v>
      </c>
      <c r="GO185" s="32">
        <v>44994</v>
      </c>
      <c r="GP185" s="29">
        <f t="shared" si="625"/>
        <v>4.0571428571430648</v>
      </c>
      <c r="GQ185" s="28" t="s">
        <v>880</v>
      </c>
      <c r="GR185" s="28" t="s">
        <v>869</v>
      </c>
      <c r="GS185" s="22" t="str">
        <f t="shared" si="726"/>
        <v>SE EXCLUYE INFECCION</v>
      </c>
      <c r="GT185" s="32">
        <v>45066</v>
      </c>
      <c r="GU185" s="29">
        <f t="shared" si="627"/>
        <v>20</v>
      </c>
      <c r="GV185" s="21" t="str">
        <f t="shared" si="628"/>
        <v>II TRIM</v>
      </c>
      <c r="GW185" s="28"/>
      <c r="GX185" s="30"/>
      <c r="GY185" s="21"/>
      <c r="GZ185" s="21"/>
      <c r="HA185" s="21"/>
      <c r="HB185" s="21"/>
      <c r="HC185" s="21"/>
      <c r="HD185" s="21"/>
      <c r="HE185" s="21"/>
      <c r="HF185" s="22"/>
      <c r="HG185" s="22" t="str">
        <f>IF(OR(O185&gt;0,R185&gt;0),CONCATENATE(IF(Tabla1[[#This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5" s="22" t="e">
        <f t="shared" si="629"/>
        <v>#REF!</v>
      </c>
      <c r="HI185" s="22" t="e">
        <f t="shared" ca="1" si="630"/>
        <v>#REF!</v>
      </c>
      <c r="HJ185" s="21"/>
      <c r="HK185" s="21" t="str">
        <f t="shared" si="631"/>
        <v>SIN ANTECEDENTES DE RIESGO</v>
      </c>
      <c r="HL185" s="24" t="str">
        <f t="shared" si="632"/>
        <v>APARENTEMENTE NORMAL</v>
      </c>
      <c r="HM185" s="21" t="e">
        <f t="shared" ca="1" si="633"/>
        <v>#REF!</v>
      </c>
      <c r="HN185" s="30" t="str">
        <f t="shared" si="681"/>
        <v>ACTIVA INGRESO A CPN</v>
      </c>
      <c r="HO185" s="21"/>
      <c r="HP185" s="21"/>
      <c r="HQ185" s="349"/>
      <c r="HR185" s="21" t="str">
        <f>IF(R185="","",IF(Tabla1[[#This Row],[ALARMA FACTORES DE RIESGO COMPLICACIONES HIPERTENSIVAS3]]="SIN ANTECEDENTES DE RIESGO","No Aplica para suministro de ASA",IF(AND(Tabla1[[#This Row],[FECHA INICIO DE SUMINISTRO DE ASA]]&gt;0,RV185&lt;12),"Inicia ASA ANTES de Sem 12",IF(AND(RV185&gt;11,RV185&lt;17,OR(HK185="RIESGO ALTO DE COMPLICACIONES HIPERTENSIVAS VER MANEJO GUIA SUMINISTRO ASA Y CALCIO",HK185="RIESGO MODERADO (2 O MAS CRITERIOS) VER MANEJO GUIA SUMINISTRO ASA Y CALCIO")),"Inicio oportuno de ASA",IF(AND(RV185&gt;12,OR(HK185="RIESGO ALTO DE COMPLICACIONES HIPERTENSIVAS VER MANEJO GUIA SUMINISTRO ASA Y CALCIO",HK185="RIESGO MODERADO (2 O MAS CRITERIOS) VER MANEJO GUIA SUMINISTRO ASA Y CALCIO")),"Inicio no oportuno mayor a 16 semanas",IF(AND(BU185&lt;12,OR(HK185="RIESGO ALTO DE COMPLICACIONES HIPERTENSIVAS VER MANEJO GUIA SUMINISTRO ASA Y CALCIO",HK185="RIESGO MODERADO (2 O MAS CRITERIOS) VER MANEJO GUIA SUMINISTRO ASA Y CALCIO")),"Pendiente Inicio de ASA a la semana 12",IF(AND(BU185&gt;11,BU185&lt;17,OR(HK185="RIESGO ALTO DE COMPLICACIONES HIPERTENSIVAS VER MANEJO GUIA SUMINISTRO ASA Y CALCIO",HK185="RIESGO MODERADO (2 O MAS CRITERIOS) VER MANEJO GUIA SUMINISTRO ASA Y CALCIO")),"Iniciar de inmediato ASA",IF(AND(BU185&gt;16,OR(HK185="RIESGO ALTO DE COMPLICACIONES HIPERTENSIVAS VER MANEJO GUIA SUMINISTRO ASA Y CALCIO",HK185="RIESGO MODERADO (2 O MAS CRITERIOS) VER MANEJO GUIA SUMINISTRO ASA Y CALCIO")),"Pierde Oportunidad, Inicio tardío de ASA","XXXXX"))))))))</f>
        <v>No Aplica para suministro de ASA</v>
      </c>
      <c r="HS185" s="22">
        <v>45051</v>
      </c>
      <c r="HT185" s="22" t="s">
        <v>1518</v>
      </c>
      <c r="HU185" s="22">
        <v>45051</v>
      </c>
      <c r="HV185" s="22" t="s">
        <v>1523</v>
      </c>
      <c r="HW185" s="22">
        <v>45051</v>
      </c>
      <c r="HX185" s="22" t="s">
        <v>1511</v>
      </c>
      <c r="HY185" s="22">
        <v>45051</v>
      </c>
      <c r="HZ185" s="28">
        <f t="shared" si="634"/>
        <v>12.200000000000207</v>
      </c>
      <c r="IA185" s="26"/>
      <c r="IB185" s="26"/>
      <c r="IC185" s="111"/>
      <c r="ID185" s="22"/>
      <c r="IE185" s="22" t="str">
        <f t="shared" ca="1" si="635"/>
        <v>INASISTENTE</v>
      </c>
      <c r="IF185" s="22"/>
      <c r="IG185" s="22">
        <f t="shared" si="636"/>
        <v>45245.599999999999</v>
      </c>
      <c r="IH185" s="29">
        <f t="shared" ca="1" si="637"/>
        <v>12.599999999998545</v>
      </c>
      <c r="II185" s="22" t="str">
        <f t="shared" ca="1" si="638"/>
        <v>MENOS DE 4 SEMANAS</v>
      </c>
      <c r="IJ185" s="22"/>
      <c r="IK185" s="21"/>
      <c r="IL185" s="21"/>
      <c r="IM185" s="34"/>
      <c r="IN185" s="22"/>
      <c r="IO185" s="21"/>
      <c r="IP185" s="29" t="str">
        <f t="shared" si="728"/>
        <v/>
      </c>
      <c r="IQ185" s="35"/>
      <c r="IR185" s="21"/>
      <c r="IS185" s="21"/>
      <c r="IT185" s="21"/>
      <c r="IU185" s="21"/>
      <c r="IV185" s="21"/>
      <c r="IW185" s="21"/>
      <c r="IX185" s="21"/>
      <c r="IY185" s="21"/>
      <c r="IZ185" s="21"/>
      <c r="JA185" s="21"/>
      <c r="JB185" s="30"/>
      <c r="JC185" s="21"/>
      <c r="JD185" s="36"/>
      <c r="JE185" s="21" t="str">
        <f t="shared" si="731"/>
        <v/>
      </c>
      <c r="JF185" s="30"/>
      <c r="JG185" s="21"/>
      <c r="JH185" s="21"/>
      <c r="JI185" s="21"/>
      <c r="JJ185" s="30"/>
      <c r="JK185" s="22"/>
      <c r="JL185" s="22"/>
      <c r="JM185" s="21"/>
      <c r="JN185" s="36"/>
      <c r="JO185" s="21" t="str">
        <f t="shared" si="732"/>
        <v/>
      </c>
      <c r="JP185" s="22"/>
      <c r="JQ185" s="21"/>
      <c r="JR185" s="21"/>
      <c r="JS185" s="21"/>
      <c r="JT185" s="30"/>
      <c r="JU185" s="22"/>
      <c r="JV185" s="22"/>
      <c r="JW185" s="33"/>
      <c r="JX185" s="28" t="str">
        <f t="shared" si="733"/>
        <v/>
      </c>
      <c r="JY185" s="33"/>
      <c r="JZ185" s="28" t="str">
        <f t="shared" si="734"/>
        <v/>
      </c>
      <c r="KA185" s="21"/>
      <c r="KB185" s="21"/>
      <c r="KC185" s="21"/>
      <c r="KD185" s="37"/>
      <c r="KE185" s="28"/>
      <c r="KF185" s="28"/>
      <c r="KG185" s="28"/>
      <c r="KH185" s="39"/>
      <c r="KI185" s="39"/>
      <c r="KJ185" s="66"/>
      <c r="KK185" s="39"/>
      <c r="KL185" s="39"/>
      <c r="KM185" s="66"/>
      <c r="KN185" s="39"/>
      <c r="KO185" s="39"/>
      <c r="KP185" s="39"/>
      <c r="KQ185" s="39"/>
      <c r="KR185" s="39"/>
      <c r="KS185" s="39"/>
      <c r="KT185" s="39"/>
      <c r="KU185" s="38"/>
      <c r="KV185" s="38"/>
      <c r="KW185" s="38"/>
      <c r="KX185" s="38"/>
      <c r="KY185" s="38"/>
      <c r="KZ185" s="38"/>
      <c r="LA185" s="38"/>
      <c r="LB185" s="38"/>
      <c r="LC185" s="38"/>
      <c r="LD185" s="38"/>
      <c r="LE185" s="38"/>
      <c r="LF185" s="38"/>
      <c r="LG185" s="38"/>
      <c r="LH185" s="38"/>
      <c r="LI185" s="38"/>
      <c r="LJ185" s="38"/>
      <c r="LK185" s="38"/>
      <c r="LL185" s="38"/>
      <c r="LM185" s="38"/>
      <c r="LN185" s="38"/>
      <c r="LO185" s="38"/>
      <c r="LP185" s="38"/>
      <c r="LQ185" s="38"/>
      <c r="LR185" s="38"/>
      <c r="LS185" s="38"/>
      <c r="LT185" s="38"/>
      <c r="LU185" s="38"/>
      <c r="LV185" s="38"/>
      <c r="LW185" s="38"/>
      <c r="LX185" s="38"/>
      <c r="LY185" s="38"/>
      <c r="LZ185" s="38"/>
      <c r="MA185" s="38"/>
      <c r="MB185" s="38"/>
      <c r="MC185" s="38"/>
      <c r="MD185" s="38"/>
      <c r="ME185" s="38"/>
      <c r="MF185" s="38"/>
      <c r="MG185" s="38"/>
      <c r="MH185" s="43">
        <f t="shared" si="695"/>
        <v>0</v>
      </c>
      <c r="MI185" s="43" t="str">
        <f t="shared" si="696"/>
        <v/>
      </c>
      <c r="MJ185" s="43" t="str">
        <f t="shared" si="697"/>
        <v/>
      </c>
      <c r="MK185" s="43">
        <f t="shared" si="698"/>
        <v>0</v>
      </c>
      <c r="ML18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5" s="43">
        <f t="shared" si="699"/>
        <v>12.200000000000207</v>
      </c>
      <c r="MN185" s="43">
        <f t="shared" si="700"/>
        <v>5</v>
      </c>
      <c r="MO185" s="43">
        <f t="shared" si="701"/>
        <v>2023</v>
      </c>
      <c r="MP185" s="43" t="str">
        <f t="shared" si="702"/>
        <v>II TRIMESTRE AÑO</v>
      </c>
      <c r="MQ185" s="43">
        <f t="shared" si="703"/>
        <v>22.990582566798071</v>
      </c>
      <c r="MR185" s="43">
        <f t="shared" si="704"/>
        <v>0</v>
      </c>
      <c r="MS185" s="43" t="str">
        <f t="shared" si="705"/>
        <v xml:space="preserve"> DE 20 A 24 AÑOS</v>
      </c>
      <c r="MT185" s="43">
        <f t="shared" si="706"/>
        <v>0</v>
      </c>
      <c r="MU185" s="43">
        <f t="shared" si="707"/>
        <v>1</v>
      </c>
      <c r="MV185" s="43">
        <f t="shared" si="708"/>
        <v>0</v>
      </c>
      <c r="MW185" s="43">
        <f t="shared" si="709"/>
        <v>0</v>
      </c>
      <c r="MX185" s="43" t="str">
        <f t="shared" si="710"/>
        <v/>
      </c>
      <c r="MY185" s="43" t="str">
        <f t="shared" ca="1" si="735"/>
        <v/>
      </c>
      <c r="MZ185" s="43" t="str">
        <f t="shared" si="711"/>
        <v/>
      </c>
      <c r="NA185" s="43" t="str">
        <f t="shared" si="712"/>
        <v/>
      </c>
      <c r="NB185" s="43" t="str">
        <f t="shared" si="713"/>
        <v/>
      </c>
      <c r="NC185" s="43" t="str">
        <f t="shared" si="714"/>
        <v/>
      </c>
      <c r="ND185" s="43">
        <f t="shared" ca="1" si="715"/>
        <v>1</v>
      </c>
      <c r="NE185" s="43">
        <f>IF(OR(O185&gt;0,R185&gt;0),SUM(COUNTIF(Tabla1[[#This Row],[AÑOS AL INICIO5 CPN]],"&gt;=40"),COUNTIF(AS185,"0"),COUNTIF(AR185,"SI"),COUNTIF(CC185,"SI"),COUNTIF(BQ185,"&gt;119"),COUNTIF(CI185,"&gt;=35")),"")</f>
        <v>1</v>
      </c>
      <c r="NF185" s="43" t="str">
        <f t="shared" si="716"/>
        <v/>
      </c>
      <c r="NG185" s="43">
        <f t="shared" si="717"/>
        <v>0</v>
      </c>
      <c r="NH185" s="43">
        <f t="shared" si="718"/>
        <v>85.399999999999991</v>
      </c>
      <c r="NI18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CPN",P185="NO"),"Z",IF(AND(Tabla1[[#This Row],[CITA PROXIMO CONTROL]]="CITA MANUAL",Tabla1[[#This Row],[GESTANTES ACTUALES]]="ACTIVA INGRESO A CPN"),"W",IF(AND(Tabla1[[#This Row],[GESTANTES ACTUALES]]="SALIO PROGRAMA",IN185=""),"S",IF(AND(Tabla1[[#This Row],[CITA PROXIMO CONTROL]]&gt;0,IN185=""),(Tabla1[[#This Row],[CITA PROXIMO CONTROL]]-TODAY()),"SD"))))))))</f>
        <v>#REF!</v>
      </c>
      <c r="NJ185" s="43">
        <f>MONTH(Tabla1[[#This Row],[FECHA DE SALIDA  DEL PROGRAMA]])</f>
        <v>1</v>
      </c>
      <c r="NK185" s="43">
        <f>YEAR(Tabla1[[#This Row],[FECHA DE SALIDA  DEL PROGRAMA]])</f>
        <v>1900</v>
      </c>
      <c r="NL185" s="43">
        <f t="shared" si="719"/>
        <v>-22</v>
      </c>
      <c r="NM185" s="43" t="str">
        <f t="shared" si="693"/>
        <v>NO</v>
      </c>
      <c r="NN185" s="43" t="str">
        <f ca="1">IF(AND(O185&gt;0,R185=""),"NO CPN",IF(AND(O185="",R185=""),"",IF(AND(R185&gt;0,Tabla1[[#This Row],[SEMANAS DE GESTACION ACTUALIZADAS]]&lt;=12),"NO APLICA",IF(AND(FH185&lt;&gt;"",FN185&lt;&gt;""),"SI","NO"))))</f>
        <v>NO</v>
      </c>
      <c r="NO185" s="43" t="str">
        <f ca="1">IF(AND(O185&gt;0,R185=""),"NO CPN",IF(AND(O185="",R185=""),"",IF(AND(R185&gt;0,Tabla1[[#This Row],[SEMANAS DE GESTACION ACTUALIZADAS]]&lt;=27),"NO APLICA",IF(AND(ES185&lt;&gt;"",FQ185&lt;&gt;"",GF185&lt;&gt;""),"SI","NO"))))</f>
        <v>NO</v>
      </c>
      <c r="NP185" s="204" t="str">
        <f t="shared" si="720"/>
        <v>II TRIM</v>
      </c>
      <c r="NQ185" s="21">
        <f t="shared" si="729"/>
        <v>10</v>
      </c>
      <c r="NR185" s="21">
        <f t="shared" ca="1" si="736"/>
        <v>2</v>
      </c>
      <c r="NS185" s="205">
        <f t="shared" ca="1" si="721"/>
        <v>1</v>
      </c>
      <c r="NT185" s="21">
        <f t="shared" ca="1" si="722"/>
        <v>1</v>
      </c>
      <c r="NU185" s="21" t="str">
        <f t="shared" ca="1" si="723"/>
        <v>INCOMPLETO</v>
      </c>
      <c r="NV185" s="21" t="str">
        <f t="shared" ca="1" si="724"/>
        <v>INCOMPLETO</v>
      </c>
      <c r="NW185" s="206" t="str">
        <f>IF(AND(O185="",R185=""),"",IF(OR(AND(Tabla1[[#This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5" s="207" t="str">
        <f t="shared" ca="1" si="725"/>
        <v>SIN VACUNAR</v>
      </c>
      <c r="NY185" s="43">
        <f>ROW(Tabla1[[#This Row],['# DE TAMIZAJES SIFILIS TOMADOS ]])</f>
        <v>185</v>
      </c>
      <c r="NZ185" s="43">
        <f t="shared" si="501"/>
        <v>12</v>
      </c>
      <c r="OA185" s="43" t="str">
        <f t="shared" si="502"/>
        <v/>
      </c>
      <c r="OB185" s="43" t="str">
        <f t="shared" si="503"/>
        <v/>
      </c>
      <c r="OC185" s="43" t="str">
        <f t="shared" si="504"/>
        <v/>
      </c>
      <c r="OD185" s="43" t="str">
        <f t="shared" si="505"/>
        <v>BAJO PESO</v>
      </c>
      <c r="OE185" s="43" t="str">
        <f t="shared" si="506"/>
        <v/>
      </c>
      <c r="OF185" s="43" t="str">
        <f t="shared" si="507"/>
        <v/>
      </c>
      <c r="OG185" s="43" t="str">
        <f t="shared" si="508"/>
        <v/>
      </c>
      <c r="OH185" s="43" t="str">
        <f t="shared" si="509"/>
        <v/>
      </c>
      <c r="OI185" s="43" t="str">
        <f t="shared" si="510"/>
        <v/>
      </c>
      <c r="OJ185" s="43" t="str">
        <f t="shared" si="511"/>
        <v/>
      </c>
      <c r="OK185" s="43" t="str">
        <f t="shared" si="512"/>
        <v/>
      </c>
      <c r="OL185" s="43" t="str">
        <f t="shared" si="513"/>
        <v/>
      </c>
      <c r="OM185" s="43" t="str">
        <f t="shared" si="514"/>
        <v/>
      </c>
      <c r="ON185" s="43" t="str">
        <f t="shared" si="515"/>
        <v/>
      </c>
      <c r="OO185" s="43" t="str">
        <f t="shared" si="516"/>
        <v/>
      </c>
      <c r="OP185" s="43" t="str">
        <f t="shared" si="517"/>
        <v/>
      </c>
      <c r="OQ185" s="43" t="str">
        <f t="shared" si="518"/>
        <v/>
      </c>
      <c r="OR185" s="43" t="str">
        <f t="shared" si="519"/>
        <v/>
      </c>
      <c r="OS185" s="43" t="str">
        <f t="shared" si="520"/>
        <v/>
      </c>
      <c r="OT185" s="43" t="str">
        <f t="shared" si="521"/>
        <v/>
      </c>
      <c r="OU185" s="43" t="str">
        <f t="shared" si="522"/>
        <v/>
      </c>
      <c r="OV185" s="110" t="str">
        <f t="shared" si="523"/>
        <v/>
      </c>
      <c r="OW185" s="43" t="str">
        <f t="shared" si="524"/>
        <v/>
      </c>
      <c r="OX185" s="43" t="str">
        <f t="shared" si="525"/>
        <v/>
      </c>
      <c r="OY185" s="43" t="str">
        <f t="shared" si="526"/>
        <v/>
      </c>
      <c r="OZ185" s="43" t="str">
        <f t="shared" si="527"/>
        <v/>
      </c>
      <c r="PA185" s="43" t="str">
        <f t="shared" si="528"/>
        <v/>
      </c>
      <c r="PB185" s="43" t="str">
        <f t="shared" si="529"/>
        <v/>
      </c>
      <c r="PC185" s="43" t="str">
        <f t="shared" si="530"/>
        <v/>
      </c>
      <c r="PD185" s="43" t="str">
        <f t="shared" si="531"/>
        <v/>
      </c>
      <c r="PE185" s="43" t="str">
        <f t="shared" si="532"/>
        <v/>
      </c>
      <c r="PF185" s="43" t="str">
        <f t="shared" si="533"/>
        <v/>
      </c>
      <c r="PG185" s="43" t="str">
        <f t="shared" si="534"/>
        <v/>
      </c>
      <c r="PH185" s="43" t="str">
        <f t="shared" si="535"/>
        <v/>
      </c>
      <c r="PI185" s="43">
        <f t="shared" si="536"/>
        <v>25</v>
      </c>
      <c r="PJ185" s="43" t="str">
        <f t="shared" si="537"/>
        <v/>
      </c>
      <c r="PK185" s="43" t="str">
        <f t="shared" si="538"/>
        <v/>
      </c>
      <c r="PL185" s="43" t="str">
        <f t="shared" si="539"/>
        <v/>
      </c>
      <c r="PM185" s="43" t="str">
        <f t="shared" si="540"/>
        <v/>
      </c>
      <c r="PN185" s="43" t="str">
        <f t="shared" si="541"/>
        <v/>
      </c>
      <c r="PO185" s="43" t="str">
        <f t="shared" si="542"/>
        <v/>
      </c>
      <c r="PP185" s="43" t="str">
        <f t="shared" si="543"/>
        <v/>
      </c>
      <c r="PQ185" s="43" t="str">
        <f t="shared" si="544"/>
        <v/>
      </c>
      <c r="PR185" s="43" t="str">
        <f t="shared" si="545"/>
        <v/>
      </c>
      <c r="PS185" s="43" t="str">
        <f t="shared" si="546"/>
        <v/>
      </c>
      <c r="PT185" s="43" t="str">
        <f t="shared" si="547"/>
        <v/>
      </c>
      <c r="PU185" s="43" t="str">
        <f t="shared" si="548"/>
        <v/>
      </c>
      <c r="PV185" s="43" t="str">
        <f t="shared" si="549"/>
        <v/>
      </c>
      <c r="PW185" s="43" t="str">
        <f t="shared" si="550"/>
        <v/>
      </c>
      <c r="PX185" s="43" t="str">
        <f t="shared" si="551"/>
        <v/>
      </c>
      <c r="PY185" s="43" t="str">
        <f t="shared" si="552"/>
        <v/>
      </c>
      <c r="PZ185" s="43" t="str">
        <f t="shared" si="553"/>
        <v>NORMAL</v>
      </c>
      <c r="QA185" s="43" t="str">
        <f t="shared" si="554"/>
        <v/>
      </c>
      <c r="QB185" s="43" t="str">
        <f t="shared" si="555"/>
        <v/>
      </c>
      <c r="QC185" s="43" t="str">
        <f t="shared" si="556"/>
        <v/>
      </c>
      <c r="QD185" s="43" t="str">
        <f t="shared" si="557"/>
        <v/>
      </c>
      <c r="QE185" s="43" t="str">
        <f t="shared" si="558"/>
        <v/>
      </c>
      <c r="QF185" s="43" t="str">
        <f t="shared" si="559"/>
        <v/>
      </c>
      <c r="QG185" s="43" t="str">
        <f t="shared" si="560"/>
        <v/>
      </c>
      <c r="QH185" s="43" t="str">
        <f t="shared" si="561"/>
        <v/>
      </c>
      <c r="QI185" s="43" t="str">
        <f t="shared" si="562"/>
        <v/>
      </c>
      <c r="QJ185" s="43" t="str">
        <f t="shared" si="563"/>
        <v/>
      </c>
      <c r="QK185" s="43" t="str">
        <f t="shared" si="564"/>
        <v/>
      </c>
      <c r="QL185" s="43" t="str">
        <f t="shared" si="565"/>
        <v/>
      </c>
      <c r="QM185" s="43" t="str">
        <f t="shared" si="566"/>
        <v/>
      </c>
      <c r="QN185" s="43" t="str">
        <f t="shared" si="567"/>
        <v/>
      </c>
      <c r="QO185" s="43" t="str">
        <f t="shared" si="568"/>
        <v/>
      </c>
      <c r="QP185" s="43" t="str">
        <f t="shared" si="569"/>
        <v/>
      </c>
      <c r="QQ185" s="43" t="str">
        <f t="shared" si="570"/>
        <v/>
      </c>
      <c r="QR185" s="43">
        <f t="shared" si="670"/>
        <v>25</v>
      </c>
      <c r="QS185" s="43"/>
      <c r="QT185" s="21" t="str">
        <f t="shared" si="571"/>
        <v/>
      </c>
      <c r="QU185" s="21" t="str">
        <f t="shared" si="572"/>
        <v/>
      </c>
      <c r="QV185" s="21" t="str">
        <f t="shared" si="573"/>
        <v/>
      </c>
      <c r="QW185" s="21" t="str">
        <f t="shared" si="574"/>
        <v/>
      </c>
      <c r="QX185" s="21" t="str">
        <f t="shared" si="575"/>
        <v/>
      </c>
      <c r="QY185" s="21" t="str">
        <f t="shared" si="576"/>
        <v/>
      </c>
      <c r="QZ185" s="21" t="str">
        <f t="shared" si="577"/>
        <v/>
      </c>
      <c r="RA185" s="21" t="str">
        <f t="shared" si="578"/>
        <v/>
      </c>
      <c r="RB185" s="21" t="str">
        <f t="shared" si="579"/>
        <v/>
      </c>
      <c r="RC185" s="21" t="str">
        <f t="shared" si="580"/>
        <v/>
      </c>
      <c r="RD185" s="21" t="str">
        <f t="shared" si="581"/>
        <v/>
      </c>
      <c r="RE185" s="21" t="str">
        <f t="shared" si="582"/>
        <v/>
      </c>
      <c r="RF185" s="21" t="str">
        <f t="shared" si="583"/>
        <v>ALTO PARA EDAD GESTACIONAL</v>
      </c>
      <c r="RG185" s="21" t="str">
        <f t="shared" si="584"/>
        <v/>
      </c>
      <c r="RH185" s="21" t="str">
        <f t="shared" si="585"/>
        <v/>
      </c>
      <c r="RI185" s="21" t="str">
        <f t="shared" si="586"/>
        <v/>
      </c>
      <c r="RJ185" s="21" t="str">
        <f t="shared" si="587"/>
        <v/>
      </c>
      <c r="RK185" s="21" t="str">
        <f t="shared" si="588"/>
        <v/>
      </c>
      <c r="RL185" s="21" t="str">
        <f t="shared" si="589"/>
        <v/>
      </c>
      <c r="RM185" s="21" t="str">
        <f t="shared" si="590"/>
        <v/>
      </c>
      <c r="RN185" s="21" t="str">
        <f t="shared" si="591"/>
        <v/>
      </c>
      <c r="RO185" s="21" t="str">
        <f t="shared" si="592"/>
        <v/>
      </c>
      <c r="RP185" s="21" t="str">
        <f t="shared" si="593"/>
        <v/>
      </c>
      <c r="RQ185" s="21" t="str">
        <f t="shared" si="594"/>
        <v/>
      </c>
      <c r="RR185" s="21" t="str">
        <f t="shared" si="595"/>
        <v/>
      </c>
      <c r="RS185" s="21" t="str">
        <f t="shared" si="596"/>
        <v/>
      </c>
      <c r="RT185" s="21" t="str">
        <f t="shared" si="597"/>
        <v/>
      </c>
      <c r="RU185" s="21" t="str">
        <f t="shared" si="598"/>
        <v/>
      </c>
      <c r="RV185" s="21">
        <f t="shared" si="599"/>
        <v>-1</v>
      </c>
      <c r="RW185" s="284">
        <f>IF(OR(Tabla1[[#This Row],[FUM FORMULA CONFIABLE]]="",Tabla1[[#This Row],[FUM FORMULA CONFIABLE]]="SD"),"",IF(Tabla1[[#This Row],[FUM FORMULA CONFIABLE]]="CORREGIDA",Tabla1[[#This Row],[FUM X ECO 1]],Tabla1[[#This Row],[FUM x AMENORREA]]))</f>
        <v>44965.599999999999</v>
      </c>
      <c r="RX185" s="21">
        <f>IF(AND(Tabla1[[#This Row],[FUM X ECO 1]]="",Tabla1[[#This Row],[FUM x AMENORREA]]=""),"",IF(AND(Tabla1[[#This Row],[FUM X ECO 1]]="",Tabla1[[#This Row],[FUM x AMENORREA]]&lt;&gt;""),"X",SUM(Tabla1[[#This Row],[FUM X ECO 1]]-Tabla1[[#This Row],[FUM x AMENORREA]])))</f>
        <v>39.599999999998545</v>
      </c>
      <c r="RY185" s="21">
        <f t="shared" si="671"/>
        <v>1</v>
      </c>
    </row>
    <row r="186" spans="1:493" ht="45" customHeight="1" x14ac:dyDescent="0.25">
      <c r="A186" s="109"/>
      <c r="B186" s="43"/>
      <c r="C186" s="43" t="s">
        <v>845</v>
      </c>
      <c r="D186" s="124"/>
      <c r="E186" s="43" t="s">
        <v>1526</v>
      </c>
      <c r="F186" s="43" t="s">
        <v>1527</v>
      </c>
      <c r="G186" s="43" t="s">
        <v>1528</v>
      </c>
      <c r="H186" s="43" t="s">
        <v>1281</v>
      </c>
      <c r="I186" s="109" t="s">
        <v>1094</v>
      </c>
      <c r="J186" s="110">
        <v>1059596250</v>
      </c>
      <c r="K186" s="43" t="s">
        <v>852</v>
      </c>
      <c r="L186" s="175" t="s">
        <v>1516</v>
      </c>
      <c r="M186" s="22">
        <v>38773</v>
      </c>
      <c r="N186" s="213">
        <f t="shared" ca="1" si="600"/>
        <v>17.698630136986303</v>
      </c>
      <c r="O186" s="22">
        <v>45051</v>
      </c>
      <c r="P186" s="214" t="str">
        <f t="shared" si="673"/>
        <v>SI</v>
      </c>
      <c r="Q186" s="26" t="s">
        <v>855</v>
      </c>
      <c r="R186" s="22">
        <v>45051</v>
      </c>
      <c r="S186" s="21" t="s">
        <v>856</v>
      </c>
      <c r="T186" s="24" t="s">
        <v>690</v>
      </c>
      <c r="U186" s="21" t="s">
        <v>857</v>
      </c>
      <c r="V186" s="21" t="s">
        <v>858</v>
      </c>
      <c r="W186" s="21" t="s">
        <v>999</v>
      </c>
      <c r="X186" s="21"/>
      <c r="Y186" s="21"/>
      <c r="Z186" s="21"/>
      <c r="AA186" s="21" t="s">
        <v>860</v>
      </c>
      <c r="AB186" s="27" t="s">
        <v>861</v>
      </c>
      <c r="AC186" s="26" t="s">
        <v>877</v>
      </c>
      <c r="AD186" s="38" t="s">
        <v>865</v>
      </c>
      <c r="AE186" s="26" t="s">
        <v>854</v>
      </c>
      <c r="AF186" s="26" t="s">
        <v>854</v>
      </c>
      <c r="AG186" s="23" t="s">
        <v>864</v>
      </c>
      <c r="AH186" s="23" t="s">
        <v>864</v>
      </c>
      <c r="AI186" s="24" t="s">
        <v>863</v>
      </c>
      <c r="AJ186" s="23" t="s">
        <v>864</v>
      </c>
      <c r="AK186" s="220" t="str">
        <f>IF(AND(AD186="",AE186="",AF186="",AG186="",AH186="",AI186="",AJ186=""),"",IF(OR(Tabla1[[#This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EVALUACIÓN",IF(AND(O186="",R186=""),"",IF(AND(OR(O186&gt;0,R186&gt;0),NG186&gt;=0,NG186&lt;2),"SIN RIESGO",IF(AND(OR(O186&gt;0,R186&gt;0),NG186&gt;=2),"CON RIESGO","ASD")))))</f>
        <v>COMPLETAR EVALUACIÓN</v>
      </c>
      <c r="AL186" s="23" t="s">
        <v>864</v>
      </c>
      <c r="AM186" s="26" t="s">
        <v>864</v>
      </c>
      <c r="AN186" s="26" t="s">
        <v>864</v>
      </c>
      <c r="AO186" s="26" t="s">
        <v>864</v>
      </c>
      <c r="AP186" s="26" t="s">
        <v>864</v>
      </c>
      <c r="AQ186" s="26" t="s">
        <v>864</v>
      </c>
      <c r="AR186" s="26" t="s">
        <v>864</v>
      </c>
      <c r="AS186" s="21">
        <v>0</v>
      </c>
      <c r="AT186" s="21">
        <v>0</v>
      </c>
      <c r="AU186" s="21">
        <v>0</v>
      </c>
      <c r="AV186" s="26" t="s">
        <v>864</v>
      </c>
      <c r="AW186" s="21">
        <v>0</v>
      </c>
      <c r="AX186" s="26" t="s">
        <v>864</v>
      </c>
      <c r="AY186" s="26" t="s">
        <v>864</v>
      </c>
      <c r="AZ186" s="26" t="s">
        <v>864</v>
      </c>
      <c r="BA186" s="26" t="s">
        <v>864</v>
      </c>
      <c r="BB186" s="26" t="s">
        <v>864</v>
      </c>
      <c r="BC186" s="26" t="s">
        <v>864</v>
      </c>
      <c r="BD186" s="26" t="s">
        <v>864</v>
      </c>
      <c r="BE186" s="26" t="s">
        <v>864</v>
      </c>
      <c r="BF186" s="26" t="s">
        <v>864</v>
      </c>
      <c r="BG186" s="26" t="s">
        <v>864</v>
      </c>
      <c r="BH186" s="26" t="s">
        <v>864</v>
      </c>
      <c r="BI186" s="26" t="s">
        <v>864</v>
      </c>
      <c r="BJ186" s="26"/>
      <c r="BK186" s="26"/>
      <c r="BL186" s="26" t="s">
        <v>864</v>
      </c>
      <c r="BM186" s="26" t="s">
        <v>864</v>
      </c>
      <c r="BN186" s="22"/>
      <c r="BO186" s="22">
        <v>44889</v>
      </c>
      <c r="BP186" s="21" t="s">
        <v>864</v>
      </c>
      <c r="BQ186" s="222">
        <f t="shared" si="601"/>
        <v>0</v>
      </c>
      <c r="BR186" s="223" t="str">
        <f t="shared" si="602"/>
        <v/>
      </c>
      <c r="BS186" s="224">
        <f t="shared" si="603"/>
        <v>23.142857142857142</v>
      </c>
      <c r="BT186" s="216" t="str">
        <f t="shared" si="604"/>
        <v>DEFINIR CON ECO</v>
      </c>
      <c r="BU186" s="214" t="str">
        <f t="shared" ca="1" si="605"/>
        <v/>
      </c>
      <c r="BV186" s="25"/>
      <c r="BW186" s="22"/>
      <c r="BX186" s="28"/>
      <c r="BY186" s="28"/>
      <c r="BZ186" s="22"/>
      <c r="CA186" s="21"/>
      <c r="CB186" s="26"/>
      <c r="CC186" s="26"/>
      <c r="CD186" s="26"/>
      <c r="CE186" s="26"/>
      <c r="CF186" s="22" t="s">
        <v>1517</v>
      </c>
      <c r="CG186" s="21">
        <v>1.59</v>
      </c>
      <c r="CH186" s="21">
        <v>73.3</v>
      </c>
      <c r="CI186" s="214">
        <f t="shared" si="606"/>
        <v>28.994106245797234</v>
      </c>
      <c r="CJ186" s="225" t="e">
        <f>IF(AND(CI186&lt;10,CH186="SD"),"SIN DATO PESO PREGESTACION O I TRIM",IF(AND(OR(R186&gt;0,O186&gt;0),CI186="X"),"INGRESAR DATO DE PESO",IF(CI186="SD","INGRESAR DATO DE TALLA Y PESO",IF(AND(OR(Tabla1[[#This Row],[MOMENTO EN QUE SE REALIZA EL PESO AL INGRESO A CPN]]="PREGESTACIÓN",NZ186="Menor"),CI186&lt;18.5),"BAJO PESO",IF(AND(OR(Tabla1[[#This Row],[MOMENTO EN QUE SE REALIZA EL PESO AL INGRESO A CPN]]="PREGESTACIÓN",NZ186="Menor"),CI186&lt;25),"NORMAL",IF(AND(OR(Tabla1[[#This Row],[MOMENTO EN QUE SE REALIZA EL PESO AL INGRESO A CPN]]="PREGESTACIÓN",NZ186="Menor"),CI186&lt;30),"SOBREPESO",IF(AND(OR(Tabla1[[#This Row],[MOMENTO EN QUE SE REALIZA EL PESO AL INGRESO A CPN]]="PREGESTACIÓN",NZ186="Menor"),CI186&gt;=30,CI186&lt;50),"OBESIDAD",IF(AND(BS186&gt;0,Tabla1[[#This Row],[MOMENTO EN QUE SE REALIZA EL PESO AL INGRESO A CPN]]="GESTACIÓN"),HLOOKUP(NZ186,$OA$2:PH186,NY186),""))))))))</f>
        <v>#REF!</v>
      </c>
      <c r="CK186" s="212">
        <f t="shared" si="607"/>
        <v>45051</v>
      </c>
      <c r="CL186" s="21">
        <v>73.3</v>
      </c>
      <c r="CM186" s="214">
        <f t="shared" si="608"/>
        <v>28.994106245797234</v>
      </c>
      <c r="CN186" s="216">
        <f t="shared" si="609"/>
        <v>23</v>
      </c>
      <c r="CO186" s="216" t="e">
        <f>IF(PI186="","",IF(PI186&gt;0,HLOOKUP(PI186,$PJ$2:QQ186,NY186),""))</f>
        <v>#REF!</v>
      </c>
      <c r="CP186" s="21">
        <v>30</v>
      </c>
      <c r="CQ186" s="216" t="e">
        <f>IF(QR186="Menor","NO APLICA-MENOR 13 SEM",IF(AND(CC186="SI",CN186&gt;23),"NO APLICA- GEMELAR",IF(QR186="","",IF(QR186&gt;0,HLOOKUP(QR186,$QS$2:RU186,NY186),""))))</f>
        <v>#REF!</v>
      </c>
      <c r="CR186" s="21"/>
      <c r="CS186" s="21"/>
      <c r="CT186" s="217" t="str">
        <f>IF(R186="","",IF(AND(BS186&gt;1,BS186&lt;12,Tabla1[[#This Row],[T.A. SISTOLICA - ANTES DE SEMANA 12]]="",Tabla1[[#This Row],[T.A. DIASTOLICA - ANTES DE SEMANA 12]]=""),"REGISTRE DATO TA ANTES SEMANA 12",IF(AND(BS186&gt;11,BS186&lt;43,Tabla1[[#This Row],[T.A. SISTOLICA - ANTES DE SEMANA 12]]="",Tabla1[[#This Row],[T.A. DIASTOLICA - ANTES DE SEMANA 12]]=""),"NO APLICA REGISTRO TA-INGRESO TARDIO",IF(AND(OR(O186&gt;0,R186&gt;0),OR(CR186&gt;=140,CS186&gt;=90)),"DEFINIR ESTADIO HTA",IF(AND(OR(O186&gt;0,R186&gt;0),AND(CR186&gt;120,CR186&lt;=139)),"PRE HTA SEGUIMIENTO",IF(AND(OR(O186&gt;0,R186&gt;0),AND(CS186&gt;80,CS186&lt;=89)),"PRE HTA SEGUIMIENTO",IF(AND(OR(O186&gt;0,R186&gt;0),AND(CR186&gt;=80,CR186&lt;=120)),"APARENTEMENTE NORMAL",IF(AND(OR(O186&gt;0,R186&gt;0),AND(CS186&gt;=50,CS186&lt;=80)),"APARENTEMENTE NORMAL",IF(AND(OR(O186&gt;0,R186&gt;0),AND(CR186&gt;1,CR186&lt;=70),AND(CS186&gt;1,CS186&lt;=40)),"HIPOTENSIÓN","")))))))))</f>
        <v>NO APLICA REGISTRO TA-INGRESO TARDIO</v>
      </c>
      <c r="CU186" s="21"/>
      <c r="CV186" s="21"/>
      <c r="CW186" s="217" t="str">
        <f>IF(R186="","",IF(AND(CN186&gt;19,CN186&lt;27,Tabla1[[#This Row],[T.A. SISTOLICA (Entre semana 20 y 26)]]="",Tabla1[[#This Row],[T.A. DIATOLICA (Entre semana 20 y 26)]]=""),"ACUDE A CONTROL SEM 20 A 26 REGISTRE TA AHORA",IF(AND(BS186&gt;1,BS186&lt;27,BU186&gt;19,Tabla1[[#This Row],[T.A. SISTOLICA (Entre semana 20 y 26)]]="",Tabla1[[#This Row],[T.A. DIATOLICA (Entre semana 20 y 26)]]=""),"COMPLETE REGISTRO TA CONTROL SEM 20 A26 ",IF(AND(BS186&gt;26,BS186&lt;43,Tabla1[[#This Row],[T.A. SISTOLICA (Entre semana 20 y 26)]]="",Tabla1[[#This Row],[T.A. DIATOLICA (Entre semana 20 y 26)]]=""),"NO APLICA REGISTRO TA-INGRESO TARDIO",IF(AND(OR(O186&gt;0,R186&gt;0),OR(CU186&gt;=140,CV186&gt;=90)),"ALTO RIESGO PREECLAMPSIA,DEFINIR ESTADIO HTA",IF(AND(OR(O186&gt;0,R186&gt;0),AND(CU186&gt;120,CU186&lt;=139)),"PRE HTA SEGUIMIENTO,RIESGO HIPERTENSION INDUCIDA POR EL EMBARAZO",IF(AND(OR(O186&gt;0,R186&gt;0),AND(CV186&gt;80,CV186&lt;=89)),"PRE HTA SEGUIMIENTO, RIESGO HIPERTENSION INDUCIDA POR EL EMBARAZO",IF(AND(OR(O186&lt;&gt;"",R186&lt;&gt;""),CS186&lt;&gt;"",CV186&lt;&gt;"",CS186&lt;=CV186),"VIGILAR CIFRAS PRESION ARTERIAL",IF(AND(OR(O186&gt;0,R186&gt;0),AND(CU186&gt;120,CU186&lt;=139)),"PRE HTA SEGUIMIENTO",IF(AND(OR(O186&gt;0,R186&gt;0),AND(CU186&gt;1,CU186&lt;=70),AND(CV186&gt;1,CV186&lt;=40)),"HIPOTENSIÓN",IF(AND(OR(O186&lt;&gt;"",R186&lt;&gt;""),CS186&lt;&gt;"",CV186&lt;&gt;"",CS186&gt;CV186),"APARENTEMENTE NORMAL",IF(AND(OR(O186&gt;0,R186&gt;0),AND(CU186&gt;=80,CU186&lt;=120)),"APARENTEMENTE NORMAL",IF(AND(OR(O186&gt;0,R186&gt;0),AND(CV186&gt;=50,CV186&lt;=80)),"APARENTEMENTE NORMAL","")))))))))))))</f>
        <v>ACUDE A CONTROL SEM 20 A 26 REGISTRE TA AHORA</v>
      </c>
      <c r="CX186" s="21"/>
      <c r="CY186" s="21"/>
      <c r="CZ186" s="216" t="str">
        <f t="shared" si="727"/>
        <v/>
      </c>
      <c r="DA186" s="21">
        <v>100</v>
      </c>
      <c r="DB186" s="21">
        <v>60</v>
      </c>
      <c r="DC186" s="217" t="str">
        <f t="shared" si="610"/>
        <v>APARENTEMENTE NORMAL</v>
      </c>
      <c r="DD186" s="22">
        <v>45051</v>
      </c>
      <c r="DE186" s="22">
        <v>45051</v>
      </c>
      <c r="DF186" s="22"/>
      <c r="DG186" s="22"/>
      <c r="DH186" s="22"/>
      <c r="DI186" s="22"/>
      <c r="DJ186" s="22"/>
      <c r="DK186" s="22"/>
      <c r="DL186" s="22"/>
      <c r="DM186" s="22"/>
      <c r="DN186" s="22"/>
      <c r="DO186" s="22"/>
      <c r="DP186" s="22"/>
      <c r="DQ186" s="22"/>
      <c r="DR186" s="28">
        <v>0</v>
      </c>
      <c r="DS186" s="22"/>
      <c r="DT186" s="22"/>
      <c r="DU186" s="216" t="str">
        <f t="shared" ca="1" si="674"/>
        <v>SALE PROGRAMA ANTES SEMANA 35</v>
      </c>
      <c r="DV186" s="226" t="str">
        <f t="shared" si="675"/>
        <v>SALIO PROGRAMA</v>
      </c>
      <c r="DW186"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186" s="216" t="str">
        <f t="shared" ca="1" si="611"/>
        <v/>
      </c>
      <c r="DY186" s="212">
        <f>IF(R186="","",IF(R186&gt;0,MAX(Tabla1[[#This Row],[FECHA C2]:[FECHA C13]],Tabla1[[#This Row],[FECHA CONSULTA PRIMERA VEZ PROGRAMA CPN ]])))</f>
        <v>45051</v>
      </c>
      <c r="DZ186" s="216">
        <f t="shared" si="612"/>
        <v>23</v>
      </c>
      <c r="EA186" s="222">
        <f>IF(R186&gt;0,SUM(COUNTA(DF186:DQ186)+COUNTA(Tabla1[[#This Row],[FECHA CONSULTA PRIMERA VEZ PROGRAMA CPN ]])),"")</f>
        <v>1</v>
      </c>
      <c r="EB186" s="222" t="str">
        <f t="shared" si="613"/>
        <v>NO</v>
      </c>
      <c r="EC186" s="214">
        <f t="shared" si="614"/>
        <v>6</v>
      </c>
      <c r="ED186" s="227">
        <f t="shared" si="615"/>
        <v>0.16666666666666666</v>
      </c>
      <c r="EE186" s="22">
        <v>45051</v>
      </c>
      <c r="EF186" s="22"/>
      <c r="EG186" s="22">
        <v>45051</v>
      </c>
      <c r="EH186" s="22"/>
      <c r="EI186" s="22">
        <v>45051</v>
      </c>
      <c r="EJ186" s="22"/>
      <c r="EK186" s="22"/>
      <c r="EL186" s="21"/>
      <c r="EM186" s="21"/>
      <c r="EN186" s="22"/>
      <c r="EO186" s="222" t="str">
        <f t="shared" si="616"/>
        <v>TOMAR EXAMEN</v>
      </c>
      <c r="EP186" s="214" t="str">
        <f t="shared" si="617"/>
        <v/>
      </c>
      <c r="EQ186" s="216" t="str">
        <f t="shared" si="618"/>
        <v>POR DEFINIR</v>
      </c>
      <c r="ER186" s="24"/>
      <c r="ES186" s="22"/>
      <c r="ET186" s="29" t="str">
        <f t="shared" ca="1" si="676"/>
        <v>SALE SIN TAMIZAJE HEMOGLOBINA SEM 28</v>
      </c>
      <c r="EU186" s="25" t="str">
        <f t="shared" si="619"/>
        <v/>
      </c>
      <c r="EV186" s="24"/>
      <c r="EW186" s="24"/>
      <c r="EX186" s="22"/>
      <c r="EY186" s="29" t="str">
        <f t="shared" si="691"/>
        <v>TOMAR EXAMEN</v>
      </c>
      <c r="EZ186" s="25" t="str">
        <f t="shared" ca="1" si="692"/>
        <v/>
      </c>
      <c r="FA186" s="21"/>
      <c r="FB186" s="22"/>
      <c r="FC186" s="29" t="str">
        <f t="shared" si="620"/>
        <v>TOMAR EXAMEN</v>
      </c>
      <c r="FD186" s="29"/>
      <c r="FE186" s="29"/>
      <c r="FF186" s="29"/>
      <c r="FG186" s="21" t="str">
        <f t="shared" ca="1" si="621"/>
        <v/>
      </c>
      <c r="FH186" s="31"/>
      <c r="FI186" s="29" t="str">
        <f t="shared" si="622"/>
        <v>TOMAR EXAMEN</v>
      </c>
      <c r="FJ186" s="22"/>
      <c r="FK186" s="22"/>
      <c r="FL186" s="29" t="str">
        <f t="shared" ca="1" si="623"/>
        <v>NO APLICA-INGRESO TARDIO</v>
      </c>
      <c r="FM186" s="22"/>
      <c r="FN186" s="32"/>
      <c r="FO186" s="29" t="str">
        <f t="shared" ca="1" si="677"/>
        <v>PIERDE TOMA DE TAMIZAJE</v>
      </c>
      <c r="FP186" s="22"/>
      <c r="FQ186" s="32"/>
      <c r="FR186" s="29" t="str">
        <f t="shared" ca="1" si="678"/>
        <v>PIERDE TOMA DE TAMIZAJE</v>
      </c>
      <c r="FS186" s="22"/>
      <c r="FT186" s="32"/>
      <c r="FU186" s="29" t="str">
        <f>IF(AND(FJ186="",FM186="",FP186="",FS186=""),"",IF(OR(OR(Tabla1[[#This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6" s="28"/>
      <c r="FW186" s="22"/>
      <c r="FX186" s="29" t="str">
        <f t="shared" si="624"/>
        <v>TOMAR EXAMEN</v>
      </c>
      <c r="FY186" s="22"/>
      <c r="FZ186" s="22"/>
      <c r="GA186" s="29" t="str">
        <f t="shared" ca="1" si="690"/>
        <v>NO APLICA-INGRESO TARDIO</v>
      </c>
      <c r="GB186" s="22"/>
      <c r="GC186" s="22"/>
      <c r="GD186" s="29" t="str">
        <f t="shared" ca="1" si="730"/>
        <v>PIERDE TOMA DE TAMIZAJE</v>
      </c>
      <c r="GE186" s="22"/>
      <c r="GF186" s="22"/>
      <c r="GG186" s="29" t="str">
        <f t="shared" ca="1" si="680"/>
        <v>PIERDE TOMA DE TAMIZAJE</v>
      </c>
      <c r="GH186" s="22"/>
      <c r="GI186" s="29"/>
      <c r="GJ186" s="22"/>
      <c r="GK186" s="22"/>
      <c r="GL186" s="22"/>
      <c r="GM186" s="22"/>
      <c r="GN186" s="28"/>
      <c r="GO186" s="22"/>
      <c r="GP186" s="29" t="str">
        <f t="shared" si="625"/>
        <v>TOMAR EXAMEN</v>
      </c>
      <c r="GQ186" s="28"/>
      <c r="GR186" s="28"/>
      <c r="GS186" s="22" t="str">
        <f t="shared" si="726"/>
        <v/>
      </c>
      <c r="GT186" s="22"/>
      <c r="GU186" s="29" t="str">
        <f t="shared" si="627"/>
        <v>TOMAR EXAMEN</v>
      </c>
      <c r="GV186" s="21" t="str">
        <f t="shared" si="628"/>
        <v>POR DEFINIR</v>
      </c>
      <c r="GW186" s="28"/>
      <c r="GX186" s="30"/>
      <c r="GY186" s="21"/>
      <c r="GZ186" s="21"/>
      <c r="HA186" s="21"/>
      <c r="HB186" s="21"/>
      <c r="HC186" s="21"/>
      <c r="HD186" s="21"/>
      <c r="HE186" s="21"/>
      <c r="HF186" s="22"/>
      <c r="HG186" s="22" t="str">
        <f>IF(OR(O186&gt;0,R186&gt;0),CONCATENATE(IF(Tabla1[[#This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6" s="22" t="e">
        <f t="shared" si="629"/>
        <v>#REF!</v>
      </c>
      <c r="HI186" s="22" t="e">
        <f t="shared" ca="1" si="630"/>
        <v>#REF!</v>
      </c>
      <c r="HJ186" s="21"/>
      <c r="HK186" s="21" t="str">
        <f t="shared" si="631"/>
        <v>SIN ANTECEDENTES DE RIESGO</v>
      </c>
      <c r="HL186" s="24" t="str">
        <f t="shared" si="632"/>
        <v>APARENTEMENTE NORMAL</v>
      </c>
      <c r="HM186" s="21" t="str">
        <f t="shared" ca="1" si="633"/>
        <v/>
      </c>
      <c r="HN186" s="30" t="str">
        <f t="shared" si="681"/>
        <v>SALIO PROGRAMA</v>
      </c>
      <c r="HO186" s="21"/>
      <c r="HP186" s="21"/>
      <c r="HQ186" s="21"/>
      <c r="HR186" s="21" t="str">
        <f>IF(R186="","",IF(Tabla1[[#This Row],[ALARMA FACTORES DE RIESGO COMPLICACIONES HIPERTENSIVAS3]]="SIN ANTECEDENTES DE RIESGO","No Aplica para suministro de ASA",IF(AND(Tabla1[[#This Row],[FECHA INICIO DE SUMINISTRO DE ASA]]&gt;0,RV186&lt;12),"Inicia ASA ANTES de Sem 12",IF(AND(RV186&gt;11,RV186&lt;17,OR(HK186="RIESGO ALTO DE COMPLICACIONES HIPERTENSIVAS VER MANEJO GUIA SUMINISTRO ASA Y CALCIO",HK186="RIESGO MODERADO (2 O MAS CRITERIOS) VER MANEJO GUIA SUMINISTRO ASA Y CALCIO")),"Inicio oportuno de ASA",IF(AND(RV186&gt;12,OR(HK186="RIESGO ALTO DE COMPLICACIONES HIPERTENSIVAS VER MANEJO GUIA SUMINISTRO ASA Y CALCIO",HK186="RIESGO MODERADO (2 O MAS CRITERIOS) VER MANEJO GUIA SUMINISTRO ASA Y CALCIO")),"Inicio no oportuno mayor a 16 semanas",IF(AND(BU186&lt;12,OR(HK186="RIESGO ALTO DE COMPLICACIONES HIPERTENSIVAS VER MANEJO GUIA SUMINISTRO ASA Y CALCIO",HK186="RIESGO MODERADO (2 O MAS CRITERIOS) VER MANEJO GUIA SUMINISTRO ASA Y CALCIO")),"Pendiente Inicio de ASA a la semana 12",IF(AND(BU186&gt;11,BU186&lt;17,OR(HK186="RIESGO ALTO DE COMPLICACIONES HIPERTENSIVAS VER MANEJO GUIA SUMINISTRO ASA Y CALCIO",HK186="RIESGO MODERADO (2 O MAS CRITERIOS) VER MANEJO GUIA SUMINISTRO ASA Y CALCIO")),"Iniciar de inmediato ASA",IF(AND(BU186&gt;16,OR(HK186="RIESGO ALTO DE COMPLICACIONES HIPERTENSIVAS VER MANEJO GUIA SUMINISTRO ASA Y CALCIO",HK186="RIESGO MODERADO (2 O MAS CRITERIOS) VER MANEJO GUIA SUMINISTRO ASA Y CALCIO")),"Pierde Oportunidad, Inicio tardío de ASA","XXXXX"))))))))</f>
        <v>No Aplica para suministro de ASA</v>
      </c>
      <c r="HS186" s="22">
        <v>45051</v>
      </c>
      <c r="HT186" s="22" t="s">
        <v>1518</v>
      </c>
      <c r="HU186" s="22">
        <v>45051</v>
      </c>
      <c r="HV186" s="22" t="s">
        <v>1523</v>
      </c>
      <c r="HW186" s="22">
        <v>45051</v>
      </c>
      <c r="HX186" s="22" t="s">
        <v>1529</v>
      </c>
      <c r="HY186" s="22">
        <v>45051</v>
      </c>
      <c r="HZ186" s="28">
        <f t="shared" si="634"/>
        <v>23.142857142857142</v>
      </c>
      <c r="IA186" s="26"/>
      <c r="IB186" s="26"/>
      <c r="IC186" s="111"/>
      <c r="ID186" s="22"/>
      <c r="IE186" s="22" t="str">
        <f t="shared" ca="1" si="635"/>
        <v>SALE SIN VACUNA</v>
      </c>
      <c r="IF186" s="22"/>
      <c r="IG186" s="22">
        <f t="shared" si="636"/>
        <v>45169</v>
      </c>
      <c r="IH186" s="29">
        <f t="shared" ca="1" si="637"/>
        <v>-64</v>
      </c>
      <c r="II186" s="22" t="str">
        <f t="shared" ca="1" si="638"/>
        <v>POSIBLEMENTE NACIO</v>
      </c>
      <c r="IJ186" s="22"/>
      <c r="IK186" s="21" t="s">
        <v>898</v>
      </c>
      <c r="IL186" s="21"/>
      <c r="IM186" s="34"/>
      <c r="IN186" s="349">
        <v>45107</v>
      </c>
      <c r="IO186" s="21" t="s">
        <v>1640</v>
      </c>
      <c r="IP186" s="29">
        <f t="shared" si="728"/>
        <v>31.142857142857142</v>
      </c>
      <c r="IQ186" s="35"/>
      <c r="IR186" s="21" t="s">
        <v>879</v>
      </c>
      <c r="IS186" s="21" t="s">
        <v>1641</v>
      </c>
      <c r="IT186" s="21" t="s">
        <v>1642</v>
      </c>
      <c r="IU186" s="21"/>
      <c r="IV186" s="21"/>
      <c r="IW186" s="21"/>
      <c r="IX186" s="21"/>
      <c r="IY186" s="21"/>
      <c r="IZ186" s="21"/>
      <c r="JA186" s="21"/>
      <c r="JB186" s="30">
        <v>1</v>
      </c>
      <c r="JC186" s="21" t="s">
        <v>1643</v>
      </c>
      <c r="JD186" s="36">
        <v>3395</v>
      </c>
      <c r="JE186" s="21" t="str">
        <f t="shared" si="731"/>
        <v>ERROR VERIFICAR DATO EDAD GESTACIONAL VS PESO</v>
      </c>
      <c r="JF186" s="30"/>
      <c r="JG186" s="21"/>
      <c r="JH186" s="21"/>
      <c r="JI186" s="21"/>
      <c r="JJ186" s="30"/>
      <c r="JK186" s="22"/>
      <c r="JL186" s="22"/>
      <c r="JM186" s="21"/>
      <c r="JN186" s="36"/>
      <c r="JO186" s="21" t="str">
        <f t="shared" si="732"/>
        <v/>
      </c>
      <c r="JP186" s="22"/>
      <c r="JQ186" s="21"/>
      <c r="JR186" s="21"/>
      <c r="JS186" s="21"/>
      <c r="JT186" s="30"/>
      <c r="JU186" s="22"/>
      <c r="JV186" s="22"/>
      <c r="JW186" s="33"/>
      <c r="JX186" s="28" t="str">
        <f t="shared" si="733"/>
        <v>INASISTENTE</v>
      </c>
      <c r="JY186" s="33"/>
      <c r="JZ186" s="28" t="str">
        <f t="shared" si="734"/>
        <v>INASISTENTE</v>
      </c>
      <c r="KA186" s="21"/>
      <c r="KB186" s="21"/>
      <c r="KC186" s="21"/>
      <c r="KD186" s="37"/>
      <c r="KE186" s="28"/>
      <c r="KF186" s="28"/>
      <c r="KG186" s="28"/>
      <c r="KH186" s="39"/>
      <c r="KI186" s="39"/>
      <c r="KJ186" s="66"/>
      <c r="KK186" s="39"/>
      <c r="KL186" s="39"/>
      <c r="KM186" s="66"/>
      <c r="KN186" s="39"/>
      <c r="KO186" s="39"/>
      <c r="KP186" s="39"/>
      <c r="KQ186" s="39"/>
      <c r="KR186" s="39"/>
      <c r="KS186" s="39"/>
      <c r="KT186" s="39"/>
      <c r="KU186" s="38"/>
      <c r="KV186" s="38"/>
      <c r="KW186" s="38"/>
      <c r="KX186" s="38"/>
      <c r="KY186" s="38"/>
      <c r="KZ186" s="38"/>
      <c r="LA186" s="38"/>
      <c r="LB186" s="38"/>
      <c r="LC186" s="38"/>
      <c r="LD186" s="38"/>
      <c r="LE186" s="38"/>
      <c r="LF186" s="38"/>
      <c r="LG186" s="38"/>
      <c r="LH186" s="38"/>
      <c r="LI186" s="38"/>
      <c r="LJ186" s="38"/>
      <c r="LK186" s="38"/>
      <c r="LL186" s="38"/>
      <c r="LM186" s="38"/>
      <c r="LN186" s="38"/>
      <c r="LO186" s="38"/>
      <c r="LP186" s="38"/>
      <c r="LQ186" s="38"/>
      <c r="LR186" s="38"/>
      <c r="LS186" s="38"/>
      <c r="LT186" s="38"/>
      <c r="LU186" s="38"/>
      <c r="LV186" s="38"/>
      <c r="LW186" s="38"/>
      <c r="LX186" s="38"/>
      <c r="LY186" s="38"/>
      <c r="LZ186" s="38"/>
      <c r="MA186" s="38"/>
      <c r="MB186" s="38"/>
      <c r="MC186" s="38"/>
      <c r="MD186" s="38"/>
      <c r="ME186" s="38"/>
      <c r="MF186" s="38"/>
      <c r="MG186" s="38"/>
      <c r="MH186" s="43">
        <f t="shared" si="695"/>
        <v>0</v>
      </c>
      <c r="MI186" s="43" t="str">
        <f t="shared" si="696"/>
        <v/>
      </c>
      <c r="MJ186" s="43" t="str">
        <f t="shared" si="697"/>
        <v/>
      </c>
      <c r="MK186" s="43">
        <f t="shared" si="698"/>
        <v>0</v>
      </c>
      <c r="ML18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6" s="43">
        <f t="shared" si="699"/>
        <v>23.142857142857142</v>
      </c>
      <c r="MN186" s="43">
        <f t="shared" si="700"/>
        <v>5</v>
      </c>
      <c r="MO186" s="43">
        <f t="shared" si="701"/>
        <v>2023</v>
      </c>
      <c r="MP186" s="43" t="str">
        <f t="shared" si="702"/>
        <v>II TRIMESTRE AÑO</v>
      </c>
      <c r="MQ186" s="43">
        <f t="shared" si="703"/>
        <v>16.945904511607534</v>
      </c>
      <c r="MR186" s="43">
        <f t="shared" si="704"/>
        <v>0</v>
      </c>
      <c r="MS186" s="43" t="str">
        <f t="shared" si="705"/>
        <v>DE 14 A 19AÑOS</v>
      </c>
      <c r="MT186" s="43">
        <f t="shared" si="706"/>
        <v>0</v>
      </c>
      <c r="MU186" s="43">
        <f t="shared" si="707"/>
        <v>1</v>
      </c>
      <c r="MV186" s="43">
        <f t="shared" si="708"/>
        <v>0</v>
      </c>
      <c r="MW186" s="43">
        <f t="shared" si="709"/>
        <v>0</v>
      </c>
      <c r="MX186" s="43" t="str">
        <f t="shared" si="710"/>
        <v/>
      </c>
      <c r="MY186" s="43" t="str">
        <f t="shared" ca="1" si="735"/>
        <v/>
      </c>
      <c r="MZ186" s="43" t="str">
        <f t="shared" si="711"/>
        <v/>
      </c>
      <c r="NA186" s="43" t="str">
        <f t="shared" si="712"/>
        <v/>
      </c>
      <c r="NB186" s="43" t="str">
        <f t="shared" si="713"/>
        <v/>
      </c>
      <c r="NC186" s="43" t="str">
        <f t="shared" si="714"/>
        <v/>
      </c>
      <c r="ND186" s="43">
        <f t="shared" ca="1" si="715"/>
        <v>1</v>
      </c>
      <c r="NE186" s="43">
        <f>IF(OR(O186&gt;0,R186&gt;0),SUM(COUNTIF(Tabla1[[#This Row],[AÑOS AL INICIO5 CPN]],"&gt;=40"),COUNTIF(AS186,"0"),COUNTIF(AR186,"SI"),COUNTIF(CC186,"SI"),COUNTIF(BQ186,"&gt;119"),COUNTIF(CI186,"&gt;=35")),"")</f>
        <v>1</v>
      </c>
      <c r="NF186" s="43" t="str">
        <f t="shared" si="716"/>
        <v/>
      </c>
      <c r="NG186" s="43">
        <f t="shared" si="717"/>
        <v>0</v>
      </c>
      <c r="NH186" s="43" t="str">
        <f t="shared" si="718"/>
        <v/>
      </c>
      <c r="NI186"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CPN",P186="NO"),"Z",IF(AND(Tabla1[[#This Row],[CITA PROXIMO CONTROL]]="CITA MANUAL",Tabla1[[#This Row],[GESTANTES ACTUALES]]="ACTIVA INGRESO A CPN"),"W",IF(AND(Tabla1[[#This Row],[GESTANTES ACTUALES]]="SALIO PROGRAMA",IN186=""),"S",IF(AND(Tabla1[[#This Row],[CITA PROXIMO CONTROL]]&gt;0,IN186=""),(Tabla1[[#This Row],[CITA PROXIMO CONTROL]]-TODAY()),"SD"))))))))</f>
        <v>SD</v>
      </c>
      <c r="NJ186" s="43">
        <f>MONTH(Tabla1[[#This Row],[FECHA DE SALIDA  DEL PROGRAMA]])</f>
        <v>6</v>
      </c>
      <c r="NK186" s="43">
        <f>YEAR(Tabla1[[#This Row],[FECHA DE SALIDA  DEL PROGRAMA]])</f>
        <v>2023</v>
      </c>
      <c r="NL186" s="43" t="str">
        <f t="shared" si="719"/>
        <v>X</v>
      </c>
      <c r="NM186" s="43" t="str">
        <f t="shared" si="693"/>
        <v>NO</v>
      </c>
      <c r="NN186" s="43" t="str">
        <f ca="1">IF(AND(O186&gt;0,R186=""),"NO CPN",IF(AND(O186="",R186=""),"",IF(AND(R186&gt;0,Tabla1[[#This Row],[SEMANAS DE GESTACION ACTUALIZADAS]]&lt;=12),"NO APLICA",IF(AND(FH186&lt;&gt;"",FN186&lt;&gt;""),"SI","NO"))))</f>
        <v>NO</v>
      </c>
      <c r="NO186" s="43" t="str">
        <f ca="1">IF(AND(O186&gt;0,R186=""),"NO CPN",IF(AND(O186="",R186=""),"",IF(AND(R186&gt;0,Tabla1[[#This Row],[SEMANAS DE GESTACION ACTUALIZADAS]]&lt;=27),"NO APLICA",IF(AND(ES186&lt;&gt;"",FQ186&lt;&gt;"",GF186&lt;&gt;""),"SI","NO"))))</f>
        <v>NO</v>
      </c>
      <c r="NP186" s="204" t="str">
        <f t="shared" si="720"/>
        <v>DEFINIR CON ECO</v>
      </c>
      <c r="NQ186" s="21" t="str">
        <f t="shared" si="729"/>
        <v/>
      </c>
      <c r="NR186" s="21">
        <f t="shared" si="736"/>
        <v>2</v>
      </c>
      <c r="NS186" s="205">
        <f t="shared" ca="1" si="721"/>
        <v>0</v>
      </c>
      <c r="NT186" s="21">
        <f t="shared" ca="1" si="722"/>
        <v>0</v>
      </c>
      <c r="NU186" s="21" t="str">
        <f t="shared" ca="1" si="723"/>
        <v>INCOMPLETO</v>
      </c>
      <c r="NV186" s="21" t="str">
        <f t="shared" ca="1" si="724"/>
        <v>INCOMPLETO</v>
      </c>
      <c r="NW186" s="206" t="str">
        <f>IF(AND(O186="",R186=""),"",IF(OR(AND(Tabla1[[#This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6" s="207" t="str">
        <f t="shared" ca="1" si="725"/>
        <v>SIN VACUNAR</v>
      </c>
      <c r="NY186" s="43">
        <f>ROW(Tabla1[[#This Row],['# DE TAMIZAJES SIFILIS TOMADOS ]])</f>
        <v>186</v>
      </c>
      <c r="NZ186" s="43">
        <f t="shared" si="501"/>
        <v>23</v>
      </c>
      <c r="OA186" s="43" t="str">
        <f t="shared" si="502"/>
        <v/>
      </c>
      <c r="OB186" s="43" t="str">
        <f t="shared" si="503"/>
        <v/>
      </c>
      <c r="OC186" s="43" t="str">
        <f t="shared" si="504"/>
        <v/>
      </c>
      <c r="OD186" s="43" t="str">
        <f t="shared" si="505"/>
        <v/>
      </c>
      <c r="OE186" s="43" t="str">
        <f t="shared" si="506"/>
        <v/>
      </c>
      <c r="OF186" s="43" t="str">
        <f t="shared" si="507"/>
        <v/>
      </c>
      <c r="OG186" s="43" t="str">
        <f t="shared" si="508"/>
        <v/>
      </c>
      <c r="OH186" s="43" t="str">
        <f t="shared" si="509"/>
        <v/>
      </c>
      <c r="OI186" s="43" t="str">
        <f t="shared" si="510"/>
        <v/>
      </c>
      <c r="OJ186" s="43" t="str">
        <f t="shared" si="511"/>
        <v/>
      </c>
      <c r="OK186" s="43" t="str">
        <f t="shared" si="512"/>
        <v/>
      </c>
      <c r="OL186" s="43" t="str">
        <f t="shared" si="513"/>
        <v/>
      </c>
      <c r="OM186" s="43" t="str">
        <f t="shared" si="514"/>
        <v/>
      </c>
      <c r="ON186" s="43" t="str">
        <f t="shared" si="515"/>
        <v/>
      </c>
      <c r="OO186" s="43" t="str">
        <f t="shared" si="516"/>
        <v>SOBREPESO</v>
      </c>
      <c r="OP186" s="43" t="str">
        <f t="shared" si="517"/>
        <v/>
      </c>
      <c r="OQ186" s="43" t="str">
        <f t="shared" si="518"/>
        <v/>
      </c>
      <c r="OR186" s="43" t="str">
        <f t="shared" si="519"/>
        <v/>
      </c>
      <c r="OS186" s="43" t="str">
        <f t="shared" si="520"/>
        <v/>
      </c>
      <c r="OT186" s="43" t="str">
        <f t="shared" si="521"/>
        <v/>
      </c>
      <c r="OU186" s="43" t="str">
        <f t="shared" si="522"/>
        <v/>
      </c>
      <c r="OV186" s="110" t="str">
        <f t="shared" si="523"/>
        <v/>
      </c>
      <c r="OW186" s="43" t="str">
        <f t="shared" si="524"/>
        <v/>
      </c>
      <c r="OX186" s="43" t="str">
        <f t="shared" si="525"/>
        <v/>
      </c>
      <c r="OY186" s="43" t="str">
        <f t="shared" si="526"/>
        <v/>
      </c>
      <c r="OZ186" s="43" t="str">
        <f t="shared" si="527"/>
        <v/>
      </c>
      <c r="PA186" s="43" t="str">
        <f t="shared" si="528"/>
        <v/>
      </c>
      <c r="PB186" s="43" t="str">
        <f t="shared" si="529"/>
        <v/>
      </c>
      <c r="PC186" s="43" t="str">
        <f t="shared" si="530"/>
        <v/>
      </c>
      <c r="PD186" s="43" t="str">
        <f t="shared" si="531"/>
        <v/>
      </c>
      <c r="PE186" s="43" t="str">
        <f t="shared" si="532"/>
        <v/>
      </c>
      <c r="PF186" s="43" t="str">
        <f t="shared" si="533"/>
        <v/>
      </c>
      <c r="PG186" s="43" t="str">
        <f t="shared" si="534"/>
        <v/>
      </c>
      <c r="PH186" s="43" t="str">
        <f t="shared" si="535"/>
        <v/>
      </c>
      <c r="PI186" s="43">
        <f t="shared" si="536"/>
        <v>23</v>
      </c>
      <c r="PJ186" s="43" t="str">
        <f t="shared" si="537"/>
        <v/>
      </c>
      <c r="PK186" s="43" t="str">
        <f t="shared" si="538"/>
        <v/>
      </c>
      <c r="PL186" s="43" t="str">
        <f t="shared" si="539"/>
        <v/>
      </c>
      <c r="PM186" s="43" t="str">
        <f t="shared" si="540"/>
        <v/>
      </c>
      <c r="PN186" s="43" t="str">
        <f t="shared" si="541"/>
        <v/>
      </c>
      <c r="PO186" s="43" t="str">
        <f t="shared" si="542"/>
        <v/>
      </c>
      <c r="PP186" s="43" t="str">
        <f t="shared" si="543"/>
        <v/>
      </c>
      <c r="PQ186" s="43" t="str">
        <f t="shared" si="544"/>
        <v/>
      </c>
      <c r="PR186" s="43" t="str">
        <f t="shared" si="545"/>
        <v/>
      </c>
      <c r="PS186" s="43" t="str">
        <f t="shared" si="546"/>
        <v/>
      </c>
      <c r="PT186" s="43" t="str">
        <f t="shared" si="547"/>
        <v/>
      </c>
      <c r="PU186" s="43" t="str">
        <f t="shared" si="548"/>
        <v/>
      </c>
      <c r="PV186" s="43" t="str">
        <f t="shared" si="549"/>
        <v/>
      </c>
      <c r="PW186" s="43" t="str">
        <f t="shared" si="550"/>
        <v/>
      </c>
      <c r="PX186" s="43" t="str">
        <f t="shared" si="551"/>
        <v>SOBREPESO</v>
      </c>
      <c r="PY186" s="43" t="str">
        <f t="shared" si="552"/>
        <v/>
      </c>
      <c r="PZ186" s="43" t="str">
        <f t="shared" si="553"/>
        <v/>
      </c>
      <c r="QA186" s="43" t="str">
        <f t="shared" si="554"/>
        <v/>
      </c>
      <c r="QB186" s="43" t="str">
        <f t="shared" si="555"/>
        <v/>
      </c>
      <c r="QC186" s="43" t="str">
        <f t="shared" si="556"/>
        <v/>
      </c>
      <c r="QD186" s="43" t="str">
        <f t="shared" si="557"/>
        <v/>
      </c>
      <c r="QE186" s="43" t="str">
        <f t="shared" si="558"/>
        <v/>
      </c>
      <c r="QF186" s="43" t="str">
        <f t="shared" si="559"/>
        <v/>
      </c>
      <c r="QG186" s="43" t="str">
        <f t="shared" si="560"/>
        <v/>
      </c>
      <c r="QH186" s="43" t="str">
        <f t="shared" si="561"/>
        <v/>
      </c>
      <c r="QI186" s="43" t="str">
        <f t="shared" si="562"/>
        <v/>
      </c>
      <c r="QJ186" s="43" t="str">
        <f t="shared" si="563"/>
        <v/>
      </c>
      <c r="QK186" s="43" t="str">
        <f t="shared" si="564"/>
        <v/>
      </c>
      <c r="QL186" s="43" t="str">
        <f t="shared" si="565"/>
        <v/>
      </c>
      <c r="QM186" s="43" t="str">
        <f t="shared" si="566"/>
        <v/>
      </c>
      <c r="QN186" s="43" t="str">
        <f t="shared" si="567"/>
        <v/>
      </c>
      <c r="QO186" s="43" t="str">
        <f t="shared" si="568"/>
        <v/>
      </c>
      <c r="QP186" s="43" t="str">
        <f t="shared" si="569"/>
        <v/>
      </c>
      <c r="QQ186" s="43" t="str">
        <f t="shared" si="570"/>
        <v/>
      </c>
      <c r="QR186" s="43">
        <f t="shared" si="670"/>
        <v>23</v>
      </c>
      <c r="QS186" s="43"/>
      <c r="QT186" s="21" t="str">
        <f t="shared" si="571"/>
        <v/>
      </c>
      <c r="QU186" s="21" t="str">
        <f t="shared" si="572"/>
        <v/>
      </c>
      <c r="QV186" s="21" t="str">
        <f t="shared" si="573"/>
        <v/>
      </c>
      <c r="QW186" s="21" t="str">
        <f t="shared" si="574"/>
        <v/>
      </c>
      <c r="QX186" s="21" t="str">
        <f t="shared" si="575"/>
        <v/>
      </c>
      <c r="QY186" s="21" t="str">
        <f t="shared" si="576"/>
        <v/>
      </c>
      <c r="QZ186" s="21" t="str">
        <f t="shared" si="577"/>
        <v/>
      </c>
      <c r="RA186" s="21" t="str">
        <f t="shared" si="578"/>
        <v/>
      </c>
      <c r="RB186" s="21" t="str">
        <f t="shared" si="579"/>
        <v/>
      </c>
      <c r="RC186" s="21" t="str">
        <f t="shared" si="580"/>
        <v/>
      </c>
      <c r="RD186" s="21" t="str">
        <f t="shared" si="581"/>
        <v>ALTO PARA EDAD GESTACIONAL</v>
      </c>
      <c r="RE186" s="21" t="str">
        <f t="shared" si="582"/>
        <v/>
      </c>
      <c r="RF186" s="21" t="str">
        <f t="shared" si="583"/>
        <v/>
      </c>
      <c r="RG186" s="21" t="str">
        <f t="shared" si="584"/>
        <v/>
      </c>
      <c r="RH186" s="21" t="str">
        <f t="shared" si="585"/>
        <v/>
      </c>
      <c r="RI186" s="21" t="str">
        <f t="shared" si="586"/>
        <v/>
      </c>
      <c r="RJ186" s="21" t="str">
        <f t="shared" si="587"/>
        <v/>
      </c>
      <c r="RK186" s="21" t="str">
        <f t="shared" si="588"/>
        <v/>
      </c>
      <c r="RL186" s="21" t="str">
        <f t="shared" si="589"/>
        <v/>
      </c>
      <c r="RM186" s="21" t="str">
        <f t="shared" si="590"/>
        <v/>
      </c>
      <c r="RN186" s="21" t="str">
        <f t="shared" si="591"/>
        <v/>
      </c>
      <c r="RO186" s="21" t="str">
        <f t="shared" si="592"/>
        <v/>
      </c>
      <c r="RP186" s="21" t="str">
        <f t="shared" si="593"/>
        <v/>
      </c>
      <c r="RQ186" s="21" t="str">
        <f t="shared" si="594"/>
        <v/>
      </c>
      <c r="RR186" s="21" t="str">
        <f t="shared" si="595"/>
        <v/>
      </c>
      <c r="RS186" s="21" t="str">
        <f t="shared" si="596"/>
        <v/>
      </c>
      <c r="RT186" s="21" t="str">
        <f t="shared" si="597"/>
        <v/>
      </c>
      <c r="RU186" s="21" t="str">
        <f t="shared" si="598"/>
        <v/>
      </c>
      <c r="RV186" s="21">
        <f t="shared" si="599"/>
        <v>-1</v>
      </c>
      <c r="RW186" s="284">
        <f>IF(OR(Tabla1[[#This Row],[FUM FORMULA CONFIABLE]]="",Tabla1[[#This Row],[FUM FORMULA CONFIABLE]]="SD"),"",IF(Tabla1[[#This Row],[FUM FORMULA CONFIABLE]]="CORREGIDA",Tabla1[[#This Row],[FUM X ECO 1]],Tabla1[[#This Row],[FUM x AMENORREA]]))</f>
        <v>44889</v>
      </c>
      <c r="RX186" s="21" t="str">
        <f>IF(AND(Tabla1[[#This Row],[FUM X ECO 1]]="",Tabla1[[#This Row],[FUM x AMENORREA]]=""),"",IF(AND(Tabla1[[#This Row],[FUM X ECO 1]]="",Tabla1[[#This Row],[FUM x AMENORREA]]&lt;&gt;""),"X",SUM(Tabla1[[#This Row],[FUM X ECO 1]]-Tabla1[[#This Row],[FUM x AMENORREA]])))</f>
        <v>X</v>
      </c>
      <c r="RY186" s="21" t="str">
        <f t="shared" si="671"/>
        <v>x</v>
      </c>
    </row>
    <row r="187" spans="1:493" ht="45" customHeight="1" x14ac:dyDescent="0.25">
      <c r="A187" s="109"/>
      <c r="B187" s="43"/>
      <c r="C187" s="43" t="s">
        <v>845</v>
      </c>
      <c r="D187" s="124"/>
      <c r="E187" s="43" t="s">
        <v>896</v>
      </c>
      <c r="F187" s="43" t="s">
        <v>953</v>
      </c>
      <c r="G187" s="43" t="s">
        <v>1530</v>
      </c>
      <c r="H187" s="43" t="s">
        <v>1182</v>
      </c>
      <c r="I187" s="109" t="s">
        <v>851</v>
      </c>
      <c r="J187" s="110">
        <v>1059594419</v>
      </c>
      <c r="K187" s="43" t="s">
        <v>852</v>
      </c>
      <c r="L187" s="175" t="s">
        <v>1509</v>
      </c>
      <c r="M187" s="22">
        <v>31110</v>
      </c>
      <c r="N187" s="213">
        <f t="shared" ca="1" si="600"/>
        <v>38.69315068493151</v>
      </c>
      <c r="O187" s="22">
        <v>45051</v>
      </c>
      <c r="P187" s="214" t="str">
        <f t="shared" si="673"/>
        <v>SI</v>
      </c>
      <c r="Q187" s="26" t="s">
        <v>855</v>
      </c>
      <c r="R187" s="22">
        <v>45051</v>
      </c>
      <c r="S187" s="21" t="s">
        <v>856</v>
      </c>
      <c r="T187" s="24" t="s">
        <v>690</v>
      </c>
      <c r="U187" s="21" t="s">
        <v>857</v>
      </c>
      <c r="V187" s="21" t="s">
        <v>858</v>
      </c>
      <c r="W187" s="21" t="s">
        <v>955</v>
      </c>
      <c r="X187" s="21"/>
      <c r="Y187" s="21"/>
      <c r="Z187" s="21"/>
      <c r="AA187" s="21" t="s">
        <v>860</v>
      </c>
      <c r="AB187" s="27" t="s">
        <v>861</v>
      </c>
      <c r="AC187" s="26" t="s">
        <v>877</v>
      </c>
      <c r="AD187" s="38" t="s">
        <v>1546</v>
      </c>
      <c r="AE187" s="26" t="s">
        <v>854</v>
      </c>
      <c r="AF187" s="26" t="s">
        <v>854</v>
      </c>
      <c r="AG187" s="23" t="s">
        <v>864</v>
      </c>
      <c r="AH187" s="23" t="s">
        <v>864</v>
      </c>
      <c r="AI187" s="24" t="s">
        <v>863</v>
      </c>
      <c r="AJ187" s="23" t="s">
        <v>864</v>
      </c>
      <c r="AK187" s="220" t="str">
        <f>IF(AND(AD187="",AE187="",AF187="",AG187="",AH187="",AI187="",AJ187=""),"",IF(OR(Tabla1[[#This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EVALUACIÓN",IF(AND(O187="",R187=""),"",IF(AND(OR(O187&gt;0,R187&gt;0),NG187&gt;=0,NG187&lt;2),"SIN RIESGO",IF(AND(OR(O187&gt;0,R187&gt;0),NG187&gt;=2),"CON RIESGO","ASD")))))</f>
        <v>SIN RIESGO</v>
      </c>
      <c r="AL187" s="23" t="s">
        <v>854</v>
      </c>
      <c r="AM187" s="26" t="s">
        <v>864</v>
      </c>
      <c r="AN187" s="26" t="s">
        <v>864</v>
      </c>
      <c r="AO187" s="26" t="s">
        <v>864</v>
      </c>
      <c r="AP187" s="26" t="s">
        <v>864</v>
      </c>
      <c r="AQ187" s="26" t="s">
        <v>864</v>
      </c>
      <c r="AR187" s="26" t="s">
        <v>864</v>
      </c>
      <c r="AS187" s="21">
        <v>1</v>
      </c>
      <c r="AT187" s="21">
        <v>1</v>
      </c>
      <c r="AU187" s="21">
        <v>0</v>
      </c>
      <c r="AV187" s="26" t="s">
        <v>864</v>
      </c>
      <c r="AW187" s="21">
        <v>1</v>
      </c>
      <c r="AX187" s="26" t="s">
        <v>864</v>
      </c>
      <c r="AY187" s="26" t="s">
        <v>864</v>
      </c>
      <c r="AZ187" s="26" t="s">
        <v>864</v>
      </c>
      <c r="BA187" s="26" t="s">
        <v>864</v>
      </c>
      <c r="BB187" s="26" t="s">
        <v>864</v>
      </c>
      <c r="BC187" s="26" t="s">
        <v>864</v>
      </c>
      <c r="BD187" s="26" t="s">
        <v>864</v>
      </c>
      <c r="BE187" s="26" t="s">
        <v>864</v>
      </c>
      <c r="BF187" s="26" t="s">
        <v>864</v>
      </c>
      <c r="BG187" s="26" t="s">
        <v>864</v>
      </c>
      <c r="BH187" s="26" t="s">
        <v>864</v>
      </c>
      <c r="BI187" s="26" t="s">
        <v>864</v>
      </c>
      <c r="BJ187" s="26" t="s">
        <v>864</v>
      </c>
      <c r="BK187" s="26" t="s">
        <v>865</v>
      </c>
      <c r="BL187" s="26" t="s">
        <v>864</v>
      </c>
      <c r="BM187" s="26" t="s">
        <v>864</v>
      </c>
      <c r="BN187" s="22"/>
      <c r="BO187" s="22">
        <v>45006</v>
      </c>
      <c r="BP187" s="21" t="s">
        <v>854</v>
      </c>
      <c r="BQ187" s="222">
        <f t="shared" si="601"/>
        <v>0</v>
      </c>
      <c r="BR187" s="223" t="str">
        <f t="shared" si="602"/>
        <v/>
      </c>
      <c r="BS187" s="224">
        <f t="shared" si="603"/>
        <v>6.4285714285714288</v>
      </c>
      <c r="BT187" s="216" t="str">
        <f t="shared" si="604"/>
        <v>I TRIM</v>
      </c>
      <c r="BU187" s="214">
        <f t="shared" ca="1" si="605"/>
        <v>32.428571428571431</v>
      </c>
      <c r="BV187" s="25"/>
      <c r="BW187" s="22"/>
      <c r="BX187" s="28"/>
      <c r="BY187" s="28"/>
      <c r="BZ187" s="22"/>
      <c r="CA187" s="21"/>
      <c r="CB187" s="26"/>
      <c r="CC187" s="26"/>
      <c r="CD187" s="26"/>
      <c r="CE187" s="26"/>
      <c r="CF187" s="22" t="s">
        <v>1517</v>
      </c>
      <c r="CG187" s="21">
        <v>1.49</v>
      </c>
      <c r="CH187" s="21">
        <v>53.4</v>
      </c>
      <c r="CI187" s="214">
        <f t="shared" si="606"/>
        <v>24.052970586910501</v>
      </c>
      <c r="CJ187" s="225" t="str">
        <f>IF(AND(CI187&lt;10,CH187="SD"),"SIN DATO PESO PREGESTACION O I TRIM",IF(AND(OR(R187&gt;0,O187&gt;0),CI187="X"),"INGRESAR DATO DE PESO",IF(CI187="SD","INGRESAR DATO DE TALLA Y PESO",IF(AND(OR(Tabla1[[#This Row],[MOMENTO EN QUE SE REALIZA EL PESO AL INGRESO A CPN]]="PREGESTACIÓN",NZ187="Menor"),CI187&lt;18.5),"BAJO PESO",IF(AND(OR(Tabla1[[#This Row],[MOMENTO EN QUE SE REALIZA EL PESO AL INGRESO A CPN]]="PREGESTACIÓN",NZ187="Menor"),CI187&lt;25),"NORMAL",IF(AND(OR(Tabla1[[#This Row],[MOMENTO EN QUE SE REALIZA EL PESO AL INGRESO A CPN]]="PREGESTACIÓN",NZ187="Menor"),CI187&lt;30),"SOBREPESO",IF(AND(OR(Tabla1[[#This Row],[MOMENTO EN QUE SE REALIZA EL PESO AL INGRESO A CPN]]="PREGESTACIÓN",NZ187="Menor"),CI187&gt;=30,CI187&lt;50),"OBESIDAD",IF(AND(BS187&gt;0,Tabla1[[#This Row],[MOMENTO EN QUE SE REALIZA EL PESO AL INGRESO A CPN]]="GESTACIÓN"),HLOOKUP(NZ187,$OA$2:PH187,NY187),""))))))))</f>
        <v>NORMAL</v>
      </c>
      <c r="CK187" s="212">
        <f t="shared" si="607"/>
        <v>45051</v>
      </c>
      <c r="CL187" s="21">
        <v>53.8</v>
      </c>
      <c r="CM187" s="214">
        <f t="shared" si="608"/>
        <v>24.233142651231926</v>
      </c>
      <c r="CN187" s="216">
        <f t="shared" si="609"/>
        <v>6</v>
      </c>
      <c r="CO187" s="216" t="e">
        <f>IF(PI187="","",IF(PI187&gt;0,HLOOKUP(PI187,$PJ$2:QQ187,NY187),""))</f>
        <v>#REF!</v>
      </c>
      <c r="CP187" s="21"/>
      <c r="CQ187" s="216" t="str">
        <f>IF(QR187="Menor","NO APLICA-MENOR 13 SEM",IF(AND(CC187="SI",CN187&gt;23),"NO APLICA- GEMELAR",IF(QR187="","",IF(QR187&gt;0,HLOOKUP(QR187,$QS$2:RU187,NY187),""))))</f>
        <v>NO APLICA-MENOR 13 SEM</v>
      </c>
      <c r="CR187" s="21">
        <v>100</v>
      </c>
      <c r="CS187" s="21">
        <v>60</v>
      </c>
      <c r="CT187" s="217" t="str">
        <f>IF(R187="","",IF(AND(BS187&gt;1,BS187&lt;12,Tabla1[[#This Row],[T.A. SISTOLICA - ANTES DE SEMANA 12]]="",Tabla1[[#This Row],[T.A. DIASTOLICA - ANTES DE SEMANA 12]]=""),"REGISTRE DATO TA ANTES SEMANA 12",IF(AND(BS187&gt;11,BS187&lt;43,Tabla1[[#This Row],[T.A. SISTOLICA - ANTES DE SEMANA 12]]="",Tabla1[[#This Row],[T.A. DIASTOLICA - ANTES DE SEMANA 12]]=""),"NO APLICA REGISTRO TA-INGRESO TARDIO",IF(AND(OR(O187&gt;0,R187&gt;0),OR(CR187&gt;=140,CS187&gt;=90)),"DEFINIR ESTADIO HTA",IF(AND(OR(O187&gt;0,R187&gt;0),AND(CR187&gt;120,CR187&lt;=139)),"PRE HTA SEGUIMIENTO",IF(AND(OR(O187&gt;0,R187&gt;0),AND(CS187&gt;80,CS187&lt;=89)),"PRE HTA SEGUIMIENTO",IF(AND(OR(O187&gt;0,R187&gt;0),AND(CR187&gt;=80,CR187&lt;=120)),"APARENTEMENTE NORMAL",IF(AND(OR(O187&gt;0,R187&gt;0),AND(CS187&gt;=50,CS187&lt;=80)),"APARENTEMENTE NORMAL",IF(AND(OR(O187&gt;0,R187&gt;0),AND(CR187&gt;1,CR187&lt;=70),AND(CS187&gt;1,CS187&lt;=40)),"HIPOTENSIÓN","")))))))))</f>
        <v>APARENTEMENTE NORMAL</v>
      </c>
      <c r="CU187" s="21"/>
      <c r="CV187" s="21"/>
      <c r="CW187" s="217" t="str">
        <f ca="1">IF(R187="","",IF(AND(CN187&gt;19,CN187&lt;27,Tabla1[[#This Row],[T.A. SISTOLICA (Entre semana 20 y 26)]]="",Tabla1[[#This Row],[T.A. DIATOLICA (Entre semana 20 y 26)]]=""),"ACUDE A CONTROL SEM 20 A 26 REGISTRE TA AHORA",IF(AND(BS187&gt;1,BS187&lt;27,BU187&gt;19,Tabla1[[#This Row],[T.A. SISTOLICA (Entre semana 20 y 26)]]="",Tabla1[[#This Row],[T.A. DIATOLICA (Entre semana 20 y 26)]]=""),"COMPLETE REGISTRO TA CONTROL SEM 20 A26 ",IF(AND(BS187&gt;26,BS187&lt;43,Tabla1[[#This Row],[T.A. SISTOLICA (Entre semana 20 y 26)]]="",Tabla1[[#This Row],[T.A. DIATOLICA (Entre semana 20 y 26)]]=""),"NO APLICA REGISTRO TA-INGRESO TARDIO",IF(AND(OR(O187&gt;0,R187&gt;0),OR(CU187&gt;=140,CV187&gt;=90)),"ALTO RIESGO PREECLAMPSIA,DEFINIR ESTADIO HTA",IF(AND(OR(O187&gt;0,R187&gt;0),AND(CU187&gt;120,CU187&lt;=139)),"PRE HTA SEGUIMIENTO,RIESGO HIPERTENSION INDUCIDA POR EL EMBARAZO",IF(AND(OR(O187&gt;0,R187&gt;0),AND(CV187&gt;80,CV187&lt;=89)),"PRE HTA SEGUIMIENTO, RIESGO HIPERTENSION INDUCIDA POR EL EMBARAZO",IF(AND(OR(O187&lt;&gt;"",R187&lt;&gt;""),CS187&lt;&gt;"",CV187&lt;&gt;"",CS187&lt;=CV187),"VIGILAR CIFRAS PRESION ARTERIAL",IF(AND(OR(O187&gt;0,R187&gt;0),AND(CU187&gt;120,CU187&lt;=139)),"PRE HTA SEGUIMIENTO",IF(AND(OR(O187&gt;0,R187&gt;0),AND(CU187&gt;1,CU187&lt;=70),AND(CV187&gt;1,CV187&lt;=40)),"HIPOTENSIÓN",IF(AND(OR(O187&lt;&gt;"",R187&lt;&gt;""),CS187&lt;&gt;"",CV187&lt;&gt;"",CS187&gt;CV187),"APARENTEMENTE NORMAL",IF(AND(OR(O187&gt;0,R187&gt;0),AND(CU187&gt;=80,CU187&lt;=120)),"APARENTEMENTE NORMAL",IF(AND(OR(O187&gt;0,R187&gt;0),AND(CV187&gt;=50,CV187&lt;=80)),"APARENTEMENTE NORMAL","")))))))))))))</f>
        <v xml:space="preserve">COMPLETE REGISTRO TA CONTROL SEM 20 A26 </v>
      </c>
      <c r="CX187" s="21"/>
      <c r="CY187" s="21"/>
      <c r="CZ187" s="216" t="str">
        <f t="shared" si="727"/>
        <v/>
      </c>
      <c r="DA187" s="21">
        <v>100</v>
      </c>
      <c r="DB187" s="21">
        <v>60</v>
      </c>
      <c r="DC187" s="217" t="str">
        <f t="shared" si="610"/>
        <v>APARENTEMENTE NORMAL</v>
      </c>
      <c r="DD187" s="22">
        <v>45051</v>
      </c>
      <c r="DE187" s="22">
        <v>45051</v>
      </c>
      <c r="DF187" s="22"/>
      <c r="DG187" s="22"/>
      <c r="DH187" s="22"/>
      <c r="DI187" s="22"/>
      <c r="DJ187" s="22"/>
      <c r="DK187" s="22"/>
      <c r="DL187" s="22"/>
      <c r="DM187" s="22"/>
      <c r="DN187" s="22"/>
      <c r="DO187" s="22"/>
      <c r="DP187" s="22"/>
      <c r="DQ187" s="22"/>
      <c r="DR187" s="28">
        <v>0</v>
      </c>
      <c r="DS187" s="22"/>
      <c r="DT187" s="22"/>
      <c r="DU187" s="216" t="str">
        <f t="shared" ca="1" si="674"/>
        <v>PLANEAR PLAN DE PARTO</v>
      </c>
      <c r="DV187" s="226" t="str">
        <f t="shared" si="675"/>
        <v>ACTIVA INGRESO A CPN</v>
      </c>
      <c r="DW18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7" s="216" t="e">
        <f t="shared" ca="1" si="611"/>
        <v>#REF!</v>
      </c>
      <c r="DY187" s="212">
        <f>IF(R187="","",IF(R187&gt;0,MAX(Tabla1[[#This Row],[FECHA C2]:[FECHA C13]],Tabla1[[#This Row],[FECHA CONSULTA PRIMERA VEZ PROGRAMA CPN ]])))</f>
        <v>45051</v>
      </c>
      <c r="DZ187" s="216">
        <f t="shared" si="612"/>
        <v>6</v>
      </c>
      <c r="EA187" s="222">
        <f>IF(R187&gt;0,SUM(COUNTA(DF187:DQ187)+COUNTA(Tabla1[[#This Row],[FECHA CONSULTA PRIMERA VEZ PROGRAMA CPN ]])),"")</f>
        <v>1</v>
      </c>
      <c r="EB187" s="222" t="str">
        <f t="shared" si="613"/>
        <v>NO</v>
      </c>
      <c r="EC187" s="214">
        <f t="shared" si="614"/>
        <v>10</v>
      </c>
      <c r="ED187" s="227">
        <f t="shared" si="615"/>
        <v>0.1</v>
      </c>
      <c r="EE187" s="22">
        <v>45051</v>
      </c>
      <c r="EF187" s="22"/>
      <c r="EG187" s="22">
        <v>45051</v>
      </c>
      <c r="EH187" s="22"/>
      <c r="EI187" s="22">
        <v>45051</v>
      </c>
      <c r="EJ187" s="22"/>
      <c r="EK187" s="22"/>
      <c r="EL187" s="21"/>
      <c r="EM187" s="21"/>
      <c r="EN187" s="22"/>
      <c r="EO187" s="222" t="str">
        <f t="shared" si="616"/>
        <v>TOMAR EXAMEN</v>
      </c>
      <c r="EP187" s="214" t="str">
        <f t="shared" si="617"/>
        <v/>
      </c>
      <c r="EQ187" s="216" t="str">
        <f t="shared" si="618"/>
        <v>POR DEFINIR</v>
      </c>
      <c r="ER187" s="24"/>
      <c r="ES187" s="22"/>
      <c r="ET187" s="29" t="str">
        <f t="shared" ca="1" si="676"/>
        <v>TOMA DE HEMOGLOBINA TARDÍA</v>
      </c>
      <c r="EU187" s="25" t="str">
        <f t="shared" si="619"/>
        <v/>
      </c>
      <c r="EV187" s="24"/>
      <c r="EW187" s="24"/>
      <c r="EX187" s="22"/>
      <c r="EY187" s="29" t="str">
        <f t="shared" si="691"/>
        <v>TOMAR EXAMEN</v>
      </c>
      <c r="EZ187" s="25" t="str">
        <f t="shared" ca="1" si="692"/>
        <v/>
      </c>
      <c r="FA187" s="21">
        <v>70</v>
      </c>
      <c r="FB187" s="22">
        <v>45066</v>
      </c>
      <c r="FC187" s="29">
        <f t="shared" si="620"/>
        <v>8.5714285714285712</v>
      </c>
      <c r="FD187" s="29"/>
      <c r="FE187" s="29"/>
      <c r="FF187" s="29"/>
      <c r="FG187" s="21" t="str">
        <f t="shared" ca="1" si="621"/>
        <v>TOMAR PTOG</v>
      </c>
      <c r="FH187" s="31"/>
      <c r="FI187" s="29" t="str">
        <f t="shared" si="622"/>
        <v>TOMAR EXAMEN</v>
      </c>
      <c r="FJ187" s="22" t="s">
        <v>867</v>
      </c>
      <c r="FK187" s="22">
        <v>45066</v>
      </c>
      <c r="FL187" s="29">
        <f t="shared" ca="1" si="623"/>
        <v>8.5714285714285712</v>
      </c>
      <c r="FM187" s="22"/>
      <c r="FN187" s="22"/>
      <c r="FO187" s="29" t="str">
        <f t="shared" ca="1" si="677"/>
        <v>PIERDE TOMA DE TAMIZAJE</v>
      </c>
      <c r="FP187" s="22"/>
      <c r="FQ187" s="32"/>
      <c r="FR187" s="29" t="str">
        <f t="shared" ca="1" si="678"/>
        <v>EN RANGO PARA TOMAR EXAMEN</v>
      </c>
      <c r="FS187" s="22"/>
      <c r="FT187" s="32"/>
      <c r="FU187" s="29" t="str">
        <f>IF(AND(FJ187="",FM187="",FP187="",FS187=""),"",IF(OR(OR(Tabla1[[#This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7" s="28"/>
      <c r="FW187" s="22"/>
      <c r="FX187" s="29" t="str">
        <f t="shared" si="624"/>
        <v>TOMAR EXAMEN</v>
      </c>
      <c r="FY187" s="22" t="s">
        <v>868</v>
      </c>
      <c r="FZ187" s="22">
        <v>45066</v>
      </c>
      <c r="GA187" s="29">
        <f t="shared" ca="1" si="690"/>
        <v>8.5714285714285712</v>
      </c>
      <c r="GB187" s="22"/>
      <c r="GC187" s="22"/>
      <c r="GD187" s="29" t="str">
        <f t="shared" ca="1" si="730"/>
        <v>PIERDE TOMA DE TAMIZAJE</v>
      </c>
      <c r="GE187" s="22"/>
      <c r="GF187" s="22"/>
      <c r="GG187" s="29" t="str">
        <f t="shared" ca="1" si="680"/>
        <v>EN RANGO PARA TOMAR EXAMEN</v>
      </c>
      <c r="GH187" s="22"/>
      <c r="GI187" s="29"/>
      <c r="GJ187" s="22"/>
      <c r="GK187" s="22"/>
      <c r="GL187" s="22"/>
      <c r="GM187" s="22"/>
      <c r="GN187" s="28" t="s">
        <v>869</v>
      </c>
      <c r="GO187" s="22">
        <v>45066</v>
      </c>
      <c r="GP187" s="29">
        <f t="shared" si="625"/>
        <v>8.5714285714285712</v>
      </c>
      <c r="GQ187" s="28" t="s">
        <v>869</v>
      </c>
      <c r="GR187" s="28" t="s">
        <v>869</v>
      </c>
      <c r="GS187" s="22" t="str">
        <f t="shared" si="726"/>
        <v>CONTROL Igm</v>
      </c>
      <c r="GT187" s="22">
        <v>45066</v>
      </c>
      <c r="GU187" s="29">
        <f t="shared" si="627"/>
        <v>8.5714285714285712</v>
      </c>
      <c r="GV187" s="21" t="str">
        <f t="shared" si="628"/>
        <v>I TRIM</v>
      </c>
      <c r="GW187" s="28"/>
      <c r="GX187" s="30"/>
      <c r="GY187" s="21"/>
      <c r="GZ187" s="21"/>
      <c r="HA187" s="21"/>
      <c r="HB187" s="21"/>
      <c r="HC187" s="21"/>
      <c r="HD187" s="21"/>
      <c r="HE187" s="21"/>
      <c r="HF187" s="22"/>
      <c r="HG187" s="22" t="str">
        <f>IF(OR(O187&gt;0,R187&gt;0),CONCATENATE(IF(Tabla1[[#This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7" s="22" t="e">
        <f t="shared" si="629"/>
        <v>#REF!</v>
      </c>
      <c r="HI187" s="22" t="str">
        <f t="shared" si="630"/>
        <v>ALTO RIESGO</v>
      </c>
      <c r="HJ187" s="21"/>
      <c r="HK187" s="21" t="str">
        <f t="shared" si="631"/>
        <v>RIESGO ALTO DE COMPLICACIONES HIPERTENSIVAS VER MANEJO GUIA SUMINISTRO ASA Y CALCIO</v>
      </c>
      <c r="HL187" s="24" t="str">
        <f t="shared" si="632"/>
        <v>APARENTEMENTE NORMAL</v>
      </c>
      <c r="HM187" s="21" t="e">
        <f t="shared" ca="1" si="633"/>
        <v>#REF!</v>
      </c>
      <c r="HN187" s="30" t="str">
        <f t="shared" si="681"/>
        <v>ACTIVA INGRESO A CPN</v>
      </c>
      <c r="HO187" s="21"/>
      <c r="HP187" s="21"/>
      <c r="HQ187" s="349"/>
      <c r="HR187" s="21" t="str">
        <f ca="1">IF(R187="","",IF(Tabla1[[#This Row],[ALARMA FACTORES DE RIESGO COMPLICACIONES HIPERTENSIVAS3]]="SIN ANTECEDENTES DE RIESGO","No Aplica para suministro de ASA",IF(AND(Tabla1[[#This Row],[FECHA INICIO DE SUMINISTRO DE ASA]]&gt;0,RV187&lt;12),"Inicia ASA ANTES de Sem 12",IF(AND(RV187&gt;11,RV187&lt;17,OR(HK187="RIESGO ALTO DE COMPLICACIONES HIPERTENSIVAS VER MANEJO GUIA SUMINISTRO ASA Y CALCIO",HK187="RIESGO MODERADO (2 O MAS CRITERIOS) VER MANEJO GUIA SUMINISTRO ASA Y CALCIO")),"Inicio oportuno de ASA",IF(AND(RV187&gt;12,OR(HK187="RIESGO ALTO DE COMPLICACIONES HIPERTENSIVAS VER MANEJO GUIA SUMINISTRO ASA Y CALCIO",HK187="RIESGO MODERADO (2 O MAS CRITERIOS) VER MANEJO GUIA SUMINISTRO ASA Y CALCIO")),"Inicio no oportuno mayor a 16 semanas",IF(AND(BU187&lt;12,OR(HK187="RIESGO ALTO DE COMPLICACIONES HIPERTENSIVAS VER MANEJO GUIA SUMINISTRO ASA Y CALCIO",HK187="RIESGO MODERADO (2 O MAS CRITERIOS) VER MANEJO GUIA SUMINISTRO ASA Y CALCIO")),"Pendiente Inicio de ASA a la semana 12",IF(AND(BU187&gt;11,BU187&lt;17,OR(HK187="RIESGO ALTO DE COMPLICACIONES HIPERTENSIVAS VER MANEJO GUIA SUMINISTRO ASA Y CALCIO",HK187="RIESGO MODERADO (2 O MAS CRITERIOS) VER MANEJO GUIA SUMINISTRO ASA Y CALCIO")),"Iniciar de inmediato ASA",IF(AND(BU187&gt;16,OR(HK187="RIESGO ALTO DE COMPLICACIONES HIPERTENSIVAS VER MANEJO GUIA SUMINISTRO ASA Y CALCIO",HK187="RIESGO MODERADO (2 O MAS CRITERIOS) VER MANEJO GUIA SUMINISTRO ASA Y CALCIO")),"Pierde Oportunidad, Inicio tardío de ASA","XXXXX"))))))))</f>
        <v>Pierde Oportunidad, Inicio tardío de ASA</v>
      </c>
      <c r="HS187" s="22"/>
      <c r="HT187" s="22"/>
      <c r="HU187" s="22">
        <v>45051</v>
      </c>
      <c r="HV187" s="22" t="s">
        <v>1506</v>
      </c>
      <c r="HW187" s="22">
        <v>45051</v>
      </c>
      <c r="HX187" s="22" t="s">
        <v>1511</v>
      </c>
      <c r="HY187" s="22">
        <v>45051</v>
      </c>
      <c r="HZ187" s="28">
        <f t="shared" si="634"/>
        <v>6.4285714285714288</v>
      </c>
      <c r="IA187" s="26"/>
      <c r="IB187" s="26"/>
      <c r="IC187" s="111"/>
      <c r="ID187" s="22"/>
      <c r="IE187" s="22" t="str">
        <f t="shared" ca="1" si="635"/>
        <v>INASISTENTE</v>
      </c>
      <c r="IF187" s="22"/>
      <c r="IG187" s="22">
        <f t="shared" si="636"/>
        <v>45286</v>
      </c>
      <c r="IH187" s="29">
        <f t="shared" ca="1" si="637"/>
        <v>53</v>
      </c>
      <c r="II187" s="22" t="str">
        <f t="shared" ca="1" si="638"/>
        <v>PENDIENTE</v>
      </c>
      <c r="IJ187" s="22"/>
      <c r="IK187" s="21"/>
      <c r="IL187" s="21"/>
      <c r="IM187" s="34"/>
      <c r="IN187" s="22"/>
      <c r="IO187" s="21"/>
      <c r="IP187" s="29" t="str">
        <f t="shared" si="728"/>
        <v/>
      </c>
      <c r="IQ187" s="35"/>
      <c r="IR187" s="21"/>
      <c r="IS187" s="21"/>
      <c r="IT187" s="21"/>
      <c r="IU187" s="21"/>
      <c r="IV187" s="21"/>
      <c r="IW187" s="21"/>
      <c r="IX187" s="21"/>
      <c r="IY187" s="21"/>
      <c r="IZ187" s="21"/>
      <c r="JA187" s="21"/>
      <c r="JB187" s="30"/>
      <c r="JC187" s="21"/>
      <c r="JD187" s="36"/>
      <c r="JE187" s="21" t="str">
        <f t="shared" si="731"/>
        <v/>
      </c>
      <c r="JF187" s="30"/>
      <c r="JG187" s="21"/>
      <c r="JH187" s="21"/>
      <c r="JI187" s="21"/>
      <c r="JJ187" s="30"/>
      <c r="JK187" s="22"/>
      <c r="JL187" s="22"/>
      <c r="JM187" s="21"/>
      <c r="JN187" s="36"/>
      <c r="JO187" s="21" t="str">
        <f t="shared" si="732"/>
        <v/>
      </c>
      <c r="JP187" s="22"/>
      <c r="JQ187" s="21"/>
      <c r="JR187" s="21"/>
      <c r="JS187" s="21"/>
      <c r="JT187" s="30"/>
      <c r="JU187" s="22"/>
      <c r="JV187" s="22"/>
      <c r="JW187" s="33"/>
      <c r="JX187" s="28" t="str">
        <f t="shared" si="733"/>
        <v/>
      </c>
      <c r="JY187" s="33"/>
      <c r="JZ187" s="28" t="str">
        <f t="shared" si="734"/>
        <v/>
      </c>
      <c r="KA187" s="21"/>
      <c r="KB187" s="21"/>
      <c r="KC187" s="21"/>
      <c r="KD187" s="37"/>
      <c r="KE187" s="28"/>
      <c r="KF187" s="28"/>
      <c r="KG187" s="28"/>
      <c r="KH187" s="39"/>
      <c r="KI187" s="39"/>
      <c r="KJ187" s="66"/>
      <c r="KK187" s="39"/>
      <c r="KL187" s="39"/>
      <c r="KM187" s="66"/>
      <c r="KN187" s="39"/>
      <c r="KO187" s="39"/>
      <c r="KP187" s="39"/>
      <c r="KQ187" s="39"/>
      <c r="KR187" s="39"/>
      <c r="KS187" s="39"/>
      <c r="KT187" s="39"/>
      <c r="KU187" s="38"/>
      <c r="KV187" s="38"/>
      <c r="KW187" s="38"/>
      <c r="KX187" s="38"/>
      <c r="KY187" s="38"/>
      <c r="KZ187" s="38"/>
      <c r="LA187" s="38"/>
      <c r="LB187" s="38"/>
      <c r="LC187" s="38"/>
      <c r="LD187" s="38"/>
      <c r="LE187" s="38"/>
      <c r="LF187" s="38"/>
      <c r="LG187" s="38"/>
      <c r="LH187" s="38"/>
      <c r="LI187" s="38"/>
      <c r="LJ187" s="38"/>
      <c r="LK187" s="38"/>
      <c r="LL187" s="38"/>
      <c r="LM187" s="38"/>
      <c r="LN187" s="38"/>
      <c r="LO187" s="38"/>
      <c r="LP187" s="38"/>
      <c r="LQ187" s="38"/>
      <c r="LR187" s="38"/>
      <c r="LS187" s="38"/>
      <c r="LT187" s="38"/>
      <c r="LU187" s="38"/>
      <c r="LV187" s="38"/>
      <c r="LW187" s="38"/>
      <c r="LX187" s="38"/>
      <c r="LY187" s="38"/>
      <c r="LZ187" s="38"/>
      <c r="MA187" s="38"/>
      <c r="MB187" s="38"/>
      <c r="MC187" s="38"/>
      <c r="MD187" s="38"/>
      <c r="ME187" s="38"/>
      <c r="MF187" s="38"/>
      <c r="MG187" s="38"/>
      <c r="MH187" s="43">
        <f t="shared" si="695"/>
        <v>0</v>
      </c>
      <c r="MI187" s="43" t="str">
        <f t="shared" si="696"/>
        <v/>
      </c>
      <c r="MJ187" s="43" t="str">
        <f t="shared" si="697"/>
        <v/>
      </c>
      <c r="MK187" s="43">
        <f t="shared" si="698"/>
        <v>0</v>
      </c>
      <c r="ML18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7" s="43">
        <f t="shared" si="699"/>
        <v>6.4285714285714288</v>
      </c>
      <c r="MN187" s="43">
        <f t="shared" si="700"/>
        <v>5</v>
      </c>
      <c r="MO187" s="43">
        <f t="shared" si="701"/>
        <v>2023</v>
      </c>
      <c r="MP187" s="43" t="str">
        <f t="shared" si="702"/>
        <v>II TRIMESTRE AÑO</v>
      </c>
      <c r="MQ187" s="43">
        <f t="shared" si="703"/>
        <v>37.617717915024087</v>
      </c>
      <c r="MR187" s="43">
        <f t="shared" si="704"/>
        <v>2</v>
      </c>
      <c r="MS187" s="43" t="str">
        <f t="shared" si="705"/>
        <v xml:space="preserve"> DE 35 A 39 AÑOS</v>
      </c>
      <c r="MT187" s="43">
        <f t="shared" si="706"/>
        <v>0</v>
      </c>
      <c r="MU187" s="43">
        <f t="shared" si="707"/>
        <v>0</v>
      </c>
      <c r="MV187" s="43">
        <f t="shared" si="708"/>
        <v>1</v>
      </c>
      <c r="MW187" s="43">
        <f t="shared" si="709"/>
        <v>0</v>
      </c>
      <c r="MX187" s="43" t="str">
        <f t="shared" si="710"/>
        <v/>
      </c>
      <c r="MY187" s="43" t="str">
        <f t="shared" ca="1" si="735"/>
        <v/>
      </c>
      <c r="MZ187" s="43" t="str">
        <f t="shared" si="711"/>
        <v/>
      </c>
      <c r="NA187" s="43" t="str">
        <f t="shared" si="712"/>
        <v/>
      </c>
      <c r="NB187" s="43" t="str">
        <f t="shared" si="713"/>
        <v/>
      </c>
      <c r="NC187" s="43" t="str">
        <f t="shared" si="714"/>
        <v/>
      </c>
      <c r="ND187" s="43">
        <f t="shared" ca="1" si="715"/>
        <v>4</v>
      </c>
      <c r="NE187" s="43">
        <f>IF(OR(O187&gt;0,R187&gt;0),SUM(COUNTIF(Tabla1[[#This Row],[AÑOS AL INICIO5 CPN]],"&gt;=40"),COUNTIF(AS187,"0"),COUNTIF(AR187,"SI"),COUNTIF(CC187,"SI"),COUNTIF(BQ187,"&gt;119"),COUNTIF(CI187,"&gt;=35")),"")</f>
        <v>0</v>
      </c>
      <c r="NF187" s="43" t="str">
        <f t="shared" si="716"/>
        <v/>
      </c>
      <c r="NG187" s="43">
        <f t="shared" si="717"/>
        <v>0</v>
      </c>
      <c r="NH187" s="43" t="str">
        <f t="shared" si="718"/>
        <v/>
      </c>
      <c r="NI18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CPN",P187="NO"),"Z",IF(AND(Tabla1[[#This Row],[CITA PROXIMO CONTROL]]="CITA MANUAL",Tabla1[[#This Row],[GESTANTES ACTUALES]]="ACTIVA INGRESO A CPN"),"W",IF(AND(Tabla1[[#This Row],[GESTANTES ACTUALES]]="SALIO PROGRAMA",IN187=""),"S",IF(AND(Tabla1[[#This Row],[CITA PROXIMO CONTROL]]&gt;0,IN187=""),(Tabla1[[#This Row],[CITA PROXIMO CONTROL]]-TODAY()),"SD"))))))))</f>
        <v>#REF!</v>
      </c>
      <c r="NJ187" s="43">
        <f>MONTH(Tabla1[[#This Row],[FECHA DE SALIDA  DEL PROGRAMA]])</f>
        <v>1</v>
      </c>
      <c r="NK187" s="43">
        <f>YEAR(Tabla1[[#This Row],[FECHA DE SALIDA  DEL PROGRAMA]])</f>
        <v>1900</v>
      </c>
      <c r="NL187" s="43" t="str">
        <f t="shared" si="719"/>
        <v>X</v>
      </c>
      <c r="NM187" s="43" t="str">
        <f t="shared" si="693"/>
        <v>NO</v>
      </c>
      <c r="NN187" s="43" t="str">
        <f ca="1">IF(AND(O187&gt;0,R187=""),"NO CPN",IF(AND(O187="",R187=""),"",IF(AND(R187&gt;0,Tabla1[[#This Row],[SEMANAS DE GESTACION ACTUALIZADAS]]&lt;=12),"NO APLICA",IF(AND(FH187&lt;&gt;"",FN187&lt;&gt;""),"SI","NO"))))</f>
        <v>NO</v>
      </c>
      <c r="NO187" s="43" t="str">
        <f ca="1">IF(AND(O187&gt;0,R187=""),"NO CPN",IF(AND(O187="",R187=""),"",IF(AND(R187&gt;0,Tabla1[[#This Row],[SEMANAS DE GESTACION ACTUALIZADAS]]&lt;=27),"NO APLICA",IF(AND(ES187&lt;&gt;"",FQ187&lt;&gt;"",GF187&lt;&gt;""),"SI","NO"))))</f>
        <v>NO</v>
      </c>
      <c r="NP187" s="204" t="str">
        <f t="shared" si="720"/>
        <v>I TRIM</v>
      </c>
      <c r="NQ187" s="21" t="str">
        <f t="shared" si="729"/>
        <v/>
      </c>
      <c r="NR187" s="21">
        <f t="shared" ca="1" si="736"/>
        <v>3</v>
      </c>
      <c r="NS187" s="205">
        <f t="shared" ca="1" si="721"/>
        <v>1</v>
      </c>
      <c r="NT187" s="21">
        <f t="shared" ca="1" si="722"/>
        <v>1</v>
      </c>
      <c r="NU187" s="21" t="str">
        <f t="shared" ca="1" si="723"/>
        <v>INCOMPLETO</v>
      </c>
      <c r="NV187" s="21" t="str">
        <f t="shared" ca="1" si="724"/>
        <v>INCOMPLETO</v>
      </c>
      <c r="NW187" s="206" t="str">
        <f>IF(AND(O187="",R187=""),"",IF(OR(AND(Tabla1[[#This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7" s="207" t="str">
        <f t="shared" ca="1" si="725"/>
        <v>SIN VACUNAR</v>
      </c>
      <c r="NY187" s="43">
        <f>ROW(Tabla1[[#This Row],['# DE TAMIZAJES SIFILIS TOMADOS ]])</f>
        <v>187</v>
      </c>
      <c r="NZ187" s="43" t="str">
        <f t="shared" si="501"/>
        <v>Menor</v>
      </c>
      <c r="OA187" s="43" t="str">
        <f t="shared" si="502"/>
        <v>NORMAL</v>
      </c>
      <c r="OB187" s="43" t="str">
        <f t="shared" si="503"/>
        <v/>
      </c>
      <c r="OC187" s="43" t="str">
        <f t="shared" si="504"/>
        <v/>
      </c>
      <c r="OD187" s="43" t="str">
        <f t="shared" si="505"/>
        <v/>
      </c>
      <c r="OE187" s="43" t="str">
        <f t="shared" si="506"/>
        <v/>
      </c>
      <c r="OF187" s="43" t="str">
        <f t="shared" si="507"/>
        <v/>
      </c>
      <c r="OG187" s="43" t="str">
        <f t="shared" si="508"/>
        <v/>
      </c>
      <c r="OH187" s="43" t="str">
        <f t="shared" si="509"/>
        <v/>
      </c>
      <c r="OI187" s="43" t="str">
        <f t="shared" si="510"/>
        <v/>
      </c>
      <c r="OJ187" s="43" t="str">
        <f t="shared" si="511"/>
        <v/>
      </c>
      <c r="OK187" s="43" t="str">
        <f t="shared" si="512"/>
        <v/>
      </c>
      <c r="OL187" s="43" t="str">
        <f t="shared" si="513"/>
        <v/>
      </c>
      <c r="OM187" s="43" t="str">
        <f t="shared" si="514"/>
        <v/>
      </c>
      <c r="ON187" s="43" t="str">
        <f t="shared" si="515"/>
        <v/>
      </c>
      <c r="OO187" s="43" t="str">
        <f t="shared" si="516"/>
        <v/>
      </c>
      <c r="OP187" s="43" t="str">
        <f t="shared" si="517"/>
        <v/>
      </c>
      <c r="OQ187" s="43" t="str">
        <f t="shared" si="518"/>
        <v/>
      </c>
      <c r="OR187" s="43" t="str">
        <f t="shared" si="519"/>
        <v/>
      </c>
      <c r="OS187" s="43" t="str">
        <f t="shared" si="520"/>
        <v/>
      </c>
      <c r="OT187" s="43" t="str">
        <f t="shared" si="521"/>
        <v/>
      </c>
      <c r="OU187" s="43" t="str">
        <f t="shared" si="522"/>
        <v/>
      </c>
      <c r="OV187" s="110" t="str">
        <f t="shared" si="523"/>
        <v/>
      </c>
      <c r="OW187" s="43" t="str">
        <f t="shared" si="524"/>
        <v/>
      </c>
      <c r="OX187" s="43" t="str">
        <f t="shared" si="525"/>
        <v/>
      </c>
      <c r="OY187" s="43" t="str">
        <f t="shared" si="526"/>
        <v/>
      </c>
      <c r="OZ187" s="43" t="str">
        <f t="shared" si="527"/>
        <v/>
      </c>
      <c r="PA187" s="43" t="str">
        <f t="shared" si="528"/>
        <v/>
      </c>
      <c r="PB187" s="43" t="str">
        <f t="shared" si="529"/>
        <v/>
      </c>
      <c r="PC187" s="43" t="str">
        <f t="shared" si="530"/>
        <v/>
      </c>
      <c r="PD187" s="43" t="str">
        <f t="shared" si="531"/>
        <v/>
      </c>
      <c r="PE187" s="43" t="str">
        <f t="shared" si="532"/>
        <v/>
      </c>
      <c r="PF187" s="43" t="str">
        <f t="shared" si="533"/>
        <v/>
      </c>
      <c r="PG187" s="43" t="str">
        <f t="shared" si="534"/>
        <v/>
      </c>
      <c r="PH187" s="43" t="str">
        <f t="shared" si="535"/>
        <v/>
      </c>
      <c r="PI187" s="43" t="str">
        <f t="shared" si="536"/>
        <v>Menor</v>
      </c>
      <c r="PJ187" s="43" t="str">
        <f t="shared" si="537"/>
        <v>NORMAL</v>
      </c>
      <c r="PK187" s="43" t="str">
        <f t="shared" si="538"/>
        <v/>
      </c>
      <c r="PL187" s="43" t="str">
        <f t="shared" si="539"/>
        <v/>
      </c>
      <c r="PM187" s="43" t="str">
        <f t="shared" si="540"/>
        <v/>
      </c>
      <c r="PN187" s="43" t="str">
        <f t="shared" si="541"/>
        <v/>
      </c>
      <c r="PO187" s="43" t="str">
        <f t="shared" si="542"/>
        <v/>
      </c>
      <c r="PP187" s="43" t="str">
        <f t="shared" si="543"/>
        <v/>
      </c>
      <c r="PQ187" s="43" t="str">
        <f t="shared" si="544"/>
        <v/>
      </c>
      <c r="PR187" s="43" t="str">
        <f t="shared" si="545"/>
        <v/>
      </c>
      <c r="PS187" s="43" t="str">
        <f t="shared" si="546"/>
        <v/>
      </c>
      <c r="PT187" s="43" t="str">
        <f t="shared" si="547"/>
        <v/>
      </c>
      <c r="PU187" s="43" t="str">
        <f t="shared" si="548"/>
        <v/>
      </c>
      <c r="PV187" s="43" t="str">
        <f t="shared" si="549"/>
        <v/>
      </c>
      <c r="PW187" s="43" t="str">
        <f t="shared" si="550"/>
        <v/>
      </c>
      <c r="PX187" s="43" t="str">
        <f t="shared" si="551"/>
        <v/>
      </c>
      <c r="PY187" s="43" t="str">
        <f t="shared" si="552"/>
        <v/>
      </c>
      <c r="PZ187" s="43" t="str">
        <f t="shared" si="553"/>
        <v/>
      </c>
      <c r="QA187" s="43" t="str">
        <f t="shared" si="554"/>
        <v/>
      </c>
      <c r="QB187" s="43" t="str">
        <f t="shared" si="555"/>
        <v/>
      </c>
      <c r="QC187" s="43" t="str">
        <f t="shared" si="556"/>
        <v/>
      </c>
      <c r="QD187" s="43" t="str">
        <f t="shared" si="557"/>
        <v/>
      </c>
      <c r="QE187" s="43" t="str">
        <f t="shared" si="558"/>
        <v/>
      </c>
      <c r="QF187" s="43" t="str">
        <f t="shared" si="559"/>
        <v/>
      </c>
      <c r="QG187" s="43" t="str">
        <f t="shared" si="560"/>
        <v/>
      </c>
      <c r="QH187" s="43" t="str">
        <f t="shared" si="561"/>
        <v/>
      </c>
      <c r="QI187" s="43" t="str">
        <f t="shared" si="562"/>
        <v/>
      </c>
      <c r="QJ187" s="43" t="str">
        <f t="shared" si="563"/>
        <v/>
      </c>
      <c r="QK187" s="43" t="str">
        <f t="shared" si="564"/>
        <v/>
      </c>
      <c r="QL187" s="43" t="str">
        <f t="shared" si="565"/>
        <v/>
      </c>
      <c r="QM187" s="43" t="str">
        <f t="shared" si="566"/>
        <v/>
      </c>
      <c r="QN187" s="43" t="str">
        <f t="shared" si="567"/>
        <v/>
      </c>
      <c r="QO187" s="43" t="str">
        <f t="shared" si="568"/>
        <v/>
      </c>
      <c r="QP187" s="43" t="str">
        <f t="shared" si="569"/>
        <v/>
      </c>
      <c r="QQ187" s="43" t="str">
        <f t="shared" si="570"/>
        <v/>
      </c>
      <c r="QR187" s="43" t="str">
        <f t="shared" si="670"/>
        <v>Menor</v>
      </c>
      <c r="QS187" s="43"/>
      <c r="QT187" s="21" t="str">
        <f t="shared" si="571"/>
        <v/>
      </c>
      <c r="QU187" s="21" t="str">
        <f t="shared" si="572"/>
        <v/>
      </c>
      <c r="QV187" s="21" t="str">
        <f t="shared" si="573"/>
        <v/>
      </c>
      <c r="QW187" s="21" t="str">
        <f t="shared" si="574"/>
        <v/>
      </c>
      <c r="QX187" s="21" t="str">
        <f t="shared" si="575"/>
        <v/>
      </c>
      <c r="QY187" s="21" t="str">
        <f t="shared" si="576"/>
        <v/>
      </c>
      <c r="QZ187" s="21" t="str">
        <f t="shared" si="577"/>
        <v/>
      </c>
      <c r="RA187" s="21" t="str">
        <f t="shared" si="578"/>
        <v/>
      </c>
      <c r="RB187" s="21" t="str">
        <f t="shared" si="579"/>
        <v/>
      </c>
      <c r="RC187" s="21" t="str">
        <f t="shared" si="580"/>
        <v/>
      </c>
      <c r="RD187" s="21" t="str">
        <f t="shared" si="581"/>
        <v/>
      </c>
      <c r="RE187" s="21" t="str">
        <f t="shared" si="582"/>
        <v/>
      </c>
      <c r="RF187" s="21" t="str">
        <f t="shared" si="583"/>
        <v/>
      </c>
      <c r="RG187" s="21" t="str">
        <f t="shared" si="584"/>
        <v/>
      </c>
      <c r="RH187" s="21" t="str">
        <f t="shared" si="585"/>
        <v/>
      </c>
      <c r="RI187" s="21" t="str">
        <f t="shared" si="586"/>
        <v/>
      </c>
      <c r="RJ187" s="21" t="str">
        <f t="shared" si="587"/>
        <v/>
      </c>
      <c r="RK187" s="21" t="str">
        <f t="shared" si="588"/>
        <v/>
      </c>
      <c r="RL187" s="21" t="str">
        <f t="shared" si="589"/>
        <v/>
      </c>
      <c r="RM187" s="21" t="str">
        <f t="shared" si="590"/>
        <v/>
      </c>
      <c r="RN187" s="21" t="str">
        <f t="shared" si="591"/>
        <v/>
      </c>
      <c r="RO187" s="21" t="str">
        <f t="shared" si="592"/>
        <v/>
      </c>
      <c r="RP187" s="21" t="str">
        <f t="shared" si="593"/>
        <v/>
      </c>
      <c r="RQ187" s="21" t="str">
        <f t="shared" si="594"/>
        <v/>
      </c>
      <c r="RR187" s="21" t="str">
        <f t="shared" si="595"/>
        <v/>
      </c>
      <c r="RS187" s="21" t="str">
        <f t="shared" si="596"/>
        <v/>
      </c>
      <c r="RT187" s="21" t="str">
        <f t="shared" si="597"/>
        <v/>
      </c>
      <c r="RU187" s="21" t="str">
        <f t="shared" si="598"/>
        <v/>
      </c>
      <c r="RV187" s="21">
        <f t="shared" si="599"/>
        <v>-1</v>
      </c>
      <c r="RW187" s="284">
        <f>IF(OR(Tabla1[[#This Row],[FUM FORMULA CONFIABLE]]="",Tabla1[[#This Row],[FUM FORMULA CONFIABLE]]="SD"),"",IF(Tabla1[[#This Row],[FUM FORMULA CONFIABLE]]="CORREGIDA",Tabla1[[#This Row],[FUM X ECO 1]],Tabla1[[#This Row],[FUM x AMENORREA]]))</f>
        <v>45006</v>
      </c>
      <c r="RX187" s="21" t="str">
        <f>IF(AND(Tabla1[[#This Row],[FUM X ECO 1]]="",Tabla1[[#This Row],[FUM x AMENORREA]]=""),"",IF(AND(Tabla1[[#This Row],[FUM X ECO 1]]="",Tabla1[[#This Row],[FUM x AMENORREA]]&lt;&gt;""),"X",SUM(Tabla1[[#This Row],[FUM X ECO 1]]-Tabla1[[#This Row],[FUM x AMENORREA]])))</f>
        <v>X</v>
      </c>
      <c r="RY187" s="21" t="str">
        <f t="shared" si="671"/>
        <v>x</v>
      </c>
    </row>
    <row r="188" spans="1:493" ht="45" customHeight="1" x14ac:dyDescent="0.25">
      <c r="A188" s="109"/>
      <c r="B188" s="43"/>
      <c r="C188" s="43" t="s">
        <v>845</v>
      </c>
      <c r="D188" s="124"/>
      <c r="E188" s="43" t="s">
        <v>1361</v>
      </c>
      <c r="F188" s="43" t="s">
        <v>992</v>
      </c>
      <c r="G188" s="43" t="s">
        <v>1531</v>
      </c>
      <c r="H188" s="43"/>
      <c r="I188" s="109" t="s">
        <v>851</v>
      </c>
      <c r="J188" s="110">
        <v>1151452891</v>
      </c>
      <c r="K188" s="43" t="s">
        <v>852</v>
      </c>
      <c r="L188" s="175" t="s">
        <v>1509</v>
      </c>
      <c r="M188" s="22">
        <v>35187</v>
      </c>
      <c r="N188" s="213">
        <f t="shared" ca="1" si="600"/>
        <v>27.523287671232875</v>
      </c>
      <c r="O188" s="22">
        <v>45051</v>
      </c>
      <c r="P188" s="214" t="str">
        <f t="shared" si="673"/>
        <v>SI</v>
      </c>
      <c r="Q188" s="26" t="s">
        <v>855</v>
      </c>
      <c r="R188" s="22">
        <v>45051</v>
      </c>
      <c r="S188" s="21" t="s">
        <v>856</v>
      </c>
      <c r="T188" s="24" t="s">
        <v>690</v>
      </c>
      <c r="U188" s="21" t="s">
        <v>857</v>
      </c>
      <c r="V188" s="21" t="s">
        <v>858</v>
      </c>
      <c r="W188" s="21" t="s">
        <v>876</v>
      </c>
      <c r="X188" s="21" t="s">
        <v>876</v>
      </c>
      <c r="Y188" s="21" t="s">
        <v>859</v>
      </c>
      <c r="Z188" s="21">
        <v>3115413819</v>
      </c>
      <c r="AA188" s="21" t="s">
        <v>860</v>
      </c>
      <c r="AB188" s="27" t="s">
        <v>861</v>
      </c>
      <c r="AC188" s="26" t="s">
        <v>877</v>
      </c>
      <c r="AD188" s="38" t="s">
        <v>1546</v>
      </c>
      <c r="AE188" s="26" t="s">
        <v>854</v>
      </c>
      <c r="AF188" s="26" t="s">
        <v>854</v>
      </c>
      <c r="AG188" s="23" t="s">
        <v>864</v>
      </c>
      <c r="AH188" s="23" t="s">
        <v>864</v>
      </c>
      <c r="AI188" s="24" t="s">
        <v>863</v>
      </c>
      <c r="AJ188" s="23" t="s">
        <v>864</v>
      </c>
      <c r="AK188" s="220" t="str">
        <f>IF(AND(AD188="",AE188="",AF188="",AG188="",AH188="",AI188="",AJ188=""),"",IF(OR(Tabla1[[#This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EVALUACIÓN",IF(AND(O188="",R188=""),"",IF(AND(OR(O188&gt;0,R188&gt;0),NG188&gt;=0,NG188&lt;2),"SIN RIESGO",IF(AND(OR(O188&gt;0,R188&gt;0),NG188&gt;=2),"CON RIESGO","ASD")))))</f>
        <v>SIN RIESGO</v>
      </c>
      <c r="AL188" s="23" t="s">
        <v>864</v>
      </c>
      <c r="AM188" s="26" t="s">
        <v>864</v>
      </c>
      <c r="AN188" s="26" t="s">
        <v>864</v>
      </c>
      <c r="AO188" s="26" t="s">
        <v>864</v>
      </c>
      <c r="AP188" s="26" t="s">
        <v>864</v>
      </c>
      <c r="AQ188" s="26" t="s">
        <v>864</v>
      </c>
      <c r="AR188" s="26" t="s">
        <v>864</v>
      </c>
      <c r="AS188" s="21">
        <v>1</v>
      </c>
      <c r="AT188" s="21">
        <v>0</v>
      </c>
      <c r="AU188" s="21">
        <v>1</v>
      </c>
      <c r="AV188" s="26" t="s">
        <v>864</v>
      </c>
      <c r="AW188" s="21">
        <v>0</v>
      </c>
      <c r="AX188" s="26" t="s">
        <v>854</v>
      </c>
      <c r="AY188" s="26" t="s">
        <v>864</v>
      </c>
      <c r="AZ188" s="26" t="s">
        <v>864</v>
      </c>
      <c r="BA188" s="26" t="s">
        <v>864</v>
      </c>
      <c r="BB188" s="26" t="s">
        <v>864</v>
      </c>
      <c r="BC188" s="26" t="s">
        <v>864</v>
      </c>
      <c r="BD188" s="26" t="s">
        <v>864</v>
      </c>
      <c r="BE188" s="26" t="s">
        <v>864</v>
      </c>
      <c r="BF188" s="26" t="s">
        <v>864</v>
      </c>
      <c r="BG188" s="26" t="s">
        <v>864</v>
      </c>
      <c r="BH188" s="26" t="s">
        <v>864</v>
      </c>
      <c r="BI188" s="26" t="s">
        <v>864</v>
      </c>
      <c r="BJ188" s="26" t="s">
        <v>864</v>
      </c>
      <c r="BK188" s="26" t="s">
        <v>864</v>
      </c>
      <c r="BL188" s="26" t="s">
        <v>864</v>
      </c>
      <c r="BM188" s="26" t="s">
        <v>864</v>
      </c>
      <c r="BN188" s="22"/>
      <c r="BO188" s="22">
        <v>44913</v>
      </c>
      <c r="BP188" s="21" t="s">
        <v>854</v>
      </c>
      <c r="BQ188" s="222">
        <f t="shared" si="601"/>
        <v>0</v>
      </c>
      <c r="BR188" s="223">
        <f t="shared" si="602"/>
        <v>44927.8</v>
      </c>
      <c r="BS188" s="224">
        <f t="shared" si="603"/>
        <v>19.714285714285715</v>
      </c>
      <c r="BT188" s="216" t="str">
        <f t="shared" si="604"/>
        <v>II TRIM</v>
      </c>
      <c r="BU188" s="214" t="str">
        <f t="shared" ca="1" si="605"/>
        <v/>
      </c>
      <c r="BV188" s="25" t="s">
        <v>988</v>
      </c>
      <c r="BW188" s="22">
        <v>45121</v>
      </c>
      <c r="BX188" s="28">
        <v>27.6</v>
      </c>
      <c r="BY188" s="28"/>
      <c r="BZ188" s="22"/>
      <c r="CA188" s="21"/>
      <c r="CB188" s="26" t="s">
        <v>864</v>
      </c>
      <c r="CC188" s="26" t="s">
        <v>864</v>
      </c>
      <c r="CD188" s="26"/>
      <c r="CE188" s="26" t="s">
        <v>864</v>
      </c>
      <c r="CF188" s="22" t="s">
        <v>1517</v>
      </c>
      <c r="CG188" s="21">
        <v>1.6</v>
      </c>
      <c r="CH188" s="21">
        <v>60</v>
      </c>
      <c r="CI188" s="214">
        <f t="shared" si="606"/>
        <v>23.437499999999996</v>
      </c>
      <c r="CJ188" s="225" t="e">
        <f>IF(AND(CI188&lt;10,CH188="SD"),"SIN DATO PESO PREGESTACION O I TRIM",IF(AND(OR(R188&gt;0,O188&gt;0),CI188="X"),"INGRESAR DATO DE PESO",IF(CI188="SD","INGRESAR DATO DE TALLA Y PESO",IF(AND(OR(Tabla1[[#This Row],[MOMENTO EN QUE SE REALIZA EL PESO AL INGRESO A CPN]]="PREGESTACIÓN",NZ188="Menor"),CI188&lt;18.5),"BAJO PESO",IF(AND(OR(Tabla1[[#This Row],[MOMENTO EN QUE SE REALIZA EL PESO AL INGRESO A CPN]]="PREGESTACIÓN",NZ188="Menor"),CI188&lt;25),"NORMAL",IF(AND(OR(Tabla1[[#This Row],[MOMENTO EN QUE SE REALIZA EL PESO AL INGRESO A CPN]]="PREGESTACIÓN",NZ188="Menor"),CI188&lt;30),"SOBREPESO",IF(AND(OR(Tabla1[[#This Row],[MOMENTO EN QUE SE REALIZA EL PESO AL INGRESO A CPN]]="PREGESTACIÓN",NZ188="Menor"),CI188&gt;=30,CI188&lt;50),"OBESIDAD",IF(AND(BS188&gt;0,Tabla1[[#This Row],[MOMENTO EN QUE SE REALIZA EL PESO AL INGRESO A CPN]]="GESTACIÓN"),HLOOKUP(NZ188,$OA$2:PH188,NY188),""))))))))</f>
        <v>#REF!</v>
      </c>
      <c r="CK188" s="212">
        <f t="shared" si="607"/>
        <v>45147</v>
      </c>
      <c r="CL188" s="21">
        <v>69</v>
      </c>
      <c r="CM188" s="214">
        <f t="shared" si="608"/>
        <v>26.953124999999996</v>
      </c>
      <c r="CN188" s="216">
        <f t="shared" si="609"/>
        <v>33</v>
      </c>
      <c r="CO188" s="216" t="e">
        <f>IF(PI188="","",IF(PI188&gt;0,HLOOKUP(PI188,$PJ$2:QQ188,NY188),""))</f>
        <v>#REF!</v>
      </c>
      <c r="CP188" s="21">
        <v>28</v>
      </c>
      <c r="CQ188" s="216" t="e">
        <f>IF(QR188="Menor","NO APLICA-MENOR 13 SEM",IF(AND(CC188="SI",CN188&gt;23),"NO APLICA- GEMELAR",IF(QR188="","",IF(QR188&gt;0,HLOOKUP(QR188,$QS$2:RU188,NY188),""))))</f>
        <v>#REF!</v>
      </c>
      <c r="CR188" s="21"/>
      <c r="CS188" s="21"/>
      <c r="CT188" s="217" t="str">
        <f>IF(R188="","",IF(AND(BS188&gt;1,BS188&lt;12,Tabla1[[#This Row],[T.A. SISTOLICA - ANTES DE SEMANA 12]]="",Tabla1[[#This Row],[T.A. DIASTOLICA - ANTES DE SEMANA 12]]=""),"REGISTRE DATO TA ANTES SEMANA 12",IF(AND(BS188&gt;11,BS188&lt;43,Tabla1[[#This Row],[T.A. SISTOLICA - ANTES DE SEMANA 12]]="",Tabla1[[#This Row],[T.A. DIASTOLICA - ANTES DE SEMANA 12]]=""),"NO APLICA REGISTRO TA-INGRESO TARDIO",IF(AND(OR(O188&gt;0,R188&gt;0),OR(CR188&gt;=140,CS188&gt;=90)),"DEFINIR ESTADIO HTA",IF(AND(OR(O188&gt;0,R188&gt;0),AND(CR188&gt;120,CR188&lt;=139)),"PRE HTA SEGUIMIENTO",IF(AND(OR(O188&gt;0,R188&gt;0),AND(CS188&gt;80,CS188&lt;=89)),"PRE HTA SEGUIMIENTO",IF(AND(OR(O188&gt;0,R188&gt;0),AND(CR188&gt;=80,CR188&lt;=120)),"APARENTEMENTE NORMAL",IF(AND(OR(O188&gt;0,R188&gt;0),AND(CS188&gt;=50,CS188&lt;=80)),"APARENTEMENTE NORMAL",IF(AND(OR(O188&gt;0,R188&gt;0),AND(CR188&gt;1,CR188&lt;=70),AND(CS188&gt;1,CS188&lt;=40)),"HIPOTENSIÓN","")))))))))</f>
        <v>NO APLICA REGISTRO TA-INGRESO TARDIO</v>
      </c>
      <c r="CU188" s="21">
        <v>90</v>
      </c>
      <c r="CV188" s="21">
        <v>60</v>
      </c>
      <c r="CW188" s="217" t="str">
        <f ca="1">IF(R188="","",IF(AND(CN188&gt;19,CN188&lt;27,Tabla1[[#This Row],[T.A. SISTOLICA (Entre semana 20 y 26)]]="",Tabla1[[#This Row],[T.A. DIATOLICA (Entre semana 20 y 26)]]=""),"ACUDE A CONTROL SEM 20 A 26 REGISTRE TA AHORA",IF(AND(BS188&gt;1,BS188&lt;27,BU188&gt;19,Tabla1[[#This Row],[T.A. SISTOLICA (Entre semana 20 y 26)]]="",Tabla1[[#This Row],[T.A. DIATOLICA (Entre semana 20 y 26)]]=""),"COMPLETE REGISTRO TA CONTROL SEM 20 A26 ",IF(AND(BS188&gt;26,BS188&lt;43,Tabla1[[#This Row],[T.A. SISTOLICA (Entre semana 20 y 26)]]="",Tabla1[[#This Row],[T.A. DIATOLICA (Entre semana 20 y 26)]]=""),"NO APLICA REGISTRO TA-INGRESO TARDIO",IF(AND(OR(O188&gt;0,R188&gt;0),OR(CU188&gt;=140,CV188&gt;=90)),"ALTO RIESGO PREECLAMPSIA,DEFINIR ESTADIO HTA",IF(AND(OR(O188&gt;0,R188&gt;0),AND(CU188&gt;120,CU188&lt;=139)),"PRE HTA SEGUIMIENTO,RIESGO HIPERTENSION INDUCIDA POR EL EMBARAZO",IF(AND(OR(O188&gt;0,R188&gt;0),AND(CV188&gt;80,CV188&lt;=89)),"PRE HTA SEGUIMIENTO, RIESGO HIPERTENSION INDUCIDA POR EL EMBARAZO",IF(AND(OR(O188&lt;&gt;"",R188&lt;&gt;""),CS188&lt;&gt;"",CV188&lt;&gt;"",CS188&lt;=CV188),"VIGILAR CIFRAS PRESION ARTERIAL",IF(AND(OR(O188&gt;0,R188&gt;0),AND(CU188&gt;120,CU188&lt;=139)),"PRE HTA SEGUIMIENTO",IF(AND(OR(O188&gt;0,R188&gt;0),AND(CU188&gt;1,CU188&lt;=70),AND(CV188&gt;1,CV188&lt;=40)),"HIPOTENSIÓN",IF(AND(OR(O188&lt;&gt;"",R188&lt;&gt;""),CS188&lt;&gt;"",CV188&lt;&gt;"",CS188&gt;CV188),"APARENTEMENTE NORMAL",IF(AND(OR(O188&gt;0,R188&gt;0),AND(CU188&gt;=80,CU188&lt;=120)),"APARENTEMENTE NORMAL",IF(AND(OR(O188&gt;0,R188&gt;0),AND(CV188&gt;=50,CV188&lt;=80)),"APARENTEMENTE NORMAL","")))))))))))))</f>
        <v>APARENTEMENTE NORMAL</v>
      </c>
      <c r="CX188" s="21"/>
      <c r="CY188" s="21"/>
      <c r="CZ188" s="216" t="str">
        <f t="shared" si="727"/>
        <v>ACUDE A CONTROL SEM 30 A 34- REGISTRE AHORA</v>
      </c>
      <c r="DA188" s="21">
        <v>90</v>
      </c>
      <c r="DB188" s="21">
        <v>60</v>
      </c>
      <c r="DC188" s="217" t="str">
        <f t="shared" si="610"/>
        <v>APARENTEMENTE NORMAL</v>
      </c>
      <c r="DD188" s="22">
        <v>45051</v>
      </c>
      <c r="DE188" s="22">
        <v>45051</v>
      </c>
      <c r="DF188" s="22">
        <v>45083</v>
      </c>
      <c r="DG188" s="22">
        <v>45121</v>
      </c>
      <c r="DH188" s="22">
        <v>45147</v>
      </c>
      <c r="DI188" s="22"/>
      <c r="DJ188" s="22"/>
      <c r="DK188" s="22"/>
      <c r="DL188" s="22"/>
      <c r="DM188" s="22"/>
      <c r="DN188" s="22"/>
      <c r="DO188" s="22"/>
      <c r="DP188" s="22"/>
      <c r="DQ188" s="22"/>
      <c r="DR188" s="28">
        <v>0</v>
      </c>
      <c r="DS188" s="22"/>
      <c r="DT188" s="22"/>
      <c r="DU188" s="216" t="str">
        <f t="shared" ca="1" si="674"/>
        <v>CONCERTAR PLAN DE PARTO INMEDIATO</v>
      </c>
      <c r="DV188" s="226" t="str">
        <f t="shared" si="675"/>
        <v>ACTIVA INGRESO A CPN</v>
      </c>
      <c r="DW18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8" s="216" t="e">
        <f t="shared" ca="1" si="611"/>
        <v>#REF!</v>
      </c>
      <c r="DY188" s="212">
        <f>IF(R188="","",IF(R188&gt;0,MAX(Tabla1[[#This Row],[FECHA C2]:[FECHA C13]],Tabla1[[#This Row],[FECHA CONSULTA PRIMERA VEZ PROGRAMA CPN ]])))</f>
        <v>45147</v>
      </c>
      <c r="DZ188" s="216">
        <f t="shared" si="612"/>
        <v>33</v>
      </c>
      <c r="EA188" s="222">
        <f>IF(R188&gt;0,SUM(COUNTA(DF188:DQ188)+COUNTA(Tabla1[[#This Row],[FECHA CONSULTA PRIMERA VEZ PROGRAMA CPN ]])),"")</f>
        <v>4</v>
      </c>
      <c r="EB188" s="222" t="str">
        <f t="shared" si="613"/>
        <v>SI</v>
      </c>
      <c r="EC188" s="214">
        <f t="shared" si="614"/>
        <v>7</v>
      </c>
      <c r="ED188" s="227">
        <f t="shared" si="615"/>
        <v>0.5714285714285714</v>
      </c>
      <c r="EE188" s="22">
        <v>45051</v>
      </c>
      <c r="EF188" s="22">
        <v>45051</v>
      </c>
      <c r="EG188" s="22">
        <v>45051</v>
      </c>
      <c r="EH188" s="22"/>
      <c r="EI188" s="22">
        <v>45051</v>
      </c>
      <c r="EJ188" s="22"/>
      <c r="EK188" s="22"/>
      <c r="EL188" s="21"/>
      <c r="EM188" s="21">
        <v>12.3</v>
      </c>
      <c r="EN188" s="22">
        <v>45087</v>
      </c>
      <c r="EO188" s="222">
        <f t="shared" si="616"/>
        <v>24.857142857142858</v>
      </c>
      <c r="EP188" s="214" t="str">
        <f t="shared" si="617"/>
        <v>NORMAL- SUMINISTRAR SULFATO FERROSO</v>
      </c>
      <c r="EQ188" s="216" t="str">
        <f t="shared" si="618"/>
        <v>II TRIM</v>
      </c>
      <c r="ER188" s="24">
        <v>12.3</v>
      </c>
      <c r="ES188" s="22">
        <v>45087</v>
      </c>
      <c r="ET188" s="29">
        <f t="shared" ca="1" si="676"/>
        <v>24.857142857142858</v>
      </c>
      <c r="EU188" s="25" t="str">
        <f t="shared" si="619"/>
        <v>NORMAL- SUMINISTRAR SULFATO FERROSO</v>
      </c>
      <c r="EV188" s="24" t="s">
        <v>1510</v>
      </c>
      <c r="EW188" s="24">
        <v>45087</v>
      </c>
      <c r="EX188" s="22"/>
      <c r="EY188" s="29">
        <f t="shared" si="691"/>
        <v>24.857142857142858</v>
      </c>
      <c r="EZ188" s="25" t="str">
        <f t="shared" si="692"/>
        <v>SIN RIESGO DE ISOINMUNIZACIÓN</v>
      </c>
      <c r="FA188" s="21">
        <v>61</v>
      </c>
      <c r="FB188" s="22">
        <v>45087</v>
      </c>
      <c r="FC188" s="29" t="str">
        <f t="shared" si="620"/>
        <v>NO APLICA &gt; 23 SEM -TOMAR PTOG</v>
      </c>
      <c r="FD188" s="29"/>
      <c r="FE188" s="29"/>
      <c r="FF188" s="29"/>
      <c r="FG188" s="21" t="str">
        <f t="shared" ca="1" si="621"/>
        <v/>
      </c>
      <c r="FH188" s="31"/>
      <c r="FI188" s="29" t="str">
        <f t="shared" si="622"/>
        <v>TOMAR EXAMEN</v>
      </c>
      <c r="FJ188" s="22"/>
      <c r="FK188" s="22"/>
      <c r="FL188" s="29" t="str">
        <f t="shared" ca="1" si="623"/>
        <v>NO APLICA-INGRESO TARDIO</v>
      </c>
      <c r="FM188" s="22" t="s">
        <v>867</v>
      </c>
      <c r="FN188" s="32">
        <v>45087</v>
      </c>
      <c r="FO188" s="29">
        <f t="shared" ca="1" si="677"/>
        <v>24.857142857142858</v>
      </c>
      <c r="FP188" s="22"/>
      <c r="FQ188" s="32"/>
      <c r="FR188" s="29" t="str">
        <f t="shared" ca="1" si="678"/>
        <v>TOMA INMEDIATA DE TAMIZAJE</v>
      </c>
      <c r="FS188" s="22"/>
      <c r="FT188" s="32"/>
      <c r="FU188" s="29" t="str">
        <f>IF(AND(FJ188="",FM188="",FP188="",FS188=""),"",IF(OR(OR(Tabla1[[#This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8" s="28"/>
      <c r="FW188" s="22"/>
      <c r="FX188" s="29" t="str">
        <f t="shared" si="624"/>
        <v>TOMAR EXAMEN</v>
      </c>
      <c r="FY188" s="22"/>
      <c r="FZ188" s="22"/>
      <c r="GA188" s="29" t="str">
        <f t="shared" ca="1" si="690"/>
        <v>NO APLICA-INGRESO TARDIO</v>
      </c>
      <c r="GB188" s="22" t="s">
        <v>868</v>
      </c>
      <c r="GC188" s="22">
        <v>45087</v>
      </c>
      <c r="GD188" s="29">
        <f t="shared" ca="1" si="730"/>
        <v>24.857142857142858</v>
      </c>
      <c r="GE188" s="22"/>
      <c r="GF188" s="22"/>
      <c r="GG188" s="29" t="str">
        <f t="shared" ca="1" si="680"/>
        <v>TOMA INMEDIATA DE TAMIZAJE</v>
      </c>
      <c r="GH188" s="22"/>
      <c r="GI188" s="29"/>
      <c r="GJ188" s="22"/>
      <c r="GK188" s="22"/>
      <c r="GL188" s="22"/>
      <c r="GM188" s="22"/>
      <c r="GN188" s="28" t="s">
        <v>869</v>
      </c>
      <c r="GO188" s="22">
        <v>45087</v>
      </c>
      <c r="GP188" s="29">
        <f t="shared" si="625"/>
        <v>24.857142857142858</v>
      </c>
      <c r="GQ188" s="28" t="s">
        <v>869</v>
      </c>
      <c r="GR188" s="28" t="s">
        <v>869</v>
      </c>
      <c r="GS188" s="22" t="str">
        <f t="shared" si="726"/>
        <v>CONTROL Igm</v>
      </c>
      <c r="GT188" s="22">
        <v>45087</v>
      </c>
      <c r="GU188" s="29">
        <f t="shared" si="627"/>
        <v>24.857142857142858</v>
      </c>
      <c r="GV188" s="21" t="str">
        <f t="shared" si="628"/>
        <v>II TRIM</v>
      </c>
      <c r="GW188" s="28"/>
      <c r="GX188" s="30"/>
      <c r="GY188" s="21"/>
      <c r="GZ188" s="21"/>
      <c r="HA188" s="21"/>
      <c r="HB188" s="21"/>
      <c r="HC188" s="21"/>
      <c r="HD188" s="21"/>
      <c r="HE188" s="21"/>
      <c r="HF188" s="22"/>
      <c r="HG188" s="22" t="str">
        <f>IF(OR(O188&gt;0,R188&gt;0),CONCATENATE(IF(Tabla1[[#This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8" s="22" t="e">
        <f t="shared" si="629"/>
        <v>#REF!</v>
      </c>
      <c r="HI188" s="22" t="e">
        <f t="shared" ca="1" si="630"/>
        <v>#REF!</v>
      </c>
      <c r="HJ188" s="21"/>
      <c r="HK188" s="21" t="str">
        <f t="shared" si="631"/>
        <v>SIN ANTECEDENTES DE RIESGO</v>
      </c>
      <c r="HL188" s="24" t="str">
        <f t="shared" si="632"/>
        <v>APARENTEMENTE NORMAL</v>
      </c>
      <c r="HM188" s="21" t="e">
        <f t="shared" ca="1" si="633"/>
        <v>#REF!</v>
      </c>
      <c r="HN188" s="30" t="str">
        <f t="shared" si="681"/>
        <v>ACTIVA INGRESO A CPN</v>
      </c>
      <c r="HO188" s="21"/>
      <c r="HP188" s="21"/>
      <c r="HQ188" s="349"/>
      <c r="HR188" s="21" t="str">
        <f>IF(R188="","",IF(Tabla1[[#This Row],[ALARMA FACTORES DE RIESGO COMPLICACIONES HIPERTENSIVAS3]]="SIN ANTECEDENTES DE RIESGO","No Aplica para suministro de ASA",IF(AND(Tabla1[[#This Row],[FECHA INICIO DE SUMINISTRO DE ASA]]&gt;0,RV188&lt;12),"Inicia ASA ANTES de Sem 12",IF(AND(RV188&gt;11,RV188&lt;17,OR(HK188="RIESGO ALTO DE COMPLICACIONES HIPERTENSIVAS VER MANEJO GUIA SUMINISTRO ASA Y CALCIO",HK188="RIESGO MODERADO (2 O MAS CRITERIOS) VER MANEJO GUIA SUMINISTRO ASA Y CALCIO")),"Inicio oportuno de ASA",IF(AND(RV188&gt;12,OR(HK188="RIESGO ALTO DE COMPLICACIONES HIPERTENSIVAS VER MANEJO GUIA SUMINISTRO ASA Y CALCIO",HK188="RIESGO MODERADO (2 O MAS CRITERIOS) VER MANEJO GUIA SUMINISTRO ASA Y CALCIO")),"Inicio no oportuno mayor a 16 semanas",IF(AND(BU188&lt;12,OR(HK188="RIESGO ALTO DE COMPLICACIONES HIPERTENSIVAS VER MANEJO GUIA SUMINISTRO ASA Y CALCIO",HK188="RIESGO MODERADO (2 O MAS CRITERIOS) VER MANEJO GUIA SUMINISTRO ASA Y CALCIO")),"Pendiente Inicio de ASA a la semana 12",IF(AND(BU188&gt;11,BU188&lt;17,OR(HK188="RIESGO ALTO DE COMPLICACIONES HIPERTENSIVAS VER MANEJO GUIA SUMINISTRO ASA Y CALCIO",HK188="RIESGO MODERADO (2 O MAS CRITERIOS) VER MANEJO GUIA SUMINISTRO ASA Y CALCIO")),"Iniciar de inmediato ASA",IF(AND(BU188&gt;16,OR(HK188="RIESGO ALTO DE COMPLICACIONES HIPERTENSIVAS VER MANEJO GUIA SUMINISTRO ASA Y CALCIO",HK188="RIESGO MODERADO (2 O MAS CRITERIOS) VER MANEJO GUIA SUMINISTRO ASA Y CALCIO")),"Pierde Oportunidad, Inicio tardío de ASA","XXXXX"))))))))</f>
        <v>No Aplica para suministro de ASA</v>
      </c>
      <c r="HS188" s="22">
        <v>45051</v>
      </c>
      <c r="HT188" s="22" t="s">
        <v>1532</v>
      </c>
      <c r="HU188" s="22">
        <v>45051</v>
      </c>
      <c r="HV188" s="22" t="s">
        <v>1523</v>
      </c>
      <c r="HW188" s="22">
        <v>45051</v>
      </c>
      <c r="HX188" s="22" t="s">
        <v>1511</v>
      </c>
      <c r="HY188" s="22">
        <v>45051</v>
      </c>
      <c r="HZ188" s="28">
        <f t="shared" si="634"/>
        <v>19.714285714285715</v>
      </c>
      <c r="IA188" s="26"/>
      <c r="IB188" s="26"/>
      <c r="IC188" s="111"/>
      <c r="ID188" s="22"/>
      <c r="IE188" s="22" t="str">
        <f t="shared" ca="1" si="635"/>
        <v/>
      </c>
      <c r="IF188" s="22"/>
      <c r="IG188" s="22">
        <f t="shared" si="636"/>
        <v>45193</v>
      </c>
      <c r="IH188" s="29">
        <f t="shared" ca="1" si="637"/>
        <v>-40</v>
      </c>
      <c r="II188" s="22" t="str">
        <f t="shared" ca="1" si="638"/>
        <v>POSIBLEMENTE NACIO</v>
      </c>
      <c r="IJ188" s="22"/>
      <c r="IK188" s="21"/>
      <c r="IL188" s="21"/>
      <c r="IM188" s="34"/>
      <c r="IN188" s="22"/>
      <c r="IO188" s="21"/>
      <c r="IP188" s="29" t="str">
        <f t="shared" si="728"/>
        <v/>
      </c>
      <c r="IQ188" s="35"/>
      <c r="IR188" s="21"/>
      <c r="IS188" s="21"/>
      <c r="IT188" s="21"/>
      <c r="IU188" s="21"/>
      <c r="IV188" s="21"/>
      <c r="IW188" s="21"/>
      <c r="IX188" s="21"/>
      <c r="IY188" s="21"/>
      <c r="IZ188" s="21"/>
      <c r="JA188" s="21"/>
      <c r="JB188" s="30"/>
      <c r="JC188" s="21"/>
      <c r="JD188" s="36"/>
      <c r="JE188" s="21" t="str">
        <f t="shared" si="731"/>
        <v/>
      </c>
      <c r="JF188" s="30"/>
      <c r="JG188" s="21"/>
      <c r="JH188" s="21"/>
      <c r="JI188" s="21"/>
      <c r="JJ188" s="30"/>
      <c r="JK188" s="22"/>
      <c r="JL188" s="22"/>
      <c r="JM188" s="21"/>
      <c r="JN188" s="36"/>
      <c r="JO188" s="21" t="str">
        <f t="shared" si="732"/>
        <v/>
      </c>
      <c r="JP188" s="22"/>
      <c r="JQ188" s="21"/>
      <c r="JR188" s="21"/>
      <c r="JS188" s="21"/>
      <c r="JT188" s="30"/>
      <c r="JU188" s="22"/>
      <c r="JV188" s="22"/>
      <c r="JW188" s="33"/>
      <c r="JX188" s="28" t="str">
        <f t="shared" si="733"/>
        <v/>
      </c>
      <c r="JY188" s="33"/>
      <c r="JZ188" s="28" t="str">
        <f t="shared" si="734"/>
        <v/>
      </c>
      <c r="KA188" s="21"/>
      <c r="KB188" s="21"/>
      <c r="KC188" s="21"/>
      <c r="KD188" s="37"/>
      <c r="KE188" s="28"/>
      <c r="KF188" s="28"/>
      <c r="KG188" s="28"/>
      <c r="KH188" s="39"/>
      <c r="KI188" s="39"/>
      <c r="KJ188" s="66"/>
      <c r="KK188" s="39"/>
      <c r="KL188" s="39"/>
      <c r="KM188" s="66"/>
      <c r="KN188" s="39"/>
      <c r="KO188" s="39"/>
      <c r="KP188" s="39"/>
      <c r="KQ188" s="39"/>
      <c r="KR188" s="39"/>
      <c r="KS188" s="39"/>
      <c r="KT188" s="39"/>
      <c r="KU188" s="38"/>
      <c r="KV188" s="38"/>
      <c r="KW188" s="38"/>
      <c r="KX188" s="38"/>
      <c r="KY188" s="38"/>
      <c r="KZ188" s="38"/>
      <c r="LA188" s="38"/>
      <c r="LB188" s="38"/>
      <c r="LC188" s="38"/>
      <c r="LD188" s="38"/>
      <c r="LE188" s="38"/>
      <c r="LF188" s="38"/>
      <c r="LG188" s="38"/>
      <c r="LH188" s="38"/>
      <c r="LI188" s="38"/>
      <c r="LJ188" s="38"/>
      <c r="LK188" s="38"/>
      <c r="LL188" s="38"/>
      <c r="LM188" s="38"/>
      <c r="LN188" s="38"/>
      <c r="LO188" s="38"/>
      <c r="LP188" s="38"/>
      <c r="LQ188" s="38"/>
      <c r="LR188" s="38"/>
      <c r="LS188" s="38"/>
      <c r="LT188" s="38"/>
      <c r="LU188" s="38"/>
      <c r="LV188" s="38"/>
      <c r="LW188" s="38"/>
      <c r="LX188" s="38"/>
      <c r="LY188" s="38"/>
      <c r="LZ188" s="38"/>
      <c r="MA188" s="38"/>
      <c r="MB188" s="38"/>
      <c r="MC188" s="38"/>
      <c r="MD188" s="38"/>
      <c r="ME188" s="38"/>
      <c r="MF188" s="38"/>
      <c r="MG188" s="38"/>
      <c r="MH188" s="43">
        <f t="shared" si="695"/>
        <v>0</v>
      </c>
      <c r="MI188" s="43" t="str">
        <f t="shared" si="696"/>
        <v/>
      </c>
      <c r="MJ188" s="43" t="str">
        <f t="shared" si="697"/>
        <v/>
      </c>
      <c r="MK188" s="43">
        <f t="shared" si="698"/>
        <v>0</v>
      </c>
      <c r="ML18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8" s="43">
        <f t="shared" si="699"/>
        <v>19.714285714285715</v>
      </c>
      <c r="MN188" s="43">
        <f t="shared" si="700"/>
        <v>5</v>
      </c>
      <c r="MO188" s="43">
        <f t="shared" si="701"/>
        <v>2023</v>
      </c>
      <c r="MP188" s="43" t="str">
        <f t="shared" si="702"/>
        <v>II TRIMESTRE AÑO</v>
      </c>
      <c r="MQ188" s="43">
        <f t="shared" si="703"/>
        <v>26.617936925098551</v>
      </c>
      <c r="MR188" s="43">
        <f t="shared" si="704"/>
        <v>0</v>
      </c>
      <c r="MS188" s="43" t="str">
        <f t="shared" si="705"/>
        <v xml:space="preserve"> DE 25 A 29 AÑOS</v>
      </c>
      <c r="MT188" s="43">
        <f t="shared" si="706"/>
        <v>1</v>
      </c>
      <c r="MU188" s="43">
        <f t="shared" si="707"/>
        <v>1</v>
      </c>
      <c r="MV188" s="43">
        <f t="shared" si="708"/>
        <v>0</v>
      </c>
      <c r="MW188" s="43">
        <f t="shared" si="709"/>
        <v>0</v>
      </c>
      <c r="MX188" s="43" t="str">
        <f t="shared" si="710"/>
        <v/>
      </c>
      <c r="MY188" s="43" t="str">
        <f t="shared" ca="1" si="735"/>
        <v/>
      </c>
      <c r="MZ188" s="43" t="str">
        <f t="shared" si="711"/>
        <v/>
      </c>
      <c r="NA188" s="43" t="str">
        <f t="shared" si="712"/>
        <v/>
      </c>
      <c r="NB188" s="43" t="str">
        <f t="shared" si="713"/>
        <v/>
      </c>
      <c r="NC188" s="43" t="str">
        <f t="shared" si="714"/>
        <v/>
      </c>
      <c r="ND188" s="43">
        <f t="shared" ca="1" si="715"/>
        <v>2</v>
      </c>
      <c r="NE188" s="43">
        <f>IF(OR(O188&gt;0,R188&gt;0),SUM(COUNTIF(Tabla1[[#This Row],[AÑOS AL INICIO5 CPN]],"&gt;=40"),COUNTIF(AS188,"0"),COUNTIF(AR188,"SI"),COUNTIF(CC188,"SI"),COUNTIF(BQ188,"&gt;119"),COUNTIF(CI188,"&gt;=35")),"")</f>
        <v>0</v>
      </c>
      <c r="NF188" s="43" t="str">
        <f t="shared" si="716"/>
        <v/>
      </c>
      <c r="NG188" s="43">
        <f t="shared" si="717"/>
        <v>0</v>
      </c>
      <c r="NH188" s="43">
        <f t="shared" si="718"/>
        <v>193.20000000000002</v>
      </c>
      <c r="NI18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CPN",P188="NO"),"Z",IF(AND(Tabla1[[#This Row],[CITA PROXIMO CONTROL]]="CITA MANUAL",Tabla1[[#This Row],[GESTANTES ACTUALES]]="ACTIVA INGRESO A CPN"),"W",IF(AND(Tabla1[[#This Row],[GESTANTES ACTUALES]]="SALIO PROGRAMA",IN188=""),"S",IF(AND(Tabla1[[#This Row],[CITA PROXIMO CONTROL]]&gt;0,IN188=""),(Tabla1[[#This Row],[CITA PROXIMO CONTROL]]-TODAY()),"SD"))))))))</f>
        <v>#REF!</v>
      </c>
      <c r="NJ188" s="43">
        <f>MONTH(Tabla1[[#This Row],[FECHA DE SALIDA  DEL PROGRAMA]])</f>
        <v>1</v>
      </c>
      <c r="NK188" s="43">
        <f>YEAR(Tabla1[[#This Row],[FECHA DE SALIDA  DEL PROGRAMA]])</f>
        <v>1900</v>
      </c>
      <c r="NL188" s="43" t="str">
        <f t="shared" si="719"/>
        <v>X</v>
      </c>
      <c r="NM188" s="43" t="str">
        <f t="shared" si="693"/>
        <v>NO</v>
      </c>
      <c r="NN188" s="43" t="str">
        <f ca="1">IF(AND(O188&gt;0,R188=""),"NO CPN",IF(AND(O188="",R188=""),"",IF(AND(R188&gt;0,Tabla1[[#This Row],[SEMANAS DE GESTACION ACTUALIZADAS]]&lt;=12),"NO APLICA",IF(AND(FH188&lt;&gt;"",FN188&lt;&gt;""),"SI","NO"))))</f>
        <v>NO</v>
      </c>
      <c r="NO188" s="43" t="str">
        <f ca="1">IF(AND(O188&gt;0,R188=""),"NO CPN",IF(AND(O188="",R188=""),"",IF(AND(R188&gt;0,Tabla1[[#This Row],[SEMANAS DE GESTACION ACTUALIZADAS]]&lt;=27),"NO APLICA",IF(AND(ES188&lt;&gt;"",FQ188&lt;&gt;"",GF188&lt;&gt;""),"SI","NO"))))</f>
        <v>NO</v>
      </c>
      <c r="NP188" s="204" t="str">
        <f t="shared" si="720"/>
        <v>II TRIM</v>
      </c>
      <c r="NQ188" s="21" t="str">
        <f t="shared" si="729"/>
        <v/>
      </c>
      <c r="NR188" s="21" t="str">
        <f t="shared" ca="1" si="736"/>
        <v>REVISAR FUM O FECHA SALIDA PROGRAMA</v>
      </c>
      <c r="NS188" s="205">
        <f t="shared" ca="1" si="721"/>
        <v>1</v>
      </c>
      <c r="NT188" s="21">
        <f t="shared" ca="1" si="722"/>
        <v>1</v>
      </c>
      <c r="NU188" s="21" t="str">
        <f t="shared" ca="1" si="723"/>
        <v>POR DEFINIR</v>
      </c>
      <c r="NV188" s="21" t="str">
        <f t="shared" ca="1" si="724"/>
        <v>POR DEFINIR</v>
      </c>
      <c r="NW188" s="206" t="str">
        <f>IF(AND(O188="",R188=""),"",IF(OR(AND(Tabla1[[#This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8" s="207" t="str">
        <f t="shared" ca="1" si="725"/>
        <v>SIN VACUNAR</v>
      </c>
      <c r="NY188" s="43">
        <f>ROW(Tabla1[[#This Row],['# DE TAMIZAJES SIFILIS TOMADOS ]])</f>
        <v>188</v>
      </c>
      <c r="NZ188" s="43">
        <f t="shared" si="501"/>
        <v>19</v>
      </c>
      <c r="OA188" s="43" t="str">
        <f t="shared" si="502"/>
        <v/>
      </c>
      <c r="OB188" s="43" t="str">
        <f t="shared" si="503"/>
        <v/>
      </c>
      <c r="OC188" s="43" t="str">
        <f t="shared" si="504"/>
        <v/>
      </c>
      <c r="OD188" s="43" t="str">
        <f t="shared" si="505"/>
        <v/>
      </c>
      <c r="OE188" s="43" t="str">
        <f t="shared" si="506"/>
        <v/>
      </c>
      <c r="OF188" s="43" t="str">
        <f t="shared" si="507"/>
        <v/>
      </c>
      <c r="OG188" s="43" t="str">
        <f t="shared" si="508"/>
        <v/>
      </c>
      <c r="OH188" s="43" t="str">
        <f t="shared" si="509"/>
        <v/>
      </c>
      <c r="OI188" s="43" t="str">
        <f t="shared" si="510"/>
        <v/>
      </c>
      <c r="OJ188" s="43" t="str">
        <f t="shared" si="511"/>
        <v/>
      </c>
      <c r="OK188" s="43" t="str">
        <f t="shared" si="512"/>
        <v>NORMAL</v>
      </c>
      <c r="OL188" s="43" t="str">
        <f t="shared" si="513"/>
        <v/>
      </c>
      <c r="OM188" s="43" t="str">
        <f t="shared" si="514"/>
        <v/>
      </c>
      <c r="ON188" s="43" t="str">
        <f t="shared" si="515"/>
        <v/>
      </c>
      <c r="OO188" s="43" t="str">
        <f t="shared" si="516"/>
        <v/>
      </c>
      <c r="OP188" s="43" t="str">
        <f t="shared" si="517"/>
        <v/>
      </c>
      <c r="OQ188" s="43" t="str">
        <f t="shared" si="518"/>
        <v/>
      </c>
      <c r="OR188" s="43" t="str">
        <f t="shared" si="519"/>
        <v/>
      </c>
      <c r="OS188" s="43" t="str">
        <f t="shared" si="520"/>
        <v/>
      </c>
      <c r="OT188" s="43" t="str">
        <f t="shared" si="521"/>
        <v/>
      </c>
      <c r="OU188" s="43" t="str">
        <f t="shared" si="522"/>
        <v/>
      </c>
      <c r="OV188" s="110" t="str">
        <f t="shared" si="523"/>
        <v/>
      </c>
      <c r="OW188" s="43" t="str">
        <f t="shared" si="524"/>
        <v/>
      </c>
      <c r="OX188" s="43" t="str">
        <f t="shared" si="525"/>
        <v/>
      </c>
      <c r="OY188" s="43" t="str">
        <f t="shared" si="526"/>
        <v/>
      </c>
      <c r="OZ188" s="43" t="str">
        <f t="shared" si="527"/>
        <v/>
      </c>
      <c r="PA188" s="43" t="str">
        <f t="shared" si="528"/>
        <v/>
      </c>
      <c r="PB188" s="43" t="str">
        <f t="shared" si="529"/>
        <v/>
      </c>
      <c r="PC188" s="43" t="str">
        <f t="shared" si="530"/>
        <v/>
      </c>
      <c r="PD188" s="43" t="str">
        <f t="shared" si="531"/>
        <v/>
      </c>
      <c r="PE188" s="43" t="str">
        <f t="shared" si="532"/>
        <v/>
      </c>
      <c r="PF188" s="43" t="str">
        <f t="shared" si="533"/>
        <v/>
      </c>
      <c r="PG188" s="43" t="str">
        <f t="shared" si="534"/>
        <v/>
      </c>
      <c r="PH188" s="43" t="str">
        <f t="shared" si="535"/>
        <v/>
      </c>
      <c r="PI188" s="43">
        <f t="shared" si="536"/>
        <v>33</v>
      </c>
      <c r="PJ188" s="43" t="str">
        <f t="shared" si="537"/>
        <v/>
      </c>
      <c r="PK188" s="43" t="str">
        <f t="shared" si="538"/>
        <v/>
      </c>
      <c r="PL188" s="43" t="str">
        <f t="shared" si="539"/>
        <v/>
      </c>
      <c r="PM188" s="43" t="str">
        <f t="shared" si="540"/>
        <v/>
      </c>
      <c r="PN188" s="43" t="str">
        <f t="shared" si="541"/>
        <v/>
      </c>
      <c r="PO188" s="43" t="str">
        <f t="shared" si="542"/>
        <v/>
      </c>
      <c r="PP188" s="43" t="str">
        <f t="shared" si="543"/>
        <v/>
      </c>
      <c r="PQ188" s="43" t="str">
        <f t="shared" si="544"/>
        <v/>
      </c>
      <c r="PR188" s="43" t="str">
        <f t="shared" si="545"/>
        <v/>
      </c>
      <c r="PS188" s="43" t="str">
        <f t="shared" si="546"/>
        <v/>
      </c>
      <c r="PT188" s="43" t="str">
        <f t="shared" si="547"/>
        <v/>
      </c>
      <c r="PU188" s="43" t="str">
        <f t="shared" si="548"/>
        <v/>
      </c>
      <c r="PV188" s="43" t="str">
        <f t="shared" si="549"/>
        <v/>
      </c>
      <c r="PW188" s="43" t="str">
        <f t="shared" si="550"/>
        <v/>
      </c>
      <c r="PX188" s="43" t="str">
        <f t="shared" si="551"/>
        <v/>
      </c>
      <c r="PY188" s="43" t="str">
        <f t="shared" si="552"/>
        <v/>
      </c>
      <c r="PZ188" s="43" t="str">
        <f t="shared" si="553"/>
        <v/>
      </c>
      <c r="QA188" s="43" t="str">
        <f t="shared" si="554"/>
        <v/>
      </c>
      <c r="QB188" s="43" t="str">
        <f t="shared" si="555"/>
        <v/>
      </c>
      <c r="QC188" s="43" t="str">
        <f t="shared" si="556"/>
        <v/>
      </c>
      <c r="QD188" s="43" t="str">
        <f t="shared" si="557"/>
        <v/>
      </c>
      <c r="QE188" s="43" t="str">
        <f t="shared" si="558"/>
        <v/>
      </c>
      <c r="QF188" s="43" t="str">
        <f t="shared" si="559"/>
        <v/>
      </c>
      <c r="QG188" s="43" t="str">
        <f t="shared" si="560"/>
        <v/>
      </c>
      <c r="QH188" s="43" t="str">
        <f t="shared" si="561"/>
        <v>NORMAL</v>
      </c>
      <c r="QI188" s="43" t="str">
        <f t="shared" si="562"/>
        <v/>
      </c>
      <c r="QJ188" s="43" t="str">
        <f t="shared" si="563"/>
        <v/>
      </c>
      <c r="QK188" s="43" t="str">
        <f t="shared" si="564"/>
        <v/>
      </c>
      <c r="QL188" s="43" t="str">
        <f t="shared" si="565"/>
        <v/>
      </c>
      <c r="QM188" s="43" t="str">
        <f t="shared" si="566"/>
        <v/>
      </c>
      <c r="QN188" s="43" t="str">
        <f t="shared" si="567"/>
        <v/>
      </c>
      <c r="QO188" s="43" t="str">
        <f t="shared" si="568"/>
        <v/>
      </c>
      <c r="QP188" s="43" t="str">
        <f t="shared" si="569"/>
        <v/>
      </c>
      <c r="QQ188" s="43" t="str">
        <f t="shared" si="570"/>
        <v/>
      </c>
      <c r="QR188" s="43">
        <f t="shared" si="670"/>
        <v>33</v>
      </c>
      <c r="QS188" s="43"/>
      <c r="QT188" s="21" t="str">
        <f t="shared" si="571"/>
        <v/>
      </c>
      <c r="QU188" s="21" t="str">
        <f t="shared" si="572"/>
        <v/>
      </c>
      <c r="QV188" s="21" t="str">
        <f t="shared" si="573"/>
        <v/>
      </c>
      <c r="QW188" s="21" t="str">
        <f t="shared" si="574"/>
        <v/>
      </c>
      <c r="QX188" s="21" t="str">
        <f t="shared" si="575"/>
        <v/>
      </c>
      <c r="QY188" s="21" t="str">
        <f t="shared" si="576"/>
        <v/>
      </c>
      <c r="QZ188" s="21" t="str">
        <f t="shared" si="577"/>
        <v/>
      </c>
      <c r="RA188" s="21" t="str">
        <f t="shared" si="578"/>
        <v/>
      </c>
      <c r="RB188" s="21" t="str">
        <f t="shared" si="579"/>
        <v/>
      </c>
      <c r="RC188" s="21" t="str">
        <f t="shared" si="580"/>
        <v/>
      </c>
      <c r="RD188" s="21" t="str">
        <f t="shared" si="581"/>
        <v/>
      </c>
      <c r="RE188" s="21" t="str">
        <f t="shared" si="582"/>
        <v/>
      </c>
      <c r="RF188" s="21" t="str">
        <f t="shared" si="583"/>
        <v/>
      </c>
      <c r="RG188" s="21" t="str">
        <f t="shared" si="584"/>
        <v/>
      </c>
      <c r="RH188" s="21" t="str">
        <f t="shared" si="585"/>
        <v/>
      </c>
      <c r="RI188" s="21" t="str">
        <f t="shared" si="586"/>
        <v/>
      </c>
      <c r="RJ188" s="21" t="str">
        <f t="shared" si="587"/>
        <v/>
      </c>
      <c r="RK188" s="21" t="str">
        <f t="shared" si="588"/>
        <v/>
      </c>
      <c r="RL188" s="21" t="str">
        <f t="shared" si="589"/>
        <v/>
      </c>
      <c r="RM188" s="21" t="str">
        <f t="shared" si="590"/>
        <v/>
      </c>
      <c r="RN188" s="21" t="str">
        <f t="shared" si="591"/>
        <v>ADECUADO PARA EDAD GESTACIONAL</v>
      </c>
      <c r="RO188" s="21" t="str">
        <f t="shared" si="592"/>
        <v/>
      </c>
      <c r="RP188" s="21" t="str">
        <f t="shared" si="593"/>
        <v/>
      </c>
      <c r="RQ188" s="21" t="str">
        <f t="shared" si="594"/>
        <v/>
      </c>
      <c r="RR188" s="21" t="str">
        <f t="shared" si="595"/>
        <v/>
      </c>
      <c r="RS188" s="21" t="str">
        <f t="shared" si="596"/>
        <v/>
      </c>
      <c r="RT188" s="21" t="str">
        <f t="shared" si="597"/>
        <v/>
      </c>
      <c r="RU188" s="21" t="str">
        <f t="shared" si="598"/>
        <v/>
      </c>
      <c r="RV188" s="21">
        <f t="shared" si="599"/>
        <v>-1</v>
      </c>
      <c r="RW188" s="284">
        <f>IF(OR(Tabla1[[#This Row],[FUM FORMULA CONFIABLE]]="",Tabla1[[#This Row],[FUM FORMULA CONFIABLE]]="SD"),"",IF(Tabla1[[#This Row],[FUM FORMULA CONFIABLE]]="CORREGIDA",Tabla1[[#This Row],[FUM X ECO 1]],Tabla1[[#This Row],[FUM x AMENORREA]]))</f>
        <v>44913</v>
      </c>
      <c r="RX188" s="21">
        <f>IF(AND(Tabla1[[#This Row],[FUM X ECO 1]]="",Tabla1[[#This Row],[FUM x AMENORREA]]=""),"",IF(AND(Tabla1[[#This Row],[FUM X ECO 1]]="",Tabla1[[#This Row],[FUM x AMENORREA]]&lt;&gt;""),"X",SUM(Tabla1[[#This Row],[FUM X ECO 1]]-Tabla1[[#This Row],[FUM x AMENORREA]])))</f>
        <v>14.80000000000291</v>
      </c>
      <c r="RY188" s="21">
        <f t="shared" si="671"/>
        <v>1</v>
      </c>
    </row>
    <row r="189" spans="1:493" ht="45" customHeight="1" x14ac:dyDescent="0.25">
      <c r="A189" s="109"/>
      <c r="B189" s="43"/>
      <c r="C189" s="43" t="s">
        <v>845</v>
      </c>
      <c r="D189" s="124"/>
      <c r="E189" s="43" t="s">
        <v>914</v>
      </c>
      <c r="F189" s="43" t="s">
        <v>1470</v>
      </c>
      <c r="G189" s="43" t="s">
        <v>1167</v>
      </c>
      <c r="H189" s="43" t="s">
        <v>1043</v>
      </c>
      <c r="I189" s="109" t="s">
        <v>851</v>
      </c>
      <c r="J189" s="110">
        <v>1193105051</v>
      </c>
      <c r="K189" s="43" t="s">
        <v>852</v>
      </c>
      <c r="L189" s="175" t="s">
        <v>1509</v>
      </c>
      <c r="M189" s="22">
        <v>37320</v>
      </c>
      <c r="N189" s="213">
        <f t="shared" ca="1" si="600"/>
        <v>21.67945205479452</v>
      </c>
      <c r="O189" s="22">
        <v>45020</v>
      </c>
      <c r="P189" s="214" t="str">
        <f t="shared" si="673"/>
        <v>SI</v>
      </c>
      <c r="Q189" s="26" t="s">
        <v>855</v>
      </c>
      <c r="R189" s="22">
        <v>45020</v>
      </c>
      <c r="S189" s="21" t="s">
        <v>856</v>
      </c>
      <c r="T189" s="24" t="s">
        <v>690</v>
      </c>
      <c r="U189" s="21" t="s">
        <v>857</v>
      </c>
      <c r="V189" s="21" t="s">
        <v>858</v>
      </c>
      <c r="W189" s="21" t="s">
        <v>1191</v>
      </c>
      <c r="X189" s="21"/>
      <c r="Y189" s="21"/>
      <c r="Z189" s="21">
        <v>3157229915</v>
      </c>
      <c r="AA189" s="21" t="s">
        <v>860</v>
      </c>
      <c r="AB189" s="27" t="s">
        <v>861</v>
      </c>
      <c r="AC189" s="26" t="s">
        <v>877</v>
      </c>
      <c r="AD189" s="38" t="s">
        <v>1546</v>
      </c>
      <c r="AE189" s="26" t="s">
        <v>854</v>
      </c>
      <c r="AF189" s="26" t="s">
        <v>854</v>
      </c>
      <c r="AG189" s="23" t="s">
        <v>864</v>
      </c>
      <c r="AH189" s="23" t="s">
        <v>864</v>
      </c>
      <c r="AI189" s="24" t="s">
        <v>863</v>
      </c>
      <c r="AJ189" s="23" t="s">
        <v>864</v>
      </c>
      <c r="AK189" s="220" t="str">
        <f>IF(AND(AD189="",AE189="",AF189="",AG189="",AH189="",AI189="",AJ189=""),"",IF(OR(Tabla1[[#This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EVALUACIÓN",IF(AND(O189="",R189=""),"",IF(AND(OR(O189&gt;0,R189&gt;0),NG189&gt;=0,NG189&lt;2),"SIN RIESGO",IF(AND(OR(O189&gt;0,R189&gt;0),NG189&gt;=2),"CON RIESGO","ASD")))))</f>
        <v>SIN RIESGO</v>
      </c>
      <c r="AL189" s="23" t="s">
        <v>864</v>
      </c>
      <c r="AM189" s="26" t="s">
        <v>864</v>
      </c>
      <c r="AN189" s="26" t="s">
        <v>864</v>
      </c>
      <c r="AO189" s="26" t="s">
        <v>864</v>
      </c>
      <c r="AP189" s="26" t="s">
        <v>864</v>
      </c>
      <c r="AQ189" s="26" t="s">
        <v>864</v>
      </c>
      <c r="AR189" s="26" t="s">
        <v>864</v>
      </c>
      <c r="AS189" s="21">
        <v>0</v>
      </c>
      <c r="AT189" s="21">
        <v>0</v>
      </c>
      <c r="AU189" s="21">
        <v>0</v>
      </c>
      <c r="AV189" s="26" t="s">
        <v>864</v>
      </c>
      <c r="AW189" s="21">
        <v>0</v>
      </c>
      <c r="AX189" s="26" t="s">
        <v>864</v>
      </c>
      <c r="AY189" s="26" t="s">
        <v>864</v>
      </c>
      <c r="AZ189" s="26" t="s">
        <v>864</v>
      </c>
      <c r="BA189" s="26" t="s">
        <v>864</v>
      </c>
      <c r="BB189" s="26" t="s">
        <v>864</v>
      </c>
      <c r="BC189" s="26" t="s">
        <v>864</v>
      </c>
      <c r="BD189" s="26" t="s">
        <v>864</v>
      </c>
      <c r="BE189" s="26" t="s">
        <v>864</v>
      </c>
      <c r="BF189" s="26" t="s">
        <v>864</v>
      </c>
      <c r="BG189" s="26" t="s">
        <v>864</v>
      </c>
      <c r="BH189" s="26" t="s">
        <v>864</v>
      </c>
      <c r="BI189" s="26" t="s">
        <v>864</v>
      </c>
      <c r="BJ189" s="26" t="s">
        <v>864</v>
      </c>
      <c r="BK189" s="26" t="s">
        <v>864</v>
      </c>
      <c r="BL189" s="26" t="s">
        <v>864</v>
      </c>
      <c r="BM189" s="26" t="s">
        <v>864</v>
      </c>
      <c r="BN189" s="22"/>
      <c r="BO189" s="22">
        <v>44953</v>
      </c>
      <c r="BP189" s="21" t="s">
        <v>854</v>
      </c>
      <c r="BQ189" s="222">
        <f t="shared" si="601"/>
        <v>0</v>
      </c>
      <c r="BR189" s="223">
        <f t="shared" si="602"/>
        <v>44950.2</v>
      </c>
      <c r="BS189" s="224">
        <f t="shared" si="603"/>
        <v>9.5714285714285712</v>
      </c>
      <c r="BT189" s="216" t="str">
        <f t="shared" si="604"/>
        <v>I TRIM</v>
      </c>
      <c r="BU189" s="214">
        <f t="shared" ca="1" si="605"/>
        <v>40</v>
      </c>
      <c r="BV189" s="25" t="s">
        <v>988</v>
      </c>
      <c r="BW189" s="22">
        <v>45051</v>
      </c>
      <c r="BX189" s="28">
        <v>14.4</v>
      </c>
      <c r="BY189" s="28"/>
      <c r="BZ189" s="22"/>
      <c r="CA189" s="21"/>
      <c r="CB189" s="26" t="s">
        <v>864</v>
      </c>
      <c r="CC189" s="26" t="s">
        <v>864</v>
      </c>
      <c r="CD189" s="26"/>
      <c r="CE189" s="26" t="s">
        <v>864</v>
      </c>
      <c r="CF189" s="22" t="s">
        <v>1517</v>
      </c>
      <c r="CG189" s="21">
        <v>1.54</v>
      </c>
      <c r="CH189" s="21">
        <v>51.5</v>
      </c>
      <c r="CI189" s="214">
        <f t="shared" si="606"/>
        <v>21.715297689323663</v>
      </c>
      <c r="CJ189" s="225" t="str">
        <f>IF(AND(CI189&lt;10,CH189="SD"),"SIN DATO PESO PREGESTACION O I TRIM",IF(AND(OR(R189&gt;0,O189&gt;0),CI189="X"),"INGRESAR DATO DE PESO",IF(CI189="SD","INGRESAR DATO DE TALLA Y PESO",IF(AND(OR(Tabla1[[#This Row],[MOMENTO EN QUE SE REALIZA EL PESO AL INGRESO A CPN]]="PREGESTACIÓN",NZ189="Menor"),CI189&lt;18.5),"BAJO PESO",IF(AND(OR(Tabla1[[#This Row],[MOMENTO EN QUE SE REALIZA EL PESO AL INGRESO A CPN]]="PREGESTACIÓN",NZ189="Menor"),CI189&lt;25),"NORMAL",IF(AND(OR(Tabla1[[#This Row],[MOMENTO EN QUE SE REALIZA EL PESO AL INGRESO A CPN]]="PREGESTACIÓN",NZ189="Menor"),CI189&lt;30),"SOBREPESO",IF(AND(OR(Tabla1[[#This Row],[MOMENTO EN QUE SE REALIZA EL PESO AL INGRESO A CPN]]="PREGESTACIÓN",NZ189="Menor"),CI189&gt;=30,CI189&lt;50),"OBESIDAD",IF(AND(BS189&gt;0,Tabla1[[#This Row],[MOMENTO EN QUE SE REALIZA EL PESO AL INGRESO A CPN]]="GESTACIÓN"),HLOOKUP(NZ189,$OA$2:PH189,NY189),""))))))))</f>
        <v>NORMAL</v>
      </c>
      <c r="CK189" s="212">
        <f t="shared" si="607"/>
        <v>45157</v>
      </c>
      <c r="CL189" s="21">
        <v>56.2</v>
      </c>
      <c r="CM189" s="214">
        <f t="shared" si="608"/>
        <v>23.697082138640582</v>
      </c>
      <c r="CN189" s="216">
        <f t="shared" si="609"/>
        <v>29</v>
      </c>
      <c r="CO189" s="216" t="e">
        <f>IF(PI189="","",IF(PI189&gt;0,HLOOKUP(PI189,$PJ$2:QQ189,NY189),""))</f>
        <v>#REF!</v>
      </c>
      <c r="CP189" s="21">
        <v>29</v>
      </c>
      <c r="CQ189" s="216" t="e">
        <f>IF(QR189="Menor","NO APLICA-MENOR 13 SEM",IF(AND(CC189="SI",CN189&gt;23),"NO APLICA- GEMELAR",IF(QR189="","",IF(QR189&gt;0,HLOOKUP(QR189,$QS$2:RU189,NY189),""))))</f>
        <v>#REF!</v>
      </c>
      <c r="CR189" s="21">
        <v>90</v>
      </c>
      <c r="CS189" s="21">
        <v>60</v>
      </c>
      <c r="CT189" s="217" t="str">
        <f>IF(R189="","",IF(AND(BS189&gt;1,BS189&lt;12,Tabla1[[#This Row],[T.A. SISTOLICA - ANTES DE SEMANA 12]]="",Tabla1[[#This Row],[T.A. DIASTOLICA - ANTES DE SEMANA 12]]=""),"REGISTRE DATO TA ANTES SEMANA 12",IF(AND(BS189&gt;11,BS189&lt;43,Tabla1[[#This Row],[T.A. SISTOLICA - ANTES DE SEMANA 12]]="",Tabla1[[#This Row],[T.A. DIASTOLICA - ANTES DE SEMANA 12]]=""),"NO APLICA REGISTRO TA-INGRESO TARDIO",IF(AND(OR(O189&gt;0,R189&gt;0),OR(CR189&gt;=140,CS189&gt;=90)),"DEFINIR ESTADIO HTA",IF(AND(OR(O189&gt;0,R189&gt;0),AND(CR189&gt;120,CR189&lt;=139)),"PRE HTA SEGUIMIENTO",IF(AND(OR(O189&gt;0,R189&gt;0),AND(CS189&gt;80,CS189&lt;=89)),"PRE HTA SEGUIMIENTO",IF(AND(OR(O189&gt;0,R189&gt;0),AND(CR189&gt;=80,CR189&lt;=120)),"APARENTEMENTE NORMAL",IF(AND(OR(O189&gt;0,R189&gt;0),AND(CS189&gt;=50,CS189&lt;=80)),"APARENTEMENTE NORMAL",IF(AND(OR(O189&gt;0,R189&gt;0),AND(CR189&gt;1,CR189&lt;=70),AND(CS189&gt;1,CS189&lt;=40)),"HIPOTENSIÓN","")))))))))</f>
        <v>APARENTEMENTE NORMAL</v>
      </c>
      <c r="CU189" s="21">
        <v>90</v>
      </c>
      <c r="CV189" s="21">
        <v>60</v>
      </c>
      <c r="CW189" s="217" t="str">
        <f ca="1">IF(R189="","",IF(AND(CN189&gt;19,CN189&lt;27,Tabla1[[#This Row],[T.A. SISTOLICA (Entre semana 20 y 26)]]="",Tabla1[[#This Row],[T.A. DIATOLICA (Entre semana 20 y 26)]]=""),"ACUDE A CONTROL SEM 20 A 26 REGISTRE TA AHORA",IF(AND(BS189&gt;1,BS189&lt;27,BU189&gt;19,Tabla1[[#This Row],[T.A. SISTOLICA (Entre semana 20 y 26)]]="",Tabla1[[#This Row],[T.A. DIATOLICA (Entre semana 20 y 26)]]=""),"COMPLETE REGISTRO TA CONTROL SEM 20 A26 ",IF(AND(BS189&gt;26,BS189&lt;43,Tabla1[[#This Row],[T.A. SISTOLICA (Entre semana 20 y 26)]]="",Tabla1[[#This Row],[T.A. DIATOLICA (Entre semana 20 y 26)]]=""),"NO APLICA REGISTRO TA-INGRESO TARDIO",IF(AND(OR(O189&gt;0,R189&gt;0),OR(CU189&gt;=140,CV189&gt;=90)),"ALTO RIESGO PREECLAMPSIA,DEFINIR ESTADIO HTA",IF(AND(OR(O189&gt;0,R189&gt;0),AND(CU189&gt;120,CU189&lt;=139)),"PRE HTA SEGUIMIENTO,RIESGO HIPERTENSION INDUCIDA POR EL EMBARAZO",IF(AND(OR(O189&gt;0,R189&gt;0),AND(CV189&gt;80,CV189&lt;=89)),"PRE HTA SEGUIMIENTO, RIESGO HIPERTENSION INDUCIDA POR EL EMBARAZO",IF(AND(OR(O189&lt;&gt;"",R189&lt;&gt;""),CS189&lt;&gt;"",CV189&lt;&gt;"",CS189&lt;=CV189),"VIGILAR CIFRAS PRESION ARTERIAL",IF(AND(OR(O189&gt;0,R189&gt;0),AND(CU189&gt;120,CU189&lt;=139)),"PRE HTA SEGUIMIENTO",IF(AND(OR(O189&gt;0,R189&gt;0),AND(CU189&gt;1,CU189&lt;=70),AND(CV189&gt;1,CV189&lt;=40)),"HIPOTENSIÓN",IF(AND(OR(O189&lt;&gt;"",R189&lt;&gt;""),CS189&lt;&gt;"",CV189&lt;&gt;"",CS189&gt;CV189),"APARENTEMENTE NORMAL",IF(AND(OR(O189&gt;0,R189&gt;0),AND(CU189&gt;=80,CU189&lt;=120)),"APARENTEMENTE NORMAL",IF(AND(OR(O189&gt;0,R189&gt;0),AND(CV189&gt;=50,CV189&lt;=80)),"APARENTEMENTE NORMAL","")))))))))))))</f>
        <v>VIGILAR CIFRAS PRESION ARTERIAL</v>
      </c>
      <c r="CX189" s="21"/>
      <c r="CY189" s="21"/>
      <c r="CZ189" s="216" t="str">
        <f t="shared" si="727"/>
        <v/>
      </c>
      <c r="DA189" s="21">
        <v>90</v>
      </c>
      <c r="DB189" s="21">
        <v>60</v>
      </c>
      <c r="DC189" s="217" t="str">
        <f t="shared" si="610"/>
        <v>APARENTEMENTE NORMAL</v>
      </c>
      <c r="DD189" s="22">
        <v>45020</v>
      </c>
      <c r="DE189" s="22">
        <v>45020</v>
      </c>
      <c r="DF189" s="22">
        <v>45051</v>
      </c>
      <c r="DG189" s="22">
        <v>45086</v>
      </c>
      <c r="DH189" s="22">
        <v>45125</v>
      </c>
      <c r="DI189" s="22">
        <v>45157</v>
      </c>
      <c r="DJ189" s="22"/>
      <c r="DK189" s="22"/>
      <c r="DL189" s="22"/>
      <c r="DM189" s="22"/>
      <c r="DN189" s="22"/>
      <c r="DO189" s="22"/>
      <c r="DP189" s="22"/>
      <c r="DQ189" s="22"/>
      <c r="DR189" s="28">
        <v>0</v>
      </c>
      <c r="DS189" s="22"/>
      <c r="DT189" s="22"/>
      <c r="DU189" s="216" t="str">
        <f t="shared" ca="1" si="674"/>
        <v>CONCERTAR PLAN DE PARTO INMEDIATO</v>
      </c>
      <c r="DV189" s="226" t="str">
        <f t="shared" si="675"/>
        <v>ACTIVA INGRESO A CPN</v>
      </c>
      <c r="DW18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89" s="216" t="e">
        <f t="shared" ca="1" si="611"/>
        <v>#REF!</v>
      </c>
      <c r="DY189" s="212">
        <f>IF(R189="","",IF(R189&gt;0,MAX(Tabla1[[#This Row],[FECHA C2]:[FECHA C13]],Tabla1[[#This Row],[FECHA CONSULTA PRIMERA VEZ PROGRAMA CPN ]])))</f>
        <v>45157</v>
      </c>
      <c r="DZ189" s="216">
        <f t="shared" si="612"/>
        <v>29</v>
      </c>
      <c r="EA189" s="222">
        <f>IF(R189&gt;0,SUM(COUNTA(DF189:DQ189)+COUNTA(Tabla1[[#This Row],[FECHA CONSULTA PRIMERA VEZ PROGRAMA CPN ]])),"")</f>
        <v>5</v>
      </c>
      <c r="EB189" s="222" t="str">
        <f t="shared" si="613"/>
        <v>SI</v>
      </c>
      <c r="EC189" s="214">
        <f t="shared" si="614"/>
        <v>9</v>
      </c>
      <c r="ED189" s="227">
        <f t="shared" si="615"/>
        <v>0.55555555555555558</v>
      </c>
      <c r="EE189" s="22">
        <v>45020</v>
      </c>
      <c r="EF189" s="22">
        <v>45044</v>
      </c>
      <c r="EG189" s="22">
        <v>45020</v>
      </c>
      <c r="EH189" s="22"/>
      <c r="EI189" s="22">
        <v>45020</v>
      </c>
      <c r="EJ189" s="22">
        <v>45154</v>
      </c>
      <c r="EK189" s="22"/>
      <c r="EL189" s="21"/>
      <c r="EM189" s="21">
        <v>12.4</v>
      </c>
      <c r="EN189" s="22">
        <v>45020</v>
      </c>
      <c r="EO189" s="222">
        <f t="shared" si="616"/>
        <v>9.5714285714285712</v>
      </c>
      <c r="EP189" s="214" t="str">
        <f t="shared" si="617"/>
        <v>NORMAL- SUMINISTRAR SULFATO FERROSO</v>
      </c>
      <c r="EQ189" s="216" t="str">
        <f t="shared" si="618"/>
        <v>I TRIM</v>
      </c>
      <c r="ER189" s="24">
        <v>11.4</v>
      </c>
      <c r="ES189" s="22">
        <v>45128</v>
      </c>
      <c r="ET189" s="29">
        <f t="shared" ca="1" si="676"/>
        <v>25</v>
      </c>
      <c r="EU189" s="25" t="str">
        <f t="shared" si="619"/>
        <v>NORMAL- SUMINISTRAR SULFATO FERROSO</v>
      </c>
      <c r="EV189" s="24" t="s">
        <v>1510</v>
      </c>
      <c r="EW189" s="32">
        <v>45128</v>
      </c>
      <c r="EX189" s="22"/>
      <c r="EY189" s="29">
        <f t="shared" si="691"/>
        <v>25</v>
      </c>
      <c r="EZ189" s="25" t="str">
        <f t="shared" si="692"/>
        <v>SIN RIESGO DE ISOINMUNIZACIÓN</v>
      </c>
      <c r="FA189" s="21">
        <v>75</v>
      </c>
      <c r="FB189" s="22">
        <v>45020</v>
      </c>
      <c r="FC189" s="29">
        <f t="shared" si="620"/>
        <v>9.5714285714285712</v>
      </c>
      <c r="FD189" s="29">
        <v>85</v>
      </c>
      <c r="FE189" s="29">
        <v>102</v>
      </c>
      <c r="FF189" s="29">
        <v>109</v>
      </c>
      <c r="FG189" s="21" t="str">
        <f t="shared" ca="1" si="621"/>
        <v>NORMAL</v>
      </c>
      <c r="FH189" s="31">
        <v>45128</v>
      </c>
      <c r="FI189" s="29">
        <f t="shared" si="622"/>
        <v>25</v>
      </c>
      <c r="FJ189" s="22" t="s">
        <v>867</v>
      </c>
      <c r="FK189" s="22">
        <v>45020</v>
      </c>
      <c r="FL189" s="29">
        <f t="shared" ca="1" si="623"/>
        <v>9.5714285714285712</v>
      </c>
      <c r="FM189" s="22" t="s">
        <v>867</v>
      </c>
      <c r="FN189" s="22">
        <v>45128</v>
      </c>
      <c r="FO189" s="29">
        <f t="shared" ca="1" si="677"/>
        <v>25</v>
      </c>
      <c r="FP189" s="22"/>
      <c r="FQ189" s="32"/>
      <c r="FR189" s="29" t="str">
        <f t="shared" ca="1" si="678"/>
        <v>TOMA INMEDIATA DE TAMIZAJE</v>
      </c>
      <c r="FS189" s="22"/>
      <c r="FT189" s="32"/>
      <c r="FU189" s="29" t="str">
        <f>IF(AND(FJ189="",FM189="",FP189="",FS189=""),"",IF(OR(OR(Tabla1[[#This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89" s="28"/>
      <c r="FW189" s="22"/>
      <c r="FX189" s="29" t="str">
        <f t="shared" si="624"/>
        <v>TOMAR EXAMEN</v>
      </c>
      <c r="FY189" s="22" t="s">
        <v>868</v>
      </c>
      <c r="FZ189" s="22">
        <v>45020</v>
      </c>
      <c r="GA189" s="29">
        <f t="shared" ref="GA189:GA210" ca="1" si="737">IF(AND(BT189="ERROR FUM O INGRESO",FZ189&gt;0),"ERROR FUM O INGRESO",IF(AND(FZ189="",R189="",O189=""),"",IF(OR(AND(FZ189&lt;&gt;"",FZ189&lt;RW189),AND(FZ189&lt;&gt;"",AND(SUM((FZ189-RW189)/7)&gt;=13,SUM((FZ189-RW189)/7)&lt;27))),"REGISTRAR EN II TRIMESTRE",IF(OR(AND(FZ189&lt;&gt;"",FZ189&lt;RW189),AND(FZ189&lt;&gt;"",AND(SUM((FZ189-RW189)/7)&gt;=27,SUM((FZ189-RW189)/7)&lt;44))),"REGISTRAR EN III TRIMESTRE",IF(AND(FZ189="",OR(O189&gt;0,R189&gt;0),AND(BU189&gt;1,BU189&lt;10)),"EN RANGO PARA TOMAR EXAMEN",IF(AND(FZ189="",OR(O189&gt;0,R189&gt;0),AND(BU189&gt;=10,BU189&lt;12)),"TOMA INMEDIATA DE TAMIZAJE",IF(AND(FZ189="",BS189&lt;12,OR(O189&gt;0,R189&gt;0)),"PIERDE TOMA DE TAMIZAJE",IF(AND(FZ189="",OR(O189&gt;0,R189&gt;0),AND(BS189&gt;=13,BS189&lt;44)),"NO APLICA-INGRESO TARDIO",IF(FZ189&gt;0,SUM(FZ189-RW189)/7,"")))))))))</f>
        <v>9.5714285714285712</v>
      </c>
      <c r="GB189" s="22" t="s">
        <v>868</v>
      </c>
      <c r="GC189" s="22">
        <v>45128</v>
      </c>
      <c r="GD189" s="29">
        <f t="shared" ca="1" si="730"/>
        <v>25</v>
      </c>
      <c r="GE189" s="22"/>
      <c r="GF189" s="22"/>
      <c r="GG189" s="29" t="str">
        <f t="shared" ca="1" si="680"/>
        <v>TOMA INMEDIATA DE TAMIZAJE</v>
      </c>
      <c r="GH189" s="22"/>
      <c r="GI189" s="29"/>
      <c r="GJ189" s="22"/>
      <c r="GK189" s="22"/>
      <c r="GL189" s="22"/>
      <c r="GM189" s="22"/>
      <c r="GN189" s="28" t="s">
        <v>869</v>
      </c>
      <c r="GO189" s="22">
        <v>45020</v>
      </c>
      <c r="GP189" s="29">
        <f t="shared" si="625"/>
        <v>9.5714285714285712</v>
      </c>
      <c r="GQ189" s="28" t="s">
        <v>869</v>
      </c>
      <c r="GR189" s="28" t="s">
        <v>869</v>
      </c>
      <c r="GS189" s="22" t="str">
        <f t="shared" si="726"/>
        <v>CONTROL Igm</v>
      </c>
      <c r="GT189" s="22">
        <v>45020</v>
      </c>
      <c r="GU189" s="29">
        <f t="shared" si="627"/>
        <v>9.5714285714285712</v>
      </c>
      <c r="GV189" s="21" t="str">
        <f t="shared" si="628"/>
        <v>I TRIM</v>
      </c>
      <c r="GW189" s="28"/>
      <c r="GX189" s="30"/>
      <c r="GY189" s="21"/>
      <c r="GZ189" s="21"/>
      <c r="HA189" s="21"/>
      <c r="HB189" s="21"/>
      <c r="HC189" s="21"/>
      <c r="HD189" s="21"/>
      <c r="HE189" s="21"/>
      <c r="HF189" s="22"/>
      <c r="HG189" s="22" t="str">
        <f>IF(OR(O189&gt;0,R189&gt;0),CONCATENATE(IF(Tabla1[[#This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89" s="22" t="e">
        <f t="shared" si="629"/>
        <v>#REF!</v>
      </c>
      <c r="HI189" s="22" t="e">
        <f t="shared" ca="1" si="630"/>
        <v>#REF!</v>
      </c>
      <c r="HJ189" s="21"/>
      <c r="HK189" s="21" t="str">
        <f t="shared" si="631"/>
        <v>SIN ANTECEDENTES DE RIESGO</v>
      </c>
      <c r="HL189" s="24" t="str">
        <f t="shared" si="632"/>
        <v>APARENTEMENTE NORMAL</v>
      </c>
      <c r="HM189" s="21" t="e">
        <f t="shared" ca="1" si="633"/>
        <v>#REF!</v>
      </c>
      <c r="HN189" s="30" t="str">
        <f t="shared" si="681"/>
        <v>ACTIVA INGRESO A CPN</v>
      </c>
      <c r="HO189" s="21"/>
      <c r="HP189" s="21"/>
      <c r="HQ189" s="349"/>
      <c r="HR189" s="21" t="str">
        <f>IF(R189="","",IF(Tabla1[[#This Row],[ALARMA FACTORES DE RIESGO COMPLICACIONES HIPERTENSIVAS3]]="SIN ANTECEDENTES DE RIESGO","No Aplica para suministro de ASA",IF(AND(Tabla1[[#This Row],[FECHA INICIO DE SUMINISTRO DE ASA]]&gt;0,RV189&lt;12),"Inicia ASA ANTES de Sem 12",IF(AND(RV189&gt;11,RV189&lt;17,OR(HK189="RIESGO ALTO DE COMPLICACIONES HIPERTENSIVAS VER MANEJO GUIA SUMINISTRO ASA Y CALCIO",HK189="RIESGO MODERADO (2 O MAS CRITERIOS) VER MANEJO GUIA SUMINISTRO ASA Y CALCIO")),"Inicio oportuno de ASA",IF(AND(RV189&gt;12,OR(HK189="RIESGO ALTO DE COMPLICACIONES HIPERTENSIVAS VER MANEJO GUIA SUMINISTRO ASA Y CALCIO",HK189="RIESGO MODERADO (2 O MAS CRITERIOS) VER MANEJO GUIA SUMINISTRO ASA Y CALCIO")),"Inicio no oportuno mayor a 16 semanas",IF(AND(BU189&lt;12,OR(HK189="RIESGO ALTO DE COMPLICACIONES HIPERTENSIVAS VER MANEJO GUIA SUMINISTRO ASA Y CALCIO",HK189="RIESGO MODERADO (2 O MAS CRITERIOS) VER MANEJO GUIA SUMINISTRO ASA Y CALCIO")),"Pendiente Inicio de ASA a la semana 12",IF(AND(BU189&gt;11,BU189&lt;17,OR(HK189="RIESGO ALTO DE COMPLICACIONES HIPERTENSIVAS VER MANEJO GUIA SUMINISTRO ASA Y CALCIO",HK189="RIESGO MODERADO (2 O MAS CRITERIOS) VER MANEJO GUIA SUMINISTRO ASA Y CALCIO")),"Iniciar de inmediato ASA",IF(AND(BU189&gt;16,OR(HK189="RIESGO ALTO DE COMPLICACIONES HIPERTENSIVAS VER MANEJO GUIA SUMINISTRO ASA Y CALCIO",HK189="RIESGO MODERADO (2 O MAS CRITERIOS) VER MANEJO GUIA SUMINISTRO ASA Y CALCIO")),"Pierde Oportunidad, Inicio tardío de ASA","XXXXX"))))))))</f>
        <v>No Aplica para suministro de ASA</v>
      </c>
      <c r="HS189" s="22">
        <v>45020</v>
      </c>
      <c r="HT189" s="22" t="s">
        <v>1518</v>
      </c>
      <c r="HU189" s="22">
        <v>45020</v>
      </c>
      <c r="HV189" s="22" t="s">
        <v>1506</v>
      </c>
      <c r="HW189" s="22">
        <v>45020</v>
      </c>
      <c r="HX189" s="22" t="s">
        <v>1511</v>
      </c>
      <c r="HY189" s="22">
        <v>45050</v>
      </c>
      <c r="HZ189" s="28">
        <f t="shared" si="634"/>
        <v>13.857142857142858</v>
      </c>
      <c r="IA189" s="26"/>
      <c r="IB189" s="26"/>
      <c r="IC189" s="111"/>
      <c r="ID189" s="22"/>
      <c r="IE189" s="22" t="str">
        <f t="shared" ca="1" si="635"/>
        <v>INASISTENTE</v>
      </c>
      <c r="IF189" s="22">
        <v>45050</v>
      </c>
      <c r="IG189" s="22">
        <f t="shared" si="636"/>
        <v>45233</v>
      </c>
      <c r="IH189" s="29">
        <f t="shared" ca="1" si="637"/>
        <v>0</v>
      </c>
      <c r="II189" s="22" t="str">
        <f t="shared" ca="1" si="638"/>
        <v>SEMANA DE PARTO</v>
      </c>
      <c r="IJ189" s="22"/>
      <c r="IK189" s="21"/>
      <c r="IL189" s="21"/>
      <c r="IM189" s="34"/>
      <c r="IN189" s="22"/>
      <c r="IO189" s="21"/>
      <c r="IP189" s="29" t="str">
        <f t="shared" si="728"/>
        <v/>
      </c>
      <c r="IQ189" s="35"/>
      <c r="IR189" s="21"/>
      <c r="IS189" s="21"/>
      <c r="IT189" s="21"/>
      <c r="IU189" s="21"/>
      <c r="IV189" s="21"/>
      <c r="IW189" s="21"/>
      <c r="IX189" s="21"/>
      <c r="IY189" s="21"/>
      <c r="IZ189" s="21"/>
      <c r="JA189" s="21"/>
      <c r="JB189" s="30"/>
      <c r="JC189" s="21"/>
      <c r="JD189" s="36"/>
      <c r="JE189" s="21" t="str">
        <f t="shared" si="731"/>
        <v/>
      </c>
      <c r="JF189" s="30"/>
      <c r="JG189" s="21"/>
      <c r="JH189" s="21"/>
      <c r="JI189" s="21"/>
      <c r="JJ189" s="30"/>
      <c r="JK189" s="22"/>
      <c r="JL189" s="22"/>
      <c r="JM189" s="21"/>
      <c r="JN189" s="36"/>
      <c r="JO189" s="21" t="str">
        <f t="shared" si="732"/>
        <v/>
      </c>
      <c r="JP189" s="22"/>
      <c r="JQ189" s="21"/>
      <c r="JR189" s="21"/>
      <c r="JS189" s="21"/>
      <c r="JT189" s="30"/>
      <c r="JU189" s="22"/>
      <c r="JV189" s="22"/>
      <c r="JW189" s="33"/>
      <c r="JX189" s="28" t="str">
        <f t="shared" si="733"/>
        <v/>
      </c>
      <c r="JY189" s="33"/>
      <c r="JZ189" s="28" t="str">
        <f t="shared" si="734"/>
        <v/>
      </c>
      <c r="KA189" s="21"/>
      <c r="KB189" s="21"/>
      <c r="KC189" s="21"/>
      <c r="KD189" s="37"/>
      <c r="KE189" s="28"/>
      <c r="KF189" s="28"/>
      <c r="KG189" s="28"/>
      <c r="KH189" s="39"/>
      <c r="KI189" s="39"/>
      <c r="KJ189" s="66"/>
      <c r="KK189" s="39"/>
      <c r="KL189" s="39"/>
      <c r="KM189" s="66"/>
      <c r="KN189" s="39"/>
      <c r="KO189" s="39"/>
      <c r="KP189" s="39"/>
      <c r="KQ189" s="39"/>
      <c r="KR189" s="39"/>
      <c r="KS189" s="39"/>
      <c r="KT189" s="39"/>
      <c r="KU189" s="38"/>
      <c r="KV189" s="38"/>
      <c r="KW189" s="38"/>
      <c r="KX189" s="38"/>
      <c r="KY189" s="38"/>
      <c r="KZ189" s="38"/>
      <c r="LA189" s="38"/>
      <c r="LB189" s="38"/>
      <c r="LC189" s="38"/>
      <c r="LD189" s="38"/>
      <c r="LE189" s="38"/>
      <c r="LF189" s="38"/>
      <c r="LG189" s="38"/>
      <c r="LH189" s="38"/>
      <c r="LI189" s="38"/>
      <c r="LJ189" s="38"/>
      <c r="LK189" s="38"/>
      <c r="LL189" s="38"/>
      <c r="LM189" s="38"/>
      <c r="LN189" s="38"/>
      <c r="LO189" s="38"/>
      <c r="LP189" s="38"/>
      <c r="LQ189" s="38"/>
      <c r="LR189" s="38"/>
      <c r="LS189" s="38"/>
      <c r="LT189" s="38"/>
      <c r="LU189" s="38"/>
      <c r="LV189" s="38"/>
      <c r="LW189" s="38"/>
      <c r="LX189" s="38"/>
      <c r="LY189" s="38"/>
      <c r="LZ189" s="38"/>
      <c r="MA189" s="38"/>
      <c r="MB189" s="38"/>
      <c r="MC189" s="38"/>
      <c r="MD189" s="38"/>
      <c r="ME189" s="38"/>
      <c r="MF189" s="38"/>
      <c r="MG189" s="38"/>
      <c r="MH189" s="43">
        <f t="shared" si="695"/>
        <v>0</v>
      </c>
      <c r="MI189" s="43" t="str">
        <f t="shared" si="696"/>
        <v/>
      </c>
      <c r="MJ189" s="43" t="str">
        <f t="shared" si="697"/>
        <v/>
      </c>
      <c r="MK189" s="43">
        <f t="shared" si="698"/>
        <v>0</v>
      </c>
      <c r="ML18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89" s="43">
        <f t="shared" si="699"/>
        <v>9.5714285714285712</v>
      </c>
      <c r="MN189" s="43">
        <f t="shared" si="700"/>
        <v>4</v>
      </c>
      <c r="MO189" s="43">
        <f t="shared" si="701"/>
        <v>2023</v>
      </c>
      <c r="MP189" s="43" t="str">
        <f t="shared" si="702"/>
        <v>II TRIMESTRE AÑO</v>
      </c>
      <c r="MQ189" s="43">
        <f t="shared" si="703"/>
        <v>20.775843188786684</v>
      </c>
      <c r="MR189" s="43">
        <f t="shared" si="704"/>
        <v>0</v>
      </c>
      <c r="MS189" s="43" t="str">
        <f t="shared" si="705"/>
        <v xml:space="preserve"> DE 20 A 24 AÑOS</v>
      </c>
      <c r="MT189" s="43">
        <f t="shared" si="706"/>
        <v>0</v>
      </c>
      <c r="MU189" s="43">
        <f t="shared" si="707"/>
        <v>1</v>
      </c>
      <c r="MV189" s="43">
        <f t="shared" si="708"/>
        <v>0</v>
      </c>
      <c r="MW189" s="43">
        <f t="shared" si="709"/>
        <v>0</v>
      </c>
      <c r="MX189" s="43" t="str">
        <f t="shared" si="710"/>
        <v/>
      </c>
      <c r="MY189" s="43" t="str">
        <f t="shared" ca="1" si="735"/>
        <v/>
      </c>
      <c r="MZ189" s="43" t="str">
        <f t="shared" si="711"/>
        <v/>
      </c>
      <c r="NA189" s="43" t="str">
        <f t="shared" si="712"/>
        <v/>
      </c>
      <c r="NB189" s="43" t="str">
        <f t="shared" si="713"/>
        <v/>
      </c>
      <c r="NC189" s="43" t="str">
        <f t="shared" si="714"/>
        <v/>
      </c>
      <c r="ND189" s="43">
        <f t="shared" ca="1" si="715"/>
        <v>1</v>
      </c>
      <c r="NE189" s="43">
        <f>IF(OR(O189&gt;0,R189&gt;0),SUM(COUNTIF(Tabla1[[#This Row],[AÑOS AL INICIO5 CPN]],"&gt;=40"),COUNTIF(AS189,"0"),COUNTIF(AR189,"SI"),COUNTIF(CC189,"SI"),COUNTIF(BQ189,"&gt;119"),COUNTIF(CI189,"&gt;=35")),"")</f>
        <v>1</v>
      </c>
      <c r="NF189" s="43" t="str">
        <f t="shared" si="716"/>
        <v/>
      </c>
      <c r="NG189" s="43">
        <f t="shared" si="717"/>
        <v>0</v>
      </c>
      <c r="NH189" s="43">
        <f t="shared" si="718"/>
        <v>100.8</v>
      </c>
      <c r="NI18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CPN",P189="NO"),"Z",IF(AND(Tabla1[[#This Row],[CITA PROXIMO CONTROL]]="CITA MANUAL",Tabla1[[#This Row],[GESTANTES ACTUALES]]="ACTIVA INGRESO A CPN"),"W",IF(AND(Tabla1[[#This Row],[GESTANTES ACTUALES]]="SALIO PROGRAMA",IN189=""),"S",IF(AND(Tabla1[[#This Row],[CITA PROXIMO CONTROL]]&gt;0,IN189=""),(Tabla1[[#This Row],[CITA PROXIMO CONTROL]]-TODAY()),"SD"))))))))</f>
        <v>#REF!</v>
      </c>
      <c r="NJ189" s="43">
        <f>MONTH(Tabla1[[#This Row],[FECHA DE SALIDA  DEL PROGRAMA]])</f>
        <v>1</v>
      </c>
      <c r="NK189" s="43">
        <f>YEAR(Tabla1[[#This Row],[FECHA DE SALIDA  DEL PROGRAMA]])</f>
        <v>1900</v>
      </c>
      <c r="NL189" s="43">
        <f t="shared" si="719"/>
        <v>134</v>
      </c>
      <c r="NM189" s="43" t="str">
        <f t="shared" si="693"/>
        <v>NO</v>
      </c>
      <c r="NN189" s="43" t="str">
        <f ca="1">IF(AND(O189&gt;0,R189=""),"NO CPN",IF(AND(O189="",R189=""),"",IF(AND(R189&gt;0,Tabla1[[#This Row],[SEMANAS DE GESTACION ACTUALIZADAS]]&lt;=12),"NO APLICA",IF(AND(FH189&lt;&gt;"",FN189&lt;&gt;""),"SI","NO"))))</f>
        <v>SI</v>
      </c>
      <c r="NO189" s="43" t="str">
        <f ca="1">IF(AND(O189&gt;0,R189=""),"NO CPN",IF(AND(O189="",R189=""),"",IF(AND(R189&gt;0,Tabla1[[#This Row],[SEMANAS DE GESTACION ACTUALIZADAS]]&lt;=27),"NO APLICA",IF(AND(ES189&lt;&gt;"",FQ189&lt;&gt;"",GF189&lt;&gt;""),"SI","NO"))))</f>
        <v>NO</v>
      </c>
      <c r="NP189" s="204" t="str">
        <f t="shared" si="720"/>
        <v>I TRIM</v>
      </c>
      <c r="NQ189" s="21" t="str">
        <f t="shared" si="729"/>
        <v/>
      </c>
      <c r="NR189" s="21">
        <f t="shared" ca="1" si="736"/>
        <v>3</v>
      </c>
      <c r="NS189" s="205">
        <f t="shared" ca="1" si="721"/>
        <v>2</v>
      </c>
      <c r="NT189" s="21">
        <f t="shared" ca="1" si="722"/>
        <v>2</v>
      </c>
      <c r="NU189" s="21" t="str">
        <f t="shared" ca="1" si="723"/>
        <v>INCOMPLETO</v>
      </c>
      <c r="NV189" s="21" t="str">
        <f t="shared" ca="1" si="724"/>
        <v>INCOMPLETO</v>
      </c>
      <c r="NW189" s="206" t="str">
        <f>IF(AND(O189="",R189=""),"",IF(OR(AND(Tabla1[[#This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89" s="207" t="str">
        <f t="shared" ca="1" si="725"/>
        <v>SIN VACUNAR</v>
      </c>
      <c r="NY189" s="43">
        <f>ROW(Tabla1[[#This Row],['# DE TAMIZAJES SIFILIS TOMADOS ]])</f>
        <v>189</v>
      </c>
      <c r="NZ189" s="43" t="str">
        <f t="shared" si="501"/>
        <v>Menor</v>
      </c>
      <c r="OA189" s="43" t="str">
        <f t="shared" si="502"/>
        <v>NORMAL</v>
      </c>
      <c r="OB189" s="43" t="str">
        <f t="shared" si="503"/>
        <v/>
      </c>
      <c r="OC189" s="43" t="str">
        <f t="shared" si="504"/>
        <v/>
      </c>
      <c r="OD189" s="43" t="str">
        <f t="shared" si="505"/>
        <v/>
      </c>
      <c r="OE189" s="43" t="str">
        <f t="shared" si="506"/>
        <v/>
      </c>
      <c r="OF189" s="43" t="str">
        <f t="shared" si="507"/>
        <v/>
      </c>
      <c r="OG189" s="43" t="str">
        <f t="shared" si="508"/>
        <v/>
      </c>
      <c r="OH189" s="43" t="str">
        <f t="shared" si="509"/>
        <v/>
      </c>
      <c r="OI189" s="43" t="str">
        <f t="shared" si="510"/>
        <v/>
      </c>
      <c r="OJ189" s="43" t="str">
        <f t="shared" si="511"/>
        <v/>
      </c>
      <c r="OK189" s="43" t="str">
        <f t="shared" si="512"/>
        <v/>
      </c>
      <c r="OL189" s="43" t="str">
        <f t="shared" si="513"/>
        <v/>
      </c>
      <c r="OM189" s="43" t="str">
        <f t="shared" si="514"/>
        <v/>
      </c>
      <c r="ON189" s="43" t="str">
        <f t="shared" si="515"/>
        <v/>
      </c>
      <c r="OO189" s="43" t="str">
        <f t="shared" si="516"/>
        <v/>
      </c>
      <c r="OP189" s="43" t="str">
        <f t="shared" si="517"/>
        <v/>
      </c>
      <c r="OQ189" s="43" t="str">
        <f t="shared" si="518"/>
        <v/>
      </c>
      <c r="OR189" s="43" t="str">
        <f t="shared" si="519"/>
        <v/>
      </c>
      <c r="OS189" s="43" t="str">
        <f t="shared" si="520"/>
        <v/>
      </c>
      <c r="OT189" s="43" t="str">
        <f t="shared" si="521"/>
        <v/>
      </c>
      <c r="OU189" s="43" t="str">
        <f t="shared" si="522"/>
        <v/>
      </c>
      <c r="OV189" s="110" t="str">
        <f t="shared" si="523"/>
        <v/>
      </c>
      <c r="OW189" s="43" t="str">
        <f t="shared" si="524"/>
        <v/>
      </c>
      <c r="OX189" s="43" t="str">
        <f t="shared" si="525"/>
        <v/>
      </c>
      <c r="OY189" s="43" t="str">
        <f t="shared" si="526"/>
        <v/>
      </c>
      <c r="OZ189" s="43" t="str">
        <f t="shared" si="527"/>
        <v/>
      </c>
      <c r="PA189" s="43" t="str">
        <f t="shared" si="528"/>
        <v/>
      </c>
      <c r="PB189" s="43" t="str">
        <f t="shared" si="529"/>
        <v/>
      </c>
      <c r="PC189" s="43" t="str">
        <f t="shared" si="530"/>
        <v/>
      </c>
      <c r="PD189" s="43" t="str">
        <f t="shared" si="531"/>
        <v/>
      </c>
      <c r="PE189" s="43" t="str">
        <f t="shared" si="532"/>
        <v/>
      </c>
      <c r="PF189" s="43" t="str">
        <f t="shared" si="533"/>
        <v/>
      </c>
      <c r="PG189" s="43" t="str">
        <f t="shared" si="534"/>
        <v/>
      </c>
      <c r="PH189" s="43" t="str">
        <f t="shared" si="535"/>
        <v/>
      </c>
      <c r="PI189" s="43">
        <f t="shared" si="536"/>
        <v>29</v>
      </c>
      <c r="PJ189" s="43" t="str">
        <f t="shared" si="537"/>
        <v/>
      </c>
      <c r="PK189" s="43" t="str">
        <f t="shared" si="538"/>
        <v/>
      </c>
      <c r="PL189" s="43" t="str">
        <f t="shared" si="539"/>
        <v/>
      </c>
      <c r="PM189" s="43" t="str">
        <f t="shared" si="540"/>
        <v/>
      </c>
      <c r="PN189" s="43" t="str">
        <f t="shared" si="541"/>
        <v/>
      </c>
      <c r="PO189" s="43" t="str">
        <f t="shared" si="542"/>
        <v/>
      </c>
      <c r="PP189" s="43" t="str">
        <f t="shared" si="543"/>
        <v/>
      </c>
      <c r="PQ189" s="43" t="str">
        <f t="shared" si="544"/>
        <v/>
      </c>
      <c r="PR189" s="43" t="str">
        <f t="shared" si="545"/>
        <v/>
      </c>
      <c r="PS189" s="43" t="str">
        <f t="shared" si="546"/>
        <v/>
      </c>
      <c r="PT189" s="43" t="str">
        <f t="shared" si="547"/>
        <v/>
      </c>
      <c r="PU189" s="43" t="str">
        <f t="shared" si="548"/>
        <v/>
      </c>
      <c r="PV189" s="43" t="str">
        <f t="shared" si="549"/>
        <v/>
      </c>
      <c r="PW189" s="43" t="str">
        <f t="shared" si="550"/>
        <v/>
      </c>
      <c r="PX189" s="43" t="str">
        <f t="shared" si="551"/>
        <v/>
      </c>
      <c r="PY189" s="43" t="str">
        <f t="shared" si="552"/>
        <v/>
      </c>
      <c r="PZ189" s="43" t="str">
        <f t="shared" si="553"/>
        <v/>
      </c>
      <c r="QA189" s="43" t="str">
        <f t="shared" si="554"/>
        <v/>
      </c>
      <c r="QB189" s="43" t="str">
        <f t="shared" si="555"/>
        <v/>
      </c>
      <c r="QC189" s="43" t="str">
        <f t="shared" si="556"/>
        <v/>
      </c>
      <c r="QD189" s="43" t="str">
        <f t="shared" si="557"/>
        <v>NORMAL</v>
      </c>
      <c r="QE189" s="43" t="str">
        <f t="shared" si="558"/>
        <v/>
      </c>
      <c r="QF189" s="43" t="str">
        <f t="shared" si="559"/>
        <v/>
      </c>
      <c r="QG189" s="43" t="str">
        <f t="shared" si="560"/>
        <v/>
      </c>
      <c r="QH189" s="43" t="str">
        <f t="shared" si="561"/>
        <v/>
      </c>
      <c r="QI189" s="43" t="str">
        <f t="shared" si="562"/>
        <v/>
      </c>
      <c r="QJ189" s="43" t="str">
        <f t="shared" si="563"/>
        <v/>
      </c>
      <c r="QK189" s="43" t="str">
        <f t="shared" si="564"/>
        <v/>
      </c>
      <c r="QL189" s="43" t="str">
        <f t="shared" si="565"/>
        <v/>
      </c>
      <c r="QM189" s="43" t="str">
        <f t="shared" si="566"/>
        <v/>
      </c>
      <c r="QN189" s="43" t="str">
        <f t="shared" si="567"/>
        <v/>
      </c>
      <c r="QO189" s="43" t="str">
        <f t="shared" si="568"/>
        <v/>
      </c>
      <c r="QP189" s="43" t="str">
        <f t="shared" si="569"/>
        <v/>
      </c>
      <c r="QQ189" s="43" t="str">
        <f t="shared" si="570"/>
        <v/>
      </c>
      <c r="QR189" s="43">
        <f t="shared" si="670"/>
        <v>29</v>
      </c>
      <c r="QS189" s="43"/>
      <c r="QT189" s="21" t="str">
        <f t="shared" si="571"/>
        <v/>
      </c>
      <c r="QU189" s="21" t="str">
        <f t="shared" si="572"/>
        <v/>
      </c>
      <c r="QV189" s="21" t="str">
        <f t="shared" si="573"/>
        <v/>
      </c>
      <c r="QW189" s="21" t="str">
        <f t="shared" si="574"/>
        <v/>
      </c>
      <c r="QX189" s="21" t="str">
        <f t="shared" si="575"/>
        <v/>
      </c>
      <c r="QY189" s="21" t="str">
        <f t="shared" si="576"/>
        <v/>
      </c>
      <c r="QZ189" s="21" t="str">
        <f t="shared" si="577"/>
        <v/>
      </c>
      <c r="RA189" s="21" t="str">
        <f t="shared" si="578"/>
        <v/>
      </c>
      <c r="RB189" s="21" t="str">
        <f t="shared" si="579"/>
        <v/>
      </c>
      <c r="RC189" s="21" t="str">
        <f t="shared" si="580"/>
        <v/>
      </c>
      <c r="RD189" s="21" t="str">
        <f t="shared" si="581"/>
        <v/>
      </c>
      <c r="RE189" s="21" t="str">
        <f t="shared" si="582"/>
        <v/>
      </c>
      <c r="RF189" s="21" t="str">
        <f t="shared" si="583"/>
        <v/>
      </c>
      <c r="RG189" s="21" t="str">
        <f t="shared" si="584"/>
        <v/>
      </c>
      <c r="RH189" s="21" t="str">
        <f t="shared" si="585"/>
        <v/>
      </c>
      <c r="RI189" s="21" t="str">
        <f t="shared" si="586"/>
        <v/>
      </c>
      <c r="RJ189" s="21" t="str">
        <f t="shared" si="587"/>
        <v>ALTO PARA EDAD GESTACIONAL</v>
      </c>
      <c r="RK189" s="21" t="str">
        <f t="shared" si="588"/>
        <v/>
      </c>
      <c r="RL189" s="21" t="str">
        <f t="shared" si="589"/>
        <v/>
      </c>
      <c r="RM189" s="21" t="str">
        <f t="shared" si="590"/>
        <v/>
      </c>
      <c r="RN189" s="21" t="str">
        <f t="shared" si="591"/>
        <v/>
      </c>
      <c r="RO189" s="21" t="str">
        <f t="shared" si="592"/>
        <v/>
      </c>
      <c r="RP189" s="21" t="str">
        <f t="shared" si="593"/>
        <v/>
      </c>
      <c r="RQ189" s="21" t="str">
        <f t="shared" si="594"/>
        <v/>
      </c>
      <c r="RR189" s="21" t="str">
        <f t="shared" si="595"/>
        <v/>
      </c>
      <c r="RS189" s="21" t="str">
        <f t="shared" si="596"/>
        <v/>
      </c>
      <c r="RT189" s="21" t="str">
        <f t="shared" si="597"/>
        <v/>
      </c>
      <c r="RU189" s="21" t="str">
        <f t="shared" si="598"/>
        <v/>
      </c>
      <c r="RV189" s="21">
        <f t="shared" si="599"/>
        <v>-1</v>
      </c>
      <c r="RW189" s="284">
        <f>IF(OR(Tabla1[[#This Row],[FUM FORMULA CONFIABLE]]="",Tabla1[[#This Row],[FUM FORMULA CONFIABLE]]="SD"),"",IF(Tabla1[[#This Row],[FUM FORMULA CONFIABLE]]="CORREGIDA",Tabla1[[#This Row],[FUM X ECO 1]],Tabla1[[#This Row],[FUM x AMENORREA]]))</f>
        <v>44953</v>
      </c>
      <c r="RX189" s="21">
        <f>IF(AND(Tabla1[[#This Row],[FUM X ECO 1]]="",Tabla1[[#This Row],[FUM x AMENORREA]]=""),"",IF(AND(Tabla1[[#This Row],[FUM X ECO 1]]="",Tabla1[[#This Row],[FUM x AMENORREA]]&lt;&gt;""),"X",SUM(Tabla1[[#This Row],[FUM X ECO 1]]-Tabla1[[#This Row],[FUM x AMENORREA]])))</f>
        <v>-2.8000000000029104</v>
      </c>
      <c r="RY189" s="21">
        <f t="shared" si="671"/>
        <v>0</v>
      </c>
    </row>
    <row r="190" spans="1:493" ht="45" customHeight="1" x14ac:dyDescent="0.25">
      <c r="A190" s="109"/>
      <c r="B190" s="43"/>
      <c r="C190" s="43" t="s">
        <v>845</v>
      </c>
      <c r="D190" s="124"/>
      <c r="E190" s="43" t="s">
        <v>1286</v>
      </c>
      <c r="F190" s="43" t="s">
        <v>980</v>
      </c>
      <c r="G190" s="43" t="s">
        <v>1528</v>
      </c>
      <c r="H190" s="43" t="s">
        <v>1281</v>
      </c>
      <c r="I190" s="109" t="s">
        <v>851</v>
      </c>
      <c r="J190" s="110">
        <v>1059596092</v>
      </c>
      <c r="K190" s="43" t="s">
        <v>852</v>
      </c>
      <c r="L190" s="175" t="s">
        <v>1509</v>
      </c>
      <c r="M190" s="22">
        <v>38096</v>
      </c>
      <c r="N190" s="213">
        <f t="shared" ca="1" si="600"/>
        <v>19.553424657534247</v>
      </c>
      <c r="O190" s="22">
        <v>45020</v>
      </c>
      <c r="P190" s="214" t="str">
        <f t="shared" si="673"/>
        <v>SI</v>
      </c>
      <c r="Q190" s="26" t="s">
        <v>855</v>
      </c>
      <c r="R190" s="22">
        <v>45020</v>
      </c>
      <c r="S190" s="21" t="s">
        <v>856</v>
      </c>
      <c r="T190" s="24" t="s">
        <v>690</v>
      </c>
      <c r="U190" s="21" t="s">
        <v>857</v>
      </c>
      <c r="V190" s="21" t="s">
        <v>858</v>
      </c>
      <c r="W190" s="21" t="s">
        <v>893</v>
      </c>
      <c r="X190" s="21"/>
      <c r="Y190" s="21"/>
      <c r="Z190" s="21">
        <v>3127062688</v>
      </c>
      <c r="AA190" s="21" t="s">
        <v>860</v>
      </c>
      <c r="AB190" s="27" t="s">
        <v>861</v>
      </c>
      <c r="AC190" s="26" t="s">
        <v>877</v>
      </c>
      <c r="AD190" s="38" t="s">
        <v>1546</v>
      </c>
      <c r="AE190" s="26" t="s">
        <v>854</v>
      </c>
      <c r="AF190" s="26" t="s">
        <v>854</v>
      </c>
      <c r="AG190" s="23" t="s">
        <v>864</v>
      </c>
      <c r="AH190" s="23" t="s">
        <v>864</v>
      </c>
      <c r="AI190" s="24" t="s">
        <v>863</v>
      </c>
      <c r="AJ190" s="23" t="s">
        <v>864</v>
      </c>
      <c r="AK190" s="220" t="str">
        <f>IF(AND(AD190="",AE190="",AF190="",AG190="",AH190="",AI190="",AJ190=""),"",IF(OR(Tabla1[[#This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EVALUACIÓN",IF(AND(O190="",R190=""),"",IF(AND(OR(O190&gt;0,R190&gt;0),NG190&gt;=0,NG190&lt;2),"SIN RIESGO",IF(AND(OR(O190&gt;0,R190&gt;0),NG190&gt;=2),"CON RIESGO","ASD")))))</f>
        <v>SIN RIESGO</v>
      </c>
      <c r="AL190" s="23" t="s">
        <v>864</v>
      </c>
      <c r="AM190" s="26" t="s">
        <v>864</v>
      </c>
      <c r="AN190" s="26" t="s">
        <v>864</v>
      </c>
      <c r="AO190" s="26" t="s">
        <v>864</v>
      </c>
      <c r="AP190" s="26" t="s">
        <v>864</v>
      </c>
      <c r="AQ190" s="26" t="s">
        <v>864</v>
      </c>
      <c r="AR190" s="26" t="s">
        <v>864</v>
      </c>
      <c r="AS190" s="21">
        <v>0</v>
      </c>
      <c r="AT190" s="21">
        <v>0</v>
      </c>
      <c r="AU190" s="21">
        <v>0</v>
      </c>
      <c r="AV190" s="26" t="s">
        <v>864</v>
      </c>
      <c r="AW190" s="21">
        <v>0</v>
      </c>
      <c r="AX190" s="26" t="s">
        <v>864</v>
      </c>
      <c r="AY190" s="26" t="s">
        <v>864</v>
      </c>
      <c r="AZ190" s="26" t="s">
        <v>864</v>
      </c>
      <c r="BA190" s="26" t="s">
        <v>864</v>
      </c>
      <c r="BB190" s="26" t="s">
        <v>864</v>
      </c>
      <c r="BC190" s="26" t="s">
        <v>864</v>
      </c>
      <c r="BD190" s="26" t="s">
        <v>864</v>
      </c>
      <c r="BE190" s="26" t="s">
        <v>864</v>
      </c>
      <c r="BF190" s="26" t="s">
        <v>864</v>
      </c>
      <c r="BG190" s="26" t="s">
        <v>864</v>
      </c>
      <c r="BH190" s="26" t="s">
        <v>864</v>
      </c>
      <c r="BI190" s="26" t="s">
        <v>864</v>
      </c>
      <c r="BJ190" s="26" t="s">
        <v>864</v>
      </c>
      <c r="BK190" s="26" t="s">
        <v>864</v>
      </c>
      <c r="BL190" s="26" t="s">
        <v>864</v>
      </c>
      <c r="BM190" s="26" t="s">
        <v>864</v>
      </c>
      <c r="BN190" s="22"/>
      <c r="BO190" s="22">
        <v>44933</v>
      </c>
      <c r="BP190" s="21" t="s">
        <v>854</v>
      </c>
      <c r="BQ190" s="222">
        <f t="shared" si="601"/>
        <v>0</v>
      </c>
      <c r="BR190" s="223">
        <f t="shared" si="602"/>
        <v>44928.5</v>
      </c>
      <c r="BS190" s="224">
        <f t="shared" si="603"/>
        <v>12.428571428571429</v>
      </c>
      <c r="BT190" s="216" t="str">
        <f t="shared" si="604"/>
        <v>II TRIM</v>
      </c>
      <c r="BU190" s="214">
        <f t="shared" ca="1" si="605"/>
        <v>42.857142857142854</v>
      </c>
      <c r="BV190" s="25" t="s">
        <v>988</v>
      </c>
      <c r="BW190" s="22">
        <v>45121</v>
      </c>
      <c r="BX190" s="28">
        <v>27.5</v>
      </c>
      <c r="BY190" s="28"/>
      <c r="BZ190" s="22"/>
      <c r="CA190" s="21"/>
      <c r="CB190" s="26" t="s">
        <v>864</v>
      </c>
      <c r="CC190" s="26" t="s">
        <v>864</v>
      </c>
      <c r="CD190" s="26"/>
      <c r="CE190" s="26" t="s">
        <v>864</v>
      </c>
      <c r="CF190" s="22" t="s">
        <v>1517</v>
      </c>
      <c r="CG190" s="21">
        <v>1.53</v>
      </c>
      <c r="CH190" s="21">
        <v>56</v>
      </c>
      <c r="CI190" s="214">
        <f t="shared" si="606"/>
        <v>23.92242299970097</v>
      </c>
      <c r="CJ190" s="225" t="e">
        <f>IF(AND(CI190&lt;10,CH190="SD"),"SIN DATO PESO PREGESTACION O I TRIM",IF(AND(OR(R190&gt;0,O190&gt;0),CI190="X"),"INGRESAR DATO DE PESO",IF(CI190="SD","INGRESAR DATO DE TALLA Y PESO",IF(AND(OR(Tabla1[[#This Row],[MOMENTO EN QUE SE REALIZA EL PESO AL INGRESO A CPN]]="PREGESTACIÓN",NZ190="Menor"),CI190&lt;18.5),"BAJO PESO",IF(AND(OR(Tabla1[[#This Row],[MOMENTO EN QUE SE REALIZA EL PESO AL INGRESO A CPN]]="PREGESTACIÓN",NZ190="Menor"),CI190&lt;25),"NORMAL",IF(AND(OR(Tabla1[[#This Row],[MOMENTO EN QUE SE REALIZA EL PESO AL INGRESO A CPN]]="PREGESTACIÓN",NZ190="Menor"),CI190&lt;30),"SOBREPESO",IF(AND(OR(Tabla1[[#This Row],[MOMENTO EN QUE SE REALIZA EL PESO AL INGRESO A CPN]]="PREGESTACIÓN",NZ190="Menor"),CI190&gt;=30,CI190&lt;50),"OBESIDAD",IF(AND(BS190&gt;0,Tabla1[[#This Row],[MOMENTO EN QUE SE REALIZA EL PESO AL INGRESO A CPN]]="GESTACIÓN"),HLOOKUP(NZ190,$OA$2:PH190,NY190),""))))))))</f>
        <v>#REF!</v>
      </c>
      <c r="CK190" s="212">
        <f t="shared" si="607"/>
        <v>45147</v>
      </c>
      <c r="CL190" s="21">
        <v>60.3</v>
      </c>
      <c r="CM190" s="214">
        <f t="shared" si="608"/>
        <v>25.759323337178007</v>
      </c>
      <c r="CN190" s="216">
        <f t="shared" si="609"/>
        <v>30</v>
      </c>
      <c r="CO190" s="216" t="e">
        <f>IF(PI190="","",IF(PI190&gt;0,HLOOKUP(PI190,$PJ$2:QQ190,NY190),""))</f>
        <v>#REF!</v>
      </c>
      <c r="CP190" s="21"/>
      <c r="CQ190" s="216" t="e">
        <f>IF(QR190="Menor","NO APLICA-MENOR 13 SEM",IF(AND(CC190="SI",CN190&gt;23),"NO APLICA- GEMELAR",IF(QR190="","",IF(QR190&gt;0,HLOOKUP(QR190,$QS$2:RU190,NY190),""))))</f>
        <v>#REF!</v>
      </c>
      <c r="CR190" s="21"/>
      <c r="CS190" s="21"/>
      <c r="CT190" s="217" t="str">
        <f>IF(R190="","",IF(AND(BS190&gt;1,BS190&lt;12,Tabla1[[#This Row],[T.A. SISTOLICA - ANTES DE SEMANA 12]]="",Tabla1[[#This Row],[T.A. DIASTOLICA - ANTES DE SEMANA 12]]=""),"REGISTRE DATO TA ANTES SEMANA 12",IF(AND(BS190&gt;11,BS190&lt;43,Tabla1[[#This Row],[T.A. SISTOLICA - ANTES DE SEMANA 12]]="",Tabla1[[#This Row],[T.A. DIASTOLICA - ANTES DE SEMANA 12]]=""),"NO APLICA REGISTRO TA-INGRESO TARDIO",IF(AND(OR(O190&gt;0,R190&gt;0),OR(CR190&gt;=140,CS190&gt;=90)),"DEFINIR ESTADIO HTA",IF(AND(OR(O190&gt;0,R190&gt;0),AND(CR190&gt;120,CR190&lt;=139)),"PRE HTA SEGUIMIENTO",IF(AND(OR(O190&gt;0,R190&gt;0),AND(CS190&gt;80,CS190&lt;=89)),"PRE HTA SEGUIMIENTO",IF(AND(OR(O190&gt;0,R190&gt;0),AND(CR190&gt;=80,CR190&lt;=120)),"APARENTEMENTE NORMAL",IF(AND(OR(O190&gt;0,R190&gt;0),AND(CS190&gt;=50,CS190&lt;=80)),"APARENTEMENTE NORMAL",IF(AND(OR(O190&gt;0,R190&gt;0),AND(CR190&gt;1,CR190&lt;=70),AND(CS190&gt;1,CS190&lt;=40)),"HIPOTENSIÓN","")))))))))</f>
        <v>NO APLICA REGISTRO TA-INGRESO TARDIO</v>
      </c>
      <c r="CU190" s="21"/>
      <c r="CV190" s="21"/>
      <c r="CW190" s="217" t="str">
        <f ca="1">IF(R190="","",IF(AND(CN190&gt;19,CN190&lt;27,Tabla1[[#This Row],[T.A. SISTOLICA (Entre semana 20 y 26)]]="",Tabla1[[#This Row],[T.A. DIATOLICA (Entre semana 20 y 26)]]=""),"ACUDE A CONTROL SEM 20 A 26 REGISTRE TA AHORA",IF(AND(BS190&gt;1,BS190&lt;27,BU190&gt;19,Tabla1[[#This Row],[T.A. SISTOLICA (Entre semana 20 y 26)]]="",Tabla1[[#This Row],[T.A. DIATOLICA (Entre semana 20 y 26)]]=""),"COMPLETE REGISTRO TA CONTROL SEM 20 A26 ",IF(AND(BS190&gt;26,BS190&lt;43,Tabla1[[#This Row],[T.A. SISTOLICA (Entre semana 20 y 26)]]="",Tabla1[[#This Row],[T.A. DIATOLICA (Entre semana 20 y 26)]]=""),"NO APLICA REGISTRO TA-INGRESO TARDIO",IF(AND(OR(O190&gt;0,R190&gt;0),OR(CU190&gt;=140,CV190&gt;=90)),"ALTO RIESGO PREECLAMPSIA,DEFINIR ESTADIO HTA",IF(AND(OR(O190&gt;0,R190&gt;0),AND(CU190&gt;120,CU190&lt;=139)),"PRE HTA SEGUIMIENTO,RIESGO HIPERTENSION INDUCIDA POR EL EMBARAZO",IF(AND(OR(O190&gt;0,R190&gt;0),AND(CV190&gt;80,CV190&lt;=89)),"PRE HTA SEGUIMIENTO, RIESGO HIPERTENSION INDUCIDA POR EL EMBARAZO",IF(AND(OR(O190&lt;&gt;"",R190&lt;&gt;""),CS190&lt;&gt;"",CV190&lt;&gt;"",CS190&lt;=CV190),"VIGILAR CIFRAS PRESION ARTERIAL",IF(AND(OR(O190&gt;0,R190&gt;0),AND(CU190&gt;120,CU190&lt;=139)),"PRE HTA SEGUIMIENTO",IF(AND(OR(O190&gt;0,R190&gt;0),AND(CU190&gt;1,CU190&lt;=70),AND(CV190&gt;1,CV190&lt;=40)),"HIPOTENSIÓN",IF(AND(OR(O190&lt;&gt;"",R190&lt;&gt;""),CS190&lt;&gt;"",CV190&lt;&gt;"",CS190&gt;CV190),"APARENTEMENTE NORMAL",IF(AND(OR(O190&gt;0,R190&gt;0),AND(CU190&gt;=80,CU190&lt;=120)),"APARENTEMENTE NORMAL",IF(AND(OR(O190&gt;0,R190&gt;0),AND(CV190&gt;=50,CV190&lt;=80)),"APARENTEMENTE NORMAL","")))))))))))))</f>
        <v xml:space="preserve">COMPLETE REGISTRO TA CONTROL SEM 20 A26 </v>
      </c>
      <c r="CX190" s="21">
        <v>90</v>
      </c>
      <c r="CY190" s="21">
        <v>60</v>
      </c>
      <c r="CZ190" s="216" t="str">
        <f t="shared" si="727"/>
        <v>APARENTEMENTE NORMAL</v>
      </c>
      <c r="DA190" s="21">
        <v>90</v>
      </c>
      <c r="DB190" s="21">
        <v>60</v>
      </c>
      <c r="DC190" s="217" t="str">
        <f t="shared" si="610"/>
        <v>APARENTEMENTE NORMAL</v>
      </c>
      <c r="DD190" s="22">
        <v>45020</v>
      </c>
      <c r="DE190" s="22">
        <v>45020</v>
      </c>
      <c r="DF190" s="22">
        <v>45056</v>
      </c>
      <c r="DG190" s="22">
        <v>45107</v>
      </c>
      <c r="DH190" s="22">
        <v>45147</v>
      </c>
      <c r="DI190" s="22"/>
      <c r="DJ190" s="22"/>
      <c r="DK190" s="22"/>
      <c r="DL190" s="22"/>
      <c r="DM190" s="22"/>
      <c r="DN190" s="22"/>
      <c r="DO190" s="22"/>
      <c r="DP190" s="22"/>
      <c r="DQ190" s="22"/>
      <c r="DR190" s="28">
        <v>0</v>
      </c>
      <c r="DS190" s="22"/>
      <c r="DT190" s="22"/>
      <c r="DU190" s="216" t="str">
        <f t="shared" ca="1" si="674"/>
        <v>CONCERTAR PLAN DE PARTO INMEDIATO</v>
      </c>
      <c r="DV190" s="226" t="str">
        <f t="shared" si="675"/>
        <v>ACTIVA INGRESO A CPN</v>
      </c>
      <c r="DW19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0" s="216" t="e">
        <f t="shared" ca="1" si="611"/>
        <v>#REF!</v>
      </c>
      <c r="DY190" s="212">
        <f>IF(R190="","",IF(R190&gt;0,MAX(Tabla1[[#This Row],[FECHA C2]:[FECHA C13]],Tabla1[[#This Row],[FECHA CONSULTA PRIMERA VEZ PROGRAMA CPN ]])))</f>
        <v>45147</v>
      </c>
      <c r="DZ190" s="216">
        <f t="shared" si="612"/>
        <v>30</v>
      </c>
      <c r="EA190" s="222">
        <f>IF(R190&gt;0,SUM(COUNTA(DF190:DQ190)+COUNTA(Tabla1[[#This Row],[FECHA CONSULTA PRIMERA VEZ PROGRAMA CPN ]])),"")</f>
        <v>4</v>
      </c>
      <c r="EB190" s="222" t="str">
        <f t="shared" si="613"/>
        <v>SI</v>
      </c>
      <c r="EC190" s="214">
        <f t="shared" si="614"/>
        <v>8</v>
      </c>
      <c r="ED190" s="227">
        <f t="shared" si="615"/>
        <v>0.5</v>
      </c>
      <c r="EE190" s="22">
        <v>45020</v>
      </c>
      <c r="EF190" s="22">
        <v>45020</v>
      </c>
      <c r="EG190" s="22">
        <v>45020</v>
      </c>
      <c r="EH190" s="22"/>
      <c r="EI190" s="22">
        <v>45020</v>
      </c>
      <c r="EJ190" s="22"/>
      <c r="EK190" s="22"/>
      <c r="EL190" s="21"/>
      <c r="EM190" s="21">
        <v>13.3</v>
      </c>
      <c r="EN190" s="22">
        <v>45020</v>
      </c>
      <c r="EO190" s="222">
        <f t="shared" si="616"/>
        <v>12.428571428571429</v>
      </c>
      <c r="EP190" s="214" t="str">
        <f t="shared" si="617"/>
        <v>NORMAL- SUMINISTRAR SULFATO FERROSO</v>
      </c>
      <c r="EQ190" s="216" t="str">
        <f t="shared" si="618"/>
        <v>I TRIM</v>
      </c>
      <c r="ER190" s="24"/>
      <c r="ES190" s="22"/>
      <c r="ET190" s="29" t="str">
        <f t="shared" ca="1" si="676"/>
        <v>TOMA DE HEMOGLOBINA TARDÍA</v>
      </c>
      <c r="EU190" s="25" t="str">
        <f t="shared" si="619"/>
        <v/>
      </c>
      <c r="EV190" s="24"/>
      <c r="EW190" s="24"/>
      <c r="EX190" s="22"/>
      <c r="EY190" s="29" t="str">
        <f t="shared" si="691"/>
        <v>TOMAR EXAMEN</v>
      </c>
      <c r="EZ190" s="25" t="str">
        <f t="shared" ca="1" si="692"/>
        <v/>
      </c>
      <c r="FA190" s="21">
        <v>71</v>
      </c>
      <c r="FB190" s="22">
        <v>45020</v>
      </c>
      <c r="FC190" s="29">
        <f t="shared" si="620"/>
        <v>12.428571428571429</v>
      </c>
      <c r="FD190" s="29"/>
      <c r="FE190" s="29"/>
      <c r="FF190" s="29"/>
      <c r="FG190" s="21" t="str">
        <f t="shared" ca="1" si="621"/>
        <v>TOMAR PTOG</v>
      </c>
      <c r="FH190" s="31"/>
      <c r="FI190" s="29" t="str">
        <f t="shared" si="622"/>
        <v>TOMAR EXAMEN</v>
      </c>
      <c r="FJ190" s="22" t="s">
        <v>867</v>
      </c>
      <c r="FK190" s="22">
        <v>45020</v>
      </c>
      <c r="FL190" s="29">
        <f t="shared" ca="1" si="623"/>
        <v>12.428571428571429</v>
      </c>
      <c r="FM190" s="22"/>
      <c r="FN190" s="22"/>
      <c r="FO190" s="29" t="str">
        <f t="shared" ca="1" si="677"/>
        <v>PIERDE TOMA DE TAMIZAJE</v>
      </c>
      <c r="FP190" s="22"/>
      <c r="FQ190" s="32"/>
      <c r="FR190" s="29" t="str">
        <f t="shared" ca="1" si="678"/>
        <v>TOMA INMEDIATA DE TAMIZAJE</v>
      </c>
      <c r="FS190" s="22"/>
      <c r="FT190" s="32"/>
      <c r="FU190" s="29" t="str">
        <f>IF(AND(FJ190="",FM190="",FP190="",FS190=""),"",IF(OR(OR(Tabla1[[#This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0" s="28"/>
      <c r="FW190" s="22"/>
      <c r="FX190" s="29" t="str">
        <f t="shared" si="624"/>
        <v>TOMAR EXAMEN</v>
      </c>
      <c r="FY190" s="22" t="s">
        <v>868</v>
      </c>
      <c r="FZ190" s="22">
        <v>45020</v>
      </c>
      <c r="GA190" s="29">
        <f t="shared" ca="1" si="737"/>
        <v>12.428571428571429</v>
      </c>
      <c r="GB190" s="22"/>
      <c r="GC190" s="22"/>
      <c r="GD190" s="29" t="str">
        <f t="shared" ca="1" si="730"/>
        <v>PIERDE TOMA DE TAMIZAJE</v>
      </c>
      <c r="GE190" s="22"/>
      <c r="GF190" s="22"/>
      <c r="GG190" s="29" t="str">
        <f t="shared" ca="1" si="680"/>
        <v>TOMA INMEDIATA DE TAMIZAJE</v>
      </c>
      <c r="GH190" s="22"/>
      <c r="GI190" s="29"/>
      <c r="GJ190" s="22"/>
      <c r="GK190" s="22"/>
      <c r="GL190" s="22"/>
      <c r="GM190" s="22"/>
      <c r="GN190" s="28" t="s">
        <v>869</v>
      </c>
      <c r="GO190" s="22">
        <v>45020</v>
      </c>
      <c r="GP190" s="29">
        <f t="shared" si="625"/>
        <v>12.428571428571429</v>
      </c>
      <c r="GQ190" s="28" t="s">
        <v>869</v>
      </c>
      <c r="GR190" s="28" t="s">
        <v>869</v>
      </c>
      <c r="GS190" s="22" t="str">
        <f t="shared" si="726"/>
        <v>CONTROL Igm</v>
      </c>
      <c r="GT190" s="22">
        <v>45020</v>
      </c>
      <c r="GU190" s="29">
        <f t="shared" si="627"/>
        <v>12.428571428571429</v>
      </c>
      <c r="GV190" s="21" t="str">
        <f t="shared" si="628"/>
        <v>I TRIM</v>
      </c>
      <c r="GW190" s="28"/>
      <c r="GX190" s="30"/>
      <c r="GY190" s="21"/>
      <c r="GZ190" s="21"/>
      <c r="HA190" s="21"/>
      <c r="HB190" s="21"/>
      <c r="HC190" s="21"/>
      <c r="HD190" s="21"/>
      <c r="HE190" s="21"/>
      <c r="HF190" s="22"/>
      <c r="HG190" s="22" t="str">
        <f>IF(OR(O190&gt;0,R190&gt;0),CONCATENATE(IF(Tabla1[[#This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0" s="22" t="e">
        <f t="shared" si="629"/>
        <v>#REF!</v>
      </c>
      <c r="HI190" s="22" t="e">
        <f t="shared" ca="1" si="630"/>
        <v>#REF!</v>
      </c>
      <c r="HJ190" s="21"/>
      <c r="HK190" s="21" t="str">
        <f t="shared" si="631"/>
        <v>SIN ANTECEDENTES DE RIESGO</v>
      </c>
      <c r="HL190" s="24" t="str">
        <f t="shared" si="632"/>
        <v>APARENTEMENTE NORMAL</v>
      </c>
      <c r="HM190" s="21" t="e">
        <f t="shared" ca="1" si="633"/>
        <v>#REF!</v>
      </c>
      <c r="HN190" s="30" t="str">
        <f t="shared" si="681"/>
        <v>ACTIVA INGRESO A CPN</v>
      </c>
      <c r="HO190" s="21"/>
      <c r="HP190" s="21"/>
      <c r="HQ190" s="349"/>
      <c r="HR190" s="21" t="str">
        <f>IF(R190="","",IF(Tabla1[[#This Row],[ALARMA FACTORES DE RIESGO COMPLICACIONES HIPERTENSIVAS3]]="SIN ANTECEDENTES DE RIESGO","No Aplica para suministro de ASA",IF(AND(Tabla1[[#This Row],[FECHA INICIO DE SUMINISTRO DE ASA]]&gt;0,RV190&lt;12),"Inicia ASA ANTES de Sem 12",IF(AND(RV190&gt;11,RV190&lt;17,OR(HK190="RIESGO ALTO DE COMPLICACIONES HIPERTENSIVAS VER MANEJO GUIA SUMINISTRO ASA Y CALCIO",HK190="RIESGO MODERADO (2 O MAS CRITERIOS) VER MANEJO GUIA SUMINISTRO ASA Y CALCIO")),"Inicio oportuno de ASA",IF(AND(RV190&gt;12,OR(HK190="RIESGO ALTO DE COMPLICACIONES HIPERTENSIVAS VER MANEJO GUIA SUMINISTRO ASA Y CALCIO",HK190="RIESGO MODERADO (2 O MAS CRITERIOS) VER MANEJO GUIA SUMINISTRO ASA Y CALCIO")),"Inicio no oportuno mayor a 16 semanas",IF(AND(BU190&lt;12,OR(HK190="RIESGO ALTO DE COMPLICACIONES HIPERTENSIVAS VER MANEJO GUIA SUMINISTRO ASA Y CALCIO",HK190="RIESGO MODERADO (2 O MAS CRITERIOS) VER MANEJO GUIA SUMINISTRO ASA Y CALCIO")),"Pendiente Inicio de ASA a la semana 12",IF(AND(BU190&gt;11,BU190&lt;17,OR(HK190="RIESGO ALTO DE COMPLICACIONES HIPERTENSIVAS VER MANEJO GUIA SUMINISTRO ASA Y CALCIO",HK190="RIESGO MODERADO (2 O MAS CRITERIOS) VER MANEJO GUIA SUMINISTRO ASA Y CALCIO")),"Iniciar de inmediato ASA",IF(AND(BU190&gt;16,OR(HK190="RIESGO ALTO DE COMPLICACIONES HIPERTENSIVAS VER MANEJO GUIA SUMINISTRO ASA Y CALCIO",HK190="RIESGO MODERADO (2 O MAS CRITERIOS) VER MANEJO GUIA SUMINISTRO ASA Y CALCIO")),"Pierde Oportunidad, Inicio tardío de ASA","XXXXX"))))))))</f>
        <v>No Aplica para suministro de ASA</v>
      </c>
      <c r="HS190" s="22"/>
      <c r="HT190" s="22" t="s">
        <v>1505</v>
      </c>
      <c r="HU190" s="22">
        <v>45020</v>
      </c>
      <c r="HV190" s="22" t="s">
        <v>1506</v>
      </c>
      <c r="HW190" s="22">
        <v>45020</v>
      </c>
      <c r="HX190" s="22"/>
      <c r="HY190" s="22"/>
      <c r="HZ190" s="28" t="str">
        <f t="shared" si="634"/>
        <v>PENDIENTE CONSULTA</v>
      </c>
      <c r="IA190" s="26"/>
      <c r="IB190" s="26"/>
      <c r="IC190" s="111">
        <v>45107</v>
      </c>
      <c r="ID190" s="111">
        <v>45107</v>
      </c>
      <c r="IE190" s="22" t="str">
        <f t="shared" ca="1" si="635"/>
        <v>VACUNA APLICADA ENTRE SEMANA 20 Y SEMANA 26</v>
      </c>
      <c r="IF190" s="22"/>
      <c r="IG190" s="22">
        <f t="shared" si="636"/>
        <v>45213</v>
      </c>
      <c r="IH190" s="29">
        <f t="shared" ca="1" si="637"/>
        <v>-20</v>
      </c>
      <c r="II190" s="22" t="str">
        <f t="shared" ca="1" si="638"/>
        <v>POSIBLEMENTE NACIO</v>
      </c>
      <c r="IJ190" s="22"/>
      <c r="IK190" s="21"/>
      <c r="IL190" s="21"/>
      <c r="IM190" s="34"/>
      <c r="IN190" s="22"/>
      <c r="IO190" s="21"/>
      <c r="IP190" s="29" t="str">
        <f t="shared" si="728"/>
        <v/>
      </c>
      <c r="IQ190" s="35"/>
      <c r="IR190" s="21"/>
      <c r="IS190" s="21"/>
      <c r="IT190" s="21"/>
      <c r="IU190" s="21"/>
      <c r="IV190" s="21"/>
      <c r="IW190" s="21"/>
      <c r="IX190" s="21"/>
      <c r="IY190" s="21"/>
      <c r="IZ190" s="21"/>
      <c r="JA190" s="21"/>
      <c r="JB190" s="30"/>
      <c r="JC190" s="21"/>
      <c r="JD190" s="36"/>
      <c r="JE190" s="21" t="str">
        <f t="shared" si="731"/>
        <v/>
      </c>
      <c r="JF190" s="30"/>
      <c r="JG190" s="21"/>
      <c r="JH190" s="21"/>
      <c r="JI190" s="21"/>
      <c r="JJ190" s="30"/>
      <c r="JK190" s="22"/>
      <c r="JL190" s="22"/>
      <c r="JM190" s="21"/>
      <c r="JN190" s="36"/>
      <c r="JO190" s="21" t="str">
        <f t="shared" si="732"/>
        <v/>
      </c>
      <c r="JP190" s="22"/>
      <c r="JQ190" s="21"/>
      <c r="JR190" s="21"/>
      <c r="JS190" s="21"/>
      <c r="JT190" s="30"/>
      <c r="JU190" s="22"/>
      <c r="JV190" s="22"/>
      <c r="JW190" s="33"/>
      <c r="JX190" s="28" t="str">
        <f t="shared" si="733"/>
        <v/>
      </c>
      <c r="JY190" s="33"/>
      <c r="JZ190" s="28" t="str">
        <f t="shared" si="734"/>
        <v/>
      </c>
      <c r="KA190" s="21"/>
      <c r="KB190" s="21"/>
      <c r="KC190" s="21"/>
      <c r="KD190" s="37"/>
      <c r="KE190" s="28"/>
      <c r="KF190" s="28"/>
      <c r="KG190" s="28"/>
      <c r="KH190" s="39"/>
      <c r="KI190" s="39"/>
      <c r="KJ190" s="66"/>
      <c r="KK190" s="39"/>
      <c r="KL190" s="39"/>
      <c r="KM190" s="66"/>
      <c r="KN190" s="39"/>
      <c r="KO190" s="39"/>
      <c r="KP190" s="39"/>
      <c r="KQ190" s="39"/>
      <c r="KR190" s="39"/>
      <c r="KS190" s="39"/>
      <c r="KT190" s="39"/>
      <c r="KU190" s="38"/>
      <c r="KV190" s="38"/>
      <c r="KW190" s="38"/>
      <c r="KX190" s="38"/>
      <c r="KY190" s="38"/>
      <c r="KZ190" s="38"/>
      <c r="LA190" s="38"/>
      <c r="LB190" s="38"/>
      <c r="LC190" s="38"/>
      <c r="LD190" s="38"/>
      <c r="LE190" s="38"/>
      <c r="LF190" s="38"/>
      <c r="LG190" s="38"/>
      <c r="LH190" s="38"/>
      <c r="LI190" s="38"/>
      <c r="LJ190" s="38"/>
      <c r="LK190" s="38"/>
      <c r="LL190" s="38"/>
      <c r="LM190" s="38"/>
      <c r="LN190" s="38"/>
      <c r="LO190" s="38"/>
      <c r="LP190" s="38"/>
      <c r="LQ190" s="38"/>
      <c r="LR190" s="38"/>
      <c r="LS190" s="38"/>
      <c r="LT190" s="38"/>
      <c r="LU190" s="38"/>
      <c r="LV190" s="38"/>
      <c r="LW190" s="38"/>
      <c r="LX190" s="38"/>
      <c r="LY190" s="38"/>
      <c r="LZ190" s="38"/>
      <c r="MA190" s="38"/>
      <c r="MB190" s="38"/>
      <c r="MC190" s="38"/>
      <c r="MD190" s="38"/>
      <c r="ME190" s="38"/>
      <c r="MF190" s="38"/>
      <c r="MG190" s="38"/>
      <c r="MH190" s="43">
        <f t="shared" si="695"/>
        <v>0</v>
      </c>
      <c r="MI190" s="43" t="str">
        <f t="shared" si="696"/>
        <v/>
      </c>
      <c r="MJ190" s="43" t="str">
        <f t="shared" si="697"/>
        <v/>
      </c>
      <c r="MK190" s="43">
        <f t="shared" si="698"/>
        <v>0</v>
      </c>
      <c r="ML19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0" s="43">
        <f t="shared" si="699"/>
        <v>12.428571428571429</v>
      </c>
      <c r="MN190" s="43">
        <f t="shared" si="700"/>
        <v>4</v>
      </c>
      <c r="MO190" s="43">
        <f t="shared" si="701"/>
        <v>2023</v>
      </c>
      <c r="MP190" s="43" t="str">
        <f t="shared" si="702"/>
        <v>II TRIMESTRE AÑO</v>
      </c>
      <c r="MQ190" s="43">
        <f t="shared" si="703"/>
        <v>18.684296977660971</v>
      </c>
      <c r="MR190" s="43">
        <f t="shared" si="704"/>
        <v>0</v>
      </c>
      <c r="MS190" s="43" t="str">
        <f t="shared" si="705"/>
        <v>DE 14 A 19AÑOS</v>
      </c>
      <c r="MT190" s="43">
        <f t="shared" si="706"/>
        <v>0</v>
      </c>
      <c r="MU190" s="43">
        <f t="shared" si="707"/>
        <v>1</v>
      </c>
      <c r="MV190" s="43">
        <f t="shared" si="708"/>
        <v>0</v>
      </c>
      <c r="MW190" s="43">
        <f t="shared" si="709"/>
        <v>0</v>
      </c>
      <c r="MX190" s="43" t="str">
        <f t="shared" si="710"/>
        <v/>
      </c>
      <c r="MY190" s="43">
        <f t="shared" ca="1" si="735"/>
        <v>1</v>
      </c>
      <c r="MZ190" s="43" t="str">
        <f t="shared" si="711"/>
        <v/>
      </c>
      <c r="NA190" s="43" t="str">
        <f t="shared" si="712"/>
        <v/>
      </c>
      <c r="NB190" s="43" t="str">
        <f t="shared" si="713"/>
        <v/>
      </c>
      <c r="NC190" s="43" t="str">
        <f t="shared" si="714"/>
        <v/>
      </c>
      <c r="ND190" s="43">
        <f t="shared" ca="1" si="715"/>
        <v>2</v>
      </c>
      <c r="NE190" s="43">
        <f>IF(OR(O190&gt;0,R190&gt;0),SUM(COUNTIF(Tabla1[[#This Row],[AÑOS AL INICIO5 CPN]],"&gt;=40"),COUNTIF(AS190,"0"),COUNTIF(AR190,"SI"),COUNTIF(CC190,"SI"),COUNTIF(BQ190,"&gt;119"),COUNTIF(CI190,"&gt;=35")),"")</f>
        <v>1</v>
      </c>
      <c r="NF190" s="43">
        <f t="shared" si="716"/>
        <v>24.857142857142858</v>
      </c>
      <c r="NG190" s="43">
        <f t="shared" si="717"/>
        <v>0</v>
      </c>
      <c r="NH190" s="43">
        <f t="shared" si="718"/>
        <v>192.5</v>
      </c>
      <c r="NI19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CPN",P190="NO"),"Z",IF(AND(Tabla1[[#This Row],[CITA PROXIMO CONTROL]]="CITA MANUAL",Tabla1[[#This Row],[GESTANTES ACTUALES]]="ACTIVA INGRESO A CPN"),"W",IF(AND(Tabla1[[#This Row],[GESTANTES ACTUALES]]="SALIO PROGRAMA",IN190=""),"S",IF(AND(Tabla1[[#This Row],[CITA PROXIMO CONTROL]]&gt;0,IN190=""),(Tabla1[[#This Row],[CITA PROXIMO CONTROL]]-TODAY()),"SD"))))))))</f>
        <v>#REF!</v>
      </c>
      <c r="NJ190" s="43">
        <f>MONTH(Tabla1[[#This Row],[FECHA DE SALIDA  DEL PROGRAMA]])</f>
        <v>1</v>
      </c>
      <c r="NK190" s="43">
        <f>YEAR(Tabla1[[#This Row],[FECHA DE SALIDA  DEL PROGRAMA]])</f>
        <v>1900</v>
      </c>
      <c r="NL190" s="43" t="str">
        <f t="shared" si="719"/>
        <v>X</v>
      </c>
      <c r="NM190" s="43" t="str">
        <f t="shared" si="693"/>
        <v>NO</v>
      </c>
      <c r="NN190" s="43" t="str">
        <f ca="1">IF(AND(O190&gt;0,R190=""),"NO CPN",IF(AND(O190="",R190=""),"",IF(AND(R190&gt;0,Tabla1[[#This Row],[SEMANAS DE GESTACION ACTUALIZADAS]]&lt;=12),"NO APLICA",IF(AND(FH190&lt;&gt;"",FN190&lt;&gt;""),"SI","NO"))))</f>
        <v>NO</v>
      </c>
      <c r="NO190" s="43" t="str">
        <f ca="1">IF(AND(O190&gt;0,R190=""),"NO CPN",IF(AND(O190="",R190=""),"",IF(AND(R190&gt;0,Tabla1[[#This Row],[SEMANAS DE GESTACION ACTUALIZADAS]]&lt;=27),"NO APLICA",IF(AND(ES190&lt;&gt;"",FQ190&lt;&gt;"",GF190&lt;&gt;""),"SI","NO"))))</f>
        <v>NO</v>
      </c>
      <c r="NP190" s="204" t="str">
        <f t="shared" si="720"/>
        <v>II TRIM</v>
      </c>
      <c r="NQ190" s="21" t="str">
        <f t="shared" si="729"/>
        <v/>
      </c>
      <c r="NR190" s="21">
        <f t="shared" ca="1" si="736"/>
        <v>2</v>
      </c>
      <c r="NS190" s="205">
        <f t="shared" ca="1" si="721"/>
        <v>1</v>
      </c>
      <c r="NT190" s="21">
        <f t="shared" ca="1" si="722"/>
        <v>1</v>
      </c>
      <c r="NU190" s="21" t="str">
        <f t="shared" ca="1" si="723"/>
        <v>INCOMPLETO</v>
      </c>
      <c r="NV190" s="21" t="str">
        <f t="shared" ca="1" si="724"/>
        <v>INCOMPLETO</v>
      </c>
      <c r="NW190" s="206" t="str">
        <f>IF(AND(O190="",R190=""),"",IF(OR(AND(Tabla1[[#This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0" s="207" t="str">
        <f t="shared" ca="1" si="725"/>
        <v>VACUNADA</v>
      </c>
      <c r="NY190" s="43">
        <f>ROW(Tabla1[[#This Row],['# DE TAMIZAJES SIFILIS TOMADOS ]])</f>
        <v>190</v>
      </c>
      <c r="NZ190" s="43">
        <f t="shared" si="501"/>
        <v>12</v>
      </c>
      <c r="OA190" s="43" t="str">
        <f t="shared" si="502"/>
        <v/>
      </c>
      <c r="OB190" s="43" t="str">
        <f t="shared" si="503"/>
        <v/>
      </c>
      <c r="OC190" s="43" t="str">
        <f t="shared" si="504"/>
        <v/>
      </c>
      <c r="OD190" s="43" t="str">
        <f t="shared" si="505"/>
        <v>NORMAL</v>
      </c>
      <c r="OE190" s="43" t="str">
        <f t="shared" si="506"/>
        <v/>
      </c>
      <c r="OF190" s="43" t="str">
        <f t="shared" si="507"/>
        <v/>
      </c>
      <c r="OG190" s="43" t="str">
        <f t="shared" si="508"/>
        <v/>
      </c>
      <c r="OH190" s="43" t="str">
        <f t="shared" si="509"/>
        <v/>
      </c>
      <c r="OI190" s="43" t="str">
        <f t="shared" si="510"/>
        <v/>
      </c>
      <c r="OJ190" s="43" t="str">
        <f t="shared" si="511"/>
        <v/>
      </c>
      <c r="OK190" s="43" t="str">
        <f t="shared" si="512"/>
        <v/>
      </c>
      <c r="OL190" s="43" t="str">
        <f t="shared" si="513"/>
        <v/>
      </c>
      <c r="OM190" s="43" t="str">
        <f t="shared" si="514"/>
        <v/>
      </c>
      <c r="ON190" s="43" t="str">
        <f t="shared" si="515"/>
        <v/>
      </c>
      <c r="OO190" s="43" t="str">
        <f t="shared" si="516"/>
        <v/>
      </c>
      <c r="OP190" s="43" t="str">
        <f t="shared" si="517"/>
        <v/>
      </c>
      <c r="OQ190" s="43" t="str">
        <f t="shared" si="518"/>
        <v/>
      </c>
      <c r="OR190" s="43" t="str">
        <f t="shared" si="519"/>
        <v/>
      </c>
      <c r="OS190" s="43" t="str">
        <f t="shared" si="520"/>
        <v/>
      </c>
      <c r="OT190" s="43" t="str">
        <f t="shared" si="521"/>
        <v/>
      </c>
      <c r="OU190" s="43" t="str">
        <f t="shared" si="522"/>
        <v/>
      </c>
      <c r="OV190" s="110" t="str">
        <f t="shared" si="523"/>
        <v/>
      </c>
      <c r="OW190" s="43" t="str">
        <f t="shared" si="524"/>
        <v/>
      </c>
      <c r="OX190" s="43" t="str">
        <f t="shared" si="525"/>
        <v/>
      </c>
      <c r="OY190" s="43" t="str">
        <f t="shared" si="526"/>
        <v/>
      </c>
      <c r="OZ190" s="43" t="str">
        <f t="shared" si="527"/>
        <v/>
      </c>
      <c r="PA190" s="43" t="str">
        <f t="shared" si="528"/>
        <v/>
      </c>
      <c r="PB190" s="43" t="str">
        <f t="shared" si="529"/>
        <v/>
      </c>
      <c r="PC190" s="43" t="str">
        <f t="shared" si="530"/>
        <v/>
      </c>
      <c r="PD190" s="43" t="str">
        <f t="shared" si="531"/>
        <v/>
      </c>
      <c r="PE190" s="43" t="str">
        <f t="shared" si="532"/>
        <v/>
      </c>
      <c r="PF190" s="43" t="str">
        <f t="shared" si="533"/>
        <v/>
      </c>
      <c r="PG190" s="43" t="str">
        <f t="shared" si="534"/>
        <v/>
      </c>
      <c r="PH190" s="43" t="str">
        <f t="shared" si="535"/>
        <v/>
      </c>
      <c r="PI190" s="43">
        <f t="shared" si="536"/>
        <v>30</v>
      </c>
      <c r="PJ190" s="43" t="str">
        <f t="shared" si="537"/>
        <v/>
      </c>
      <c r="PK190" s="43" t="str">
        <f t="shared" si="538"/>
        <v/>
      </c>
      <c r="PL190" s="43" t="str">
        <f t="shared" si="539"/>
        <v/>
      </c>
      <c r="PM190" s="43" t="str">
        <f t="shared" si="540"/>
        <v/>
      </c>
      <c r="PN190" s="43" t="str">
        <f t="shared" si="541"/>
        <v/>
      </c>
      <c r="PO190" s="43" t="str">
        <f t="shared" si="542"/>
        <v/>
      </c>
      <c r="PP190" s="43" t="str">
        <f t="shared" si="543"/>
        <v/>
      </c>
      <c r="PQ190" s="43" t="str">
        <f t="shared" si="544"/>
        <v/>
      </c>
      <c r="PR190" s="43" t="str">
        <f t="shared" si="545"/>
        <v/>
      </c>
      <c r="PS190" s="43" t="str">
        <f t="shared" si="546"/>
        <v/>
      </c>
      <c r="PT190" s="43" t="str">
        <f t="shared" si="547"/>
        <v/>
      </c>
      <c r="PU190" s="43" t="str">
        <f t="shared" si="548"/>
        <v/>
      </c>
      <c r="PV190" s="43" t="str">
        <f t="shared" si="549"/>
        <v/>
      </c>
      <c r="PW190" s="43" t="str">
        <f t="shared" si="550"/>
        <v/>
      </c>
      <c r="PX190" s="43" t="str">
        <f t="shared" si="551"/>
        <v/>
      </c>
      <c r="PY190" s="43" t="str">
        <f t="shared" si="552"/>
        <v/>
      </c>
      <c r="PZ190" s="43" t="str">
        <f t="shared" si="553"/>
        <v/>
      </c>
      <c r="QA190" s="43" t="str">
        <f t="shared" si="554"/>
        <v/>
      </c>
      <c r="QB190" s="43" t="str">
        <f t="shared" si="555"/>
        <v/>
      </c>
      <c r="QC190" s="43" t="str">
        <f t="shared" si="556"/>
        <v/>
      </c>
      <c r="QD190" s="43" t="str">
        <f t="shared" si="557"/>
        <v/>
      </c>
      <c r="QE190" s="43" t="str">
        <f t="shared" si="558"/>
        <v>NORMAL</v>
      </c>
      <c r="QF190" s="43" t="str">
        <f t="shared" si="559"/>
        <v/>
      </c>
      <c r="QG190" s="43" t="str">
        <f t="shared" si="560"/>
        <v/>
      </c>
      <c r="QH190" s="43" t="str">
        <f t="shared" si="561"/>
        <v/>
      </c>
      <c r="QI190" s="43" t="str">
        <f t="shared" si="562"/>
        <v/>
      </c>
      <c r="QJ190" s="43" t="str">
        <f t="shared" si="563"/>
        <v/>
      </c>
      <c r="QK190" s="43" t="str">
        <f t="shared" si="564"/>
        <v/>
      </c>
      <c r="QL190" s="43" t="str">
        <f t="shared" si="565"/>
        <v/>
      </c>
      <c r="QM190" s="43" t="str">
        <f t="shared" si="566"/>
        <v/>
      </c>
      <c r="QN190" s="43" t="str">
        <f t="shared" si="567"/>
        <v/>
      </c>
      <c r="QO190" s="43" t="str">
        <f t="shared" si="568"/>
        <v/>
      </c>
      <c r="QP190" s="43" t="str">
        <f t="shared" si="569"/>
        <v/>
      </c>
      <c r="QQ190" s="43" t="str">
        <f t="shared" si="570"/>
        <v/>
      </c>
      <c r="QR190" s="43">
        <f t="shared" si="670"/>
        <v>30</v>
      </c>
      <c r="QS190" s="43"/>
      <c r="QT190" s="21" t="str">
        <f t="shared" si="571"/>
        <v/>
      </c>
      <c r="QU190" s="21" t="str">
        <f t="shared" si="572"/>
        <v/>
      </c>
      <c r="QV190" s="21" t="str">
        <f t="shared" si="573"/>
        <v/>
      </c>
      <c r="QW190" s="21" t="str">
        <f t="shared" si="574"/>
        <v/>
      </c>
      <c r="QX190" s="21" t="str">
        <f t="shared" si="575"/>
        <v/>
      </c>
      <c r="QY190" s="21" t="str">
        <f t="shared" si="576"/>
        <v/>
      </c>
      <c r="QZ190" s="21" t="str">
        <f t="shared" si="577"/>
        <v/>
      </c>
      <c r="RA190" s="21" t="str">
        <f t="shared" si="578"/>
        <v/>
      </c>
      <c r="RB190" s="21" t="str">
        <f t="shared" si="579"/>
        <v/>
      </c>
      <c r="RC190" s="21" t="str">
        <f t="shared" si="580"/>
        <v/>
      </c>
      <c r="RD190" s="21" t="str">
        <f t="shared" si="581"/>
        <v/>
      </c>
      <c r="RE190" s="21" t="str">
        <f t="shared" si="582"/>
        <v/>
      </c>
      <c r="RF190" s="21" t="str">
        <f t="shared" si="583"/>
        <v/>
      </c>
      <c r="RG190" s="21" t="str">
        <f t="shared" si="584"/>
        <v/>
      </c>
      <c r="RH190" s="21" t="str">
        <f t="shared" si="585"/>
        <v/>
      </c>
      <c r="RI190" s="21" t="str">
        <f t="shared" si="586"/>
        <v/>
      </c>
      <c r="RJ190" s="21" t="str">
        <f t="shared" si="587"/>
        <v/>
      </c>
      <c r="RK190" s="21" t="str">
        <f t="shared" si="588"/>
        <v/>
      </c>
      <c r="RL190" s="21" t="str">
        <f t="shared" si="589"/>
        <v/>
      </c>
      <c r="RM190" s="21" t="str">
        <f t="shared" si="590"/>
        <v/>
      </c>
      <c r="RN190" s="21" t="str">
        <f t="shared" si="591"/>
        <v/>
      </c>
      <c r="RO190" s="21" t="str">
        <f t="shared" si="592"/>
        <v/>
      </c>
      <c r="RP190" s="21" t="str">
        <f t="shared" si="593"/>
        <v/>
      </c>
      <c r="RQ190" s="21" t="str">
        <f t="shared" si="594"/>
        <v/>
      </c>
      <c r="RR190" s="21" t="str">
        <f t="shared" si="595"/>
        <v/>
      </c>
      <c r="RS190" s="21" t="str">
        <f t="shared" si="596"/>
        <v/>
      </c>
      <c r="RT190" s="21" t="str">
        <f t="shared" si="597"/>
        <v/>
      </c>
      <c r="RU190" s="21" t="str">
        <f t="shared" si="598"/>
        <v/>
      </c>
      <c r="RV190" s="21">
        <f t="shared" si="599"/>
        <v>-1</v>
      </c>
      <c r="RW190" s="284">
        <f>IF(OR(Tabla1[[#This Row],[FUM FORMULA CONFIABLE]]="",Tabla1[[#This Row],[FUM FORMULA CONFIABLE]]="SD"),"",IF(Tabla1[[#This Row],[FUM FORMULA CONFIABLE]]="CORREGIDA",Tabla1[[#This Row],[FUM X ECO 1]],Tabla1[[#This Row],[FUM x AMENORREA]]))</f>
        <v>44933</v>
      </c>
      <c r="RX190" s="21">
        <f>IF(AND(Tabla1[[#This Row],[FUM X ECO 1]]="",Tabla1[[#This Row],[FUM x AMENORREA]]=""),"",IF(AND(Tabla1[[#This Row],[FUM X ECO 1]]="",Tabla1[[#This Row],[FUM x AMENORREA]]&lt;&gt;""),"X",SUM(Tabla1[[#This Row],[FUM X ECO 1]]-Tabla1[[#This Row],[FUM x AMENORREA]])))</f>
        <v>-4.5</v>
      </c>
      <c r="RY190" s="21">
        <f t="shared" si="671"/>
        <v>0</v>
      </c>
    </row>
    <row r="191" spans="1:493" ht="45" customHeight="1" x14ac:dyDescent="0.25">
      <c r="A191" s="109"/>
      <c r="B191" s="43"/>
      <c r="C191" s="43" t="s">
        <v>845</v>
      </c>
      <c r="D191" s="124"/>
      <c r="E191" s="43" t="s">
        <v>884</v>
      </c>
      <c r="F191" s="43" t="s">
        <v>1144</v>
      </c>
      <c r="G191" s="43" t="s">
        <v>1534</v>
      </c>
      <c r="H191" s="43"/>
      <c r="I191" s="109" t="s">
        <v>851</v>
      </c>
      <c r="J191" s="288">
        <v>1002846626</v>
      </c>
      <c r="K191" s="43" t="s">
        <v>852</v>
      </c>
      <c r="L191" s="175" t="s">
        <v>1509</v>
      </c>
      <c r="M191" s="22">
        <v>36622</v>
      </c>
      <c r="N191" s="213">
        <f t="shared" ca="1" si="600"/>
        <v>23.591780821917808</v>
      </c>
      <c r="O191" s="22">
        <v>45069</v>
      </c>
      <c r="P191" s="214" t="str">
        <f t="shared" si="673"/>
        <v>SI</v>
      </c>
      <c r="Q191" s="26" t="s">
        <v>855</v>
      </c>
      <c r="R191" s="22">
        <v>45069</v>
      </c>
      <c r="S191" s="21" t="s">
        <v>856</v>
      </c>
      <c r="T191" s="24" t="s">
        <v>690</v>
      </c>
      <c r="U191" s="21" t="s">
        <v>857</v>
      </c>
      <c r="V191" s="21" t="s">
        <v>858</v>
      </c>
      <c r="W191" s="21" t="s">
        <v>1062</v>
      </c>
      <c r="X191" s="21"/>
      <c r="Y191" s="21"/>
      <c r="Z191" s="21"/>
      <c r="AA191" s="21" t="s">
        <v>860</v>
      </c>
      <c r="AB191" s="27" t="s">
        <v>861</v>
      </c>
      <c r="AC191" s="26" t="s">
        <v>846</v>
      </c>
      <c r="AD191" s="38" t="s">
        <v>1546</v>
      </c>
      <c r="AE191" s="26" t="s">
        <v>854</v>
      </c>
      <c r="AF191" s="26" t="s">
        <v>854</v>
      </c>
      <c r="AG191" s="23" t="s">
        <v>864</v>
      </c>
      <c r="AH191" s="23" t="s">
        <v>864</v>
      </c>
      <c r="AI191" s="24" t="s">
        <v>863</v>
      </c>
      <c r="AJ191" s="23" t="s">
        <v>864</v>
      </c>
      <c r="AK191" s="220" t="str">
        <f>IF(AND(AD191="",AE191="",AF191="",AG191="",AH191="",AI191="",AJ191=""),"",IF(OR(Tabla1[[#This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EVALUACIÓN",IF(AND(O191="",R191=""),"",IF(AND(OR(O191&gt;0,R191&gt;0),NG191&gt;=0,NG191&lt;2),"SIN RIESGO",IF(AND(OR(O191&gt;0,R191&gt;0),NG191&gt;=2),"CON RIESGO","ASD")))))</f>
        <v>SIN RIESGO</v>
      </c>
      <c r="AL191" s="23" t="s">
        <v>864</v>
      </c>
      <c r="AM191" s="26" t="s">
        <v>864</v>
      </c>
      <c r="AN191" s="26" t="s">
        <v>864</v>
      </c>
      <c r="AO191" s="26" t="s">
        <v>864</v>
      </c>
      <c r="AP191" s="26" t="s">
        <v>864</v>
      </c>
      <c r="AQ191" s="26" t="s">
        <v>864</v>
      </c>
      <c r="AR191" s="26" t="s">
        <v>864</v>
      </c>
      <c r="AS191" s="21">
        <v>2</v>
      </c>
      <c r="AT191" s="21">
        <v>2</v>
      </c>
      <c r="AU191" s="21">
        <v>0</v>
      </c>
      <c r="AV191" s="26" t="s">
        <v>864</v>
      </c>
      <c r="AW191" s="21">
        <v>0</v>
      </c>
      <c r="AX191" s="26" t="s">
        <v>864</v>
      </c>
      <c r="AY191" s="26" t="s">
        <v>864</v>
      </c>
      <c r="AZ191" s="26" t="s">
        <v>864</v>
      </c>
      <c r="BA191" s="26" t="s">
        <v>864</v>
      </c>
      <c r="BB191" s="26" t="s">
        <v>864</v>
      </c>
      <c r="BC191" s="26" t="s">
        <v>864</v>
      </c>
      <c r="BD191" s="26" t="s">
        <v>864</v>
      </c>
      <c r="BE191" s="26" t="s">
        <v>864</v>
      </c>
      <c r="BF191" s="26" t="s">
        <v>864</v>
      </c>
      <c r="BG191" s="26" t="s">
        <v>864</v>
      </c>
      <c r="BH191" s="26" t="s">
        <v>864</v>
      </c>
      <c r="BI191" s="26" t="s">
        <v>864</v>
      </c>
      <c r="BJ191" s="26" t="s">
        <v>864</v>
      </c>
      <c r="BK191" s="26" t="s">
        <v>864</v>
      </c>
      <c r="BL191" s="26" t="s">
        <v>864</v>
      </c>
      <c r="BM191" s="26" t="s">
        <v>864</v>
      </c>
      <c r="BN191" s="22"/>
      <c r="BO191" s="22">
        <v>44947</v>
      </c>
      <c r="BP191" s="21" t="s">
        <v>854</v>
      </c>
      <c r="BQ191" s="222">
        <f t="shared" si="601"/>
        <v>0</v>
      </c>
      <c r="BR191" s="223" t="str">
        <f t="shared" si="602"/>
        <v/>
      </c>
      <c r="BS191" s="224">
        <f t="shared" si="603"/>
        <v>17.428571428571427</v>
      </c>
      <c r="BT191" s="216" t="str">
        <f t="shared" si="604"/>
        <v>II TRIM</v>
      </c>
      <c r="BU191" s="214">
        <f t="shared" ca="1" si="605"/>
        <v>40.857142857142854</v>
      </c>
      <c r="BV191" s="25"/>
      <c r="BW191" s="22"/>
      <c r="BX191" s="28"/>
      <c r="BY191" s="28"/>
      <c r="BZ191" s="22"/>
      <c r="CA191" s="21"/>
      <c r="CB191" s="26" t="s">
        <v>864</v>
      </c>
      <c r="CC191" s="26" t="s">
        <v>864</v>
      </c>
      <c r="CD191" s="26"/>
      <c r="CE191" s="26" t="s">
        <v>864</v>
      </c>
      <c r="CF191" s="22" t="s">
        <v>1517</v>
      </c>
      <c r="CG191" s="21">
        <v>1.41</v>
      </c>
      <c r="CH191" s="21">
        <v>77.5</v>
      </c>
      <c r="CI191" s="214">
        <f t="shared" si="606"/>
        <v>38.981942558221419</v>
      </c>
      <c r="CJ191" s="225" t="e">
        <f>IF(AND(CI191&lt;10,CH191="SD"),"SIN DATO PESO PREGESTACION O I TRIM",IF(AND(OR(R191&gt;0,O191&gt;0),CI191="X"),"INGRESAR DATO DE PESO",IF(CI191="SD","INGRESAR DATO DE TALLA Y PESO",IF(AND(OR(Tabla1[[#This Row],[MOMENTO EN QUE SE REALIZA EL PESO AL INGRESO A CPN]]="PREGESTACIÓN",NZ191="Menor"),CI191&lt;18.5),"BAJO PESO",IF(AND(OR(Tabla1[[#This Row],[MOMENTO EN QUE SE REALIZA EL PESO AL INGRESO A CPN]]="PREGESTACIÓN",NZ191="Menor"),CI191&lt;25),"NORMAL",IF(AND(OR(Tabla1[[#This Row],[MOMENTO EN QUE SE REALIZA EL PESO AL INGRESO A CPN]]="PREGESTACIÓN",NZ191="Menor"),CI191&lt;30),"SOBREPESO",IF(AND(OR(Tabla1[[#This Row],[MOMENTO EN QUE SE REALIZA EL PESO AL INGRESO A CPN]]="PREGESTACIÓN",NZ191="Menor"),CI191&gt;=30,CI191&lt;50),"OBESIDAD",IF(AND(BS191&gt;0,Tabla1[[#This Row],[MOMENTO EN QUE SE REALIZA EL PESO AL INGRESO A CPN]]="GESTACIÓN"),HLOOKUP(NZ191,$OA$2:PH191,NY191),""))))))))</f>
        <v>#REF!</v>
      </c>
      <c r="CK191" s="212">
        <f t="shared" si="607"/>
        <v>45069</v>
      </c>
      <c r="CL191" s="21">
        <v>77.5</v>
      </c>
      <c r="CM191" s="214">
        <f t="shared" si="608"/>
        <v>38.981942558221419</v>
      </c>
      <c r="CN191" s="216">
        <f t="shared" si="609"/>
        <v>17</v>
      </c>
      <c r="CO191" s="216" t="e">
        <f>IF(PI191="","",IF(PI191&gt;0,HLOOKUP(PI191,$PJ$2:QQ191,NY191),""))</f>
        <v>#REF!</v>
      </c>
      <c r="CP191" s="21"/>
      <c r="CQ191" s="216" t="e">
        <f>IF(QR191="Menor","NO APLICA-MENOR 13 SEM",IF(AND(CC191="SI",CN191&gt;23),"NO APLICA- GEMELAR",IF(QR191="","",IF(QR191&gt;0,HLOOKUP(QR191,$QS$2:RU191,NY191),""))))</f>
        <v>#REF!</v>
      </c>
      <c r="CR191" s="21"/>
      <c r="CS191" s="21"/>
      <c r="CT191" s="217" t="str">
        <f>IF(R191="","",IF(AND(BS191&gt;1,BS191&lt;12,Tabla1[[#This Row],[T.A. SISTOLICA - ANTES DE SEMANA 12]]="",Tabla1[[#This Row],[T.A. DIASTOLICA - ANTES DE SEMANA 12]]=""),"REGISTRE DATO TA ANTES SEMANA 12",IF(AND(BS191&gt;11,BS191&lt;43,Tabla1[[#This Row],[T.A. SISTOLICA - ANTES DE SEMANA 12]]="",Tabla1[[#This Row],[T.A. DIASTOLICA - ANTES DE SEMANA 12]]=""),"NO APLICA REGISTRO TA-INGRESO TARDIO",IF(AND(OR(O191&gt;0,R191&gt;0),OR(CR191&gt;=140,CS191&gt;=90)),"DEFINIR ESTADIO HTA",IF(AND(OR(O191&gt;0,R191&gt;0),AND(CR191&gt;120,CR191&lt;=139)),"PRE HTA SEGUIMIENTO",IF(AND(OR(O191&gt;0,R191&gt;0),AND(CS191&gt;80,CS191&lt;=89)),"PRE HTA SEGUIMIENTO",IF(AND(OR(O191&gt;0,R191&gt;0),AND(CR191&gt;=80,CR191&lt;=120)),"APARENTEMENTE NORMAL",IF(AND(OR(O191&gt;0,R191&gt;0),AND(CS191&gt;=50,CS191&lt;=80)),"APARENTEMENTE NORMAL",IF(AND(OR(O191&gt;0,R191&gt;0),AND(CR191&gt;1,CR191&lt;=70),AND(CS191&gt;1,CS191&lt;=40)),"HIPOTENSIÓN","")))))))))</f>
        <v>NO APLICA REGISTRO TA-INGRESO TARDIO</v>
      </c>
      <c r="CU191" s="21"/>
      <c r="CV191" s="21"/>
      <c r="CW191" s="217" t="str">
        <f ca="1">IF(R191="","",IF(AND(CN191&gt;19,CN191&lt;27,Tabla1[[#This Row],[T.A. SISTOLICA (Entre semana 20 y 26)]]="",Tabla1[[#This Row],[T.A. DIATOLICA (Entre semana 20 y 26)]]=""),"ACUDE A CONTROL SEM 20 A 26 REGISTRE TA AHORA",IF(AND(BS191&gt;1,BS191&lt;27,BU191&gt;19,Tabla1[[#This Row],[T.A. SISTOLICA (Entre semana 20 y 26)]]="",Tabla1[[#This Row],[T.A. DIATOLICA (Entre semana 20 y 26)]]=""),"COMPLETE REGISTRO TA CONTROL SEM 20 A26 ",IF(AND(BS191&gt;26,BS191&lt;43,Tabla1[[#This Row],[T.A. SISTOLICA (Entre semana 20 y 26)]]="",Tabla1[[#This Row],[T.A. DIATOLICA (Entre semana 20 y 26)]]=""),"NO APLICA REGISTRO TA-INGRESO TARDIO",IF(AND(OR(O191&gt;0,R191&gt;0),OR(CU191&gt;=140,CV191&gt;=90)),"ALTO RIESGO PREECLAMPSIA,DEFINIR ESTADIO HTA",IF(AND(OR(O191&gt;0,R191&gt;0),AND(CU191&gt;120,CU191&lt;=139)),"PRE HTA SEGUIMIENTO,RIESGO HIPERTENSION INDUCIDA POR EL EMBARAZO",IF(AND(OR(O191&gt;0,R191&gt;0),AND(CV191&gt;80,CV191&lt;=89)),"PRE HTA SEGUIMIENTO, RIESGO HIPERTENSION INDUCIDA POR EL EMBARAZO",IF(AND(OR(O191&lt;&gt;"",R191&lt;&gt;""),CS191&lt;&gt;"",CV191&lt;&gt;"",CS191&lt;=CV191),"VIGILAR CIFRAS PRESION ARTERIAL",IF(AND(OR(O191&gt;0,R191&gt;0),AND(CU191&gt;120,CU191&lt;=139)),"PRE HTA SEGUIMIENTO",IF(AND(OR(O191&gt;0,R191&gt;0),AND(CU191&gt;1,CU191&lt;=70),AND(CV191&gt;1,CV191&lt;=40)),"HIPOTENSIÓN",IF(AND(OR(O191&lt;&gt;"",R191&lt;&gt;""),CS191&lt;&gt;"",CV191&lt;&gt;"",CS191&gt;CV191),"APARENTEMENTE NORMAL",IF(AND(OR(O191&gt;0,R191&gt;0),AND(CU191&gt;=80,CU191&lt;=120)),"APARENTEMENTE NORMAL",IF(AND(OR(O191&gt;0,R191&gt;0),AND(CV191&gt;=50,CV191&lt;=80)),"APARENTEMENTE NORMAL","")))))))))))))</f>
        <v xml:space="preserve">COMPLETE REGISTRO TA CONTROL SEM 20 A26 </v>
      </c>
      <c r="CX191" s="21"/>
      <c r="CY191" s="21"/>
      <c r="CZ191" s="216" t="e">
        <f>IF(R191="","",IF(AND(CN191&gt;31,CN191&lt;35,CX191="",CY191=""),"ACUDE A CONTROL SEM 30 A 34- REGISTRE AHORA",IF(AND(BS191&gt;34,BS191&lt;43,#REF!="",#REF!=""),"NO APLICA-INGRESO TARDIO",IF(AND(OR(O191&gt;0,R191&gt;0),OR(CX191&gt;=140,CY191&gt;=90)),"ESTUDIO INMEDIATO HTA PARA DESCARTAR PREECLAMSIA",IF(AND(OR(O191&gt;0,R191&gt;0),AND(CX191&gt;=130,CX191&lt;=139)),"PRE HTA,RIESGO ALTO PREECLAMPSIA",IF(AND(OR(O191&gt;0,R191&gt;0),AND(CY191&gt;80,CY191&lt;=89)),"PRE HTA,RIESGO ALTO PREECLAMPSIA",IF(AND(OR(O191&gt;0,R191&gt;0),AND(CX191&gt;120,CX191&lt;=129)),"RANGO PREHIPERTENSIVO SEGUIMIENTO HTA",IF(AND(OR(O191&lt;&gt;"",R191&lt;&gt;""),CS191&lt;&gt;"",CY191&lt;&gt;"",CS191&lt;CY191),"VIGILAR CIFRAS PRESION ARTERIAL",IF(AND(OR(O191&lt;&gt;"",R191&lt;&gt;""),CS191&lt;&gt;"",CY191&lt;&gt;"",CS191=CY191),"APARENTEMENTE NORMAL",IF(AND(OR(O191&gt;0,R191&gt;0),CX191&gt;=80,CX191&lt;=120),"APARENTEMENTE NORMAL",IF(AND(OR(O191&gt;0,R191&gt;0),CY191&gt;=50,CY191&lt;=80),"APARENTEMENTE NORMAL","")))))))))))</f>
        <v>#REF!</v>
      </c>
      <c r="DA191" s="21">
        <v>100</v>
      </c>
      <c r="DB191" s="21">
        <v>60</v>
      </c>
      <c r="DC191" s="217" t="str">
        <f t="shared" si="610"/>
        <v>APARENTEMENTE NORMAL</v>
      </c>
      <c r="DD191" s="22">
        <v>45007</v>
      </c>
      <c r="DE191" s="22">
        <v>45007</v>
      </c>
      <c r="DF191" s="22">
        <v>45069</v>
      </c>
      <c r="DG191" s="22"/>
      <c r="DH191" s="22"/>
      <c r="DI191" s="22"/>
      <c r="DJ191" s="22"/>
      <c r="DK191" s="22"/>
      <c r="DL191" s="22"/>
      <c r="DM191" s="22"/>
      <c r="DN191" s="22"/>
      <c r="DO191" s="22"/>
      <c r="DP191" s="22"/>
      <c r="DQ191" s="22"/>
      <c r="DR191" s="28">
        <v>0</v>
      </c>
      <c r="DS191" s="22"/>
      <c r="DT191" s="22"/>
      <c r="DU191" s="216" t="str">
        <f t="shared" ca="1" si="674"/>
        <v>CONCERTAR PLAN DE PARTO INMEDIATO</v>
      </c>
      <c r="DV191" s="226" t="str">
        <f t="shared" si="675"/>
        <v>ACTIVA INGRESO A CPN</v>
      </c>
      <c r="DW19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1" s="216" t="e">
        <f t="shared" ca="1" si="611"/>
        <v>#REF!</v>
      </c>
      <c r="DY191" s="212">
        <f>IF(R191="","",IF(R191&gt;0,MAX(Tabla1[[#This Row],[FECHA C2]:[FECHA C13]],Tabla1[[#This Row],[FECHA CONSULTA PRIMERA VEZ PROGRAMA CPN ]])))</f>
        <v>45069</v>
      </c>
      <c r="DZ191" s="216">
        <f t="shared" si="612"/>
        <v>17</v>
      </c>
      <c r="EA191" s="222">
        <f>IF(R191&gt;0,SUM(COUNTA(DF191:DQ191)+COUNTA(Tabla1[[#This Row],[FECHA CONSULTA PRIMERA VEZ PROGRAMA CPN ]])),"")</f>
        <v>2</v>
      </c>
      <c r="EB191" s="222" t="str">
        <f t="shared" si="613"/>
        <v>NO</v>
      </c>
      <c r="EC191" s="214">
        <f t="shared" si="614"/>
        <v>7</v>
      </c>
      <c r="ED191" s="227">
        <f t="shared" si="615"/>
        <v>0.2857142857142857</v>
      </c>
      <c r="EE191" s="22">
        <v>45007</v>
      </c>
      <c r="EF191" s="22">
        <v>45072</v>
      </c>
      <c r="EG191" s="22">
        <v>45007</v>
      </c>
      <c r="EH191" s="22"/>
      <c r="EI191" s="22">
        <v>45007</v>
      </c>
      <c r="EJ191" s="22"/>
      <c r="EK191" s="22"/>
      <c r="EL191" s="21"/>
      <c r="EM191" s="21">
        <v>13.3</v>
      </c>
      <c r="EN191" s="22">
        <v>45072</v>
      </c>
      <c r="EO191" s="222">
        <f t="shared" si="616"/>
        <v>17.857142857142858</v>
      </c>
      <c r="EP191" s="214" t="str">
        <f t="shared" si="617"/>
        <v>NORMAL- SUMINISTRAR SULFATO FERROSO</v>
      </c>
      <c r="EQ191" s="216" t="str">
        <f t="shared" si="618"/>
        <v>II TRIM</v>
      </c>
      <c r="ER191" s="24"/>
      <c r="ES191" s="22"/>
      <c r="ET191" s="29" t="str">
        <f t="shared" ca="1" si="676"/>
        <v>TOMA DE HEMOGLOBINA TARDÍA</v>
      </c>
      <c r="EU191" s="25" t="str">
        <f t="shared" si="619"/>
        <v/>
      </c>
      <c r="EV191" s="24" t="s">
        <v>1510</v>
      </c>
      <c r="EW191" s="32">
        <v>45013</v>
      </c>
      <c r="EX191" s="22"/>
      <c r="EY191" s="29">
        <f t="shared" si="691"/>
        <v>9.4285714285714288</v>
      </c>
      <c r="EZ191" s="25" t="str">
        <f t="shared" si="692"/>
        <v>SIN RIESGO DE ISOINMUNIZACIÓN</v>
      </c>
      <c r="FA191" s="21">
        <v>56</v>
      </c>
      <c r="FB191" s="22">
        <v>45013</v>
      </c>
      <c r="FC191" s="29">
        <f t="shared" si="620"/>
        <v>9.4285714285714288</v>
      </c>
      <c r="FD191" s="29"/>
      <c r="FE191" s="29"/>
      <c r="FF191" s="29"/>
      <c r="FG191" s="21" t="str">
        <f t="shared" ca="1" si="621"/>
        <v>TOMAR PTOG</v>
      </c>
      <c r="FH191" s="31"/>
      <c r="FI191" s="29" t="str">
        <f t="shared" si="622"/>
        <v>TOMAR EXAMEN</v>
      </c>
      <c r="FJ191" s="22" t="s">
        <v>867</v>
      </c>
      <c r="FK191" s="22">
        <v>45013</v>
      </c>
      <c r="FL191" s="29">
        <f t="shared" ca="1" si="623"/>
        <v>9.4285714285714288</v>
      </c>
      <c r="FM191" s="22"/>
      <c r="FN191" s="32"/>
      <c r="FO191" s="29" t="str">
        <f t="shared" ca="1" si="677"/>
        <v>PIERDE TOMA DE TAMIZAJE</v>
      </c>
      <c r="FP191" s="22"/>
      <c r="FQ191" s="32"/>
      <c r="FR191" s="29" t="str">
        <f t="shared" ca="1" si="678"/>
        <v>TOMA INMEDIATA DE TAMIZAJE</v>
      </c>
      <c r="FS191" s="22"/>
      <c r="FT191" s="32"/>
      <c r="FU191" s="29" t="str">
        <f>IF(AND(FJ191="",FM191="",FP191="",FS191=""),"",IF(OR(OR(Tabla1[[#This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1" s="28"/>
      <c r="FW191" s="22"/>
      <c r="FX191" s="29" t="str">
        <f t="shared" si="624"/>
        <v>TOMAR EXAMEN</v>
      </c>
      <c r="FY191" s="22" t="s">
        <v>868</v>
      </c>
      <c r="FZ191" s="22">
        <v>45013</v>
      </c>
      <c r="GA191" s="29">
        <f t="shared" ca="1" si="737"/>
        <v>9.4285714285714288</v>
      </c>
      <c r="GB191" s="22"/>
      <c r="GC191" s="22"/>
      <c r="GD191" s="29" t="str">
        <f t="shared" ca="1" si="730"/>
        <v>PIERDE TOMA DE TAMIZAJE</v>
      </c>
      <c r="GE191" s="22"/>
      <c r="GF191" s="22"/>
      <c r="GG191" s="29" t="str">
        <f t="shared" ca="1" si="680"/>
        <v>TOMA INMEDIATA DE TAMIZAJE</v>
      </c>
      <c r="GH191" s="22"/>
      <c r="GI191" s="29"/>
      <c r="GJ191" s="22"/>
      <c r="GK191" s="22"/>
      <c r="GL191" s="22"/>
      <c r="GM191" s="22"/>
      <c r="GN191" s="28"/>
      <c r="GO191" s="22"/>
      <c r="GP191" s="29" t="str">
        <f t="shared" si="625"/>
        <v>TOMAR EXAMEN</v>
      </c>
      <c r="GQ191" s="28"/>
      <c r="GR191" s="28"/>
      <c r="GS191" s="22" t="str">
        <f t="shared" si="726"/>
        <v/>
      </c>
      <c r="GT191" s="22"/>
      <c r="GU191" s="29" t="str">
        <f t="shared" si="627"/>
        <v>TOMAR EXAMEN</v>
      </c>
      <c r="GV191" s="21" t="str">
        <f t="shared" si="628"/>
        <v>POR DEFINIR</v>
      </c>
      <c r="GW191" s="28"/>
      <c r="GX191" s="30"/>
      <c r="GY191" s="21"/>
      <c r="GZ191" s="21"/>
      <c r="HA191" s="21"/>
      <c r="HB191" s="21"/>
      <c r="HC191" s="21"/>
      <c r="HD191" s="21"/>
      <c r="HE191" s="21"/>
      <c r="HF191" s="22"/>
      <c r="HG191" s="22" t="str">
        <f>IF(OR(O191&gt;0,R191&gt;0),CONCATENATE(IF(Tabla1[[#This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1" s="22" t="e">
        <f t="shared" si="629"/>
        <v>#REF!</v>
      </c>
      <c r="HI191" s="22" t="e">
        <f t="shared" ca="1" si="630"/>
        <v>#REF!</v>
      </c>
      <c r="HJ191" s="21"/>
      <c r="HK191" s="21" t="str">
        <f t="shared" si="631"/>
        <v>SIN ANTECEDENTES DE RIESGO</v>
      </c>
      <c r="HL191" s="24" t="str">
        <f t="shared" si="632"/>
        <v>APARENTEMENTE NORMAL</v>
      </c>
      <c r="HM191" s="21" t="e">
        <f t="shared" ca="1" si="633"/>
        <v>#REF!</v>
      </c>
      <c r="HN191" s="30" t="str">
        <f t="shared" si="681"/>
        <v>ACTIVA INGRESO A CPN</v>
      </c>
      <c r="HO191" s="21"/>
      <c r="HP191" s="21"/>
      <c r="HQ191" s="349"/>
      <c r="HR191" s="21" t="str">
        <f>IF(R191="","",IF(Tabla1[[#This Row],[ALARMA FACTORES DE RIESGO COMPLICACIONES HIPERTENSIVAS3]]="SIN ANTECEDENTES DE RIESGO","No Aplica para suministro de ASA",IF(AND(Tabla1[[#This Row],[FECHA INICIO DE SUMINISTRO DE ASA]]&gt;0,RV191&lt;12),"Inicia ASA ANTES de Sem 12",IF(AND(RV191&gt;11,RV191&lt;17,OR(HK191="RIESGO ALTO DE COMPLICACIONES HIPERTENSIVAS VER MANEJO GUIA SUMINISTRO ASA Y CALCIO",HK191="RIESGO MODERADO (2 O MAS CRITERIOS) VER MANEJO GUIA SUMINISTRO ASA Y CALCIO")),"Inicio oportuno de ASA",IF(AND(RV191&gt;12,OR(HK191="RIESGO ALTO DE COMPLICACIONES HIPERTENSIVAS VER MANEJO GUIA SUMINISTRO ASA Y CALCIO",HK191="RIESGO MODERADO (2 O MAS CRITERIOS) VER MANEJO GUIA SUMINISTRO ASA Y CALCIO")),"Inicio no oportuno mayor a 16 semanas",IF(AND(BU191&lt;12,OR(HK191="RIESGO ALTO DE COMPLICACIONES HIPERTENSIVAS VER MANEJO GUIA SUMINISTRO ASA Y CALCIO",HK191="RIESGO MODERADO (2 O MAS CRITERIOS) VER MANEJO GUIA SUMINISTRO ASA Y CALCIO")),"Pendiente Inicio de ASA a la semana 12",IF(AND(BU191&gt;11,BU191&lt;17,OR(HK191="RIESGO ALTO DE COMPLICACIONES HIPERTENSIVAS VER MANEJO GUIA SUMINISTRO ASA Y CALCIO",HK191="RIESGO MODERADO (2 O MAS CRITERIOS) VER MANEJO GUIA SUMINISTRO ASA Y CALCIO")),"Iniciar de inmediato ASA",IF(AND(BU191&gt;16,OR(HK191="RIESGO ALTO DE COMPLICACIONES HIPERTENSIVAS VER MANEJO GUIA SUMINISTRO ASA Y CALCIO",HK191="RIESGO MODERADO (2 O MAS CRITERIOS) VER MANEJO GUIA SUMINISTRO ASA Y CALCIO")),"Pierde Oportunidad, Inicio tardío de ASA","XXXXX"))))))))</f>
        <v>No Aplica para suministro de ASA</v>
      </c>
      <c r="HS191" s="22">
        <v>45069</v>
      </c>
      <c r="HT191" s="22" t="s">
        <v>1532</v>
      </c>
      <c r="HU191" s="22">
        <v>45069</v>
      </c>
      <c r="HV191" s="22" t="s">
        <v>1523</v>
      </c>
      <c r="HW191" s="22">
        <v>45069</v>
      </c>
      <c r="HX191" s="22" t="s">
        <v>1529</v>
      </c>
      <c r="HY191" s="22"/>
      <c r="HZ191" s="28" t="str">
        <f t="shared" si="634"/>
        <v>PENDIENTE CONSULTA</v>
      </c>
      <c r="IA191" s="26"/>
      <c r="IB191" s="26"/>
      <c r="IC191" s="111"/>
      <c r="ID191" s="22"/>
      <c r="IE191" s="22" t="str">
        <f t="shared" ca="1" si="635"/>
        <v>INASISTENTE</v>
      </c>
      <c r="IF191" s="22"/>
      <c r="IG191" s="22">
        <f t="shared" si="636"/>
        <v>45227</v>
      </c>
      <c r="IH191" s="29">
        <f t="shared" ca="1" si="637"/>
        <v>-6</v>
      </c>
      <c r="II191" s="22" t="str">
        <f t="shared" ca="1" si="638"/>
        <v>POSIBLEMENTE NACIO</v>
      </c>
      <c r="IJ191" s="22"/>
      <c r="IK191" s="21"/>
      <c r="IL191" s="21"/>
      <c r="IM191" s="34"/>
      <c r="IN191" s="22"/>
      <c r="IO191" s="21"/>
      <c r="IP191" s="29" t="str">
        <f t="shared" si="728"/>
        <v/>
      </c>
      <c r="IQ191" s="35"/>
      <c r="IR191" s="21"/>
      <c r="IS191" s="21"/>
      <c r="IT191" s="21"/>
      <c r="IU191" s="21"/>
      <c r="IV191" s="21"/>
      <c r="IW191" s="21"/>
      <c r="IX191" s="21"/>
      <c r="IY191" s="21"/>
      <c r="IZ191" s="21"/>
      <c r="JA191" s="21"/>
      <c r="JB191" s="30"/>
      <c r="JC191" s="21"/>
      <c r="JD191" s="36"/>
      <c r="JE191" s="21" t="str">
        <f t="shared" si="731"/>
        <v/>
      </c>
      <c r="JF191" s="30"/>
      <c r="JG191" s="21"/>
      <c r="JH191" s="21"/>
      <c r="JI191" s="21"/>
      <c r="JJ191" s="30"/>
      <c r="JK191" s="22"/>
      <c r="JL191" s="22"/>
      <c r="JM191" s="21"/>
      <c r="JN191" s="36"/>
      <c r="JO191" s="21" t="str">
        <f t="shared" si="732"/>
        <v/>
      </c>
      <c r="JP191" s="22"/>
      <c r="JQ191" s="21"/>
      <c r="JR191" s="21"/>
      <c r="JS191" s="21"/>
      <c r="JT191" s="30"/>
      <c r="JU191" s="22"/>
      <c r="JV191" s="22"/>
      <c r="JW191" s="33"/>
      <c r="JX191" s="28" t="str">
        <f t="shared" si="733"/>
        <v/>
      </c>
      <c r="JY191" s="33"/>
      <c r="JZ191" s="28" t="str">
        <f t="shared" si="734"/>
        <v/>
      </c>
      <c r="KA191" s="21"/>
      <c r="KB191" s="21"/>
      <c r="KC191" s="21"/>
      <c r="KD191" s="37"/>
      <c r="KE191" s="28"/>
      <c r="KF191" s="28"/>
      <c r="KG191" s="28"/>
      <c r="KH191" s="39"/>
      <c r="KI191" s="39"/>
      <c r="KJ191" s="66"/>
      <c r="KK191" s="39"/>
      <c r="KL191" s="39"/>
      <c r="KM191" s="66"/>
      <c r="KN191" s="39"/>
      <c r="KO191" s="39"/>
      <c r="KP191" s="39"/>
      <c r="KQ191" s="39"/>
      <c r="KR191" s="39"/>
      <c r="KS191" s="39"/>
      <c r="KT191" s="39"/>
      <c r="KU191" s="38"/>
      <c r="KV191" s="38"/>
      <c r="KW191" s="38"/>
      <c r="KX191" s="38"/>
      <c r="KY191" s="38"/>
      <c r="KZ191" s="38"/>
      <c r="LA191" s="38"/>
      <c r="LB191" s="38"/>
      <c r="LC191" s="38"/>
      <c r="LD191" s="38"/>
      <c r="LE191" s="38"/>
      <c r="LF191" s="38"/>
      <c r="LG191" s="38"/>
      <c r="LH191" s="38"/>
      <c r="LI191" s="38"/>
      <c r="LJ191" s="38"/>
      <c r="LK191" s="38"/>
      <c r="LL191" s="38"/>
      <c r="LM191" s="38"/>
      <c r="LN191" s="38"/>
      <c r="LO191" s="38"/>
      <c r="LP191" s="38"/>
      <c r="LQ191" s="38"/>
      <c r="LR191" s="38"/>
      <c r="LS191" s="38"/>
      <c r="LT191" s="38"/>
      <c r="LU191" s="38"/>
      <c r="LV191" s="38"/>
      <c r="LW191" s="38"/>
      <c r="LX191" s="38"/>
      <c r="LY191" s="38"/>
      <c r="LZ191" s="38"/>
      <c r="MA191" s="38"/>
      <c r="MB191" s="38"/>
      <c r="MC191" s="38"/>
      <c r="MD191" s="38"/>
      <c r="ME191" s="38"/>
      <c r="MF191" s="38"/>
      <c r="MG191" s="38"/>
      <c r="MH191" s="43">
        <f t="shared" si="695"/>
        <v>0</v>
      </c>
      <c r="MI191" s="43" t="str">
        <f t="shared" si="696"/>
        <v/>
      </c>
      <c r="MJ191" s="43" t="str">
        <f t="shared" si="697"/>
        <v/>
      </c>
      <c r="MK191" s="43">
        <f t="shared" si="698"/>
        <v>0</v>
      </c>
      <c r="ML19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1" s="43">
        <f t="shared" si="699"/>
        <v>17.428571428571427</v>
      </c>
      <c r="MN191" s="43">
        <f t="shared" si="700"/>
        <v>5</v>
      </c>
      <c r="MO191" s="43">
        <f t="shared" si="701"/>
        <v>2023</v>
      </c>
      <c r="MP191" s="43" t="str">
        <f t="shared" si="702"/>
        <v>II TRIMESTRE AÑO</v>
      </c>
      <c r="MQ191" s="43">
        <f t="shared" si="703"/>
        <v>22.796211125711782</v>
      </c>
      <c r="MR191" s="43">
        <f t="shared" si="704"/>
        <v>0</v>
      </c>
      <c r="MS191" s="43" t="str">
        <f t="shared" si="705"/>
        <v xml:space="preserve"> DE 20 A 24 AÑOS</v>
      </c>
      <c r="MT191" s="43">
        <f t="shared" si="706"/>
        <v>0</v>
      </c>
      <c r="MU191" s="43">
        <f t="shared" si="707"/>
        <v>0</v>
      </c>
      <c r="MV191" s="43">
        <f t="shared" si="708"/>
        <v>0</v>
      </c>
      <c r="MW191" s="43">
        <f t="shared" si="709"/>
        <v>0</v>
      </c>
      <c r="MX191" s="43" t="str">
        <f t="shared" si="710"/>
        <v/>
      </c>
      <c r="MY191" s="43" t="str">
        <f t="shared" ca="1" si="735"/>
        <v/>
      </c>
      <c r="MZ191" s="43" t="str">
        <f t="shared" si="711"/>
        <v/>
      </c>
      <c r="NA191" s="43" t="str">
        <f t="shared" si="712"/>
        <v/>
      </c>
      <c r="NB191" s="43" t="str">
        <f t="shared" si="713"/>
        <v/>
      </c>
      <c r="NC191" s="43" t="str">
        <f t="shared" si="714"/>
        <v/>
      </c>
      <c r="ND191" s="43">
        <f t="shared" ca="1" si="715"/>
        <v>0</v>
      </c>
      <c r="NE191" s="43">
        <f>IF(OR(O191&gt;0,R191&gt;0),SUM(COUNTIF(Tabla1[[#This Row],[AÑOS AL INICIO5 CPN]],"&gt;=40"),COUNTIF(AS191,"0"),COUNTIF(AR191,"SI"),COUNTIF(CC191,"SI"),COUNTIF(BQ191,"&gt;119"),COUNTIF(CI191,"&gt;=35")),"")</f>
        <v>1</v>
      </c>
      <c r="NF191" s="43" t="str">
        <f t="shared" si="716"/>
        <v/>
      </c>
      <c r="NG191" s="43">
        <f t="shared" si="717"/>
        <v>0</v>
      </c>
      <c r="NH191" s="43" t="str">
        <f t="shared" si="718"/>
        <v/>
      </c>
      <c r="NI19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CPN",P191="NO"),"Z",IF(AND(Tabla1[[#This Row],[CITA PROXIMO CONTROL]]="CITA MANUAL",Tabla1[[#This Row],[GESTANTES ACTUALES]]="ACTIVA INGRESO A CPN"),"W",IF(AND(Tabla1[[#This Row],[GESTANTES ACTUALES]]="SALIO PROGRAMA",IN191=""),"S",IF(AND(Tabla1[[#This Row],[CITA PROXIMO CONTROL]]&gt;0,IN191=""),(Tabla1[[#This Row],[CITA PROXIMO CONTROL]]-TODAY()),"SD"))))))))</f>
        <v>#REF!</v>
      </c>
      <c r="NJ191" s="43">
        <f>MONTH(Tabla1[[#This Row],[FECHA DE SALIDA  DEL PROGRAMA]])</f>
        <v>1</v>
      </c>
      <c r="NK191" s="43">
        <f>YEAR(Tabla1[[#This Row],[FECHA DE SALIDA  DEL PROGRAMA]])</f>
        <v>1900</v>
      </c>
      <c r="NL191" s="43" t="str">
        <f t="shared" si="719"/>
        <v>X</v>
      </c>
      <c r="NM191" s="43" t="str">
        <f t="shared" si="693"/>
        <v>NO</v>
      </c>
      <c r="NN191" s="43" t="str">
        <f ca="1">IF(AND(O191&gt;0,R191=""),"NO CPN",IF(AND(O191="",R191=""),"",IF(AND(R191&gt;0,Tabla1[[#This Row],[SEMANAS DE GESTACION ACTUALIZADAS]]&lt;=12),"NO APLICA",IF(AND(FH191&lt;&gt;"",FN191&lt;&gt;""),"SI","NO"))))</f>
        <v>NO</v>
      </c>
      <c r="NO191" s="43" t="str">
        <f ca="1">IF(AND(O191&gt;0,R191=""),"NO CPN",IF(AND(O191="",R191=""),"",IF(AND(R191&gt;0,Tabla1[[#This Row],[SEMANAS DE GESTACION ACTUALIZADAS]]&lt;=27),"NO APLICA",IF(AND(ES191&lt;&gt;"",FQ191&lt;&gt;"",GF191&lt;&gt;""),"SI","NO"))))</f>
        <v>NO</v>
      </c>
      <c r="NP191" s="204" t="str">
        <f t="shared" si="720"/>
        <v>II TRIM</v>
      </c>
      <c r="NQ19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191" s="21">
        <f t="shared" ca="1" si="736"/>
        <v>2</v>
      </c>
      <c r="NS191" s="205">
        <f t="shared" ca="1" si="721"/>
        <v>1</v>
      </c>
      <c r="NT191" s="21">
        <f t="shared" ca="1" si="722"/>
        <v>1</v>
      </c>
      <c r="NU191" s="21" t="str">
        <f t="shared" ca="1" si="723"/>
        <v>INCOMPLETO</v>
      </c>
      <c r="NV191" s="21" t="str">
        <f t="shared" ca="1" si="724"/>
        <v>INCOMPLETO</v>
      </c>
      <c r="NW191" s="206" t="str">
        <f>IF(AND(O191="",R191=""),"",IF(OR(AND(Tabla1[[#This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1" s="207" t="str">
        <f t="shared" ca="1" si="725"/>
        <v>SIN VACUNAR</v>
      </c>
      <c r="NY191" s="43">
        <f>ROW(Tabla1[[#This Row],['# DE TAMIZAJES SIFILIS TOMADOS ]])</f>
        <v>191</v>
      </c>
      <c r="NZ191" s="43">
        <f t="shared" ref="NZ191:NZ218" si="738">IF(BS191="","",IF(BS191&lt;10,"Menor",INT(BS191)))</f>
        <v>17</v>
      </c>
      <c r="OA191" s="43" t="str">
        <f t="shared" ref="OA191:OA218" si="739">IF(AND(NZ191=$OA$2,CI191&gt;10,CI191&lt;18.5),"BAJO PESO",IF(AND(NZ191=$OA$2,CI191&gt;18.4,CI191&lt;25),"NORMAL",IF(AND(NZ191=$OA$2,CI191&gt;24,CI191&lt;30),"SOBREPESO",IF(AND(NZ191=$OA$2,CI191&gt;29,CI191&lt;50),"OBESIDAD",""))))</f>
        <v/>
      </c>
      <c r="OB191" s="43" t="str">
        <f t="shared" ref="OB191:OB218" si="740">IF(AND(NZ191=$OB$2,CI191&gt;10,CI191&lt;20.3),"BAJO PESO",IF(AND(NZ191=$OB$2,CI191&gt;20.2,CI191&lt;25.3),"NORMAL",IF(AND(NZ191=$OB$2,CI191&gt;25.2,CI191&lt;30.3),"SOBREPESO",IF(AND(NZ191=$OB$2,CI191&gt;30.2,CI191&lt;50),"OBESIDAD",""))))</f>
        <v/>
      </c>
      <c r="OC191" s="43" t="str">
        <f t="shared" ref="OC191:OC218" si="741">IF(AND(NZ191=$OC$2,CI191&gt;10,CI191&lt;20.4),"BAJO PESO",IF(AND(NZ191=$OC$2,CI191&gt;20.3,CI191&lt;25.4),"NORMAL",IF(AND(NZ191=$OC$2,CI191&gt;25.3,CI191&lt;30.4),"SOBREPESO",IF(AND(NZ191=$OC$2,CI191&gt;30.3,CI191&lt;50),"OBESIDAD",""))))</f>
        <v/>
      </c>
      <c r="OD191" s="43" t="str">
        <f t="shared" ref="OD191:OD218" si="742">IF(AND(NZ191=$OD$2,CI191&gt;10,CI191&lt;20.5),"BAJO PESO",IF(AND(NZ191=$OD$2,CI191&gt;20.4,CI191&lt;25.5),"NORMAL",IF(AND(NZ191=$OD$2,CI191&gt;25.4,CI191&lt;30.4),"SOBREPESO",IF(AND(NZ191=$OD$2,CI191&gt;30.3,CI191&lt;50),"OBESIDAD",""))))</f>
        <v/>
      </c>
      <c r="OE191" s="43" t="str">
        <f t="shared" ref="OE191:OE218" si="743">IF(AND(NZ191=$OE$2,CI191&gt;10,CI191&lt;20.7),"BAJO PESO",IF(AND(NZ191=$OE$2,CI191&gt;20.6,CI191&lt;25.7),"NORMAL",IF(AND(NZ191=$OE$2,CI191&gt;25.7,CI191&lt;30.5),"SOBREPESO",IF(AND(NZ191=$OE$2,CI191&gt;30.4,CI191&lt;50),"OBESIDAD",""))))</f>
        <v/>
      </c>
      <c r="OF191" s="43" t="str">
        <f t="shared" ref="OF191:OF218" si="744">IF(AND(NZ191=$OF$2,CI191&gt;10,CI191&lt;20.8),"BAJO PESO",IF(AND(NZ191=$OF$2,CI191&gt;20.7,CI191&lt;25.8),"NORMAL",IF(AND(NZ191=$OF$2,CI191&gt;25.7,CI191&lt;30.6),"SOBREPESO",IF(AND(NZ191=$OF$2,CI191&gt;30.5,CI191&lt;50),"OBESIDAD",""))))</f>
        <v/>
      </c>
      <c r="OG191" s="43" t="str">
        <f t="shared" ref="OG191:OG218" si="745">IF(AND(NZ191=$OG$2,CI191&gt;10,CI191&lt;20.9),"BAJO PESO",IF(AND(NZ191=$OG$2,CI191&gt;20.8,CI191&lt;25.9),"NORMAL",IF(AND(NZ191=$OG$2,CI191&gt;25.8,CI191&lt;30.7),"SOBREPESO",IF(AND(NZ191=$OG$2,CI191&gt;30.6,CI191&lt;50),"OBESIDAD",""))))</f>
        <v/>
      </c>
      <c r="OH191" s="43" t="str">
        <f t="shared" ref="OH191:OH218" si="746">IF(AND(NZ191=$OH$2,CI191&gt;10,CI191&lt;21.1),"BAJO PESO",IF(AND(NZ191=$OH$2,CI191&gt;21,CI191&lt;26),"NORMAL",IF(AND(NZ191=$OH$2,CI191&gt;25.9,CI191&lt;30.8),"SOBREPESO",IF(AND(NZ191=$OH$2,CI191&gt;30.7,CI191&lt;50),"OBESIDAD",""))))</f>
        <v/>
      </c>
      <c r="OI191" s="43" t="str">
        <f t="shared" ref="OI191:OI218" si="747">IF(AND(NZ191=$OI$2,CI191&gt;10,CI191&lt;21.2),"BAJO PESO",IF(AND(NZ191=$OI$2,CI191&gt;21.1,CI191&lt;26.1),"NORMAL",IF(AND(NZ191=$OI$2,CI191&gt;26,CI191&lt;31.9),"SOBREPESO",IF(AND(NZ191=$OI$2,CI191&gt;30.8,CI191&lt;50),"OBESIDAD",""))))</f>
        <v>OBESIDAD</v>
      </c>
      <c r="OJ191" s="43" t="str">
        <f t="shared" ref="OJ191:OJ218" si="748">IF(AND(NZ191=$OJ$2,CI191&gt;10,CI191&lt;21.3),"BAJO PESO",IF(AND(NZ191=$OJ$2,CI191&gt;21.2,CI191&lt;26.2),"NORMAL",IF(AND(NZ191=$OJ$2,CI191&gt;26.1,CI191&lt;31),"SOBREPESO",IF(AND(NZ191=$OJ$2,CI191&gt;30.9,CI191&lt;50),"OBESIDAD",""))))</f>
        <v/>
      </c>
      <c r="OK191" s="43" t="str">
        <f t="shared" ref="OK191:OK218" si="749">IF(AND(NZ191=$OK$2,CI191&gt;10,CI191&lt;21.5),"BAJO PESO",IF(AND(NZ191=$OK$2,CI191&gt;21.4,CI191&lt;26.3),"NORMAL",IF(AND(NZ191=$OK$2,CI191&gt;26.2,CI191&lt;31),"SOBREPESO",IF(AND(NZ191=$OK$2,CI191&gt;30.9,CI191&lt;50),"OBESIDAD",""))))</f>
        <v/>
      </c>
      <c r="OL191" s="43" t="str">
        <f t="shared" ref="OL191:OL218" si="750">IF(AND(NZ191=$OL$2,CI191&gt;10,CI191&lt;21.6),"BAJO PESO",IF(AND(NZ191=$OL$2,CI191&gt;21.5,CI191&lt;26.4),"NORMAL",IF(AND(NZ191=$OL$2,CI191&gt;26.3,CI191&lt;31.1),"SOBREPESO",IF(AND(NZ191=$OL$2,CI191&gt;31,CI191&lt;50),"OBESIDAD",""))))</f>
        <v/>
      </c>
      <c r="OM191" s="43" t="str">
        <f t="shared" ref="OM191:OM218" si="751">IF(AND(NZ191=$OM$2,CI191&gt;10,CI191&lt;21.8),"BAJO PESO",IF(AND(NZ191=$OM$2,CI191&gt;21.7,CI191&lt;26.5),"NORMAL",IF(AND(NZ191=$OM$2,CI191&gt;26.4,CI191&lt;31.2),"SOBREPESO",IF(AND(NZ191=$OM$2,CI191&gt;31.1,CI191&lt;50),"OBESIDAD",""))))</f>
        <v/>
      </c>
      <c r="ON191" s="43" t="str">
        <f t="shared" ref="ON191:ON218" si="752">IF(AND(NZ191=$ON$2,CI191&gt;10,CI191&lt;21.9),"BAJO PESO",IF(AND(NZ191=$ON$2,CI191&gt;21.8,CI191&lt;26.7),"NORMAL",IF(AND(NZ191=$ON$2,CI191&gt;26.6,CI191&lt;31.3),"SOBREPESO",IF(AND(NZ191=$ON$2,CI191&gt;31.2,CI191&lt;50),"OBESIDAD",""))))</f>
        <v/>
      </c>
      <c r="OO191" s="43" t="str">
        <f t="shared" ref="OO191:OO218" si="753">IF(AND(NZ191=$OO$2,CI191&gt;10,CI191&lt;22.1),"BAJO PESO",IF(AND(NZ191=$OO$2,CI191&gt;22,CI191&lt;26.8),"NORMAL",IF(AND(NZ191=$OO$2,CI191&gt;26.7,CI191&lt;31.4),"SOBREPESO",IF(AND(NZ191=$OO$2,CI191&gt;31.3,CI191&lt;50),"OBESIDAD",""))))</f>
        <v/>
      </c>
      <c r="OP191" s="43" t="str">
        <f t="shared" ref="OP191:OP218" si="754">IF(AND(NZ191=$OP$2,CI191&gt;10,CI191&lt;22.3),"BAJO PESO",IF(AND(NZ191=$OP$2,CI191&gt;22.2,CI191&lt;27),"NORMAL",IF(AND(NZ191=$OP$2,CI191&gt;26.9,CI191&lt;31.6),"SOBREPESO",IF(AND(NZ191=$OP$2,CI191&gt;31.5,CI191&lt;50),"OBESIDAD",""))))</f>
        <v/>
      </c>
      <c r="OQ191" s="43" t="str">
        <f t="shared" ref="OQ191:OQ218" si="755">IF(AND(NZ191=$OQ$2,$CI191&gt;10,CI191&lt;22.5),"BAJO PESO",IF(AND(NZ191=$OQ$2,CI191&gt;22.4,CI191&lt;27.1),"NORMAL",IF(AND(NZ191=$OQ$2,CI191&gt;27,CI191&lt;31.7),"SOBREPESO",IF(AND(NZ191=$OQ$2,CI191&gt;31.6,CI191&lt;50),"OBESIDAD",""))))</f>
        <v/>
      </c>
      <c r="OR191" s="43" t="str">
        <f t="shared" ref="OR191:OR218" si="756">IF(AND(NZ191=$OR$2,CI191&gt;10,CI191&lt;22.7),"BAJO PESO",IF(AND(NZ191=$OR$2,CI191&gt;22.6,CI191&lt;27.3),"NORMAL",IF(AND(NZ191=$OR$2,CI191&gt;27.1,CI191&lt;31.8),"SOBREPESO",IF(AND(NZ191=$OR$2,CI191&gt;31.7,CI191&lt;50),"OBESIDAD",""))))</f>
        <v/>
      </c>
      <c r="OS191" s="43" t="str">
        <f t="shared" ref="OS191:OS218" si="757">IF(AND(NZ191=$OS$2,CI191&gt;10,CI191&lt;22.8),"BAJO PESO",IF(AND(NZ191=$OS$2,CI191&gt;22.7,CI191&lt;27.4),"NORMAL",IF(AND(NZ191=$OS$2,CI191&gt;27.3,CI191&lt;31.9),"SOBREPESO",IF(AND(NZ191=$OS$2,CI191&gt;31.8,CI191&lt;50),"OBESIDAD",""))))</f>
        <v/>
      </c>
      <c r="OT191" s="43" t="str">
        <f t="shared" ref="OT191:OT218" si="758">IF(AND(NZ191=$OT$2,CI191&gt;10,CI191&lt;23),"BAJO PESO",IF(AND(NZ191=$OT$2,CI191&gt;22.9,CI191&lt;27.6),"NORMAL",IF(AND(NZ191=$OT$2,CI191&gt;27.5,CI191&lt;32),"SOBREPESO",IF(AND(NZ191=$OT$2,CI191&gt;31.9,CI191&lt;50),"OBESIDAD",""))))</f>
        <v/>
      </c>
      <c r="OU191" s="43" t="str">
        <f t="shared" ref="OU191:OU218" si="759">IF(AND(NZ191=$OU$2,CI191&gt;10,CI191&lt;23.2),"BAJO PESO",IF(AND(NZ191=$OU$2,CI191&gt;23.1,CI191&lt;27.7),"NORMAL",IF(AND(NZ191=$OU$2,CI191&gt;27.6,CI191&lt;32.1),"SOBREPESO",IF(AND(NZ191=$OU$2,CI191&gt;32,CI191&lt;50),"OBESIDAD",""))))</f>
        <v/>
      </c>
      <c r="OV191" s="110" t="str">
        <f t="shared" ref="OV191:OV218" si="760">IF(AND(NZ191=$OV$2,CI191&gt;10,CI191&lt;23.4),"BAJO PESO",IF(AND(NZ191=$OV$2,CI191&gt;23.3,CI191&lt;27.9),"NORMAL",IF(AND(NZ191=$OV$2,CI191&gt;27.8,CI191&lt;32.2),"SOBREPESO",IF(AND(NZ191=$OV$2,CI191&gt;32.1,CI191&lt;50),"OBESIDAD",""))))</f>
        <v/>
      </c>
      <c r="OW191" s="43" t="str">
        <f t="shared" ref="OW191:OW218" si="761">IF(AND(NZ191=$OW$2,CI191&gt;10,CI191&lt;23.5),"BAJO PESO",IF(AND(NZ191=$OW$2,CI191&gt;23.4,CI191&lt;28),"NORMAL",IF(AND(NZ191=$OW$2,CI191&gt;27.9,CI191&lt;32.1),"SOBREPESO",IF(AND(NZ191=$OW$2,CI191&gt;32.2,CI191&lt;50),"OBESIDAD",""))))</f>
        <v/>
      </c>
      <c r="OX191" s="43" t="str">
        <f t="shared" ref="OX191:OX218" si="762">IF(AND(NZ191=$OX$2,CI191&gt;10,CI191&lt;23.7),"BAJO PESO",IF(AND(NZ191=$OX$2,CI191&gt;23.6,CI191&lt;28.1),"NORMAL",IF(AND(NZ191=$OX$2,CI191&gt;28,CI191&lt;33.4),"SOBREPESO",IF(AND(NZ191=$OX$2,CI191&gt;33.3,CI191&lt;50),"OBESIDAD",""))))</f>
        <v/>
      </c>
      <c r="OY191" s="43" t="str">
        <f t="shared" ref="OY191:OY218" si="763">IF(AND(NZ191=$OY$2,CI191&gt;10,CI191&lt;23.9),"BAJO PESO",IF(AND(NZ191=$OY$2,CI191&gt;23.8,CI191&lt;28.2),"NORMAL",IF(AND(NZ191=$OY$2,CI191&gt;28.1,CI191&lt;33.5),"SOBREPESO",IF(AND(NZ191=$OY$2,CI191&gt;33.4,CI191&lt;50),"OBESIDAD",""))))</f>
        <v/>
      </c>
      <c r="OZ191" s="43" t="str">
        <f t="shared" ref="OZ191:OZ218" si="764">IF(AND(NZ191=$OZ$2,CI191&gt;10,CI191&lt;24),"BAJO PESO",IF(AND(NZ191=$OZ$2,CI191&gt;23.9,CI191&lt;28.4),"NORMAL",IF(AND(NZ191=$OZ$2,CI191&gt;28.3,CI191&lt;33.6),"SOBREPESO",IF(AND(NZ191=$OZ$2,CI191&gt;33.5,CI191&lt;50),"OBESIDAD",""))))</f>
        <v/>
      </c>
      <c r="PA191" s="43" t="str">
        <f t="shared" ref="PA191:PA218" si="765">IF(AND(NZ191=$PA$2,CI191&gt;10,CI191&lt;24.2),"BAJO PESO",IF(AND(NZ191=$PA$2,CI191&gt;24.1,CI191&lt;28.5),"NORMAL",IF(AND(NZ191=$PA$2,CI191&gt;28.4,CI191&lt;33.7),"SOBREPESO",IF(AND(NZ191=$PA$2,CI191&gt;33.6,CI191&lt;50),"OBESIDAD",""))))</f>
        <v/>
      </c>
      <c r="PB191" s="43" t="str">
        <f t="shared" ref="PB191:PB218" si="766">IF(AND(NZ191=$PB$2,CI191&gt;10,CI191&lt;24.3),"BAJO PESO",IF(AND(NZ191=$PB$2,CI191&gt;24.2,CI191&lt;28.6),"NORMAL",IF(AND(NZ191=$PB$2,CI191&gt;28.5,CI191&lt;33.8),"SOBREPESO",IF(AND(NZ191=$PB$2,CI191&gt;33.7,CI191&lt;50),"OBESIDAD",""))))</f>
        <v/>
      </c>
      <c r="PC191" s="43" t="str">
        <f t="shared" ref="PC191:PC218" si="767">IF(AND(NZ191=$PC$2,CI191&gt;10,CI191&lt;24.5),"BAJO PESO",IF(AND(NZ191=$PC$2,CI191&gt;24.4,CI191&lt;28.8),"NORMAL",IF(AND(NZ191=$PC$2,CI191&gt;28.7,CI191&lt;32.9),"SOBREPESO",IF(AND(NZ191=$PC$2,CI191&gt;32.8,CI191&lt;50),"OBESIDAD",""))))</f>
        <v/>
      </c>
      <c r="PD191" s="43" t="str">
        <f t="shared" ref="PD191:PD218" si="768">IF(AND(NZ191=$PD$2,CI191&gt;10,CI191&lt;24.6),"BAJO PESO",IF(AND(NZ191=$PD$2,CI191&gt;24.5,CI191&lt;28.9),"NORMAL",IF(AND(NZ191=$PD$2,CI191&gt;28.8,CI191&lt;33),"SOBREPESO",IF(AND(NZ191=$PD$2,CI191&gt;32.9,CI191&lt;50),"OBESIDAD",""))))</f>
        <v/>
      </c>
      <c r="PE191" s="43" t="str">
        <f t="shared" ref="PE191:PE218" si="769">IF(AND(NZ191=$PE$2,CI191&gt;10,CI191&lt;24.8),"BAJO PESO",IF(AND(NZ191=$PE$2,CI191&gt;24.7,CI191&lt;29),"NORMAL",IF(AND(NZ191=$PE$2,CI191&gt;28.9,CI191&lt;33.1),"SOBREPESO",IF(AND(NZ191=$PE$2,CI191&gt;33,CI191&lt;50),"OBESIDAD",""))))</f>
        <v/>
      </c>
      <c r="PF191" s="43" t="str">
        <f t="shared" ref="PF191:PF218" si="770">IF(AND(NZ191=$PF$2,CI191&gt;10,CI191&lt;25),"BAJO PESO",IF(AND(NZ191=$PF$2,CI191&gt;24.9,CI191&lt;29.2),"NORMAL",IF(AND(NZ191=$PF$2,CI191&gt;29.1,CI191&lt;33.2),"SOBREPESO",IF(AND(NZ191=$PF$2,CI191&gt;33.1,CI191&lt;50),"OBESIDAD",""))))</f>
        <v/>
      </c>
      <c r="PG191" s="43" t="str">
        <f t="shared" ref="PG191:PG218" si="771">IF(AND(NZ191=$PG$2,CI191&gt;10,CI191&lt;25.1),"BAJO PESO",IF(AND(NZ191=$PG$2,CI191&gt;25,CI191&lt;29.3),"NORMAL",IF(AND(NZ191=$PG$2,CI191&gt;29.2,CI191&lt;33.3),"SOBREPESO",IF(AND(NZ191=$PG$2,CI191&gt;33.2,CI191&lt;50),"OBESIDAD",""))))</f>
        <v/>
      </c>
      <c r="PH191" s="43" t="str">
        <f t="shared" ref="PH191:PH218" si="772">IF(AND(NZ191=$PH$2,CI191&gt;10,CI191&lt;25.1),"BAJO PESO",IF(AND(NZ191=$PH$2,CI191&gt;25,CI191&lt;29.4),"NORMAL",IF(AND(NZ191=$PH$2,CI191&gt;29.3,CI191&lt;33.3),"SOBREPESO",IF(AND(NZ191=$PH$2,CI191&gt;33.2,CI191&lt;50),"OBESIDAD",""))))</f>
        <v/>
      </c>
      <c r="PI191" s="43">
        <f t="shared" ref="PI191:PI218" si="773">IF(DZ191="","",IF(DZ191&lt;10,"Menor",DZ191))</f>
        <v>17</v>
      </c>
      <c r="PJ191" s="43" t="str">
        <f t="shared" ref="PJ191:PJ218" si="774">IF(AND(PI191=$PJ$2,CM191&gt;10,CM191&lt;18.5),"BAJO PESO",IF(AND(PI191=$PJ$2,CM191&gt;18.4,CM191&lt;25),"NORMAL",IF(AND(PI191=$PJ$2,CM191&gt;24,CM191&lt;30),"SOBREPESO",IF(AND(PI191=$PJ$2,CM191&gt;29,CM191&lt;50),"OBESIDAD",""))))</f>
        <v/>
      </c>
      <c r="PK191" s="43" t="str">
        <f t="shared" ref="PK191:PK218" si="775">IF(AND(PI191=$PK$2,CM191&gt;10,CM191&lt;20.3),"BAJO PESO",IF(AND(PI191=$PK$2,CM191&gt;20.2,CM191&lt;25.3),"NORMAL",IF(AND(PI191=$PK$2,CM191&gt;25.2,CM191&lt;30.3),"SOBREPESO",IF(AND(PI191=$PK$2,CM191&gt;30.2,CM191&lt;50),"OBESIDAD",""))))</f>
        <v/>
      </c>
      <c r="PL191" s="43" t="str">
        <f t="shared" ref="PL191:PL218" si="776">IF(AND(PI191=$PL$2,CM191&gt;10,CM191&lt;20.4),"BAJO PESO",IF(AND(PI191=$PL$2,CM191&gt;20.3,CM191&lt;25.4),"NORMAL",IF(AND(PI191=$PL$2,CM191&gt;25.3,CM191&lt;30.4),"SOBREPESO",IF(AND(PI191=$PL$2,CM191&gt;30.3,CM191&lt;50),"OBESIDAD",""))))</f>
        <v/>
      </c>
      <c r="PM191" s="43" t="str">
        <f t="shared" ref="PM191:PM218" si="777">IF(AND(PI191=$PM$2,CM191&gt;10,CM191&lt;20.5),"BAJO PESO",IF(AND(PI191=$PM$2,CM191&gt;20.4,CM191&lt;25.5),"NORMAL",IF(AND(PI191=$PM$2,CM191&gt;25.4,CM191&lt;30.4),"SOBREPESO",IF(AND(PI191=$PM$2,CM191&gt;30.3,CM191&lt;50),"OBESIDAD",""))))</f>
        <v/>
      </c>
      <c r="PN191" s="43" t="str">
        <f t="shared" ref="PN191:PN218" si="778">IF(AND(PI191=$PN$2,CM191&gt;10,CM191&lt;20.7),"BAJO PESO",IF(AND(PI191=$PN$2,CM191&gt;20.6,CM191&lt;25.7),"NORMAL",IF(AND(PI191=$PN$2,CM191&gt;25.7,CM191&lt;30.5),"SOBREPESO",IF(AND(PI191=$PN$2,CM191&gt;30.4,CM191&lt;50),"OBESIDAD",""))))</f>
        <v/>
      </c>
      <c r="PO191" s="43" t="str">
        <f t="shared" ref="PO191:PO218" si="779">IF(AND(PI191=$PO$2,CM191&gt;10,CM191&lt;20.8),"BAJO PESO",IF(AND(PI191=$PO$2,CM191&gt;20.7,CM191&lt;25.8),"NORMAL",IF(AND(PI191=$PO$2,CM191&gt;25.7,CM191&lt;30.6),"SOBREPESO",IF(AND(PI191=$PO$2,CM191&gt;30.5,CM191&lt;50),"OBESIDAD",""))))</f>
        <v/>
      </c>
      <c r="PP191" s="43" t="str">
        <f t="shared" ref="PP191:PP218" si="780">IF(AND(PI191=$PP$2,CM191&gt;10,CM191&lt;20.9),"BAJO PESO",IF(AND(PI191=$PP$2,CM191&gt;20.8,CM191&lt;25.9),"NORMAL",IF(AND(PI191=$PP$2,CM191&gt;25.8,CM191&lt;30.7),"SOBREPESO",IF(AND(PI191=$PP$2,CM191&gt;30.6,CM191&lt;50),"OBESIDAD",""))))</f>
        <v/>
      </c>
      <c r="PQ191" s="43" t="str">
        <f t="shared" ref="PQ191:PQ218" si="781">IF(AND(PI191=$PQ$2,CM191&gt;10,CM191&lt;21.1),"BAJO PESO",IF(AND(PI191=$PQ$2,CM191&gt;21,CM191&lt;26),"NORMAL",IF(AND(PI191=$PQ$2,CM191&gt;25.9,CM191&lt;30.8),"SOBREPESO",IF(AND(PI191=$PQ$2,CM191&gt;30.7,CM191&lt;50),"OBESIDAD",""))))</f>
        <v/>
      </c>
      <c r="PR191" s="43" t="str">
        <f t="shared" ref="PR191:PR218" si="782">IF(AND(PI191=$PR$2,CM191&gt;10,CM191&lt;21.2),"BAJO PESO",IF(AND(PI191=$PR$2,CM191&gt;21.1,CM191&lt;26.1),"NORMAL",IF(AND(PI191=$PR$2,CM191&gt;26,CM191&lt;31.9),"SOBREPESO",IF(AND(PI191=$PR$2,CM191&gt;30.8,CM191&lt;50),"OBESIDAD",""))))</f>
        <v>OBESIDAD</v>
      </c>
      <c r="PS191" s="43" t="str">
        <f t="shared" ref="PS191:PS218" si="783">IF(AND(PI191=$PS$2,CM191&gt;10,CM191&lt;21.3),"BAJO PESO",IF(AND(PI191=$PS$2,CM191&gt;21.2,CM191&lt;26.2),"NORMAL",IF(AND(PI191=$PS$2,CM191&gt;26.1,CM191&lt;31),"SOBREPESO",IF(AND(PI191=$PS$2,CM191&gt;30.9,CM191&lt;50),"OBESIDAD",""))))</f>
        <v/>
      </c>
      <c r="PT191" s="43" t="str">
        <f t="shared" ref="PT191:PT218" si="784">IF(AND(PI191=$PT$2,CM191&gt;10,CM191&lt;21.5),"BAJO PESO",IF(AND(PI191=$PT$2,CM191&gt;21.4,CM191&lt;26.3),"NORMAL",IF(AND(PI191=$PT$2,CM191&gt;26.2,CM191&lt;31),"SOBREPESO",IF(AND(PI191=$PT$2,CM191&gt;30.9,CM191&lt;50),"OBESIDAD",""))))</f>
        <v/>
      </c>
      <c r="PU191" s="43" t="str">
        <f t="shared" ref="PU191:PU218" si="785">IF(AND(PI191=$PU$2,CM191&gt;10,CM191&lt;21.6),"BAJO PESO",IF(AND(PI191=$PU$2,CM191&gt;21.5,CM191&lt;26.4),"NORMAL",IF(AND(PI191=$PU$2,CM191&gt;26.3,CM191&lt;31.1),"SOBREPESO",IF(AND(PI191=$PU$2,CM191&gt;31,CM191&lt;50),"OBESIDAD",""))))</f>
        <v/>
      </c>
      <c r="PV191" s="43" t="str">
        <f t="shared" ref="PV191:PV218" si="786">IF(AND(PI191=$PV$2,CM191&gt;10,CM191&lt;21.8),"BAJO PESO",IF(AND(PI191=$PV$2,CM191&gt;21.7,CM191&lt;26.5),"NORMAL",IF(AND(PI191=$PV$2,CM191&gt;26.4,CM191&lt;31.2),"SOBREPESO",IF(AND(PI191=$PV$2,CM191&gt;31.1,CM191&lt;50),"OBESIDAD",""))))</f>
        <v/>
      </c>
      <c r="PW191" s="43" t="str">
        <f t="shared" ref="PW191:PW218" si="787">IF(AND(PI191=$PW$2,CM191&gt;10,CM191&lt;21.9),"BAJO PESO",IF(AND(PI191=$PW$2,CM191&gt;21.8,CM191&lt;26.7),"NORMAL",IF(AND(PI191=$PW$2,CM191&gt;26.6,CM191&lt;31.3),"SOBREPESO",IF(AND(PI191=$PW$2,CM191&gt;31.2,CM191&lt;50),"OBESIDAD",""))))</f>
        <v/>
      </c>
      <c r="PX191" s="43" t="str">
        <f t="shared" ref="PX191:PX218" si="788">IF(AND(PI191=$PX$2,CM191&gt;10,CM191&lt;22.1),"BAJO PESO",IF(AND(PI191=$PX$2,CM191&gt;22,CM191&lt;26.8),"NORMAL",IF(AND(PI191=$PX$2,CM191&gt;26.7,CM191&lt;31.4),"SOBREPESO",IF(AND(PI191=$PX$2,CM191&gt;31.3,CM191&lt;50),"OBESIDAD",""))))</f>
        <v/>
      </c>
      <c r="PY191" s="43" t="str">
        <f t="shared" ref="PY191:PY218" si="789">IF(AND(PI191=$PY$2,CM191&gt;10,CM191&lt;22.3),"BAJO PESO",IF(AND(PI191=$PY$2,CM191&gt;22.2,CM191&lt;27),"NORMAL",IF(AND(PI191=$PY$2,CM191&gt;26.9,CM191&lt;31.6),"SOBREPESO",IF(AND(PI191=$PY$2,CM191&gt;31.5,CM191&lt;50),"OBESIDAD",""))))</f>
        <v/>
      </c>
      <c r="PZ191" s="43" t="str">
        <f t="shared" ref="PZ191:PZ218" si="790">IF(AND(PI191=$PZ$2,$CM191&gt;10,CM191&lt;22.5),"BAJO PESO",IF(AND(PI191=$PZ$2,CM191&gt;22.4,CM191&lt;27.1),"NORMAL",IF(AND(PI191=$PZ$2,CM191&gt;27,CM191&lt;31.7),"SOBREPESO",IF(AND(PI191=$PZ$2,CM191&gt;31.6,CM191&lt;50),"OBESIDAD",""))))</f>
        <v/>
      </c>
      <c r="QA191" s="43" t="str">
        <f t="shared" ref="QA191:QA218" si="791">IF(AND(PI191=$QA$2,CM191&gt;10,CM191&lt;22.7),"BAJO PESO",IF(AND(PI191=$QA$2,CM191&gt;22.6,CM191&lt;27.3),"NORMAL",IF(AND(PI191=$QA$2,CM191&gt;27.1,CM191&lt;31.8),"SOBREPESO",IF(AND(PI191=$QA$2,CM191&gt;31.7,CM191&lt;50),"OBESIDAD",""))))</f>
        <v/>
      </c>
      <c r="QB191" s="43" t="str">
        <f t="shared" ref="QB191:QB218" si="792">IF(AND(PI191=$QB$2,CM191&gt;10,CM191&lt;22.8),"BAJO PESO",IF(AND(PI191=$QB$2,CM191&gt;22.7,CM191&lt;27.4),"NORMAL",IF(AND(PI191=$QB$2,CM191&gt;27.3,CM191&lt;31.9),"SOBREPESO",IF(AND(PI191=$QB$2,CM191&gt;31.8,CM191&lt;50),"OBESIDAD",""))))</f>
        <v/>
      </c>
      <c r="QC191" s="43" t="str">
        <f t="shared" ref="QC191:QC218" si="793">IF(AND(PI191=$QC$2,CM191&gt;10,CM191&lt;23),"BAJO PESO",IF(AND(PI191=$QC$2,CM191&gt;22.9,CM191&lt;27.6),"NORMAL",IF(AND(PI191=$QC$2,CM191&gt;27.5,CM191&lt;32),"SOBREPESO",IF(AND(PI191=$QC$2,CM191&gt;31.9,CM191&lt;50),"OBESIDAD",""))))</f>
        <v/>
      </c>
      <c r="QD191" s="43" t="str">
        <f t="shared" ref="QD191:QD218" si="794">IF(AND(PI191=$QD$2,CM191&gt;10,CM191&lt;23.2),"BAJO PESO",IF(AND(PI191=$QD$2,CM191&gt;23.1,CM191&lt;27.7),"NORMAL",IF(AND(PI191=$QD$2,CM191&gt;27.6,CM191&lt;32.1),"SOBREPESO",IF(AND(PI191=$QD$2,CM191&gt;32,CM191&lt;50),"OBESIDAD",""))))</f>
        <v/>
      </c>
      <c r="QE191" s="43" t="str">
        <f t="shared" ref="QE191:QE218" si="795">IF(AND(PI191=$QE$2,CM191&gt;10,CM191&lt;23.4),"BAJO PESO",IF(AND(PI191=$QE$2,CM191&gt;23.3,CM191&lt;27.9),"NORMAL",IF(AND(PI191=$QE$2,CM191&gt;27.8,CM191&lt;32.2),"SOBREPESO",IF(AND(PI191=$QE$2,CM191&gt;32.1,CM191&lt;50),"OBESIDAD",""))))</f>
        <v/>
      </c>
      <c r="QF191" s="43" t="str">
        <f t="shared" ref="QF191:QF218" si="796">IF(AND(PI191=$QF$2,CM191&gt;10,CM191&lt;23.5),"BAJO PESO",IF(AND(PI191=$QF$2,CM191&gt;23.4,CM191&lt;28),"NORMAL",IF(AND(PI191=$QF$2,CM191&gt;27.9,CM191&lt;32.1),"SOBREPESO",IF(AND(PI191=$QF$2,CM191&gt;32.2,CM191&lt;50),"OBESIDAD",""))))</f>
        <v/>
      </c>
      <c r="QG191" s="43" t="str">
        <f t="shared" ref="QG191:QG218" si="797">IF(AND(PI191=$QG$2,CM191&gt;10,CM191&lt;23.7),"BAJO PESO",IF(AND(PI191=$QG$2,CM191&gt;23.6,CM191&lt;28.1),"NORMAL",IF(AND(PI191=$QG$2,CM191&gt;28,CM191&lt;33.4),"SOBREPESO",IF(AND(PI191=$QG$2,CM191&gt;33.3,CM191&lt;50),"OBESIDAD",""))))</f>
        <v/>
      </c>
      <c r="QH191" s="43" t="str">
        <f t="shared" ref="QH191:QH218" si="798">IF(AND(PI191=$QH$2,CM191&gt;10,CM191&lt;23.9),"BAJO PESO",IF(AND(PI191=$QH$2,CM191&gt;23.8,CM191&lt;28.2),"NORMAL",IF(AND(PI191=$QH$2,CM191&gt;28.1,CM191&lt;33.5),"SOBREPESO",IF(AND(PI191=$QH$2,CM191&gt;33.4,CM191&lt;50),"OBESIDAD",""))))</f>
        <v/>
      </c>
      <c r="QI191" s="43" t="str">
        <f t="shared" ref="QI191:QI218" si="799">IF(AND(PI191=$QI$2,CM191&gt;10,CM191&lt;24),"BAJO PESO",IF(AND(PI191=$QI$2,CM191&gt;23.9,CM191&lt;28.4),"NORMAL",IF(AND(PI191=$QI$2,CM191&gt;28.3,CM191&lt;33.6),"SOBREPESO",IF(AND(PI191=$QI$2,CM191&gt;33.5,CM191&lt;50),"OBESIDAD",""))))</f>
        <v/>
      </c>
      <c r="QJ191" s="43" t="str">
        <f t="shared" ref="QJ191:QJ218" si="800">IF(AND(PI191=$QJ$2,CM191&gt;10,CM191&lt;24.2),"BAJO PESO",IF(AND(PI191=$QJ$2,CM191&gt;24.1,CM191&lt;28.5),"NORMAL",IF(AND(PI191=$QJ$2,CM191&gt;28.4,CM191&lt;33.7),"SOBREPESO",IF(AND(PI191=$QJ$2,CM191&gt;33.6,CM191&lt;50),"OBESIDAD",""))))</f>
        <v/>
      </c>
      <c r="QK191" s="43" t="str">
        <f t="shared" ref="QK191:QK218" si="801">IF(AND(PI191=$QK$2,CM191&gt;10,CM191&lt;24.3),"BAJO PESO",IF(AND(PI191=$QK$2,CM191&gt;24.2,CM191&lt;28.6),"NORMAL",IF(AND(PI191=$QK$2,CM191&gt;28.5,CM191&lt;33.8),"SOBREPESO",IF(AND(PI191=$QK$2,CM191&gt;33.7,CM191&lt;50),"OBESIDAD",""))))</f>
        <v/>
      </c>
      <c r="QL191" s="43" t="str">
        <f t="shared" ref="QL191:QL218" si="802">IF(AND(PI191=$QL$2,CM191&gt;10,CM191&lt;24.5),"BAJO PESO",IF(AND(PI191=$QL$2,CM191&gt;24.4,CM191&lt;28.8),"NORMAL",IF(AND(PI191=$QL$2,CM191&gt;28.7,CM191&lt;32.9),"SOBREPESO",IF(AND(PI191=$QL$2,CM191&gt;32.8,CM191&lt;50),"OBESIDAD",""))))</f>
        <v/>
      </c>
      <c r="QM191" s="43" t="str">
        <f t="shared" ref="QM191:QM218" si="803">IF(AND(PI191=$QM$2,CM191&gt;10,CM191&lt;24.6),"BAJO PESO",IF(AND(PI191=$QM$2,CM191&gt;24.5,CM191&lt;28.9),"NORMAL",IF(AND(PI191=$QM$2,CM191&gt;28.8,CM191&lt;33),"SOBREPESO",IF(AND(PI191=$QM$2,CM191&gt;32.9,CM191&lt;50),"OBESIDAD",""))))</f>
        <v/>
      </c>
      <c r="QN191" s="43" t="str">
        <f t="shared" ref="QN191:QN218" si="804">IF(AND(PI191=$QN$2,CM191&gt;10,CM191&lt;24.8),"BAJO PESO",IF(AND(PI191=$QN$2,CM191&gt;24.7,CM191&lt;29),"NORMAL",IF(AND(PI191=$QN$2,CM191&gt;28.9,CM191&lt;33.1),"SOBREPESO",IF(AND(PI191=$QN$2,CM191&gt;33,CM191&lt;50),"OBESIDAD",""))))</f>
        <v/>
      </c>
      <c r="QO191" s="43" t="str">
        <f t="shared" ref="QO191:QO218" si="805">IF(AND(PI191=$QO$2,CM191&gt;10,CM191&lt;25),"BAJO PESO",IF(AND(PI191=$QO$2,CM191&gt;24.9,CM191&lt;29.2),"NORMAL",IF(AND(PI191=$QO$2,CM191&gt;29.1,CM191&lt;33.2),"SOBREPESO",IF(AND(PI191=$QO$2,CM191&gt;33.1,CM191&lt;50),"OBESIDAD",""))))</f>
        <v/>
      </c>
      <c r="QP191" s="43" t="str">
        <f t="shared" ref="QP191:QP218" si="806">IF(AND(PI191=$QP$2,CM191&gt;10,CM191&lt;25.1),"BAJO PESO",IF(AND(PI191=$QP$2,CM191&gt;25,CM191&lt;29.3),"NORMAL",IF(AND(PI191=$QP$2,CM191&gt;29.2,CM191&lt;33.3),"SOBREPESO",IF(AND(PI191=$QP$2,CM191&gt;33.2,CM191&lt;50),"OBESIDAD",""))))</f>
        <v/>
      </c>
      <c r="QQ191" s="43" t="str">
        <f t="shared" ref="QQ191:QQ218" si="807">IF(AND(PI191=$QQ$2,CM191&gt;10,CM191&lt;25.1),"BAJO PESO",IF(AND(PI191=$QQ$2,CM191&gt;25,CM191&lt;29.4),"NORMAL",IF(AND(PI191=$QQ$2,CM191&gt;29.3,CM191&lt;33.3),"SOBREPESO",IF(AND(PI191=$QQ$2,CM191&gt;33.2,CM191&lt;50),"OBESIDAD",""))))</f>
        <v/>
      </c>
      <c r="QR191" s="43">
        <f t="shared" si="670"/>
        <v>17</v>
      </c>
      <c r="QS191" s="43"/>
      <c r="QT191" s="21" t="str">
        <f t="shared" ref="QT191:QT218" si="808">IF(AND(QR191=$QT$2,CP191&gt;1,CP191&lt;8),"BAJO PARA EDAD GESTACIONAL",IF(AND(QR191=$QT$2,CP191&gt;=8,CP191&lt;=12),"ADECUADO PARA EDAD GESTACIONAL",IF(AND(QR191=$QT$2,CP191&gt;12,CP191&lt;38),"ALTO PARA EDAD GESTACIONAL","")))</f>
        <v/>
      </c>
      <c r="QU191" s="21" t="str">
        <f t="shared" ref="QU191:QU218" si="809">IF(AND(QR191=$QU$2,CP191&gt;1,CP191&lt;8.5),"BAJO PARA EDAD GESTACIONAL",IF(AND(QR191=$QU$2,CP191&gt;=8.5,CP191&lt;=14.5),"ADECUADO PARA EDAD GESTACIONAL",IF(AND(QR191=$QU$2,CP191&gt;14.5,CP191&lt;38),"ALTO PARA EDAD GESTACIONAL","")))</f>
        <v/>
      </c>
      <c r="QV191" s="21" t="str">
        <f t="shared" ref="QV191:QV218" si="810">IF(AND(QR191=$QV$2,CP191&gt;1,CP191&lt;9.5),"BAJO PARA EDAD GESTACIONAL",IF(AND(QR191=$QV$2,CP191&gt;=9.5,CP191&lt;=15),"ADECUADO PARA EDAD GESTACIONAL",IF(AND(QR191=$QV$2,CP191&gt;15,CP191&lt;38),"ALTO PARA EDAD GESTACIONAL","")))</f>
        <v/>
      </c>
      <c r="QW191" s="21" t="str">
        <f t="shared" ref="QW191:QW218" si="811">IF(AND(QR191=$QW$2,CP191&gt;1,CP191&lt;11.5),"BAJO PARA EDAD GESTACIONAL",IF(AND(QR191=$QW$2,CP191&gt;=11.5,CP191&lt;=18),"ADECUADO PARA EDAD GESTACIONAL",IF(AND(QR191=$QW$2,CP191&gt;18,CP191&lt;38),"ALTO PARA EDAD GESTACIONAL","")))</f>
        <v/>
      </c>
      <c r="QX191" s="21" t="str">
        <f t="shared" ref="QX191:QX218" si="812">IF(AND(QR191=$QX$2,CP191&gt;1,CP191&lt;12.5),"BAJO PARA EDAD GESTACIONAL",IF(AND(QR191=$QX$2,CP191&gt;=12.5,CP191&lt;=18),"ADECUADO PARA EDAD GESTACIONAL",IF(AND(QR191=$QX$2,CP191&gt;18,CP191&lt;38),"ALTO PARA EDAD GESTACIONAL","")))</f>
        <v/>
      </c>
      <c r="QY191" s="21" t="str">
        <f t="shared" ref="QY191:QY218" si="813">IF(AND(QR191=$QY$2,CP191&gt;1,CP191&lt;13.5),"BAJO PARA EDAD GESTACIONAL",IF(AND(QR191=$QY$2,CP191&gt;=13.5,CP191&lt;=19),"ADECUADO PARA EDAD GESTACIONAL",IF(AND(QR191=$QY$2,CP191&gt;19,CP191&lt;38),"ALTO PARA EDAD GESTACIONAL","")))</f>
        <v/>
      </c>
      <c r="QZ191" s="21" t="str">
        <f t="shared" ref="QZ191:QZ218" si="814">IF(AND(QR191=$QZ$2,CP191&gt;1,CP191&lt;14),"BAJO PARA EDAD GESTACIONAL",IF(AND(QR191=$QZ$2,CP191&gt;=14,CP191&lt;=19.5),"ADECUADO PARA EDAD GESTACIONAL",IF(AND(QR191=$QZ$2,CP191&gt;19.5,CP191&lt;38),"ALTO PARA EDAD GESTACIONAL","")))</f>
        <v/>
      </c>
      <c r="RA191" s="21" t="str">
        <f t="shared" ref="RA191:RA218" si="815">IF(AND(QR191=$RA$2,CP191&gt;1,CP191&lt;15),"BAJO PARA EDAD GESTACIONAL",IF(AND(QR191=$RA$2,CP191&gt;=15,CP191&lt;=21),"ADECUADO PARA EDAD GESTACIONAL",IF(AND(QR191=$RA$2,CP191&gt;21,CP191&lt;38),"ALTO PARA EDAD GESTACIONAL","")))</f>
        <v/>
      </c>
      <c r="RB191" s="21" t="str">
        <f t="shared" ref="RB191:RB218" si="816">IF(AND(QR191=$RB$2,CP191&gt;1,CP191&lt;15.5),"BAJO PARA EDAD GESTACIONAL",IF(AND(QR191=$RB$2,CP191&gt;=15.5,CP191&lt;=21.5),"ADECUADO PARA EDAD GESTACIONAL",IF(AND(QR191=$RB$2,CP191&gt;21.5,CP191&lt;38),"ALTO PARA EDAD GESTACIONAL","")))</f>
        <v/>
      </c>
      <c r="RC191" s="21" t="str">
        <f t="shared" ref="RC191:RC218" si="817">IF(AND(QR191=$RC$2,CP191&gt;1,CP191&lt;16.5),"BAJO PARA EDAD GESTACIONAL",IF(AND(QR191=$RC$2,CP191&gt;=16.5,CP191&lt;=22.5),"ADECUADO PARA EDAD GESTACIONAL",IF(AND(QR191=$RC$2,CP191&gt;22.5,CP191&lt;38),"ALTO PARA EDAD GESTACIONAL","")))</f>
        <v/>
      </c>
      <c r="RD191" s="21" t="str">
        <f t="shared" ref="RD191:RD218" si="818">IF(AND(QR191=$RD$2,CP191&gt;1,CP191&lt;17.5),"BAJO PARA EDAD GESTACIONAL",IF(AND(QR191=$RD$2,CP191&gt;=17.5,CP191&lt;=23),"ADECUADO PARA EDAD GESTACIONAL",IF(AND(QR191=$RD$2,CP191&gt;23,CP191&lt;38),"ALTO PARA EDAD GESTACIONAL","")))</f>
        <v/>
      </c>
      <c r="RE191" s="21" t="str">
        <f t="shared" ref="RE191:RE218" si="819">IF(AND(QR191=$RE$2,CP191&gt;1,CP191&lt;18.5),"BAJO PARA EDAD GESTACIONAL",IF(AND(QR191=$RE$2,CP191&gt;=18.5,CP191&lt;=24),"ADECUADO PARA EDAD GESTACIONAL",IF(AND(QR191=$RE$2,CP191&gt;24,CP191&lt;38),"ALTO PARA EDAD GESTACIONAL","")))</f>
        <v/>
      </c>
      <c r="RF191" s="21" t="str">
        <f t="shared" ref="RF191:RF218" si="820">IF(AND(QR191=$RF$2,CP191&gt;1,CP191&lt;19.5),"BAJO PARA EDAD GESTACIONAL",IF(AND(QR191=$RF$2,CP191&gt;=19.5,CP191&lt;=25),"ADECUADO PARA EDAD GESTACIONAL",IF(AND(QR191=$RF$2,CP191&gt;25,CP191&lt;38),"ALTO PARA EDAD GESTACIONAL","")))</f>
        <v/>
      </c>
      <c r="RG191" s="21" t="str">
        <f t="shared" ref="RG191:RG218" si="821">IF(AND(QR191=$RG$2,CP191&gt;1,CP191&lt;20),"BAJO PARA EDAD GESTACIONAL",IF(AND(QR191=$RG$2,CP191&gt;=20,CP191&lt;=25.5),"ADECUADO PARA EDAD GESTACIONAL",IF(AND(QR191=$RG$2,CP191&gt;25.5,CP191&lt;38),"ALTO PARA EDAD GESTACIONAL","")))</f>
        <v/>
      </c>
      <c r="RH191" s="21" t="str">
        <f t="shared" ref="RH191:RH218" si="822">IF(AND(QR191=$RH$2,CP191&gt;1,CP191&lt;20.5),"BAJO PARA EDAD GESTACIONAL",IF(AND(QR191=$RH$2,CP191&gt;=20.5,CP191&lt;=26.5),"ADECUADO PARA EDAD GESTACIONAL",IF(AND(QR191=$RH$2,CP191&gt;26.5,CP191&lt;38),"ALTO PARA EDAD GESTACIONAL","")))</f>
        <v/>
      </c>
      <c r="RI191" s="21" t="str">
        <f t="shared" ref="RI191:RI218" si="823">IF(AND(QR191=$RI$2,CP191&gt;1,CP191&lt;21),"BAJO PARA EDAD GESTACIONAL",IF(AND(QR191=$RI$2,CP191&gt;=21,CP191&lt;=27),"ADECUADO PARA EDAD GESTACIONAL",IF(AND(QR191=$RI$2,CP191&gt;27,CP191&lt;38),"ALTO PARA EDAD GESTACIONAL","")))</f>
        <v/>
      </c>
      <c r="RJ191" s="21" t="str">
        <f t="shared" ref="RJ191:RJ218" si="824">IF(AND(QR191=$RJ$2,CP191&gt;1,CP191&lt;22.5),"BAJO PARA EDAD GESTACIONAL",IF(AND(QR191=$RJ$2,CP191&gt;=22.5,CP191&lt;=28),"ADECUADO PARA EDAD GESTACIONAL",IF(AND(QR191=$RJ$2,CP191&gt;28,CP191&lt;38),"ALTO PARA EDAD GESTACIONAL","")))</f>
        <v/>
      </c>
      <c r="RK191" s="21" t="str">
        <f t="shared" ref="RK191:RK218" si="825">IF(AND(QR191=$RK$2,CP191&gt;1,CP191&lt;23.5),"BAJO PARA EDAD GESTACIONAL",IF(AND(QR191=$RK$2,CP191&gt;=23.5,CP191&lt;=29),"ADECUADO PARA EDAD GESTACIONAL",IF(AND(QR191=$RK$2,CP191&gt;29,CP191&lt;38),"ALTO PARA EDAD GESTACIONAL","")))</f>
        <v/>
      </c>
      <c r="RL191" s="21" t="str">
        <f t="shared" ref="RL191:RL218" si="826">IF(AND(QR191=$RL$2,CP191&gt;1,CP191&lt;24),"BAJO PARA EDAD GESTACIONAL",IF(AND(QR191=$RL$2,CP191&gt;=24,CP191&lt;=29.5),"ADECUADO PARA EDAD GESTACIONAL",IF(AND(QR191=$RL$2,CP191&gt;29.5,CP191&lt;38),"ALTO PARA EDAD GESTACIONAL","")))</f>
        <v/>
      </c>
      <c r="RM191" s="21" t="str">
        <f t="shared" ref="RM191:RM218" si="827">IF(AND(QR191=$RM$2,CP191&gt;1,CP191&lt;25),"BAJO PARA EDAD GESTACIONAL",IF(AND(QR191=$RM$2,CP191&gt;=25,CP191&lt;=30),"ADECUADO PARA EDAD GESTACIONAL",IF(AND(QR191=$RM$2,CP191&gt;30,CP191&lt;38),"ALTO PARA EDAD GESTACIONAL","")))</f>
        <v/>
      </c>
      <c r="RN191" s="21" t="str">
        <f t="shared" ref="RN191:RN218" si="828">IF(AND(QR191=$RN$2,CP191&gt;1,CP191&lt;25.5),"BAJO PARA EDAD GESTACIONAL",IF(AND(QR191=$RN$2,CP191&gt;=25.5,CP191&lt;=31),"ADECUADO PARA EDAD GESTACIONAL",IF(AND(QR191=$RN$2,CP191&gt;31,CP191&lt;38),"ALTO PARA EDAD GESTACIONAL","")))</f>
        <v/>
      </c>
      <c r="RO191" s="21" t="str">
        <f t="shared" ref="RO191:RO218" si="829">IF(AND(QR191=$RO$2,CP191&gt;1,CP191&lt;26),"BAJO PARA EDAD GESTACIONAL",IF(AND(QR191=$RO$2,CP191&gt;=26,CP191&lt;=32),"ADECUADO PARA EDAD GESTACIONAL",IF(AND(QR191=$RO$2,CP191&gt;32,CP191&lt;38),"ALTO PARA EDAD GESTACIONAL","")))</f>
        <v/>
      </c>
      <c r="RP191" s="21" t="str">
        <f t="shared" ref="RP191:RP218" si="830">IF(AND(QR191=$RP$2,CP191&gt;1,CP191&lt;26.5),"BAJO PARA EDAD GESTACIONAL",IF(AND(QR191=$RP$2,CP191&gt;=26.5,CP191&lt;=33),"ADECUADO PARA EDAD GESTACIONAL",IF(AND(QR191=$RP$2,CP191&gt;33,CP191&lt;38),"ALTO PARA EDAD GESTACIONAL","")))</f>
        <v/>
      </c>
      <c r="RQ191" s="21" t="str">
        <f t="shared" ref="RQ191:RQ218" si="831">IF(AND(QR191=$RQ$2,CP191&gt;1,CP191&lt;28),"BAJO PARA EDAD GESTACIONAL",IF(AND(QR191=$RQ$2,CP191&gt;=28,CP191&lt;=33),"ADECUADO PARA EDAD GESTACIONAL",IF(AND(QR191=$RQ$2,CP191&gt;33,CP191&lt;38),"ALTO PARA EDAD GESTACIONAL","")))</f>
        <v/>
      </c>
      <c r="RR191" s="21" t="str">
        <f t="shared" ref="RR191:RR218" si="832">IF(AND(QR191=$RR$2,CP191&gt;1,CP191&lt;28.5),"BAJO PARA EDAD GESTACIONAL",IF(AND(QR191=$RR$2,CP191&gt;=28.5,CP191&lt;=34),"ADECUADO PARA EDAD GESTACIONAL",IF(AND(QR191=$RR$2,CP191&gt;34,CP191&lt;38),"ALTO PARA EDAD GESTACIONAL","")))</f>
        <v/>
      </c>
      <c r="RS191" s="21" t="str">
        <f t="shared" ref="RS191:RS218" si="833">IF(AND(QR191=$RS$2,CP191&gt;1,CP191&lt;29.5),"BAJO PARA EDAD GESTACIONAL",IF(AND(QR191=$RS$2,CP191&gt;=29.5,CP191&lt;=34),"ADECUADO PARA EDAD GESTACIONAL",IF(AND(QR191=$RS$2,CP191&gt;34,CP191&lt;38),"ALTO PARA EDAD GESTACIONAL","")))</f>
        <v/>
      </c>
      <c r="RT191" s="21" t="str">
        <f t="shared" ref="RT191:RT218" si="834">IF(AND(QR191=$RT$2,CP191&gt;1,CP191&lt;30.5),"BAJO PARA EDAD GESTACIONAL",IF(AND(QR191=$RT$2,CP191&gt;=30.5,CP191&lt;=34),"ADECUADO PARA EDAD GESTACIONAL",IF(AND(QR191=$RT$2,CP191&gt;34,CP191&lt;38),"ALTO PARA EDAD GESTACIONAL","")))</f>
        <v/>
      </c>
      <c r="RU191" s="21" t="str">
        <f t="shared" ref="RU191:RU218" si="835">IF(AND(QR191=$RU$2,CP191&gt;1,CP191&lt;31),"BAJO PARA EDAD GESTACIONAL",IF(AND(QR191=$RU$2,CP191&gt;=31,CP191&lt;=34.5),"ADECUADO PARA EDAD GESTACIONAL",IF(AND(QR191=$RU$2,CP191&gt;34.5,CP191&lt;38),"ALTO PARA EDAD GESTACIONAL","")))</f>
        <v/>
      </c>
      <c r="RV191" s="21">
        <f t="shared" ref="RV191:RV218" si="836">IF(AND(R191="",HQ191=""),"",IF(SUM((HQ191-RW191)/7)&gt;43.1,"",IF(SUM((HQ191-RW191)/7)&lt;0,-1,SUM((HQ191-RW191)/7))))</f>
        <v>-1</v>
      </c>
      <c r="RW191" s="284">
        <f>IF(OR(Tabla1[[#This Row],[FUM FORMULA CONFIABLE]]="",Tabla1[[#This Row],[FUM FORMULA CONFIABLE]]="SD"),"",IF(Tabla1[[#This Row],[FUM FORMULA CONFIABLE]]="CORREGIDA",Tabla1[[#This Row],[FUM X ECO 1]],Tabla1[[#This Row],[FUM x AMENORREA]]))</f>
        <v>44947</v>
      </c>
      <c r="RX191" s="21" t="str">
        <f>IF(AND(Tabla1[[#This Row],[FUM X ECO 1]]="",Tabla1[[#This Row],[FUM x AMENORREA]]=""),"",IF(AND(Tabla1[[#This Row],[FUM X ECO 1]]="",Tabla1[[#This Row],[FUM x AMENORREA]]&lt;&gt;""),"X",SUM(Tabla1[[#This Row],[FUM X ECO 1]]-Tabla1[[#This Row],[FUM x AMENORREA]])))</f>
        <v>X</v>
      </c>
      <c r="RY191" s="21" t="str">
        <f t="shared" si="671"/>
        <v>x</v>
      </c>
    </row>
    <row r="192" spans="1:493" ht="45" customHeight="1" x14ac:dyDescent="0.25">
      <c r="A192" s="109"/>
      <c r="B192" s="43"/>
      <c r="C192" s="43" t="s">
        <v>845</v>
      </c>
      <c r="D192" s="124"/>
      <c r="E192" s="43" t="s">
        <v>1246</v>
      </c>
      <c r="F192" s="43" t="s">
        <v>943</v>
      </c>
      <c r="G192" s="43" t="s">
        <v>1535</v>
      </c>
      <c r="H192" s="43"/>
      <c r="I192" s="109" t="s">
        <v>851</v>
      </c>
      <c r="J192" s="288">
        <v>1002848307</v>
      </c>
      <c r="K192" s="43" t="s">
        <v>852</v>
      </c>
      <c r="L192" s="175" t="s">
        <v>1509</v>
      </c>
      <c r="M192" s="22">
        <v>32067</v>
      </c>
      <c r="N192" s="213">
        <f t="shared" ca="1" si="600"/>
        <v>36.07123287671233</v>
      </c>
      <c r="O192" s="22">
        <v>45073</v>
      </c>
      <c r="P192" s="214" t="str">
        <f t="shared" si="673"/>
        <v>SI</v>
      </c>
      <c r="Q192" s="26" t="s">
        <v>855</v>
      </c>
      <c r="R192" s="22">
        <v>45073</v>
      </c>
      <c r="S192" s="21" t="s">
        <v>856</v>
      </c>
      <c r="T192" s="24" t="s">
        <v>690</v>
      </c>
      <c r="U192" s="21" t="s">
        <v>857</v>
      </c>
      <c r="V192" s="21" t="s">
        <v>858</v>
      </c>
      <c r="W192" s="21" t="s">
        <v>1536</v>
      </c>
      <c r="X192" s="21"/>
      <c r="Y192" s="21" t="s">
        <v>859</v>
      </c>
      <c r="Z192" s="21" t="s">
        <v>894</v>
      </c>
      <c r="AA192" s="21" t="s">
        <v>860</v>
      </c>
      <c r="AB192" s="27" t="s">
        <v>861</v>
      </c>
      <c r="AC192" s="26" t="s">
        <v>862</v>
      </c>
      <c r="AD192" s="38" t="s">
        <v>1546</v>
      </c>
      <c r="AE192" s="26" t="s">
        <v>854</v>
      </c>
      <c r="AF192" s="26" t="s">
        <v>854</v>
      </c>
      <c r="AG192" s="23" t="s">
        <v>864</v>
      </c>
      <c r="AH192" s="23" t="s">
        <v>864</v>
      </c>
      <c r="AI192" s="24" t="s">
        <v>863</v>
      </c>
      <c r="AJ192" s="23" t="s">
        <v>864</v>
      </c>
      <c r="AK192" s="220" t="str">
        <f>IF(AND(AD192="",AE192="",AF192="",AG192="",AH192="",AI192="",AJ192=""),"",IF(OR(Tabla1[[#This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EVALUACIÓN",IF(AND(O192="",R192=""),"",IF(AND(OR(O192&gt;0,R192&gt;0),NG192&gt;=0,NG192&lt;2),"SIN RIESGO",IF(AND(OR(O192&gt;0,R192&gt;0),NG192&gt;=2),"CON RIESGO","ASD")))))</f>
        <v>SIN RIESGO</v>
      </c>
      <c r="AL192" s="23" t="s">
        <v>864</v>
      </c>
      <c r="AM192" s="26" t="s">
        <v>864</v>
      </c>
      <c r="AN192" s="26" t="s">
        <v>864</v>
      </c>
      <c r="AO192" s="26" t="s">
        <v>864</v>
      </c>
      <c r="AP192" s="26" t="s">
        <v>864</v>
      </c>
      <c r="AQ192" s="26" t="s">
        <v>864</v>
      </c>
      <c r="AR192" s="26" t="s">
        <v>864</v>
      </c>
      <c r="AS192" s="21">
        <v>9</v>
      </c>
      <c r="AT192" s="21">
        <v>8</v>
      </c>
      <c r="AU192" s="21">
        <v>1</v>
      </c>
      <c r="AV192" s="26" t="s">
        <v>864</v>
      </c>
      <c r="AW192" s="21">
        <v>0</v>
      </c>
      <c r="AX192" s="26" t="s">
        <v>864</v>
      </c>
      <c r="AY192" s="26" t="s">
        <v>864</v>
      </c>
      <c r="AZ192" s="26" t="s">
        <v>864</v>
      </c>
      <c r="BA192" s="26" t="s">
        <v>864</v>
      </c>
      <c r="BB192" s="26" t="s">
        <v>864</v>
      </c>
      <c r="BC192" s="26" t="s">
        <v>864</v>
      </c>
      <c r="BD192" s="26" t="s">
        <v>864</v>
      </c>
      <c r="BE192" s="26" t="s">
        <v>864</v>
      </c>
      <c r="BF192" s="26" t="s">
        <v>864</v>
      </c>
      <c r="BG192" s="26" t="s">
        <v>864</v>
      </c>
      <c r="BH192" s="26" t="s">
        <v>864</v>
      </c>
      <c r="BI192" s="26" t="s">
        <v>864</v>
      </c>
      <c r="BJ192" s="26" t="s">
        <v>864</v>
      </c>
      <c r="BK192" s="26" t="s">
        <v>864</v>
      </c>
      <c r="BL192" s="26" t="s">
        <v>864</v>
      </c>
      <c r="BM192" s="26" t="s">
        <v>864</v>
      </c>
      <c r="BN192" s="22">
        <v>42974</v>
      </c>
      <c r="BO192" s="22">
        <v>44979</v>
      </c>
      <c r="BP192" s="21" t="s">
        <v>854</v>
      </c>
      <c r="BQ192" s="222">
        <f t="shared" si="601"/>
        <v>66.833333333333329</v>
      </c>
      <c r="BR192" s="223" t="str">
        <f t="shared" si="602"/>
        <v/>
      </c>
      <c r="BS192" s="224">
        <f t="shared" si="603"/>
        <v>13.428571428571429</v>
      </c>
      <c r="BT192" s="216" t="str">
        <f t="shared" si="604"/>
        <v>II TRIM</v>
      </c>
      <c r="BU192" s="214">
        <f t="shared" ca="1" si="605"/>
        <v>36.285714285714285</v>
      </c>
      <c r="BV192" s="25"/>
      <c r="BW192" s="22"/>
      <c r="BX192" s="28"/>
      <c r="BY192" s="28"/>
      <c r="BZ192" s="22"/>
      <c r="CA192" s="21"/>
      <c r="CB192" s="26"/>
      <c r="CC192" s="26"/>
      <c r="CD192" s="26"/>
      <c r="CE192" s="26"/>
      <c r="CF192" s="22" t="s">
        <v>1517</v>
      </c>
      <c r="CG192" s="21">
        <v>1.5</v>
      </c>
      <c r="CH192" s="21">
        <v>52</v>
      </c>
      <c r="CI192" s="214">
        <f t="shared" si="606"/>
        <v>23.111111111111111</v>
      </c>
      <c r="CJ192" s="225" t="e">
        <f>IF(AND(CI192&lt;10,CH192="SD"),"SIN DATO PESO PREGESTACION O I TRIM",IF(AND(OR(R192&gt;0,O192&gt;0),CI192="X"),"INGRESAR DATO DE PESO",IF(CI192="SD","INGRESAR DATO DE TALLA Y PESO",IF(AND(OR(Tabla1[[#This Row],[MOMENTO EN QUE SE REALIZA EL PESO AL INGRESO A CPN]]="PREGESTACIÓN",NZ192="Menor"),CI192&lt;18.5),"BAJO PESO",IF(AND(OR(Tabla1[[#This Row],[MOMENTO EN QUE SE REALIZA EL PESO AL INGRESO A CPN]]="PREGESTACIÓN",NZ192="Menor"),CI192&lt;25),"NORMAL",IF(AND(OR(Tabla1[[#This Row],[MOMENTO EN QUE SE REALIZA EL PESO AL INGRESO A CPN]]="PREGESTACIÓN",NZ192="Menor"),CI192&lt;30),"SOBREPESO",IF(AND(OR(Tabla1[[#This Row],[MOMENTO EN QUE SE REALIZA EL PESO AL INGRESO A CPN]]="PREGESTACIÓN",NZ192="Menor"),CI192&gt;=30,CI192&lt;50),"OBESIDAD",IF(AND(BS192&gt;0,Tabla1[[#This Row],[MOMENTO EN QUE SE REALIZA EL PESO AL INGRESO A CPN]]="GESTACIÓN"),HLOOKUP(NZ192,$OA$2:PH192,NY192),""))))))))</f>
        <v>#REF!</v>
      </c>
      <c r="CK192" s="212">
        <f t="shared" si="607"/>
        <v>45121</v>
      </c>
      <c r="CL192" s="21">
        <v>55</v>
      </c>
      <c r="CM192" s="214">
        <f t="shared" si="608"/>
        <v>24.444444444444443</v>
      </c>
      <c r="CN192" s="216">
        <f t="shared" si="609"/>
        <v>20</v>
      </c>
      <c r="CO192" s="216" t="e">
        <f>IF(PI192="","",IF(PI192&gt;0,HLOOKUP(PI192,$PJ$2:QQ192,NY192),""))</f>
        <v>#REF!</v>
      </c>
      <c r="CP192" s="21">
        <v>20</v>
      </c>
      <c r="CQ192" s="216" t="e">
        <f>IF(QR192="Menor","NO APLICA-MENOR 13 SEM",IF(AND(CC192="SI",CN192&gt;23),"NO APLICA- GEMELAR",IF(QR192="","",IF(QR192&gt;0,HLOOKUP(QR192,$QS$2:RU192,NY192),""))))</f>
        <v>#REF!</v>
      </c>
      <c r="CR192" s="21"/>
      <c r="CS192" s="21"/>
      <c r="CT192" s="217" t="str">
        <f>IF(R192="","",IF(AND(BS192&gt;1,BS192&lt;12,Tabla1[[#This Row],[T.A. SISTOLICA - ANTES DE SEMANA 12]]="",Tabla1[[#This Row],[T.A. DIASTOLICA - ANTES DE SEMANA 12]]=""),"REGISTRE DATO TA ANTES SEMANA 12",IF(AND(BS192&gt;11,BS192&lt;43,Tabla1[[#This Row],[T.A. SISTOLICA - ANTES DE SEMANA 12]]="",Tabla1[[#This Row],[T.A. DIASTOLICA - ANTES DE SEMANA 12]]=""),"NO APLICA REGISTRO TA-INGRESO TARDIO",IF(AND(OR(O192&gt;0,R192&gt;0),OR(CR192&gt;=140,CS192&gt;=90)),"DEFINIR ESTADIO HTA",IF(AND(OR(O192&gt;0,R192&gt;0),AND(CR192&gt;120,CR192&lt;=139)),"PRE HTA SEGUIMIENTO",IF(AND(OR(O192&gt;0,R192&gt;0),AND(CS192&gt;80,CS192&lt;=89)),"PRE HTA SEGUIMIENTO",IF(AND(OR(O192&gt;0,R192&gt;0),AND(CR192&gt;=80,CR192&lt;=120)),"APARENTEMENTE NORMAL",IF(AND(OR(O192&gt;0,R192&gt;0),AND(CS192&gt;=50,CS192&lt;=80)),"APARENTEMENTE NORMAL",IF(AND(OR(O192&gt;0,R192&gt;0),AND(CR192&gt;1,CR192&lt;=70),AND(CS192&gt;1,CS192&lt;=40)),"HIPOTENSIÓN","")))))))))</f>
        <v>NO APLICA REGISTRO TA-INGRESO TARDIO</v>
      </c>
      <c r="CU192" s="21">
        <v>100</v>
      </c>
      <c r="CV192" s="21">
        <v>60</v>
      </c>
      <c r="CW192" s="217" t="str">
        <f ca="1">IF(R192="","",IF(AND(CN192&gt;19,CN192&lt;27,Tabla1[[#This Row],[T.A. SISTOLICA (Entre semana 20 y 26)]]="",Tabla1[[#This Row],[T.A. DIATOLICA (Entre semana 20 y 26)]]=""),"ACUDE A CONTROL SEM 20 A 26 REGISTRE TA AHORA",IF(AND(BS192&gt;1,BS192&lt;27,BU192&gt;19,Tabla1[[#This Row],[T.A. SISTOLICA (Entre semana 20 y 26)]]="",Tabla1[[#This Row],[T.A. DIATOLICA (Entre semana 20 y 26)]]=""),"COMPLETE REGISTRO TA CONTROL SEM 20 A26 ",IF(AND(BS192&gt;26,BS192&lt;43,Tabla1[[#This Row],[T.A. SISTOLICA (Entre semana 20 y 26)]]="",Tabla1[[#This Row],[T.A. DIATOLICA (Entre semana 20 y 26)]]=""),"NO APLICA REGISTRO TA-INGRESO TARDIO",IF(AND(OR(O192&gt;0,R192&gt;0),OR(CU192&gt;=140,CV192&gt;=90)),"ALTO RIESGO PREECLAMPSIA,DEFINIR ESTADIO HTA",IF(AND(OR(O192&gt;0,R192&gt;0),AND(CU192&gt;120,CU192&lt;=139)),"PRE HTA SEGUIMIENTO,RIESGO HIPERTENSION INDUCIDA POR EL EMBARAZO",IF(AND(OR(O192&gt;0,R192&gt;0),AND(CV192&gt;80,CV192&lt;=89)),"PRE HTA SEGUIMIENTO, RIESGO HIPERTENSION INDUCIDA POR EL EMBARAZO",IF(AND(OR(O192&lt;&gt;"",R192&lt;&gt;""),CS192&lt;&gt;"",CV192&lt;&gt;"",CS192&lt;=CV192),"VIGILAR CIFRAS PRESION ARTERIAL",IF(AND(OR(O192&gt;0,R192&gt;0),AND(CU192&gt;120,CU192&lt;=139)),"PRE HTA SEGUIMIENTO",IF(AND(OR(O192&gt;0,R192&gt;0),AND(CU192&gt;1,CU192&lt;=70),AND(CV192&gt;1,CV192&lt;=40)),"HIPOTENSIÓN",IF(AND(OR(O192&lt;&gt;"",R192&lt;&gt;""),CS192&lt;&gt;"",CV192&lt;&gt;"",CS192&gt;CV192),"APARENTEMENTE NORMAL",IF(AND(OR(O192&gt;0,R192&gt;0),AND(CU192&gt;=80,CU192&lt;=120)),"APARENTEMENTE NORMAL",IF(AND(OR(O192&gt;0,R192&gt;0),AND(CV192&gt;=50,CV192&lt;=80)),"APARENTEMENTE NORMAL","")))))))))))))</f>
        <v>APARENTEMENTE NORMAL</v>
      </c>
      <c r="CX192" s="21"/>
      <c r="CY192" s="21"/>
      <c r="CZ192" s="216" t="str">
        <f t="shared" si="727"/>
        <v/>
      </c>
      <c r="DA192" s="21">
        <v>100</v>
      </c>
      <c r="DB192" s="21">
        <v>60</v>
      </c>
      <c r="DC192" s="217" t="str">
        <f t="shared" si="610"/>
        <v>APARENTEMENTE NORMAL</v>
      </c>
      <c r="DD192" s="22">
        <v>45073</v>
      </c>
      <c r="DE192" s="22">
        <v>45073</v>
      </c>
      <c r="DF192" s="22">
        <v>45121</v>
      </c>
      <c r="DG192" s="22"/>
      <c r="DH192" s="22"/>
      <c r="DI192" s="22"/>
      <c r="DJ192" s="22"/>
      <c r="DK192" s="22"/>
      <c r="DL192" s="22"/>
      <c r="DM192" s="22"/>
      <c r="DN192" s="22"/>
      <c r="DO192" s="22"/>
      <c r="DP192" s="22"/>
      <c r="DQ192" s="22"/>
      <c r="DR192" s="28"/>
      <c r="DS192" s="22"/>
      <c r="DT192" s="22"/>
      <c r="DU192" s="216" t="str">
        <f t="shared" ca="1" si="674"/>
        <v>CONCERTAR PLAN DE PARTO INMEDIATO</v>
      </c>
      <c r="DV192" s="226" t="str">
        <f t="shared" si="675"/>
        <v>ACTIVA INGRESO A CPN</v>
      </c>
      <c r="DW19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2" s="216" t="e">
        <f t="shared" ca="1" si="611"/>
        <v>#REF!</v>
      </c>
      <c r="DY192" s="212">
        <f>IF(R192="","",IF(R192&gt;0,MAX(Tabla1[[#This Row],[FECHA C2]:[FECHA C13]],Tabla1[[#This Row],[FECHA CONSULTA PRIMERA VEZ PROGRAMA CPN ]])))</f>
        <v>45121</v>
      </c>
      <c r="DZ192" s="216">
        <f t="shared" si="612"/>
        <v>20</v>
      </c>
      <c r="EA192" s="222">
        <f>IF(R192&gt;0,SUM(COUNTA(DF192:DQ192)+COUNTA(Tabla1[[#This Row],[FECHA CONSULTA PRIMERA VEZ PROGRAMA CPN ]])),"")</f>
        <v>2</v>
      </c>
      <c r="EB192" s="222" t="str">
        <f t="shared" si="613"/>
        <v>NO</v>
      </c>
      <c r="EC192" s="214">
        <f t="shared" si="614"/>
        <v>8</v>
      </c>
      <c r="ED192" s="227">
        <f t="shared" si="615"/>
        <v>0.25</v>
      </c>
      <c r="EE192" s="22">
        <v>45073</v>
      </c>
      <c r="EF192" s="22">
        <v>45121</v>
      </c>
      <c r="EG192" s="22">
        <v>45073</v>
      </c>
      <c r="EH192" s="22"/>
      <c r="EI192" s="22">
        <v>45073</v>
      </c>
      <c r="EJ192" s="22"/>
      <c r="EK192" s="22"/>
      <c r="EL192" s="21"/>
      <c r="EM192" s="21">
        <v>12.2</v>
      </c>
      <c r="EN192" s="22">
        <v>45124</v>
      </c>
      <c r="EO192" s="222">
        <f t="shared" si="616"/>
        <v>20.714285714285715</v>
      </c>
      <c r="EP192" s="214" t="str">
        <f t="shared" si="617"/>
        <v>NORMAL- SUMINISTRAR SULFATO FERROSO</v>
      </c>
      <c r="EQ192" s="216" t="str">
        <f t="shared" si="618"/>
        <v>II TRIM</v>
      </c>
      <c r="ER192" s="24"/>
      <c r="ES192" s="22"/>
      <c r="ET192" s="29" t="str">
        <f t="shared" ca="1" si="676"/>
        <v>TOMA DE HEMOGLOBINA TARDÍA</v>
      </c>
      <c r="EU192" s="25" t="str">
        <f t="shared" si="619"/>
        <v/>
      </c>
      <c r="EV192" s="24" t="s">
        <v>1510</v>
      </c>
      <c r="EW192" s="22">
        <v>45124</v>
      </c>
      <c r="EX192" s="22"/>
      <c r="EY192" s="29">
        <f t="shared" si="691"/>
        <v>20.714285714285715</v>
      </c>
      <c r="EZ192" s="25" t="str">
        <f t="shared" si="692"/>
        <v>SIN RIESGO DE ISOINMUNIZACIÓN</v>
      </c>
      <c r="FA192" s="21">
        <v>74</v>
      </c>
      <c r="FB192" s="22">
        <v>45124</v>
      </c>
      <c r="FC192" s="29">
        <f t="shared" si="620"/>
        <v>20.714285714285715</v>
      </c>
      <c r="FD192" s="29"/>
      <c r="FE192" s="29"/>
      <c r="FF192" s="29"/>
      <c r="FG192" s="21" t="str">
        <f t="shared" ca="1" si="621"/>
        <v>TOMAR PTOG</v>
      </c>
      <c r="FH192" s="31"/>
      <c r="FI192" s="29" t="str">
        <f t="shared" si="622"/>
        <v>TOMAR EXAMEN</v>
      </c>
      <c r="FJ192" s="22"/>
      <c r="FK192" s="22"/>
      <c r="FL192" s="29" t="str">
        <f t="shared" ca="1" si="623"/>
        <v>NO APLICA-INGRESO TARDIO</v>
      </c>
      <c r="FM192" s="22" t="s">
        <v>867</v>
      </c>
      <c r="FN192" s="32">
        <v>45124</v>
      </c>
      <c r="FO192" s="29">
        <f t="shared" ca="1" si="677"/>
        <v>20.714285714285715</v>
      </c>
      <c r="FP192" s="22"/>
      <c r="FQ192" s="32"/>
      <c r="FR192" s="29" t="str">
        <f t="shared" ca="1" si="678"/>
        <v>TOMA INMEDIATA DE TAMIZAJE</v>
      </c>
      <c r="FS192" s="22"/>
      <c r="FT192" s="32"/>
      <c r="FU192" s="29" t="str">
        <f>IF(AND(FJ192="",FM192="",FP192="",FS192=""),"",IF(OR(OR(Tabla1[[#This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2" s="28"/>
      <c r="FW192" s="22"/>
      <c r="FX192" s="29" t="str">
        <f t="shared" si="624"/>
        <v>TOMAR EXAMEN</v>
      </c>
      <c r="FY192" s="22"/>
      <c r="FZ192" s="22"/>
      <c r="GA192" s="29" t="str">
        <f t="shared" ca="1" si="737"/>
        <v>NO APLICA-INGRESO TARDIO</v>
      </c>
      <c r="GB192" s="22" t="s">
        <v>868</v>
      </c>
      <c r="GC192" s="32">
        <v>45124</v>
      </c>
      <c r="GD192" s="29">
        <f t="shared" ca="1" si="730"/>
        <v>20.714285714285715</v>
      </c>
      <c r="GE192" s="22"/>
      <c r="GF192" s="22"/>
      <c r="GG192" s="29" t="str">
        <f t="shared" ca="1" si="680"/>
        <v>TOMA INMEDIATA DE TAMIZAJE</v>
      </c>
      <c r="GH192" s="22"/>
      <c r="GI192" s="29"/>
      <c r="GJ192" s="22"/>
      <c r="GK192" s="22"/>
      <c r="GL192" s="22"/>
      <c r="GM192" s="22"/>
      <c r="GN192" s="28" t="s">
        <v>869</v>
      </c>
      <c r="GO192" s="32">
        <v>45124</v>
      </c>
      <c r="GP192" s="29">
        <f t="shared" si="625"/>
        <v>20.714285714285715</v>
      </c>
      <c r="GQ192" s="28" t="s">
        <v>880</v>
      </c>
      <c r="GR192" s="28"/>
      <c r="GS192" s="22" t="str">
        <f t="shared" si="726"/>
        <v/>
      </c>
      <c r="GT192" s="22">
        <v>45124</v>
      </c>
      <c r="GU192" s="29">
        <f t="shared" si="627"/>
        <v>20.714285714285715</v>
      </c>
      <c r="GV192" s="21" t="str">
        <f t="shared" si="628"/>
        <v>II TRIM</v>
      </c>
      <c r="GW192" s="28"/>
      <c r="GX192" s="30"/>
      <c r="GY192" s="21"/>
      <c r="GZ192" s="21"/>
      <c r="HA192" s="21"/>
      <c r="HB192" s="21"/>
      <c r="HC192" s="21"/>
      <c r="HD192" s="21"/>
      <c r="HE192" s="21"/>
      <c r="HF192" s="22"/>
      <c r="HG192" s="22" t="str">
        <f>IF(OR(O192&gt;0,R192&gt;0),CONCATENATE(IF(Tabla1[[#This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2" s="22" t="e">
        <f t="shared" si="629"/>
        <v>#REF!</v>
      </c>
      <c r="HI192" s="22" t="e">
        <f t="shared" ca="1" si="630"/>
        <v>#REF!</v>
      </c>
      <c r="HJ192" s="21"/>
      <c r="HK192" s="21" t="str">
        <f t="shared" si="631"/>
        <v>SIN ANTECEDENTES DE RIESGO</v>
      </c>
      <c r="HL192" s="24" t="str">
        <f t="shared" si="632"/>
        <v>APARENTEMENTE NORMAL</v>
      </c>
      <c r="HM192" s="21" t="e">
        <f t="shared" ca="1" si="633"/>
        <v>#REF!</v>
      </c>
      <c r="HN192" s="30" t="str">
        <f t="shared" si="681"/>
        <v>ACTIVA INGRESO A CPN</v>
      </c>
      <c r="HO192" s="21"/>
      <c r="HP192" s="21"/>
      <c r="HQ192" s="349"/>
      <c r="HR192" s="21" t="str">
        <f>IF(R192="","",IF(Tabla1[[#This Row],[ALARMA FACTORES DE RIESGO COMPLICACIONES HIPERTENSIVAS3]]="SIN ANTECEDENTES DE RIESGO","No Aplica para suministro de ASA",IF(AND(Tabla1[[#This Row],[FECHA INICIO DE SUMINISTRO DE ASA]]&gt;0,RV192&lt;12),"Inicia ASA ANTES de Sem 12",IF(AND(RV192&gt;11,RV192&lt;17,OR(HK192="RIESGO ALTO DE COMPLICACIONES HIPERTENSIVAS VER MANEJO GUIA SUMINISTRO ASA Y CALCIO",HK192="RIESGO MODERADO (2 O MAS CRITERIOS) VER MANEJO GUIA SUMINISTRO ASA Y CALCIO")),"Inicio oportuno de ASA",IF(AND(RV192&gt;12,OR(HK192="RIESGO ALTO DE COMPLICACIONES HIPERTENSIVAS VER MANEJO GUIA SUMINISTRO ASA Y CALCIO",HK192="RIESGO MODERADO (2 O MAS CRITERIOS) VER MANEJO GUIA SUMINISTRO ASA Y CALCIO")),"Inicio no oportuno mayor a 16 semanas",IF(AND(BU192&lt;12,OR(HK192="RIESGO ALTO DE COMPLICACIONES HIPERTENSIVAS VER MANEJO GUIA SUMINISTRO ASA Y CALCIO",HK192="RIESGO MODERADO (2 O MAS CRITERIOS) VER MANEJO GUIA SUMINISTRO ASA Y CALCIO")),"Pendiente Inicio de ASA a la semana 12",IF(AND(BU192&gt;11,BU192&lt;17,OR(HK192="RIESGO ALTO DE COMPLICACIONES HIPERTENSIVAS VER MANEJO GUIA SUMINISTRO ASA Y CALCIO",HK192="RIESGO MODERADO (2 O MAS CRITERIOS) VER MANEJO GUIA SUMINISTRO ASA Y CALCIO")),"Iniciar de inmediato ASA",IF(AND(BU192&gt;16,OR(HK192="RIESGO ALTO DE COMPLICACIONES HIPERTENSIVAS VER MANEJO GUIA SUMINISTRO ASA Y CALCIO",HK192="RIESGO MODERADO (2 O MAS CRITERIOS) VER MANEJO GUIA SUMINISTRO ASA Y CALCIO")),"Pierde Oportunidad, Inicio tardío de ASA","XXXXX"))))))))</f>
        <v>No Aplica para suministro de ASA</v>
      </c>
      <c r="HS192" s="22">
        <v>45073</v>
      </c>
      <c r="HT192" s="22" t="s">
        <v>1518</v>
      </c>
      <c r="HU192" s="22">
        <v>45073</v>
      </c>
      <c r="HV192" s="22" t="s">
        <v>1506</v>
      </c>
      <c r="HW192" s="22">
        <v>45073</v>
      </c>
      <c r="HX192" s="22" t="s">
        <v>1511</v>
      </c>
      <c r="HY192" s="22"/>
      <c r="HZ192" s="28" t="str">
        <f t="shared" si="634"/>
        <v>PENDIENTE CONSULTA</v>
      </c>
      <c r="IA192" s="26"/>
      <c r="IB192" s="26"/>
      <c r="IC192" s="111"/>
      <c r="ID192" s="22"/>
      <c r="IE192" s="22" t="str">
        <f t="shared" ca="1" si="635"/>
        <v>INASISTENTE</v>
      </c>
      <c r="IF192" s="22"/>
      <c r="IG192" s="22">
        <f t="shared" si="636"/>
        <v>45259</v>
      </c>
      <c r="IH192" s="29">
        <f t="shared" ca="1" si="637"/>
        <v>26</v>
      </c>
      <c r="II192" s="22" t="str">
        <f t="shared" ca="1" si="638"/>
        <v>MENOS DE 4 SEMANAS</v>
      </c>
      <c r="IJ192" s="22"/>
      <c r="IK192" s="21"/>
      <c r="IL192" s="21"/>
      <c r="IM192" s="34"/>
      <c r="IN192" s="22"/>
      <c r="IO192" s="21"/>
      <c r="IP192" s="29" t="str">
        <f t="shared" si="728"/>
        <v/>
      </c>
      <c r="IQ192" s="35"/>
      <c r="IR192" s="21"/>
      <c r="IS192" s="21"/>
      <c r="IT192" s="21"/>
      <c r="IU192" s="21"/>
      <c r="IV192" s="21"/>
      <c r="IW192" s="21"/>
      <c r="IX192" s="21"/>
      <c r="IY192" s="21"/>
      <c r="IZ192" s="21"/>
      <c r="JA192" s="21"/>
      <c r="JB192" s="30"/>
      <c r="JC192" s="21"/>
      <c r="JD192" s="36"/>
      <c r="JE192" s="21" t="str">
        <f t="shared" si="731"/>
        <v/>
      </c>
      <c r="JF192" s="30"/>
      <c r="JG192" s="21"/>
      <c r="JH192" s="21"/>
      <c r="JI192" s="21"/>
      <c r="JJ192" s="30"/>
      <c r="JK192" s="22"/>
      <c r="JL192" s="22"/>
      <c r="JM192" s="21"/>
      <c r="JN192" s="36"/>
      <c r="JO192" s="21" t="str">
        <f t="shared" si="732"/>
        <v/>
      </c>
      <c r="JP192" s="22"/>
      <c r="JQ192" s="21"/>
      <c r="JR192" s="21"/>
      <c r="JS192" s="21"/>
      <c r="JT192" s="30"/>
      <c r="JU192" s="22"/>
      <c r="JV192" s="22"/>
      <c r="JW192" s="33"/>
      <c r="JX192" s="28" t="str">
        <f t="shared" si="733"/>
        <v/>
      </c>
      <c r="JY192" s="33"/>
      <c r="JZ192" s="28" t="str">
        <f t="shared" si="734"/>
        <v/>
      </c>
      <c r="KA192" s="21"/>
      <c r="KB192" s="21"/>
      <c r="KC192" s="21"/>
      <c r="KD192" s="37"/>
      <c r="KE192" s="28"/>
      <c r="KF192" s="28"/>
      <c r="KG192" s="28"/>
      <c r="KH192" s="39"/>
      <c r="KI192" s="39"/>
      <c r="KJ192" s="66"/>
      <c r="KK192" s="39"/>
      <c r="KL192" s="39"/>
      <c r="KM192" s="66"/>
      <c r="KN192" s="39"/>
      <c r="KO192" s="39"/>
      <c r="KP192" s="39"/>
      <c r="KQ192" s="39"/>
      <c r="KR192" s="39"/>
      <c r="KS192" s="39"/>
      <c r="KT192" s="39"/>
      <c r="KU192" s="38"/>
      <c r="KV192" s="38"/>
      <c r="KW192" s="38"/>
      <c r="KX192" s="38"/>
      <c r="KY192" s="38"/>
      <c r="KZ192" s="38"/>
      <c r="LA192" s="38"/>
      <c r="LB192" s="38"/>
      <c r="LC192" s="38"/>
      <c r="LD192" s="38"/>
      <c r="LE192" s="38"/>
      <c r="LF192" s="38"/>
      <c r="LG192" s="38"/>
      <c r="LH192" s="38"/>
      <c r="LI192" s="38"/>
      <c r="LJ192" s="38"/>
      <c r="LK192" s="38"/>
      <c r="LL192" s="38"/>
      <c r="LM192" s="38"/>
      <c r="LN192" s="38"/>
      <c r="LO192" s="38"/>
      <c r="LP192" s="38"/>
      <c r="LQ192" s="38"/>
      <c r="LR192" s="38"/>
      <c r="LS192" s="38"/>
      <c r="LT192" s="38"/>
      <c r="LU192" s="38"/>
      <c r="LV192" s="38"/>
      <c r="LW192" s="38"/>
      <c r="LX192" s="38"/>
      <c r="LY192" s="38"/>
      <c r="LZ192" s="38"/>
      <c r="MA192" s="38"/>
      <c r="MB192" s="38"/>
      <c r="MC192" s="38"/>
      <c r="MD192" s="38"/>
      <c r="ME192" s="38"/>
      <c r="MF192" s="38"/>
      <c r="MG192" s="38"/>
      <c r="MH192" s="43">
        <f t="shared" si="695"/>
        <v>0</v>
      </c>
      <c r="MI192" s="43" t="str">
        <f t="shared" si="696"/>
        <v/>
      </c>
      <c r="MJ192" s="43" t="str">
        <f t="shared" si="697"/>
        <v/>
      </c>
      <c r="MK192" s="43">
        <f t="shared" si="698"/>
        <v>0</v>
      </c>
      <c r="ML19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2" s="43">
        <f t="shared" si="699"/>
        <v>13.428571428571429</v>
      </c>
      <c r="MN192" s="43">
        <f t="shared" si="700"/>
        <v>5</v>
      </c>
      <c r="MO192" s="43">
        <f t="shared" si="701"/>
        <v>2023</v>
      </c>
      <c r="MP192" s="43" t="str">
        <f t="shared" si="702"/>
        <v>II TRIMESTRE AÑO</v>
      </c>
      <c r="MQ192" s="43">
        <f t="shared" si="703"/>
        <v>35.096364432763906</v>
      </c>
      <c r="MR192" s="43">
        <f t="shared" si="704"/>
        <v>2</v>
      </c>
      <c r="MS192" s="43" t="str">
        <f t="shared" si="705"/>
        <v xml:space="preserve"> DE 35 A 39 AÑOS</v>
      </c>
      <c r="MT192" s="43">
        <f t="shared" si="706"/>
        <v>0</v>
      </c>
      <c r="MU192" s="43">
        <f t="shared" si="707"/>
        <v>2</v>
      </c>
      <c r="MV192" s="43">
        <f t="shared" si="708"/>
        <v>0</v>
      </c>
      <c r="MW192" s="43">
        <f t="shared" si="709"/>
        <v>0</v>
      </c>
      <c r="MX192" s="43" t="str">
        <f t="shared" si="710"/>
        <v/>
      </c>
      <c r="MY192" s="43" t="str">
        <f t="shared" ca="1" si="735"/>
        <v/>
      </c>
      <c r="MZ192" s="43" t="str">
        <f t="shared" si="711"/>
        <v/>
      </c>
      <c r="NA192" s="43" t="str">
        <f t="shared" si="712"/>
        <v/>
      </c>
      <c r="NB192" s="43" t="str">
        <f t="shared" si="713"/>
        <v/>
      </c>
      <c r="NC192" s="43" t="str">
        <f t="shared" si="714"/>
        <v/>
      </c>
      <c r="ND192" s="43">
        <f t="shared" ca="1" si="715"/>
        <v>4</v>
      </c>
      <c r="NE192" s="43">
        <f>IF(OR(O192&gt;0,R192&gt;0),SUM(COUNTIF(Tabla1[[#This Row],[AÑOS AL INICIO5 CPN]],"&gt;=40"),COUNTIF(AS192,"0"),COUNTIF(AR192,"SI"),COUNTIF(CC192,"SI"),COUNTIF(BQ192,"&gt;119"),COUNTIF(CI192,"&gt;=35")),"")</f>
        <v>0</v>
      </c>
      <c r="NF192" s="43" t="str">
        <f t="shared" si="716"/>
        <v/>
      </c>
      <c r="NG192" s="43">
        <f t="shared" si="717"/>
        <v>0</v>
      </c>
      <c r="NH192" s="43" t="str">
        <f t="shared" si="718"/>
        <v/>
      </c>
      <c r="NI19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CPN",P192="NO"),"Z",IF(AND(Tabla1[[#This Row],[CITA PROXIMO CONTROL]]="CITA MANUAL",Tabla1[[#This Row],[GESTANTES ACTUALES]]="ACTIVA INGRESO A CPN"),"W",IF(AND(Tabla1[[#This Row],[GESTANTES ACTUALES]]="SALIO PROGRAMA",IN192=""),"S",IF(AND(Tabla1[[#This Row],[CITA PROXIMO CONTROL]]&gt;0,IN192=""),(Tabla1[[#This Row],[CITA PROXIMO CONTROL]]-TODAY()),"SD"))))))))</f>
        <v>#REF!</v>
      </c>
      <c r="NJ192" s="43">
        <f>MONTH(Tabla1[[#This Row],[FECHA DE SALIDA  DEL PROGRAMA]])</f>
        <v>1</v>
      </c>
      <c r="NK192" s="43">
        <f>YEAR(Tabla1[[#This Row],[FECHA DE SALIDA  DEL PROGRAMA]])</f>
        <v>1900</v>
      </c>
      <c r="NL192" s="43" t="str">
        <f t="shared" si="719"/>
        <v>X</v>
      </c>
      <c r="NM192" s="43" t="str">
        <f t="shared" si="693"/>
        <v>NO</v>
      </c>
      <c r="NN192" s="43" t="str">
        <f ca="1">IF(AND(O192&gt;0,R192=""),"NO CPN",IF(AND(O192="",R192=""),"",IF(AND(R192&gt;0,Tabla1[[#This Row],[SEMANAS DE GESTACION ACTUALIZADAS]]&lt;=12),"NO APLICA",IF(AND(FH192&lt;&gt;"",FN192&lt;&gt;""),"SI","NO"))))</f>
        <v>NO</v>
      </c>
      <c r="NO192" s="43" t="str">
        <f ca="1">IF(AND(O192&gt;0,R192=""),"NO CPN",IF(AND(O192="",R192=""),"",IF(AND(R192&gt;0,Tabla1[[#This Row],[SEMANAS DE GESTACION ACTUALIZADAS]]&lt;=27),"NO APLICA",IF(AND(ES192&lt;&gt;"",FQ192&lt;&gt;"",GF192&lt;&gt;""),"SI","NO"))))</f>
        <v>NO</v>
      </c>
      <c r="NP192" s="204" t="str">
        <f t="shared" si="720"/>
        <v>II TRIM</v>
      </c>
      <c r="NQ192" s="21" t="str">
        <f t="shared" si="729"/>
        <v/>
      </c>
      <c r="NR192" s="21">
        <f t="shared" ca="1" si="736"/>
        <v>2</v>
      </c>
      <c r="NS192" s="205">
        <f t="shared" ca="1" si="721"/>
        <v>1</v>
      </c>
      <c r="NT192" s="21">
        <f t="shared" ca="1" si="722"/>
        <v>1</v>
      </c>
      <c r="NU192" s="21" t="str">
        <f t="shared" ca="1" si="723"/>
        <v>INCOMPLETO</v>
      </c>
      <c r="NV192" s="21" t="str">
        <f t="shared" ca="1" si="724"/>
        <v>INCOMPLETO</v>
      </c>
      <c r="NW192" s="206" t="str">
        <f>IF(AND(O192="",R192=""),"",IF(OR(AND(Tabla1[[#This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2" s="207" t="str">
        <f t="shared" ca="1" si="725"/>
        <v>SIN VACUNAR</v>
      </c>
      <c r="NY192" s="43">
        <f>ROW(Tabla1[[#This Row],['# DE TAMIZAJES SIFILIS TOMADOS ]])</f>
        <v>192</v>
      </c>
      <c r="NZ192" s="43">
        <f t="shared" si="738"/>
        <v>13</v>
      </c>
      <c r="OA192" s="43" t="str">
        <f t="shared" si="739"/>
        <v/>
      </c>
      <c r="OB192" s="43" t="str">
        <f t="shared" si="740"/>
        <v/>
      </c>
      <c r="OC192" s="43" t="str">
        <f t="shared" si="741"/>
        <v/>
      </c>
      <c r="OD192" s="43" t="str">
        <f t="shared" si="742"/>
        <v/>
      </c>
      <c r="OE192" s="43" t="str">
        <f t="shared" si="743"/>
        <v>NORMAL</v>
      </c>
      <c r="OF192" s="43" t="str">
        <f t="shared" si="744"/>
        <v/>
      </c>
      <c r="OG192" s="43" t="str">
        <f t="shared" si="745"/>
        <v/>
      </c>
      <c r="OH192" s="43" t="str">
        <f t="shared" si="746"/>
        <v/>
      </c>
      <c r="OI192" s="43" t="str">
        <f t="shared" si="747"/>
        <v/>
      </c>
      <c r="OJ192" s="43" t="str">
        <f t="shared" si="748"/>
        <v/>
      </c>
      <c r="OK192" s="43" t="str">
        <f t="shared" si="749"/>
        <v/>
      </c>
      <c r="OL192" s="43" t="str">
        <f t="shared" si="750"/>
        <v/>
      </c>
      <c r="OM192" s="43" t="str">
        <f t="shared" si="751"/>
        <v/>
      </c>
      <c r="ON192" s="43" t="str">
        <f t="shared" si="752"/>
        <v/>
      </c>
      <c r="OO192" s="43" t="str">
        <f t="shared" si="753"/>
        <v/>
      </c>
      <c r="OP192" s="43" t="str">
        <f t="shared" si="754"/>
        <v/>
      </c>
      <c r="OQ192" s="43" t="str">
        <f t="shared" si="755"/>
        <v/>
      </c>
      <c r="OR192" s="43" t="str">
        <f t="shared" si="756"/>
        <v/>
      </c>
      <c r="OS192" s="43" t="str">
        <f t="shared" si="757"/>
        <v/>
      </c>
      <c r="OT192" s="43" t="str">
        <f t="shared" si="758"/>
        <v/>
      </c>
      <c r="OU192" s="43" t="str">
        <f t="shared" si="759"/>
        <v/>
      </c>
      <c r="OV192" s="110" t="str">
        <f t="shared" si="760"/>
        <v/>
      </c>
      <c r="OW192" s="43" t="str">
        <f t="shared" si="761"/>
        <v/>
      </c>
      <c r="OX192" s="43" t="str">
        <f t="shared" si="762"/>
        <v/>
      </c>
      <c r="OY192" s="43" t="str">
        <f t="shared" si="763"/>
        <v/>
      </c>
      <c r="OZ192" s="43" t="str">
        <f t="shared" si="764"/>
        <v/>
      </c>
      <c r="PA192" s="43" t="str">
        <f t="shared" si="765"/>
        <v/>
      </c>
      <c r="PB192" s="43" t="str">
        <f t="shared" si="766"/>
        <v/>
      </c>
      <c r="PC192" s="43" t="str">
        <f t="shared" si="767"/>
        <v/>
      </c>
      <c r="PD192" s="43" t="str">
        <f t="shared" si="768"/>
        <v/>
      </c>
      <c r="PE192" s="43" t="str">
        <f t="shared" si="769"/>
        <v/>
      </c>
      <c r="PF192" s="43" t="str">
        <f t="shared" si="770"/>
        <v/>
      </c>
      <c r="PG192" s="43" t="str">
        <f t="shared" si="771"/>
        <v/>
      </c>
      <c r="PH192" s="43" t="str">
        <f t="shared" si="772"/>
        <v/>
      </c>
      <c r="PI192" s="43">
        <f t="shared" si="773"/>
        <v>20</v>
      </c>
      <c r="PJ192" s="43" t="str">
        <f t="shared" si="774"/>
        <v/>
      </c>
      <c r="PK192" s="43" t="str">
        <f t="shared" si="775"/>
        <v/>
      </c>
      <c r="PL192" s="43" t="str">
        <f t="shared" si="776"/>
        <v/>
      </c>
      <c r="PM192" s="43" t="str">
        <f t="shared" si="777"/>
        <v/>
      </c>
      <c r="PN192" s="43" t="str">
        <f t="shared" si="778"/>
        <v/>
      </c>
      <c r="PO192" s="43" t="str">
        <f t="shared" si="779"/>
        <v/>
      </c>
      <c r="PP192" s="43" t="str">
        <f t="shared" si="780"/>
        <v/>
      </c>
      <c r="PQ192" s="43" t="str">
        <f t="shared" si="781"/>
        <v/>
      </c>
      <c r="PR192" s="43" t="str">
        <f t="shared" si="782"/>
        <v/>
      </c>
      <c r="PS192" s="43" t="str">
        <f t="shared" si="783"/>
        <v/>
      </c>
      <c r="PT192" s="43" t="str">
        <f t="shared" si="784"/>
        <v/>
      </c>
      <c r="PU192" s="43" t="str">
        <f t="shared" si="785"/>
        <v>NORMAL</v>
      </c>
      <c r="PV192" s="43" t="str">
        <f t="shared" si="786"/>
        <v/>
      </c>
      <c r="PW192" s="43" t="str">
        <f t="shared" si="787"/>
        <v/>
      </c>
      <c r="PX192" s="43" t="str">
        <f t="shared" si="788"/>
        <v/>
      </c>
      <c r="PY192" s="43" t="str">
        <f t="shared" si="789"/>
        <v/>
      </c>
      <c r="PZ192" s="43" t="str">
        <f t="shared" si="790"/>
        <v/>
      </c>
      <c r="QA192" s="43" t="str">
        <f t="shared" si="791"/>
        <v/>
      </c>
      <c r="QB192" s="43" t="str">
        <f t="shared" si="792"/>
        <v/>
      </c>
      <c r="QC192" s="43" t="str">
        <f t="shared" si="793"/>
        <v/>
      </c>
      <c r="QD192" s="43" t="str">
        <f t="shared" si="794"/>
        <v/>
      </c>
      <c r="QE192" s="43" t="str">
        <f t="shared" si="795"/>
        <v/>
      </c>
      <c r="QF192" s="43" t="str">
        <f t="shared" si="796"/>
        <v/>
      </c>
      <c r="QG192" s="43" t="str">
        <f t="shared" si="797"/>
        <v/>
      </c>
      <c r="QH192" s="43" t="str">
        <f t="shared" si="798"/>
        <v/>
      </c>
      <c r="QI192" s="43" t="str">
        <f t="shared" si="799"/>
        <v/>
      </c>
      <c r="QJ192" s="43" t="str">
        <f t="shared" si="800"/>
        <v/>
      </c>
      <c r="QK192" s="43" t="str">
        <f t="shared" si="801"/>
        <v/>
      </c>
      <c r="QL192" s="43" t="str">
        <f t="shared" si="802"/>
        <v/>
      </c>
      <c r="QM192" s="43" t="str">
        <f t="shared" si="803"/>
        <v/>
      </c>
      <c r="QN192" s="43" t="str">
        <f t="shared" si="804"/>
        <v/>
      </c>
      <c r="QO192" s="43" t="str">
        <f t="shared" si="805"/>
        <v/>
      </c>
      <c r="QP192" s="43" t="str">
        <f t="shared" si="806"/>
        <v/>
      </c>
      <c r="QQ192" s="43" t="str">
        <f t="shared" si="807"/>
        <v/>
      </c>
      <c r="QR192" s="43">
        <f t="shared" ref="QR192:QR218" si="837">IF(DZ192="","",IF(DZ192&lt;13,"Menor",IF(DZ192&gt;40,"Mayor",DZ192)))</f>
        <v>20</v>
      </c>
      <c r="QS192" s="43"/>
      <c r="QT192" s="21" t="str">
        <f t="shared" si="808"/>
        <v/>
      </c>
      <c r="QU192" s="21" t="str">
        <f t="shared" si="809"/>
        <v/>
      </c>
      <c r="QV192" s="21" t="str">
        <f t="shared" si="810"/>
        <v/>
      </c>
      <c r="QW192" s="21" t="str">
        <f t="shared" si="811"/>
        <v/>
      </c>
      <c r="QX192" s="21" t="str">
        <f t="shared" si="812"/>
        <v/>
      </c>
      <c r="QY192" s="21" t="str">
        <f t="shared" si="813"/>
        <v/>
      </c>
      <c r="QZ192" s="21" t="str">
        <f t="shared" si="814"/>
        <v/>
      </c>
      <c r="RA192" s="21" t="str">
        <f t="shared" si="815"/>
        <v>ADECUADO PARA EDAD GESTACIONAL</v>
      </c>
      <c r="RB192" s="21" t="str">
        <f t="shared" si="816"/>
        <v/>
      </c>
      <c r="RC192" s="21" t="str">
        <f t="shared" si="817"/>
        <v/>
      </c>
      <c r="RD192" s="21" t="str">
        <f t="shared" si="818"/>
        <v/>
      </c>
      <c r="RE192" s="21" t="str">
        <f t="shared" si="819"/>
        <v/>
      </c>
      <c r="RF192" s="21" t="str">
        <f t="shared" si="820"/>
        <v/>
      </c>
      <c r="RG192" s="21" t="str">
        <f t="shared" si="821"/>
        <v/>
      </c>
      <c r="RH192" s="21" t="str">
        <f t="shared" si="822"/>
        <v/>
      </c>
      <c r="RI192" s="21" t="str">
        <f t="shared" si="823"/>
        <v/>
      </c>
      <c r="RJ192" s="21" t="str">
        <f t="shared" si="824"/>
        <v/>
      </c>
      <c r="RK192" s="21" t="str">
        <f t="shared" si="825"/>
        <v/>
      </c>
      <c r="RL192" s="21" t="str">
        <f t="shared" si="826"/>
        <v/>
      </c>
      <c r="RM192" s="21" t="str">
        <f t="shared" si="827"/>
        <v/>
      </c>
      <c r="RN192" s="21" t="str">
        <f t="shared" si="828"/>
        <v/>
      </c>
      <c r="RO192" s="21" t="str">
        <f t="shared" si="829"/>
        <v/>
      </c>
      <c r="RP192" s="21" t="str">
        <f t="shared" si="830"/>
        <v/>
      </c>
      <c r="RQ192" s="21" t="str">
        <f t="shared" si="831"/>
        <v/>
      </c>
      <c r="RR192" s="21" t="str">
        <f t="shared" si="832"/>
        <v/>
      </c>
      <c r="RS192" s="21" t="str">
        <f t="shared" si="833"/>
        <v/>
      </c>
      <c r="RT192" s="21" t="str">
        <f t="shared" si="834"/>
        <v/>
      </c>
      <c r="RU192" s="21" t="str">
        <f t="shared" si="835"/>
        <v/>
      </c>
      <c r="RV192" s="21">
        <f t="shared" si="836"/>
        <v>-1</v>
      </c>
      <c r="RW192" s="284">
        <f>IF(OR(Tabla1[[#This Row],[FUM FORMULA CONFIABLE]]="",Tabla1[[#This Row],[FUM FORMULA CONFIABLE]]="SD"),"",IF(Tabla1[[#This Row],[FUM FORMULA CONFIABLE]]="CORREGIDA",Tabla1[[#This Row],[FUM X ECO 1]],Tabla1[[#This Row],[FUM x AMENORREA]]))</f>
        <v>44979</v>
      </c>
      <c r="RX192" s="21" t="str">
        <f>IF(AND(Tabla1[[#This Row],[FUM X ECO 1]]="",Tabla1[[#This Row],[FUM x AMENORREA]]=""),"",IF(AND(Tabla1[[#This Row],[FUM X ECO 1]]="",Tabla1[[#This Row],[FUM x AMENORREA]]&lt;&gt;""),"X",SUM(Tabla1[[#This Row],[FUM X ECO 1]]-Tabla1[[#This Row],[FUM x AMENORREA]])))</f>
        <v>X</v>
      </c>
      <c r="RY192" s="21" t="str">
        <f t="shared" ref="RY192:RY218" si="838">IF(RX192="","",IF(RX192="x","x",IF(OR(RX192&gt;6,RX192&lt;-7),1,0)))</f>
        <v>x</v>
      </c>
    </row>
    <row r="193" spans="1:493" ht="45" customHeight="1" x14ac:dyDescent="0.25">
      <c r="A193" s="109"/>
      <c r="B193" s="43"/>
      <c r="C193" s="43" t="s">
        <v>845</v>
      </c>
      <c r="D193" s="124"/>
      <c r="E193" s="43" t="s">
        <v>873</v>
      </c>
      <c r="F193" s="43" t="s">
        <v>1091</v>
      </c>
      <c r="G193" s="43" t="s">
        <v>1277</v>
      </c>
      <c r="H193" s="43"/>
      <c r="I193" s="109" t="s">
        <v>851</v>
      </c>
      <c r="J193" s="298">
        <v>1059598472</v>
      </c>
      <c r="K193" s="43" t="s">
        <v>852</v>
      </c>
      <c r="L193" s="175" t="s">
        <v>1509</v>
      </c>
      <c r="M193" s="22">
        <v>32899</v>
      </c>
      <c r="N193" s="213">
        <f t="shared" ca="1" si="600"/>
        <v>33.791780821917811</v>
      </c>
      <c r="O193" s="22">
        <v>45000</v>
      </c>
      <c r="P193" s="214" t="str">
        <f t="shared" si="673"/>
        <v>SI</v>
      </c>
      <c r="Q193" s="26" t="s">
        <v>855</v>
      </c>
      <c r="R193" s="22">
        <v>45000</v>
      </c>
      <c r="S193" s="21" t="s">
        <v>856</v>
      </c>
      <c r="T193" s="24" t="s">
        <v>690</v>
      </c>
      <c r="U193" s="21" t="s">
        <v>857</v>
      </c>
      <c r="V193" s="21" t="s">
        <v>858</v>
      </c>
      <c r="W193" s="21" t="s">
        <v>859</v>
      </c>
      <c r="X193" s="21"/>
      <c r="Y193" s="21" t="s">
        <v>859</v>
      </c>
      <c r="Z193" s="21">
        <v>3116159410</v>
      </c>
      <c r="AA193" s="21" t="s">
        <v>860</v>
      </c>
      <c r="AB193" s="27" t="s">
        <v>861</v>
      </c>
      <c r="AC193" s="26" t="s">
        <v>846</v>
      </c>
      <c r="AD193" s="38" t="s">
        <v>1546</v>
      </c>
      <c r="AE193" s="26" t="s">
        <v>854</v>
      </c>
      <c r="AF193" s="26" t="s">
        <v>854</v>
      </c>
      <c r="AG193" s="23" t="s">
        <v>864</v>
      </c>
      <c r="AH193" s="23" t="s">
        <v>864</v>
      </c>
      <c r="AI193" s="24" t="s">
        <v>863</v>
      </c>
      <c r="AJ193" s="23" t="s">
        <v>864</v>
      </c>
      <c r="AK193" s="220" t="str">
        <f>IF(AND(AD193="",AE193="",AF193="",AG193="",AH193="",AI193="",AJ193=""),"",IF(OR(Tabla1[[#This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EVALUACIÓN",IF(AND(O193="",R193=""),"",IF(AND(OR(O193&gt;0,R193&gt;0),NG193&gt;=0,NG193&lt;2),"SIN RIESGO",IF(AND(OR(O193&gt;0,R193&gt;0),NG193&gt;=2),"CON RIESGO","ASD")))))</f>
        <v>SIN RIESGO</v>
      </c>
      <c r="AL193" s="23" t="s">
        <v>864</v>
      </c>
      <c r="AM193" s="26" t="s">
        <v>864</v>
      </c>
      <c r="AN193" s="26" t="s">
        <v>864</v>
      </c>
      <c r="AO193" s="26" t="s">
        <v>864</v>
      </c>
      <c r="AP193" s="26" t="s">
        <v>864</v>
      </c>
      <c r="AQ193" s="26" t="s">
        <v>864</v>
      </c>
      <c r="AR193" s="26" t="s">
        <v>864</v>
      </c>
      <c r="AS193" s="21">
        <v>6</v>
      </c>
      <c r="AT193" s="21">
        <v>5</v>
      </c>
      <c r="AU193" s="21">
        <v>1</v>
      </c>
      <c r="AV193" s="26" t="s">
        <v>864</v>
      </c>
      <c r="AW193" s="21">
        <v>0</v>
      </c>
      <c r="AX193" s="26" t="s">
        <v>864</v>
      </c>
      <c r="AY193" s="26" t="s">
        <v>864</v>
      </c>
      <c r="AZ193" s="26" t="s">
        <v>864</v>
      </c>
      <c r="BA193" s="26" t="s">
        <v>864</v>
      </c>
      <c r="BB193" s="26" t="s">
        <v>864</v>
      </c>
      <c r="BC193" s="26" t="s">
        <v>864</v>
      </c>
      <c r="BD193" s="26" t="s">
        <v>864</v>
      </c>
      <c r="BE193" s="26" t="s">
        <v>864</v>
      </c>
      <c r="BF193" s="26" t="s">
        <v>864</v>
      </c>
      <c r="BG193" s="26" t="s">
        <v>864</v>
      </c>
      <c r="BH193" s="26" t="s">
        <v>864</v>
      </c>
      <c r="BI193" s="26" t="s">
        <v>864</v>
      </c>
      <c r="BJ193" s="26" t="s">
        <v>864</v>
      </c>
      <c r="BK193" s="26" t="s">
        <v>864</v>
      </c>
      <c r="BL193" s="26" t="s">
        <v>864</v>
      </c>
      <c r="BM193" s="26" t="s">
        <v>864</v>
      </c>
      <c r="BN193" s="22"/>
      <c r="BO193" s="22">
        <v>44933</v>
      </c>
      <c r="BP193" s="21" t="s">
        <v>1380</v>
      </c>
      <c r="BQ193" s="222">
        <f t="shared" si="601"/>
        <v>0</v>
      </c>
      <c r="BR193" s="223">
        <f t="shared" si="602"/>
        <v>44918</v>
      </c>
      <c r="BS193" s="224">
        <f t="shared" si="603"/>
        <v>11.714285714285714</v>
      </c>
      <c r="BT193" s="216" t="str">
        <f t="shared" si="604"/>
        <v>II TRIM</v>
      </c>
      <c r="BU193" s="214" t="str">
        <f t="shared" ca="1" si="605"/>
        <v/>
      </c>
      <c r="BV193" s="25" t="s">
        <v>988</v>
      </c>
      <c r="BW193" s="22">
        <v>45149</v>
      </c>
      <c r="BX193" s="28">
        <v>33</v>
      </c>
      <c r="BY193" s="28"/>
      <c r="BZ193" s="22"/>
      <c r="CA193" s="21"/>
      <c r="CB193" s="26" t="s">
        <v>864</v>
      </c>
      <c r="CC193" s="26" t="s">
        <v>864</v>
      </c>
      <c r="CD193" s="26" t="s">
        <v>878</v>
      </c>
      <c r="CE193" s="26" t="s">
        <v>864</v>
      </c>
      <c r="CF193" s="22" t="s">
        <v>1517</v>
      </c>
      <c r="CG193" s="21">
        <v>1.58</v>
      </c>
      <c r="CH193" s="21">
        <v>60</v>
      </c>
      <c r="CI193" s="214">
        <f t="shared" si="606"/>
        <v>24.034609838166958</v>
      </c>
      <c r="CJ193" s="225" t="e">
        <f>IF(AND(CI193&lt;10,CH193="SD"),"SIN DATO PESO PREGESTACION O I TRIM",IF(AND(OR(R193&gt;0,O193&gt;0),CI193="X"),"INGRESAR DATO DE PESO",IF(CI193="SD","INGRESAR DATO DE TALLA Y PESO",IF(AND(OR(Tabla1[[#This Row],[MOMENTO EN QUE SE REALIZA EL PESO AL INGRESO A CPN]]="PREGESTACIÓN",NZ193="Menor"),CI193&lt;18.5),"BAJO PESO",IF(AND(OR(Tabla1[[#This Row],[MOMENTO EN QUE SE REALIZA EL PESO AL INGRESO A CPN]]="PREGESTACIÓN",NZ193="Menor"),CI193&lt;25),"NORMAL",IF(AND(OR(Tabla1[[#This Row],[MOMENTO EN QUE SE REALIZA EL PESO AL INGRESO A CPN]]="PREGESTACIÓN",NZ193="Menor"),CI193&lt;30),"SOBREPESO",IF(AND(OR(Tabla1[[#This Row],[MOMENTO EN QUE SE REALIZA EL PESO AL INGRESO A CPN]]="PREGESTACIÓN",NZ193="Menor"),CI193&gt;=30,CI193&lt;50),"OBESIDAD",IF(AND(BS193&gt;0,Tabla1[[#This Row],[MOMENTO EN QUE SE REALIZA EL PESO AL INGRESO A CPN]]="GESTACIÓN"),HLOOKUP(NZ193,$OA$2:PH193,NY193),""))))))))</f>
        <v>#REF!</v>
      </c>
      <c r="CK193" s="212">
        <f t="shared" si="607"/>
        <v>45148</v>
      </c>
      <c r="CL193" s="21">
        <v>61.5</v>
      </c>
      <c r="CM193" s="214">
        <f t="shared" si="608"/>
        <v>24.635475084121129</v>
      </c>
      <c r="CN193" s="216">
        <f t="shared" si="609"/>
        <v>32</v>
      </c>
      <c r="CO193" s="216" t="e">
        <f>IF(PI193="","",IF(PI193&gt;0,HLOOKUP(PI193,$PJ$2:QQ193,NY193),""))</f>
        <v>#REF!</v>
      </c>
      <c r="CP193" s="21">
        <v>27</v>
      </c>
      <c r="CQ193" s="216" t="e">
        <f>IF(QR193="Menor","NO APLICA-MENOR 13 SEM",IF(AND(CC193="SI",CN193&gt;23),"NO APLICA- GEMELAR",IF(QR193="","",IF(QR193&gt;0,HLOOKUP(QR193,$QS$2:RU193,NY193),""))))</f>
        <v>#REF!</v>
      </c>
      <c r="CR193" s="21"/>
      <c r="CS193" s="21"/>
      <c r="CT193" s="217" t="str">
        <f>IF(R193="","",IF(AND(BS193&gt;1,BS193&lt;12,Tabla1[[#This Row],[T.A. SISTOLICA - ANTES DE SEMANA 12]]="",Tabla1[[#This Row],[T.A. DIASTOLICA - ANTES DE SEMANA 12]]=""),"REGISTRE DATO TA ANTES SEMANA 12",IF(AND(BS193&gt;11,BS193&lt;43,Tabla1[[#This Row],[T.A. SISTOLICA - ANTES DE SEMANA 12]]="",Tabla1[[#This Row],[T.A. DIASTOLICA - ANTES DE SEMANA 12]]=""),"NO APLICA REGISTRO TA-INGRESO TARDIO",IF(AND(OR(O193&gt;0,R193&gt;0),OR(CR193&gt;=140,CS193&gt;=90)),"DEFINIR ESTADIO HTA",IF(AND(OR(O193&gt;0,R193&gt;0),AND(CR193&gt;120,CR193&lt;=139)),"PRE HTA SEGUIMIENTO",IF(AND(OR(O193&gt;0,R193&gt;0),AND(CS193&gt;80,CS193&lt;=89)),"PRE HTA SEGUIMIENTO",IF(AND(OR(O193&gt;0,R193&gt;0),AND(CR193&gt;=80,CR193&lt;=120)),"APARENTEMENTE NORMAL",IF(AND(OR(O193&gt;0,R193&gt;0),AND(CS193&gt;=50,CS193&lt;=80)),"APARENTEMENTE NORMAL",IF(AND(OR(O193&gt;0,R193&gt;0),AND(CR193&gt;1,CR193&lt;=70),AND(CS193&gt;1,CS193&lt;=40)),"HIPOTENSIÓN","")))))))))</f>
        <v>REGISTRE DATO TA ANTES SEMANA 12</v>
      </c>
      <c r="CU193" s="21"/>
      <c r="CV193" s="21"/>
      <c r="CW193" s="217" t="str">
        <f ca="1">IF(R193="","",IF(AND(CN193&gt;19,CN193&lt;27,Tabla1[[#This Row],[T.A. SISTOLICA (Entre semana 20 y 26)]]="",Tabla1[[#This Row],[T.A. DIATOLICA (Entre semana 20 y 26)]]=""),"ACUDE A CONTROL SEM 20 A 26 REGISTRE TA AHORA",IF(AND(BS193&gt;1,BS193&lt;27,BU193&gt;19,Tabla1[[#This Row],[T.A. SISTOLICA (Entre semana 20 y 26)]]="",Tabla1[[#This Row],[T.A. DIATOLICA (Entre semana 20 y 26)]]=""),"COMPLETE REGISTRO TA CONTROL SEM 20 A26 ",IF(AND(BS193&gt;26,BS193&lt;43,Tabla1[[#This Row],[T.A. SISTOLICA (Entre semana 20 y 26)]]="",Tabla1[[#This Row],[T.A. DIATOLICA (Entre semana 20 y 26)]]=""),"NO APLICA REGISTRO TA-INGRESO TARDIO",IF(AND(OR(O193&gt;0,R193&gt;0),OR(CU193&gt;=140,CV193&gt;=90)),"ALTO RIESGO PREECLAMPSIA,DEFINIR ESTADIO HTA",IF(AND(OR(O193&gt;0,R193&gt;0),AND(CU193&gt;120,CU193&lt;=139)),"PRE HTA SEGUIMIENTO,RIESGO HIPERTENSION INDUCIDA POR EL EMBARAZO",IF(AND(OR(O193&gt;0,R193&gt;0),AND(CV193&gt;80,CV193&lt;=89)),"PRE HTA SEGUIMIENTO, RIESGO HIPERTENSION INDUCIDA POR EL EMBARAZO",IF(AND(OR(O193&lt;&gt;"",R193&lt;&gt;""),CS193&lt;&gt;"",CV193&lt;&gt;"",CS193&lt;=CV193),"VIGILAR CIFRAS PRESION ARTERIAL",IF(AND(OR(O193&gt;0,R193&gt;0),AND(CU193&gt;120,CU193&lt;=139)),"PRE HTA SEGUIMIENTO",IF(AND(OR(O193&gt;0,R193&gt;0),AND(CU193&gt;1,CU193&lt;=70),AND(CV193&gt;1,CV193&lt;=40)),"HIPOTENSIÓN",IF(AND(OR(O193&lt;&gt;"",R193&lt;&gt;""),CS193&lt;&gt;"",CV193&lt;&gt;"",CS193&gt;CV193),"APARENTEMENTE NORMAL",IF(AND(OR(O193&gt;0,R193&gt;0),AND(CU193&gt;=80,CU193&lt;=120)),"APARENTEMENTE NORMAL",IF(AND(OR(O193&gt;0,R193&gt;0),AND(CV193&gt;=50,CV193&lt;=80)),"APARENTEMENTE NORMAL","")))))))))))))</f>
        <v xml:space="preserve">COMPLETE REGISTRO TA CONTROL SEM 20 A26 </v>
      </c>
      <c r="CX193" s="21">
        <v>100</v>
      </c>
      <c r="CY193" s="21">
        <v>60</v>
      </c>
      <c r="CZ193" s="216" t="str">
        <f t="shared" si="727"/>
        <v>APARENTEMENTE NORMAL</v>
      </c>
      <c r="DA193" s="21">
        <v>100</v>
      </c>
      <c r="DB193" s="21">
        <v>60</v>
      </c>
      <c r="DC193" s="217" t="str">
        <f t="shared" si="610"/>
        <v>APARENTEMENTE NORMAL</v>
      </c>
      <c r="DD193" s="22">
        <v>45000</v>
      </c>
      <c r="DE193" s="22">
        <v>45000</v>
      </c>
      <c r="DF193" s="22">
        <v>45068</v>
      </c>
      <c r="DG193" s="22">
        <v>45148</v>
      </c>
      <c r="DH193" s="22"/>
      <c r="DI193" s="22"/>
      <c r="DJ193" s="22"/>
      <c r="DK193" s="22"/>
      <c r="DL193" s="22"/>
      <c r="DM193" s="22"/>
      <c r="DN193" s="22"/>
      <c r="DO193" s="22"/>
      <c r="DP193" s="22"/>
      <c r="DQ193" s="22"/>
      <c r="DR193" s="28"/>
      <c r="DS193" s="22"/>
      <c r="DT193" s="22"/>
      <c r="DU193" s="216" t="str">
        <f t="shared" ca="1" si="674"/>
        <v>CONCERTAR PLAN DE PARTO INMEDIATO</v>
      </c>
      <c r="DV193" s="226" t="str">
        <f t="shared" si="675"/>
        <v>ACTIVA INGRESO A CPN</v>
      </c>
      <c r="DW19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3" s="216" t="e">
        <f t="shared" ca="1" si="611"/>
        <v>#REF!</v>
      </c>
      <c r="DY193" s="212">
        <f>IF(R193="","",IF(R193&gt;0,MAX(Tabla1[[#This Row],[FECHA C2]:[FECHA C13]],Tabla1[[#This Row],[FECHA CONSULTA PRIMERA VEZ PROGRAMA CPN ]])))</f>
        <v>45148</v>
      </c>
      <c r="DZ193" s="216">
        <f t="shared" si="612"/>
        <v>32</v>
      </c>
      <c r="EA193" s="222">
        <f>IF(R193&gt;0,SUM(COUNTA(DF193:DQ193)+COUNTA(Tabla1[[#This Row],[FECHA CONSULTA PRIMERA VEZ PROGRAMA CPN ]])),"")</f>
        <v>3</v>
      </c>
      <c r="EB193" s="222" t="str">
        <f t="shared" si="613"/>
        <v>NO</v>
      </c>
      <c r="EC193" s="214">
        <f t="shared" si="614"/>
        <v>9</v>
      </c>
      <c r="ED193" s="227">
        <f t="shared" si="615"/>
        <v>0.33333333333333331</v>
      </c>
      <c r="EE193" s="22">
        <v>45000</v>
      </c>
      <c r="EF193" s="22">
        <v>45045</v>
      </c>
      <c r="EG193" s="22">
        <v>45000</v>
      </c>
      <c r="EH193" s="22"/>
      <c r="EI193" s="22">
        <v>45000</v>
      </c>
      <c r="EJ193" s="22"/>
      <c r="EK193" s="22"/>
      <c r="EL193" s="21"/>
      <c r="EM193" s="21"/>
      <c r="EN193" s="22"/>
      <c r="EO193" s="222" t="str">
        <f t="shared" si="616"/>
        <v>TOMAR EXAMEN</v>
      </c>
      <c r="EP193" s="214" t="str">
        <f t="shared" si="617"/>
        <v/>
      </c>
      <c r="EQ193" s="216" t="str">
        <f t="shared" si="618"/>
        <v>POR DEFINIR</v>
      </c>
      <c r="ER193" s="24"/>
      <c r="ES193" s="22"/>
      <c r="ET193" s="29" t="str">
        <f t="shared" ca="1" si="676"/>
        <v>TOMA DE HEMOGLOBINA TARDÍA</v>
      </c>
      <c r="EU193" s="25" t="str">
        <f t="shared" si="619"/>
        <v/>
      </c>
      <c r="EV193" s="24"/>
      <c r="EW193" s="24"/>
      <c r="EX193" s="22"/>
      <c r="EY193" s="29" t="str">
        <f t="shared" si="691"/>
        <v>TOMAR EXAMEN</v>
      </c>
      <c r="EZ193" s="25" t="str">
        <f t="shared" ca="1" si="692"/>
        <v/>
      </c>
      <c r="FA193" s="21"/>
      <c r="FB193" s="22"/>
      <c r="FC193" s="29" t="str">
        <f t="shared" si="620"/>
        <v>TOMAR EXAMEN</v>
      </c>
      <c r="FD193" s="29"/>
      <c r="FE193" s="29"/>
      <c r="FF193" s="29"/>
      <c r="FG193" s="21" t="str">
        <f t="shared" ca="1" si="621"/>
        <v/>
      </c>
      <c r="FH193" s="31"/>
      <c r="FI193" s="29" t="str">
        <f t="shared" si="622"/>
        <v>TOMAR EXAMEN</v>
      </c>
      <c r="FJ193" s="22"/>
      <c r="FK193" s="22"/>
      <c r="FL193" s="29" t="str">
        <f t="shared" ca="1" si="623"/>
        <v>PIERDE TOMA DE TAMIZAJE</v>
      </c>
      <c r="FM193" s="22"/>
      <c r="FN193" s="32"/>
      <c r="FO193" s="29" t="str">
        <f t="shared" ca="1" si="677"/>
        <v>PIERDE TOMA DE TAMIZAJE</v>
      </c>
      <c r="FP193" s="22"/>
      <c r="FQ193" s="32"/>
      <c r="FR193" s="29" t="str">
        <f t="shared" ca="1" si="678"/>
        <v>TOMA INMEDIATA DE TAMIZAJE</v>
      </c>
      <c r="FS193" s="22"/>
      <c r="FT193" s="32"/>
      <c r="FU193" s="29" t="str">
        <f>IF(AND(FJ193="",FM193="",FP193="",FS193=""),"",IF(OR(OR(Tabla1[[#This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3" s="28"/>
      <c r="FW193" s="22"/>
      <c r="FX193" s="29" t="str">
        <f t="shared" si="624"/>
        <v>TOMAR EXAMEN</v>
      </c>
      <c r="FY193" s="22"/>
      <c r="FZ193" s="22"/>
      <c r="GA193" s="29" t="str">
        <f t="shared" ca="1" si="737"/>
        <v>PIERDE TOMA DE TAMIZAJE</v>
      </c>
      <c r="GB193" s="22"/>
      <c r="GC193" s="22"/>
      <c r="GD193" s="29" t="str">
        <f t="shared" ca="1" si="730"/>
        <v>PIERDE TOMA DE TAMIZAJE</v>
      </c>
      <c r="GE193" s="22"/>
      <c r="GF193" s="22"/>
      <c r="GG193" s="29" t="str">
        <f t="shared" ca="1" si="680"/>
        <v>TOMA INMEDIATA DE TAMIZAJE</v>
      </c>
      <c r="GH193" s="22"/>
      <c r="GI193" s="29"/>
      <c r="GJ193" s="22"/>
      <c r="GK193" s="22"/>
      <c r="GL193" s="22"/>
      <c r="GM193" s="22"/>
      <c r="GN193" s="28"/>
      <c r="GO193" s="22"/>
      <c r="GP193" s="29" t="str">
        <f t="shared" si="625"/>
        <v>TOMAR EXAMEN</v>
      </c>
      <c r="GQ193" s="28"/>
      <c r="GR193" s="28"/>
      <c r="GS193" s="22" t="str">
        <f t="shared" si="726"/>
        <v/>
      </c>
      <c r="GT193" s="22"/>
      <c r="GU193" s="29" t="str">
        <f t="shared" si="627"/>
        <v>TOMAR EXAMEN</v>
      </c>
      <c r="GV193" s="21" t="str">
        <f t="shared" si="628"/>
        <v>POR DEFINIR</v>
      </c>
      <c r="GW193" s="28"/>
      <c r="GX193" s="30"/>
      <c r="GY193" s="21"/>
      <c r="GZ193" s="21"/>
      <c r="HA193" s="21"/>
      <c r="HB193" s="21"/>
      <c r="HC193" s="21"/>
      <c r="HD193" s="21"/>
      <c r="HE193" s="21"/>
      <c r="HF193" s="22"/>
      <c r="HG193" s="22" t="str">
        <f>IF(OR(O193&gt;0,R193&gt;0),CONCATENATE(IF(Tabla1[[#This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3" s="22" t="e">
        <f t="shared" si="629"/>
        <v>#REF!</v>
      </c>
      <c r="HI193" s="22" t="e">
        <f t="shared" ca="1" si="630"/>
        <v>#REF!</v>
      </c>
      <c r="HJ193" s="21"/>
      <c r="HK193" s="21" t="str">
        <f t="shared" si="631"/>
        <v>SIN ANTECEDENTES DE RIESGO</v>
      </c>
      <c r="HL193" s="24" t="str">
        <f t="shared" si="632"/>
        <v>APARENTEMENTE NORMAL</v>
      </c>
      <c r="HM193" s="21" t="e">
        <f t="shared" ca="1" si="633"/>
        <v>#REF!</v>
      </c>
      <c r="HN193" s="30" t="str">
        <f t="shared" si="681"/>
        <v>ACTIVA INGRESO A CPN</v>
      </c>
      <c r="HO193" s="21"/>
      <c r="HP193" s="21"/>
      <c r="HQ193" s="349"/>
      <c r="HR193" s="21" t="str">
        <f>IF(R193="","",IF(Tabla1[[#This Row],[ALARMA FACTORES DE RIESGO COMPLICACIONES HIPERTENSIVAS3]]="SIN ANTECEDENTES DE RIESGO","No Aplica para suministro de ASA",IF(AND(Tabla1[[#This Row],[FECHA INICIO DE SUMINISTRO DE ASA]]&gt;0,RV193&lt;12),"Inicia ASA ANTES de Sem 12",IF(AND(RV193&gt;11,RV193&lt;17,OR(HK193="RIESGO ALTO DE COMPLICACIONES HIPERTENSIVAS VER MANEJO GUIA SUMINISTRO ASA Y CALCIO",HK193="RIESGO MODERADO (2 O MAS CRITERIOS) VER MANEJO GUIA SUMINISTRO ASA Y CALCIO")),"Inicio oportuno de ASA",IF(AND(RV193&gt;12,OR(HK193="RIESGO ALTO DE COMPLICACIONES HIPERTENSIVAS VER MANEJO GUIA SUMINISTRO ASA Y CALCIO",HK193="RIESGO MODERADO (2 O MAS CRITERIOS) VER MANEJO GUIA SUMINISTRO ASA Y CALCIO")),"Inicio no oportuno mayor a 16 semanas",IF(AND(BU193&lt;12,OR(HK193="RIESGO ALTO DE COMPLICACIONES HIPERTENSIVAS VER MANEJO GUIA SUMINISTRO ASA Y CALCIO",HK193="RIESGO MODERADO (2 O MAS CRITERIOS) VER MANEJO GUIA SUMINISTRO ASA Y CALCIO")),"Pendiente Inicio de ASA a la semana 12",IF(AND(BU193&gt;11,BU193&lt;17,OR(HK193="RIESGO ALTO DE COMPLICACIONES HIPERTENSIVAS VER MANEJO GUIA SUMINISTRO ASA Y CALCIO",HK193="RIESGO MODERADO (2 O MAS CRITERIOS) VER MANEJO GUIA SUMINISTRO ASA Y CALCIO")),"Iniciar de inmediato ASA",IF(AND(BU193&gt;16,OR(HK193="RIESGO ALTO DE COMPLICACIONES HIPERTENSIVAS VER MANEJO GUIA SUMINISTRO ASA Y CALCIO",HK193="RIESGO MODERADO (2 O MAS CRITERIOS) VER MANEJO GUIA SUMINISTRO ASA Y CALCIO")),"Pierde Oportunidad, Inicio tardío de ASA","XXXXX"))))))))</f>
        <v>No Aplica para suministro de ASA</v>
      </c>
      <c r="HS193" s="22">
        <v>45000</v>
      </c>
      <c r="HT193" s="22" t="s">
        <v>1518</v>
      </c>
      <c r="HU193" s="22">
        <v>45000</v>
      </c>
      <c r="HV193" s="22" t="s">
        <v>1506</v>
      </c>
      <c r="HW193" s="22">
        <v>45000</v>
      </c>
      <c r="HX193" s="22" t="s">
        <v>1511</v>
      </c>
      <c r="HY193" s="22"/>
      <c r="HZ193" s="28" t="str">
        <f t="shared" si="634"/>
        <v>PENDIENTE CONSULTA</v>
      </c>
      <c r="IA193" s="26"/>
      <c r="IB193" s="26"/>
      <c r="IC193" s="111"/>
      <c r="ID193" s="22"/>
      <c r="IE193" s="22" t="str">
        <f t="shared" ca="1" si="635"/>
        <v/>
      </c>
      <c r="IF193" s="22"/>
      <c r="IG193" s="22">
        <f t="shared" si="636"/>
        <v>45198</v>
      </c>
      <c r="IH193" s="29">
        <f t="shared" ca="1" si="637"/>
        <v>-35</v>
      </c>
      <c r="II193" s="22" t="str">
        <f t="shared" ca="1" si="638"/>
        <v>POSIBLEMENTE NACIO</v>
      </c>
      <c r="IJ193" s="22"/>
      <c r="IK193" s="21"/>
      <c r="IL193" s="21"/>
      <c r="IM193" s="34"/>
      <c r="IN193" s="22"/>
      <c r="IO193" s="21"/>
      <c r="IP193" s="29" t="str">
        <f t="shared" si="728"/>
        <v/>
      </c>
      <c r="IQ193" s="35"/>
      <c r="IR193" s="21"/>
      <c r="IS193" s="21"/>
      <c r="IT193" s="21"/>
      <c r="IU193" s="21"/>
      <c r="IV193" s="21"/>
      <c r="IW193" s="21"/>
      <c r="IX193" s="21"/>
      <c r="IY193" s="21"/>
      <c r="IZ193" s="21"/>
      <c r="JA193" s="21"/>
      <c r="JB193" s="30"/>
      <c r="JC193" s="21"/>
      <c r="JD193" s="36"/>
      <c r="JE193" s="21" t="str">
        <f t="shared" si="731"/>
        <v/>
      </c>
      <c r="JF193" s="30"/>
      <c r="JG193" s="21"/>
      <c r="JH193" s="21"/>
      <c r="JI193" s="21"/>
      <c r="JJ193" s="30"/>
      <c r="JK193" s="22"/>
      <c r="JL193" s="22"/>
      <c r="JM193" s="21"/>
      <c r="JN193" s="36"/>
      <c r="JO193" s="21" t="str">
        <f t="shared" si="732"/>
        <v/>
      </c>
      <c r="JP193" s="22"/>
      <c r="JQ193" s="21"/>
      <c r="JR193" s="21"/>
      <c r="JS193" s="21"/>
      <c r="JT193" s="30"/>
      <c r="JU193" s="22"/>
      <c r="JV193" s="22"/>
      <c r="JW193" s="33"/>
      <c r="JX193" s="28" t="str">
        <f t="shared" si="733"/>
        <v/>
      </c>
      <c r="JY193" s="33"/>
      <c r="JZ193" s="28" t="str">
        <f t="shared" si="734"/>
        <v/>
      </c>
      <c r="KA193" s="21"/>
      <c r="KB193" s="21"/>
      <c r="KC193" s="21"/>
      <c r="KD193" s="37"/>
      <c r="KE193" s="28"/>
      <c r="KF193" s="28"/>
      <c r="KG193" s="28"/>
      <c r="KH193" s="39"/>
      <c r="KI193" s="39"/>
      <c r="KJ193" s="66"/>
      <c r="KK193" s="39"/>
      <c r="KL193" s="39"/>
      <c r="KM193" s="66"/>
      <c r="KN193" s="39"/>
      <c r="KO193" s="39"/>
      <c r="KP193" s="39"/>
      <c r="KQ193" s="39"/>
      <c r="KR193" s="39"/>
      <c r="KS193" s="39"/>
      <c r="KT193" s="39"/>
      <c r="KU193" s="38"/>
      <c r="KV193" s="38"/>
      <c r="KW193" s="38"/>
      <c r="KX193" s="38"/>
      <c r="KY193" s="38"/>
      <c r="KZ193" s="38"/>
      <c r="LA193" s="38"/>
      <c r="LB193" s="38"/>
      <c r="LC193" s="38"/>
      <c r="LD193" s="38"/>
      <c r="LE193" s="38"/>
      <c r="LF193" s="38"/>
      <c r="LG193" s="38"/>
      <c r="LH193" s="38"/>
      <c r="LI193" s="38"/>
      <c r="LJ193" s="38"/>
      <c r="LK193" s="38"/>
      <c r="LL193" s="38"/>
      <c r="LM193" s="38"/>
      <c r="LN193" s="38"/>
      <c r="LO193" s="38"/>
      <c r="LP193" s="38"/>
      <c r="LQ193" s="38"/>
      <c r="LR193" s="38"/>
      <c r="LS193" s="38"/>
      <c r="LT193" s="38"/>
      <c r="LU193" s="38"/>
      <c r="LV193" s="38"/>
      <c r="LW193" s="38"/>
      <c r="LX193" s="38"/>
      <c r="LY193" s="38"/>
      <c r="LZ193" s="38"/>
      <c r="MA193" s="38"/>
      <c r="MB193" s="38"/>
      <c r="MC193" s="38"/>
      <c r="MD193" s="38"/>
      <c r="ME193" s="38"/>
      <c r="MF193" s="38"/>
      <c r="MG193" s="38"/>
      <c r="MH193" s="43">
        <f t="shared" si="695"/>
        <v>0</v>
      </c>
      <c r="MI193" s="43" t="str">
        <f t="shared" si="696"/>
        <v/>
      </c>
      <c r="MJ193" s="43" t="str">
        <f t="shared" si="697"/>
        <v/>
      </c>
      <c r="MK193" s="43">
        <f t="shared" si="698"/>
        <v>0</v>
      </c>
      <c r="ML19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193" s="43">
        <f t="shared" si="699"/>
        <v>11.714285714285714</v>
      </c>
      <c r="MN193" s="43">
        <f t="shared" si="700"/>
        <v>3</v>
      </c>
      <c r="MO193" s="43">
        <f t="shared" si="701"/>
        <v>2023</v>
      </c>
      <c r="MP193" s="43" t="str">
        <f t="shared" si="702"/>
        <v>I TRIMESTRE AÑO</v>
      </c>
      <c r="MQ193" s="43">
        <f t="shared" si="703"/>
        <v>32.657139728427502</v>
      </c>
      <c r="MR193" s="43">
        <f t="shared" si="704"/>
        <v>0</v>
      </c>
      <c r="MS193" s="43" t="str">
        <f t="shared" si="705"/>
        <v xml:space="preserve"> DE 30 A 34 AÑOS</v>
      </c>
      <c r="MT193" s="43">
        <f t="shared" si="706"/>
        <v>0</v>
      </c>
      <c r="MU193" s="43">
        <f t="shared" si="707"/>
        <v>2</v>
      </c>
      <c r="MV193" s="43">
        <f t="shared" si="708"/>
        <v>0</v>
      </c>
      <c r="MW193" s="43">
        <f t="shared" si="709"/>
        <v>0</v>
      </c>
      <c r="MX193" s="43" t="str">
        <f t="shared" si="710"/>
        <v/>
      </c>
      <c r="MY193" s="43" t="str">
        <f t="shared" ca="1" si="735"/>
        <v/>
      </c>
      <c r="MZ193" s="43" t="str">
        <f t="shared" si="711"/>
        <v/>
      </c>
      <c r="NA193" s="43">
        <f t="shared" si="712"/>
        <v>0</v>
      </c>
      <c r="NB193" s="43" t="str">
        <f t="shared" si="713"/>
        <v/>
      </c>
      <c r="NC193" s="43" t="str">
        <f t="shared" si="714"/>
        <v/>
      </c>
      <c r="ND193" s="43">
        <f t="shared" ca="1" si="715"/>
        <v>2</v>
      </c>
      <c r="NE193" s="43">
        <f>IF(OR(O193&gt;0,R193&gt;0),SUM(COUNTIF(Tabla1[[#This Row],[AÑOS AL INICIO5 CPN]],"&gt;=40"),COUNTIF(AS193,"0"),COUNTIF(AR193,"SI"),COUNTIF(CC193,"SI"),COUNTIF(BQ193,"&gt;119"),COUNTIF(CI193,"&gt;=35")),"")</f>
        <v>0</v>
      </c>
      <c r="NF193" s="43" t="str">
        <f t="shared" si="716"/>
        <v/>
      </c>
      <c r="NG193" s="43">
        <f t="shared" si="717"/>
        <v>0</v>
      </c>
      <c r="NH193" s="43">
        <f t="shared" si="718"/>
        <v>231</v>
      </c>
      <c r="NI19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CPN",P193="NO"),"Z",IF(AND(Tabla1[[#This Row],[CITA PROXIMO CONTROL]]="CITA MANUAL",Tabla1[[#This Row],[GESTANTES ACTUALES]]="ACTIVA INGRESO A CPN"),"W",IF(AND(Tabla1[[#This Row],[GESTANTES ACTUALES]]="SALIO PROGRAMA",IN193=""),"S",IF(AND(Tabla1[[#This Row],[CITA PROXIMO CONTROL]]&gt;0,IN193=""),(Tabla1[[#This Row],[CITA PROXIMO CONTROL]]-TODAY()),"SD"))))))))</f>
        <v>#REF!</v>
      </c>
      <c r="NJ193" s="43">
        <f>MONTH(Tabla1[[#This Row],[FECHA DE SALIDA  DEL PROGRAMA]])</f>
        <v>1</v>
      </c>
      <c r="NK193" s="43">
        <f>YEAR(Tabla1[[#This Row],[FECHA DE SALIDA  DEL PROGRAMA]])</f>
        <v>1900</v>
      </c>
      <c r="NL193" s="43" t="str">
        <f t="shared" si="719"/>
        <v>X</v>
      </c>
      <c r="NM193" s="43" t="str">
        <f t="shared" si="693"/>
        <v>NO</v>
      </c>
      <c r="NN193" s="43" t="str">
        <f ca="1">IF(AND(O193&gt;0,R193=""),"NO CPN",IF(AND(O193="",R193=""),"",IF(AND(R193&gt;0,Tabla1[[#This Row],[SEMANAS DE GESTACION ACTUALIZADAS]]&lt;=12),"NO APLICA",IF(AND(FH193&lt;&gt;"",FN193&lt;&gt;""),"SI","NO"))))</f>
        <v>NO</v>
      </c>
      <c r="NO193" s="43" t="str">
        <f ca="1">IF(AND(O193&gt;0,R193=""),"NO CPN",IF(AND(O193="",R193=""),"",IF(AND(R193&gt;0,Tabla1[[#This Row],[SEMANAS DE GESTACION ACTUALIZADAS]]&lt;=27),"NO APLICA",IF(AND(ES193&lt;&gt;"",FQ193&lt;&gt;"",GF193&lt;&gt;""),"SI","NO"))))</f>
        <v>NO</v>
      </c>
      <c r="NP193" s="204" t="str">
        <f t="shared" si="720"/>
        <v>I TRIM</v>
      </c>
      <c r="NQ193" s="21" t="str">
        <f t="shared" si="729"/>
        <v/>
      </c>
      <c r="NR193" s="21" t="str">
        <f t="shared" ca="1" si="736"/>
        <v>REVISAR FUM O FECHA SALIDA PROGRAMA</v>
      </c>
      <c r="NS193" s="205">
        <f t="shared" ca="1" si="721"/>
        <v>0</v>
      </c>
      <c r="NT193" s="21">
        <f t="shared" ca="1" si="722"/>
        <v>0</v>
      </c>
      <c r="NU193" s="21" t="str">
        <f t="shared" ca="1" si="723"/>
        <v>POR DEFINIR</v>
      </c>
      <c r="NV193" s="21" t="str">
        <f t="shared" ca="1" si="724"/>
        <v>POR DEFINIR</v>
      </c>
      <c r="NW193" s="206" t="str">
        <f>IF(AND(O193="",R193=""),"",IF(OR(AND(Tabla1[[#This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193" s="207" t="str">
        <f t="shared" ca="1" si="725"/>
        <v>SIN VACUNAR</v>
      </c>
      <c r="NY193" s="43">
        <f>ROW(Tabla1[[#This Row],['# DE TAMIZAJES SIFILIS TOMADOS ]])</f>
        <v>193</v>
      </c>
      <c r="NZ193" s="43">
        <f t="shared" si="738"/>
        <v>11</v>
      </c>
      <c r="OA193" s="43" t="str">
        <f t="shared" si="739"/>
        <v/>
      </c>
      <c r="OB193" s="43" t="str">
        <f t="shared" si="740"/>
        <v/>
      </c>
      <c r="OC193" s="43" t="str">
        <f t="shared" si="741"/>
        <v>NORMAL</v>
      </c>
      <c r="OD193" s="43" t="str">
        <f t="shared" si="742"/>
        <v/>
      </c>
      <c r="OE193" s="43" t="str">
        <f t="shared" si="743"/>
        <v/>
      </c>
      <c r="OF193" s="43" t="str">
        <f t="shared" si="744"/>
        <v/>
      </c>
      <c r="OG193" s="43" t="str">
        <f t="shared" si="745"/>
        <v/>
      </c>
      <c r="OH193" s="43" t="str">
        <f t="shared" si="746"/>
        <v/>
      </c>
      <c r="OI193" s="43" t="str">
        <f t="shared" si="747"/>
        <v/>
      </c>
      <c r="OJ193" s="43" t="str">
        <f t="shared" si="748"/>
        <v/>
      </c>
      <c r="OK193" s="43" t="str">
        <f t="shared" si="749"/>
        <v/>
      </c>
      <c r="OL193" s="43" t="str">
        <f t="shared" si="750"/>
        <v/>
      </c>
      <c r="OM193" s="43" t="str">
        <f t="shared" si="751"/>
        <v/>
      </c>
      <c r="ON193" s="43" t="str">
        <f t="shared" si="752"/>
        <v/>
      </c>
      <c r="OO193" s="43" t="str">
        <f t="shared" si="753"/>
        <v/>
      </c>
      <c r="OP193" s="43" t="str">
        <f t="shared" si="754"/>
        <v/>
      </c>
      <c r="OQ193" s="43" t="str">
        <f t="shared" si="755"/>
        <v/>
      </c>
      <c r="OR193" s="43" t="str">
        <f t="shared" si="756"/>
        <v/>
      </c>
      <c r="OS193" s="43" t="str">
        <f t="shared" si="757"/>
        <v/>
      </c>
      <c r="OT193" s="43" t="str">
        <f t="shared" si="758"/>
        <v/>
      </c>
      <c r="OU193" s="43" t="str">
        <f t="shared" si="759"/>
        <v/>
      </c>
      <c r="OV193" s="110" t="str">
        <f t="shared" si="760"/>
        <v/>
      </c>
      <c r="OW193" s="43" t="str">
        <f t="shared" si="761"/>
        <v/>
      </c>
      <c r="OX193" s="43" t="str">
        <f t="shared" si="762"/>
        <v/>
      </c>
      <c r="OY193" s="43" t="str">
        <f t="shared" si="763"/>
        <v/>
      </c>
      <c r="OZ193" s="43" t="str">
        <f t="shared" si="764"/>
        <v/>
      </c>
      <c r="PA193" s="43" t="str">
        <f t="shared" si="765"/>
        <v/>
      </c>
      <c r="PB193" s="43" t="str">
        <f t="shared" si="766"/>
        <v/>
      </c>
      <c r="PC193" s="43" t="str">
        <f t="shared" si="767"/>
        <v/>
      </c>
      <c r="PD193" s="43" t="str">
        <f t="shared" si="768"/>
        <v/>
      </c>
      <c r="PE193" s="43" t="str">
        <f t="shared" si="769"/>
        <v/>
      </c>
      <c r="PF193" s="43" t="str">
        <f t="shared" si="770"/>
        <v/>
      </c>
      <c r="PG193" s="43" t="str">
        <f t="shared" si="771"/>
        <v/>
      </c>
      <c r="PH193" s="43" t="str">
        <f t="shared" si="772"/>
        <v/>
      </c>
      <c r="PI193" s="43">
        <f t="shared" si="773"/>
        <v>32</v>
      </c>
      <c r="PJ193" s="43" t="str">
        <f t="shared" si="774"/>
        <v/>
      </c>
      <c r="PK193" s="43" t="str">
        <f t="shared" si="775"/>
        <v/>
      </c>
      <c r="PL193" s="43" t="str">
        <f t="shared" si="776"/>
        <v/>
      </c>
      <c r="PM193" s="43" t="str">
        <f t="shared" si="777"/>
        <v/>
      </c>
      <c r="PN193" s="43" t="str">
        <f t="shared" si="778"/>
        <v/>
      </c>
      <c r="PO193" s="43" t="str">
        <f t="shared" si="779"/>
        <v/>
      </c>
      <c r="PP193" s="43" t="str">
        <f t="shared" si="780"/>
        <v/>
      </c>
      <c r="PQ193" s="43" t="str">
        <f t="shared" si="781"/>
        <v/>
      </c>
      <c r="PR193" s="43" t="str">
        <f t="shared" si="782"/>
        <v/>
      </c>
      <c r="PS193" s="43" t="str">
        <f t="shared" si="783"/>
        <v/>
      </c>
      <c r="PT193" s="43" t="str">
        <f t="shared" si="784"/>
        <v/>
      </c>
      <c r="PU193" s="43" t="str">
        <f t="shared" si="785"/>
        <v/>
      </c>
      <c r="PV193" s="43" t="str">
        <f t="shared" si="786"/>
        <v/>
      </c>
      <c r="PW193" s="43" t="str">
        <f t="shared" si="787"/>
        <v/>
      </c>
      <c r="PX193" s="43" t="str">
        <f t="shared" si="788"/>
        <v/>
      </c>
      <c r="PY193" s="43" t="str">
        <f t="shared" si="789"/>
        <v/>
      </c>
      <c r="PZ193" s="43" t="str">
        <f t="shared" si="790"/>
        <v/>
      </c>
      <c r="QA193" s="43" t="str">
        <f t="shared" si="791"/>
        <v/>
      </c>
      <c r="QB193" s="43" t="str">
        <f t="shared" si="792"/>
        <v/>
      </c>
      <c r="QC193" s="43" t="str">
        <f t="shared" si="793"/>
        <v/>
      </c>
      <c r="QD193" s="43" t="str">
        <f t="shared" si="794"/>
        <v/>
      </c>
      <c r="QE193" s="43" t="str">
        <f t="shared" si="795"/>
        <v/>
      </c>
      <c r="QF193" s="43" t="str">
        <f t="shared" si="796"/>
        <v/>
      </c>
      <c r="QG193" s="43" t="str">
        <f t="shared" si="797"/>
        <v>NORMAL</v>
      </c>
      <c r="QH193" s="43" t="str">
        <f t="shared" si="798"/>
        <v/>
      </c>
      <c r="QI193" s="43" t="str">
        <f t="shared" si="799"/>
        <v/>
      </c>
      <c r="QJ193" s="43" t="str">
        <f t="shared" si="800"/>
        <v/>
      </c>
      <c r="QK193" s="43" t="str">
        <f t="shared" si="801"/>
        <v/>
      </c>
      <c r="QL193" s="43" t="str">
        <f t="shared" si="802"/>
        <v/>
      </c>
      <c r="QM193" s="43" t="str">
        <f t="shared" si="803"/>
        <v/>
      </c>
      <c r="QN193" s="43" t="str">
        <f t="shared" si="804"/>
        <v/>
      </c>
      <c r="QO193" s="43" t="str">
        <f t="shared" si="805"/>
        <v/>
      </c>
      <c r="QP193" s="43" t="str">
        <f t="shared" si="806"/>
        <v/>
      </c>
      <c r="QQ193" s="43" t="str">
        <f t="shared" si="807"/>
        <v/>
      </c>
      <c r="QR193" s="43">
        <f t="shared" si="837"/>
        <v>32</v>
      </c>
      <c r="QS193" s="43"/>
      <c r="QT193" s="21" t="str">
        <f t="shared" si="808"/>
        <v/>
      </c>
      <c r="QU193" s="21" t="str">
        <f t="shared" si="809"/>
        <v/>
      </c>
      <c r="QV193" s="21" t="str">
        <f t="shared" si="810"/>
        <v/>
      </c>
      <c r="QW193" s="21" t="str">
        <f t="shared" si="811"/>
        <v/>
      </c>
      <c r="QX193" s="21" t="str">
        <f t="shared" si="812"/>
        <v/>
      </c>
      <c r="QY193" s="21" t="str">
        <f t="shared" si="813"/>
        <v/>
      </c>
      <c r="QZ193" s="21" t="str">
        <f t="shared" si="814"/>
        <v/>
      </c>
      <c r="RA193" s="21" t="str">
        <f t="shared" si="815"/>
        <v/>
      </c>
      <c r="RB193" s="21" t="str">
        <f t="shared" si="816"/>
        <v/>
      </c>
      <c r="RC193" s="21" t="str">
        <f t="shared" si="817"/>
        <v/>
      </c>
      <c r="RD193" s="21" t="str">
        <f t="shared" si="818"/>
        <v/>
      </c>
      <c r="RE193" s="21" t="str">
        <f t="shared" si="819"/>
        <v/>
      </c>
      <c r="RF193" s="21" t="str">
        <f t="shared" si="820"/>
        <v/>
      </c>
      <c r="RG193" s="21" t="str">
        <f t="shared" si="821"/>
        <v/>
      </c>
      <c r="RH193" s="21" t="str">
        <f t="shared" si="822"/>
        <v/>
      </c>
      <c r="RI193" s="21" t="str">
        <f t="shared" si="823"/>
        <v/>
      </c>
      <c r="RJ193" s="21" t="str">
        <f t="shared" si="824"/>
        <v/>
      </c>
      <c r="RK193" s="21" t="str">
        <f t="shared" si="825"/>
        <v/>
      </c>
      <c r="RL193" s="21" t="str">
        <f t="shared" si="826"/>
        <v/>
      </c>
      <c r="RM193" s="21" t="str">
        <f t="shared" si="827"/>
        <v>ADECUADO PARA EDAD GESTACIONAL</v>
      </c>
      <c r="RN193" s="21" t="str">
        <f t="shared" si="828"/>
        <v/>
      </c>
      <c r="RO193" s="21" t="str">
        <f t="shared" si="829"/>
        <v/>
      </c>
      <c r="RP193" s="21" t="str">
        <f t="shared" si="830"/>
        <v/>
      </c>
      <c r="RQ193" s="21" t="str">
        <f t="shared" si="831"/>
        <v/>
      </c>
      <c r="RR193" s="21" t="str">
        <f t="shared" si="832"/>
        <v/>
      </c>
      <c r="RS193" s="21" t="str">
        <f t="shared" si="833"/>
        <v/>
      </c>
      <c r="RT193" s="21" t="str">
        <f t="shared" si="834"/>
        <v/>
      </c>
      <c r="RU193" s="21" t="str">
        <f t="shared" si="835"/>
        <v/>
      </c>
      <c r="RV193" s="21">
        <f t="shared" si="836"/>
        <v>-1</v>
      </c>
      <c r="RW193" s="284">
        <f>IF(OR(Tabla1[[#This Row],[FUM FORMULA CONFIABLE]]="",Tabla1[[#This Row],[FUM FORMULA CONFIABLE]]="SD"),"",IF(Tabla1[[#This Row],[FUM FORMULA CONFIABLE]]="CORREGIDA",Tabla1[[#This Row],[FUM X ECO 1]],Tabla1[[#This Row],[FUM x AMENORREA]]))</f>
        <v>44918</v>
      </c>
      <c r="RX193" s="21">
        <f>IF(AND(Tabla1[[#This Row],[FUM X ECO 1]]="",Tabla1[[#This Row],[FUM x AMENORREA]]=""),"",IF(AND(Tabla1[[#This Row],[FUM X ECO 1]]="",Tabla1[[#This Row],[FUM x AMENORREA]]&lt;&gt;""),"X",SUM(Tabla1[[#This Row],[FUM X ECO 1]]-Tabla1[[#This Row],[FUM x AMENORREA]])))</f>
        <v>-15</v>
      </c>
      <c r="RY193" s="21">
        <f t="shared" si="838"/>
        <v>1</v>
      </c>
    </row>
    <row r="194" spans="1:493" ht="45" customHeight="1" x14ac:dyDescent="0.25">
      <c r="A194" s="109"/>
      <c r="B194" s="43"/>
      <c r="C194" s="43" t="s">
        <v>845</v>
      </c>
      <c r="D194" s="124"/>
      <c r="E194" s="43" t="s">
        <v>896</v>
      </c>
      <c r="F194" s="43" t="s">
        <v>1091</v>
      </c>
      <c r="G194" s="43" t="s">
        <v>1538</v>
      </c>
      <c r="H194" s="43"/>
      <c r="I194" s="109" t="s">
        <v>851</v>
      </c>
      <c r="J194" s="110">
        <v>1002846350</v>
      </c>
      <c r="K194" s="43" t="s">
        <v>852</v>
      </c>
      <c r="L194" s="175" t="s">
        <v>1509</v>
      </c>
      <c r="M194" s="22">
        <v>34702</v>
      </c>
      <c r="N194" s="213">
        <f t="shared" ref="N194:N248" ca="1" si="839">IF(M194&gt;0,SUM(TODAY()-M194)/365,"")</f>
        <v>28.852054794520548</v>
      </c>
      <c r="O194" s="22">
        <v>45087</v>
      </c>
      <c r="P194" s="214" t="str">
        <f t="shared" si="673"/>
        <v>SI</v>
      </c>
      <c r="Q194" s="26" t="s">
        <v>855</v>
      </c>
      <c r="R194" s="22">
        <v>45087</v>
      </c>
      <c r="S194" s="21" t="s">
        <v>856</v>
      </c>
      <c r="T194" s="24" t="s">
        <v>690</v>
      </c>
      <c r="U194" s="21" t="s">
        <v>857</v>
      </c>
      <c r="V194" s="21" t="s">
        <v>858</v>
      </c>
      <c r="W194" s="21" t="s">
        <v>920</v>
      </c>
      <c r="X194" s="21"/>
      <c r="Y194" s="21"/>
      <c r="Z194" s="21">
        <v>3153672626</v>
      </c>
      <c r="AA194" s="21" t="s">
        <v>860</v>
      </c>
      <c r="AB194" s="27" t="s">
        <v>861</v>
      </c>
      <c r="AC194" s="26" t="s">
        <v>888</v>
      </c>
      <c r="AD194" s="38" t="s">
        <v>1546</v>
      </c>
      <c r="AE194" s="26" t="s">
        <v>854</v>
      </c>
      <c r="AF194" s="26" t="s">
        <v>854</v>
      </c>
      <c r="AG194" s="23" t="s">
        <v>864</v>
      </c>
      <c r="AH194" s="23" t="s">
        <v>864</v>
      </c>
      <c r="AI194" s="24" t="s">
        <v>863</v>
      </c>
      <c r="AJ194" s="23" t="s">
        <v>864</v>
      </c>
      <c r="AK194" s="220" t="str">
        <f>IF(AND(AD194="",AE194="",AF194="",AG194="",AH194="",AI194="",AJ194=""),"",IF(OR(Tabla1[[#This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EVALUACIÓN",IF(AND(O194="",R194=""),"",IF(AND(OR(O194&gt;0,R194&gt;0),NG194&gt;=0,NG194&lt;2),"SIN RIESGO",IF(AND(OR(O194&gt;0,R194&gt;0),NG194&gt;=2),"CON RIESGO","ASD")))))</f>
        <v>SIN RIESGO</v>
      </c>
      <c r="AL194" s="23" t="s">
        <v>864</v>
      </c>
      <c r="AM194" s="26" t="s">
        <v>865</v>
      </c>
      <c r="AN194" s="26" t="s">
        <v>865</v>
      </c>
      <c r="AO194" s="26" t="s">
        <v>864</v>
      </c>
      <c r="AP194" s="26" t="s">
        <v>864</v>
      </c>
      <c r="AQ194" s="26" t="s">
        <v>864</v>
      </c>
      <c r="AR194" s="26" t="s">
        <v>864</v>
      </c>
      <c r="AS194" s="21">
        <v>3</v>
      </c>
      <c r="AT194" s="21">
        <v>1</v>
      </c>
      <c r="AU194" s="21">
        <v>2</v>
      </c>
      <c r="AV194" s="26" t="s">
        <v>854</v>
      </c>
      <c r="AW194" s="21">
        <v>0</v>
      </c>
      <c r="AX194" s="26" t="s">
        <v>865</v>
      </c>
      <c r="AY194" s="26" t="s">
        <v>864</v>
      </c>
      <c r="AZ194" s="26" t="s">
        <v>864</v>
      </c>
      <c r="BA194" s="26" t="s">
        <v>864</v>
      </c>
      <c r="BB194" s="26" t="s">
        <v>864</v>
      </c>
      <c r="BC194" s="26" t="s">
        <v>864</v>
      </c>
      <c r="BD194" s="26" t="s">
        <v>864</v>
      </c>
      <c r="BE194" s="26" t="s">
        <v>864</v>
      </c>
      <c r="BF194" s="26" t="s">
        <v>864</v>
      </c>
      <c r="BG194" s="26" t="s">
        <v>864</v>
      </c>
      <c r="BH194" s="26" t="s">
        <v>864</v>
      </c>
      <c r="BI194" s="26" t="s">
        <v>864</v>
      </c>
      <c r="BJ194" s="26" t="s">
        <v>864</v>
      </c>
      <c r="BK194" s="26" t="s">
        <v>864</v>
      </c>
      <c r="BL194" s="26" t="s">
        <v>864</v>
      </c>
      <c r="BM194" s="26" t="s">
        <v>864</v>
      </c>
      <c r="BN194" s="22"/>
      <c r="BO194" s="22">
        <v>45003</v>
      </c>
      <c r="BP194" s="21" t="s">
        <v>854</v>
      </c>
      <c r="BQ194" s="222">
        <f t="shared" ref="BQ194:BQ248" si="840">IF(OR(BN194="SD",RW194=""),"",IF(BN194="",0,SUM(RW194-BN194)/30))</f>
        <v>0</v>
      </c>
      <c r="BR194" s="223" t="str">
        <f t="shared" ref="BR194:BR248" si="841">IF(BX194&gt;0,SUM(BW194-NH194),"")</f>
        <v/>
      </c>
      <c r="BS194" s="224">
        <f t="shared" ref="BS194:BS248" si="842">IF(AND(BP194="Corregida",BO194&gt;0,R194&gt;0,ISBLANK(BX194)),"SIN SEMANAS X ECO",IF(AND(BP194="Corregida",BO194&gt;0,R194&gt;0),SUM(R194-BR194)/7,IF(AND(OR(BP194="SI",BP194="NO"),BO194&gt;0,R194&gt;0),SUM(R194-BO194)/7,"")))</f>
        <v>12</v>
      </c>
      <c r="BT194" s="216" t="str">
        <f t="shared" ref="BT194:BT248" si="843">IF(AND(BS194="",IG194=""),"",IF(AND(BS194="",IG194="DEFINIR FPP POR ECO"),"SIN DATO",IF(BS194&lt;0,"ERROR FUM O INGRESO O ECO",IF(BP194="NO","DEFINIR CON ECO",IF(BS194&lt;10,"I TRIM",IF(BS194&lt;27,"II TRIM",IF(AND(BS194&gt;26,BS194&lt;45),"III TRIM","ERROR FUM O INGRESO O ECO")))))))</f>
        <v>II TRIM</v>
      </c>
      <c r="BU194" s="214">
        <f t="shared" ref="BU194:BU204" ca="1" si="844">IF(AND(BO194="",BR194=""),"",IF(SUM((TODAY()-RW194)/7)&gt;43.1,"",IF(AND(RW194&gt;0,OR(BP194="si",BP194="Corregida",BP194="NO")),SUM((TODAY()-RW194)/7),"")))</f>
        <v>32.857142857142854</v>
      </c>
      <c r="BV194" s="25"/>
      <c r="BW194" s="22"/>
      <c r="BX194" s="28"/>
      <c r="BY194" s="28"/>
      <c r="BZ194" s="22"/>
      <c r="CA194" s="21"/>
      <c r="CB194" s="26"/>
      <c r="CC194" s="26"/>
      <c r="CD194" s="26"/>
      <c r="CE194" s="26"/>
      <c r="CF194" s="22" t="s">
        <v>1517</v>
      </c>
      <c r="CG194" s="21">
        <v>1.47</v>
      </c>
      <c r="CH194" s="21">
        <v>56</v>
      </c>
      <c r="CI194" s="214">
        <f t="shared" ref="CI194:CI248" si="845">IF(AND(OR(O194&gt;0,R194&gt;0),CG194=""),"SD",IF(AND(OR(O194="",R194=""),CG194=""),"",IF(AND(OR(O194&gt;0,R194&gt;0),CG194&gt;0,CH194&gt;0),SUM(CH194)/(CG194*CG194),"X")))</f>
        <v>25.915127955944286</v>
      </c>
      <c r="CJ194" s="225" t="e">
        <f>IF(AND(CI194&lt;10,CH194="SD"),"SIN DATO PESO PREGESTACION O I TRIM",IF(AND(OR(R194&gt;0,O194&gt;0),CI194="X"),"INGRESAR DATO DE PESO",IF(CI194="SD","INGRESAR DATO DE TALLA Y PESO",IF(AND(OR(Tabla1[[#This Row],[MOMENTO EN QUE SE REALIZA EL PESO AL INGRESO A CPN]]="PREGESTACIÓN",NZ194="Menor"),CI194&lt;18.5),"BAJO PESO",IF(AND(OR(Tabla1[[#This Row],[MOMENTO EN QUE SE REALIZA EL PESO AL INGRESO A CPN]]="PREGESTACIÓN",NZ194="Menor"),CI194&lt;25),"NORMAL",IF(AND(OR(Tabla1[[#This Row],[MOMENTO EN QUE SE REALIZA EL PESO AL INGRESO A CPN]]="PREGESTACIÓN",NZ194="Menor"),CI194&lt;30),"SOBREPESO",IF(AND(OR(Tabla1[[#This Row],[MOMENTO EN QUE SE REALIZA EL PESO AL INGRESO A CPN]]="PREGESTACIÓN",NZ194="Menor"),CI194&gt;=30,CI194&lt;50),"OBESIDAD",IF(AND(BS194&gt;0,Tabla1[[#This Row],[MOMENTO EN QUE SE REALIZA EL PESO AL INGRESO A CPN]]="GESTACIÓN"),HLOOKUP(NZ194,$OA$2:PH194,NY194),""))))))))</f>
        <v>#REF!</v>
      </c>
      <c r="CK194" s="212">
        <f t="shared" ref="CK194:CK248" si="846">DY194</f>
        <v>45140</v>
      </c>
      <c r="CL194" s="21">
        <v>63.2</v>
      </c>
      <c r="CM194" s="214">
        <f t="shared" ref="CM194:CM248" si="847">IF(AND(OR(O194&gt;0,R194&gt;0),CG194=""),"SD",IF(AND(OR(O194="",R194=""),CG194=""),"",IF(AND(OR(O194&gt;0,R194&gt;0),CG194&gt;0),SUM(CL194)/(CG194*CG194),"X")))</f>
        <v>29.24707297885141</v>
      </c>
      <c r="CN194" s="216">
        <f t="shared" ref="CN194:CN248" si="848">DZ194</f>
        <v>19</v>
      </c>
      <c r="CO194" s="216" t="e">
        <f>IF(PI194="","",IF(PI194&gt;0,HLOOKUP(PI194,$PJ$2:QQ194,NY194),""))</f>
        <v>#REF!</v>
      </c>
      <c r="CP194" s="21">
        <v>17</v>
      </c>
      <c r="CQ194" s="216" t="e">
        <f>IF(QR194="Menor","NO APLICA-MENOR 13 SEM",IF(AND(CC194="SI",CN194&gt;23),"NO APLICA- GEMELAR",IF(QR194="","",IF(QR194&gt;0,HLOOKUP(QR194,$QS$2:RU194,NY194),""))))</f>
        <v>#REF!</v>
      </c>
      <c r="CR194" s="21">
        <v>120</v>
      </c>
      <c r="CS194" s="21">
        <v>80</v>
      </c>
      <c r="CT194" s="217" t="str">
        <f>IF(R194="","",IF(AND(BS194&gt;1,BS194&lt;12,Tabla1[[#This Row],[T.A. SISTOLICA - ANTES DE SEMANA 12]]="",Tabla1[[#This Row],[T.A. DIASTOLICA - ANTES DE SEMANA 12]]=""),"REGISTRE DATO TA ANTES SEMANA 12",IF(AND(BS194&gt;11,BS194&lt;43,Tabla1[[#This Row],[T.A. SISTOLICA - ANTES DE SEMANA 12]]="",Tabla1[[#This Row],[T.A. DIASTOLICA - ANTES DE SEMANA 12]]=""),"NO APLICA REGISTRO TA-INGRESO TARDIO",IF(AND(OR(O194&gt;0,R194&gt;0),OR(CR194&gt;=140,CS194&gt;=90)),"DEFINIR ESTADIO HTA",IF(AND(OR(O194&gt;0,R194&gt;0),AND(CR194&gt;120,CR194&lt;=139)),"PRE HTA SEGUIMIENTO",IF(AND(OR(O194&gt;0,R194&gt;0),AND(CS194&gt;80,CS194&lt;=89)),"PRE HTA SEGUIMIENTO",IF(AND(OR(O194&gt;0,R194&gt;0),AND(CR194&gt;=80,CR194&lt;=120)),"APARENTEMENTE NORMAL",IF(AND(OR(O194&gt;0,R194&gt;0),AND(CS194&gt;=50,CS194&lt;=80)),"APARENTEMENTE NORMAL",IF(AND(OR(O194&gt;0,R194&gt;0),AND(CR194&gt;1,CR194&lt;=70),AND(CS194&gt;1,CS194&lt;=40)),"HIPOTENSIÓN","")))))))))</f>
        <v>APARENTEMENTE NORMAL</v>
      </c>
      <c r="CU194" s="21"/>
      <c r="CV194" s="21"/>
      <c r="CW194" s="217" t="str">
        <f ca="1">IF(R194="","",IF(AND(CN194&gt;19,CN194&lt;27,Tabla1[[#This Row],[T.A. SISTOLICA (Entre semana 20 y 26)]]="",Tabla1[[#This Row],[T.A. DIATOLICA (Entre semana 20 y 26)]]=""),"ACUDE A CONTROL SEM 20 A 26 REGISTRE TA AHORA",IF(AND(BS194&gt;1,BS194&lt;27,BU194&gt;19,Tabla1[[#This Row],[T.A. SISTOLICA (Entre semana 20 y 26)]]="",Tabla1[[#This Row],[T.A. DIATOLICA (Entre semana 20 y 26)]]=""),"COMPLETE REGISTRO TA CONTROL SEM 20 A26 ",IF(AND(BS194&gt;26,BS194&lt;43,Tabla1[[#This Row],[T.A. SISTOLICA (Entre semana 20 y 26)]]="",Tabla1[[#This Row],[T.A. DIATOLICA (Entre semana 20 y 26)]]=""),"NO APLICA REGISTRO TA-INGRESO TARDIO",IF(AND(OR(O194&gt;0,R194&gt;0),OR(CU194&gt;=140,CV194&gt;=90)),"ALTO RIESGO PREECLAMPSIA,DEFINIR ESTADIO HTA",IF(AND(OR(O194&gt;0,R194&gt;0),AND(CU194&gt;120,CU194&lt;=139)),"PRE HTA SEGUIMIENTO,RIESGO HIPERTENSION INDUCIDA POR EL EMBARAZO",IF(AND(OR(O194&gt;0,R194&gt;0),AND(CV194&gt;80,CV194&lt;=89)),"PRE HTA SEGUIMIENTO, RIESGO HIPERTENSION INDUCIDA POR EL EMBARAZO",IF(AND(OR(O194&lt;&gt;"",R194&lt;&gt;""),CS194&lt;&gt;"",CV194&lt;&gt;"",CS194&lt;=CV194),"VIGILAR CIFRAS PRESION ARTERIAL",IF(AND(OR(O194&gt;0,R194&gt;0),AND(CU194&gt;120,CU194&lt;=139)),"PRE HTA SEGUIMIENTO",IF(AND(OR(O194&gt;0,R194&gt;0),AND(CU194&gt;1,CU194&lt;=70),AND(CV194&gt;1,CV194&lt;=40)),"HIPOTENSIÓN",IF(AND(OR(O194&lt;&gt;"",R194&lt;&gt;""),CS194&lt;&gt;"",CV194&lt;&gt;"",CS194&gt;CV194),"APARENTEMENTE NORMAL",IF(AND(OR(O194&gt;0,R194&gt;0),AND(CU194&gt;=80,CU194&lt;=120)),"APARENTEMENTE NORMAL",IF(AND(OR(O194&gt;0,R194&gt;0),AND(CV194&gt;=50,CV194&lt;=80)),"APARENTEMENTE NORMAL","")))))))))))))</f>
        <v xml:space="preserve">COMPLETE REGISTRO TA CONTROL SEM 20 A26 </v>
      </c>
      <c r="CX194" s="21"/>
      <c r="CY194" s="21"/>
      <c r="CZ194" s="216" t="str">
        <f t="shared" si="727"/>
        <v/>
      </c>
      <c r="DA194" s="21">
        <v>90</v>
      </c>
      <c r="DB194" s="21">
        <v>60</v>
      </c>
      <c r="DC194" s="217" t="str">
        <f t="shared" ref="DC194:DC248" si="849">IF(AND(R194="",DA194="",DB194=""),"",IF(AND(R194&lt;&gt;"",DA194="",DB194=""),"REGISTRE DATO PRESIÓN ARTERIAL MENSUAL",IF(AND(OR(O194&gt;0,R194&gt;0),OR(DA194&gt;=140,DB194&gt;=90)),"ESTUDIO INMEDIATO HTA PARA DESCARTAR PREECLAMSIA",IF(AND(OR(O194&gt;0,R194&gt;0),AND(DA194&gt;=130,DA194&lt;=139)),"PRE HTA,RIESGO ALTO PREECLAMPSIA",IF(AND(OR(O194&gt;0,R194&gt;0),AND(DB194&gt;80,DB194&lt;=89)),"PRE HTA,RIESGO ALTO PREECLAMPSIA",IF(AND(OR(O194&gt;0,R194&gt;0),AND(DA194&gt;120,DA194&lt;=129)),"RANGO PREHIPERTENSIVO SEGUIMIENTO HTA",IF(AND(CN194&gt;34,CN194&lt;43,OR(O194&lt;&gt;"",R194&lt;&gt;""),CS194&lt;&gt;"",CY194&lt;&gt;"",DB194&lt;&gt;"",OR(CS194&lt;DB194,CS194&lt;CY194)),"VIGILAR CIFRAS PRESION ARTERIAL",IF(AND(CN194&gt;34,CN194&lt;43,OR(O194&lt;&gt;"",R194&lt;&gt;""),CR194="",CS194="",OR(CY194&lt;DB194,CX194&lt;DA194)),"VIGILAR CIFRAS PRESION ARTERIAL",IF(AND(CN194&gt;34,CN194&lt;43,OR(O194&lt;&gt;"",R194&lt;&gt;""),CS194&lt;&gt;"",CY194&lt;&gt;"",DB194&lt;&gt;"",OR(CS194=DB194,CS194=CY194)),"APARENTEMENTE NORMAL",IF(AND(OR(O194&gt;0,R194&gt;0),AND(DA194&gt;=80,DA194&lt;=120)),"APARENTEMENTE NORMAL",IF(AND(CN194&gt;34,CN194&lt;43,OR(O194&gt;0,R194&gt;0),AND(DB194&gt;=50,DB194&lt;=80)),"APARENTEMENTE NORMAL","")))))))))))</f>
        <v>APARENTEMENTE NORMAL</v>
      </c>
      <c r="DD194" s="22">
        <v>45087</v>
      </c>
      <c r="DE194" s="22">
        <v>45087</v>
      </c>
      <c r="DF194" s="22"/>
      <c r="DG194" s="22">
        <v>45140</v>
      </c>
      <c r="DH194" s="22"/>
      <c r="DI194" s="22"/>
      <c r="DJ194" s="22"/>
      <c r="DK194" s="22"/>
      <c r="DL194" s="22"/>
      <c r="DM194" s="22"/>
      <c r="DN194" s="22"/>
      <c r="DO194" s="22"/>
      <c r="DP194" s="22"/>
      <c r="DQ194" s="22"/>
      <c r="DR194" s="28"/>
      <c r="DS194" s="22"/>
      <c r="DT194" s="22"/>
      <c r="DU194" s="216" t="str">
        <f t="shared" ca="1" si="674"/>
        <v>PLANEAR PLAN DE PARTO</v>
      </c>
      <c r="DV194" s="226" t="str">
        <f t="shared" si="675"/>
        <v>ACTIVA INGRESO A CPN</v>
      </c>
      <c r="DW19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4" s="216" t="str">
        <f t="shared" ref="DX194:DX248" si="850">IF(NI194="SD","",IF(AND(NI194&lt;=33,NI194&gt;=8),"MES DE CONTROL",IF(AND(NI194&gt;=1,NI194&lt;8),"SEMANA DE CONTROL",IF(NI194=0,"DIA DE CONTROL",IF(NI194&lt;0,"INASISTENTE",IF(NI194="Y","SEGUIMIENTO FUERA MUNICIPIO",IF(NI194="Z","BUSCAR PARA INGRESO A CPN",IF(NI194="W","DEFINIR FECHA CITA",IF(NI194="X","NO REALIZO CPN",IF(NI194="I","IVE",IF(NI194="S","DILIGENCIAR FECHA SALIDA PROGRAMA","REVISAR FORMULA")))))))))))</f>
        <v>DIA DE CONTROL</v>
      </c>
      <c r="DY194" s="212">
        <f>IF(R194="","",IF(R194&gt;0,MAX(Tabla1[[#This Row],[FECHA C2]:[FECHA C13]],Tabla1[[#This Row],[FECHA CONSULTA PRIMERA VEZ PROGRAMA CPN ]])))</f>
        <v>45140</v>
      </c>
      <c r="DZ194" s="216">
        <f t="shared" ref="DZ194:DZ248" si="851">IF(AND(DY194="",RW194="",R194=""),"",IF(AND(R194="",RW194&gt;0,DY194=""),"",IF(AND(R194&gt;0,DY194&lt;RW194),"REVISAR FUM O FECHA CPN",IF(AND(R194&gt;0,DY194&gt;0,RW194=""),"SD",IF(AND(R194&gt;0,DY194&gt;0,RW194&gt;0),INT(SUM(DY194-RW194)/7))))))</f>
        <v>19</v>
      </c>
      <c r="EA194" s="222">
        <f>IF(R194&gt;0,SUM(COUNTA(DF194:DQ194)+COUNTA(Tabla1[[#This Row],[FECHA CONSULTA PRIMERA VEZ PROGRAMA CPN ]])),"")</f>
        <v>2</v>
      </c>
      <c r="EB194" s="222" t="str">
        <f t="shared" ref="EB194:EB248" si="852">IF(AND(EA194&gt;=0,EA194&lt;4),"NO",IF(AND(EA194&gt;=4,EA194&lt;12),"SI",""))</f>
        <v>NO</v>
      </c>
      <c r="EC194" s="214">
        <f t="shared" ref="EC194:EC248" si="853">IF(BS194="","",IF(BS194&gt;0,INT(SUM(((40-BS194)/4)+2)),"X"))</f>
        <v>9</v>
      </c>
      <c r="ED194" s="227">
        <f t="shared" ref="ED194:ED248" si="854">IF(EC194="","",IF(EA194&gt;0,SUM(EA194/EC194),"X"))</f>
        <v>0.22222222222222221</v>
      </c>
      <c r="EE194" s="22">
        <v>45087</v>
      </c>
      <c r="EF194" s="22"/>
      <c r="EG194" s="22">
        <v>45087</v>
      </c>
      <c r="EH194" s="22"/>
      <c r="EI194" s="22">
        <v>45087</v>
      </c>
      <c r="EJ194" s="22"/>
      <c r="EK194" s="22"/>
      <c r="EL194" s="21"/>
      <c r="EM194" s="21">
        <v>13.6</v>
      </c>
      <c r="EN194" s="22">
        <v>45087</v>
      </c>
      <c r="EO194" s="222">
        <f t="shared" ref="EO194:EO248" si="855">IF(AND(BT194="ERROR FUM O INGRESO",EN194&gt;0),"ERROR FUM O INGRESO",IF(AND(EN194="",R194="",O194=""),"",IF(OR(AND(EN194&lt;&gt;"",EN194&lt;RW194),AND(EN194&lt;&gt;"",SUM((EN194-RW194)/7)&gt;40)),"CORREGIR FECHA RESULTADO",IF(AND(EN194="",OR(O194&gt;0,R194&gt;0)),"TOMAR EXAMEN",IF(EN194&gt;0,SUM(EN194-RW194)/7,"")))))</f>
        <v>12</v>
      </c>
      <c r="EP194" s="214" t="str">
        <f t="shared" ref="EP194:EP248" si="856">IF(AND(OR(O194&gt;0,R194&gt;0),EM194=""),"",IF(AND(OR(O194&gt;0,R194&gt;0),EM194&gt;0,EM194&lt;11),"MANEJO MD POR ANEMIA FERROPENICA",IF(AND(OR(O194&gt;0,R194&gt;0),EM194&lt;=14),"NORMAL- SUMINISTRAR SULFATO FERROSO",IF(AND(OR(O194&gt;0,R194&gt;0),EM194&lt;20),"NO DAR SULFATO FERROSO",""))))</f>
        <v>NORMAL- SUMINISTRAR SULFATO FERROSO</v>
      </c>
      <c r="EQ194" s="216" t="str">
        <f t="shared" ref="EQ194:EQ248" si="857">IF(AND(EO194="",BT194=""),"",IF(AND(EO194&lt;&gt;"",BT194="SIN DATO"),"SIN DATO",IF(AND(EO194="",BT194&lt;&gt;""),"",IF(AND(EO194&lt;0,BT194&gt;0),"ERROR FUM O INGRESO",IF(EO194&lt;=13,"I TRIM",IF(EO194&lt;28,"II TRIM",IF(AND(EO194&gt;27,EO194&lt;45),"III TRIM","POR DEFINIR")))))))</f>
        <v>I TRIM</v>
      </c>
      <c r="ER194" s="24"/>
      <c r="ES194" s="22"/>
      <c r="ET194" s="29" t="str">
        <f t="shared" ca="1" si="676"/>
        <v>TOMA DE HEMOGLOBINA TARDÍA</v>
      </c>
      <c r="EU194" s="25" t="str">
        <f t="shared" ref="EU194:EU248" si="858">IF(AND(OR(O194&gt;0,R194&gt;0),ER194=""),"",IF(AND(OR(O194&gt;0,R194&gt;0),ER194&gt;0,ER194&lt;10.5),"MANEJO MD POR ANEMIA FERROPENICA",IF(AND(OR(O194&gt;0,R194&gt;0),ER194&lt;14),"NORMAL- SUMINISTRAR SULFATO FERROSO",IF(AND(OR(O194&gt;0,R194&gt;0),ER194&lt;20),"NO DAR SULFATO FERROSO",""))))</f>
        <v/>
      </c>
      <c r="EV194" s="24" t="s">
        <v>1510</v>
      </c>
      <c r="EW194" s="22">
        <v>45087</v>
      </c>
      <c r="EX194" s="22"/>
      <c r="EY194" s="29">
        <f t="shared" si="691"/>
        <v>12</v>
      </c>
      <c r="EZ194" s="25" t="str">
        <f t="shared" si="692"/>
        <v>SIN RIESGO DE ISOINMUNIZACIÓN</v>
      </c>
      <c r="FA194" s="21">
        <v>108</v>
      </c>
      <c r="FB194" s="22">
        <v>45087</v>
      </c>
      <c r="FC194" s="29">
        <f t="shared" ref="FC194:FC248" si="859">IF(AND(BT194="ERROR FUM O INGRESO",FB194&gt;0),"ERROR FUM O INGRESO",IF(AND(FB194="",R194="",O194=""),"",IF(OR(AND(FB194&lt;&gt;"",FB194&lt;RW194),AND(FB194&lt;&gt;"",SUM((FB194-RW194)/7)&gt;40)),"CORREGIR FECHA RESULTADO",IF(AND(FB194="",BS194&gt;=24,OR(O194&gt;0,R194&gt;0)),"PIERDE TOMA TAMIZAJE- INGRESO TARDIO",IF(AND(FB194="",OR(O194&gt;0,R194&gt;0)),"TOMAR EXAMEN",IF(SUM((FB194-RW194)/7)&gt;=24,"NO APLICA &gt; 23 SEM -TOMAR PTOG",IF(AND(SUM((FB194-RW194)/7)&lt;24,FA194&gt;126),"DIABETES PREGESTACIONAL- REMITIR",IF(FB194&gt;0,SUM(FB194-RW194)/7,""))))))))</f>
        <v>12</v>
      </c>
      <c r="FD194" s="29"/>
      <c r="FE194" s="29"/>
      <c r="FF194" s="29"/>
      <c r="FG194" s="21" t="str">
        <f t="shared" ref="FG194:FG248" ca="1" si="860">IF(AND(OR(FD194&gt;0,FE194&gt;0,FF194&gt;0),FI194&gt;0,FI194&lt;24,AND(FD194&gt;1,FD194&lt;92),AND(FE194&gt;1,FE194&lt;180),AND(FF194&gt;1,FF194&lt;153)),"NORMAL, NO DESCARTA DIABETES POR REALIZARLO ANTES DE  SEMANA 24, ",IF(AND(OR(FD194&gt;0,FE194&gt;0,FF194&gt;0),FI194&gt;0,FI194&lt;24,OR(FD194&gt;=92,FE194&gt;=180,FF194&gt;=153)),"DIABETES, REMITIR",IF(AND(BU194="",FH194="",FD194="",FE194="",FF194=""),"",IF(AND(BU194&gt;=19,BU194&lt;24,FH194="",FD194="",FE194="",FF194=""),"PROGRAMAR TOMA PTOG SIGUIENTE CONTROL",IF(AND(BU194&gt;=24,FH194="",FD194="",FE194="",FF194=""),"TOMAR PTOG",IF(OR(FD194&gt;=92,FE194&gt;=180,FF194&gt;=153),"DIABETES, REMITIR",IF(AND(AND(FD194&gt;1,FD194&lt;92),AND(FE194&gt;1,FE194&lt;180),AND(FF194&gt;1,FF194&lt;153)),"NORMAL",IF(AND(FD194&gt;0,OR(FE194=0,FF194=0)),"NO COMPLETA EXAMEN",""))))))))</f>
        <v>TOMAR PTOG</v>
      </c>
      <c r="FH194" s="31"/>
      <c r="FI194" s="29" t="str">
        <f t="shared" ref="FI194:FI248" si="861">IF(AND(BT194="ERROR FUM O INGRESO",FH194&gt;0),"ERROR FUM O INGRESO",IF(AND(FH194="",R194="",O194=""),"",IF(OR(AND(FH194&lt;&gt;"",FH194&lt;RW194),AND(FH194&lt;&gt;"",SUM((FH194-RW194)/7)&gt;40)),"CORREGIR FECHA RESULTADO",IF(AND(FH194="",OR(O194&gt;0,R194&gt;0)),"TOMAR EXAMEN",IF(FH194&gt;0,SUM(FH194-RW194)/7,"")))))</f>
        <v>TOMAR EXAMEN</v>
      </c>
      <c r="FJ194" s="22" t="s">
        <v>867</v>
      </c>
      <c r="FK194" s="22">
        <v>45087</v>
      </c>
      <c r="FL194" s="29">
        <f t="shared" ref="FL194:FL248" ca="1" si="862">IF(AND(BT194="ERROR FUM O INGRESO",FK194&gt;0),"ERROR FUM O INGRESO",IF(AND(FK194="",R194="",O194=""),"",IF(OR(AND(FK194&lt;&gt;"",FK194&lt;RW194),AND(FK194&lt;&gt;"",AND(SUM((FK194-RW194)/7)&gt;=13,SUM((FK194-RW194)/7)&lt;27))),"REGISTRAR EN II TRIMESTRE",IF(OR(AND(FK194&lt;&gt;"",FK194&lt;RW194),AND(FK194&lt;&gt;"",AND(SUM((FK194-RW194)/7)&gt;=27,SUM((FK194-RW194)/7)&lt;44))),"REGISTRAR EN III TRIMESTRE",IF(AND(FK194="",OR(O194&gt;0,R194&gt;0),AND(BU194&gt;1,BU194&lt;10)),"EN RANGO PARA TOMAR EXAMEN",IF(AND(FK194="",OR(O194&gt;0,R194&gt;0),AND(BU194&gt;=10,BU194&lt;13)),"TOMA INMEDIATA DE TAMIZAJE",IF(AND(FK194="",BS194&lt;13,OR(O194&gt;0,R194&gt;0)),"PIERDE TOMA DE TAMIZAJE",IF(AND(FK194="",OR(O194&gt;0,R194&gt;0),AND(BS194&gt;=13,BS194&lt;43)),"NO APLICA-INGRESO TARDIO",IF(FK194&gt;0,SUM(FK194-RW194)/7,"")))))))))</f>
        <v>12</v>
      </c>
      <c r="FM194" s="22"/>
      <c r="FN194" s="32"/>
      <c r="FO194" s="29" t="str">
        <f t="shared" ca="1" si="677"/>
        <v>PIERDE TOMA DE TAMIZAJE</v>
      </c>
      <c r="FP194" s="22"/>
      <c r="FQ194" s="32"/>
      <c r="FR194" s="29" t="str">
        <f t="shared" ca="1" si="678"/>
        <v>EN RANGO PARA TOMAR EXAMEN</v>
      </c>
      <c r="FS194" s="22"/>
      <c r="FT194" s="32"/>
      <c r="FU194" s="29" t="str">
        <f>IF(AND(FJ194="",FM194="",FP194="",FS194=""),"",IF(OR(OR(Tabla1[[#This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4" s="28"/>
      <c r="FW194" s="22"/>
      <c r="FX194" s="29" t="str">
        <f t="shared" ref="FX194:FX248" si="863">IF(AND(BT194="ERROR FUM O INGRESO",FW194&gt;0),"ERROR FUM O INGRESO",IF(AND(FW194="",R194="",O194=""),"",IF(OR(AND(FW194&lt;&gt;"",FW194&lt;RW194),AND(FW194&lt;&gt;"",SUM((FW194-RW194)/7)&gt;40)),"CORREGIR FECHA RESULTADO",IF(AND(FW194="",OR(O194&gt;0,R194&gt;0)),"TOMAR EXAMEN",IF(FW194&gt;0,SUM(FW194-RW194)/7,"")))))</f>
        <v>TOMAR EXAMEN</v>
      </c>
      <c r="FY194" s="22" t="s">
        <v>868</v>
      </c>
      <c r="FZ194" s="22">
        <v>45087</v>
      </c>
      <c r="GA194" s="29">
        <f t="shared" ca="1" si="737"/>
        <v>12</v>
      </c>
      <c r="GB194" s="22"/>
      <c r="GC194" s="22"/>
      <c r="GD194" s="29" t="str">
        <f t="shared" ca="1" si="730"/>
        <v>PIERDE TOMA DE TAMIZAJE</v>
      </c>
      <c r="GE194" s="22"/>
      <c r="GF194" s="22"/>
      <c r="GG194" s="29" t="str">
        <f t="shared" ca="1" si="680"/>
        <v>EN RANGO PARA TOMAR EXAMEN</v>
      </c>
      <c r="GH194" s="22"/>
      <c r="GI194" s="29"/>
      <c r="GJ194" s="22"/>
      <c r="GK194" s="22"/>
      <c r="GL194" s="22"/>
      <c r="GM194" s="22"/>
      <c r="GN194" s="28" t="s">
        <v>869</v>
      </c>
      <c r="GO194" s="22">
        <v>45087</v>
      </c>
      <c r="GP194" s="29">
        <f t="shared" ref="GP194:GP248" si="864">IF(AND(BT194="ERROR FUM O INGRESO",GO194&gt;0),"ERROR FUM O INGRESO",IF(AND(GO194="",R194="",O194=""),"",IF(OR(AND(GO194&lt;&gt;"",GO194&lt;RW194),AND(GO194&lt;&gt;"",SUM((GO194-RW194)/7)&gt;40)),"CORREGIR FECHA RESULTADO",IF(AND(GO194="",OR(O194&gt;0,R194&gt;0)),"TOMAR EXAMEN",IF(GO194&gt;0,SUM(GO194-RW194)/7,"")))))</f>
        <v>12</v>
      </c>
      <c r="GQ194" s="28" t="s">
        <v>869</v>
      </c>
      <c r="GR194" s="28" t="s">
        <v>869</v>
      </c>
      <c r="GS194" s="22" t="str">
        <f t="shared" si="726"/>
        <v>CONTROL Igm</v>
      </c>
      <c r="GT194" s="22">
        <v>45087</v>
      </c>
      <c r="GU194" s="29">
        <f t="shared" ref="GU194:GU248" si="865">IF(AND(BT194="ERROR FUM O INGRESO",GT194&gt;0),"ERROR FUM O INGRESO",IF(AND(GT194="",R194="",O194=""),"",IF(OR(AND(GT194&lt;&gt;"",GT194&lt;BO194),AND(GT194&lt;&gt;"",SUM((GT194-BO194)/7)&gt;40)),"CORREGIR FECHA RESULTADO",IF(AND(GT194="",OR(O194&gt;0,R194&gt;0)),"TOMAR EXAMEN",IF(GT194&gt;0,SUM(GT194-BO194)/7,"")))))</f>
        <v>12</v>
      </c>
      <c r="GV194" s="21" t="str">
        <f t="shared" ref="GV194:GV248" si="866">IF(AND(GU194="",BT194=""),"",IF(AND(GU194&lt;&gt;"",BT194="SIN DATO"),"SIN DATO",IF(AND(GU194="",BT194&lt;&gt;""),"",IF(AND(GU194&lt;0,BT194&gt;0),"ERROR FUM O INGRESO",IF(GU194&lt;=13,"I TRIM",IF(GU194&lt;28,"II TRIM",IF(AND(GU194&gt;27,GU194&lt;45),"III TRIM","POR DEFINIR")))))))</f>
        <v>I TRIM</v>
      </c>
      <c r="GW194" s="28"/>
      <c r="GX194" s="30"/>
      <c r="GY194" s="21"/>
      <c r="GZ194" s="21"/>
      <c r="HA194" s="21"/>
      <c r="HB194" s="21"/>
      <c r="HC194" s="21"/>
      <c r="HD194" s="21"/>
      <c r="HE194" s="21"/>
      <c r="HF194" s="22"/>
      <c r="HG194" s="22" t="str">
        <f>IF(OR(O194&gt;0,R194&gt;0),CONCATENATE(IF(Tabla1[[#This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4" s="22" t="e">
        <f t="shared" ref="HH194:HH248" si="867">IF(OR(O194&gt;0,R194&gt;0),CONCATENATE(IF(AZ194="SI","ANTECEDENTE EMBARAZO MOLAR",""),"*",CONCATENATE(IF(BA194="SI","ANTECEDENTE MUERTE NEONATAL",""),"*",CONCATENATE(IF(AND(BQ194&gt;0,BQ194&lt;13),"PERIODO INTERGENESICO CORTO",""),"*",CONCATENATE(IF(AND(BS194&gt;13,BS194&lt;42),"INGRESO TARDIO A CPN",""),"*",CONCATENATE(IF(CO194="BAJO PESO","BAJO PESO",""),"*",CONCATENATE(IF(CO194="SOBREPESO","SOBREPESO",""),"*",CONCATENATE(IF(CO194="OBESIDAD","OBESIDAD",""),"*",CONCATENATE(IF(GN194="POSITIVO","SEGUIMIENTO INFECCIÓN HEP B",""),"*",CONCATENATE(IF(GS194="TOXOPLASMOSIS, REMITIR PARA MANEJO","INFECCIÓN TOXOPLASMOSIS",""),"*",CONCATENATE(IF(GS194="CONTROL Igm","PREVENCIÓN CONTAGIO TOXOPLASMOSIS",""),"*",CONCATENATE(IF(OR(HF194="COVID19 PRIMER TRIMESTRE",HF194="COVID19 SEGUNDO TRIMESTRE",HF194="COVID19 TERCER TRIMESTRE",HF194="COVID19 PUERPERIO"),"INFECCIÓN SARS-CoV2 CONFIRMADA",""),"*",CONCATENATE(IF(GY194="Esquema vigente – Alterado","DESCARTAR CANCER DE UTERO",""),"*",)))))))))))),"")</f>
        <v>#REF!</v>
      </c>
      <c r="HI194" s="22" t="e">
        <f t="shared" ref="HI194:HI248" si="868">IF(AND(O194="",R194=""),"",IF(AND(OR(O194&lt;&gt;"",R194&lt;&gt;""),OR(HK194="RIESGO ALTO DE COMPLICACIONES HIPERTENSIVAS VER MANEJO GUIA SUMINISTRO ASA Y CALCIO",HK194="RIESGO MODERADO (2 O MAS CRITERIOS) VER MANEJO GUIA SUMINISTRO ASA Y CALCIO")),"ALTO RIESGO",IF(AND(HH194="************",OR(O194&lt;&gt;"",R194&lt;&gt;""),AND(ND194&gt;=0,ND194&lt;3)),"BAJO RIESGO",IF(AND(OR(O194&lt;&gt;"",R194&lt;&gt;""),OR(HF194="COVID19 PRIMER TRIMESTRE",HF194="COVID19 SEGUNDO TRIMESTRE",HF194="COVID19 TERCER TRIMESTRE",HF194="COVID19 PUERPERIO")),"ALTO RIESGO",IF(AND(HH194&lt;&gt;"",OR(O194&lt;&gt;"",R194&lt;&gt;""),AND(ND194&gt;=0,ND194&lt;3)),"CON RIESGO",IF(AND(OR(O194&lt;&gt;"",R194&lt;&gt;""),ND194&gt;2),"ALTO RIESGO",""))))))</f>
        <v>#REF!</v>
      </c>
      <c r="HJ194" s="21"/>
      <c r="HK194" s="21" t="str">
        <f t="shared" ref="HK194:HK248" si="869">IF(AND(O194="",R194=""),"",IF(AND(OR(O194&gt;0,R194&gt;0),OR(AL194="SI",BG194="SI",BD194="SI",BE194="SI",BH194="SI")),"RIESGO ALTO DE COMPLICACIONES HIPERTENSIVAS VER MANEJO GUIA SUMINISTRO ASA Y CALCIO",IF(AND(OR(O194&gt;0,R194&gt;0),NE194&gt;1),"RIESGO MODERADO (2 O MAS CRITERIOS) VER MANEJO GUIA SUMINISTRO ASA Y CALCIO","SIN ANTECEDENTES DE RIESGO")))</f>
        <v>SIN ANTECEDENTES DE RIESGO</v>
      </c>
      <c r="HL194" s="24" t="str">
        <f t="shared" ref="HL194:HL248" si="870">DC194</f>
        <v>APARENTEMENTE NORMAL</v>
      </c>
      <c r="HM194" s="21" t="str">
        <f t="shared" ref="HM194:HM248" si="871">IF(NI194="SD","",IF(AND(NI194&lt;=33,NI194&gt;=8),"MES DE CONTROL",IF(AND(NI194&gt;=1,NI194&lt;8),"SEMANA DE CONTROL",IF(NI194=0,"DIA DE CONTROL",IF(NI194&lt;0,"INASISTENTE",IF(NI194="Y","SEGUIMIENTO FUERA MUNICIPIO",IF(NI194="Z","BUSCAR PARA INGRESO A CPN",IF(NI194="W","DEFINIR FECHA CITA",IF(NI194="X","NO REALIZO CPN",IF(NI194="S","DILIGENCIAR FECHA SALIDA PROGRAMA","REVISAR FORMULA"))))))))))</f>
        <v>DIA DE CONTROL</v>
      </c>
      <c r="HN194" s="30" t="str">
        <f t="shared" si="681"/>
        <v>ACTIVA INGRESO A CPN</v>
      </c>
      <c r="HO194" s="21"/>
      <c r="HP194" s="21"/>
      <c r="HQ194" s="349"/>
      <c r="HR194" s="21"/>
      <c r="HS194" s="22"/>
      <c r="HT194" s="22"/>
      <c r="HU194" s="22">
        <v>45087</v>
      </c>
      <c r="HV194" s="22" t="s">
        <v>1506</v>
      </c>
      <c r="HW194" s="22">
        <v>45087</v>
      </c>
      <c r="HX194" s="22" t="s">
        <v>1511</v>
      </c>
      <c r="HY194" s="22">
        <v>45087</v>
      </c>
      <c r="HZ194" s="28">
        <f t="shared" ref="HZ194:HZ248" si="872">IF(AND(BT194="ERROR FUM O INGRESO",HY194&gt;0),"ERROR FUM O INGRESO",IF(AND(HY194="",R194=""),"",IF(OR(AND(HY194&lt;&gt;"",HY194&lt;RW194),AND(HY194&lt;&gt;"",SUM((HY194-RW194)/7)&gt;40)),"CORREGIR FECHA CONSULTA",IF(AND(HY194="",R194&gt;0),"PENDIENTE CONSULTA",IF(HY194&gt;0,SUM(HY194-RW194)/7,"")))))</f>
        <v>12</v>
      </c>
      <c r="IA194" s="26"/>
      <c r="IB194" s="26"/>
      <c r="IC194" s="111"/>
      <c r="ID194" s="22"/>
      <c r="IE194" s="22" t="str">
        <f t="shared" ref="IE194:IE248" ca="1" si="873">IF(AND(RW194="",NF194="SD"),"SIN DATO EDAD GESTACIONAL",IF(AND(RW194="",ID194=""),"",IF(AND(AND(BU194&gt;0,BU194&lt;20),ID194=""),"EN ESPERA PARA VACUNAR",IF(AND(AND(BU194&gt;19,BU194&lt;27),ID194=""),"PROGRAMAR APLICACION DE VACUNA",IF(AND(AND(BU194&gt;26,BU194&lt;43),ID194=""),"INASISTENTE",IF(AND(AND(NF194&gt;19,NF194&lt;27),ID194&gt;0),"VACUNA APLICADA ENTRE SEMANA 20 Y SEMANA 26",IF(AND(NF194&lt;20,ID194&gt;0),"VACUNA APLICADA ANTES SEMANA 20",IF(AND(NF194&gt;26,ID194&gt;0),"VACUNA APLICADA ENTRE SEMANA 27 Y EL PARTO",IF(AND(OR(IK194="CESAREA",IK194="PARTO"),II194="POSIBLEMENTE NACIO",ID194=""),"SALE SIN VACUNA","")))))))))</f>
        <v>INASISTENTE</v>
      </c>
      <c r="IF194" s="22"/>
      <c r="IG194" s="22">
        <f t="shared" ref="IG194:IG248" si="874">IF(OR(BP194="SI",BP194="Corregida",BP194="NO"),(RW194+280),IF(BP194="Sin Dato","DEFINIR FPP POR ECO",""))</f>
        <v>45283</v>
      </c>
      <c r="IH194" s="29">
        <f t="shared" ref="IH194:IH248" ca="1" si="875">IF(OR(IG194="DEFINIR FPP POR ECO",BT194="ERROR FUM O INGRESO"),"SIN DEFINIR",IF(IG194="","",IF(IG194&gt;0,SUM(IG194-TODAY()),"X")))</f>
        <v>50</v>
      </c>
      <c r="II194" s="22" t="str">
        <f t="shared" ref="II194:II248" ca="1" si="876">IF(IH194&lt;0,"POSIBLEMENTE NACIO",IF(IH194="SIN DEFINIR","SIN DATO",IF(AND(IH194&gt;=0,IH194&lt;=7),"SEMANA DE PARTO",IF(AND(IH194&gt;=8,IH194&lt;=28),"MENOS DE 4 SEMANAS",IF(AND(IH194&gt;=29,IH194&lt;=280),"PENDIENTE","")))))</f>
        <v>PENDIENTE</v>
      </c>
      <c r="IJ194" s="22"/>
      <c r="IK194" s="21"/>
      <c r="IL194" s="21"/>
      <c r="IM194" s="34"/>
      <c r="IN194" s="22"/>
      <c r="IO194" s="21"/>
      <c r="IP194" s="29"/>
      <c r="IQ194" s="35"/>
      <c r="IR194" s="21"/>
      <c r="IS194" s="21"/>
      <c r="IT194" s="21"/>
      <c r="IU194" s="21"/>
      <c r="IV194" s="21"/>
      <c r="IW194" s="21"/>
      <c r="IX194" s="21"/>
      <c r="IY194" s="21"/>
      <c r="IZ194" s="21"/>
      <c r="JA194" s="21"/>
      <c r="JB194" s="30"/>
      <c r="JC194" s="21"/>
      <c r="JD194" s="36"/>
      <c r="JE194" s="21"/>
      <c r="JF194" s="30"/>
      <c r="JG194" s="21"/>
      <c r="JH194" s="21"/>
      <c r="JI194" s="21"/>
      <c r="JJ194" s="30"/>
      <c r="JK194" s="22"/>
      <c r="JL194" s="22"/>
      <c r="JM194" s="21"/>
      <c r="JN194" s="36"/>
      <c r="JO194" s="21"/>
      <c r="JP194" s="22"/>
      <c r="JQ194" s="21"/>
      <c r="JR194" s="21"/>
      <c r="JS194" s="21"/>
      <c r="JT194" s="30"/>
      <c r="JU194" s="22"/>
      <c r="JV194" s="22"/>
      <c r="JW194" s="33"/>
      <c r="JX194" s="28"/>
      <c r="JY194" s="33"/>
      <c r="JZ194" s="28"/>
      <c r="KA194" s="21"/>
      <c r="KB194" s="21"/>
      <c r="KC194" s="21"/>
      <c r="KD194" s="37"/>
      <c r="KE194" s="28"/>
      <c r="KF194" s="28"/>
      <c r="KG194" s="28"/>
      <c r="KH194" s="39"/>
      <c r="KI194" s="39"/>
      <c r="KJ194" s="66"/>
      <c r="KK194" s="39"/>
      <c r="KL194" s="39"/>
      <c r="KM194" s="66"/>
      <c r="KN194" s="39"/>
      <c r="KO194" s="39"/>
      <c r="KP194" s="39"/>
      <c r="KQ194" s="39"/>
      <c r="KR194" s="39"/>
      <c r="KS194" s="39"/>
      <c r="KT194" s="39"/>
      <c r="KU194" s="38"/>
      <c r="KV194" s="38"/>
      <c r="KW194" s="38"/>
      <c r="KX194" s="38"/>
      <c r="KY194" s="38"/>
      <c r="KZ194" s="38"/>
      <c r="LA194" s="38"/>
      <c r="LB194" s="38"/>
      <c r="LC194" s="38"/>
      <c r="LD194" s="38"/>
      <c r="LE194" s="38"/>
      <c r="LF194" s="38"/>
      <c r="LG194" s="38"/>
      <c r="LH194" s="38"/>
      <c r="LI194" s="38"/>
      <c r="LJ194" s="38"/>
      <c r="LK194" s="38"/>
      <c r="LL194" s="38"/>
      <c r="LM194" s="38"/>
      <c r="LN194" s="38"/>
      <c r="LO194" s="38"/>
      <c r="LP194" s="38"/>
      <c r="LQ194" s="38"/>
      <c r="LR194" s="38"/>
      <c r="LS194" s="38"/>
      <c r="LT194" s="38"/>
      <c r="LU194" s="38"/>
      <c r="LV194" s="38"/>
      <c r="LW194" s="38"/>
      <c r="LX194" s="38"/>
      <c r="LY194" s="38"/>
      <c r="LZ194" s="38"/>
      <c r="MA194" s="38"/>
      <c r="MB194" s="38"/>
      <c r="MC194" s="38"/>
      <c r="MD194" s="38"/>
      <c r="ME194" s="38"/>
      <c r="MF194" s="38"/>
      <c r="MG194" s="38"/>
      <c r="MH194" s="43"/>
      <c r="MI194" s="43"/>
      <c r="MJ194" s="43"/>
      <c r="MK194" s="43"/>
      <c r="ML194" s="43"/>
      <c r="MM194" s="43"/>
      <c r="MN194" s="43"/>
      <c r="MO194" s="43"/>
      <c r="MP194" s="43"/>
      <c r="MQ194" s="43"/>
      <c r="MR194" s="43"/>
      <c r="MS194" s="43"/>
      <c r="MT194" s="43"/>
      <c r="MU194" s="43"/>
      <c r="MV194" s="43"/>
      <c r="MW194" s="43"/>
      <c r="MX194" s="43"/>
      <c r="MY194" s="43"/>
      <c r="MZ194" s="43"/>
      <c r="NA194" s="43"/>
      <c r="NB194" s="43"/>
      <c r="NC194" s="43"/>
      <c r="ND194" s="43"/>
      <c r="NE194" s="43"/>
      <c r="NF194" s="43"/>
      <c r="NG194" s="43"/>
      <c r="NH194" s="43"/>
      <c r="NI194" s="43"/>
      <c r="NJ194" s="43"/>
      <c r="NK194" s="43"/>
      <c r="NL194" s="43"/>
      <c r="NM194" s="43"/>
      <c r="NN194" s="43"/>
      <c r="NO194" s="43"/>
      <c r="NP194" s="204"/>
      <c r="NQ194" s="21"/>
      <c r="NR194" s="21"/>
      <c r="NS194" s="205"/>
      <c r="NT194" s="21"/>
      <c r="NU194" s="21"/>
      <c r="NV194" s="21"/>
      <c r="NW194" s="206"/>
      <c r="NX194" s="207"/>
      <c r="NY194" s="43">
        <f>ROW(Tabla1[[#This Row],['# DE TAMIZAJES SIFILIS TOMADOS ]])</f>
        <v>194</v>
      </c>
      <c r="NZ194" s="43">
        <f t="shared" si="738"/>
        <v>12</v>
      </c>
      <c r="OA194" s="43" t="str">
        <f t="shared" si="739"/>
        <v/>
      </c>
      <c r="OB194" s="43" t="str">
        <f t="shared" si="740"/>
        <v/>
      </c>
      <c r="OC194" s="43" t="str">
        <f t="shared" si="741"/>
        <v/>
      </c>
      <c r="OD194" s="43" t="str">
        <f t="shared" si="742"/>
        <v>SOBREPESO</v>
      </c>
      <c r="OE194" s="43" t="str">
        <f t="shared" si="743"/>
        <v/>
      </c>
      <c r="OF194" s="43" t="str">
        <f t="shared" si="744"/>
        <v/>
      </c>
      <c r="OG194" s="43" t="str">
        <f t="shared" si="745"/>
        <v/>
      </c>
      <c r="OH194" s="43" t="str">
        <f t="shared" si="746"/>
        <v/>
      </c>
      <c r="OI194" s="43" t="str">
        <f t="shared" si="747"/>
        <v/>
      </c>
      <c r="OJ194" s="43" t="str">
        <f t="shared" si="748"/>
        <v/>
      </c>
      <c r="OK194" s="43" t="str">
        <f t="shared" si="749"/>
        <v/>
      </c>
      <c r="OL194" s="43" t="str">
        <f t="shared" si="750"/>
        <v/>
      </c>
      <c r="OM194" s="43" t="str">
        <f t="shared" si="751"/>
        <v/>
      </c>
      <c r="ON194" s="43" t="str">
        <f t="shared" si="752"/>
        <v/>
      </c>
      <c r="OO194" s="43" t="str">
        <f t="shared" si="753"/>
        <v/>
      </c>
      <c r="OP194" s="43" t="str">
        <f t="shared" si="754"/>
        <v/>
      </c>
      <c r="OQ194" s="43" t="str">
        <f t="shared" si="755"/>
        <v/>
      </c>
      <c r="OR194" s="43" t="str">
        <f t="shared" si="756"/>
        <v/>
      </c>
      <c r="OS194" s="43" t="str">
        <f t="shared" si="757"/>
        <v/>
      </c>
      <c r="OT194" s="43" t="str">
        <f t="shared" si="758"/>
        <v/>
      </c>
      <c r="OU194" s="43" t="str">
        <f t="shared" si="759"/>
        <v/>
      </c>
      <c r="OV194" s="110" t="str">
        <f t="shared" si="760"/>
        <v/>
      </c>
      <c r="OW194" s="43" t="str">
        <f t="shared" si="761"/>
        <v/>
      </c>
      <c r="OX194" s="43" t="str">
        <f t="shared" si="762"/>
        <v/>
      </c>
      <c r="OY194" s="43" t="str">
        <f t="shared" si="763"/>
        <v/>
      </c>
      <c r="OZ194" s="43" t="str">
        <f t="shared" si="764"/>
        <v/>
      </c>
      <c r="PA194" s="43" t="str">
        <f t="shared" si="765"/>
        <v/>
      </c>
      <c r="PB194" s="43" t="str">
        <f t="shared" si="766"/>
        <v/>
      </c>
      <c r="PC194" s="43" t="str">
        <f t="shared" si="767"/>
        <v/>
      </c>
      <c r="PD194" s="43" t="str">
        <f t="shared" si="768"/>
        <v/>
      </c>
      <c r="PE194" s="43" t="str">
        <f t="shared" si="769"/>
        <v/>
      </c>
      <c r="PF194" s="43" t="str">
        <f t="shared" si="770"/>
        <v/>
      </c>
      <c r="PG194" s="43" t="str">
        <f t="shared" si="771"/>
        <v/>
      </c>
      <c r="PH194" s="43" t="str">
        <f t="shared" si="772"/>
        <v/>
      </c>
      <c r="PI194" s="43">
        <f t="shared" si="773"/>
        <v>19</v>
      </c>
      <c r="PJ194" s="43" t="str">
        <f t="shared" si="774"/>
        <v/>
      </c>
      <c r="PK194" s="43" t="str">
        <f t="shared" si="775"/>
        <v/>
      </c>
      <c r="PL194" s="43" t="str">
        <f t="shared" si="776"/>
        <v/>
      </c>
      <c r="PM194" s="43" t="str">
        <f t="shared" si="777"/>
        <v/>
      </c>
      <c r="PN194" s="43" t="str">
        <f t="shared" si="778"/>
        <v/>
      </c>
      <c r="PO194" s="43" t="str">
        <f t="shared" si="779"/>
        <v/>
      </c>
      <c r="PP194" s="43" t="str">
        <f t="shared" si="780"/>
        <v/>
      </c>
      <c r="PQ194" s="43" t="str">
        <f t="shared" si="781"/>
        <v/>
      </c>
      <c r="PR194" s="43" t="str">
        <f t="shared" si="782"/>
        <v/>
      </c>
      <c r="PS194" s="43" t="str">
        <f t="shared" si="783"/>
        <v/>
      </c>
      <c r="PT194" s="43" t="str">
        <f t="shared" si="784"/>
        <v>SOBREPESO</v>
      </c>
      <c r="PU194" s="43" t="str">
        <f t="shared" si="785"/>
        <v/>
      </c>
      <c r="PV194" s="43" t="str">
        <f t="shared" si="786"/>
        <v/>
      </c>
      <c r="PW194" s="43" t="str">
        <f t="shared" si="787"/>
        <v/>
      </c>
      <c r="PX194" s="43" t="str">
        <f t="shared" si="788"/>
        <v/>
      </c>
      <c r="PY194" s="43" t="str">
        <f t="shared" si="789"/>
        <v/>
      </c>
      <c r="PZ194" s="43" t="str">
        <f t="shared" si="790"/>
        <v/>
      </c>
      <c r="QA194" s="43" t="str">
        <f t="shared" si="791"/>
        <v/>
      </c>
      <c r="QB194" s="43" t="str">
        <f t="shared" si="792"/>
        <v/>
      </c>
      <c r="QC194" s="43" t="str">
        <f t="shared" si="793"/>
        <v/>
      </c>
      <c r="QD194" s="43" t="str">
        <f t="shared" si="794"/>
        <v/>
      </c>
      <c r="QE194" s="43" t="str">
        <f t="shared" si="795"/>
        <v/>
      </c>
      <c r="QF194" s="43" t="str">
        <f t="shared" si="796"/>
        <v/>
      </c>
      <c r="QG194" s="43" t="str">
        <f t="shared" si="797"/>
        <v/>
      </c>
      <c r="QH194" s="43" t="str">
        <f t="shared" si="798"/>
        <v/>
      </c>
      <c r="QI194" s="43" t="str">
        <f t="shared" si="799"/>
        <v/>
      </c>
      <c r="QJ194" s="43" t="str">
        <f t="shared" si="800"/>
        <v/>
      </c>
      <c r="QK194" s="43" t="str">
        <f t="shared" si="801"/>
        <v/>
      </c>
      <c r="QL194" s="43" t="str">
        <f t="shared" si="802"/>
        <v/>
      </c>
      <c r="QM194" s="43" t="str">
        <f t="shared" si="803"/>
        <v/>
      </c>
      <c r="QN194" s="43" t="str">
        <f t="shared" si="804"/>
        <v/>
      </c>
      <c r="QO194" s="43" t="str">
        <f t="shared" si="805"/>
        <v/>
      </c>
      <c r="QP194" s="43" t="str">
        <f t="shared" si="806"/>
        <v/>
      </c>
      <c r="QQ194" s="43" t="str">
        <f t="shared" si="807"/>
        <v/>
      </c>
      <c r="QR194" s="43">
        <f t="shared" si="837"/>
        <v>19</v>
      </c>
      <c r="QS194" s="43"/>
      <c r="QT194" s="21" t="str">
        <f t="shared" si="808"/>
        <v/>
      </c>
      <c r="QU194" s="21" t="str">
        <f t="shared" si="809"/>
        <v/>
      </c>
      <c r="QV194" s="21" t="str">
        <f t="shared" si="810"/>
        <v/>
      </c>
      <c r="QW194" s="21" t="str">
        <f t="shared" si="811"/>
        <v/>
      </c>
      <c r="QX194" s="21" t="str">
        <f t="shared" si="812"/>
        <v/>
      </c>
      <c r="QY194" s="21" t="str">
        <f t="shared" si="813"/>
        <v/>
      </c>
      <c r="QZ194" s="21" t="str">
        <f t="shared" si="814"/>
        <v>ADECUADO PARA EDAD GESTACIONAL</v>
      </c>
      <c r="RA194" s="21" t="str">
        <f t="shared" si="815"/>
        <v/>
      </c>
      <c r="RB194" s="21" t="str">
        <f t="shared" si="816"/>
        <v/>
      </c>
      <c r="RC194" s="21" t="str">
        <f t="shared" si="817"/>
        <v/>
      </c>
      <c r="RD194" s="21" t="str">
        <f t="shared" si="818"/>
        <v/>
      </c>
      <c r="RE194" s="21" t="str">
        <f t="shared" si="819"/>
        <v/>
      </c>
      <c r="RF194" s="21" t="str">
        <f t="shared" si="820"/>
        <v/>
      </c>
      <c r="RG194" s="21" t="str">
        <f t="shared" si="821"/>
        <v/>
      </c>
      <c r="RH194" s="21" t="str">
        <f t="shared" si="822"/>
        <v/>
      </c>
      <c r="RI194" s="21" t="str">
        <f t="shared" si="823"/>
        <v/>
      </c>
      <c r="RJ194" s="21" t="str">
        <f t="shared" si="824"/>
        <v/>
      </c>
      <c r="RK194" s="21" t="str">
        <f t="shared" si="825"/>
        <v/>
      </c>
      <c r="RL194" s="21" t="str">
        <f t="shared" si="826"/>
        <v/>
      </c>
      <c r="RM194" s="21" t="str">
        <f t="shared" si="827"/>
        <v/>
      </c>
      <c r="RN194" s="21" t="str">
        <f t="shared" si="828"/>
        <v/>
      </c>
      <c r="RO194" s="21" t="str">
        <f t="shared" si="829"/>
        <v/>
      </c>
      <c r="RP194" s="21" t="str">
        <f t="shared" si="830"/>
        <v/>
      </c>
      <c r="RQ194" s="21" t="str">
        <f t="shared" si="831"/>
        <v/>
      </c>
      <c r="RR194" s="21" t="str">
        <f t="shared" si="832"/>
        <v/>
      </c>
      <c r="RS194" s="21" t="str">
        <f t="shared" si="833"/>
        <v/>
      </c>
      <c r="RT194" s="21" t="str">
        <f t="shared" si="834"/>
        <v/>
      </c>
      <c r="RU194" s="21" t="str">
        <f t="shared" si="835"/>
        <v/>
      </c>
      <c r="RV194" s="21">
        <f t="shared" si="836"/>
        <v>-1</v>
      </c>
      <c r="RW194" s="284">
        <f>IF(OR(Tabla1[[#This Row],[FUM FORMULA CONFIABLE]]="",Tabla1[[#This Row],[FUM FORMULA CONFIABLE]]="SD"),"",IF(Tabla1[[#This Row],[FUM FORMULA CONFIABLE]]="CORREGIDA",Tabla1[[#This Row],[FUM X ECO 1]],Tabla1[[#This Row],[FUM x AMENORREA]]))</f>
        <v>45003</v>
      </c>
      <c r="RX194" s="21" t="str">
        <f>IF(AND(Tabla1[[#This Row],[FUM X ECO 1]]="",Tabla1[[#This Row],[FUM x AMENORREA]]=""),"",IF(AND(Tabla1[[#This Row],[FUM X ECO 1]]="",Tabla1[[#This Row],[FUM x AMENORREA]]&lt;&gt;""),"X",SUM(Tabla1[[#This Row],[FUM X ECO 1]]-Tabla1[[#This Row],[FUM x AMENORREA]])))</f>
        <v>X</v>
      </c>
      <c r="RY194" s="21" t="str">
        <f t="shared" si="838"/>
        <v>x</v>
      </c>
    </row>
    <row r="195" spans="1:493" ht="45" customHeight="1" x14ac:dyDescent="0.25">
      <c r="A195" s="109"/>
      <c r="B195" s="43"/>
      <c r="C195" s="43" t="s">
        <v>845</v>
      </c>
      <c r="D195" s="124"/>
      <c r="E195" s="43" t="s">
        <v>896</v>
      </c>
      <c r="F195" s="43" t="s">
        <v>953</v>
      </c>
      <c r="G195" s="43" t="s">
        <v>1217</v>
      </c>
      <c r="H195" s="43" t="s">
        <v>1471</v>
      </c>
      <c r="I195" s="109" t="s">
        <v>851</v>
      </c>
      <c r="J195" s="288">
        <v>1059602285</v>
      </c>
      <c r="K195" s="43" t="s">
        <v>852</v>
      </c>
      <c r="L195" s="175" t="s">
        <v>1509</v>
      </c>
      <c r="M195" s="22">
        <v>34107</v>
      </c>
      <c r="N195" s="213">
        <f t="shared" ca="1" si="839"/>
        <v>30.482191780821918</v>
      </c>
      <c r="O195" s="22">
        <v>45087</v>
      </c>
      <c r="P195" s="214" t="str">
        <f t="shared" si="673"/>
        <v>SI</v>
      </c>
      <c r="Q195" s="26" t="s">
        <v>855</v>
      </c>
      <c r="R195" s="22">
        <v>45087</v>
      </c>
      <c r="S195" s="21" t="s">
        <v>856</v>
      </c>
      <c r="T195" s="24" t="s">
        <v>690</v>
      </c>
      <c r="U195" s="21" t="s">
        <v>857</v>
      </c>
      <c r="V195" s="21" t="s">
        <v>858</v>
      </c>
      <c r="W195" s="21"/>
      <c r="X195" s="21"/>
      <c r="Y195" s="21"/>
      <c r="Z195" s="21">
        <v>3114020216</v>
      </c>
      <c r="AA195" s="21" t="s">
        <v>860</v>
      </c>
      <c r="AB195" s="27" t="s">
        <v>861</v>
      </c>
      <c r="AC195" s="26" t="s">
        <v>877</v>
      </c>
      <c r="AD195" s="38" t="s">
        <v>1546</v>
      </c>
      <c r="AE195" s="26" t="s">
        <v>854</v>
      </c>
      <c r="AF195" s="26" t="s">
        <v>854</v>
      </c>
      <c r="AG195" s="23" t="s">
        <v>864</v>
      </c>
      <c r="AH195" s="23" t="s">
        <v>864</v>
      </c>
      <c r="AI195" s="24" t="s">
        <v>863</v>
      </c>
      <c r="AJ195" s="23" t="s">
        <v>864</v>
      </c>
      <c r="AK195" s="220" t="str">
        <f>IF(AND(AD195="",AE195="",AF195="",AG195="",AH195="",AI195="",AJ195=""),"",IF(OR(Tabla1[[#This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EVALUACIÓN",IF(AND(O195="",R195=""),"",IF(AND(OR(O195&gt;0,R195&gt;0),NG195&gt;=0,NG195&lt;2),"SIN RIESGO",IF(AND(OR(O195&gt;0,R195&gt;0),NG195&gt;=2),"CON RIESGO","ASD")))))</f>
        <v>SIN RIESGO</v>
      </c>
      <c r="AL195" s="23" t="s">
        <v>864</v>
      </c>
      <c r="AM195" s="26" t="s">
        <v>864</v>
      </c>
      <c r="AN195" s="26" t="s">
        <v>864</v>
      </c>
      <c r="AO195" s="26" t="s">
        <v>864</v>
      </c>
      <c r="AP195" s="26" t="s">
        <v>864</v>
      </c>
      <c r="AQ195" s="26" t="s">
        <v>864</v>
      </c>
      <c r="AR195" s="26" t="s">
        <v>864</v>
      </c>
      <c r="AS195" s="21">
        <v>2</v>
      </c>
      <c r="AT195" s="21">
        <v>2</v>
      </c>
      <c r="AU195" s="21">
        <v>0</v>
      </c>
      <c r="AV195" s="26" t="s">
        <v>864</v>
      </c>
      <c r="AW195" s="21">
        <v>0</v>
      </c>
      <c r="AX195" s="26" t="s">
        <v>864</v>
      </c>
      <c r="AY195" s="26" t="s">
        <v>864</v>
      </c>
      <c r="AZ195" s="26" t="s">
        <v>864</v>
      </c>
      <c r="BA195" s="26" t="s">
        <v>864</v>
      </c>
      <c r="BB195" s="26" t="s">
        <v>864</v>
      </c>
      <c r="BC195" s="26" t="s">
        <v>864</v>
      </c>
      <c r="BD195" s="26" t="s">
        <v>864</v>
      </c>
      <c r="BE195" s="26" t="s">
        <v>864</v>
      </c>
      <c r="BF195" s="26" t="s">
        <v>864</v>
      </c>
      <c r="BG195" s="26" t="s">
        <v>864</v>
      </c>
      <c r="BH195" s="26" t="s">
        <v>864</v>
      </c>
      <c r="BI195" s="26" t="s">
        <v>864</v>
      </c>
      <c r="BJ195" s="26" t="s">
        <v>864</v>
      </c>
      <c r="BK195" s="26" t="s">
        <v>864</v>
      </c>
      <c r="BL195" s="26" t="s">
        <v>864</v>
      </c>
      <c r="BM195" s="26" t="s">
        <v>864</v>
      </c>
      <c r="BN195" s="22">
        <v>43328</v>
      </c>
      <c r="BO195" s="22">
        <v>45032</v>
      </c>
      <c r="BP195" s="21" t="s">
        <v>854</v>
      </c>
      <c r="BQ195" s="222">
        <f t="shared" si="840"/>
        <v>56.8</v>
      </c>
      <c r="BR195" s="223" t="str">
        <f t="shared" si="841"/>
        <v/>
      </c>
      <c r="BS195" s="224">
        <f t="shared" si="842"/>
        <v>7.8571428571428568</v>
      </c>
      <c r="BT195" s="216" t="str">
        <f t="shared" si="843"/>
        <v>I TRIM</v>
      </c>
      <c r="BU195" s="214">
        <f t="shared" ca="1" si="844"/>
        <v>28.714285714285715</v>
      </c>
      <c r="BV195" s="25"/>
      <c r="BW195" s="22"/>
      <c r="BX195" s="28"/>
      <c r="BY195" s="28"/>
      <c r="BZ195" s="22"/>
      <c r="CA195" s="21"/>
      <c r="CB195" s="26"/>
      <c r="CC195" s="26"/>
      <c r="CD195" s="26"/>
      <c r="CE195" s="26"/>
      <c r="CF195" s="22" t="s">
        <v>1517</v>
      </c>
      <c r="CG195" s="21">
        <v>1.48</v>
      </c>
      <c r="CH195" s="21">
        <v>44</v>
      </c>
      <c r="CI195" s="214">
        <f t="shared" si="845"/>
        <v>20.08765522279036</v>
      </c>
      <c r="CJ195" s="225" t="str">
        <f>IF(AND(CI195&lt;10,CH195="SD"),"SIN DATO PESO PREGESTACION O I TRIM",IF(AND(OR(R195&gt;0,O195&gt;0),CI195="X"),"INGRESAR DATO DE PESO",IF(CI195="SD","INGRESAR DATO DE TALLA Y PESO",IF(AND(OR(Tabla1[[#This Row],[MOMENTO EN QUE SE REALIZA EL PESO AL INGRESO A CPN]]="PREGESTACIÓN",NZ195="Menor"),CI195&lt;18.5),"BAJO PESO",IF(AND(OR(Tabla1[[#This Row],[MOMENTO EN QUE SE REALIZA EL PESO AL INGRESO A CPN]]="PREGESTACIÓN",NZ195="Menor"),CI195&lt;25),"NORMAL",IF(AND(OR(Tabla1[[#This Row],[MOMENTO EN QUE SE REALIZA EL PESO AL INGRESO A CPN]]="PREGESTACIÓN",NZ195="Menor"),CI195&lt;30),"SOBREPESO",IF(AND(OR(Tabla1[[#This Row],[MOMENTO EN QUE SE REALIZA EL PESO AL INGRESO A CPN]]="PREGESTACIÓN",NZ195="Menor"),CI195&gt;=30,CI195&lt;50),"OBESIDAD",IF(AND(BS195&gt;0,Tabla1[[#This Row],[MOMENTO EN QUE SE REALIZA EL PESO AL INGRESO A CPN]]="GESTACIÓN"),HLOOKUP(NZ195,$OA$2:PH195,NY195),""))))))))</f>
        <v>NORMAL</v>
      </c>
      <c r="CK195" s="212">
        <f t="shared" si="846"/>
        <v>45142</v>
      </c>
      <c r="CL195" s="21">
        <v>45.1</v>
      </c>
      <c r="CM195" s="214">
        <f t="shared" si="847"/>
        <v>20.589846603360119</v>
      </c>
      <c r="CN195" s="216">
        <f t="shared" si="848"/>
        <v>15</v>
      </c>
      <c r="CO195" s="216" t="e">
        <f>IF(PI195="","",IF(PI195&gt;0,HLOOKUP(PI195,$PJ$2:QQ195,NY195),""))</f>
        <v>#REF!</v>
      </c>
      <c r="CP195" s="21">
        <v>14</v>
      </c>
      <c r="CQ195" s="216" t="e">
        <f>IF(QR195="Menor","NO APLICA-MENOR 13 SEM",IF(AND(CC195="SI",CN195&gt;23),"NO APLICA- GEMELAR",IF(QR195="","",IF(QR195&gt;0,HLOOKUP(QR195,$QS$2:RU195,NY195),""))))</f>
        <v>#REF!</v>
      </c>
      <c r="CR195" s="21">
        <v>100</v>
      </c>
      <c r="CS195" s="21">
        <v>60</v>
      </c>
      <c r="CT195" s="217" t="str">
        <f>IF(R195="","",IF(AND(BS195&gt;1,BS195&lt;12,Tabla1[[#This Row],[T.A. SISTOLICA - ANTES DE SEMANA 12]]="",Tabla1[[#This Row],[T.A. DIASTOLICA - ANTES DE SEMANA 12]]=""),"REGISTRE DATO TA ANTES SEMANA 12",IF(AND(BS195&gt;11,BS195&lt;43,Tabla1[[#This Row],[T.A. SISTOLICA - ANTES DE SEMANA 12]]="",Tabla1[[#This Row],[T.A. DIASTOLICA - ANTES DE SEMANA 12]]=""),"NO APLICA REGISTRO TA-INGRESO TARDIO",IF(AND(OR(O195&gt;0,R195&gt;0),OR(CR195&gt;=140,CS195&gt;=90)),"DEFINIR ESTADIO HTA",IF(AND(OR(O195&gt;0,R195&gt;0),AND(CR195&gt;120,CR195&lt;=139)),"PRE HTA SEGUIMIENTO",IF(AND(OR(O195&gt;0,R195&gt;0),AND(CS195&gt;80,CS195&lt;=89)),"PRE HTA SEGUIMIENTO",IF(AND(OR(O195&gt;0,R195&gt;0),AND(CR195&gt;=80,CR195&lt;=120)),"APARENTEMENTE NORMAL",IF(AND(OR(O195&gt;0,R195&gt;0),AND(CS195&gt;=50,CS195&lt;=80)),"APARENTEMENTE NORMAL",IF(AND(OR(O195&gt;0,R195&gt;0),AND(CR195&gt;1,CR195&lt;=70),AND(CS195&gt;1,CS195&lt;=40)),"HIPOTENSIÓN","")))))))))</f>
        <v>APARENTEMENTE NORMAL</v>
      </c>
      <c r="CU195" s="21"/>
      <c r="CV195" s="21"/>
      <c r="CW195" s="217" t="str">
        <f ca="1">IF(R195="","",IF(AND(CN195&gt;19,CN195&lt;27,Tabla1[[#This Row],[T.A. SISTOLICA (Entre semana 20 y 26)]]="",Tabla1[[#This Row],[T.A. DIATOLICA (Entre semana 20 y 26)]]=""),"ACUDE A CONTROL SEM 20 A 26 REGISTRE TA AHORA",IF(AND(BS195&gt;1,BS195&lt;27,BU195&gt;19,Tabla1[[#This Row],[T.A. SISTOLICA (Entre semana 20 y 26)]]="",Tabla1[[#This Row],[T.A. DIATOLICA (Entre semana 20 y 26)]]=""),"COMPLETE REGISTRO TA CONTROL SEM 20 A26 ",IF(AND(BS195&gt;26,BS195&lt;43,Tabla1[[#This Row],[T.A. SISTOLICA (Entre semana 20 y 26)]]="",Tabla1[[#This Row],[T.A. DIATOLICA (Entre semana 20 y 26)]]=""),"NO APLICA REGISTRO TA-INGRESO TARDIO",IF(AND(OR(O195&gt;0,R195&gt;0),OR(CU195&gt;=140,CV195&gt;=90)),"ALTO RIESGO PREECLAMPSIA,DEFINIR ESTADIO HTA",IF(AND(OR(O195&gt;0,R195&gt;0),AND(CU195&gt;120,CU195&lt;=139)),"PRE HTA SEGUIMIENTO,RIESGO HIPERTENSION INDUCIDA POR EL EMBARAZO",IF(AND(OR(O195&gt;0,R195&gt;0),AND(CV195&gt;80,CV195&lt;=89)),"PRE HTA SEGUIMIENTO, RIESGO HIPERTENSION INDUCIDA POR EL EMBARAZO",IF(AND(OR(O195&lt;&gt;"",R195&lt;&gt;""),CS195&lt;&gt;"",CV195&lt;&gt;"",CS195&lt;=CV195),"VIGILAR CIFRAS PRESION ARTERIAL",IF(AND(OR(O195&gt;0,R195&gt;0),AND(CU195&gt;120,CU195&lt;=139)),"PRE HTA SEGUIMIENTO",IF(AND(OR(O195&gt;0,R195&gt;0),AND(CU195&gt;1,CU195&lt;=70),AND(CV195&gt;1,CV195&lt;=40)),"HIPOTENSIÓN",IF(AND(OR(O195&lt;&gt;"",R195&lt;&gt;""),CS195&lt;&gt;"",CV195&lt;&gt;"",CS195&gt;CV195),"APARENTEMENTE NORMAL",IF(AND(OR(O195&gt;0,R195&gt;0),AND(CU195&gt;=80,CU195&lt;=120)),"APARENTEMENTE NORMAL",IF(AND(OR(O195&gt;0,R195&gt;0),AND(CV195&gt;=50,CV195&lt;=80)),"APARENTEMENTE NORMAL","")))))))))))))</f>
        <v xml:space="preserve">COMPLETE REGISTRO TA CONTROL SEM 20 A26 </v>
      </c>
      <c r="CX195" s="21"/>
      <c r="CY195" s="21"/>
      <c r="CZ195" s="216" t="str">
        <f t="shared" si="727"/>
        <v/>
      </c>
      <c r="DA195" s="21">
        <v>90</v>
      </c>
      <c r="DB195" s="21">
        <v>60</v>
      </c>
      <c r="DC195" s="217" t="str">
        <f t="shared" si="849"/>
        <v>APARENTEMENTE NORMAL</v>
      </c>
      <c r="DD195" s="22">
        <v>45087</v>
      </c>
      <c r="DE195" s="22">
        <v>45087</v>
      </c>
      <c r="DF195" s="22">
        <v>45113</v>
      </c>
      <c r="DG195" s="22"/>
      <c r="DH195" s="22">
        <v>45142</v>
      </c>
      <c r="DI195" s="22"/>
      <c r="DJ195" s="22"/>
      <c r="DK195" s="22"/>
      <c r="DL195" s="22"/>
      <c r="DM195" s="22"/>
      <c r="DN195" s="22"/>
      <c r="DO195" s="22"/>
      <c r="DP195" s="22"/>
      <c r="DQ195" s="22"/>
      <c r="DR195" s="28"/>
      <c r="DS195" s="22"/>
      <c r="DT195" s="22"/>
      <c r="DU195" s="216" t="str">
        <f t="shared" ca="1" si="674"/>
        <v>PLANEAR PLAN DE PARTO</v>
      </c>
      <c r="DV195" s="226" t="str">
        <f t="shared" si="675"/>
        <v>ACTIVA INGRESO A CPN</v>
      </c>
      <c r="DW19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5" s="216" t="str">
        <f t="shared" si="850"/>
        <v>DIA DE CONTROL</v>
      </c>
      <c r="DY195" s="212">
        <f>IF(R195="","",IF(R195&gt;0,MAX(Tabla1[[#This Row],[FECHA C2]:[FECHA C13]],Tabla1[[#This Row],[FECHA CONSULTA PRIMERA VEZ PROGRAMA CPN ]])))</f>
        <v>45142</v>
      </c>
      <c r="DZ195" s="216">
        <f t="shared" si="851"/>
        <v>15</v>
      </c>
      <c r="EA195" s="222">
        <f>IF(R195&gt;0,SUM(COUNTA(DF195:DQ195)+COUNTA(Tabla1[[#This Row],[FECHA CONSULTA PRIMERA VEZ PROGRAMA CPN ]])),"")</f>
        <v>3</v>
      </c>
      <c r="EB195" s="222" t="str">
        <f t="shared" si="852"/>
        <v>NO</v>
      </c>
      <c r="EC195" s="214">
        <f t="shared" si="853"/>
        <v>10</v>
      </c>
      <c r="ED195" s="227">
        <f t="shared" si="854"/>
        <v>0.3</v>
      </c>
      <c r="EE195" s="22">
        <v>45087</v>
      </c>
      <c r="EF195" s="22">
        <v>45087</v>
      </c>
      <c r="EG195" s="22">
        <v>45087</v>
      </c>
      <c r="EH195" s="22"/>
      <c r="EI195" s="22">
        <v>45087</v>
      </c>
      <c r="EJ195" s="22"/>
      <c r="EK195" s="22"/>
      <c r="EL195" s="21"/>
      <c r="EM195" s="21">
        <v>13</v>
      </c>
      <c r="EN195" s="22">
        <v>45087</v>
      </c>
      <c r="EO195" s="222">
        <f t="shared" si="855"/>
        <v>7.8571428571428568</v>
      </c>
      <c r="EP195" s="214" t="str">
        <f t="shared" si="856"/>
        <v>NORMAL- SUMINISTRAR SULFATO FERROSO</v>
      </c>
      <c r="EQ195" s="216" t="str">
        <f t="shared" si="857"/>
        <v>I TRIM</v>
      </c>
      <c r="ER195" s="24"/>
      <c r="ES195" s="22"/>
      <c r="ET195" s="29" t="str">
        <f t="shared" ca="1" si="676"/>
        <v>EN SEMANA 28 TOMA INMEDIATA DE EXAMEN</v>
      </c>
      <c r="EU195" s="25" t="str">
        <f t="shared" si="858"/>
        <v/>
      </c>
      <c r="EV195" s="24" t="s">
        <v>1510</v>
      </c>
      <c r="EW195" s="22">
        <v>45087</v>
      </c>
      <c r="EX195" s="22"/>
      <c r="EY195" s="29">
        <f t="shared" si="691"/>
        <v>7.8571428571428568</v>
      </c>
      <c r="EZ195" s="25" t="str">
        <f t="shared" si="692"/>
        <v>SIN RIESGO DE ISOINMUNIZACIÓN</v>
      </c>
      <c r="FA195" s="21">
        <v>81</v>
      </c>
      <c r="FB195" s="22">
        <v>45087</v>
      </c>
      <c r="FC195" s="29">
        <f t="shared" si="859"/>
        <v>7.8571428571428568</v>
      </c>
      <c r="FD195" s="29"/>
      <c r="FE195" s="29"/>
      <c r="FF195" s="29"/>
      <c r="FG195" s="21" t="str">
        <f t="shared" ca="1" si="860"/>
        <v>TOMAR PTOG</v>
      </c>
      <c r="FH195" s="31"/>
      <c r="FI195" s="29" t="str">
        <f t="shared" si="861"/>
        <v>TOMAR EXAMEN</v>
      </c>
      <c r="FJ195" s="22" t="s">
        <v>867</v>
      </c>
      <c r="FK195" s="22">
        <v>45087</v>
      </c>
      <c r="FL195" s="29">
        <f t="shared" ca="1" si="862"/>
        <v>7.8571428571428568</v>
      </c>
      <c r="FM195" s="22"/>
      <c r="FN195" s="22"/>
      <c r="FO195" s="29" t="str">
        <f t="shared" ca="1" si="677"/>
        <v>PIERDE TOMA DE TAMIZAJE</v>
      </c>
      <c r="FP195" s="22"/>
      <c r="FQ195" s="32"/>
      <c r="FR195" s="29" t="str">
        <f t="shared" ca="1" si="678"/>
        <v>EN RANGO PARA TOMAR EXAMEN</v>
      </c>
      <c r="FS195" s="22"/>
      <c r="FT195" s="32"/>
      <c r="FU195" s="29" t="str">
        <f>IF(AND(FJ195="",FM195="",FP195="",FS195=""),"",IF(OR(OR(Tabla1[[#This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5" s="28"/>
      <c r="FW195" s="22"/>
      <c r="FX195" s="29" t="str">
        <f t="shared" si="863"/>
        <v>TOMAR EXAMEN</v>
      </c>
      <c r="FY195" s="22" t="s">
        <v>868</v>
      </c>
      <c r="FZ195" s="22">
        <v>45087</v>
      </c>
      <c r="GA195" s="29">
        <f t="shared" ca="1" si="737"/>
        <v>7.8571428571428568</v>
      </c>
      <c r="GB195" s="22"/>
      <c r="GC195" s="22"/>
      <c r="GD195" s="29" t="str">
        <f t="shared" ca="1" si="730"/>
        <v>PIERDE TOMA DE TAMIZAJE</v>
      </c>
      <c r="GE195" s="22"/>
      <c r="GF195" s="22"/>
      <c r="GG195" s="29" t="str">
        <f t="shared" ca="1" si="680"/>
        <v>EN RANGO PARA TOMAR EXAMEN</v>
      </c>
      <c r="GH195" s="22"/>
      <c r="GI195" s="29"/>
      <c r="GJ195" s="22"/>
      <c r="GK195" s="22"/>
      <c r="GL195" s="22"/>
      <c r="GM195" s="22"/>
      <c r="GN195" s="28" t="s">
        <v>869</v>
      </c>
      <c r="GO195" s="22">
        <v>45087</v>
      </c>
      <c r="GP195" s="29">
        <f t="shared" si="864"/>
        <v>7.8571428571428568</v>
      </c>
      <c r="GQ195" s="28" t="s">
        <v>869</v>
      </c>
      <c r="GR195" s="28" t="s">
        <v>869</v>
      </c>
      <c r="GS195" s="22" t="str">
        <f t="shared" si="726"/>
        <v>CONTROL Igm</v>
      </c>
      <c r="GT195" s="22">
        <v>45087</v>
      </c>
      <c r="GU195" s="29">
        <f t="shared" si="865"/>
        <v>7.8571428571428568</v>
      </c>
      <c r="GV195" s="21" t="str">
        <f t="shared" si="866"/>
        <v>I TRIM</v>
      </c>
      <c r="GW195" s="28"/>
      <c r="GX195" s="30"/>
      <c r="GY195" s="21"/>
      <c r="GZ195" s="21"/>
      <c r="HA195" s="21"/>
      <c r="HB195" s="21"/>
      <c r="HC195" s="21"/>
      <c r="HD195" s="21"/>
      <c r="HE195" s="21"/>
      <c r="HF195" s="22"/>
      <c r="HG195" s="22" t="str">
        <f>IF(OR(O195&gt;0,R195&gt;0),CONCATENATE(IF(Tabla1[[#This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5" s="22" t="e">
        <f t="shared" si="867"/>
        <v>#REF!</v>
      </c>
      <c r="HI195" s="22" t="e">
        <f t="shared" si="868"/>
        <v>#REF!</v>
      </c>
      <c r="HJ195" s="21"/>
      <c r="HK195" s="21" t="str">
        <f t="shared" si="869"/>
        <v>SIN ANTECEDENTES DE RIESGO</v>
      </c>
      <c r="HL195" s="24" t="str">
        <f t="shared" si="870"/>
        <v>APARENTEMENTE NORMAL</v>
      </c>
      <c r="HM195" s="21" t="str">
        <f t="shared" si="871"/>
        <v>DIA DE CONTROL</v>
      </c>
      <c r="HN195" s="30" t="str">
        <f t="shared" si="681"/>
        <v>ACTIVA INGRESO A CPN</v>
      </c>
      <c r="HO195" s="21" t="s">
        <v>854</v>
      </c>
      <c r="HP195" s="21"/>
      <c r="HQ195" s="349"/>
      <c r="HR195" s="21"/>
      <c r="HS195" s="22"/>
      <c r="HT195" s="22"/>
      <c r="HU195" s="22">
        <v>45087</v>
      </c>
      <c r="HV195" s="22" t="s">
        <v>1506</v>
      </c>
      <c r="HW195" s="22">
        <v>45087</v>
      </c>
      <c r="HX195" s="22" t="s">
        <v>1511</v>
      </c>
      <c r="HY195" s="22"/>
      <c r="HZ195" s="28" t="str">
        <f t="shared" si="872"/>
        <v>PENDIENTE CONSULTA</v>
      </c>
      <c r="IA195" s="26"/>
      <c r="IB195" s="26"/>
      <c r="IC195" s="111"/>
      <c r="ID195" s="22"/>
      <c r="IE195" s="22" t="str">
        <f t="shared" ca="1" si="873"/>
        <v>INASISTENTE</v>
      </c>
      <c r="IF195" s="22"/>
      <c r="IG195" s="22">
        <f t="shared" si="874"/>
        <v>45312</v>
      </c>
      <c r="IH195" s="29">
        <f t="shared" ca="1" si="875"/>
        <v>79</v>
      </c>
      <c r="II195" s="22" t="str">
        <f t="shared" ca="1" si="876"/>
        <v>PENDIENTE</v>
      </c>
      <c r="IJ195" s="22"/>
      <c r="IK195" s="21"/>
      <c r="IL195" s="21"/>
      <c r="IM195" s="34"/>
      <c r="IN195" s="22"/>
      <c r="IO195" s="21"/>
      <c r="IP195" s="29"/>
      <c r="IQ195" s="35"/>
      <c r="IR195" s="21"/>
      <c r="IS195" s="21"/>
      <c r="IT195" s="21"/>
      <c r="IU195" s="21"/>
      <c r="IV195" s="21"/>
      <c r="IW195" s="21"/>
      <c r="IX195" s="21"/>
      <c r="IY195" s="21"/>
      <c r="IZ195" s="21"/>
      <c r="JA195" s="21"/>
      <c r="JB195" s="30"/>
      <c r="JC195" s="21"/>
      <c r="JD195" s="36"/>
      <c r="JE195" s="21"/>
      <c r="JF195" s="30"/>
      <c r="JG195" s="21"/>
      <c r="JH195" s="21"/>
      <c r="JI195" s="21"/>
      <c r="JJ195" s="30"/>
      <c r="JK195" s="22"/>
      <c r="JL195" s="22"/>
      <c r="JM195" s="21"/>
      <c r="JN195" s="36"/>
      <c r="JO195" s="21"/>
      <c r="JP195" s="22"/>
      <c r="JQ195" s="21"/>
      <c r="JR195" s="21"/>
      <c r="JS195" s="21"/>
      <c r="JT195" s="30"/>
      <c r="JU195" s="22"/>
      <c r="JV195" s="22"/>
      <c r="JW195" s="33"/>
      <c r="JX195" s="28"/>
      <c r="JY195" s="33"/>
      <c r="JZ195" s="28"/>
      <c r="KA195" s="21"/>
      <c r="KB195" s="21"/>
      <c r="KC195" s="21"/>
      <c r="KD195" s="37"/>
      <c r="KE195" s="28"/>
      <c r="KF195" s="28"/>
      <c r="KG195" s="28"/>
      <c r="KH195" s="39"/>
      <c r="KI195" s="39"/>
      <c r="KJ195" s="66"/>
      <c r="KK195" s="39"/>
      <c r="KL195" s="39"/>
      <c r="KM195" s="66"/>
      <c r="KN195" s="39"/>
      <c r="KO195" s="39"/>
      <c r="KP195" s="39"/>
      <c r="KQ195" s="39"/>
      <c r="KR195" s="39"/>
      <c r="KS195" s="39"/>
      <c r="KT195" s="39"/>
      <c r="KU195" s="38"/>
      <c r="KV195" s="38"/>
      <c r="KW195" s="38"/>
      <c r="KX195" s="38"/>
      <c r="KY195" s="38"/>
      <c r="KZ195" s="38"/>
      <c r="LA195" s="38"/>
      <c r="LB195" s="38"/>
      <c r="LC195" s="38"/>
      <c r="LD195" s="38"/>
      <c r="LE195" s="38"/>
      <c r="LF195" s="38"/>
      <c r="LG195" s="38"/>
      <c r="LH195" s="38"/>
      <c r="LI195" s="38"/>
      <c r="LJ195" s="38"/>
      <c r="LK195" s="38"/>
      <c r="LL195" s="38"/>
      <c r="LM195" s="38"/>
      <c r="LN195" s="38"/>
      <c r="LO195" s="38"/>
      <c r="LP195" s="38"/>
      <c r="LQ195" s="38"/>
      <c r="LR195" s="38"/>
      <c r="LS195" s="38"/>
      <c r="LT195" s="38"/>
      <c r="LU195" s="38"/>
      <c r="LV195" s="38"/>
      <c r="LW195" s="38"/>
      <c r="LX195" s="38"/>
      <c r="LY195" s="38"/>
      <c r="LZ195" s="38"/>
      <c r="MA195" s="38"/>
      <c r="MB195" s="38"/>
      <c r="MC195" s="38"/>
      <c r="MD195" s="38"/>
      <c r="ME195" s="38"/>
      <c r="MF195" s="38"/>
      <c r="MG195" s="38"/>
      <c r="MH195" s="43"/>
      <c r="MI195" s="43"/>
      <c r="MJ195" s="43"/>
      <c r="MK195" s="43"/>
      <c r="ML195" s="43"/>
      <c r="MM195" s="43"/>
      <c r="MN195" s="43"/>
      <c r="MO195" s="43"/>
      <c r="MP195" s="43"/>
      <c r="MQ195" s="43"/>
      <c r="MR195" s="43"/>
      <c r="MS195" s="43"/>
      <c r="MT195" s="43"/>
      <c r="MU195" s="43"/>
      <c r="MV195" s="43"/>
      <c r="MW195" s="43"/>
      <c r="MX195" s="43"/>
      <c r="MY195" s="43"/>
      <c r="MZ195" s="43"/>
      <c r="NA195" s="43"/>
      <c r="NB195" s="43"/>
      <c r="NC195" s="43"/>
      <c r="ND195" s="43"/>
      <c r="NE195" s="43"/>
      <c r="NF195" s="43"/>
      <c r="NG195" s="43"/>
      <c r="NH195" s="43"/>
      <c r="NI195" s="43"/>
      <c r="NJ195" s="43"/>
      <c r="NK195" s="43"/>
      <c r="NL195" s="43"/>
      <c r="NM195" s="43"/>
      <c r="NN195" s="43"/>
      <c r="NO195" s="43"/>
      <c r="NP195" s="204"/>
      <c r="NQ195" s="21"/>
      <c r="NR195" s="21"/>
      <c r="NS195" s="205"/>
      <c r="NT195" s="21"/>
      <c r="NU195" s="21"/>
      <c r="NV195" s="21"/>
      <c r="NW195" s="206"/>
      <c r="NX195" s="207"/>
      <c r="NY195" s="43">
        <f>ROW(Tabla1[[#This Row],['# DE TAMIZAJES SIFILIS TOMADOS ]])</f>
        <v>195</v>
      </c>
      <c r="NZ195" s="43" t="str">
        <f t="shared" si="738"/>
        <v>Menor</v>
      </c>
      <c r="OA195" s="43" t="str">
        <f t="shared" si="739"/>
        <v>NORMAL</v>
      </c>
      <c r="OB195" s="43" t="str">
        <f t="shared" si="740"/>
        <v/>
      </c>
      <c r="OC195" s="43" t="str">
        <f t="shared" si="741"/>
        <v/>
      </c>
      <c r="OD195" s="43" t="str">
        <f t="shared" si="742"/>
        <v/>
      </c>
      <c r="OE195" s="43" t="str">
        <f t="shared" si="743"/>
        <v/>
      </c>
      <c r="OF195" s="43" t="str">
        <f t="shared" si="744"/>
        <v/>
      </c>
      <c r="OG195" s="43" t="str">
        <f t="shared" si="745"/>
        <v/>
      </c>
      <c r="OH195" s="43" t="str">
        <f t="shared" si="746"/>
        <v/>
      </c>
      <c r="OI195" s="43" t="str">
        <f t="shared" si="747"/>
        <v/>
      </c>
      <c r="OJ195" s="43" t="str">
        <f t="shared" si="748"/>
        <v/>
      </c>
      <c r="OK195" s="43" t="str">
        <f t="shared" si="749"/>
        <v/>
      </c>
      <c r="OL195" s="43" t="str">
        <f t="shared" si="750"/>
        <v/>
      </c>
      <c r="OM195" s="43" t="str">
        <f t="shared" si="751"/>
        <v/>
      </c>
      <c r="ON195" s="43" t="str">
        <f t="shared" si="752"/>
        <v/>
      </c>
      <c r="OO195" s="43" t="str">
        <f t="shared" si="753"/>
        <v/>
      </c>
      <c r="OP195" s="43" t="str">
        <f t="shared" si="754"/>
        <v/>
      </c>
      <c r="OQ195" s="43" t="str">
        <f t="shared" si="755"/>
        <v/>
      </c>
      <c r="OR195" s="43" t="str">
        <f t="shared" si="756"/>
        <v/>
      </c>
      <c r="OS195" s="43" t="str">
        <f t="shared" si="757"/>
        <v/>
      </c>
      <c r="OT195" s="43" t="str">
        <f t="shared" si="758"/>
        <v/>
      </c>
      <c r="OU195" s="43" t="str">
        <f t="shared" si="759"/>
        <v/>
      </c>
      <c r="OV195" s="110" t="str">
        <f t="shared" si="760"/>
        <v/>
      </c>
      <c r="OW195" s="43" t="str">
        <f t="shared" si="761"/>
        <v/>
      </c>
      <c r="OX195" s="43" t="str">
        <f t="shared" si="762"/>
        <v/>
      </c>
      <c r="OY195" s="43" t="str">
        <f t="shared" si="763"/>
        <v/>
      </c>
      <c r="OZ195" s="43" t="str">
        <f t="shared" si="764"/>
        <v/>
      </c>
      <c r="PA195" s="43" t="str">
        <f t="shared" si="765"/>
        <v/>
      </c>
      <c r="PB195" s="43" t="str">
        <f t="shared" si="766"/>
        <v/>
      </c>
      <c r="PC195" s="43" t="str">
        <f t="shared" si="767"/>
        <v/>
      </c>
      <c r="PD195" s="43" t="str">
        <f t="shared" si="768"/>
        <v/>
      </c>
      <c r="PE195" s="43" t="str">
        <f t="shared" si="769"/>
        <v/>
      </c>
      <c r="PF195" s="43" t="str">
        <f t="shared" si="770"/>
        <v/>
      </c>
      <c r="PG195" s="43" t="str">
        <f t="shared" si="771"/>
        <v/>
      </c>
      <c r="PH195" s="43" t="str">
        <f t="shared" si="772"/>
        <v/>
      </c>
      <c r="PI195" s="43">
        <f t="shared" si="773"/>
        <v>15</v>
      </c>
      <c r="PJ195" s="43" t="str">
        <f t="shared" si="774"/>
        <v/>
      </c>
      <c r="PK195" s="43" t="str">
        <f t="shared" si="775"/>
        <v/>
      </c>
      <c r="PL195" s="43" t="str">
        <f t="shared" si="776"/>
        <v/>
      </c>
      <c r="PM195" s="43" t="str">
        <f t="shared" si="777"/>
        <v/>
      </c>
      <c r="PN195" s="43" t="str">
        <f t="shared" si="778"/>
        <v/>
      </c>
      <c r="PO195" s="43" t="str">
        <f t="shared" si="779"/>
        <v/>
      </c>
      <c r="PP195" s="43" t="str">
        <f t="shared" si="780"/>
        <v>BAJO PESO</v>
      </c>
      <c r="PQ195" s="43" t="str">
        <f t="shared" si="781"/>
        <v/>
      </c>
      <c r="PR195" s="43" t="str">
        <f t="shared" si="782"/>
        <v/>
      </c>
      <c r="PS195" s="43" t="str">
        <f t="shared" si="783"/>
        <v/>
      </c>
      <c r="PT195" s="43" t="str">
        <f t="shared" si="784"/>
        <v/>
      </c>
      <c r="PU195" s="43" t="str">
        <f t="shared" si="785"/>
        <v/>
      </c>
      <c r="PV195" s="43" t="str">
        <f t="shared" si="786"/>
        <v/>
      </c>
      <c r="PW195" s="43" t="str">
        <f t="shared" si="787"/>
        <v/>
      </c>
      <c r="PX195" s="43" t="str">
        <f t="shared" si="788"/>
        <v/>
      </c>
      <c r="PY195" s="43" t="str">
        <f t="shared" si="789"/>
        <v/>
      </c>
      <c r="PZ195" s="43" t="str">
        <f t="shared" si="790"/>
        <v/>
      </c>
      <c r="QA195" s="43" t="str">
        <f t="shared" si="791"/>
        <v/>
      </c>
      <c r="QB195" s="43" t="str">
        <f t="shared" si="792"/>
        <v/>
      </c>
      <c r="QC195" s="43" t="str">
        <f t="shared" si="793"/>
        <v/>
      </c>
      <c r="QD195" s="43" t="str">
        <f t="shared" si="794"/>
        <v/>
      </c>
      <c r="QE195" s="43" t="str">
        <f t="shared" si="795"/>
        <v/>
      </c>
      <c r="QF195" s="43" t="str">
        <f t="shared" si="796"/>
        <v/>
      </c>
      <c r="QG195" s="43" t="str">
        <f t="shared" si="797"/>
        <v/>
      </c>
      <c r="QH195" s="43" t="str">
        <f t="shared" si="798"/>
        <v/>
      </c>
      <c r="QI195" s="43" t="str">
        <f t="shared" si="799"/>
        <v/>
      </c>
      <c r="QJ195" s="43" t="str">
        <f t="shared" si="800"/>
        <v/>
      </c>
      <c r="QK195" s="43" t="str">
        <f t="shared" si="801"/>
        <v/>
      </c>
      <c r="QL195" s="43" t="str">
        <f t="shared" si="802"/>
        <v/>
      </c>
      <c r="QM195" s="43" t="str">
        <f t="shared" si="803"/>
        <v/>
      </c>
      <c r="QN195" s="43" t="str">
        <f t="shared" si="804"/>
        <v/>
      </c>
      <c r="QO195" s="43" t="str">
        <f t="shared" si="805"/>
        <v/>
      </c>
      <c r="QP195" s="43" t="str">
        <f t="shared" si="806"/>
        <v/>
      </c>
      <c r="QQ195" s="43" t="str">
        <f t="shared" si="807"/>
        <v/>
      </c>
      <c r="QR195" s="43">
        <f t="shared" si="837"/>
        <v>15</v>
      </c>
      <c r="QS195" s="43"/>
      <c r="QT195" s="21" t="str">
        <f t="shared" si="808"/>
        <v/>
      </c>
      <c r="QU195" s="21" t="str">
        <f t="shared" si="809"/>
        <v/>
      </c>
      <c r="QV195" s="21" t="str">
        <f t="shared" si="810"/>
        <v>ADECUADO PARA EDAD GESTACIONAL</v>
      </c>
      <c r="QW195" s="21" t="str">
        <f t="shared" si="811"/>
        <v/>
      </c>
      <c r="QX195" s="21" t="str">
        <f t="shared" si="812"/>
        <v/>
      </c>
      <c r="QY195" s="21" t="str">
        <f t="shared" si="813"/>
        <v/>
      </c>
      <c r="QZ195" s="21" t="str">
        <f t="shared" si="814"/>
        <v/>
      </c>
      <c r="RA195" s="21" t="str">
        <f t="shared" si="815"/>
        <v/>
      </c>
      <c r="RB195" s="21" t="str">
        <f t="shared" si="816"/>
        <v/>
      </c>
      <c r="RC195" s="21" t="str">
        <f t="shared" si="817"/>
        <v/>
      </c>
      <c r="RD195" s="21" t="str">
        <f t="shared" si="818"/>
        <v/>
      </c>
      <c r="RE195" s="21" t="str">
        <f t="shared" si="819"/>
        <v/>
      </c>
      <c r="RF195" s="21" t="str">
        <f t="shared" si="820"/>
        <v/>
      </c>
      <c r="RG195" s="21" t="str">
        <f t="shared" si="821"/>
        <v/>
      </c>
      <c r="RH195" s="21" t="str">
        <f t="shared" si="822"/>
        <v/>
      </c>
      <c r="RI195" s="21" t="str">
        <f t="shared" si="823"/>
        <v/>
      </c>
      <c r="RJ195" s="21" t="str">
        <f t="shared" si="824"/>
        <v/>
      </c>
      <c r="RK195" s="21" t="str">
        <f t="shared" si="825"/>
        <v/>
      </c>
      <c r="RL195" s="21" t="str">
        <f t="shared" si="826"/>
        <v/>
      </c>
      <c r="RM195" s="21" t="str">
        <f t="shared" si="827"/>
        <v/>
      </c>
      <c r="RN195" s="21" t="str">
        <f t="shared" si="828"/>
        <v/>
      </c>
      <c r="RO195" s="21" t="str">
        <f t="shared" si="829"/>
        <v/>
      </c>
      <c r="RP195" s="21" t="str">
        <f t="shared" si="830"/>
        <v/>
      </c>
      <c r="RQ195" s="21" t="str">
        <f t="shared" si="831"/>
        <v/>
      </c>
      <c r="RR195" s="21" t="str">
        <f t="shared" si="832"/>
        <v/>
      </c>
      <c r="RS195" s="21" t="str">
        <f t="shared" si="833"/>
        <v/>
      </c>
      <c r="RT195" s="21" t="str">
        <f t="shared" si="834"/>
        <v/>
      </c>
      <c r="RU195" s="21" t="str">
        <f t="shared" si="835"/>
        <v/>
      </c>
      <c r="RV195" s="21">
        <f t="shared" si="836"/>
        <v>-1</v>
      </c>
      <c r="RW195" s="284">
        <f>IF(OR(Tabla1[[#This Row],[FUM FORMULA CONFIABLE]]="",Tabla1[[#This Row],[FUM FORMULA CONFIABLE]]="SD"),"",IF(Tabla1[[#This Row],[FUM FORMULA CONFIABLE]]="CORREGIDA",Tabla1[[#This Row],[FUM X ECO 1]],Tabla1[[#This Row],[FUM x AMENORREA]]))</f>
        <v>45032</v>
      </c>
      <c r="RX195" s="21" t="str">
        <f>IF(AND(Tabla1[[#This Row],[FUM X ECO 1]]="",Tabla1[[#This Row],[FUM x AMENORREA]]=""),"",IF(AND(Tabla1[[#This Row],[FUM X ECO 1]]="",Tabla1[[#This Row],[FUM x AMENORREA]]&lt;&gt;""),"X",SUM(Tabla1[[#This Row],[FUM X ECO 1]]-Tabla1[[#This Row],[FUM x AMENORREA]])))</f>
        <v>X</v>
      </c>
      <c r="RY195" s="21" t="str">
        <f t="shared" si="838"/>
        <v>x</v>
      </c>
    </row>
    <row r="196" spans="1:493" ht="45" customHeight="1" x14ac:dyDescent="0.25">
      <c r="A196" s="109"/>
      <c r="B196" s="43"/>
      <c r="C196" s="43" t="s">
        <v>845</v>
      </c>
      <c r="D196" s="124"/>
      <c r="E196" s="43" t="s">
        <v>1540</v>
      </c>
      <c r="F196" s="43" t="s">
        <v>943</v>
      </c>
      <c r="G196" s="43" t="s">
        <v>1541</v>
      </c>
      <c r="H196" s="43" t="s">
        <v>1542</v>
      </c>
      <c r="I196" s="109" t="s">
        <v>851</v>
      </c>
      <c r="J196" s="289" t="s">
        <v>1539</v>
      </c>
      <c r="K196" s="43" t="s">
        <v>852</v>
      </c>
      <c r="L196" s="175" t="s">
        <v>1509</v>
      </c>
      <c r="M196" s="22">
        <v>37989</v>
      </c>
      <c r="N196" s="213">
        <f t="shared" ca="1" si="839"/>
        <v>19.846575342465755</v>
      </c>
      <c r="O196" s="22">
        <v>45090</v>
      </c>
      <c r="P196" s="214" t="str">
        <f t="shared" si="673"/>
        <v>SI</v>
      </c>
      <c r="Q196" s="26" t="s">
        <v>855</v>
      </c>
      <c r="R196" s="22">
        <v>45090</v>
      </c>
      <c r="S196" s="21" t="s">
        <v>856</v>
      </c>
      <c r="T196" s="24" t="s">
        <v>690</v>
      </c>
      <c r="U196" s="21" t="s">
        <v>857</v>
      </c>
      <c r="V196" s="21" t="s">
        <v>858</v>
      </c>
      <c r="W196" s="21" t="s">
        <v>1543</v>
      </c>
      <c r="X196" s="21"/>
      <c r="Y196" s="21"/>
      <c r="Z196" s="21">
        <v>3225143875</v>
      </c>
      <c r="AA196" s="21" t="s">
        <v>860</v>
      </c>
      <c r="AB196" s="27" t="s">
        <v>861</v>
      </c>
      <c r="AC196" s="26" t="s">
        <v>888</v>
      </c>
      <c r="AD196" s="38" t="s">
        <v>1546</v>
      </c>
      <c r="AE196" s="26" t="s">
        <v>854</v>
      </c>
      <c r="AF196" s="26" t="s">
        <v>854</v>
      </c>
      <c r="AG196" s="23" t="s">
        <v>864</v>
      </c>
      <c r="AH196" s="23" t="s">
        <v>864</v>
      </c>
      <c r="AI196" s="24" t="s">
        <v>863</v>
      </c>
      <c r="AJ196" s="23" t="s">
        <v>864</v>
      </c>
      <c r="AK196" s="220" t="str">
        <f>IF(AND(AD196="",AE196="",AF196="",AG196="",AH196="",AI196="",AJ196=""),"",IF(OR(Tabla1[[#This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EVALUACIÓN",IF(AND(O196="",R196=""),"",IF(AND(OR(O196&gt;0,R196&gt;0),NG196&gt;=0,NG196&lt;2),"SIN RIESGO",IF(AND(OR(O196&gt;0,R196&gt;0),NG196&gt;=2),"CON RIESGO","ASD")))))</f>
        <v>SIN RIESGO</v>
      </c>
      <c r="AL196" s="23" t="s">
        <v>864</v>
      </c>
      <c r="AM196" s="26" t="s">
        <v>864</v>
      </c>
      <c r="AN196" s="26" t="s">
        <v>864</v>
      </c>
      <c r="AO196" s="26" t="s">
        <v>864</v>
      </c>
      <c r="AP196" s="26" t="s">
        <v>864</v>
      </c>
      <c r="AQ196" s="26" t="s">
        <v>864</v>
      </c>
      <c r="AR196" s="26" t="s">
        <v>864</v>
      </c>
      <c r="AS196" s="21">
        <v>0</v>
      </c>
      <c r="AT196" s="21">
        <v>0</v>
      </c>
      <c r="AU196" s="21">
        <v>0</v>
      </c>
      <c r="AV196" s="26" t="s">
        <v>864</v>
      </c>
      <c r="AW196" s="21">
        <v>0</v>
      </c>
      <c r="AX196" s="26" t="s">
        <v>864</v>
      </c>
      <c r="AY196" s="26" t="s">
        <v>864</v>
      </c>
      <c r="AZ196" s="26" t="s">
        <v>864</v>
      </c>
      <c r="BA196" s="26" t="s">
        <v>864</v>
      </c>
      <c r="BB196" s="26" t="s">
        <v>864</v>
      </c>
      <c r="BC196" s="26" t="s">
        <v>864</v>
      </c>
      <c r="BD196" s="26" t="s">
        <v>864</v>
      </c>
      <c r="BE196" s="26" t="s">
        <v>864</v>
      </c>
      <c r="BF196" s="26" t="s">
        <v>864</v>
      </c>
      <c r="BG196" s="26" t="s">
        <v>864</v>
      </c>
      <c r="BH196" s="26" t="s">
        <v>864</v>
      </c>
      <c r="BI196" s="26" t="s">
        <v>864</v>
      </c>
      <c r="BJ196" s="26" t="s">
        <v>864</v>
      </c>
      <c r="BK196" s="26" t="s">
        <v>864</v>
      </c>
      <c r="BL196" s="26" t="s">
        <v>864</v>
      </c>
      <c r="BM196" s="26" t="s">
        <v>864</v>
      </c>
      <c r="BN196" s="22"/>
      <c r="BO196" s="22">
        <v>44893</v>
      </c>
      <c r="BP196" s="21" t="s">
        <v>1380</v>
      </c>
      <c r="BQ196" s="222">
        <f t="shared" si="840"/>
        <v>0</v>
      </c>
      <c r="BR196" s="223">
        <f t="shared" si="841"/>
        <v>44944</v>
      </c>
      <c r="BS196" s="224">
        <f t="shared" si="842"/>
        <v>20.857142857142858</v>
      </c>
      <c r="BT196" s="216" t="str">
        <f t="shared" si="843"/>
        <v>II TRIM</v>
      </c>
      <c r="BU196" s="214">
        <f t="shared" ca="1" si="844"/>
        <v>41.285714285714285</v>
      </c>
      <c r="BV196" s="25" t="s">
        <v>1478</v>
      </c>
      <c r="BW196" s="22">
        <v>44944</v>
      </c>
      <c r="BX196" s="28">
        <v>6</v>
      </c>
      <c r="BY196" s="28"/>
      <c r="BZ196" s="22"/>
      <c r="CA196" s="21"/>
      <c r="CB196" s="26"/>
      <c r="CC196" s="26"/>
      <c r="CD196" s="26"/>
      <c r="CE196" s="26"/>
      <c r="CF196" s="22" t="s">
        <v>1517</v>
      </c>
      <c r="CG196" s="21">
        <v>1.54</v>
      </c>
      <c r="CH196" s="21">
        <v>58.6</v>
      </c>
      <c r="CI196" s="214">
        <f t="shared" si="845"/>
        <v>24.709057176589646</v>
      </c>
      <c r="CJ196" s="225" t="e">
        <f>IF(AND(CI196&lt;10,CH196="SD"),"SIN DATO PESO PREGESTACION O I TRIM",IF(AND(OR(R196&gt;0,O196&gt;0),CI196="X"),"INGRESAR DATO DE PESO",IF(CI196="SD","INGRESAR DATO DE TALLA Y PESO",IF(AND(OR(Tabla1[[#This Row],[MOMENTO EN QUE SE REALIZA EL PESO AL INGRESO A CPN]]="PREGESTACIÓN",NZ196="Menor"),CI196&lt;18.5),"BAJO PESO",IF(AND(OR(Tabla1[[#This Row],[MOMENTO EN QUE SE REALIZA EL PESO AL INGRESO A CPN]]="PREGESTACIÓN",NZ196="Menor"),CI196&lt;25),"NORMAL",IF(AND(OR(Tabla1[[#This Row],[MOMENTO EN QUE SE REALIZA EL PESO AL INGRESO A CPN]]="PREGESTACIÓN",NZ196="Menor"),CI196&lt;30),"SOBREPESO",IF(AND(OR(Tabla1[[#This Row],[MOMENTO EN QUE SE REALIZA EL PESO AL INGRESO A CPN]]="PREGESTACIÓN",NZ196="Menor"),CI196&gt;=30,CI196&lt;50),"OBESIDAD",IF(AND(BS196&gt;0,Tabla1[[#This Row],[MOMENTO EN QUE SE REALIZA EL PESO AL INGRESO A CPN]]="GESTACIÓN"),HLOOKUP(NZ196,$OA$2:PH196,NY196),""))))))))</f>
        <v>#REF!</v>
      </c>
      <c r="CK196" s="212">
        <f t="shared" si="846"/>
        <v>45121</v>
      </c>
      <c r="CL196" s="21">
        <v>61.2</v>
      </c>
      <c r="CM196" s="214">
        <f t="shared" si="847"/>
        <v>25.805363467701131</v>
      </c>
      <c r="CN196" s="216">
        <f t="shared" si="848"/>
        <v>25</v>
      </c>
      <c r="CO196" s="216" t="e">
        <f>IF(PI196="","",IF(PI196&gt;0,HLOOKUP(PI196,$PJ$2:QQ196,NY196),""))</f>
        <v>#REF!</v>
      </c>
      <c r="CP196" s="21">
        <v>28</v>
      </c>
      <c r="CQ196" s="216" t="e">
        <f>IF(QR196="Menor","NO APLICA-MENOR 13 SEM",IF(AND(CC196="SI",CN196&gt;23),"NO APLICA- GEMELAR",IF(QR196="","",IF(QR196&gt;0,HLOOKUP(QR196,$QS$2:RU196,NY196),""))))</f>
        <v>#REF!</v>
      </c>
      <c r="CR196" s="21"/>
      <c r="CS196" s="21"/>
      <c r="CT196" s="217" t="str">
        <f>IF(R196="","",IF(AND(BS196&gt;1,BS196&lt;12,Tabla1[[#This Row],[T.A. SISTOLICA - ANTES DE SEMANA 12]]="",Tabla1[[#This Row],[T.A. DIASTOLICA - ANTES DE SEMANA 12]]=""),"REGISTRE DATO TA ANTES SEMANA 12",IF(AND(BS196&gt;11,BS196&lt;43,Tabla1[[#This Row],[T.A. SISTOLICA - ANTES DE SEMANA 12]]="",Tabla1[[#This Row],[T.A. DIASTOLICA - ANTES DE SEMANA 12]]=""),"NO APLICA REGISTRO TA-INGRESO TARDIO",IF(AND(OR(O196&gt;0,R196&gt;0),OR(CR196&gt;=140,CS196&gt;=90)),"DEFINIR ESTADIO HTA",IF(AND(OR(O196&gt;0,R196&gt;0),AND(CR196&gt;120,CR196&lt;=139)),"PRE HTA SEGUIMIENTO",IF(AND(OR(O196&gt;0,R196&gt;0),AND(CS196&gt;80,CS196&lt;=89)),"PRE HTA SEGUIMIENTO",IF(AND(OR(O196&gt;0,R196&gt;0),AND(CR196&gt;=80,CR196&lt;=120)),"APARENTEMENTE NORMAL",IF(AND(OR(O196&gt;0,R196&gt;0),AND(CS196&gt;=50,CS196&lt;=80)),"APARENTEMENTE NORMAL",IF(AND(OR(O196&gt;0,R196&gt;0),AND(CR196&gt;1,CR196&lt;=70),AND(CS196&gt;1,CS196&lt;=40)),"HIPOTENSIÓN","")))))))))</f>
        <v>NO APLICA REGISTRO TA-INGRESO TARDIO</v>
      </c>
      <c r="CU196" s="21">
        <v>90</v>
      </c>
      <c r="CV196" s="21">
        <v>70</v>
      </c>
      <c r="CW196" s="217" t="str">
        <f ca="1">IF(R196="","",IF(AND(CN196&gt;19,CN196&lt;27,Tabla1[[#This Row],[T.A. SISTOLICA (Entre semana 20 y 26)]]="",Tabla1[[#This Row],[T.A. DIATOLICA (Entre semana 20 y 26)]]=""),"ACUDE A CONTROL SEM 20 A 26 REGISTRE TA AHORA",IF(AND(BS196&gt;1,BS196&lt;27,BU196&gt;19,Tabla1[[#This Row],[T.A. SISTOLICA (Entre semana 20 y 26)]]="",Tabla1[[#This Row],[T.A. DIATOLICA (Entre semana 20 y 26)]]=""),"COMPLETE REGISTRO TA CONTROL SEM 20 A26 ",IF(AND(BS196&gt;26,BS196&lt;43,Tabla1[[#This Row],[T.A. SISTOLICA (Entre semana 20 y 26)]]="",Tabla1[[#This Row],[T.A. DIATOLICA (Entre semana 20 y 26)]]=""),"NO APLICA REGISTRO TA-INGRESO TARDIO",IF(AND(OR(O196&gt;0,R196&gt;0),OR(CU196&gt;=140,CV196&gt;=90)),"ALTO RIESGO PREECLAMPSIA,DEFINIR ESTADIO HTA",IF(AND(OR(O196&gt;0,R196&gt;0),AND(CU196&gt;120,CU196&lt;=139)),"PRE HTA SEGUIMIENTO,RIESGO HIPERTENSION INDUCIDA POR EL EMBARAZO",IF(AND(OR(O196&gt;0,R196&gt;0),AND(CV196&gt;80,CV196&lt;=89)),"PRE HTA SEGUIMIENTO, RIESGO HIPERTENSION INDUCIDA POR EL EMBARAZO",IF(AND(OR(O196&lt;&gt;"",R196&lt;&gt;""),CS196&lt;&gt;"",CV196&lt;&gt;"",CS196&lt;=CV196),"VIGILAR CIFRAS PRESION ARTERIAL",IF(AND(OR(O196&gt;0,R196&gt;0),AND(CU196&gt;120,CU196&lt;=139)),"PRE HTA SEGUIMIENTO",IF(AND(OR(O196&gt;0,R196&gt;0),AND(CU196&gt;1,CU196&lt;=70),AND(CV196&gt;1,CV196&lt;=40)),"HIPOTENSIÓN",IF(AND(OR(O196&lt;&gt;"",R196&lt;&gt;""),CS196&lt;&gt;"",CV196&lt;&gt;"",CS196&gt;CV196),"APARENTEMENTE NORMAL",IF(AND(OR(O196&gt;0,R196&gt;0),AND(CU196&gt;=80,CU196&lt;=120)),"APARENTEMENTE NORMAL",IF(AND(OR(O196&gt;0,R196&gt;0),AND(CV196&gt;=50,CV196&lt;=80)),"APARENTEMENTE NORMAL","")))))))))))))</f>
        <v>APARENTEMENTE NORMAL</v>
      </c>
      <c r="CX196" s="21">
        <v>90</v>
      </c>
      <c r="CY196" s="21">
        <v>60</v>
      </c>
      <c r="CZ196" s="216" t="str">
        <f t="shared" si="727"/>
        <v>APARENTEMENTE NORMAL</v>
      </c>
      <c r="DA196" s="21">
        <v>90</v>
      </c>
      <c r="DB196" s="21">
        <v>60</v>
      </c>
      <c r="DC196" s="217" t="str">
        <f t="shared" si="849"/>
        <v>APARENTEMENTE NORMAL</v>
      </c>
      <c r="DD196" s="22">
        <v>45090</v>
      </c>
      <c r="DE196" s="22">
        <v>45090</v>
      </c>
      <c r="DF196" s="22">
        <v>45121</v>
      </c>
      <c r="DG196" s="22"/>
      <c r="DH196" s="22"/>
      <c r="DI196" s="22"/>
      <c r="DJ196" s="22"/>
      <c r="DK196" s="22"/>
      <c r="DL196" s="22"/>
      <c r="DM196" s="22"/>
      <c r="DN196" s="22"/>
      <c r="DO196" s="22"/>
      <c r="DP196" s="22"/>
      <c r="DQ196" s="22"/>
      <c r="DR196" s="28"/>
      <c r="DS196" s="22"/>
      <c r="DT196" s="22"/>
      <c r="DU196" s="216" t="str">
        <f t="shared" ca="1" si="674"/>
        <v>CONCERTAR PLAN DE PARTO INMEDIATO</v>
      </c>
      <c r="DV196" s="226" t="str">
        <f t="shared" si="675"/>
        <v>ACTIVA INGRESO A CPN</v>
      </c>
      <c r="DW19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6" s="216" t="str">
        <f t="shared" si="850"/>
        <v>DIA DE CONTROL</v>
      </c>
      <c r="DY196" s="212">
        <f>IF(R196="","",IF(R196&gt;0,MAX(Tabla1[[#This Row],[FECHA C2]:[FECHA C13]],Tabla1[[#This Row],[FECHA CONSULTA PRIMERA VEZ PROGRAMA CPN ]])))</f>
        <v>45121</v>
      </c>
      <c r="DZ196" s="216">
        <f t="shared" si="851"/>
        <v>25</v>
      </c>
      <c r="EA196" s="222">
        <f>IF(R196&gt;0,SUM(COUNTA(DF196:DQ196)+COUNTA(Tabla1[[#This Row],[FECHA CONSULTA PRIMERA VEZ PROGRAMA CPN ]])),"")</f>
        <v>2</v>
      </c>
      <c r="EB196" s="222" t="str">
        <f t="shared" si="852"/>
        <v>NO</v>
      </c>
      <c r="EC196" s="214">
        <f t="shared" si="853"/>
        <v>6</v>
      </c>
      <c r="ED196" s="227">
        <f t="shared" si="854"/>
        <v>0.33333333333333331</v>
      </c>
      <c r="EE196" s="22">
        <v>45090</v>
      </c>
      <c r="EF196" s="22"/>
      <c r="EG196" s="22">
        <v>45090</v>
      </c>
      <c r="EH196" s="22"/>
      <c r="EI196" s="22">
        <v>45090</v>
      </c>
      <c r="EJ196" s="22"/>
      <c r="EK196" s="22"/>
      <c r="EL196" s="21"/>
      <c r="EM196" s="21">
        <v>15</v>
      </c>
      <c r="EN196" s="22">
        <v>44946</v>
      </c>
      <c r="EO196" s="222">
        <f t="shared" si="855"/>
        <v>0.2857142857142857</v>
      </c>
      <c r="EP196" s="214" t="str">
        <f t="shared" si="856"/>
        <v>NO DAR SULFATO FERROSO</v>
      </c>
      <c r="EQ196" s="216" t="str">
        <f t="shared" si="857"/>
        <v>I TRIM</v>
      </c>
      <c r="ER196" s="24"/>
      <c r="ES196" s="22"/>
      <c r="ET196" s="29" t="str">
        <f t="shared" ca="1" si="676"/>
        <v>TOMA DE HEMOGLOBINA TARDÍA</v>
      </c>
      <c r="EU196" s="25" t="str">
        <f t="shared" si="858"/>
        <v/>
      </c>
      <c r="EV196" s="24" t="s">
        <v>1510</v>
      </c>
      <c r="EW196" s="32">
        <v>44947</v>
      </c>
      <c r="EX196" s="22"/>
      <c r="EY196" s="29">
        <f t="shared" si="691"/>
        <v>0.42857142857142855</v>
      </c>
      <c r="EZ196" s="25" t="str">
        <f t="shared" si="692"/>
        <v>SIN RIESGO DE ISOINMUNIZACIÓN</v>
      </c>
      <c r="FA196" s="21">
        <v>79</v>
      </c>
      <c r="FB196" s="22">
        <v>44947</v>
      </c>
      <c r="FC196" s="29">
        <f t="shared" si="859"/>
        <v>0.42857142857142855</v>
      </c>
      <c r="FD196" s="29">
        <v>73</v>
      </c>
      <c r="FE196" s="29">
        <v>108</v>
      </c>
      <c r="FF196" s="29">
        <v>100</v>
      </c>
      <c r="FG196" s="21" t="str">
        <f t="shared" ca="1" si="860"/>
        <v>NORMAL</v>
      </c>
      <c r="FH196" s="31">
        <v>45121</v>
      </c>
      <c r="FI196" s="29">
        <f t="shared" si="861"/>
        <v>25.285714285714285</v>
      </c>
      <c r="FJ196" s="22" t="s">
        <v>867</v>
      </c>
      <c r="FK196" s="22">
        <v>44947</v>
      </c>
      <c r="FL196" s="29">
        <f t="shared" ca="1" si="862"/>
        <v>0.42857142857142855</v>
      </c>
      <c r="FM196" s="22"/>
      <c r="FN196" s="32"/>
      <c r="FO196" s="29" t="str">
        <f t="shared" ca="1" si="677"/>
        <v>PIERDE TOMA DE TAMIZAJE</v>
      </c>
      <c r="FP196" s="22"/>
      <c r="FQ196" s="32"/>
      <c r="FR196" s="29" t="str">
        <f t="shared" ca="1" si="678"/>
        <v>TOMA INMEDIATA DE TAMIZAJE</v>
      </c>
      <c r="FS196" s="22"/>
      <c r="FT196" s="32"/>
      <c r="FU196" s="29" t="str">
        <f>IF(AND(FJ196="",FM196="",FP196="",FS196=""),"",IF(OR(OR(Tabla1[[#This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6" s="28"/>
      <c r="FW196" s="22"/>
      <c r="FX196" s="29" t="str">
        <f t="shared" si="863"/>
        <v>TOMAR EXAMEN</v>
      </c>
      <c r="FY196" s="22" t="s">
        <v>868</v>
      </c>
      <c r="FZ196" s="22">
        <v>44947</v>
      </c>
      <c r="GA196" s="29">
        <f t="shared" ca="1" si="737"/>
        <v>0.42857142857142855</v>
      </c>
      <c r="GB196" s="22"/>
      <c r="GC196" s="22"/>
      <c r="GD196" s="29" t="str">
        <f t="shared" ca="1" si="730"/>
        <v>PIERDE TOMA DE TAMIZAJE</v>
      </c>
      <c r="GE196" s="22"/>
      <c r="GF196" s="22"/>
      <c r="GG196" s="29" t="str">
        <f t="shared" ca="1" si="680"/>
        <v>TOMA INMEDIATA DE TAMIZAJE</v>
      </c>
      <c r="GH196" s="22"/>
      <c r="GI196" s="29"/>
      <c r="GJ196" s="22"/>
      <c r="GK196" s="22"/>
      <c r="GL196" s="22"/>
      <c r="GM196" s="22"/>
      <c r="GN196" s="28" t="s">
        <v>869</v>
      </c>
      <c r="GO196" s="22">
        <v>44947</v>
      </c>
      <c r="GP196" s="29">
        <f t="shared" si="864"/>
        <v>0.42857142857142855</v>
      </c>
      <c r="GQ196" s="28" t="s">
        <v>869</v>
      </c>
      <c r="GR196" s="28" t="s">
        <v>869</v>
      </c>
      <c r="GS196" s="22" t="str">
        <f t="shared" si="726"/>
        <v>CONTROL Igm</v>
      </c>
      <c r="GT196" s="22">
        <v>44947</v>
      </c>
      <c r="GU196" s="29">
        <f t="shared" si="865"/>
        <v>7.7142857142857144</v>
      </c>
      <c r="GV196" s="21" t="str">
        <f t="shared" si="866"/>
        <v>I TRIM</v>
      </c>
      <c r="GW196" s="28"/>
      <c r="GX196" s="30"/>
      <c r="GY196" s="21"/>
      <c r="GZ196" s="21"/>
      <c r="HA196" s="21"/>
      <c r="HB196" s="21"/>
      <c r="HC196" s="21"/>
      <c r="HD196" s="21"/>
      <c r="HE196" s="21"/>
      <c r="HF196" s="22"/>
      <c r="HG196" s="22" t="str">
        <f>IF(OR(O196&gt;0,R196&gt;0),CONCATENATE(IF(Tabla1[[#This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6" s="22" t="e">
        <f t="shared" si="867"/>
        <v>#REF!</v>
      </c>
      <c r="HI196" s="22" t="e">
        <f t="shared" si="868"/>
        <v>#REF!</v>
      </c>
      <c r="HJ196" s="21"/>
      <c r="HK196" s="21" t="str">
        <f t="shared" si="869"/>
        <v>SIN ANTECEDENTES DE RIESGO</v>
      </c>
      <c r="HL196" s="24" t="str">
        <f t="shared" si="870"/>
        <v>APARENTEMENTE NORMAL</v>
      </c>
      <c r="HM196" s="21" t="str">
        <f t="shared" si="871"/>
        <v>DIA DE CONTROL</v>
      </c>
      <c r="HN196" s="30" t="str">
        <f t="shared" si="681"/>
        <v>ACTIVA INGRESO A CPN</v>
      </c>
      <c r="HO196" s="21"/>
      <c r="HP196" s="21"/>
      <c r="HQ196" s="349"/>
      <c r="HR196" s="21"/>
      <c r="HS196" s="22"/>
      <c r="HT196" s="22"/>
      <c r="HU196" s="22"/>
      <c r="HV196" s="22"/>
      <c r="HW196" s="22"/>
      <c r="HX196" s="22"/>
      <c r="HY196" s="22"/>
      <c r="HZ196" s="28" t="str">
        <f t="shared" si="872"/>
        <v>PENDIENTE CONSULTA</v>
      </c>
      <c r="IA196" s="26"/>
      <c r="IB196" s="26"/>
      <c r="IC196" s="111"/>
      <c r="ID196" s="22"/>
      <c r="IE196" s="22" t="str">
        <f t="shared" ca="1" si="873"/>
        <v>INASISTENTE</v>
      </c>
      <c r="IF196" s="22"/>
      <c r="IG196" s="22">
        <f t="shared" si="874"/>
        <v>45224</v>
      </c>
      <c r="IH196" s="29">
        <f t="shared" ca="1" si="875"/>
        <v>-9</v>
      </c>
      <c r="II196" s="22" t="str">
        <f t="shared" ca="1" si="876"/>
        <v>POSIBLEMENTE NACIO</v>
      </c>
      <c r="IJ196" s="22"/>
      <c r="IK196" s="21"/>
      <c r="IL196" s="21"/>
      <c r="IM196" s="34"/>
      <c r="IN196" s="22"/>
      <c r="IO196" s="21"/>
      <c r="IP196" s="29"/>
      <c r="IQ196" s="35"/>
      <c r="IR196" s="21"/>
      <c r="IS196" s="21"/>
      <c r="IT196" s="21"/>
      <c r="IU196" s="21"/>
      <c r="IV196" s="21"/>
      <c r="IW196" s="21"/>
      <c r="IX196" s="21"/>
      <c r="IY196" s="21"/>
      <c r="IZ196" s="21"/>
      <c r="JA196" s="21"/>
      <c r="JB196" s="30"/>
      <c r="JC196" s="21"/>
      <c r="JD196" s="36"/>
      <c r="JE196" s="21"/>
      <c r="JF196" s="30"/>
      <c r="JG196" s="21"/>
      <c r="JH196" s="21"/>
      <c r="JI196" s="21"/>
      <c r="JJ196" s="30"/>
      <c r="JK196" s="22"/>
      <c r="JL196" s="22"/>
      <c r="JM196" s="21"/>
      <c r="JN196" s="36"/>
      <c r="JO196" s="21"/>
      <c r="JP196" s="22"/>
      <c r="JQ196" s="21"/>
      <c r="JR196" s="21"/>
      <c r="JS196" s="21"/>
      <c r="JT196" s="30"/>
      <c r="JU196" s="22"/>
      <c r="JV196" s="22"/>
      <c r="JW196" s="33"/>
      <c r="JX196" s="28"/>
      <c r="JY196" s="33"/>
      <c r="JZ196" s="28"/>
      <c r="KA196" s="21"/>
      <c r="KB196" s="21"/>
      <c r="KC196" s="21"/>
      <c r="KD196" s="37"/>
      <c r="KE196" s="28"/>
      <c r="KF196" s="28"/>
      <c r="KG196" s="28"/>
      <c r="KH196" s="39"/>
      <c r="KI196" s="39"/>
      <c r="KJ196" s="66"/>
      <c r="KK196" s="39"/>
      <c r="KL196" s="39"/>
      <c r="KM196" s="66"/>
      <c r="KN196" s="39"/>
      <c r="KO196" s="39"/>
      <c r="KP196" s="39"/>
      <c r="KQ196" s="39"/>
      <c r="KR196" s="39"/>
      <c r="KS196" s="39"/>
      <c r="KT196" s="39"/>
      <c r="KU196" s="38"/>
      <c r="KV196" s="38"/>
      <c r="KW196" s="38"/>
      <c r="KX196" s="38"/>
      <c r="KY196" s="38"/>
      <c r="KZ196" s="38"/>
      <c r="LA196" s="38"/>
      <c r="LB196" s="38"/>
      <c r="LC196" s="38"/>
      <c r="LD196" s="38"/>
      <c r="LE196" s="38"/>
      <c r="LF196" s="38"/>
      <c r="LG196" s="38"/>
      <c r="LH196" s="38"/>
      <c r="LI196" s="38"/>
      <c r="LJ196" s="38"/>
      <c r="LK196" s="38"/>
      <c r="LL196" s="38"/>
      <c r="LM196" s="38"/>
      <c r="LN196" s="38"/>
      <c r="LO196" s="38"/>
      <c r="LP196" s="38"/>
      <c r="LQ196" s="38"/>
      <c r="LR196" s="38"/>
      <c r="LS196" s="38"/>
      <c r="LT196" s="38"/>
      <c r="LU196" s="38"/>
      <c r="LV196" s="38"/>
      <c r="LW196" s="38"/>
      <c r="LX196" s="38"/>
      <c r="LY196" s="38"/>
      <c r="LZ196" s="38"/>
      <c r="MA196" s="38"/>
      <c r="MB196" s="38"/>
      <c r="MC196" s="38"/>
      <c r="MD196" s="38"/>
      <c r="ME196" s="38"/>
      <c r="MF196" s="38"/>
      <c r="MG196" s="38"/>
      <c r="MH196" s="43"/>
      <c r="MI196" s="43"/>
      <c r="MJ196" s="43"/>
      <c r="MK196" s="43"/>
      <c r="ML196" s="43"/>
      <c r="MM196" s="43"/>
      <c r="MN196" s="43"/>
      <c r="MO196" s="43"/>
      <c r="MP196" s="43"/>
      <c r="MQ196" s="43"/>
      <c r="MR196" s="43"/>
      <c r="MS196" s="43"/>
      <c r="MT196" s="43"/>
      <c r="MU196" s="43"/>
      <c r="MV196" s="43"/>
      <c r="MW196" s="43"/>
      <c r="MX196" s="43"/>
      <c r="MY196" s="43"/>
      <c r="MZ196" s="43"/>
      <c r="NA196" s="43"/>
      <c r="NB196" s="43"/>
      <c r="NC196" s="43"/>
      <c r="ND196" s="43"/>
      <c r="NE196" s="43"/>
      <c r="NF196" s="43"/>
      <c r="NG196" s="43"/>
      <c r="NH196" s="43"/>
      <c r="NI196" s="43"/>
      <c r="NJ196" s="43"/>
      <c r="NK196" s="43"/>
      <c r="NL196" s="43"/>
      <c r="NM196" s="43"/>
      <c r="NN196" s="43"/>
      <c r="NO196" s="43"/>
      <c r="NP196" s="204"/>
      <c r="NQ196" s="21"/>
      <c r="NR196" s="21"/>
      <c r="NS196" s="205"/>
      <c r="NT196" s="21"/>
      <c r="NU196" s="21"/>
      <c r="NV196" s="21"/>
      <c r="NW196" s="206"/>
      <c r="NX196" s="207"/>
      <c r="NY196" s="43">
        <f>ROW(Tabla1[[#This Row],['# DE TAMIZAJES SIFILIS TOMADOS ]])</f>
        <v>196</v>
      </c>
      <c r="NZ196" s="43">
        <f t="shared" si="738"/>
        <v>20</v>
      </c>
      <c r="OA196" s="43" t="str">
        <f t="shared" si="739"/>
        <v/>
      </c>
      <c r="OB196" s="43" t="str">
        <f t="shared" si="740"/>
        <v/>
      </c>
      <c r="OC196" s="43" t="str">
        <f t="shared" si="741"/>
        <v/>
      </c>
      <c r="OD196" s="43" t="str">
        <f t="shared" si="742"/>
        <v/>
      </c>
      <c r="OE196" s="43" t="str">
        <f t="shared" si="743"/>
        <v/>
      </c>
      <c r="OF196" s="43" t="str">
        <f t="shared" si="744"/>
        <v/>
      </c>
      <c r="OG196" s="43" t="str">
        <f t="shared" si="745"/>
        <v/>
      </c>
      <c r="OH196" s="43" t="str">
        <f t="shared" si="746"/>
        <v/>
      </c>
      <c r="OI196" s="43" t="str">
        <f t="shared" si="747"/>
        <v/>
      </c>
      <c r="OJ196" s="43" t="str">
        <f t="shared" si="748"/>
        <v/>
      </c>
      <c r="OK196" s="43" t="str">
        <f t="shared" si="749"/>
        <v/>
      </c>
      <c r="OL196" s="43" t="str">
        <f t="shared" si="750"/>
        <v>NORMAL</v>
      </c>
      <c r="OM196" s="43" t="str">
        <f t="shared" si="751"/>
        <v/>
      </c>
      <c r="ON196" s="43" t="str">
        <f t="shared" si="752"/>
        <v/>
      </c>
      <c r="OO196" s="43" t="str">
        <f t="shared" si="753"/>
        <v/>
      </c>
      <c r="OP196" s="43" t="str">
        <f t="shared" si="754"/>
        <v/>
      </c>
      <c r="OQ196" s="43" t="str">
        <f t="shared" si="755"/>
        <v/>
      </c>
      <c r="OR196" s="43" t="str">
        <f t="shared" si="756"/>
        <v/>
      </c>
      <c r="OS196" s="43" t="str">
        <f t="shared" si="757"/>
        <v/>
      </c>
      <c r="OT196" s="43" t="str">
        <f t="shared" si="758"/>
        <v/>
      </c>
      <c r="OU196" s="43" t="str">
        <f t="shared" si="759"/>
        <v/>
      </c>
      <c r="OV196" s="110" t="str">
        <f t="shared" si="760"/>
        <v/>
      </c>
      <c r="OW196" s="43" t="str">
        <f t="shared" si="761"/>
        <v/>
      </c>
      <c r="OX196" s="43" t="str">
        <f t="shared" si="762"/>
        <v/>
      </c>
      <c r="OY196" s="43" t="str">
        <f t="shared" si="763"/>
        <v/>
      </c>
      <c r="OZ196" s="43" t="str">
        <f t="shared" si="764"/>
        <v/>
      </c>
      <c r="PA196" s="43" t="str">
        <f t="shared" si="765"/>
        <v/>
      </c>
      <c r="PB196" s="43" t="str">
        <f t="shared" si="766"/>
        <v/>
      </c>
      <c r="PC196" s="43" t="str">
        <f t="shared" si="767"/>
        <v/>
      </c>
      <c r="PD196" s="43" t="str">
        <f t="shared" si="768"/>
        <v/>
      </c>
      <c r="PE196" s="43" t="str">
        <f t="shared" si="769"/>
        <v/>
      </c>
      <c r="PF196" s="43" t="str">
        <f t="shared" si="770"/>
        <v/>
      </c>
      <c r="PG196" s="43" t="str">
        <f t="shared" si="771"/>
        <v/>
      </c>
      <c r="PH196" s="43" t="str">
        <f t="shared" si="772"/>
        <v/>
      </c>
      <c r="PI196" s="43">
        <f t="shared" si="773"/>
        <v>25</v>
      </c>
      <c r="PJ196" s="43" t="str">
        <f t="shared" si="774"/>
        <v/>
      </c>
      <c r="PK196" s="43" t="str">
        <f t="shared" si="775"/>
        <v/>
      </c>
      <c r="PL196" s="43" t="str">
        <f t="shared" si="776"/>
        <v/>
      </c>
      <c r="PM196" s="43" t="str">
        <f t="shared" si="777"/>
        <v/>
      </c>
      <c r="PN196" s="43" t="str">
        <f t="shared" si="778"/>
        <v/>
      </c>
      <c r="PO196" s="43" t="str">
        <f t="shared" si="779"/>
        <v/>
      </c>
      <c r="PP196" s="43" t="str">
        <f t="shared" si="780"/>
        <v/>
      </c>
      <c r="PQ196" s="43" t="str">
        <f t="shared" si="781"/>
        <v/>
      </c>
      <c r="PR196" s="43" t="str">
        <f t="shared" si="782"/>
        <v/>
      </c>
      <c r="PS196" s="43" t="str">
        <f t="shared" si="783"/>
        <v/>
      </c>
      <c r="PT196" s="43" t="str">
        <f t="shared" si="784"/>
        <v/>
      </c>
      <c r="PU196" s="43" t="str">
        <f t="shared" si="785"/>
        <v/>
      </c>
      <c r="PV196" s="43" t="str">
        <f t="shared" si="786"/>
        <v/>
      </c>
      <c r="PW196" s="43" t="str">
        <f t="shared" si="787"/>
        <v/>
      </c>
      <c r="PX196" s="43" t="str">
        <f t="shared" si="788"/>
        <v/>
      </c>
      <c r="PY196" s="43" t="str">
        <f t="shared" si="789"/>
        <v/>
      </c>
      <c r="PZ196" s="43" t="str">
        <f t="shared" si="790"/>
        <v>NORMAL</v>
      </c>
      <c r="QA196" s="43" t="str">
        <f t="shared" si="791"/>
        <v/>
      </c>
      <c r="QB196" s="43" t="str">
        <f t="shared" si="792"/>
        <v/>
      </c>
      <c r="QC196" s="43" t="str">
        <f t="shared" si="793"/>
        <v/>
      </c>
      <c r="QD196" s="43" t="str">
        <f t="shared" si="794"/>
        <v/>
      </c>
      <c r="QE196" s="43" t="str">
        <f t="shared" si="795"/>
        <v/>
      </c>
      <c r="QF196" s="43" t="str">
        <f t="shared" si="796"/>
        <v/>
      </c>
      <c r="QG196" s="43" t="str">
        <f t="shared" si="797"/>
        <v/>
      </c>
      <c r="QH196" s="43" t="str">
        <f t="shared" si="798"/>
        <v/>
      </c>
      <c r="QI196" s="43" t="str">
        <f t="shared" si="799"/>
        <v/>
      </c>
      <c r="QJ196" s="43" t="str">
        <f t="shared" si="800"/>
        <v/>
      </c>
      <c r="QK196" s="43" t="str">
        <f t="shared" si="801"/>
        <v/>
      </c>
      <c r="QL196" s="43" t="str">
        <f t="shared" si="802"/>
        <v/>
      </c>
      <c r="QM196" s="43" t="str">
        <f t="shared" si="803"/>
        <v/>
      </c>
      <c r="QN196" s="43" t="str">
        <f t="shared" si="804"/>
        <v/>
      </c>
      <c r="QO196" s="43" t="str">
        <f t="shared" si="805"/>
        <v/>
      </c>
      <c r="QP196" s="43" t="str">
        <f t="shared" si="806"/>
        <v/>
      </c>
      <c r="QQ196" s="43" t="str">
        <f t="shared" si="807"/>
        <v/>
      </c>
      <c r="QR196" s="43">
        <f t="shared" si="837"/>
        <v>25</v>
      </c>
      <c r="QS196" s="43"/>
      <c r="QT196" s="21" t="str">
        <f t="shared" si="808"/>
        <v/>
      </c>
      <c r="QU196" s="21" t="str">
        <f t="shared" si="809"/>
        <v/>
      </c>
      <c r="QV196" s="21" t="str">
        <f t="shared" si="810"/>
        <v/>
      </c>
      <c r="QW196" s="21" t="str">
        <f t="shared" si="811"/>
        <v/>
      </c>
      <c r="QX196" s="21" t="str">
        <f t="shared" si="812"/>
        <v/>
      </c>
      <c r="QY196" s="21" t="str">
        <f t="shared" si="813"/>
        <v/>
      </c>
      <c r="QZ196" s="21" t="str">
        <f t="shared" si="814"/>
        <v/>
      </c>
      <c r="RA196" s="21" t="str">
        <f t="shared" si="815"/>
        <v/>
      </c>
      <c r="RB196" s="21" t="str">
        <f t="shared" si="816"/>
        <v/>
      </c>
      <c r="RC196" s="21" t="str">
        <f t="shared" si="817"/>
        <v/>
      </c>
      <c r="RD196" s="21" t="str">
        <f t="shared" si="818"/>
        <v/>
      </c>
      <c r="RE196" s="21" t="str">
        <f t="shared" si="819"/>
        <v/>
      </c>
      <c r="RF196" s="21" t="str">
        <f t="shared" si="820"/>
        <v>ALTO PARA EDAD GESTACIONAL</v>
      </c>
      <c r="RG196" s="21" t="str">
        <f t="shared" si="821"/>
        <v/>
      </c>
      <c r="RH196" s="21" t="str">
        <f t="shared" si="822"/>
        <v/>
      </c>
      <c r="RI196" s="21" t="str">
        <f t="shared" si="823"/>
        <v/>
      </c>
      <c r="RJ196" s="21" t="str">
        <f t="shared" si="824"/>
        <v/>
      </c>
      <c r="RK196" s="21" t="str">
        <f t="shared" si="825"/>
        <v/>
      </c>
      <c r="RL196" s="21" t="str">
        <f t="shared" si="826"/>
        <v/>
      </c>
      <c r="RM196" s="21" t="str">
        <f t="shared" si="827"/>
        <v/>
      </c>
      <c r="RN196" s="21" t="str">
        <f t="shared" si="828"/>
        <v/>
      </c>
      <c r="RO196" s="21" t="str">
        <f t="shared" si="829"/>
        <v/>
      </c>
      <c r="RP196" s="21" t="str">
        <f t="shared" si="830"/>
        <v/>
      </c>
      <c r="RQ196" s="21" t="str">
        <f t="shared" si="831"/>
        <v/>
      </c>
      <c r="RR196" s="21" t="str">
        <f t="shared" si="832"/>
        <v/>
      </c>
      <c r="RS196" s="21" t="str">
        <f t="shared" si="833"/>
        <v/>
      </c>
      <c r="RT196" s="21" t="str">
        <f t="shared" si="834"/>
        <v/>
      </c>
      <c r="RU196" s="21" t="str">
        <f t="shared" si="835"/>
        <v/>
      </c>
      <c r="RV196" s="21">
        <f t="shared" si="836"/>
        <v>-1</v>
      </c>
      <c r="RW196" s="284">
        <f>IF(OR(Tabla1[[#This Row],[FUM FORMULA CONFIABLE]]="",Tabla1[[#This Row],[FUM FORMULA CONFIABLE]]="SD"),"",IF(Tabla1[[#This Row],[FUM FORMULA CONFIABLE]]="CORREGIDA",Tabla1[[#This Row],[FUM X ECO 1]],Tabla1[[#This Row],[FUM x AMENORREA]]))</f>
        <v>44944</v>
      </c>
      <c r="RX196" s="21">
        <f>IF(AND(Tabla1[[#This Row],[FUM X ECO 1]]="",Tabla1[[#This Row],[FUM x AMENORREA]]=""),"",IF(AND(Tabla1[[#This Row],[FUM X ECO 1]]="",Tabla1[[#This Row],[FUM x AMENORREA]]&lt;&gt;""),"X",SUM(Tabla1[[#This Row],[FUM X ECO 1]]-Tabla1[[#This Row],[FUM x AMENORREA]])))</f>
        <v>51</v>
      </c>
      <c r="RY196" s="21">
        <f t="shared" si="838"/>
        <v>1</v>
      </c>
    </row>
    <row r="197" spans="1:493" ht="45" customHeight="1" x14ac:dyDescent="0.25">
      <c r="A197" s="109"/>
      <c r="B197" s="43"/>
      <c r="C197" s="43" t="s">
        <v>845</v>
      </c>
      <c r="D197" s="124"/>
      <c r="E197" s="43" t="s">
        <v>1144</v>
      </c>
      <c r="F197" s="43" t="s">
        <v>996</v>
      </c>
      <c r="G197" s="43" t="s">
        <v>1192</v>
      </c>
      <c r="H197" s="43"/>
      <c r="I197" s="109" t="s">
        <v>851</v>
      </c>
      <c r="J197" s="288">
        <v>1059604012</v>
      </c>
      <c r="K197" s="43" t="s">
        <v>852</v>
      </c>
      <c r="L197" s="175" t="s">
        <v>1509</v>
      </c>
      <c r="M197" s="22">
        <v>35124</v>
      </c>
      <c r="N197" s="213">
        <f t="shared" ca="1" si="839"/>
        <v>27.695890410958903</v>
      </c>
      <c r="O197" s="22">
        <v>45092</v>
      </c>
      <c r="P197" s="214" t="str">
        <f t="shared" si="673"/>
        <v>SI</v>
      </c>
      <c r="Q197" s="26" t="s">
        <v>855</v>
      </c>
      <c r="R197" s="22">
        <v>45092</v>
      </c>
      <c r="S197" s="21" t="s">
        <v>856</v>
      </c>
      <c r="T197" s="24" t="s">
        <v>690</v>
      </c>
      <c r="U197" s="21" t="s">
        <v>857</v>
      </c>
      <c r="V197" s="21" t="s">
        <v>858</v>
      </c>
      <c r="W197" s="21" t="s">
        <v>999</v>
      </c>
      <c r="X197" s="21"/>
      <c r="Y197" s="21"/>
      <c r="Z197" s="21">
        <v>3167338398</v>
      </c>
      <c r="AA197" s="21" t="s">
        <v>860</v>
      </c>
      <c r="AB197" s="27" t="s">
        <v>861</v>
      </c>
      <c r="AC197" s="26" t="s">
        <v>888</v>
      </c>
      <c r="AD197" s="38" t="s">
        <v>1546</v>
      </c>
      <c r="AE197" s="26" t="s">
        <v>854</v>
      </c>
      <c r="AF197" s="26" t="s">
        <v>854</v>
      </c>
      <c r="AG197" s="23" t="s">
        <v>864</v>
      </c>
      <c r="AH197" s="23" t="s">
        <v>864</v>
      </c>
      <c r="AI197" s="24" t="s">
        <v>863</v>
      </c>
      <c r="AJ197" s="23" t="s">
        <v>864</v>
      </c>
      <c r="AK197" s="220" t="str">
        <f>IF(AND(AD197="",AE197="",AF197="",AG197="",AH197="",AI197="",AJ197=""),"",IF(OR(Tabla1[[#This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EVALUACIÓN",IF(AND(O197="",R197=""),"",IF(AND(OR(O197&gt;0,R197&gt;0),NG197&gt;=0,NG197&lt;2),"SIN RIESGO",IF(AND(OR(O197&gt;0,R197&gt;0),NG197&gt;=2),"CON RIESGO","ASD")))))</f>
        <v>SIN RIESGO</v>
      </c>
      <c r="AL197" s="23" t="s">
        <v>864</v>
      </c>
      <c r="AM197" s="26" t="s">
        <v>864</v>
      </c>
      <c r="AN197" s="26" t="s">
        <v>864</v>
      </c>
      <c r="AO197" s="26" t="s">
        <v>864</v>
      </c>
      <c r="AP197" s="26" t="s">
        <v>864</v>
      </c>
      <c r="AQ197" s="26" t="s">
        <v>864</v>
      </c>
      <c r="AR197" s="26" t="s">
        <v>864</v>
      </c>
      <c r="AS197" s="21">
        <v>1</v>
      </c>
      <c r="AT197" s="21">
        <v>0</v>
      </c>
      <c r="AU197" s="21">
        <v>0</v>
      </c>
      <c r="AV197" s="26" t="s">
        <v>864</v>
      </c>
      <c r="AW197" s="21">
        <v>1</v>
      </c>
      <c r="AX197" s="26" t="s">
        <v>864</v>
      </c>
      <c r="AY197" s="26" t="s">
        <v>864</v>
      </c>
      <c r="AZ197" s="26" t="s">
        <v>864</v>
      </c>
      <c r="BA197" s="26" t="s">
        <v>864</v>
      </c>
      <c r="BB197" s="26" t="s">
        <v>864</v>
      </c>
      <c r="BC197" s="26" t="s">
        <v>864</v>
      </c>
      <c r="BD197" s="26" t="s">
        <v>864</v>
      </c>
      <c r="BE197" s="26" t="s">
        <v>864</v>
      </c>
      <c r="BF197" s="26" t="s">
        <v>864</v>
      </c>
      <c r="BG197" s="26" t="s">
        <v>864</v>
      </c>
      <c r="BH197" s="26" t="s">
        <v>864</v>
      </c>
      <c r="BI197" s="26" t="s">
        <v>864</v>
      </c>
      <c r="BJ197" s="26" t="s">
        <v>864</v>
      </c>
      <c r="BK197" s="26" t="s">
        <v>864</v>
      </c>
      <c r="BL197" s="26" t="s">
        <v>864</v>
      </c>
      <c r="BM197" s="26" t="s">
        <v>864</v>
      </c>
      <c r="BN197" s="22"/>
      <c r="BO197" s="22">
        <v>45001</v>
      </c>
      <c r="BP197" s="21" t="s">
        <v>854</v>
      </c>
      <c r="BQ197" s="222">
        <f t="shared" si="840"/>
        <v>0</v>
      </c>
      <c r="BR197" s="223" t="str">
        <f t="shared" si="841"/>
        <v/>
      </c>
      <c r="BS197" s="224">
        <f t="shared" si="842"/>
        <v>13</v>
      </c>
      <c r="BT197" s="216" t="str">
        <f t="shared" si="843"/>
        <v>II TRIM</v>
      </c>
      <c r="BU197" s="214">
        <f t="shared" ca="1" si="844"/>
        <v>33.142857142857146</v>
      </c>
      <c r="BV197" s="25"/>
      <c r="BW197" s="22"/>
      <c r="BX197" s="28"/>
      <c r="BY197" s="28"/>
      <c r="BZ197" s="22"/>
      <c r="CA197" s="21"/>
      <c r="CB197" s="26"/>
      <c r="CC197" s="26"/>
      <c r="CD197" s="26"/>
      <c r="CE197" s="26"/>
      <c r="CF197" s="22" t="s">
        <v>1517</v>
      </c>
      <c r="CG197" s="21">
        <v>1.5</v>
      </c>
      <c r="CH197" s="21">
        <v>57</v>
      </c>
      <c r="CI197" s="214">
        <f t="shared" si="845"/>
        <v>25.333333333333332</v>
      </c>
      <c r="CJ197" s="225" t="e">
        <f>IF(AND(CI197&lt;10,CH197="SD"),"SIN DATO PESO PREGESTACION O I TRIM",IF(AND(OR(R197&gt;0,O197&gt;0),CI197="X"),"INGRESAR DATO DE PESO",IF(CI197="SD","INGRESAR DATO DE TALLA Y PESO",IF(AND(OR(Tabla1[[#This Row],[MOMENTO EN QUE SE REALIZA EL PESO AL INGRESO A CPN]]="PREGESTACIÓN",NZ197="Menor"),CI197&lt;18.5),"BAJO PESO",IF(AND(OR(Tabla1[[#This Row],[MOMENTO EN QUE SE REALIZA EL PESO AL INGRESO A CPN]]="PREGESTACIÓN",NZ197="Menor"),CI197&lt;25),"NORMAL",IF(AND(OR(Tabla1[[#This Row],[MOMENTO EN QUE SE REALIZA EL PESO AL INGRESO A CPN]]="PREGESTACIÓN",NZ197="Menor"),CI197&lt;30),"SOBREPESO",IF(AND(OR(Tabla1[[#This Row],[MOMENTO EN QUE SE REALIZA EL PESO AL INGRESO A CPN]]="PREGESTACIÓN",NZ197="Menor"),CI197&gt;=30,CI197&lt;50),"OBESIDAD",IF(AND(BS197&gt;0,Tabla1[[#This Row],[MOMENTO EN QUE SE REALIZA EL PESO AL INGRESO A CPN]]="GESTACIÓN"),HLOOKUP(NZ197,$OA$2:PH197,NY197),""))))))))</f>
        <v>#REF!</v>
      </c>
      <c r="CK197" s="212">
        <f t="shared" si="846"/>
        <v>45092</v>
      </c>
      <c r="CL197" s="21">
        <v>57</v>
      </c>
      <c r="CM197" s="214">
        <f t="shared" si="847"/>
        <v>25.333333333333332</v>
      </c>
      <c r="CN197" s="216">
        <f t="shared" si="848"/>
        <v>13</v>
      </c>
      <c r="CO197" s="216" t="e">
        <f>IF(PI197="","",IF(PI197&gt;0,HLOOKUP(PI197,$PJ$2:QQ197,NY197),""))</f>
        <v>#REF!</v>
      </c>
      <c r="CP197" s="21"/>
      <c r="CQ197" s="216" t="e">
        <f>IF(QR197="Menor","NO APLICA-MENOR 13 SEM",IF(AND(CC197="SI",CN197&gt;23),"NO APLICA- GEMELAR",IF(QR197="","",IF(QR197&gt;0,HLOOKUP(QR197,$QS$2:RU197,NY197),""))))</f>
        <v>#REF!</v>
      </c>
      <c r="CR197" s="21"/>
      <c r="CS197" s="21"/>
      <c r="CT197" s="217" t="str">
        <f>IF(R197="","",IF(AND(BS197&gt;1,BS197&lt;12,Tabla1[[#This Row],[T.A. SISTOLICA - ANTES DE SEMANA 12]]="",Tabla1[[#This Row],[T.A. DIASTOLICA - ANTES DE SEMANA 12]]=""),"REGISTRE DATO TA ANTES SEMANA 12",IF(AND(BS197&gt;11,BS197&lt;43,Tabla1[[#This Row],[T.A. SISTOLICA - ANTES DE SEMANA 12]]="",Tabla1[[#This Row],[T.A. DIASTOLICA - ANTES DE SEMANA 12]]=""),"NO APLICA REGISTRO TA-INGRESO TARDIO",IF(AND(OR(O197&gt;0,R197&gt;0),OR(CR197&gt;=140,CS197&gt;=90)),"DEFINIR ESTADIO HTA",IF(AND(OR(O197&gt;0,R197&gt;0),AND(CR197&gt;120,CR197&lt;=139)),"PRE HTA SEGUIMIENTO",IF(AND(OR(O197&gt;0,R197&gt;0),AND(CS197&gt;80,CS197&lt;=89)),"PRE HTA SEGUIMIENTO",IF(AND(OR(O197&gt;0,R197&gt;0),AND(CR197&gt;=80,CR197&lt;=120)),"APARENTEMENTE NORMAL",IF(AND(OR(O197&gt;0,R197&gt;0),AND(CS197&gt;=50,CS197&lt;=80)),"APARENTEMENTE NORMAL",IF(AND(OR(O197&gt;0,R197&gt;0),AND(CR197&gt;1,CR197&lt;=70),AND(CS197&gt;1,CS197&lt;=40)),"HIPOTENSIÓN","")))))))))</f>
        <v>NO APLICA REGISTRO TA-INGRESO TARDIO</v>
      </c>
      <c r="CU197" s="21"/>
      <c r="CV197" s="21"/>
      <c r="CW197" s="217" t="str">
        <f ca="1">IF(R197="","",IF(AND(CN197&gt;19,CN197&lt;27,Tabla1[[#This Row],[T.A. SISTOLICA (Entre semana 20 y 26)]]="",Tabla1[[#This Row],[T.A. DIATOLICA (Entre semana 20 y 26)]]=""),"ACUDE A CONTROL SEM 20 A 26 REGISTRE TA AHORA",IF(AND(BS197&gt;1,BS197&lt;27,BU197&gt;19,Tabla1[[#This Row],[T.A. SISTOLICA (Entre semana 20 y 26)]]="",Tabla1[[#This Row],[T.A. DIATOLICA (Entre semana 20 y 26)]]=""),"COMPLETE REGISTRO TA CONTROL SEM 20 A26 ",IF(AND(BS197&gt;26,BS197&lt;43,Tabla1[[#This Row],[T.A. SISTOLICA (Entre semana 20 y 26)]]="",Tabla1[[#This Row],[T.A. DIATOLICA (Entre semana 20 y 26)]]=""),"NO APLICA REGISTRO TA-INGRESO TARDIO",IF(AND(OR(O197&gt;0,R197&gt;0),OR(CU197&gt;=140,CV197&gt;=90)),"ALTO RIESGO PREECLAMPSIA,DEFINIR ESTADIO HTA",IF(AND(OR(O197&gt;0,R197&gt;0),AND(CU197&gt;120,CU197&lt;=139)),"PRE HTA SEGUIMIENTO,RIESGO HIPERTENSION INDUCIDA POR EL EMBARAZO",IF(AND(OR(O197&gt;0,R197&gt;0),AND(CV197&gt;80,CV197&lt;=89)),"PRE HTA SEGUIMIENTO, RIESGO HIPERTENSION INDUCIDA POR EL EMBARAZO",IF(AND(OR(O197&lt;&gt;"",R197&lt;&gt;""),CS197&lt;&gt;"",CV197&lt;&gt;"",CS197&lt;=CV197),"VIGILAR CIFRAS PRESION ARTERIAL",IF(AND(OR(O197&gt;0,R197&gt;0),AND(CU197&gt;120,CU197&lt;=139)),"PRE HTA SEGUIMIENTO",IF(AND(OR(O197&gt;0,R197&gt;0),AND(CU197&gt;1,CU197&lt;=70),AND(CV197&gt;1,CV197&lt;=40)),"HIPOTENSIÓN",IF(AND(OR(O197&lt;&gt;"",R197&lt;&gt;""),CS197&lt;&gt;"",CV197&lt;&gt;"",CS197&gt;CV197),"APARENTEMENTE NORMAL",IF(AND(OR(O197&gt;0,R197&gt;0),AND(CU197&gt;=80,CU197&lt;=120)),"APARENTEMENTE NORMAL",IF(AND(OR(O197&gt;0,R197&gt;0),AND(CV197&gt;=50,CV197&lt;=80)),"APARENTEMENTE NORMAL","")))))))))))))</f>
        <v xml:space="preserve">COMPLETE REGISTRO TA CONTROL SEM 20 A26 </v>
      </c>
      <c r="CX197" s="21"/>
      <c r="CY197" s="21"/>
      <c r="CZ197" s="216" t="str">
        <f t="shared" si="727"/>
        <v/>
      </c>
      <c r="DA197" s="21">
        <v>100</v>
      </c>
      <c r="DB197" s="21">
        <v>60</v>
      </c>
      <c r="DC197" s="217" t="str">
        <f t="shared" si="849"/>
        <v>APARENTEMENTE NORMAL</v>
      </c>
      <c r="DD197" s="22">
        <v>45092</v>
      </c>
      <c r="DE197" s="22">
        <v>45092</v>
      </c>
      <c r="DF197" s="22"/>
      <c r="DG197" s="22"/>
      <c r="DH197" s="22"/>
      <c r="DI197" s="22"/>
      <c r="DJ197" s="22"/>
      <c r="DK197" s="22"/>
      <c r="DL197" s="22"/>
      <c r="DM197" s="22"/>
      <c r="DN197" s="22"/>
      <c r="DO197" s="22"/>
      <c r="DP197" s="22"/>
      <c r="DQ197" s="22"/>
      <c r="DR197" s="28"/>
      <c r="DS197" s="22"/>
      <c r="DT197" s="22"/>
      <c r="DU197" s="216" t="str">
        <f t="shared" ca="1" si="674"/>
        <v>PLANEAR PLAN DE PARTO</v>
      </c>
      <c r="DV197" s="226" t="str">
        <f t="shared" si="675"/>
        <v>ACTIVA INGRESO A CPN</v>
      </c>
      <c r="DW19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7" s="216" t="str">
        <f t="shared" si="850"/>
        <v>DIA DE CONTROL</v>
      </c>
      <c r="DY197" s="212">
        <f>IF(R197="","",IF(R197&gt;0,MAX(Tabla1[[#This Row],[FECHA C2]:[FECHA C13]],Tabla1[[#This Row],[FECHA CONSULTA PRIMERA VEZ PROGRAMA CPN ]])))</f>
        <v>45092</v>
      </c>
      <c r="DZ197" s="216">
        <f t="shared" si="851"/>
        <v>13</v>
      </c>
      <c r="EA197" s="222">
        <f>IF(R197&gt;0,SUM(COUNTA(DF197:DQ197)+COUNTA(Tabla1[[#This Row],[FECHA CONSULTA PRIMERA VEZ PROGRAMA CPN ]])),"")</f>
        <v>1</v>
      </c>
      <c r="EB197" s="222" t="str">
        <f t="shared" si="852"/>
        <v>NO</v>
      </c>
      <c r="EC197" s="214">
        <f t="shared" si="853"/>
        <v>8</v>
      </c>
      <c r="ED197" s="227">
        <f t="shared" si="854"/>
        <v>0.125</v>
      </c>
      <c r="EE197" s="22">
        <v>45092</v>
      </c>
      <c r="EF197" s="22">
        <v>45092</v>
      </c>
      <c r="EG197" s="22">
        <v>45092</v>
      </c>
      <c r="EH197" s="22"/>
      <c r="EI197" s="22">
        <v>45092</v>
      </c>
      <c r="EJ197" s="22"/>
      <c r="EK197" s="22"/>
      <c r="EL197" s="21"/>
      <c r="EM197" s="21">
        <v>13.4</v>
      </c>
      <c r="EN197" s="22">
        <v>45092</v>
      </c>
      <c r="EO197" s="222">
        <f t="shared" si="855"/>
        <v>13</v>
      </c>
      <c r="EP197" s="214" t="str">
        <f t="shared" si="856"/>
        <v>NORMAL- SUMINISTRAR SULFATO FERROSO</v>
      </c>
      <c r="EQ197" s="216" t="str">
        <f t="shared" si="857"/>
        <v>I TRIM</v>
      </c>
      <c r="ER197" s="24"/>
      <c r="ES197" s="22"/>
      <c r="ET197" s="29" t="str">
        <f t="shared" ca="1" si="676"/>
        <v>TOMA DE HEMOGLOBINA TARDÍA</v>
      </c>
      <c r="EU197" s="25" t="str">
        <f t="shared" si="858"/>
        <v/>
      </c>
      <c r="EV197" s="24" t="s">
        <v>1510</v>
      </c>
      <c r="EW197" s="32">
        <v>45092</v>
      </c>
      <c r="EX197" s="22"/>
      <c r="EY197" s="29">
        <f t="shared" si="691"/>
        <v>13</v>
      </c>
      <c r="EZ197" s="25" t="str">
        <f t="shared" si="692"/>
        <v>SIN RIESGO DE ISOINMUNIZACIÓN</v>
      </c>
      <c r="FA197" s="21">
        <v>84</v>
      </c>
      <c r="FB197" s="32">
        <v>45092</v>
      </c>
      <c r="FC197" s="29">
        <f t="shared" si="859"/>
        <v>13</v>
      </c>
      <c r="FD197" s="29"/>
      <c r="FE197" s="29"/>
      <c r="FF197" s="29"/>
      <c r="FG197" s="21" t="str">
        <f t="shared" ca="1" si="860"/>
        <v>TOMAR PTOG</v>
      </c>
      <c r="FH197" s="31"/>
      <c r="FI197" s="29" t="str">
        <f t="shared" si="861"/>
        <v>TOMAR EXAMEN</v>
      </c>
      <c r="FJ197" s="22"/>
      <c r="FK197" s="32"/>
      <c r="FL197" s="29" t="str">
        <f t="shared" ca="1" si="862"/>
        <v>NO APLICA-INGRESO TARDIO</v>
      </c>
      <c r="FM197" s="22" t="s">
        <v>867</v>
      </c>
      <c r="FN197" s="32">
        <v>45092</v>
      </c>
      <c r="FO197" s="29">
        <f t="shared" ca="1" si="677"/>
        <v>13</v>
      </c>
      <c r="FP197" s="22"/>
      <c r="FQ197" s="32"/>
      <c r="FR197" s="29" t="str">
        <f t="shared" ca="1" si="678"/>
        <v>EN RANGO PARA TOMAR EXAMEN</v>
      </c>
      <c r="FS197" s="22"/>
      <c r="FT197" s="32"/>
      <c r="FU197" s="29" t="str">
        <f>IF(AND(FJ197="",FM197="",FP197="",FS197=""),"",IF(OR(OR(Tabla1[[#This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7" s="28"/>
      <c r="FW197" s="22"/>
      <c r="FX197" s="29" t="str">
        <f t="shared" si="863"/>
        <v>TOMAR EXAMEN</v>
      </c>
      <c r="FY197" s="22"/>
      <c r="FZ197" s="32"/>
      <c r="GA197" s="29" t="str">
        <f t="shared" ca="1" si="737"/>
        <v>NO APLICA-INGRESO TARDIO</v>
      </c>
      <c r="GB197" s="22" t="s">
        <v>868</v>
      </c>
      <c r="GC197" s="32">
        <v>45092</v>
      </c>
      <c r="GD197" s="29">
        <f t="shared" ca="1" si="730"/>
        <v>13</v>
      </c>
      <c r="GE197" s="22"/>
      <c r="GF197" s="22"/>
      <c r="GG197" s="29" t="str">
        <f t="shared" ca="1" si="680"/>
        <v>EN RANGO PARA TOMAR EXAMEN</v>
      </c>
      <c r="GH197" s="22"/>
      <c r="GI197" s="29"/>
      <c r="GJ197" s="22"/>
      <c r="GK197" s="22"/>
      <c r="GL197" s="22"/>
      <c r="GM197" s="22"/>
      <c r="GN197" s="28" t="s">
        <v>869</v>
      </c>
      <c r="GO197" s="32">
        <v>45092</v>
      </c>
      <c r="GP197" s="29">
        <f t="shared" si="864"/>
        <v>13</v>
      </c>
      <c r="GQ197" s="28" t="s">
        <v>869</v>
      </c>
      <c r="GR197" s="28" t="s">
        <v>869</v>
      </c>
      <c r="GS197" s="22" t="str">
        <f t="shared" si="726"/>
        <v>CONTROL Igm</v>
      </c>
      <c r="GT197" s="32">
        <v>45092</v>
      </c>
      <c r="GU197" s="29">
        <f t="shared" si="865"/>
        <v>13</v>
      </c>
      <c r="GV197" s="21" t="str">
        <f t="shared" si="866"/>
        <v>I TRIM</v>
      </c>
      <c r="GW197" s="28"/>
      <c r="GX197" s="30"/>
      <c r="GY197" s="21"/>
      <c r="GZ197" s="21"/>
      <c r="HA197" s="21"/>
      <c r="HB197" s="21"/>
      <c r="HC197" s="21"/>
      <c r="HD197" s="21"/>
      <c r="HE197" s="21"/>
      <c r="HF197" s="22"/>
      <c r="HG197" s="22" t="str">
        <f>IF(OR(O197&gt;0,R197&gt;0),CONCATENATE(IF(Tabla1[[#This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7" s="22" t="e">
        <f t="shared" si="867"/>
        <v>#REF!</v>
      </c>
      <c r="HI197" s="22" t="e">
        <f t="shared" si="868"/>
        <v>#REF!</v>
      </c>
      <c r="HJ197" s="21"/>
      <c r="HK197" s="21" t="str">
        <f t="shared" si="869"/>
        <v>SIN ANTECEDENTES DE RIESGO</v>
      </c>
      <c r="HL197" s="24" t="str">
        <f t="shared" si="870"/>
        <v>APARENTEMENTE NORMAL</v>
      </c>
      <c r="HM197" s="21" t="str">
        <f t="shared" si="871"/>
        <v>DIA DE CONTROL</v>
      </c>
      <c r="HN197" s="30" t="str">
        <f t="shared" si="681"/>
        <v>ACTIVA INGRESO A CPN</v>
      </c>
      <c r="HO197" s="21"/>
      <c r="HP197" s="21"/>
      <c r="HQ197" s="349"/>
      <c r="HR197" s="21"/>
      <c r="HS197" s="22"/>
      <c r="HT197" s="22"/>
      <c r="HU197" s="22">
        <v>45092</v>
      </c>
      <c r="HV197" s="22" t="s">
        <v>1506</v>
      </c>
      <c r="HW197" s="22">
        <v>45092</v>
      </c>
      <c r="HX197" s="22" t="s">
        <v>1511</v>
      </c>
      <c r="HY197" s="22"/>
      <c r="HZ197" s="28" t="str">
        <f t="shared" si="872"/>
        <v>PENDIENTE CONSULTA</v>
      </c>
      <c r="IA197" s="22">
        <v>45092</v>
      </c>
      <c r="IB197" s="26"/>
      <c r="IC197" s="111"/>
      <c r="ID197" s="22"/>
      <c r="IE197" s="22" t="str">
        <f t="shared" ca="1" si="873"/>
        <v>INASISTENTE</v>
      </c>
      <c r="IF197" s="22"/>
      <c r="IG197" s="22">
        <f t="shared" si="874"/>
        <v>45281</v>
      </c>
      <c r="IH197" s="29">
        <f t="shared" ca="1" si="875"/>
        <v>48</v>
      </c>
      <c r="II197" s="22" t="str">
        <f t="shared" ca="1" si="876"/>
        <v>PENDIENTE</v>
      </c>
      <c r="IJ197" s="22"/>
      <c r="IK197" s="21"/>
      <c r="IL197" s="21"/>
      <c r="IM197" s="34"/>
      <c r="IN197" s="22"/>
      <c r="IO197" s="21"/>
      <c r="IP197" s="29"/>
      <c r="IQ197" s="35"/>
      <c r="IR197" s="21"/>
      <c r="IS197" s="21"/>
      <c r="IT197" s="21"/>
      <c r="IU197" s="21"/>
      <c r="IV197" s="21"/>
      <c r="IW197" s="21"/>
      <c r="IX197" s="21"/>
      <c r="IY197" s="21"/>
      <c r="IZ197" s="21"/>
      <c r="JA197" s="21"/>
      <c r="JB197" s="30"/>
      <c r="JC197" s="21"/>
      <c r="JD197" s="36"/>
      <c r="JE197" s="21"/>
      <c r="JF197" s="30"/>
      <c r="JG197" s="21"/>
      <c r="JH197" s="21"/>
      <c r="JI197" s="21"/>
      <c r="JJ197" s="30"/>
      <c r="JK197" s="22"/>
      <c r="JL197" s="22"/>
      <c r="JM197" s="21"/>
      <c r="JN197" s="36"/>
      <c r="JO197" s="21"/>
      <c r="JP197" s="22"/>
      <c r="JQ197" s="21"/>
      <c r="JR197" s="21"/>
      <c r="JS197" s="21"/>
      <c r="JT197" s="30"/>
      <c r="JU197" s="22"/>
      <c r="JV197" s="22"/>
      <c r="JW197" s="33"/>
      <c r="JX197" s="28"/>
      <c r="JY197" s="33"/>
      <c r="JZ197" s="28"/>
      <c r="KA197" s="21"/>
      <c r="KB197" s="21"/>
      <c r="KC197" s="21"/>
      <c r="KD197" s="37"/>
      <c r="KE197" s="28"/>
      <c r="KF197" s="28"/>
      <c r="KG197" s="28"/>
      <c r="KH197" s="39"/>
      <c r="KI197" s="39"/>
      <c r="KJ197" s="66"/>
      <c r="KK197" s="39"/>
      <c r="KL197" s="39"/>
      <c r="KM197" s="66"/>
      <c r="KN197" s="39"/>
      <c r="KO197" s="39"/>
      <c r="KP197" s="39"/>
      <c r="KQ197" s="39"/>
      <c r="KR197" s="39"/>
      <c r="KS197" s="39"/>
      <c r="KT197" s="39"/>
      <c r="KU197" s="38"/>
      <c r="KV197" s="38"/>
      <c r="KW197" s="38"/>
      <c r="KX197" s="38"/>
      <c r="KY197" s="38"/>
      <c r="KZ197" s="38"/>
      <c r="LA197" s="38"/>
      <c r="LB197" s="38"/>
      <c r="LC197" s="38"/>
      <c r="LD197" s="38"/>
      <c r="LE197" s="38"/>
      <c r="LF197" s="38"/>
      <c r="LG197" s="38"/>
      <c r="LH197" s="38"/>
      <c r="LI197" s="38"/>
      <c r="LJ197" s="38"/>
      <c r="LK197" s="38"/>
      <c r="LL197" s="38"/>
      <c r="LM197" s="38"/>
      <c r="LN197" s="38"/>
      <c r="LO197" s="38"/>
      <c r="LP197" s="38"/>
      <c r="LQ197" s="38"/>
      <c r="LR197" s="38"/>
      <c r="LS197" s="38"/>
      <c r="LT197" s="38"/>
      <c r="LU197" s="38"/>
      <c r="LV197" s="38"/>
      <c r="LW197" s="38"/>
      <c r="LX197" s="38"/>
      <c r="LY197" s="38"/>
      <c r="LZ197" s="38"/>
      <c r="MA197" s="38"/>
      <c r="MB197" s="38"/>
      <c r="MC197" s="38"/>
      <c r="MD197" s="38"/>
      <c r="ME197" s="38"/>
      <c r="MF197" s="38"/>
      <c r="MG197" s="38"/>
      <c r="MH197" s="43"/>
      <c r="MI197" s="43"/>
      <c r="MJ197" s="43"/>
      <c r="MK197" s="43"/>
      <c r="ML197" s="43"/>
      <c r="MM197" s="43"/>
      <c r="MN197" s="43"/>
      <c r="MO197" s="43"/>
      <c r="MP197" s="43"/>
      <c r="MQ197" s="43"/>
      <c r="MR197" s="43"/>
      <c r="MS197" s="43"/>
      <c r="MT197" s="43"/>
      <c r="MU197" s="43"/>
      <c r="MV197" s="43"/>
      <c r="MW197" s="43"/>
      <c r="MX197" s="43"/>
      <c r="MY197" s="43"/>
      <c r="MZ197" s="43"/>
      <c r="NA197" s="43"/>
      <c r="NB197" s="43"/>
      <c r="NC197" s="43"/>
      <c r="ND197" s="43"/>
      <c r="NE197" s="43"/>
      <c r="NF197" s="43"/>
      <c r="NG197" s="43"/>
      <c r="NH197" s="43"/>
      <c r="NI197" s="43"/>
      <c r="NJ197" s="43"/>
      <c r="NK197" s="43"/>
      <c r="NL197" s="43"/>
      <c r="NM197" s="43"/>
      <c r="NN197" s="43"/>
      <c r="NO197" s="43"/>
      <c r="NP197" s="204"/>
      <c r="NQ197" s="21"/>
      <c r="NR197" s="21"/>
      <c r="NS197" s="205"/>
      <c r="NT197" s="21"/>
      <c r="NU197" s="21"/>
      <c r="NV197" s="21"/>
      <c r="NW197" s="206"/>
      <c r="NX197" s="207"/>
      <c r="NY197" s="43">
        <f>ROW(Tabla1[[#This Row],['# DE TAMIZAJES SIFILIS TOMADOS ]])</f>
        <v>197</v>
      </c>
      <c r="NZ197" s="43">
        <f t="shared" si="738"/>
        <v>13</v>
      </c>
      <c r="OA197" s="43" t="str">
        <f t="shared" si="739"/>
        <v/>
      </c>
      <c r="OB197" s="43" t="str">
        <f t="shared" si="740"/>
        <v/>
      </c>
      <c r="OC197" s="43" t="str">
        <f t="shared" si="741"/>
        <v/>
      </c>
      <c r="OD197" s="43" t="str">
        <f t="shared" si="742"/>
        <v/>
      </c>
      <c r="OE197" s="43" t="str">
        <f t="shared" si="743"/>
        <v>NORMAL</v>
      </c>
      <c r="OF197" s="43" t="str">
        <f t="shared" si="744"/>
        <v/>
      </c>
      <c r="OG197" s="43" t="str">
        <f t="shared" si="745"/>
        <v/>
      </c>
      <c r="OH197" s="43" t="str">
        <f t="shared" si="746"/>
        <v/>
      </c>
      <c r="OI197" s="43" t="str">
        <f t="shared" si="747"/>
        <v/>
      </c>
      <c r="OJ197" s="43" t="str">
        <f t="shared" si="748"/>
        <v/>
      </c>
      <c r="OK197" s="43" t="str">
        <f t="shared" si="749"/>
        <v/>
      </c>
      <c r="OL197" s="43" t="str">
        <f t="shared" si="750"/>
        <v/>
      </c>
      <c r="OM197" s="43" t="str">
        <f t="shared" si="751"/>
        <v/>
      </c>
      <c r="ON197" s="43" t="str">
        <f t="shared" si="752"/>
        <v/>
      </c>
      <c r="OO197" s="43" t="str">
        <f t="shared" si="753"/>
        <v/>
      </c>
      <c r="OP197" s="43" t="str">
        <f t="shared" si="754"/>
        <v/>
      </c>
      <c r="OQ197" s="43" t="str">
        <f t="shared" si="755"/>
        <v/>
      </c>
      <c r="OR197" s="43" t="str">
        <f t="shared" si="756"/>
        <v/>
      </c>
      <c r="OS197" s="43" t="str">
        <f t="shared" si="757"/>
        <v/>
      </c>
      <c r="OT197" s="43" t="str">
        <f t="shared" si="758"/>
        <v/>
      </c>
      <c r="OU197" s="43" t="str">
        <f t="shared" si="759"/>
        <v/>
      </c>
      <c r="OV197" s="110" t="str">
        <f t="shared" si="760"/>
        <v/>
      </c>
      <c r="OW197" s="43" t="str">
        <f t="shared" si="761"/>
        <v/>
      </c>
      <c r="OX197" s="43" t="str">
        <f t="shared" si="762"/>
        <v/>
      </c>
      <c r="OY197" s="43" t="str">
        <f t="shared" si="763"/>
        <v/>
      </c>
      <c r="OZ197" s="43" t="str">
        <f t="shared" si="764"/>
        <v/>
      </c>
      <c r="PA197" s="43" t="str">
        <f t="shared" si="765"/>
        <v/>
      </c>
      <c r="PB197" s="43" t="str">
        <f t="shared" si="766"/>
        <v/>
      </c>
      <c r="PC197" s="43" t="str">
        <f t="shared" si="767"/>
        <v/>
      </c>
      <c r="PD197" s="43" t="str">
        <f t="shared" si="768"/>
        <v/>
      </c>
      <c r="PE197" s="43" t="str">
        <f t="shared" si="769"/>
        <v/>
      </c>
      <c r="PF197" s="43" t="str">
        <f t="shared" si="770"/>
        <v/>
      </c>
      <c r="PG197" s="43" t="str">
        <f t="shared" si="771"/>
        <v/>
      </c>
      <c r="PH197" s="43" t="str">
        <f t="shared" si="772"/>
        <v/>
      </c>
      <c r="PI197" s="43">
        <f t="shared" si="773"/>
        <v>13</v>
      </c>
      <c r="PJ197" s="43" t="str">
        <f t="shared" si="774"/>
        <v/>
      </c>
      <c r="PK197" s="43" t="str">
        <f t="shared" si="775"/>
        <v/>
      </c>
      <c r="PL197" s="43" t="str">
        <f t="shared" si="776"/>
        <v/>
      </c>
      <c r="PM197" s="43" t="str">
        <f t="shared" si="777"/>
        <v/>
      </c>
      <c r="PN197" s="43" t="str">
        <f t="shared" si="778"/>
        <v>NORMAL</v>
      </c>
      <c r="PO197" s="43" t="str">
        <f t="shared" si="779"/>
        <v/>
      </c>
      <c r="PP197" s="43" t="str">
        <f t="shared" si="780"/>
        <v/>
      </c>
      <c r="PQ197" s="43" t="str">
        <f t="shared" si="781"/>
        <v/>
      </c>
      <c r="PR197" s="43" t="str">
        <f t="shared" si="782"/>
        <v/>
      </c>
      <c r="PS197" s="43" t="str">
        <f t="shared" si="783"/>
        <v/>
      </c>
      <c r="PT197" s="43" t="str">
        <f t="shared" si="784"/>
        <v/>
      </c>
      <c r="PU197" s="43" t="str">
        <f t="shared" si="785"/>
        <v/>
      </c>
      <c r="PV197" s="43" t="str">
        <f t="shared" si="786"/>
        <v/>
      </c>
      <c r="PW197" s="43" t="str">
        <f t="shared" si="787"/>
        <v/>
      </c>
      <c r="PX197" s="43" t="str">
        <f t="shared" si="788"/>
        <v/>
      </c>
      <c r="PY197" s="43" t="str">
        <f t="shared" si="789"/>
        <v/>
      </c>
      <c r="PZ197" s="43" t="str">
        <f t="shared" si="790"/>
        <v/>
      </c>
      <c r="QA197" s="43" t="str">
        <f t="shared" si="791"/>
        <v/>
      </c>
      <c r="QB197" s="43" t="str">
        <f t="shared" si="792"/>
        <v/>
      </c>
      <c r="QC197" s="43" t="str">
        <f t="shared" si="793"/>
        <v/>
      </c>
      <c r="QD197" s="43" t="str">
        <f t="shared" si="794"/>
        <v/>
      </c>
      <c r="QE197" s="43" t="str">
        <f t="shared" si="795"/>
        <v/>
      </c>
      <c r="QF197" s="43" t="str">
        <f t="shared" si="796"/>
        <v/>
      </c>
      <c r="QG197" s="43" t="str">
        <f t="shared" si="797"/>
        <v/>
      </c>
      <c r="QH197" s="43" t="str">
        <f t="shared" si="798"/>
        <v/>
      </c>
      <c r="QI197" s="43" t="str">
        <f t="shared" si="799"/>
        <v/>
      </c>
      <c r="QJ197" s="43" t="str">
        <f t="shared" si="800"/>
        <v/>
      </c>
      <c r="QK197" s="43" t="str">
        <f t="shared" si="801"/>
        <v/>
      </c>
      <c r="QL197" s="43" t="str">
        <f t="shared" si="802"/>
        <v/>
      </c>
      <c r="QM197" s="43" t="str">
        <f t="shared" si="803"/>
        <v/>
      </c>
      <c r="QN197" s="43" t="str">
        <f t="shared" si="804"/>
        <v/>
      </c>
      <c r="QO197" s="43" t="str">
        <f t="shared" si="805"/>
        <v/>
      </c>
      <c r="QP197" s="43" t="str">
        <f t="shared" si="806"/>
        <v/>
      </c>
      <c r="QQ197" s="43" t="str">
        <f t="shared" si="807"/>
        <v/>
      </c>
      <c r="QR197" s="43">
        <f t="shared" si="837"/>
        <v>13</v>
      </c>
      <c r="QS197" s="43"/>
      <c r="QT197" s="21" t="str">
        <f t="shared" si="808"/>
        <v/>
      </c>
      <c r="QU197" s="21" t="str">
        <f t="shared" si="809"/>
        <v/>
      </c>
      <c r="QV197" s="21" t="str">
        <f t="shared" si="810"/>
        <v/>
      </c>
      <c r="QW197" s="21" t="str">
        <f t="shared" si="811"/>
        <v/>
      </c>
      <c r="QX197" s="21" t="str">
        <f t="shared" si="812"/>
        <v/>
      </c>
      <c r="QY197" s="21" t="str">
        <f t="shared" si="813"/>
        <v/>
      </c>
      <c r="QZ197" s="21" t="str">
        <f t="shared" si="814"/>
        <v/>
      </c>
      <c r="RA197" s="21" t="str">
        <f t="shared" si="815"/>
        <v/>
      </c>
      <c r="RB197" s="21" t="str">
        <f t="shared" si="816"/>
        <v/>
      </c>
      <c r="RC197" s="21" t="str">
        <f t="shared" si="817"/>
        <v/>
      </c>
      <c r="RD197" s="21" t="str">
        <f t="shared" si="818"/>
        <v/>
      </c>
      <c r="RE197" s="21" t="str">
        <f t="shared" si="819"/>
        <v/>
      </c>
      <c r="RF197" s="21" t="str">
        <f t="shared" si="820"/>
        <v/>
      </c>
      <c r="RG197" s="21" t="str">
        <f t="shared" si="821"/>
        <v/>
      </c>
      <c r="RH197" s="21" t="str">
        <f t="shared" si="822"/>
        <v/>
      </c>
      <c r="RI197" s="21" t="str">
        <f t="shared" si="823"/>
        <v/>
      </c>
      <c r="RJ197" s="21" t="str">
        <f t="shared" si="824"/>
        <v/>
      </c>
      <c r="RK197" s="21" t="str">
        <f t="shared" si="825"/>
        <v/>
      </c>
      <c r="RL197" s="21" t="str">
        <f t="shared" si="826"/>
        <v/>
      </c>
      <c r="RM197" s="21" t="str">
        <f t="shared" si="827"/>
        <v/>
      </c>
      <c r="RN197" s="21" t="str">
        <f t="shared" si="828"/>
        <v/>
      </c>
      <c r="RO197" s="21" t="str">
        <f t="shared" si="829"/>
        <v/>
      </c>
      <c r="RP197" s="21" t="str">
        <f t="shared" si="830"/>
        <v/>
      </c>
      <c r="RQ197" s="21" t="str">
        <f t="shared" si="831"/>
        <v/>
      </c>
      <c r="RR197" s="21" t="str">
        <f t="shared" si="832"/>
        <v/>
      </c>
      <c r="RS197" s="21" t="str">
        <f t="shared" si="833"/>
        <v/>
      </c>
      <c r="RT197" s="21" t="str">
        <f t="shared" si="834"/>
        <v/>
      </c>
      <c r="RU197" s="21" t="str">
        <f t="shared" si="835"/>
        <v/>
      </c>
      <c r="RV197" s="21">
        <f t="shared" si="836"/>
        <v>-1</v>
      </c>
      <c r="RW197" s="284">
        <f>IF(OR(Tabla1[[#This Row],[FUM FORMULA CONFIABLE]]="",Tabla1[[#This Row],[FUM FORMULA CONFIABLE]]="SD"),"",IF(Tabla1[[#This Row],[FUM FORMULA CONFIABLE]]="CORREGIDA",Tabla1[[#This Row],[FUM X ECO 1]],Tabla1[[#This Row],[FUM x AMENORREA]]))</f>
        <v>45001</v>
      </c>
      <c r="RX197" s="21" t="str">
        <f>IF(AND(Tabla1[[#This Row],[FUM X ECO 1]]="",Tabla1[[#This Row],[FUM x AMENORREA]]=""),"",IF(AND(Tabla1[[#This Row],[FUM X ECO 1]]="",Tabla1[[#This Row],[FUM x AMENORREA]]&lt;&gt;""),"X",SUM(Tabla1[[#This Row],[FUM X ECO 1]]-Tabla1[[#This Row],[FUM x AMENORREA]])))</f>
        <v>X</v>
      </c>
      <c r="RY197" s="21" t="str">
        <f t="shared" si="838"/>
        <v>x</v>
      </c>
    </row>
    <row r="198" spans="1:493" ht="45" customHeight="1" x14ac:dyDescent="0.25">
      <c r="A198" s="109"/>
      <c r="B198" s="43"/>
      <c r="C198" s="43" t="s">
        <v>845</v>
      </c>
      <c r="D198" s="124"/>
      <c r="E198" s="43" t="s">
        <v>896</v>
      </c>
      <c r="F198" s="43" t="s">
        <v>953</v>
      </c>
      <c r="G198" s="43" t="s">
        <v>1545</v>
      </c>
      <c r="H198" s="43"/>
      <c r="I198" s="109" t="s">
        <v>851</v>
      </c>
      <c r="J198" s="110">
        <v>25545389</v>
      </c>
      <c r="K198" s="43" t="s">
        <v>852</v>
      </c>
      <c r="L198" s="175" t="s">
        <v>1509</v>
      </c>
      <c r="M198" s="22">
        <v>28834</v>
      </c>
      <c r="N198" s="213">
        <f t="shared" ca="1" si="839"/>
        <v>44.92876712328767</v>
      </c>
      <c r="O198" s="22">
        <v>45094</v>
      </c>
      <c r="P198" s="214" t="str">
        <f t="shared" si="673"/>
        <v>SI</v>
      </c>
      <c r="Q198" s="26" t="s">
        <v>855</v>
      </c>
      <c r="R198" s="22">
        <v>45094</v>
      </c>
      <c r="S198" s="21" t="s">
        <v>856</v>
      </c>
      <c r="T198" s="24" t="s">
        <v>690</v>
      </c>
      <c r="U198" s="21" t="s">
        <v>857</v>
      </c>
      <c r="V198" s="21" t="s">
        <v>858</v>
      </c>
      <c r="W198" s="21" t="s">
        <v>920</v>
      </c>
      <c r="X198" s="21"/>
      <c r="Y198" s="21"/>
      <c r="Z198" s="21">
        <v>3183654406</v>
      </c>
      <c r="AA198" s="21" t="s">
        <v>860</v>
      </c>
      <c r="AB198" s="27" t="s">
        <v>861</v>
      </c>
      <c r="AC198" s="26" t="s">
        <v>862</v>
      </c>
      <c r="AD198" s="38" t="s">
        <v>1546</v>
      </c>
      <c r="AE198" s="26" t="s">
        <v>854</v>
      </c>
      <c r="AF198" s="26" t="s">
        <v>854</v>
      </c>
      <c r="AG198" s="23" t="s">
        <v>864</v>
      </c>
      <c r="AH198" s="23" t="s">
        <v>864</v>
      </c>
      <c r="AI198" s="24" t="s">
        <v>863</v>
      </c>
      <c r="AJ198" s="23" t="s">
        <v>864</v>
      </c>
      <c r="AK198" s="220" t="str">
        <f>IF(AND(AD198="",AE198="",AF198="",AG198="",AH198="",AI198="",AJ198=""),"",IF(OR(Tabla1[[#This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EVALUACIÓN",IF(AND(O198="",R198=""),"",IF(AND(OR(O198&gt;0,R198&gt;0),NG198&gt;=0,NG198&lt;2),"SIN RIESGO",IF(AND(OR(O198&gt;0,R198&gt;0),NG198&gt;=2),"CON RIESGO","ASD")))))</f>
        <v>SIN RIESGO</v>
      </c>
      <c r="AL198" s="23" t="s">
        <v>864</v>
      </c>
      <c r="AM198" s="26" t="s">
        <v>864</v>
      </c>
      <c r="AN198" s="26" t="s">
        <v>864</v>
      </c>
      <c r="AO198" s="26" t="s">
        <v>864</v>
      </c>
      <c r="AP198" s="26" t="s">
        <v>864</v>
      </c>
      <c r="AQ198" s="26" t="s">
        <v>864</v>
      </c>
      <c r="AR198" s="26" t="s">
        <v>864</v>
      </c>
      <c r="AS198" s="21">
        <v>7</v>
      </c>
      <c r="AT198" s="21">
        <v>6</v>
      </c>
      <c r="AU198" s="21">
        <v>0</v>
      </c>
      <c r="AV198" s="26" t="s">
        <v>864</v>
      </c>
      <c r="AW198" s="21">
        <v>0</v>
      </c>
      <c r="AX198" s="26" t="s">
        <v>864</v>
      </c>
      <c r="AY198" s="26" t="s">
        <v>864</v>
      </c>
      <c r="AZ198" s="26" t="s">
        <v>864</v>
      </c>
      <c r="BA198" s="26" t="s">
        <v>864</v>
      </c>
      <c r="BB198" s="26" t="s">
        <v>864</v>
      </c>
      <c r="BC198" s="26" t="s">
        <v>864</v>
      </c>
      <c r="BD198" s="26" t="s">
        <v>864</v>
      </c>
      <c r="BE198" s="26" t="s">
        <v>864</v>
      </c>
      <c r="BF198" s="26" t="s">
        <v>864</v>
      </c>
      <c r="BG198" s="26" t="s">
        <v>864</v>
      </c>
      <c r="BH198" s="26" t="s">
        <v>864</v>
      </c>
      <c r="BI198" s="26" t="s">
        <v>864</v>
      </c>
      <c r="BJ198" s="26" t="s">
        <v>864</v>
      </c>
      <c r="BK198" s="26" t="s">
        <v>864</v>
      </c>
      <c r="BL198" s="26" t="s">
        <v>864</v>
      </c>
      <c r="BM198" s="26" t="s">
        <v>864</v>
      </c>
      <c r="BN198" s="22"/>
      <c r="BO198" s="22">
        <v>45038</v>
      </c>
      <c r="BP198" s="21" t="s">
        <v>864</v>
      </c>
      <c r="BQ198" s="222">
        <f t="shared" si="840"/>
        <v>0</v>
      </c>
      <c r="BR198" s="223" t="str">
        <f t="shared" si="841"/>
        <v/>
      </c>
      <c r="BS198" s="224">
        <f t="shared" si="842"/>
        <v>8</v>
      </c>
      <c r="BT198" s="216" t="str">
        <f t="shared" si="843"/>
        <v>DEFINIR CON ECO</v>
      </c>
      <c r="BU198" s="214">
        <f t="shared" ca="1" si="844"/>
        <v>27.857142857142858</v>
      </c>
      <c r="BV198" s="25"/>
      <c r="BW198" s="22"/>
      <c r="BX198" s="28"/>
      <c r="BY198" s="28"/>
      <c r="BZ198" s="22"/>
      <c r="CA198" s="21"/>
      <c r="CB198" s="26"/>
      <c r="CC198" s="26"/>
      <c r="CD198" s="26"/>
      <c r="CE198" s="26"/>
      <c r="CF198" s="22" t="s">
        <v>1517</v>
      </c>
      <c r="CG198" s="21">
        <v>1.45</v>
      </c>
      <c r="CH198" s="21">
        <v>68.599999999999994</v>
      </c>
      <c r="CI198" s="214">
        <f t="shared" si="845"/>
        <v>32.62782401902497</v>
      </c>
      <c r="CJ198" s="225" t="str">
        <f>IF(AND(CI198&lt;10,CH198="SD"),"SIN DATO PESO PREGESTACION O I TRIM",IF(AND(OR(R198&gt;0,O198&gt;0),CI198="X"),"INGRESAR DATO DE PESO",IF(CI198="SD","INGRESAR DATO DE TALLA Y PESO",IF(AND(OR(Tabla1[[#This Row],[MOMENTO EN QUE SE REALIZA EL PESO AL INGRESO A CPN]]="PREGESTACIÓN",NZ198="Menor"),CI198&lt;18.5),"BAJO PESO",IF(AND(OR(Tabla1[[#This Row],[MOMENTO EN QUE SE REALIZA EL PESO AL INGRESO A CPN]]="PREGESTACIÓN",NZ198="Menor"),CI198&lt;25),"NORMAL",IF(AND(OR(Tabla1[[#This Row],[MOMENTO EN QUE SE REALIZA EL PESO AL INGRESO A CPN]]="PREGESTACIÓN",NZ198="Menor"),CI198&lt;30),"SOBREPESO",IF(AND(OR(Tabla1[[#This Row],[MOMENTO EN QUE SE REALIZA EL PESO AL INGRESO A CPN]]="PREGESTACIÓN",NZ198="Menor"),CI198&gt;=30,CI198&lt;50),"OBESIDAD",IF(AND(BS198&gt;0,Tabla1[[#This Row],[MOMENTO EN QUE SE REALIZA EL PESO AL INGRESO A CPN]]="GESTACIÓN"),HLOOKUP(NZ198,$OA$2:PH198,NY198),""))))))))</f>
        <v>OBESIDAD</v>
      </c>
      <c r="CK198" s="212">
        <f t="shared" si="846"/>
        <v>45094</v>
      </c>
      <c r="CL198" s="21">
        <v>68.599999999999994</v>
      </c>
      <c r="CM198" s="214">
        <f t="shared" si="847"/>
        <v>32.62782401902497</v>
      </c>
      <c r="CN198" s="216">
        <f t="shared" si="848"/>
        <v>8</v>
      </c>
      <c r="CO198" s="216" t="e">
        <f>IF(PI198="","",IF(PI198&gt;0,HLOOKUP(PI198,$PJ$2:QQ198,NY198),""))</f>
        <v>#REF!</v>
      </c>
      <c r="CP198" s="21"/>
      <c r="CQ198" s="216" t="str">
        <f>IF(QR198="Menor","NO APLICA-MENOR 13 SEM",IF(AND(CC198="SI",CN198&gt;23),"NO APLICA- GEMELAR",IF(QR198="","",IF(QR198&gt;0,HLOOKUP(QR198,$QS$2:RU198,NY198),""))))</f>
        <v>NO APLICA-MENOR 13 SEM</v>
      </c>
      <c r="CR198" s="21">
        <v>110</v>
      </c>
      <c r="CS198" s="21">
        <v>70</v>
      </c>
      <c r="CT198" s="217" t="str">
        <f>IF(R198="","",IF(AND(BS198&gt;1,BS198&lt;12,Tabla1[[#This Row],[T.A. SISTOLICA - ANTES DE SEMANA 12]]="",Tabla1[[#This Row],[T.A. DIASTOLICA - ANTES DE SEMANA 12]]=""),"REGISTRE DATO TA ANTES SEMANA 12",IF(AND(BS198&gt;11,BS198&lt;43,Tabla1[[#This Row],[T.A. SISTOLICA - ANTES DE SEMANA 12]]="",Tabla1[[#This Row],[T.A. DIASTOLICA - ANTES DE SEMANA 12]]=""),"NO APLICA REGISTRO TA-INGRESO TARDIO",IF(AND(OR(O198&gt;0,R198&gt;0),OR(CR198&gt;=140,CS198&gt;=90)),"DEFINIR ESTADIO HTA",IF(AND(OR(O198&gt;0,R198&gt;0),AND(CR198&gt;120,CR198&lt;=139)),"PRE HTA SEGUIMIENTO",IF(AND(OR(O198&gt;0,R198&gt;0),AND(CS198&gt;80,CS198&lt;=89)),"PRE HTA SEGUIMIENTO",IF(AND(OR(O198&gt;0,R198&gt;0),AND(CR198&gt;=80,CR198&lt;=120)),"APARENTEMENTE NORMAL",IF(AND(OR(O198&gt;0,R198&gt;0),AND(CS198&gt;=50,CS198&lt;=80)),"APARENTEMENTE NORMAL",IF(AND(OR(O198&gt;0,R198&gt;0),AND(CR198&gt;1,CR198&lt;=70),AND(CS198&gt;1,CS198&lt;=40)),"HIPOTENSIÓN","")))))))))</f>
        <v>APARENTEMENTE NORMAL</v>
      </c>
      <c r="CU198" s="21"/>
      <c r="CV198" s="21"/>
      <c r="CW198" s="217" t="str">
        <f ca="1">IF(R198="","",IF(AND(CN198&gt;19,CN198&lt;27,Tabla1[[#This Row],[T.A. SISTOLICA (Entre semana 20 y 26)]]="",Tabla1[[#This Row],[T.A. DIATOLICA (Entre semana 20 y 26)]]=""),"ACUDE A CONTROL SEM 20 A 26 REGISTRE TA AHORA",IF(AND(BS198&gt;1,BS198&lt;27,BU198&gt;19,Tabla1[[#This Row],[T.A. SISTOLICA (Entre semana 20 y 26)]]="",Tabla1[[#This Row],[T.A. DIATOLICA (Entre semana 20 y 26)]]=""),"COMPLETE REGISTRO TA CONTROL SEM 20 A26 ",IF(AND(BS198&gt;26,BS198&lt;43,Tabla1[[#This Row],[T.A. SISTOLICA (Entre semana 20 y 26)]]="",Tabla1[[#This Row],[T.A. DIATOLICA (Entre semana 20 y 26)]]=""),"NO APLICA REGISTRO TA-INGRESO TARDIO",IF(AND(OR(O198&gt;0,R198&gt;0),OR(CU198&gt;=140,CV198&gt;=90)),"ALTO RIESGO PREECLAMPSIA,DEFINIR ESTADIO HTA",IF(AND(OR(O198&gt;0,R198&gt;0),AND(CU198&gt;120,CU198&lt;=139)),"PRE HTA SEGUIMIENTO,RIESGO HIPERTENSION INDUCIDA POR EL EMBARAZO",IF(AND(OR(O198&gt;0,R198&gt;0),AND(CV198&gt;80,CV198&lt;=89)),"PRE HTA SEGUIMIENTO, RIESGO HIPERTENSION INDUCIDA POR EL EMBARAZO",IF(AND(OR(O198&lt;&gt;"",R198&lt;&gt;""),CS198&lt;&gt;"",CV198&lt;&gt;"",CS198&lt;=CV198),"VIGILAR CIFRAS PRESION ARTERIAL",IF(AND(OR(O198&gt;0,R198&gt;0),AND(CU198&gt;120,CU198&lt;=139)),"PRE HTA SEGUIMIENTO",IF(AND(OR(O198&gt;0,R198&gt;0),AND(CU198&gt;1,CU198&lt;=70),AND(CV198&gt;1,CV198&lt;=40)),"HIPOTENSIÓN",IF(AND(OR(O198&lt;&gt;"",R198&lt;&gt;""),CS198&lt;&gt;"",CV198&lt;&gt;"",CS198&gt;CV198),"APARENTEMENTE NORMAL",IF(AND(OR(O198&gt;0,R198&gt;0),AND(CU198&gt;=80,CU198&lt;=120)),"APARENTEMENTE NORMAL",IF(AND(OR(O198&gt;0,R198&gt;0),AND(CV198&gt;=50,CV198&lt;=80)),"APARENTEMENTE NORMAL","")))))))))))))</f>
        <v xml:space="preserve">COMPLETE REGISTRO TA CONTROL SEM 20 A26 </v>
      </c>
      <c r="CX198" s="21"/>
      <c r="CY198" s="21"/>
      <c r="CZ198" s="216" t="str">
        <f t="shared" si="727"/>
        <v/>
      </c>
      <c r="DA198" s="21">
        <v>110</v>
      </c>
      <c r="DB198" s="21">
        <v>70</v>
      </c>
      <c r="DC198" s="217" t="str">
        <f t="shared" si="849"/>
        <v>APARENTEMENTE NORMAL</v>
      </c>
      <c r="DD198" s="22">
        <v>45094</v>
      </c>
      <c r="DE198" s="22">
        <v>45094</v>
      </c>
      <c r="DF198" s="22"/>
      <c r="DG198" s="22"/>
      <c r="DH198" s="22"/>
      <c r="DI198" s="22"/>
      <c r="DJ198" s="22"/>
      <c r="DK198" s="22"/>
      <c r="DL198" s="22"/>
      <c r="DM198" s="22"/>
      <c r="DN198" s="22"/>
      <c r="DO198" s="22"/>
      <c r="DP198" s="22"/>
      <c r="DQ198" s="22"/>
      <c r="DR198" s="28"/>
      <c r="DS198" s="22"/>
      <c r="DT198" s="22"/>
      <c r="DU198" s="216" t="str">
        <f t="shared" ca="1" si="674"/>
        <v>EN ESPERA</v>
      </c>
      <c r="DV198" s="226" t="str">
        <f t="shared" si="675"/>
        <v>ACTIVA INGRESO A CPN</v>
      </c>
      <c r="DW19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8" s="216" t="str">
        <f t="shared" si="850"/>
        <v>DIA DE CONTROL</v>
      </c>
      <c r="DY198" s="212">
        <f>IF(R198="","",IF(R198&gt;0,MAX(Tabla1[[#This Row],[FECHA C2]:[FECHA C13]],Tabla1[[#This Row],[FECHA CONSULTA PRIMERA VEZ PROGRAMA CPN ]])))</f>
        <v>45094</v>
      </c>
      <c r="DZ198" s="216">
        <f t="shared" si="851"/>
        <v>8</v>
      </c>
      <c r="EA198" s="222">
        <f>IF(R198&gt;0,SUM(COUNTA(DF198:DQ198)+COUNTA(Tabla1[[#This Row],[FECHA CONSULTA PRIMERA VEZ PROGRAMA CPN ]])),"")</f>
        <v>1</v>
      </c>
      <c r="EB198" s="222" t="str">
        <f t="shared" si="852"/>
        <v>NO</v>
      </c>
      <c r="EC198" s="214">
        <f t="shared" si="853"/>
        <v>10</v>
      </c>
      <c r="ED198" s="227">
        <f t="shared" si="854"/>
        <v>0.1</v>
      </c>
      <c r="EE198" s="22">
        <v>45094</v>
      </c>
      <c r="EF198" s="22">
        <v>45094</v>
      </c>
      <c r="EG198" s="22">
        <v>45094</v>
      </c>
      <c r="EH198" s="22"/>
      <c r="EI198" s="22">
        <v>45094</v>
      </c>
      <c r="EJ198" s="22"/>
      <c r="EK198" s="22"/>
      <c r="EL198" s="21"/>
      <c r="EM198" s="21">
        <v>14.2</v>
      </c>
      <c r="EN198" s="22">
        <v>45097</v>
      </c>
      <c r="EO198" s="222">
        <f t="shared" si="855"/>
        <v>8.4285714285714288</v>
      </c>
      <c r="EP198" s="214" t="str">
        <f t="shared" si="856"/>
        <v>NO DAR SULFATO FERROSO</v>
      </c>
      <c r="EQ198" s="216" t="str">
        <f t="shared" si="857"/>
        <v>I TRIM</v>
      </c>
      <c r="ER198" s="24"/>
      <c r="ES198" s="22"/>
      <c r="ET198" s="29" t="str">
        <f t="shared" ca="1" si="676"/>
        <v>TOMA HEMOGLOBINA A SEM 28 EN 1 SEMANA</v>
      </c>
      <c r="EU198" s="25" t="str">
        <f t="shared" si="858"/>
        <v/>
      </c>
      <c r="EV198" s="24" t="s">
        <v>1510</v>
      </c>
      <c r="EW198" s="32">
        <v>45097</v>
      </c>
      <c r="EX198" s="22"/>
      <c r="EY198" s="29">
        <f t="shared" si="691"/>
        <v>8.4285714285714288</v>
      </c>
      <c r="EZ198" s="25" t="str">
        <f t="shared" si="692"/>
        <v>SIN RIESGO DE ISOINMUNIZACIÓN</v>
      </c>
      <c r="FA198" s="21">
        <v>140</v>
      </c>
      <c r="FB198" s="22">
        <v>45097</v>
      </c>
      <c r="FC198" s="29" t="str">
        <f t="shared" si="859"/>
        <v>DIABETES PREGESTACIONAL- REMITIR</v>
      </c>
      <c r="FD198" s="29"/>
      <c r="FE198" s="29"/>
      <c r="FF198" s="29"/>
      <c r="FG198" s="21" t="str">
        <f t="shared" ca="1" si="860"/>
        <v>TOMAR PTOG</v>
      </c>
      <c r="FH198" s="31"/>
      <c r="FI198" s="29" t="str">
        <f t="shared" si="861"/>
        <v>TOMAR EXAMEN</v>
      </c>
      <c r="FJ198" s="22" t="s">
        <v>867</v>
      </c>
      <c r="FK198" s="22">
        <v>45097</v>
      </c>
      <c r="FL198" s="29">
        <f t="shared" ca="1" si="862"/>
        <v>8.4285714285714288</v>
      </c>
      <c r="FM198" s="22"/>
      <c r="FN198" s="32"/>
      <c r="FO198" s="29" t="str">
        <f t="shared" ca="1" si="677"/>
        <v>PIERDE TOMA DE TAMIZAJE</v>
      </c>
      <c r="FP198" s="22"/>
      <c r="FQ198" s="32"/>
      <c r="FR198" s="29" t="str">
        <f t="shared" ca="1" si="678"/>
        <v/>
      </c>
      <c r="FS198" s="22"/>
      <c r="FT198" s="32"/>
      <c r="FU198" s="29" t="str">
        <f>IF(AND(FJ198="",FM198="",FP198="",FS198=""),"",IF(OR(OR(Tabla1[[#This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8" s="28"/>
      <c r="FW198" s="22"/>
      <c r="FX198" s="29" t="str">
        <f t="shared" si="863"/>
        <v>TOMAR EXAMEN</v>
      </c>
      <c r="FY198" s="22" t="s">
        <v>868</v>
      </c>
      <c r="FZ198" s="22">
        <v>45097</v>
      </c>
      <c r="GA198" s="29">
        <f t="shared" ca="1" si="737"/>
        <v>8.4285714285714288</v>
      </c>
      <c r="GB198" s="22"/>
      <c r="GC198" s="22"/>
      <c r="GD198" s="29" t="str">
        <f t="shared" ca="1" si="730"/>
        <v>PIERDE TOMA DE TAMIZAJE</v>
      </c>
      <c r="GE198" s="22"/>
      <c r="GF198" s="22"/>
      <c r="GG198" s="29" t="str">
        <f t="shared" ca="1" si="680"/>
        <v>PIERDE TOMA DE TAMIZAJE</v>
      </c>
      <c r="GH198" s="22"/>
      <c r="GI198" s="29"/>
      <c r="GJ198" s="22"/>
      <c r="GK198" s="22"/>
      <c r="GL198" s="22"/>
      <c r="GM198" s="22"/>
      <c r="GN198" s="28" t="s">
        <v>869</v>
      </c>
      <c r="GO198" s="22">
        <v>45097</v>
      </c>
      <c r="GP198" s="29">
        <f t="shared" si="864"/>
        <v>8.4285714285714288</v>
      </c>
      <c r="GQ198" s="28" t="s">
        <v>880</v>
      </c>
      <c r="GR198" s="28" t="s">
        <v>869</v>
      </c>
      <c r="GS198" s="22" t="str">
        <f t="shared" si="726"/>
        <v>SE EXCLUYE INFECCION</v>
      </c>
      <c r="GT198" s="22">
        <v>45097</v>
      </c>
      <c r="GU198" s="29">
        <f t="shared" si="865"/>
        <v>8.4285714285714288</v>
      </c>
      <c r="GV198" s="21" t="str">
        <f t="shared" si="866"/>
        <v>I TRIM</v>
      </c>
      <c r="GW198" s="28"/>
      <c r="GX198" s="30"/>
      <c r="GY198" s="21"/>
      <c r="GZ198" s="21"/>
      <c r="HA198" s="21"/>
      <c r="HB198" s="21"/>
      <c r="HC198" s="21"/>
      <c r="HD198" s="21"/>
      <c r="HE198" s="21"/>
      <c r="HF198" s="22"/>
      <c r="HG198" s="22" t="str">
        <f>IF(OR(O198&gt;0,R198&gt;0),CONCATENATE(IF(Tabla1[[#This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8" s="22" t="e">
        <f t="shared" si="867"/>
        <v>#REF!</v>
      </c>
      <c r="HI198" s="22" t="e">
        <f t="shared" si="868"/>
        <v>#REF!</v>
      </c>
      <c r="HJ198" s="21"/>
      <c r="HK198" s="21" t="str">
        <f t="shared" si="869"/>
        <v>SIN ANTECEDENTES DE RIESGO</v>
      </c>
      <c r="HL198" s="24" t="str">
        <f t="shared" si="870"/>
        <v>APARENTEMENTE NORMAL</v>
      </c>
      <c r="HM198" s="21" t="str">
        <f t="shared" si="871"/>
        <v>DIA DE CONTROL</v>
      </c>
      <c r="HN198" s="30" t="str">
        <f t="shared" si="681"/>
        <v>ACTIVA INGRESO A CPN</v>
      </c>
      <c r="HO198" s="21"/>
      <c r="HP198" s="21"/>
      <c r="HQ198" s="349"/>
      <c r="HR198" s="21"/>
      <c r="HS198" s="22">
        <v>45094</v>
      </c>
      <c r="HT198" s="22" t="s">
        <v>1518</v>
      </c>
      <c r="HU198" s="22">
        <v>45094</v>
      </c>
      <c r="HV198" s="22" t="s">
        <v>1544</v>
      </c>
      <c r="HW198" s="22">
        <v>45094</v>
      </c>
      <c r="HX198" s="22" t="s">
        <v>1511</v>
      </c>
      <c r="HY198" s="22">
        <v>45094</v>
      </c>
      <c r="HZ198" s="28">
        <f t="shared" si="872"/>
        <v>8</v>
      </c>
      <c r="IA198" s="26"/>
      <c r="IB198" s="26"/>
      <c r="IC198" s="111"/>
      <c r="ID198" s="22"/>
      <c r="IE198" s="22" t="str">
        <f t="shared" ca="1" si="873"/>
        <v>INASISTENTE</v>
      </c>
      <c r="IF198" s="22"/>
      <c r="IG198" s="22">
        <f t="shared" si="874"/>
        <v>45318</v>
      </c>
      <c r="IH198" s="29">
        <f t="shared" ca="1" si="875"/>
        <v>85</v>
      </c>
      <c r="II198" s="22" t="str">
        <f t="shared" ca="1" si="876"/>
        <v>PENDIENTE</v>
      </c>
      <c r="IJ198" s="22"/>
      <c r="IK198" s="21"/>
      <c r="IL198" s="21"/>
      <c r="IM198" s="34"/>
      <c r="IN198" s="22"/>
      <c r="IO198" s="21"/>
      <c r="IP198" s="29"/>
      <c r="IQ198" s="35"/>
      <c r="IR198" s="21"/>
      <c r="IS198" s="21"/>
      <c r="IT198" s="21"/>
      <c r="IU198" s="21"/>
      <c r="IV198" s="21"/>
      <c r="IW198" s="21"/>
      <c r="IX198" s="21"/>
      <c r="IY198" s="21"/>
      <c r="IZ198" s="21"/>
      <c r="JA198" s="21"/>
      <c r="JB198" s="30"/>
      <c r="JC198" s="21"/>
      <c r="JD198" s="36"/>
      <c r="JE198" s="21"/>
      <c r="JF198" s="30"/>
      <c r="JG198" s="21"/>
      <c r="JH198" s="21"/>
      <c r="JI198" s="21"/>
      <c r="JJ198" s="30"/>
      <c r="JK198" s="22"/>
      <c r="JL198" s="22"/>
      <c r="JM198" s="21"/>
      <c r="JN198" s="36"/>
      <c r="JO198" s="21"/>
      <c r="JP198" s="22"/>
      <c r="JQ198" s="21"/>
      <c r="JR198" s="21"/>
      <c r="JS198" s="21"/>
      <c r="JT198" s="30"/>
      <c r="JU198" s="22"/>
      <c r="JV198" s="22"/>
      <c r="JW198" s="33"/>
      <c r="JX198" s="28"/>
      <c r="JY198" s="33"/>
      <c r="JZ198" s="28"/>
      <c r="KA198" s="21"/>
      <c r="KB198" s="21"/>
      <c r="KC198" s="21"/>
      <c r="KD198" s="37"/>
      <c r="KE198" s="28"/>
      <c r="KF198" s="28"/>
      <c r="KG198" s="28"/>
      <c r="KH198" s="39"/>
      <c r="KI198" s="39"/>
      <c r="KJ198" s="66"/>
      <c r="KK198" s="39"/>
      <c r="KL198" s="39"/>
      <c r="KM198" s="66"/>
      <c r="KN198" s="39"/>
      <c r="KO198" s="39"/>
      <c r="KP198" s="39"/>
      <c r="KQ198" s="39"/>
      <c r="KR198" s="39"/>
      <c r="KS198" s="39"/>
      <c r="KT198" s="39"/>
      <c r="KU198" s="38"/>
      <c r="KV198" s="38"/>
      <c r="KW198" s="38"/>
      <c r="KX198" s="38"/>
      <c r="KY198" s="38"/>
      <c r="KZ198" s="38"/>
      <c r="LA198" s="38"/>
      <c r="LB198" s="38"/>
      <c r="LC198" s="38"/>
      <c r="LD198" s="38"/>
      <c r="LE198" s="38"/>
      <c r="LF198" s="38"/>
      <c r="LG198" s="38"/>
      <c r="LH198" s="38"/>
      <c r="LI198" s="38"/>
      <c r="LJ198" s="38"/>
      <c r="LK198" s="38"/>
      <c r="LL198" s="38"/>
      <c r="LM198" s="38"/>
      <c r="LN198" s="38"/>
      <c r="LO198" s="38"/>
      <c r="LP198" s="38"/>
      <c r="LQ198" s="38"/>
      <c r="LR198" s="38"/>
      <c r="LS198" s="38"/>
      <c r="LT198" s="38"/>
      <c r="LU198" s="38"/>
      <c r="LV198" s="38"/>
      <c r="LW198" s="38"/>
      <c r="LX198" s="38"/>
      <c r="LY198" s="38"/>
      <c r="LZ198" s="38"/>
      <c r="MA198" s="38"/>
      <c r="MB198" s="38"/>
      <c r="MC198" s="38"/>
      <c r="MD198" s="38"/>
      <c r="ME198" s="38"/>
      <c r="MF198" s="38"/>
      <c r="MG198" s="38"/>
      <c r="MH198" s="43"/>
      <c r="MI198" s="43"/>
      <c r="MJ198" s="43"/>
      <c r="MK198" s="43"/>
      <c r="ML198" s="43"/>
      <c r="MM198" s="43"/>
      <c r="MN198" s="43"/>
      <c r="MO198" s="43"/>
      <c r="MP198" s="43"/>
      <c r="MQ198" s="43"/>
      <c r="MR198" s="43"/>
      <c r="MS198" s="43"/>
      <c r="MT198" s="43"/>
      <c r="MU198" s="43"/>
      <c r="MV198" s="43"/>
      <c r="MW198" s="43"/>
      <c r="MX198" s="43"/>
      <c r="MY198" s="43"/>
      <c r="MZ198" s="43"/>
      <c r="NA198" s="43"/>
      <c r="NB198" s="43"/>
      <c r="NC198" s="43"/>
      <c r="ND198" s="43"/>
      <c r="NE198" s="43"/>
      <c r="NF198" s="43"/>
      <c r="NG198" s="43"/>
      <c r="NH198" s="43"/>
      <c r="NI198" s="43"/>
      <c r="NJ198" s="43"/>
      <c r="NK198" s="43"/>
      <c r="NL198" s="43"/>
      <c r="NM198" s="43"/>
      <c r="NN198" s="43"/>
      <c r="NO198" s="43"/>
      <c r="NP198" s="204"/>
      <c r="NQ198" s="21"/>
      <c r="NR198" s="21"/>
      <c r="NS198" s="205"/>
      <c r="NT198" s="21"/>
      <c r="NU198" s="21"/>
      <c r="NV198" s="21"/>
      <c r="NW198" s="206"/>
      <c r="NX198" s="207"/>
      <c r="NY198" s="43">
        <f>ROW(Tabla1[[#This Row],['# DE TAMIZAJES SIFILIS TOMADOS ]])</f>
        <v>198</v>
      </c>
      <c r="NZ198" s="43" t="str">
        <f t="shared" si="738"/>
        <v>Menor</v>
      </c>
      <c r="OA198" s="43" t="str">
        <f t="shared" si="739"/>
        <v>OBESIDAD</v>
      </c>
      <c r="OB198" s="43" t="str">
        <f t="shared" si="740"/>
        <v/>
      </c>
      <c r="OC198" s="43" t="str">
        <f t="shared" si="741"/>
        <v/>
      </c>
      <c r="OD198" s="43" t="str">
        <f t="shared" si="742"/>
        <v/>
      </c>
      <c r="OE198" s="43" t="str">
        <f t="shared" si="743"/>
        <v/>
      </c>
      <c r="OF198" s="43" t="str">
        <f t="shared" si="744"/>
        <v/>
      </c>
      <c r="OG198" s="43" t="str">
        <f t="shared" si="745"/>
        <v/>
      </c>
      <c r="OH198" s="43" t="str">
        <f t="shared" si="746"/>
        <v/>
      </c>
      <c r="OI198" s="43" t="str">
        <f t="shared" si="747"/>
        <v/>
      </c>
      <c r="OJ198" s="43" t="str">
        <f t="shared" si="748"/>
        <v/>
      </c>
      <c r="OK198" s="43" t="str">
        <f t="shared" si="749"/>
        <v/>
      </c>
      <c r="OL198" s="43" t="str">
        <f t="shared" si="750"/>
        <v/>
      </c>
      <c r="OM198" s="43" t="str">
        <f t="shared" si="751"/>
        <v/>
      </c>
      <c r="ON198" s="43" t="str">
        <f t="shared" si="752"/>
        <v/>
      </c>
      <c r="OO198" s="43" t="str">
        <f t="shared" si="753"/>
        <v/>
      </c>
      <c r="OP198" s="43" t="str">
        <f t="shared" si="754"/>
        <v/>
      </c>
      <c r="OQ198" s="43" t="str">
        <f t="shared" si="755"/>
        <v/>
      </c>
      <c r="OR198" s="43" t="str">
        <f t="shared" si="756"/>
        <v/>
      </c>
      <c r="OS198" s="43" t="str">
        <f t="shared" si="757"/>
        <v/>
      </c>
      <c r="OT198" s="43" t="str">
        <f t="shared" si="758"/>
        <v/>
      </c>
      <c r="OU198" s="43" t="str">
        <f t="shared" si="759"/>
        <v/>
      </c>
      <c r="OV198" s="110" t="str">
        <f t="shared" si="760"/>
        <v/>
      </c>
      <c r="OW198" s="43" t="str">
        <f t="shared" si="761"/>
        <v/>
      </c>
      <c r="OX198" s="43" t="str">
        <f t="shared" si="762"/>
        <v/>
      </c>
      <c r="OY198" s="43" t="str">
        <f t="shared" si="763"/>
        <v/>
      </c>
      <c r="OZ198" s="43" t="str">
        <f t="shared" si="764"/>
        <v/>
      </c>
      <c r="PA198" s="43" t="str">
        <f t="shared" si="765"/>
        <v/>
      </c>
      <c r="PB198" s="43" t="str">
        <f t="shared" si="766"/>
        <v/>
      </c>
      <c r="PC198" s="43" t="str">
        <f t="shared" si="767"/>
        <v/>
      </c>
      <c r="PD198" s="43" t="str">
        <f t="shared" si="768"/>
        <v/>
      </c>
      <c r="PE198" s="43" t="str">
        <f t="shared" si="769"/>
        <v/>
      </c>
      <c r="PF198" s="43" t="str">
        <f t="shared" si="770"/>
        <v/>
      </c>
      <c r="PG198" s="43" t="str">
        <f t="shared" si="771"/>
        <v/>
      </c>
      <c r="PH198" s="43" t="str">
        <f t="shared" si="772"/>
        <v/>
      </c>
      <c r="PI198" s="43" t="str">
        <f t="shared" si="773"/>
        <v>Menor</v>
      </c>
      <c r="PJ198" s="43" t="str">
        <f t="shared" si="774"/>
        <v>OBESIDAD</v>
      </c>
      <c r="PK198" s="43" t="str">
        <f t="shared" si="775"/>
        <v/>
      </c>
      <c r="PL198" s="43" t="str">
        <f t="shared" si="776"/>
        <v/>
      </c>
      <c r="PM198" s="43" t="str">
        <f t="shared" si="777"/>
        <v/>
      </c>
      <c r="PN198" s="43" t="str">
        <f t="shared" si="778"/>
        <v/>
      </c>
      <c r="PO198" s="43" t="str">
        <f t="shared" si="779"/>
        <v/>
      </c>
      <c r="PP198" s="43" t="str">
        <f t="shared" si="780"/>
        <v/>
      </c>
      <c r="PQ198" s="43" t="str">
        <f t="shared" si="781"/>
        <v/>
      </c>
      <c r="PR198" s="43" t="str">
        <f t="shared" si="782"/>
        <v/>
      </c>
      <c r="PS198" s="43" t="str">
        <f t="shared" si="783"/>
        <v/>
      </c>
      <c r="PT198" s="43" t="str">
        <f t="shared" si="784"/>
        <v/>
      </c>
      <c r="PU198" s="43" t="str">
        <f t="shared" si="785"/>
        <v/>
      </c>
      <c r="PV198" s="43" t="str">
        <f t="shared" si="786"/>
        <v/>
      </c>
      <c r="PW198" s="43" t="str">
        <f t="shared" si="787"/>
        <v/>
      </c>
      <c r="PX198" s="43" t="str">
        <f t="shared" si="788"/>
        <v/>
      </c>
      <c r="PY198" s="43" t="str">
        <f t="shared" si="789"/>
        <v/>
      </c>
      <c r="PZ198" s="43" t="str">
        <f t="shared" si="790"/>
        <v/>
      </c>
      <c r="QA198" s="43" t="str">
        <f t="shared" si="791"/>
        <v/>
      </c>
      <c r="QB198" s="43" t="str">
        <f t="shared" si="792"/>
        <v/>
      </c>
      <c r="QC198" s="43" t="str">
        <f t="shared" si="793"/>
        <v/>
      </c>
      <c r="QD198" s="43" t="str">
        <f t="shared" si="794"/>
        <v/>
      </c>
      <c r="QE198" s="43" t="str">
        <f t="shared" si="795"/>
        <v/>
      </c>
      <c r="QF198" s="43" t="str">
        <f t="shared" si="796"/>
        <v/>
      </c>
      <c r="QG198" s="43" t="str">
        <f t="shared" si="797"/>
        <v/>
      </c>
      <c r="QH198" s="43" t="str">
        <f t="shared" si="798"/>
        <v/>
      </c>
      <c r="QI198" s="43" t="str">
        <f t="shared" si="799"/>
        <v/>
      </c>
      <c r="QJ198" s="43" t="str">
        <f t="shared" si="800"/>
        <v/>
      </c>
      <c r="QK198" s="43" t="str">
        <f t="shared" si="801"/>
        <v/>
      </c>
      <c r="QL198" s="43" t="str">
        <f t="shared" si="802"/>
        <v/>
      </c>
      <c r="QM198" s="43" t="str">
        <f t="shared" si="803"/>
        <v/>
      </c>
      <c r="QN198" s="43" t="str">
        <f t="shared" si="804"/>
        <v/>
      </c>
      <c r="QO198" s="43" t="str">
        <f t="shared" si="805"/>
        <v/>
      </c>
      <c r="QP198" s="43" t="str">
        <f t="shared" si="806"/>
        <v/>
      </c>
      <c r="QQ198" s="43" t="str">
        <f t="shared" si="807"/>
        <v/>
      </c>
      <c r="QR198" s="43" t="str">
        <f t="shared" si="837"/>
        <v>Menor</v>
      </c>
      <c r="QS198" s="43"/>
      <c r="QT198" s="21" t="str">
        <f t="shared" si="808"/>
        <v/>
      </c>
      <c r="QU198" s="21" t="str">
        <f t="shared" si="809"/>
        <v/>
      </c>
      <c r="QV198" s="21" t="str">
        <f t="shared" si="810"/>
        <v/>
      </c>
      <c r="QW198" s="21" t="str">
        <f t="shared" si="811"/>
        <v/>
      </c>
      <c r="QX198" s="21" t="str">
        <f t="shared" si="812"/>
        <v/>
      </c>
      <c r="QY198" s="21" t="str">
        <f t="shared" si="813"/>
        <v/>
      </c>
      <c r="QZ198" s="21" t="str">
        <f t="shared" si="814"/>
        <v/>
      </c>
      <c r="RA198" s="21" t="str">
        <f t="shared" si="815"/>
        <v/>
      </c>
      <c r="RB198" s="21" t="str">
        <f t="shared" si="816"/>
        <v/>
      </c>
      <c r="RC198" s="21" t="str">
        <f t="shared" si="817"/>
        <v/>
      </c>
      <c r="RD198" s="21" t="str">
        <f t="shared" si="818"/>
        <v/>
      </c>
      <c r="RE198" s="21" t="str">
        <f t="shared" si="819"/>
        <v/>
      </c>
      <c r="RF198" s="21" t="str">
        <f t="shared" si="820"/>
        <v/>
      </c>
      <c r="RG198" s="21" t="str">
        <f t="shared" si="821"/>
        <v/>
      </c>
      <c r="RH198" s="21" t="str">
        <f t="shared" si="822"/>
        <v/>
      </c>
      <c r="RI198" s="21" t="str">
        <f t="shared" si="823"/>
        <v/>
      </c>
      <c r="RJ198" s="21" t="str">
        <f t="shared" si="824"/>
        <v/>
      </c>
      <c r="RK198" s="21" t="str">
        <f t="shared" si="825"/>
        <v/>
      </c>
      <c r="RL198" s="21" t="str">
        <f t="shared" si="826"/>
        <v/>
      </c>
      <c r="RM198" s="21" t="str">
        <f t="shared" si="827"/>
        <v/>
      </c>
      <c r="RN198" s="21" t="str">
        <f t="shared" si="828"/>
        <v/>
      </c>
      <c r="RO198" s="21" t="str">
        <f t="shared" si="829"/>
        <v/>
      </c>
      <c r="RP198" s="21" t="str">
        <f t="shared" si="830"/>
        <v/>
      </c>
      <c r="RQ198" s="21" t="str">
        <f t="shared" si="831"/>
        <v/>
      </c>
      <c r="RR198" s="21" t="str">
        <f t="shared" si="832"/>
        <v/>
      </c>
      <c r="RS198" s="21" t="str">
        <f t="shared" si="833"/>
        <v/>
      </c>
      <c r="RT198" s="21" t="str">
        <f t="shared" si="834"/>
        <v/>
      </c>
      <c r="RU198" s="21" t="str">
        <f t="shared" si="835"/>
        <v/>
      </c>
      <c r="RV198" s="21">
        <f t="shared" si="836"/>
        <v>-1</v>
      </c>
      <c r="RW198" s="284">
        <f>IF(OR(Tabla1[[#This Row],[FUM FORMULA CONFIABLE]]="",Tabla1[[#This Row],[FUM FORMULA CONFIABLE]]="SD"),"",IF(Tabla1[[#This Row],[FUM FORMULA CONFIABLE]]="CORREGIDA",Tabla1[[#This Row],[FUM X ECO 1]],Tabla1[[#This Row],[FUM x AMENORREA]]))</f>
        <v>45038</v>
      </c>
      <c r="RX198" s="21" t="str">
        <f>IF(AND(Tabla1[[#This Row],[FUM X ECO 1]]="",Tabla1[[#This Row],[FUM x AMENORREA]]=""),"",IF(AND(Tabla1[[#This Row],[FUM X ECO 1]]="",Tabla1[[#This Row],[FUM x AMENORREA]]&lt;&gt;""),"X",SUM(Tabla1[[#This Row],[FUM X ECO 1]]-Tabla1[[#This Row],[FUM x AMENORREA]])))</f>
        <v>X</v>
      </c>
      <c r="RY198" s="21" t="str">
        <f t="shared" si="838"/>
        <v>x</v>
      </c>
    </row>
    <row r="199" spans="1:493" ht="45" customHeight="1" x14ac:dyDescent="0.25">
      <c r="A199" s="109"/>
      <c r="B199" s="43"/>
      <c r="C199" s="43" t="s">
        <v>845</v>
      </c>
      <c r="D199" s="124"/>
      <c r="E199" s="43" t="s">
        <v>1156</v>
      </c>
      <c r="F199" s="43" t="s">
        <v>980</v>
      </c>
      <c r="G199" s="43" t="s">
        <v>1547</v>
      </c>
      <c r="H199" s="43"/>
      <c r="I199" s="109" t="s">
        <v>1094</v>
      </c>
      <c r="J199" s="110">
        <v>1059597328</v>
      </c>
      <c r="K199" s="43" t="s">
        <v>852</v>
      </c>
      <c r="L199" s="175" t="s">
        <v>1509</v>
      </c>
      <c r="M199" s="22">
        <v>39129</v>
      </c>
      <c r="N199" s="213">
        <f t="shared" ca="1" si="839"/>
        <v>16.723287671232878</v>
      </c>
      <c r="O199" s="22">
        <v>45094</v>
      </c>
      <c r="P199" s="214" t="str">
        <f t="shared" si="673"/>
        <v>SI</v>
      </c>
      <c r="Q199" s="26" t="s">
        <v>855</v>
      </c>
      <c r="R199" s="22">
        <v>45094</v>
      </c>
      <c r="S199" s="21" t="s">
        <v>856</v>
      </c>
      <c r="T199" s="24" t="s">
        <v>690</v>
      </c>
      <c r="U199" s="21" t="s">
        <v>857</v>
      </c>
      <c r="V199" s="21" t="s">
        <v>858</v>
      </c>
      <c r="W199" s="21" t="s">
        <v>1338</v>
      </c>
      <c r="X199" s="21"/>
      <c r="Y199" s="21" t="s">
        <v>859</v>
      </c>
      <c r="Z199" s="21" t="s">
        <v>1568</v>
      </c>
      <c r="AA199" s="21" t="s">
        <v>860</v>
      </c>
      <c r="AB199" s="27" t="s">
        <v>861</v>
      </c>
      <c r="AC199" s="26" t="s">
        <v>888</v>
      </c>
      <c r="AD199" s="38" t="s">
        <v>1546</v>
      </c>
      <c r="AE199" s="26" t="s">
        <v>854</v>
      </c>
      <c r="AF199" s="26" t="s">
        <v>854</v>
      </c>
      <c r="AG199" s="23" t="s">
        <v>864</v>
      </c>
      <c r="AH199" s="23" t="s">
        <v>864</v>
      </c>
      <c r="AI199" s="24" t="s">
        <v>863</v>
      </c>
      <c r="AJ199" s="23" t="s">
        <v>864</v>
      </c>
      <c r="AK199" s="220" t="str">
        <f>IF(AND(AD199="",AE199="",AF199="",AG199="",AH199="",AI199="",AJ199=""),"",IF(OR(Tabla1[[#This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EVALUACIÓN",IF(AND(O199="",R199=""),"",IF(AND(OR(O199&gt;0,R199&gt;0),NG199&gt;=0,NG199&lt;2),"SIN RIESGO",IF(AND(OR(O199&gt;0,R199&gt;0),NG199&gt;=2),"CON RIESGO","ASD")))))</f>
        <v>SIN RIESGO</v>
      </c>
      <c r="AL199" s="23" t="s">
        <v>864</v>
      </c>
      <c r="AM199" s="26" t="s">
        <v>864</v>
      </c>
      <c r="AN199" s="26" t="s">
        <v>864</v>
      </c>
      <c r="AO199" s="26" t="s">
        <v>864</v>
      </c>
      <c r="AP199" s="26" t="s">
        <v>864</v>
      </c>
      <c r="AQ199" s="26" t="s">
        <v>864</v>
      </c>
      <c r="AR199" s="26" t="s">
        <v>864</v>
      </c>
      <c r="AS199" s="21">
        <v>0</v>
      </c>
      <c r="AT199" s="21">
        <v>0</v>
      </c>
      <c r="AU199" s="21">
        <v>0</v>
      </c>
      <c r="AV199" s="26" t="s">
        <v>864</v>
      </c>
      <c r="AW199" s="21">
        <v>0</v>
      </c>
      <c r="AX199" s="26" t="s">
        <v>864</v>
      </c>
      <c r="AY199" s="26" t="s">
        <v>864</v>
      </c>
      <c r="AZ199" s="26" t="s">
        <v>864</v>
      </c>
      <c r="BA199" s="26" t="s">
        <v>864</v>
      </c>
      <c r="BB199" s="26" t="s">
        <v>864</v>
      </c>
      <c r="BC199" s="26" t="s">
        <v>864</v>
      </c>
      <c r="BD199" s="26" t="s">
        <v>864</v>
      </c>
      <c r="BE199" s="26" t="s">
        <v>864</v>
      </c>
      <c r="BF199" s="26" t="s">
        <v>864</v>
      </c>
      <c r="BG199" s="26" t="s">
        <v>864</v>
      </c>
      <c r="BH199" s="26" t="s">
        <v>864</v>
      </c>
      <c r="BI199" s="26" t="s">
        <v>864</v>
      </c>
      <c r="BJ199" s="26" t="s">
        <v>864</v>
      </c>
      <c r="BK199" s="26" t="s">
        <v>864</v>
      </c>
      <c r="BL199" s="26" t="s">
        <v>864</v>
      </c>
      <c r="BM199" s="26" t="s">
        <v>864</v>
      </c>
      <c r="BN199" s="22"/>
      <c r="BO199" s="22">
        <v>45001</v>
      </c>
      <c r="BP199" s="21" t="s">
        <v>1380</v>
      </c>
      <c r="BQ199" s="222">
        <f t="shared" si="840"/>
        <v>0</v>
      </c>
      <c r="BR199" s="223">
        <f t="shared" si="841"/>
        <v>45121</v>
      </c>
      <c r="BS199" s="224">
        <f t="shared" si="842"/>
        <v>-3.8571428571428572</v>
      </c>
      <c r="BT199" s="216" t="str">
        <f t="shared" si="843"/>
        <v>ERROR FUM O INGRESO O ECO</v>
      </c>
      <c r="BU199" s="214">
        <f t="shared" ca="1" si="844"/>
        <v>16</v>
      </c>
      <c r="BV199" s="25" t="s">
        <v>988</v>
      </c>
      <c r="BW199" s="22">
        <v>45121</v>
      </c>
      <c r="BX199" s="28">
        <v>18.399999999999999</v>
      </c>
      <c r="BY199" s="28"/>
      <c r="BZ199" s="22"/>
      <c r="CA199" s="21"/>
      <c r="CB199" s="26" t="s">
        <v>864</v>
      </c>
      <c r="CC199" s="26" t="s">
        <v>864</v>
      </c>
      <c r="CD199" s="26"/>
      <c r="CE199" s="26" t="s">
        <v>864</v>
      </c>
      <c r="CF199" s="22" t="s">
        <v>1517</v>
      </c>
      <c r="CG199" s="21">
        <v>1.52</v>
      </c>
      <c r="CH199" s="21">
        <v>58.8</v>
      </c>
      <c r="CI199" s="214">
        <f t="shared" si="845"/>
        <v>25.450138504155124</v>
      </c>
      <c r="CJ199" s="225" t="str">
        <f>IF(AND(CI199&lt;10,CH199="SD"),"SIN DATO PESO PREGESTACION O I TRIM",IF(AND(OR(R199&gt;0,O199&gt;0),CI199="X"),"INGRESAR DATO DE PESO",IF(CI199="SD","INGRESAR DATO DE TALLA Y PESO",IF(AND(OR(Tabla1[[#This Row],[MOMENTO EN QUE SE REALIZA EL PESO AL INGRESO A CPN]]="PREGESTACIÓN",NZ199="Menor"),CI199&lt;18.5),"BAJO PESO",IF(AND(OR(Tabla1[[#This Row],[MOMENTO EN QUE SE REALIZA EL PESO AL INGRESO A CPN]]="PREGESTACIÓN",NZ199="Menor"),CI199&lt;25),"NORMAL",IF(AND(OR(Tabla1[[#This Row],[MOMENTO EN QUE SE REALIZA EL PESO AL INGRESO A CPN]]="PREGESTACIÓN",NZ199="Menor"),CI199&lt;30),"SOBREPESO",IF(AND(OR(Tabla1[[#This Row],[MOMENTO EN QUE SE REALIZA EL PESO AL INGRESO A CPN]]="PREGESTACIÓN",NZ199="Menor"),CI199&gt;=30,CI199&lt;50),"OBESIDAD",IF(AND(BS199&gt;0,Tabla1[[#This Row],[MOMENTO EN QUE SE REALIZA EL PESO AL INGRESO A CPN]]="GESTACIÓN"),HLOOKUP(NZ199,$OA$2:PH199,NY199),""))))))))</f>
        <v>SOBREPESO</v>
      </c>
      <c r="CK199" s="212">
        <f t="shared" si="846"/>
        <v>45149</v>
      </c>
      <c r="CL199" s="21">
        <v>63</v>
      </c>
      <c r="CM199" s="214">
        <f t="shared" si="847"/>
        <v>27.268005540166204</v>
      </c>
      <c r="CN199" s="216">
        <f t="shared" si="848"/>
        <v>4</v>
      </c>
      <c r="CO199" s="216" t="e">
        <f>IF(PI199="","",IF(PI199&gt;0,HLOOKUP(PI199,$PJ$2:QQ199,NY199),""))</f>
        <v>#REF!</v>
      </c>
      <c r="CP199" s="21">
        <v>24</v>
      </c>
      <c r="CQ199" s="216" t="str">
        <f>IF(QR199="Menor","NO APLICA-MENOR 13 SEM",IF(AND(CC199="SI",CN199&gt;23),"NO APLICA- GEMELAR",IF(QR199="","",IF(QR199&gt;0,HLOOKUP(QR199,$QS$2:RU199,NY199),""))))</f>
        <v>NO APLICA-MENOR 13 SEM</v>
      </c>
      <c r="CR199" s="21"/>
      <c r="CS199" s="21"/>
      <c r="CT199" s="217" t="str">
        <f>IF(R199="","",IF(AND(BS199&gt;1,BS199&lt;12,Tabla1[[#This Row],[T.A. SISTOLICA - ANTES DE SEMANA 12]]="",Tabla1[[#This Row],[T.A. DIASTOLICA - ANTES DE SEMANA 12]]=""),"REGISTRE DATO TA ANTES SEMANA 12",IF(AND(BS199&gt;11,BS199&lt;43,Tabla1[[#This Row],[T.A. SISTOLICA - ANTES DE SEMANA 12]]="",Tabla1[[#This Row],[T.A. DIASTOLICA - ANTES DE SEMANA 12]]=""),"NO APLICA REGISTRO TA-INGRESO TARDIO",IF(AND(OR(O199&gt;0,R199&gt;0),OR(CR199&gt;=140,CS199&gt;=90)),"DEFINIR ESTADIO HTA",IF(AND(OR(O199&gt;0,R199&gt;0),AND(CR199&gt;120,CR199&lt;=139)),"PRE HTA SEGUIMIENTO",IF(AND(OR(O199&gt;0,R199&gt;0),AND(CS199&gt;80,CS199&lt;=89)),"PRE HTA SEGUIMIENTO",IF(AND(OR(O199&gt;0,R199&gt;0),AND(CR199&gt;=80,CR199&lt;=120)),"APARENTEMENTE NORMAL",IF(AND(OR(O199&gt;0,R199&gt;0),AND(CS199&gt;=50,CS199&lt;=80)),"APARENTEMENTE NORMAL",IF(AND(OR(O199&gt;0,R199&gt;0),AND(CR199&gt;1,CR199&lt;=70),AND(CS199&gt;1,CS199&lt;=40)),"HIPOTENSIÓN","")))))))))</f>
        <v/>
      </c>
      <c r="CU199" s="21">
        <v>100</v>
      </c>
      <c r="CV199" s="21">
        <v>60</v>
      </c>
      <c r="CW199" s="217" t="str">
        <f ca="1">IF(R199="","",IF(AND(CN199&gt;19,CN199&lt;27,Tabla1[[#This Row],[T.A. SISTOLICA (Entre semana 20 y 26)]]="",Tabla1[[#This Row],[T.A. DIATOLICA (Entre semana 20 y 26)]]=""),"ACUDE A CONTROL SEM 20 A 26 REGISTRE TA AHORA",IF(AND(BS199&gt;1,BS199&lt;27,BU199&gt;19,Tabla1[[#This Row],[T.A. SISTOLICA (Entre semana 20 y 26)]]="",Tabla1[[#This Row],[T.A. DIATOLICA (Entre semana 20 y 26)]]=""),"COMPLETE REGISTRO TA CONTROL SEM 20 A26 ",IF(AND(BS199&gt;26,BS199&lt;43,Tabla1[[#This Row],[T.A. SISTOLICA (Entre semana 20 y 26)]]="",Tabla1[[#This Row],[T.A. DIATOLICA (Entre semana 20 y 26)]]=""),"NO APLICA REGISTRO TA-INGRESO TARDIO",IF(AND(OR(O199&gt;0,R199&gt;0),OR(CU199&gt;=140,CV199&gt;=90)),"ALTO RIESGO PREECLAMPSIA,DEFINIR ESTADIO HTA",IF(AND(OR(O199&gt;0,R199&gt;0),AND(CU199&gt;120,CU199&lt;=139)),"PRE HTA SEGUIMIENTO,RIESGO HIPERTENSION INDUCIDA POR EL EMBARAZO",IF(AND(OR(O199&gt;0,R199&gt;0),AND(CV199&gt;80,CV199&lt;=89)),"PRE HTA SEGUIMIENTO, RIESGO HIPERTENSION INDUCIDA POR EL EMBARAZO",IF(AND(OR(O199&lt;&gt;"",R199&lt;&gt;""),CS199&lt;&gt;"",CV199&lt;&gt;"",CS199&lt;=CV199),"VIGILAR CIFRAS PRESION ARTERIAL",IF(AND(OR(O199&gt;0,R199&gt;0),AND(CU199&gt;120,CU199&lt;=139)),"PRE HTA SEGUIMIENTO",IF(AND(OR(O199&gt;0,R199&gt;0),AND(CU199&gt;1,CU199&lt;=70),AND(CV199&gt;1,CV199&lt;=40)),"HIPOTENSIÓN",IF(AND(OR(O199&lt;&gt;"",R199&lt;&gt;""),CS199&lt;&gt;"",CV199&lt;&gt;"",CS199&gt;CV199),"APARENTEMENTE NORMAL",IF(AND(OR(O199&gt;0,R199&gt;0),AND(CU199&gt;=80,CU199&lt;=120)),"APARENTEMENTE NORMAL",IF(AND(OR(O199&gt;0,R199&gt;0),AND(CV199&gt;=50,CV199&lt;=80)),"APARENTEMENTE NORMAL","")))))))))))))</f>
        <v>APARENTEMENTE NORMAL</v>
      </c>
      <c r="CX199" s="21"/>
      <c r="CY199" s="21"/>
      <c r="CZ199" s="216" t="e">
        <f>IF(R199="","",IF(AND(CN199&gt;31,CN199&lt;35,CX199="",CY199=""),"ACUDE A CONTROL SEM 30 A 34- REGISTRE AHORA",IF(AND(BS199&gt;34,BS199&lt;43,#REF!="",#REF!=""),"NO APLICA-INGRESO TARDIO",IF(AND(OR(O199&gt;0,R199&gt;0),OR(CX199&gt;=140,CY199&gt;=90)),"ESTUDIO INMEDIATO HTA PARA DESCARTAR PREECLAMSIA",IF(AND(OR(O199&gt;0,R199&gt;0),AND(CX199&gt;=130,CX199&lt;=139)),"PRE HTA,RIESGO ALTO PREECLAMPSIA",IF(AND(OR(O199&gt;0,R199&gt;0),AND(CY199&gt;80,CY199&lt;=89)),"PRE HTA,RIESGO ALTO PREECLAMPSIA",IF(AND(OR(O199&gt;0,R199&gt;0),AND(CX199&gt;120,CX199&lt;=129)),"RANGO PREHIPERTENSIVO SEGUIMIENTO HTA",IF(AND(OR(O199&lt;&gt;"",R199&lt;&gt;""),CS199&lt;&gt;"",CY199&lt;&gt;"",CS199&lt;CY199),"VIGILAR CIFRAS PRESION ARTERIAL",IF(AND(OR(O199&lt;&gt;"",R199&lt;&gt;""),CS199&lt;&gt;"",CY199&lt;&gt;"",CS199=CY199),"APARENTEMENTE NORMAL",IF(AND(OR(O199&gt;0,R199&gt;0),CX199&gt;=80,CX199&lt;=120),"APARENTEMENTE NORMAL",IF(AND(OR(O199&gt;0,R199&gt;0),CY199&gt;=50,CY199&lt;=80),"APARENTEMENTE NORMAL","")))))))))))</f>
        <v>#REF!</v>
      </c>
      <c r="DA199" s="21">
        <v>90</v>
      </c>
      <c r="DB199" s="21">
        <v>60</v>
      </c>
      <c r="DC199" s="217" t="str">
        <f t="shared" si="849"/>
        <v>APARENTEMENTE NORMAL</v>
      </c>
      <c r="DD199" s="22">
        <v>45094</v>
      </c>
      <c r="DE199" s="22">
        <v>45094</v>
      </c>
      <c r="DF199" s="22">
        <v>45121</v>
      </c>
      <c r="DG199" s="22">
        <v>45149</v>
      </c>
      <c r="DH199" s="22"/>
      <c r="DI199" s="22"/>
      <c r="DJ199" s="22"/>
      <c r="DK199" s="22"/>
      <c r="DL199" s="22"/>
      <c r="DM199" s="22"/>
      <c r="DN199" s="22"/>
      <c r="DO199" s="22"/>
      <c r="DP199" s="22"/>
      <c r="DQ199" s="22"/>
      <c r="DR199" s="28"/>
      <c r="DS199" s="22"/>
      <c r="DT199" s="22"/>
      <c r="DU199" s="216" t="str">
        <f t="shared" ca="1" si="674"/>
        <v>EN ESPERA</v>
      </c>
      <c r="DV199" s="226" t="str">
        <f t="shared" si="675"/>
        <v>ACTIVA INGRESO A CPN</v>
      </c>
      <c r="DW19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199" s="216" t="str">
        <f t="shared" si="850"/>
        <v>DIA DE CONTROL</v>
      </c>
      <c r="DY199" s="212">
        <f>IF(R199="","",IF(R199&gt;0,MAX(Tabla1[[#This Row],[FECHA C2]:[FECHA C13]],Tabla1[[#This Row],[FECHA CONSULTA PRIMERA VEZ PROGRAMA CPN ]])))</f>
        <v>45149</v>
      </c>
      <c r="DZ199" s="216">
        <f t="shared" si="851"/>
        <v>4</v>
      </c>
      <c r="EA199" s="222">
        <f>IF(R199&gt;0,SUM(COUNTA(DF199:DQ199)+COUNTA(Tabla1[[#This Row],[FECHA CONSULTA PRIMERA VEZ PROGRAMA CPN ]])),"")</f>
        <v>3</v>
      </c>
      <c r="EB199" s="222" t="str">
        <f t="shared" si="852"/>
        <v>NO</v>
      </c>
      <c r="EC199" s="214" t="str">
        <f t="shared" si="853"/>
        <v>X</v>
      </c>
      <c r="ED199" s="227" t="e">
        <f t="shared" si="854"/>
        <v>#VALUE!</v>
      </c>
      <c r="EE199" s="22">
        <v>45094</v>
      </c>
      <c r="EF199" s="22">
        <v>45094</v>
      </c>
      <c r="EG199" s="22">
        <v>45094</v>
      </c>
      <c r="EH199" s="22"/>
      <c r="EI199" s="22">
        <v>45094</v>
      </c>
      <c r="EJ199" s="22">
        <v>45148</v>
      </c>
      <c r="EK199" s="22"/>
      <c r="EL199" s="21"/>
      <c r="EM199" s="21">
        <v>12.7</v>
      </c>
      <c r="EN199" s="22">
        <v>45140</v>
      </c>
      <c r="EO199" s="222">
        <f t="shared" si="855"/>
        <v>2.7142857142857144</v>
      </c>
      <c r="EP199" s="214" t="str">
        <f t="shared" si="856"/>
        <v>NORMAL- SUMINISTRAR SULFATO FERROSO</v>
      </c>
      <c r="EQ199" s="216" t="str">
        <f t="shared" si="857"/>
        <v>I TRIM</v>
      </c>
      <c r="ER199" s="24"/>
      <c r="ES199" s="22"/>
      <c r="ET199" s="29" t="str">
        <f t="shared" ca="1" si="676"/>
        <v>EN ESPERA PARA TOMA EXAMEN</v>
      </c>
      <c r="EU199" s="25" t="str">
        <f t="shared" si="858"/>
        <v/>
      </c>
      <c r="EV199" s="24" t="s">
        <v>1510</v>
      </c>
      <c r="EW199" s="22">
        <v>45140</v>
      </c>
      <c r="EX199" s="22"/>
      <c r="EY199" s="29">
        <f t="shared" si="691"/>
        <v>2.7142857142857144</v>
      </c>
      <c r="EZ199" s="25" t="str">
        <f t="shared" si="692"/>
        <v>SIN RIESGO DE ISOINMUNIZACIÓN</v>
      </c>
      <c r="FA199" s="21">
        <v>64</v>
      </c>
      <c r="FB199" s="22">
        <v>45140</v>
      </c>
      <c r="FC199" s="29">
        <f t="shared" si="859"/>
        <v>2.7142857142857144</v>
      </c>
      <c r="FD199" s="29"/>
      <c r="FE199" s="29"/>
      <c r="FF199" s="29"/>
      <c r="FG199" s="21" t="str">
        <f t="shared" ca="1" si="860"/>
        <v/>
      </c>
      <c r="FH199" s="31"/>
      <c r="FI199" s="29" t="str">
        <f t="shared" si="861"/>
        <v>TOMAR EXAMEN</v>
      </c>
      <c r="FJ199" s="22" t="s">
        <v>867</v>
      </c>
      <c r="FK199" s="22">
        <v>45140</v>
      </c>
      <c r="FL199" s="29">
        <f t="shared" ca="1" si="862"/>
        <v>2.7142857142857144</v>
      </c>
      <c r="FM199" s="22"/>
      <c r="FN199" s="32"/>
      <c r="FO199" s="29" t="str">
        <f t="shared" ca="1" si="677"/>
        <v>EN RANGO PARA TOMAR EXAMEN</v>
      </c>
      <c r="FP199" s="22"/>
      <c r="FQ199" s="32"/>
      <c r="FR199" s="29" t="str">
        <f t="shared" ca="1" si="678"/>
        <v>EN ESPERA-ESTÁ I TRIM O II TRIM</v>
      </c>
      <c r="FS199" s="22"/>
      <c r="FT199" s="32"/>
      <c r="FU199" s="29" t="str">
        <f>IF(AND(FJ199="",FM199="",FP199="",FS199=""),"",IF(OR(OR(Tabla1[[#This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199" s="28"/>
      <c r="FW199" s="22"/>
      <c r="FX199" s="29" t="str">
        <f t="shared" si="863"/>
        <v>TOMAR EXAMEN</v>
      </c>
      <c r="FY199" s="22" t="s">
        <v>868</v>
      </c>
      <c r="FZ199" s="22">
        <v>45140</v>
      </c>
      <c r="GA199" s="29">
        <f t="shared" ca="1" si="737"/>
        <v>2.7142857142857144</v>
      </c>
      <c r="GB199" s="22"/>
      <c r="GC199" s="22"/>
      <c r="GD199" s="29" t="str">
        <f t="shared" ca="1" si="730"/>
        <v>EN RANGO PARA TOMAR EXAMEN</v>
      </c>
      <c r="GE199" s="22"/>
      <c r="GF199" s="22"/>
      <c r="GG199" s="29" t="str">
        <f t="shared" ca="1" si="680"/>
        <v>EN ESPERA-ESTÁ I TRIM O II TRIM</v>
      </c>
      <c r="GH199" s="22"/>
      <c r="GI199" s="29"/>
      <c r="GJ199" s="22"/>
      <c r="GK199" s="22"/>
      <c r="GL199" s="22"/>
      <c r="GM199" s="22"/>
      <c r="GN199" s="28" t="s">
        <v>869</v>
      </c>
      <c r="GO199" s="22">
        <v>45140</v>
      </c>
      <c r="GP199" s="29">
        <f t="shared" si="864"/>
        <v>2.7142857142857144</v>
      </c>
      <c r="GQ199" s="28" t="s">
        <v>869</v>
      </c>
      <c r="GR199" s="22" t="s">
        <v>869</v>
      </c>
      <c r="GS199" s="22" t="str">
        <f t="shared" si="726"/>
        <v>CONTROL Igm</v>
      </c>
      <c r="GT199" s="22">
        <v>45140</v>
      </c>
      <c r="GU199" s="29">
        <f t="shared" si="865"/>
        <v>19.857142857142858</v>
      </c>
      <c r="GV199" s="21" t="str">
        <f t="shared" si="866"/>
        <v>II TRIM</v>
      </c>
      <c r="GW199" s="28"/>
      <c r="GX199" s="30"/>
      <c r="GY199" s="21"/>
      <c r="GZ199" s="21"/>
      <c r="HA199" s="21"/>
      <c r="HB199" s="21"/>
      <c r="HC199" s="21"/>
      <c r="HD199" s="21"/>
      <c r="HE199" s="21"/>
      <c r="HF199" s="22"/>
      <c r="HG199" s="22" t="str">
        <f>IF(OR(O199&gt;0,R199&gt;0),CONCATENATE(IF(Tabla1[[#This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199" s="22" t="e">
        <f t="shared" si="867"/>
        <v>#REF!</v>
      </c>
      <c r="HI199" s="22" t="e">
        <f t="shared" si="868"/>
        <v>#REF!</v>
      </c>
      <c r="HJ199" s="21"/>
      <c r="HK199" s="21" t="str">
        <f t="shared" si="869"/>
        <v>SIN ANTECEDENTES DE RIESGO</v>
      </c>
      <c r="HL199" s="24" t="str">
        <f t="shared" si="870"/>
        <v>APARENTEMENTE NORMAL</v>
      </c>
      <c r="HM199" s="21" t="str">
        <f t="shared" si="871"/>
        <v>DIA DE CONTROL</v>
      </c>
      <c r="HN199" s="30" t="str">
        <f t="shared" si="681"/>
        <v>ACTIVA INGRESO A CPN</v>
      </c>
      <c r="HO199" s="21"/>
      <c r="HP199" s="21"/>
      <c r="HQ199" s="349"/>
      <c r="HR199" s="21"/>
      <c r="HS199" s="22"/>
      <c r="HT199" s="22"/>
      <c r="HU199" s="22"/>
      <c r="HV199" s="22" t="s">
        <v>1544</v>
      </c>
      <c r="HW199" s="22">
        <v>45094</v>
      </c>
      <c r="HX199" s="22" t="s">
        <v>1511</v>
      </c>
      <c r="HY199" s="22">
        <v>45094</v>
      </c>
      <c r="HZ199" s="28" t="str">
        <f t="shared" si="872"/>
        <v>CORREGIR FECHA CONSULTA</v>
      </c>
      <c r="IA199" s="26"/>
      <c r="IB199" s="26"/>
      <c r="IC199" s="111"/>
      <c r="ID199" s="22"/>
      <c r="IE199" s="22" t="str">
        <f t="shared" ca="1" si="873"/>
        <v>EN ESPERA PARA VACUNAR</v>
      </c>
      <c r="IF199" s="22"/>
      <c r="IG199" s="22">
        <f t="shared" si="874"/>
        <v>45401</v>
      </c>
      <c r="IH199" s="29">
        <f t="shared" ca="1" si="875"/>
        <v>168</v>
      </c>
      <c r="II199" s="22" t="str">
        <f t="shared" ca="1" si="876"/>
        <v>PENDIENTE</v>
      </c>
      <c r="IJ199" s="22"/>
      <c r="IK199" s="21"/>
      <c r="IL199" s="21"/>
      <c r="IM199" s="34"/>
      <c r="IN199" s="22"/>
      <c r="IO199" s="21"/>
      <c r="IP199" s="29"/>
      <c r="IQ199" s="35"/>
      <c r="IR199" s="21"/>
      <c r="IS199" s="21"/>
      <c r="IT199" s="21"/>
      <c r="IU199" s="21"/>
      <c r="IV199" s="21"/>
      <c r="IW199" s="21"/>
      <c r="IX199" s="21"/>
      <c r="IY199" s="21"/>
      <c r="IZ199" s="21"/>
      <c r="JA199" s="21"/>
      <c r="JB199" s="30"/>
      <c r="JC199" s="21"/>
      <c r="JD199" s="36"/>
      <c r="JE199" s="21"/>
      <c r="JF199" s="30"/>
      <c r="JG199" s="21"/>
      <c r="JH199" s="21"/>
      <c r="JI199" s="21"/>
      <c r="JJ199" s="30"/>
      <c r="JK199" s="22"/>
      <c r="JL199" s="22"/>
      <c r="JM199" s="21"/>
      <c r="JN199" s="36"/>
      <c r="JO199" s="21"/>
      <c r="JP199" s="22"/>
      <c r="JQ199" s="21"/>
      <c r="JR199" s="21"/>
      <c r="JS199" s="21"/>
      <c r="JT199" s="30"/>
      <c r="JU199" s="22"/>
      <c r="JV199" s="22"/>
      <c r="JW199" s="33"/>
      <c r="JX199" s="28"/>
      <c r="JY199" s="33"/>
      <c r="JZ199" s="28"/>
      <c r="KA199" s="21"/>
      <c r="KB199" s="21"/>
      <c r="KC199" s="21"/>
      <c r="KD199" s="37"/>
      <c r="KE199" s="28"/>
      <c r="KF199" s="28"/>
      <c r="KG199" s="28"/>
      <c r="KH199" s="39"/>
      <c r="KI199" s="39"/>
      <c r="KJ199" s="66"/>
      <c r="KK199" s="39"/>
      <c r="KL199" s="39"/>
      <c r="KM199" s="66"/>
      <c r="KN199" s="39"/>
      <c r="KO199" s="39"/>
      <c r="KP199" s="39"/>
      <c r="KQ199" s="39"/>
      <c r="KR199" s="39"/>
      <c r="KS199" s="39"/>
      <c r="KT199" s="39"/>
      <c r="KU199" s="38"/>
      <c r="KV199" s="38"/>
      <c r="KW199" s="38"/>
      <c r="KX199" s="38"/>
      <c r="KY199" s="38"/>
      <c r="KZ199" s="38"/>
      <c r="LA199" s="38"/>
      <c r="LB199" s="38"/>
      <c r="LC199" s="38"/>
      <c r="LD199" s="38"/>
      <c r="LE199" s="38"/>
      <c r="LF199" s="38"/>
      <c r="LG199" s="38"/>
      <c r="LH199" s="38"/>
      <c r="LI199" s="38"/>
      <c r="LJ199" s="38"/>
      <c r="LK199" s="38"/>
      <c r="LL199" s="38"/>
      <c r="LM199" s="38"/>
      <c r="LN199" s="38"/>
      <c r="LO199" s="38"/>
      <c r="LP199" s="38"/>
      <c r="LQ199" s="38"/>
      <c r="LR199" s="38"/>
      <c r="LS199" s="38"/>
      <c r="LT199" s="38"/>
      <c r="LU199" s="38"/>
      <c r="LV199" s="38"/>
      <c r="LW199" s="38"/>
      <c r="LX199" s="38"/>
      <c r="LY199" s="38"/>
      <c r="LZ199" s="38"/>
      <c r="MA199" s="38"/>
      <c r="MB199" s="38"/>
      <c r="MC199" s="38"/>
      <c r="MD199" s="38"/>
      <c r="ME199" s="38"/>
      <c r="MF199" s="38"/>
      <c r="MG199" s="38"/>
      <c r="MH199" s="43"/>
      <c r="MI199" s="43"/>
      <c r="MJ199" s="43"/>
      <c r="MK199" s="43"/>
      <c r="ML199" s="43"/>
      <c r="MM199" s="43"/>
      <c r="MN199" s="43"/>
      <c r="MO199" s="43"/>
      <c r="MP199" s="43"/>
      <c r="MQ199" s="43"/>
      <c r="MR199" s="43"/>
      <c r="MS199" s="43"/>
      <c r="MT199" s="43"/>
      <c r="MU199" s="43"/>
      <c r="MV199" s="43"/>
      <c r="MW199" s="43"/>
      <c r="MX199" s="43"/>
      <c r="MY199" s="43"/>
      <c r="MZ199" s="43"/>
      <c r="NA199" s="43"/>
      <c r="NB199" s="43"/>
      <c r="NC199" s="43"/>
      <c r="ND199" s="43"/>
      <c r="NE199" s="43"/>
      <c r="NF199" s="43"/>
      <c r="NG199" s="43"/>
      <c r="NH199" s="43"/>
      <c r="NI199" s="43"/>
      <c r="NJ199" s="43"/>
      <c r="NK199" s="43"/>
      <c r="NL199" s="43"/>
      <c r="NM199" s="43"/>
      <c r="NN199" s="43"/>
      <c r="NO199" s="43"/>
      <c r="NP199" s="204"/>
      <c r="NQ199" s="21"/>
      <c r="NR199" s="21"/>
      <c r="NS199" s="205"/>
      <c r="NT199" s="21"/>
      <c r="NU199" s="21"/>
      <c r="NV199" s="21"/>
      <c r="NW199" s="206"/>
      <c r="NX199" s="207"/>
      <c r="NY199" s="43">
        <f>ROW(Tabla1[[#This Row],['# DE TAMIZAJES SIFILIS TOMADOS ]])</f>
        <v>199</v>
      </c>
      <c r="NZ199" s="43" t="str">
        <f t="shared" si="738"/>
        <v>Menor</v>
      </c>
      <c r="OA199" s="43" t="str">
        <f t="shared" si="739"/>
        <v>SOBREPESO</v>
      </c>
      <c r="OB199" s="43" t="str">
        <f t="shared" si="740"/>
        <v/>
      </c>
      <c r="OC199" s="43" t="str">
        <f t="shared" si="741"/>
        <v/>
      </c>
      <c r="OD199" s="43" t="str">
        <f t="shared" si="742"/>
        <v/>
      </c>
      <c r="OE199" s="43" t="str">
        <f t="shared" si="743"/>
        <v/>
      </c>
      <c r="OF199" s="43" t="str">
        <f t="shared" si="744"/>
        <v/>
      </c>
      <c r="OG199" s="43" t="str">
        <f t="shared" si="745"/>
        <v/>
      </c>
      <c r="OH199" s="43" t="str">
        <f t="shared" si="746"/>
        <v/>
      </c>
      <c r="OI199" s="43" t="str">
        <f t="shared" si="747"/>
        <v/>
      </c>
      <c r="OJ199" s="43" t="str">
        <f t="shared" si="748"/>
        <v/>
      </c>
      <c r="OK199" s="43" t="str">
        <f t="shared" si="749"/>
        <v/>
      </c>
      <c r="OL199" s="43" t="str">
        <f t="shared" si="750"/>
        <v/>
      </c>
      <c r="OM199" s="43" t="str">
        <f t="shared" si="751"/>
        <v/>
      </c>
      <c r="ON199" s="43" t="str">
        <f t="shared" si="752"/>
        <v/>
      </c>
      <c r="OO199" s="43" t="str">
        <f t="shared" si="753"/>
        <v/>
      </c>
      <c r="OP199" s="43" t="str">
        <f t="shared" si="754"/>
        <v/>
      </c>
      <c r="OQ199" s="43" t="str">
        <f t="shared" si="755"/>
        <v/>
      </c>
      <c r="OR199" s="43" t="str">
        <f t="shared" si="756"/>
        <v/>
      </c>
      <c r="OS199" s="43" t="str">
        <f t="shared" si="757"/>
        <v/>
      </c>
      <c r="OT199" s="43" t="str">
        <f t="shared" si="758"/>
        <v/>
      </c>
      <c r="OU199" s="43" t="str">
        <f t="shared" si="759"/>
        <v/>
      </c>
      <c r="OV199" s="110" t="str">
        <f t="shared" si="760"/>
        <v/>
      </c>
      <c r="OW199" s="43" t="str">
        <f t="shared" si="761"/>
        <v/>
      </c>
      <c r="OX199" s="43" t="str">
        <f t="shared" si="762"/>
        <v/>
      </c>
      <c r="OY199" s="43" t="str">
        <f t="shared" si="763"/>
        <v/>
      </c>
      <c r="OZ199" s="43" t="str">
        <f t="shared" si="764"/>
        <v/>
      </c>
      <c r="PA199" s="43" t="str">
        <f t="shared" si="765"/>
        <v/>
      </c>
      <c r="PB199" s="43" t="str">
        <f t="shared" si="766"/>
        <v/>
      </c>
      <c r="PC199" s="43" t="str">
        <f t="shared" si="767"/>
        <v/>
      </c>
      <c r="PD199" s="43" t="str">
        <f t="shared" si="768"/>
        <v/>
      </c>
      <c r="PE199" s="43" t="str">
        <f t="shared" si="769"/>
        <v/>
      </c>
      <c r="PF199" s="43" t="str">
        <f t="shared" si="770"/>
        <v/>
      </c>
      <c r="PG199" s="43" t="str">
        <f t="shared" si="771"/>
        <v/>
      </c>
      <c r="PH199" s="43" t="str">
        <f t="shared" si="772"/>
        <v/>
      </c>
      <c r="PI199" s="43" t="str">
        <f t="shared" si="773"/>
        <v>Menor</v>
      </c>
      <c r="PJ199" s="43" t="str">
        <f t="shared" si="774"/>
        <v>SOBREPESO</v>
      </c>
      <c r="PK199" s="43" t="str">
        <f t="shared" si="775"/>
        <v/>
      </c>
      <c r="PL199" s="43" t="str">
        <f t="shared" si="776"/>
        <v/>
      </c>
      <c r="PM199" s="43" t="str">
        <f t="shared" si="777"/>
        <v/>
      </c>
      <c r="PN199" s="43" t="str">
        <f t="shared" si="778"/>
        <v/>
      </c>
      <c r="PO199" s="43" t="str">
        <f t="shared" si="779"/>
        <v/>
      </c>
      <c r="PP199" s="43" t="str">
        <f t="shared" si="780"/>
        <v/>
      </c>
      <c r="PQ199" s="43" t="str">
        <f t="shared" si="781"/>
        <v/>
      </c>
      <c r="PR199" s="43" t="str">
        <f t="shared" si="782"/>
        <v/>
      </c>
      <c r="PS199" s="43" t="str">
        <f t="shared" si="783"/>
        <v/>
      </c>
      <c r="PT199" s="43" t="str">
        <f t="shared" si="784"/>
        <v/>
      </c>
      <c r="PU199" s="43" t="str">
        <f t="shared" si="785"/>
        <v/>
      </c>
      <c r="PV199" s="43" t="str">
        <f t="shared" si="786"/>
        <v/>
      </c>
      <c r="PW199" s="43" t="str">
        <f t="shared" si="787"/>
        <v/>
      </c>
      <c r="PX199" s="43" t="str">
        <f t="shared" si="788"/>
        <v/>
      </c>
      <c r="PY199" s="43" t="str">
        <f t="shared" si="789"/>
        <v/>
      </c>
      <c r="PZ199" s="43" t="str">
        <f t="shared" si="790"/>
        <v/>
      </c>
      <c r="QA199" s="43" t="str">
        <f t="shared" si="791"/>
        <v/>
      </c>
      <c r="QB199" s="43" t="str">
        <f t="shared" si="792"/>
        <v/>
      </c>
      <c r="QC199" s="43" t="str">
        <f t="shared" si="793"/>
        <v/>
      </c>
      <c r="QD199" s="43" t="str">
        <f t="shared" si="794"/>
        <v/>
      </c>
      <c r="QE199" s="43" t="str">
        <f t="shared" si="795"/>
        <v/>
      </c>
      <c r="QF199" s="43" t="str">
        <f t="shared" si="796"/>
        <v/>
      </c>
      <c r="QG199" s="43" t="str">
        <f t="shared" si="797"/>
        <v/>
      </c>
      <c r="QH199" s="43" t="str">
        <f t="shared" si="798"/>
        <v/>
      </c>
      <c r="QI199" s="43" t="str">
        <f t="shared" si="799"/>
        <v/>
      </c>
      <c r="QJ199" s="43" t="str">
        <f t="shared" si="800"/>
        <v/>
      </c>
      <c r="QK199" s="43" t="str">
        <f t="shared" si="801"/>
        <v/>
      </c>
      <c r="QL199" s="43" t="str">
        <f t="shared" si="802"/>
        <v/>
      </c>
      <c r="QM199" s="43" t="str">
        <f t="shared" si="803"/>
        <v/>
      </c>
      <c r="QN199" s="43" t="str">
        <f t="shared" si="804"/>
        <v/>
      </c>
      <c r="QO199" s="43" t="str">
        <f t="shared" si="805"/>
        <v/>
      </c>
      <c r="QP199" s="43" t="str">
        <f t="shared" si="806"/>
        <v/>
      </c>
      <c r="QQ199" s="43" t="str">
        <f t="shared" si="807"/>
        <v/>
      </c>
      <c r="QR199" s="43" t="str">
        <f t="shared" si="837"/>
        <v>Menor</v>
      </c>
      <c r="QS199" s="43"/>
      <c r="QT199" s="21" t="str">
        <f t="shared" si="808"/>
        <v/>
      </c>
      <c r="QU199" s="21" t="str">
        <f t="shared" si="809"/>
        <v/>
      </c>
      <c r="QV199" s="21" t="str">
        <f t="shared" si="810"/>
        <v/>
      </c>
      <c r="QW199" s="21" t="str">
        <f t="shared" si="811"/>
        <v/>
      </c>
      <c r="QX199" s="21" t="str">
        <f t="shared" si="812"/>
        <v/>
      </c>
      <c r="QY199" s="21" t="str">
        <f t="shared" si="813"/>
        <v/>
      </c>
      <c r="QZ199" s="21" t="str">
        <f t="shared" si="814"/>
        <v/>
      </c>
      <c r="RA199" s="21" t="str">
        <f t="shared" si="815"/>
        <v/>
      </c>
      <c r="RB199" s="21" t="str">
        <f t="shared" si="816"/>
        <v/>
      </c>
      <c r="RC199" s="21" t="str">
        <f t="shared" si="817"/>
        <v/>
      </c>
      <c r="RD199" s="21" t="str">
        <f t="shared" si="818"/>
        <v/>
      </c>
      <c r="RE199" s="21" t="str">
        <f t="shared" si="819"/>
        <v/>
      </c>
      <c r="RF199" s="21" t="str">
        <f t="shared" si="820"/>
        <v/>
      </c>
      <c r="RG199" s="21" t="str">
        <f t="shared" si="821"/>
        <v/>
      </c>
      <c r="RH199" s="21" t="str">
        <f t="shared" si="822"/>
        <v/>
      </c>
      <c r="RI199" s="21" t="str">
        <f t="shared" si="823"/>
        <v/>
      </c>
      <c r="RJ199" s="21" t="str">
        <f t="shared" si="824"/>
        <v/>
      </c>
      <c r="RK199" s="21" t="str">
        <f t="shared" si="825"/>
        <v/>
      </c>
      <c r="RL199" s="21" t="str">
        <f t="shared" si="826"/>
        <v/>
      </c>
      <c r="RM199" s="21" t="str">
        <f t="shared" si="827"/>
        <v/>
      </c>
      <c r="RN199" s="21" t="str">
        <f t="shared" si="828"/>
        <v/>
      </c>
      <c r="RO199" s="21" t="str">
        <f t="shared" si="829"/>
        <v/>
      </c>
      <c r="RP199" s="21" t="str">
        <f t="shared" si="830"/>
        <v/>
      </c>
      <c r="RQ199" s="21" t="str">
        <f t="shared" si="831"/>
        <v/>
      </c>
      <c r="RR199" s="21" t="str">
        <f t="shared" si="832"/>
        <v/>
      </c>
      <c r="RS199" s="21" t="str">
        <f t="shared" si="833"/>
        <v/>
      </c>
      <c r="RT199" s="21" t="str">
        <f t="shared" si="834"/>
        <v/>
      </c>
      <c r="RU199" s="21" t="str">
        <f t="shared" si="835"/>
        <v/>
      </c>
      <c r="RV199" s="21">
        <f t="shared" si="836"/>
        <v>-1</v>
      </c>
      <c r="RW199" s="284">
        <f>IF(OR(Tabla1[[#This Row],[FUM FORMULA CONFIABLE]]="",Tabla1[[#This Row],[FUM FORMULA CONFIABLE]]="SD"),"",IF(Tabla1[[#This Row],[FUM FORMULA CONFIABLE]]="CORREGIDA",Tabla1[[#This Row],[FUM X ECO 1]],Tabla1[[#This Row],[FUM x AMENORREA]]))</f>
        <v>45121</v>
      </c>
      <c r="RX199" s="21">
        <f>IF(AND(Tabla1[[#This Row],[FUM X ECO 1]]="",Tabla1[[#This Row],[FUM x AMENORREA]]=""),"",IF(AND(Tabla1[[#This Row],[FUM X ECO 1]]="",Tabla1[[#This Row],[FUM x AMENORREA]]&lt;&gt;""),"X",SUM(Tabla1[[#This Row],[FUM X ECO 1]]-Tabla1[[#This Row],[FUM x AMENORREA]])))</f>
        <v>120</v>
      </c>
      <c r="RY199" s="21">
        <f t="shared" si="838"/>
        <v>1</v>
      </c>
    </row>
    <row r="200" spans="1:493" ht="45" customHeight="1" x14ac:dyDescent="0.25">
      <c r="A200" s="109"/>
      <c r="B200" s="43"/>
      <c r="C200" s="43" t="s">
        <v>845</v>
      </c>
      <c r="D200" s="124"/>
      <c r="E200" s="43" t="s">
        <v>1549</v>
      </c>
      <c r="F200" s="43" t="s">
        <v>1298</v>
      </c>
      <c r="G200" s="43" t="s">
        <v>1550</v>
      </c>
      <c r="H200" s="43" t="s">
        <v>1551</v>
      </c>
      <c r="I200" s="109" t="s">
        <v>851</v>
      </c>
      <c r="J200" s="291" t="s">
        <v>1548</v>
      </c>
      <c r="K200" s="43" t="s">
        <v>852</v>
      </c>
      <c r="L200" s="175" t="s">
        <v>1509</v>
      </c>
      <c r="M200" s="22">
        <v>37158</v>
      </c>
      <c r="N200" s="213">
        <f t="shared" ca="1" si="839"/>
        <v>22.123287671232877</v>
      </c>
      <c r="O200" s="22">
        <v>45098</v>
      </c>
      <c r="P200" s="214" t="str">
        <f t="shared" si="673"/>
        <v>SI</v>
      </c>
      <c r="Q200" s="26" t="s">
        <v>855</v>
      </c>
      <c r="R200" s="22">
        <v>45098</v>
      </c>
      <c r="S200" s="21" t="s">
        <v>856</v>
      </c>
      <c r="T200" s="24" t="s">
        <v>690</v>
      </c>
      <c r="U200" s="21" t="s">
        <v>857</v>
      </c>
      <c r="V200" s="21" t="s">
        <v>858</v>
      </c>
      <c r="W200" s="21" t="s">
        <v>1552</v>
      </c>
      <c r="X200" s="21"/>
      <c r="Y200" s="21"/>
      <c r="Z200" s="21" t="s">
        <v>1564</v>
      </c>
      <c r="AA200" s="21" t="s">
        <v>860</v>
      </c>
      <c r="AB200" s="27" t="s">
        <v>861</v>
      </c>
      <c r="AC200" s="26" t="s">
        <v>888</v>
      </c>
      <c r="AD200" s="38" t="s">
        <v>1546</v>
      </c>
      <c r="AE200" s="26" t="s">
        <v>854</v>
      </c>
      <c r="AF200" s="26" t="s">
        <v>854</v>
      </c>
      <c r="AG200" s="23" t="s">
        <v>864</v>
      </c>
      <c r="AH200" s="23" t="s">
        <v>864</v>
      </c>
      <c r="AI200" s="24" t="s">
        <v>863</v>
      </c>
      <c r="AJ200" s="23" t="s">
        <v>864</v>
      </c>
      <c r="AK200" s="220" t="str">
        <f>IF(AND(AD200="",AE200="",AF200="",AG200="",AH200="",AI200="",AJ200=""),"",IF(OR(Tabla1[[#This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EVALUACIÓN",IF(AND(O200="",R200=""),"",IF(AND(OR(O200&gt;0,R200&gt;0),NG200&gt;=0,NG200&lt;2),"SIN RIESGO",IF(AND(OR(O200&gt;0,R200&gt;0),NG200&gt;=2),"CON RIESGO","ASD")))))</f>
        <v>SIN RIESGO</v>
      </c>
      <c r="AL200" s="23" t="s">
        <v>864</v>
      </c>
      <c r="AM200" s="26" t="s">
        <v>864</v>
      </c>
      <c r="AN200" s="26" t="s">
        <v>864</v>
      </c>
      <c r="AO200" s="26" t="s">
        <v>864</v>
      </c>
      <c r="AP200" s="26" t="s">
        <v>864</v>
      </c>
      <c r="AQ200" s="26" t="s">
        <v>864</v>
      </c>
      <c r="AR200" s="26" t="s">
        <v>864</v>
      </c>
      <c r="AS200" s="21">
        <v>1</v>
      </c>
      <c r="AT200" s="21">
        <v>1</v>
      </c>
      <c r="AU200" s="21">
        <v>0</v>
      </c>
      <c r="AV200" s="26" t="s">
        <v>864</v>
      </c>
      <c r="AW200" s="21">
        <v>0</v>
      </c>
      <c r="AX200" s="26" t="s">
        <v>864</v>
      </c>
      <c r="AY200" s="26" t="s">
        <v>864</v>
      </c>
      <c r="AZ200" s="26" t="s">
        <v>864</v>
      </c>
      <c r="BA200" s="26" t="s">
        <v>864</v>
      </c>
      <c r="BB200" s="26" t="s">
        <v>864</v>
      </c>
      <c r="BC200" s="26" t="s">
        <v>864</v>
      </c>
      <c r="BD200" s="26" t="s">
        <v>864</v>
      </c>
      <c r="BE200" s="26" t="s">
        <v>864</v>
      </c>
      <c r="BF200" s="26" t="s">
        <v>864</v>
      </c>
      <c r="BG200" s="26" t="s">
        <v>864</v>
      </c>
      <c r="BH200" s="26" t="s">
        <v>864</v>
      </c>
      <c r="BI200" s="26" t="s">
        <v>864</v>
      </c>
      <c r="BJ200" s="26" t="s">
        <v>864</v>
      </c>
      <c r="BK200" s="26" t="s">
        <v>864</v>
      </c>
      <c r="BL200" s="26" t="s">
        <v>864</v>
      </c>
      <c r="BM200" s="26" t="s">
        <v>864</v>
      </c>
      <c r="BN200" s="22"/>
      <c r="BO200" s="22">
        <v>45046</v>
      </c>
      <c r="BP200" s="21" t="s">
        <v>1380</v>
      </c>
      <c r="BQ200" s="222">
        <f t="shared" si="840"/>
        <v>0</v>
      </c>
      <c r="BR200" s="223">
        <f t="shared" si="841"/>
        <v>45121</v>
      </c>
      <c r="BS200" s="224">
        <f t="shared" si="842"/>
        <v>-3.2857142857142856</v>
      </c>
      <c r="BT200" s="216" t="str">
        <f t="shared" si="843"/>
        <v>ERROR FUM O INGRESO O ECO</v>
      </c>
      <c r="BU200" s="214">
        <f t="shared" ca="1" si="844"/>
        <v>16</v>
      </c>
      <c r="BV200" s="25" t="s">
        <v>1478</v>
      </c>
      <c r="BW200" s="22">
        <v>45121</v>
      </c>
      <c r="BX200" s="28">
        <v>11</v>
      </c>
      <c r="BY200" s="28"/>
      <c r="BZ200" s="22"/>
      <c r="CA200" s="21"/>
      <c r="CB200" s="26" t="s">
        <v>864</v>
      </c>
      <c r="CC200" s="26" t="s">
        <v>864</v>
      </c>
      <c r="CD200" s="26"/>
      <c r="CE200" s="26" t="s">
        <v>864</v>
      </c>
      <c r="CF200" s="22" t="s">
        <v>1517</v>
      </c>
      <c r="CG200" s="21">
        <v>1.58</v>
      </c>
      <c r="CH200" s="21">
        <v>56</v>
      </c>
      <c r="CI200" s="214">
        <f t="shared" si="845"/>
        <v>22.432302515622492</v>
      </c>
      <c r="CJ200" s="225" t="str">
        <f>IF(AND(CI200&lt;10,CH200="SD"),"SIN DATO PESO PREGESTACION O I TRIM",IF(AND(OR(R200&gt;0,O200&gt;0),CI200="X"),"INGRESAR DATO DE PESO",IF(CI200="SD","INGRESAR DATO DE TALLA Y PESO",IF(AND(OR(Tabla1[[#This Row],[MOMENTO EN QUE SE REALIZA EL PESO AL INGRESO A CPN]]="PREGESTACIÓN",NZ200="Menor"),CI200&lt;18.5),"BAJO PESO",IF(AND(OR(Tabla1[[#This Row],[MOMENTO EN QUE SE REALIZA EL PESO AL INGRESO A CPN]]="PREGESTACIÓN",NZ200="Menor"),CI200&lt;25),"NORMAL",IF(AND(OR(Tabla1[[#This Row],[MOMENTO EN QUE SE REALIZA EL PESO AL INGRESO A CPN]]="PREGESTACIÓN",NZ200="Menor"),CI200&lt;30),"SOBREPESO",IF(AND(OR(Tabla1[[#This Row],[MOMENTO EN QUE SE REALIZA EL PESO AL INGRESO A CPN]]="PREGESTACIÓN",NZ200="Menor"),CI200&gt;=30,CI200&lt;50),"OBESIDAD",IF(AND(BS200&gt;0,Tabla1[[#This Row],[MOMENTO EN QUE SE REALIZA EL PESO AL INGRESO A CPN]]="GESTACIÓN"),HLOOKUP(NZ200,$OA$2:PH200,NY200),""))))))))</f>
        <v>NORMAL</v>
      </c>
      <c r="CK200" s="212">
        <f t="shared" si="846"/>
        <v>45164</v>
      </c>
      <c r="CL200" s="21">
        <v>56</v>
      </c>
      <c r="CM200" s="214">
        <f t="shared" si="847"/>
        <v>22.432302515622492</v>
      </c>
      <c r="CN200" s="216">
        <f t="shared" si="848"/>
        <v>6</v>
      </c>
      <c r="CO200" s="216" t="e">
        <f>IF(PI200="","",IF(PI200&gt;0,HLOOKUP(PI200,$PJ$2:QQ200,NY200),""))</f>
        <v>#REF!</v>
      </c>
      <c r="CP200" s="21"/>
      <c r="CQ200" s="216" t="str">
        <f>IF(QR200="Menor","NO APLICA-MENOR 13 SEM",IF(AND(CC200="SI",CN200&gt;23),"NO APLICA- GEMELAR",IF(QR200="","",IF(QR200&gt;0,HLOOKUP(QR200,$QS$2:RU200,NY200),""))))</f>
        <v>NO APLICA-MENOR 13 SEM</v>
      </c>
      <c r="CR200" s="21">
        <v>90</v>
      </c>
      <c r="CS200" s="21">
        <v>60</v>
      </c>
      <c r="CT200" s="217" t="str">
        <f>IF(R200="","",IF(AND(BS200&gt;1,BS200&lt;12,Tabla1[[#This Row],[T.A. SISTOLICA - ANTES DE SEMANA 12]]="",Tabla1[[#This Row],[T.A. DIASTOLICA - ANTES DE SEMANA 12]]=""),"REGISTRE DATO TA ANTES SEMANA 12",IF(AND(BS200&gt;11,BS200&lt;43,Tabla1[[#This Row],[T.A. SISTOLICA - ANTES DE SEMANA 12]]="",Tabla1[[#This Row],[T.A. DIASTOLICA - ANTES DE SEMANA 12]]=""),"NO APLICA REGISTRO TA-INGRESO TARDIO",IF(AND(OR(O200&gt;0,R200&gt;0),OR(CR200&gt;=140,CS200&gt;=90)),"DEFINIR ESTADIO HTA",IF(AND(OR(O200&gt;0,R200&gt;0),AND(CR200&gt;120,CR200&lt;=139)),"PRE HTA SEGUIMIENTO",IF(AND(OR(O200&gt;0,R200&gt;0),AND(CS200&gt;80,CS200&lt;=89)),"PRE HTA SEGUIMIENTO",IF(AND(OR(O200&gt;0,R200&gt;0),AND(CR200&gt;=80,CR200&lt;=120)),"APARENTEMENTE NORMAL",IF(AND(OR(O200&gt;0,R200&gt;0),AND(CS200&gt;=50,CS200&lt;=80)),"APARENTEMENTE NORMAL",IF(AND(OR(O200&gt;0,R200&gt;0),AND(CR200&gt;1,CR200&lt;=70),AND(CS200&gt;1,CS200&lt;=40)),"HIPOTENSIÓN","")))))))))</f>
        <v>APARENTEMENTE NORMAL</v>
      </c>
      <c r="CU200" s="21"/>
      <c r="CV200" s="21"/>
      <c r="CW200" s="217" t="str">
        <f ca="1">IF(R200="","",IF(AND(CN200&gt;19,CN200&lt;27,Tabla1[[#This Row],[T.A. SISTOLICA (Entre semana 20 y 26)]]="",Tabla1[[#This Row],[T.A. DIATOLICA (Entre semana 20 y 26)]]=""),"ACUDE A CONTROL SEM 20 A 26 REGISTRE TA AHORA",IF(AND(BS200&gt;1,BS200&lt;27,BU200&gt;19,Tabla1[[#This Row],[T.A. SISTOLICA (Entre semana 20 y 26)]]="",Tabla1[[#This Row],[T.A. DIATOLICA (Entre semana 20 y 26)]]=""),"COMPLETE REGISTRO TA CONTROL SEM 20 A26 ",IF(AND(BS200&gt;26,BS200&lt;43,Tabla1[[#This Row],[T.A. SISTOLICA (Entre semana 20 y 26)]]="",Tabla1[[#This Row],[T.A. DIATOLICA (Entre semana 20 y 26)]]=""),"NO APLICA REGISTRO TA-INGRESO TARDIO",IF(AND(OR(O200&gt;0,R200&gt;0),OR(CU200&gt;=140,CV200&gt;=90)),"ALTO RIESGO PREECLAMPSIA,DEFINIR ESTADIO HTA",IF(AND(OR(O200&gt;0,R200&gt;0),AND(CU200&gt;120,CU200&lt;=139)),"PRE HTA SEGUIMIENTO,RIESGO HIPERTENSION INDUCIDA POR EL EMBARAZO",IF(AND(OR(O200&gt;0,R200&gt;0),AND(CV200&gt;80,CV200&lt;=89)),"PRE HTA SEGUIMIENTO, RIESGO HIPERTENSION INDUCIDA POR EL EMBARAZO",IF(AND(OR(O200&lt;&gt;"",R200&lt;&gt;""),CS200&lt;&gt;"",CV200&lt;&gt;"",CS200&lt;=CV200),"VIGILAR CIFRAS PRESION ARTERIAL",IF(AND(OR(O200&gt;0,R200&gt;0),AND(CU200&gt;120,CU200&lt;=139)),"PRE HTA SEGUIMIENTO",IF(AND(OR(O200&gt;0,R200&gt;0),AND(CU200&gt;1,CU200&lt;=70),AND(CV200&gt;1,CV200&lt;=40)),"HIPOTENSIÓN",IF(AND(OR(O200&lt;&gt;"",R200&lt;&gt;""),CS200&lt;&gt;"",CV200&lt;&gt;"",CS200&gt;CV200),"APARENTEMENTE NORMAL",IF(AND(OR(O200&gt;0,R200&gt;0),AND(CU200&gt;=80,CU200&lt;=120)),"APARENTEMENTE NORMAL",IF(AND(OR(O200&gt;0,R200&gt;0),AND(CV200&gt;=50,CV200&lt;=80)),"APARENTEMENTE NORMAL","")))))))))))))</f>
        <v/>
      </c>
      <c r="CX200" s="21"/>
      <c r="CY200" s="21"/>
      <c r="CZ200" s="216" t="str">
        <f>IF(R200="","",IF(AND(CN200&gt;31,CN200&lt;35,CX200="",CY200=""),"ACUDE A CONTROL SEM 30 A 34- REGISTRE AHORA",IF(AND(BS200&gt;34,BS200&lt;43,CX201="",CY201=""),"NO APLICA-INGRESO TARDIO",IF(AND(OR(O200&gt;0,R200&gt;0),OR(CX200&gt;=140,CY200&gt;=90)),"ESTUDIO INMEDIATO HTA PARA DESCARTAR PREECLAMSIA",IF(AND(OR(O200&gt;0,R200&gt;0),AND(CX200&gt;=130,CX200&lt;=139)),"PRE HTA,RIESGO ALTO PREECLAMPSIA",IF(AND(OR(O200&gt;0,R200&gt;0),AND(CY200&gt;80,CY200&lt;=89)),"PRE HTA,RIESGO ALTO PREECLAMPSIA",IF(AND(OR(O200&gt;0,R200&gt;0),AND(CX200&gt;120,CX200&lt;=129)),"RANGO PREHIPERTENSIVO SEGUIMIENTO HTA",IF(AND(OR(O200&lt;&gt;"",R200&lt;&gt;""),CS200&lt;&gt;"",CY200&lt;&gt;"",CS200&lt;CY200),"VIGILAR CIFRAS PRESION ARTERIAL",IF(AND(OR(O200&lt;&gt;"",R200&lt;&gt;""),CS200&lt;&gt;"",CY200&lt;&gt;"",CS200=CY200),"APARENTEMENTE NORMAL",IF(AND(OR(O200&gt;0,R200&gt;0),CX200&gt;=80,CX200&lt;=120),"APARENTEMENTE NORMAL",IF(AND(OR(O200&gt;0,R200&gt;0),CY200&gt;=50,CY200&lt;=80),"APARENTEMENTE NORMAL","")))))))))))</f>
        <v/>
      </c>
      <c r="DA200" s="21">
        <v>90</v>
      </c>
      <c r="DB200" s="21">
        <v>60</v>
      </c>
      <c r="DC200" s="217" t="str">
        <f t="shared" si="849"/>
        <v>APARENTEMENTE NORMAL</v>
      </c>
      <c r="DD200" s="22">
        <v>45098</v>
      </c>
      <c r="DE200" s="22">
        <v>45098</v>
      </c>
      <c r="DF200" s="22">
        <v>45164</v>
      </c>
      <c r="DG200" s="22"/>
      <c r="DH200" s="22"/>
      <c r="DI200" s="22"/>
      <c r="DJ200" s="22"/>
      <c r="DK200" s="22"/>
      <c r="DL200" s="22"/>
      <c r="DM200" s="22"/>
      <c r="DN200" s="22"/>
      <c r="DO200" s="22"/>
      <c r="DP200" s="22"/>
      <c r="DQ200" s="22"/>
      <c r="DR200" s="28"/>
      <c r="DS200" s="22"/>
      <c r="DT200" s="22"/>
      <c r="DU200" s="216" t="str">
        <f t="shared" ca="1" si="674"/>
        <v>EN ESPERA</v>
      </c>
      <c r="DV200" s="226" t="str">
        <f t="shared" si="675"/>
        <v>ACTIVA INGRESO A CPN</v>
      </c>
      <c r="DW20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0" s="216" t="str">
        <f t="shared" si="850"/>
        <v>DIA DE CONTROL</v>
      </c>
      <c r="DY200" s="212">
        <f>IF(R200="","",IF(R200&gt;0,MAX(Tabla1[[#This Row],[FECHA C2]:[FECHA C13]],Tabla1[[#This Row],[FECHA CONSULTA PRIMERA VEZ PROGRAMA CPN ]])))</f>
        <v>45164</v>
      </c>
      <c r="DZ200" s="216">
        <f t="shared" si="851"/>
        <v>6</v>
      </c>
      <c r="EA200" s="222">
        <f>IF(R200&gt;0,SUM(COUNTA(DF200:DQ200)+COUNTA(Tabla1[[#This Row],[FECHA CONSULTA PRIMERA VEZ PROGRAMA CPN ]])),"")</f>
        <v>2</v>
      </c>
      <c r="EB200" s="222" t="str">
        <f t="shared" si="852"/>
        <v>NO</v>
      </c>
      <c r="EC200" s="214" t="str">
        <f t="shared" si="853"/>
        <v>X</v>
      </c>
      <c r="ED200" s="227" t="e">
        <f t="shared" si="854"/>
        <v>#VALUE!</v>
      </c>
      <c r="EE200" s="22">
        <v>45098</v>
      </c>
      <c r="EF200" s="22">
        <v>45121</v>
      </c>
      <c r="EG200" s="22">
        <v>45098</v>
      </c>
      <c r="EH200" s="22"/>
      <c r="EI200" s="22">
        <v>45098</v>
      </c>
      <c r="EJ200" s="22"/>
      <c r="EK200" s="22"/>
      <c r="EL200" s="21"/>
      <c r="EM200" s="21">
        <v>14.2</v>
      </c>
      <c r="EN200" s="22">
        <v>45099</v>
      </c>
      <c r="EO200" s="222" t="str">
        <f t="shared" si="855"/>
        <v>CORREGIR FECHA RESULTADO</v>
      </c>
      <c r="EP200" s="214" t="str">
        <f t="shared" si="856"/>
        <v>NO DAR SULFATO FERROSO</v>
      </c>
      <c r="EQ200" s="216" t="str">
        <f t="shared" si="857"/>
        <v>POR DEFINIR</v>
      </c>
      <c r="ER200" s="24"/>
      <c r="ES200" s="22"/>
      <c r="ET200" s="29" t="str">
        <f t="shared" ca="1" si="676"/>
        <v>EN ESPERA PARA TOMA EXAMEN</v>
      </c>
      <c r="EU200" s="25" t="str">
        <f t="shared" si="858"/>
        <v/>
      </c>
      <c r="EV200" s="24" t="s">
        <v>1510</v>
      </c>
      <c r="EW200" s="32">
        <v>45099</v>
      </c>
      <c r="EX200" s="22"/>
      <c r="EY200" s="29" t="str">
        <f t="shared" si="691"/>
        <v>CORREGIR FECHA RESULTADO</v>
      </c>
      <c r="EZ200" s="25" t="str">
        <f t="shared" si="692"/>
        <v>SIN RIESGO DE ISOINMUNIZACIÓN</v>
      </c>
      <c r="FA200" s="21"/>
      <c r="FB200" s="22"/>
      <c r="FC200" s="29" t="str">
        <f t="shared" si="859"/>
        <v>TOMAR EXAMEN</v>
      </c>
      <c r="FD200" s="29"/>
      <c r="FE200" s="29"/>
      <c r="FF200" s="29"/>
      <c r="FG200" s="21" t="str">
        <f t="shared" ca="1" si="860"/>
        <v/>
      </c>
      <c r="FH200" s="31"/>
      <c r="FI200" s="29" t="str">
        <f t="shared" si="861"/>
        <v>TOMAR EXAMEN</v>
      </c>
      <c r="FJ200" s="22"/>
      <c r="FK200" s="22"/>
      <c r="FL200" s="29" t="str">
        <f t="shared" ca="1" si="862"/>
        <v>PIERDE TOMA DE TAMIZAJE</v>
      </c>
      <c r="FM200" s="22"/>
      <c r="FN200" s="32"/>
      <c r="FO200" s="29" t="str">
        <f t="shared" ca="1" si="677"/>
        <v>EN RANGO PARA TOMAR EXAMEN</v>
      </c>
      <c r="FP200" s="22"/>
      <c r="FQ200" s="32"/>
      <c r="FR200" s="29" t="str">
        <f t="shared" ca="1" si="678"/>
        <v>EN ESPERA-ESTÁ I TRIM O II TRIM</v>
      </c>
      <c r="FS200" s="22"/>
      <c r="FT200" s="32"/>
      <c r="FU200" s="29" t="str">
        <f>IF(AND(FJ200="",FM200="",FP200="",FS200=""),"",IF(OR(OR(Tabla1[[#This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0" s="28"/>
      <c r="FW200" s="22"/>
      <c r="FX200" s="29" t="str">
        <f t="shared" si="863"/>
        <v>TOMAR EXAMEN</v>
      </c>
      <c r="FY200" s="22"/>
      <c r="FZ200" s="22"/>
      <c r="GA200" s="29" t="str">
        <f t="shared" ca="1" si="737"/>
        <v>PIERDE TOMA DE TAMIZAJE</v>
      </c>
      <c r="GB200" s="22"/>
      <c r="GC200" s="22"/>
      <c r="GD200" s="29" t="str">
        <f t="shared" ca="1" si="730"/>
        <v>EN RANGO PARA TOMAR EXAMEN</v>
      </c>
      <c r="GE200" s="22"/>
      <c r="GF200" s="22"/>
      <c r="GG200" s="29" t="str">
        <f t="shared" ca="1" si="680"/>
        <v>EN ESPERA-ESTÁ I TRIM O II TRIM</v>
      </c>
      <c r="GH200" s="22"/>
      <c r="GI200" s="29"/>
      <c r="GJ200" s="22"/>
      <c r="GK200" s="22"/>
      <c r="GL200" s="22"/>
      <c r="GM200" s="22"/>
      <c r="GN200" s="28"/>
      <c r="GO200" s="22"/>
      <c r="GP200" s="29" t="str">
        <f t="shared" si="864"/>
        <v>TOMAR EXAMEN</v>
      </c>
      <c r="GQ200" s="28"/>
      <c r="GR200" s="28"/>
      <c r="GS200" s="22" t="str">
        <f t="shared" si="726"/>
        <v/>
      </c>
      <c r="GT200" s="22"/>
      <c r="GU200" s="29" t="str">
        <f t="shared" si="865"/>
        <v>TOMAR EXAMEN</v>
      </c>
      <c r="GV200" s="21" t="str">
        <f t="shared" si="866"/>
        <v>POR DEFINIR</v>
      </c>
      <c r="GW200" s="28"/>
      <c r="GX200" s="30"/>
      <c r="GY200" s="21"/>
      <c r="GZ200" s="21"/>
      <c r="HA200" s="21"/>
      <c r="HB200" s="21"/>
      <c r="HC200" s="21"/>
      <c r="HD200" s="21"/>
      <c r="HE200" s="21"/>
      <c r="HF200" s="22"/>
      <c r="HG200" s="22" t="str">
        <f>IF(OR(O200&gt;0,R200&gt;0),CONCATENATE(IF(Tabla1[[#This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0" s="22" t="e">
        <f t="shared" si="867"/>
        <v>#REF!</v>
      </c>
      <c r="HI200" s="22" t="e">
        <f t="shared" si="868"/>
        <v>#REF!</v>
      </c>
      <c r="HJ200" s="21"/>
      <c r="HK200" s="21" t="str">
        <f t="shared" si="869"/>
        <v>SIN ANTECEDENTES DE RIESGO</v>
      </c>
      <c r="HL200" s="24" t="str">
        <f t="shared" si="870"/>
        <v>APARENTEMENTE NORMAL</v>
      </c>
      <c r="HM200" s="21" t="str">
        <f t="shared" si="871"/>
        <v>DIA DE CONTROL</v>
      </c>
      <c r="HN200" s="30" t="str">
        <f t="shared" si="681"/>
        <v>ACTIVA INGRESO A CPN</v>
      </c>
      <c r="HO200" s="21"/>
      <c r="HP200" s="21"/>
      <c r="HQ200" s="349"/>
      <c r="HR200" s="21"/>
      <c r="HS200" s="22"/>
      <c r="HT200" s="22"/>
      <c r="HU200" s="22"/>
      <c r="HV200" s="22" t="s">
        <v>1544</v>
      </c>
      <c r="HW200" s="22">
        <v>45098</v>
      </c>
      <c r="HX200" s="22"/>
      <c r="HY200" s="22">
        <v>45098</v>
      </c>
      <c r="HZ200" s="28" t="str">
        <f t="shared" si="872"/>
        <v>CORREGIR FECHA CONSULTA</v>
      </c>
      <c r="IA200" s="26"/>
      <c r="IB200" s="26"/>
      <c r="IC200" s="111"/>
      <c r="ID200" s="22"/>
      <c r="IE200" s="22" t="str">
        <f t="shared" ca="1" si="873"/>
        <v>EN ESPERA PARA VACUNAR</v>
      </c>
      <c r="IF200" s="22"/>
      <c r="IG200" s="22">
        <f t="shared" si="874"/>
        <v>45401</v>
      </c>
      <c r="IH200" s="29">
        <f t="shared" ca="1" si="875"/>
        <v>168</v>
      </c>
      <c r="II200" s="22" t="str">
        <f t="shared" ca="1" si="876"/>
        <v>PENDIENTE</v>
      </c>
      <c r="IJ200" s="22"/>
      <c r="IK200" s="21"/>
      <c r="IL200" s="21"/>
      <c r="IM200" s="34"/>
      <c r="IN200" s="22"/>
      <c r="IO200" s="21"/>
      <c r="IP200" s="29"/>
      <c r="IQ200" s="35"/>
      <c r="IR200" s="21"/>
      <c r="IS200" s="21"/>
      <c r="IT200" s="21"/>
      <c r="IU200" s="21"/>
      <c r="IV200" s="21"/>
      <c r="IW200" s="21"/>
      <c r="IX200" s="21"/>
      <c r="IY200" s="21"/>
      <c r="IZ200" s="21"/>
      <c r="JA200" s="21"/>
      <c r="JB200" s="30"/>
      <c r="JC200" s="21"/>
      <c r="JD200" s="36"/>
      <c r="JE200" s="21"/>
      <c r="JF200" s="30"/>
      <c r="JG200" s="21"/>
      <c r="JH200" s="21"/>
      <c r="JI200" s="21"/>
      <c r="JJ200" s="30"/>
      <c r="JK200" s="22"/>
      <c r="JL200" s="22"/>
      <c r="JM200" s="21"/>
      <c r="JN200" s="36"/>
      <c r="JO200" s="21"/>
      <c r="JP200" s="22"/>
      <c r="JQ200" s="21"/>
      <c r="JR200" s="21"/>
      <c r="JS200" s="21"/>
      <c r="JT200" s="30"/>
      <c r="JU200" s="22"/>
      <c r="JV200" s="22"/>
      <c r="JW200" s="33"/>
      <c r="JX200" s="28"/>
      <c r="JY200" s="33"/>
      <c r="JZ200" s="28"/>
      <c r="KA200" s="21"/>
      <c r="KB200" s="21"/>
      <c r="KC200" s="21"/>
      <c r="KD200" s="37"/>
      <c r="KE200" s="28"/>
      <c r="KF200" s="28"/>
      <c r="KG200" s="28"/>
      <c r="KH200" s="39"/>
      <c r="KI200" s="39"/>
      <c r="KJ200" s="66"/>
      <c r="KK200" s="39"/>
      <c r="KL200" s="39"/>
      <c r="KM200" s="66"/>
      <c r="KN200" s="39"/>
      <c r="KO200" s="39"/>
      <c r="KP200" s="39"/>
      <c r="KQ200" s="39"/>
      <c r="KR200" s="39"/>
      <c r="KS200" s="39"/>
      <c r="KT200" s="39"/>
      <c r="KU200" s="38"/>
      <c r="KV200" s="38"/>
      <c r="KW200" s="38"/>
      <c r="KX200" s="38"/>
      <c r="KY200" s="38"/>
      <c r="KZ200" s="38"/>
      <c r="LA200" s="38"/>
      <c r="LB200" s="38"/>
      <c r="LC200" s="38"/>
      <c r="LD200" s="38"/>
      <c r="LE200" s="38"/>
      <c r="LF200" s="38"/>
      <c r="LG200" s="38"/>
      <c r="LH200" s="38"/>
      <c r="LI200" s="38"/>
      <c r="LJ200" s="38"/>
      <c r="LK200" s="38"/>
      <c r="LL200" s="38"/>
      <c r="LM200" s="38"/>
      <c r="LN200" s="38"/>
      <c r="LO200" s="38"/>
      <c r="LP200" s="38"/>
      <c r="LQ200" s="38"/>
      <c r="LR200" s="38"/>
      <c r="LS200" s="38"/>
      <c r="LT200" s="38"/>
      <c r="LU200" s="38"/>
      <c r="LV200" s="38"/>
      <c r="LW200" s="38"/>
      <c r="LX200" s="38"/>
      <c r="LY200" s="38"/>
      <c r="LZ200" s="38"/>
      <c r="MA200" s="38"/>
      <c r="MB200" s="38"/>
      <c r="MC200" s="38"/>
      <c r="MD200" s="38"/>
      <c r="ME200" s="38"/>
      <c r="MF200" s="38"/>
      <c r="MG200" s="38"/>
      <c r="MH200" s="43"/>
      <c r="MI200" s="43"/>
      <c r="MJ200" s="43"/>
      <c r="MK200" s="43"/>
      <c r="ML200" s="43"/>
      <c r="MM200" s="43"/>
      <c r="MN200" s="43"/>
      <c r="MO200" s="43"/>
      <c r="MP200" s="43"/>
      <c r="MQ200" s="43"/>
      <c r="MR200" s="43"/>
      <c r="MS200" s="43"/>
      <c r="MT200" s="43"/>
      <c r="MU200" s="43"/>
      <c r="MV200" s="43"/>
      <c r="MW200" s="43"/>
      <c r="MX200" s="43"/>
      <c r="MY200" s="43"/>
      <c r="MZ200" s="43"/>
      <c r="NA200" s="43"/>
      <c r="NB200" s="43"/>
      <c r="NC200" s="43"/>
      <c r="ND200" s="43"/>
      <c r="NE200" s="43"/>
      <c r="NF200" s="43"/>
      <c r="NG200" s="43"/>
      <c r="NH200" s="43"/>
      <c r="NI200" s="43"/>
      <c r="NJ200" s="43"/>
      <c r="NK200" s="43"/>
      <c r="NL200" s="43"/>
      <c r="NM200" s="43"/>
      <c r="NN200" s="43"/>
      <c r="NO200" s="43"/>
      <c r="NP200" s="204"/>
      <c r="NQ200" s="21"/>
      <c r="NR200" s="21"/>
      <c r="NS200" s="205"/>
      <c r="NT200" s="21"/>
      <c r="NU200" s="21"/>
      <c r="NV200" s="21"/>
      <c r="NW200" s="206"/>
      <c r="NX200" s="207"/>
      <c r="NY200" s="43">
        <f>ROW(Tabla1[[#This Row],['# DE TAMIZAJES SIFILIS TOMADOS ]])</f>
        <v>200</v>
      </c>
      <c r="NZ200" s="43" t="str">
        <f t="shared" si="738"/>
        <v>Menor</v>
      </c>
      <c r="OA200" s="43" t="str">
        <f t="shared" si="739"/>
        <v>NORMAL</v>
      </c>
      <c r="OB200" s="43" t="str">
        <f t="shared" si="740"/>
        <v/>
      </c>
      <c r="OC200" s="43" t="str">
        <f t="shared" si="741"/>
        <v/>
      </c>
      <c r="OD200" s="43" t="str">
        <f t="shared" si="742"/>
        <v/>
      </c>
      <c r="OE200" s="43" t="str">
        <f t="shared" si="743"/>
        <v/>
      </c>
      <c r="OF200" s="43" t="str">
        <f t="shared" si="744"/>
        <v/>
      </c>
      <c r="OG200" s="43" t="str">
        <f t="shared" si="745"/>
        <v/>
      </c>
      <c r="OH200" s="43" t="str">
        <f t="shared" si="746"/>
        <v/>
      </c>
      <c r="OI200" s="43" t="str">
        <f t="shared" si="747"/>
        <v/>
      </c>
      <c r="OJ200" s="43" t="str">
        <f t="shared" si="748"/>
        <v/>
      </c>
      <c r="OK200" s="43" t="str">
        <f t="shared" si="749"/>
        <v/>
      </c>
      <c r="OL200" s="43" t="str">
        <f t="shared" si="750"/>
        <v/>
      </c>
      <c r="OM200" s="43" t="str">
        <f t="shared" si="751"/>
        <v/>
      </c>
      <c r="ON200" s="43" t="str">
        <f t="shared" si="752"/>
        <v/>
      </c>
      <c r="OO200" s="43" t="str">
        <f t="shared" si="753"/>
        <v/>
      </c>
      <c r="OP200" s="43" t="str">
        <f t="shared" si="754"/>
        <v/>
      </c>
      <c r="OQ200" s="43" t="str">
        <f t="shared" si="755"/>
        <v/>
      </c>
      <c r="OR200" s="43" t="str">
        <f t="shared" si="756"/>
        <v/>
      </c>
      <c r="OS200" s="43" t="str">
        <f t="shared" si="757"/>
        <v/>
      </c>
      <c r="OT200" s="43" t="str">
        <f t="shared" si="758"/>
        <v/>
      </c>
      <c r="OU200" s="43" t="str">
        <f t="shared" si="759"/>
        <v/>
      </c>
      <c r="OV200" s="110" t="str">
        <f t="shared" si="760"/>
        <v/>
      </c>
      <c r="OW200" s="43" t="str">
        <f t="shared" si="761"/>
        <v/>
      </c>
      <c r="OX200" s="43" t="str">
        <f t="shared" si="762"/>
        <v/>
      </c>
      <c r="OY200" s="43" t="str">
        <f t="shared" si="763"/>
        <v/>
      </c>
      <c r="OZ200" s="43" t="str">
        <f t="shared" si="764"/>
        <v/>
      </c>
      <c r="PA200" s="43" t="str">
        <f t="shared" si="765"/>
        <v/>
      </c>
      <c r="PB200" s="43" t="str">
        <f t="shared" si="766"/>
        <v/>
      </c>
      <c r="PC200" s="43" t="str">
        <f t="shared" si="767"/>
        <v/>
      </c>
      <c r="PD200" s="43" t="str">
        <f t="shared" si="768"/>
        <v/>
      </c>
      <c r="PE200" s="43" t="str">
        <f t="shared" si="769"/>
        <v/>
      </c>
      <c r="PF200" s="43" t="str">
        <f t="shared" si="770"/>
        <v/>
      </c>
      <c r="PG200" s="43" t="str">
        <f t="shared" si="771"/>
        <v/>
      </c>
      <c r="PH200" s="43" t="str">
        <f t="shared" si="772"/>
        <v/>
      </c>
      <c r="PI200" s="43" t="str">
        <f t="shared" si="773"/>
        <v>Menor</v>
      </c>
      <c r="PJ200" s="43" t="str">
        <f t="shared" si="774"/>
        <v>NORMAL</v>
      </c>
      <c r="PK200" s="43" t="str">
        <f t="shared" si="775"/>
        <v/>
      </c>
      <c r="PL200" s="43" t="str">
        <f t="shared" si="776"/>
        <v/>
      </c>
      <c r="PM200" s="43" t="str">
        <f t="shared" si="777"/>
        <v/>
      </c>
      <c r="PN200" s="43" t="str">
        <f t="shared" si="778"/>
        <v/>
      </c>
      <c r="PO200" s="43" t="str">
        <f t="shared" si="779"/>
        <v/>
      </c>
      <c r="PP200" s="43" t="str">
        <f t="shared" si="780"/>
        <v/>
      </c>
      <c r="PQ200" s="43" t="str">
        <f t="shared" si="781"/>
        <v/>
      </c>
      <c r="PR200" s="43" t="str">
        <f t="shared" si="782"/>
        <v/>
      </c>
      <c r="PS200" s="43" t="str">
        <f t="shared" si="783"/>
        <v/>
      </c>
      <c r="PT200" s="43" t="str">
        <f t="shared" si="784"/>
        <v/>
      </c>
      <c r="PU200" s="43" t="str">
        <f t="shared" si="785"/>
        <v/>
      </c>
      <c r="PV200" s="43" t="str">
        <f t="shared" si="786"/>
        <v/>
      </c>
      <c r="PW200" s="43" t="str">
        <f t="shared" si="787"/>
        <v/>
      </c>
      <c r="PX200" s="43" t="str">
        <f t="shared" si="788"/>
        <v/>
      </c>
      <c r="PY200" s="43" t="str">
        <f t="shared" si="789"/>
        <v/>
      </c>
      <c r="PZ200" s="43" t="str">
        <f t="shared" si="790"/>
        <v/>
      </c>
      <c r="QA200" s="43" t="str">
        <f t="shared" si="791"/>
        <v/>
      </c>
      <c r="QB200" s="43" t="str">
        <f t="shared" si="792"/>
        <v/>
      </c>
      <c r="QC200" s="43" t="str">
        <f t="shared" si="793"/>
        <v/>
      </c>
      <c r="QD200" s="43" t="str">
        <f t="shared" si="794"/>
        <v/>
      </c>
      <c r="QE200" s="43" t="str">
        <f t="shared" si="795"/>
        <v/>
      </c>
      <c r="QF200" s="43" t="str">
        <f t="shared" si="796"/>
        <v/>
      </c>
      <c r="QG200" s="43" t="str">
        <f t="shared" si="797"/>
        <v/>
      </c>
      <c r="QH200" s="43" t="str">
        <f t="shared" si="798"/>
        <v/>
      </c>
      <c r="QI200" s="43" t="str">
        <f t="shared" si="799"/>
        <v/>
      </c>
      <c r="QJ200" s="43" t="str">
        <f t="shared" si="800"/>
        <v/>
      </c>
      <c r="QK200" s="43" t="str">
        <f t="shared" si="801"/>
        <v/>
      </c>
      <c r="QL200" s="43" t="str">
        <f t="shared" si="802"/>
        <v/>
      </c>
      <c r="QM200" s="43" t="str">
        <f t="shared" si="803"/>
        <v/>
      </c>
      <c r="QN200" s="43" t="str">
        <f t="shared" si="804"/>
        <v/>
      </c>
      <c r="QO200" s="43" t="str">
        <f t="shared" si="805"/>
        <v/>
      </c>
      <c r="QP200" s="43" t="str">
        <f t="shared" si="806"/>
        <v/>
      </c>
      <c r="QQ200" s="43" t="str">
        <f t="shared" si="807"/>
        <v/>
      </c>
      <c r="QR200" s="43" t="str">
        <f t="shared" si="837"/>
        <v>Menor</v>
      </c>
      <c r="QS200" s="43"/>
      <c r="QT200" s="21" t="str">
        <f t="shared" si="808"/>
        <v/>
      </c>
      <c r="QU200" s="21" t="str">
        <f t="shared" si="809"/>
        <v/>
      </c>
      <c r="QV200" s="21" t="str">
        <f t="shared" si="810"/>
        <v/>
      </c>
      <c r="QW200" s="21" t="str">
        <f t="shared" si="811"/>
        <v/>
      </c>
      <c r="QX200" s="21" t="str">
        <f t="shared" si="812"/>
        <v/>
      </c>
      <c r="QY200" s="21" t="str">
        <f t="shared" si="813"/>
        <v/>
      </c>
      <c r="QZ200" s="21" t="str">
        <f t="shared" si="814"/>
        <v/>
      </c>
      <c r="RA200" s="21" t="str">
        <f t="shared" si="815"/>
        <v/>
      </c>
      <c r="RB200" s="21" t="str">
        <f t="shared" si="816"/>
        <v/>
      </c>
      <c r="RC200" s="21" t="str">
        <f t="shared" si="817"/>
        <v/>
      </c>
      <c r="RD200" s="21" t="str">
        <f t="shared" si="818"/>
        <v/>
      </c>
      <c r="RE200" s="21" t="str">
        <f t="shared" si="819"/>
        <v/>
      </c>
      <c r="RF200" s="21" t="str">
        <f t="shared" si="820"/>
        <v/>
      </c>
      <c r="RG200" s="21" t="str">
        <f t="shared" si="821"/>
        <v/>
      </c>
      <c r="RH200" s="21" t="str">
        <f t="shared" si="822"/>
        <v/>
      </c>
      <c r="RI200" s="21" t="str">
        <f t="shared" si="823"/>
        <v/>
      </c>
      <c r="RJ200" s="21" t="str">
        <f t="shared" si="824"/>
        <v/>
      </c>
      <c r="RK200" s="21" t="str">
        <f t="shared" si="825"/>
        <v/>
      </c>
      <c r="RL200" s="21" t="str">
        <f t="shared" si="826"/>
        <v/>
      </c>
      <c r="RM200" s="21" t="str">
        <f t="shared" si="827"/>
        <v/>
      </c>
      <c r="RN200" s="21" t="str">
        <f t="shared" si="828"/>
        <v/>
      </c>
      <c r="RO200" s="21" t="str">
        <f t="shared" si="829"/>
        <v/>
      </c>
      <c r="RP200" s="21" t="str">
        <f t="shared" si="830"/>
        <v/>
      </c>
      <c r="RQ200" s="21" t="str">
        <f t="shared" si="831"/>
        <v/>
      </c>
      <c r="RR200" s="21" t="str">
        <f t="shared" si="832"/>
        <v/>
      </c>
      <c r="RS200" s="21" t="str">
        <f t="shared" si="833"/>
        <v/>
      </c>
      <c r="RT200" s="21" t="str">
        <f t="shared" si="834"/>
        <v/>
      </c>
      <c r="RU200" s="21" t="str">
        <f t="shared" si="835"/>
        <v/>
      </c>
      <c r="RV200" s="21">
        <f t="shared" si="836"/>
        <v>-1</v>
      </c>
      <c r="RW200" s="284">
        <f>IF(OR(Tabla1[[#This Row],[FUM FORMULA CONFIABLE]]="",Tabla1[[#This Row],[FUM FORMULA CONFIABLE]]="SD"),"",IF(Tabla1[[#This Row],[FUM FORMULA CONFIABLE]]="CORREGIDA",Tabla1[[#This Row],[FUM X ECO 1]],Tabla1[[#This Row],[FUM x AMENORREA]]))</f>
        <v>45121</v>
      </c>
      <c r="RX200" s="21">
        <f>IF(AND(Tabla1[[#This Row],[FUM X ECO 1]]="",Tabla1[[#This Row],[FUM x AMENORREA]]=""),"",IF(AND(Tabla1[[#This Row],[FUM X ECO 1]]="",Tabla1[[#This Row],[FUM x AMENORREA]]&lt;&gt;""),"X",SUM(Tabla1[[#This Row],[FUM X ECO 1]]-Tabla1[[#This Row],[FUM x AMENORREA]])))</f>
        <v>75</v>
      </c>
      <c r="RY200" s="21">
        <f t="shared" si="838"/>
        <v>1</v>
      </c>
    </row>
    <row r="201" spans="1:493" ht="45" customHeight="1" x14ac:dyDescent="0.25">
      <c r="A201" s="109"/>
      <c r="B201" s="43"/>
      <c r="C201" s="43" t="s">
        <v>845</v>
      </c>
      <c r="D201" s="124"/>
      <c r="E201" s="43" t="s">
        <v>943</v>
      </c>
      <c r="F201" s="43" t="s">
        <v>848</v>
      </c>
      <c r="G201" s="43" t="s">
        <v>1553</v>
      </c>
      <c r="H201" s="43"/>
      <c r="I201" s="109"/>
      <c r="J201" s="110">
        <v>1059594153</v>
      </c>
      <c r="K201" s="43" t="s">
        <v>852</v>
      </c>
      <c r="L201" s="175" t="s">
        <v>1509</v>
      </c>
      <c r="M201" s="22">
        <v>30485</v>
      </c>
      <c r="N201" s="213">
        <f t="shared" ca="1" si="839"/>
        <v>40.405479452054792</v>
      </c>
      <c r="O201" s="22">
        <v>45099</v>
      </c>
      <c r="P201" s="214" t="str">
        <f t="shared" si="673"/>
        <v>SI</v>
      </c>
      <c r="Q201" s="26" t="s">
        <v>855</v>
      </c>
      <c r="R201" s="22">
        <v>45099</v>
      </c>
      <c r="S201" s="21" t="s">
        <v>856</v>
      </c>
      <c r="T201" s="24" t="s">
        <v>690</v>
      </c>
      <c r="U201" s="21" t="s">
        <v>857</v>
      </c>
      <c r="V201" s="21" t="s">
        <v>858</v>
      </c>
      <c r="W201" s="21" t="s">
        <v>1062</v>
      </c>
      <c r="X201" s="21"/>
      <c r="Y201" s="21"/>
      <c r="Z201" s="21"/>
      <c r="AA201" s="21" t="s">
        <v>860</v>
      </c>
      <c r="AB201" s="27" t="s">
        <v>861</v>
      </c>
      <c r="AC201" s="26" t="s">
        <v>888</v>
      </c>
      <c r="AD201" s="38" t="s">
        <v>1546</v>
      </c>
      <c r="AE201" s="26" t="s">
        <v>854</v>
      </c>
      <c r="AF201" s="26" t="s">
        <v>854</v>
      </c>
      <c r="AG201" s="23" t="s">
        <v>864</v>
      </c>
      <c r="AH201" s="23" t="s">
        <v>864</v>
      </c>
      <c r="AI201" s="24" t="s">
        <v>863</v>
      </c>
      <c r="AJ201" s="23" t="s">
        <v>864</v>
      </c>
      <c r="AK201" s="220" t="str">
        <f>IF(AND(AD201="",AE201="",AF201="",AG201="",AH201="",AI201="",AJ201=""),"",IF(OR(Tabla1[[#This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EVALUACIÓN",IF(AND(O201="",R201=""),"",IF(AND(OR(O201&gt;0,R201&gt;0),NG201&gt;=0,NG201&lt;2),"SIN RIESGO",IF(AND(OR(O201&gt;0,R201&gt;0),NG201&gt;=2),"CON RIESGO","ASD")))))</f>
        <v>SIN RIESGO</v>
      </c>
      <c r="AL201" s="23" t="s">
        <v>864</v>
      </c>
      <c r="AM201" s="26" t="s">
        <v>864</v>
      </c>
      <c r="AN201" s="26" t="s">
        <v>864</v>
      </c>
      <c r="AO201" s="26" t="s">
        <v>864</v>
      </c>
      <c r="AP201" s="26" t="s">
        <v>864</v>
      </c>
      <c r="AQ201" s="26" t="s">
        <v>864</v>
      </c>
      <c r="AR201" s="26" t="s">
        <v>864</v>
      </c>
      <c r="AS201" s="21">
        <v>0</v>
      </c>
      <c r="AT201" s="21">
        <v>0</v>
      </c>
      <c r="AU201" s="21">
        <v>0</v>
      </c>
      <c r="AV201" s="26" t="s">
        <v>864</v>
      </c>
      <c r="AW201" s="21">
        <v>0</v>
      </c>
      <c r="AX201" s="26" t="s">
        <v>864</v>
      </c>
      <c r="AY201" s="26" t="s">
        <v>864</v>
      </c>
      <c r="AZ201" s="26" t="s">
        <v>864</v>
      </c>
      <c r="BA201" s="26" t="s">
        <v>864</v>
      </c>
      <c r="BB201" s="26" t="s">
        <v>864</v>
      </c>
      <c r="BC201" s="26" t="s">
        <v>864</v>
      </c>
      <c r="BD201" s="26" t="s">
        <v>864</v>
      </c>
      <c r="BE201" s="26" t="s">
        <v>864</v>
      </c>
      <c r="BF201" s="26" t="s">
        <v>864</v>
      </c>
      <c r="BG201" s="26" t="s">
        <v>864</v>
      </c>
      <c r="BH201" s="26" t="s">
        <v>864</v>
      </c>
      <c r="BI201" s="26" t="s">
        <v>864</v>
      </c>
      <c r="BJ201" s="26" t="s">
        <v>864</v>
      </c>
      <c r="BK201" s="26" t="s">
        <v>864</v>
      </c>
      <c r="BL201" s="26" t="s">
        <v>864</v>
      </c>
      <c r="BM201" s="26" t="s">
        <v>864</v>
      </c>
      <c r="BN201" s="22"/>
      <c r="BO201" s="22">
        <v>44966</v>
      </c>
      <c r="BP201" s="21" t="s">
        <v>854</v>
      </c>
      <c r="BQ201" s="222">
        <f t="shared" si="840"/>
        <v>0</v>
      </c>
      <c r="BR201" s="223" t="str">
        <f t="shared" si="841"/>
        <v/>
      </c>
      <c r="BS201" s="224">
        <f t="shared" si="842"/>
        <v>19</v>
      </c>
      <c r="BT201" s="216" t="str">
        <f t="shared" si="843"/>
        <v>II TRIM</v>
      </c>
      <c r="BU201" s="214">
        <f t="shared" ca="1" si="844"/>
        <v>38.142857142857146</v>
      </c>
      <c r="BV201" s="25"/>
      <c r="BW201" s="22"/>
      <c r="BX201" s="28"/>
      <c r="BY201" s="28"/>
      <c r="BZ201" s="22"/>
      <c r="CA201" s="21"/>
      <c r="CB201" s="26"/>
      <c r="CC201" s="26"/>
      <c r="CD201" s="26"/>
      <c r="CE201" s="26"/>
      <c r="CF201" s="22" t="s">
        <v>1517</v>
      </c>
      <c r="CG201" s="21">
        <v>1.45</v>
      </c>
      <c r="CH201" s="21">
        <v>73.2</v>
      </c>
      <c r="CI201" s="214">
        <f t="shared" si="845"/>
        <v>34.815695600475628</v>
      </c>
      <c r="CJ201" s="225" t="e">
        <f>IF(AND(CI201&lt;10,CH201="SD"),"SIN DATO PESO PREGESTACION O I TRIM",IF(AND(OR(R201&gt;0,O201&gt;0),CI201="X"),"INGRESAR DATO DE PESO",IF(CI201="SD","INGRESAR DATO DE TALLA Y PESO",IF(AND(OR(Tabla1[[#This Row],[MOMENTO EN QUE SE REALIZA EL PESO AL INGRESO A CPN]]="PREGESTACIÓN",NZ201="Menor"),CI201&lt;18.5),"BAJO PESO",IF(AND(OR(Tabla1[[#This Row],[MOMENTO EN QUE SE REALIZA EL PESO AL INGRESO A CPN]]="PREGESTACIÓN",NZ201="Menor"),CI201&lt;25),"NORMAL",IF(AND(OR(Tabla1[[#This Row],[MOMENTO EN QUE SE REALIZA EL PESO AL INGRESO A CPN]]="PREGESTACIÓN",NZ201="Menor"),CI201&lt;30),"SOBREPESO",IF(AND(OR(Tabla1[[#This Row],[MOMENTO EN QUE SE REALIZA EL PESO AL INGRESO A CPN]]="PREGESTACIÓN",NZ201="Menor"),CI201&gt;=30,CI201&lt;50),"OBESIDAD",IF(AND(BS201&gt;0,Tabla1[[#This Row],[MOMENTO EN QUE SE REALIZA EL PESO AL INGRESO A CPN]]="GESTACIÓN"),HLOOKUP(NZ201,$OA$2:PH201,NY201),""))))))))</f>
        <v>#REF!</v>
      </c>
      <c r="CK201" s="212">
        <f t="shared" si="846"/>
        <v>45162</v>
      </c>
      <c r="CL201" s="21">
        <v>73.2</v>
      </c>
      <c r="CM201" s="214">
        <f t="shared" si="847"/>
        <v>34.815695600475628</v>
      </c>
      <c r="CN201" s="216">
        <f t="shared" si="848"/>
        <v>28</v>
      </c>
      <c r="CO201" s="216" t="e">
        <f>IF(PI201="","",IF(PI201&gt;0,HLOOKUP(PI201,$PJ$2:QQ201,NY201),""))</f>
        <v>#REF!</v>
      </c>
      <c r="CP201" s="21">
        <v>30</v>
      </c>
      <c r="CQ201" s="216" t="e">
        <f>IF(QR201="Menor","NO APLICA-MENOR 13 SEM",IF(AND(CC201="SI",CN201&gt;23),"NO APLICA- GEMELAR",IF(QR201="","",IF(QR201&gt;0,HLOOKUP(QR201,$QS$2:RU201,NY201),""))))</f>
        <v>#REF!</v>
      </c>
      <c r="CR201" s="21"/>
      <c r="CS201" s="21"/>
      <c r="CT201" s="217" t="str">
        <f>IF(R201="","",IF(AND(BS201&gt;1,BS201&lt;12,Tabla1[[#This Row],[T.A. SISTOLICA - ANTES DE SEMANA 12]]="",Tabla1[[#This Row],[T.A. DIASTOLICA - ANTES DE SEMANA 12]]=""),"REGISTRE DATO TA ANTES SEMANA 12",IF(AND(BS201&gt;11,BS201&lt;43,Tabla1[[#This Row],[T.A. SISTOLICA - ANTES DE SEMANA 12]]="",Tabla1[[#This Row],[T.A. DIASTOLICA - ANTES DE SEMANA 12]]=""),"NO APLICA REGISTRO TA-INGRESO TARDIO",IF(AND(OR(O201&gt;0,R201&gt;0),OR(CR201&gt;=140,CS201&gt;=90)),"DEFINIR ESTADIO HTA",IF(AND(OR(O201&gt;0,R201&gt;0),AND(CR201&gt;120,CR201&lt;=139)),"PRE HTA SEGUIMIENTO",IF(AND(OR(O201&gt;0,R201&gt;0),AND(CS201&gt;80,CS201&lt;=89)),"PRE HTA SEGUIMIENTO",IF(AND(OR(O201&gt;0,R201&gt;0),AND(CR201&gt;=80,CR201&lt;=120)),"APARENTEMENTE NORMAL",IF(AND(OR(O201&gt;0,R201&gt;0),AND(CS201&gt;=50,CS201&lt;=80)),"APARENTEMENTE NORMAL",IF(AND(OR(O201&gt;0,R201&gt;0),AND(CR201&gt;1,CR201&lt;=70),AND(CS201&gt;1,CS201&lt;=40)),"HIPOTENSIÓN","")))))))))</f>
        <v>NO APLICA REGISTRO TA-INGRESO TARDIO</v>
      </c>
      <c r="CU201" s="21"/>
      <c r="CV201" s="21"/>
      <c r="CW201" s="217" t="str">
        <f ca="1">IF(R201="","",IF(AND(CN201&gt;19,CN201&lt;27,Tabla1[[#This Row],[T.A. SISTOLICA (Entre semana 20 y 26)]]="",Tabla1[[#This Row],[T.A. DIATOLICA (Entre semana 20 y 26)]]=""),"ACUDE A CONTROL SEM 20 A 26 REGISTRE TA AHORA",IF(AND(BS201&gt;1,BS201&lt;27,BU201&gt;19,Tabla1[[#This Row],[T.A. SISTOLICA (Entre semana 20 y 26)]]="",Tabla1[[#This Row],[T.A. DIATOLICA (Entre semana 20 y 26)]]=""),"COMPLETE REGISTRO TA CONTROL SEM 20 A26 ",IF(AND(BS201&gt;26,BS201&lt;43,Tabla1[[#This Row],[T.A. SISTOLICA (Entre semana 20 y 26)]]="",Tabla1[[#This Row],[T.A. DIATOLICA (Entre semana 20 y 26)]]=""),"NO APLICA REGISTRO TA-INGRESO TARDIO",IF(AND(OR(O201&gt;0,R201&gt;0),OR(CU201&gt;=140,CV201&gt;=90)),"ALTO RIESGO PREECLAMPSIA,DEFINIR ESTADIO HTA",IF(AND(OR(O201&gt;0,R201&gt;0),AND(CU201&gt;120,CU201&lt;=139)),"PRE HTA SEGUIMIENTO,RIESGO HIPERTENSION INDUCIDA POR EL EMBARAZO",IF(AND(OR(O201&gt;0,R201&gt;0),AND(CV201&gt;80,CV201&lt;=89)),"PRE HTA SEGUIMIENTO, RIESGO HIPERTENSION INDUCIDA POR EL EMBARAZO",IF(AND(OR(O201&lt;&gt;"",R201&lt;&gt;""),CS201&lt;&gt;"",CV201&lt;&gt;"",CS201&lt;=CV201),"VIGILAR CIFRAS PRESION ARTERIAL",IF(AND(OR(O201&gt;0,R201&gt;0),AND(CU201&gt;120,CU201&lt;=139)),"PRE HTA SEGUIMIENTO",IF(AND(OR(O201&gt;0,R201&gt;0),AND(CU201&gt;1,CU201&lt;=70),AND(CV201&gt;1,CV201&lt;=40)),"HIPOTENSIÓN",IF(AND(OR(O201&lt;&gt;"",R201&lt;&gt;""),CS201&lt;&gt;"",CV201&lt;&gt;"",CS201&gt;CV201),"APARENTEMENTE NORMAL",IF(AND(OR(O201&gt;0,R201&gt;0),AND(CU201&gt;=80,CU201&lt;=120)),"APARENTEMENTE NORMAL",IF(AND(OR(O201&gt;0,R201&gt;0),AND(CV201&gt;=50,CV201&lt;=80)),"APARENTEMENTE NORMAL","")))))))))))))</f>
        <v xml:space="preserve">COMPLETE REGISTRO TA CONTROL SEM 20 A26 </v>
      </c>
      <c r="CX201" s="21"/>
      <c r="CY201" s="21"/>
      <c r="CZ201" s="216" t="e">
        <f>IF(R201="","",IF(AND(CN201&gt;31,CN201&lt;35,CX201="",CY201=""),"ACUDE A CONTROL SEM 30 A 34- REGISTRE AHORA",IF(AND(BS201&gt;34,BS201&lt;43,#REF!="",#REF!=""),"NO APLICA-INGRESO TARDIO",IF(AND(OR(O201&gt;0,R201&gt;0),OR(CX201&gt;=140,CY201&gt;=90)),"ESTUDIO INMEDIATO HTA PARA DESCARTAR PREECLAMSIA",IF(AND(OR(O201&gt;0,R201&gt;0),AND(CX201&gt;=130,CX201&lt;=139)),"PRE HTA,RIESGO ALTO PREECLAMPSIA",IF(AND(OR(O201&gt;0,R201&gt;0),AND(CY201&gt;80,CY201&lt;=89)),"PRE HTA,RIESGO ALTO PREECLAMPSIA",IF(AND(OR(O201&gt;0,R201&gt;0),AND(CX201&gt;120,CX201&lt;=129)),"RANGO PREHIPERTENSIVO SEGUIMIENTO HTA",IF(AND(OR(O201&lt;&gt;"",R201&lt;&gt;""),CS201&lt;&gt;"",CY201&lt;&gt;"",CS201&lt;CY201),"VIGILAR CIFRAS PRESION ARTERIAL",IF(AND(OR(O201&lt;&gt;"",R201&lt;&gt;""),CS201&lt;&gt;"",CY201&lt;&gt;"",CS201=CY201),"APARENTEMENTE NORMAL",IF(AND(OR(O201&gt;0,R201&gt;0),CX201&gt;=80,CX201&lt;=120),"APARENTEMENTE NORMAL",IF(AND(OR(O201&gt;0,R201&gt;0),CY201&gt;=50,CY201&lt;=80),"APARENTEMENTE NORMAL","")))))))))))</f>
        <v>#REF!</v>
      </c>
      <c r="DA201" s="21">
        <v>90</v>
      </c>
      <c r="DB201" s="21">
        <v>60</v>
      </c>
      <c r="DC201" s="217" t="str">
        <f t="shared" si="849"/>
        <v>APARENTEMENTE NORMAL</v>
      </c>
      <c r="DD201" s="22">
        <v>45099</v>
      </c>
      <c r="DE201" s="22">
        <v>45099</v>
      </c>
      <c r="DF201" s="22">
        <v>45162</v>
      </c>
      <c r="DG201" s="22"/>
      <c r="DH201" s="22"/>
      <c r="DI201" s="22"/>
      <c r="DJ201" s="22"/>
      <c r="DK201" s="22"/>
      <c r="DL201" s="22"/>
      <c r="DM201" s="22"/>
      <c r="DN201" s="22"/>
      <c r="DO201" s="22"/>
      <c r="DP201" s="22"/>
      <c r="DQ201" s="22"/>
      <c r="DR201" s="28"/>
      <c r="DS201" s="22"/>
      <c r="DT201" s="22"/>
      <c r="DU201" s="216" t="str">
        <f t="shared" ca="1" si="674"/>
        <v>CONCERTAR PLAN DE PARTO INMEDIATO</v>
      </c>
      <c r="DV201" s="226" t="str">
        <f t="shared" si="675"/>
        <v>ACTIVA INGRESO A CPN</v>
      </c>
      <c r="DW20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1" s="216" t="str">
        <f t="shared" si="850"/>
        <v>DIA DE CONTROL</v>
      </c>
      <c r="DY201" s="212">
        <f>IF(R201="","",IF(R201&gt;0,MAX(Tabla1[[#This Row],[FECHA C2]:[FECHA C13]],Tabla1[[#This Row],[FECHA CONSULTA PRIMERA VEZ PROGRAMA CPN ]])))</f>
        <v>45162</v>
      </c>
      <c r="DZ201" s="216">
        <f t="shared" si="851"/>
        <v>28</v>
      </c>
      <c r="EA201" s="222">
        <f>IF(R201&gt;0,SUM(COUNTA(DF201:DQ201)+COUNTA(Tabla1[[#This Row],[FECHA CONSULTA PRIMERA VEZ PROGRAMA CPN ]])),"")</f>
        <v>2</v>
      </c>
      <c r="EB201" s="222" t="str">
        <f t="shared" si="852"/>
        <v>NO</v>
      </c>
      <c r="EC201" s="214">
        <f t="shared" si="853"/>
        <v>7</v>
      </c>
      <c r="ED201" s="227">
        <f t="shared" si="854"/>
        <v>0.2857142857142857</v>
      </c>
      <c r="EE201" s="22">
        <v>45099</v>
      </c>
      <c r="EF201" s="22">
        <v>45164</v>
      </c>
      <c r="EG201" s="22">
        <v>45099</v>
      </c>
      <c r="EH201" s="22"/>
      <c r="EI201" s="22">
        <v>45099</v>
      </c>
      <c r="EJ201" s="22"/>
      <c r="EK201" s="22"/>
      <c r="EL201" s="21"/>
      <c r="EM201" s="21">
        <v>12.4</v>
      </c>
      <c r="EN201" s="22">
        <v>45126</v>
      </c>
      <c r="EO201" s="222">
        <f t="shared" si="855"/>
        <v>22.857142857142858</v>
      </c>
      <c r="EP201" s="214" t="str">
        <f t="shared" si="856"/>
        <v>NORMAL- SUMINISTRAR SULFATO FERROSO</v>
      </c>
      <c r="EQ201" s="216" t="str">
        <f t="shared" si="857"/>
        <v>II TRIM</v>
      </c>
      <c r="ER201" s="24"/>
      <c r="ES201" s="22"/>
      <c r="ET201" s="29" t="str">
        <f t="shared" ca="1" si="676"/>
        <v>TOMA DE HEMOGLOBINA TARDÍA</v>
      </c>
      <c r="EU201" s="25" t="str">
        <f t="shared" si="858"/>
        <v/>
      </c>
      <c r="EV201" s="24" t="s">
        <v>1510</v>
      </c>
      <c r="EW201" s="22">
        <v>45126</v>
      </c>
      <c r="EX201" s="22"/>
      <c r="EY201" s="29">
        <f t="shared" si="691"/>
        <v>22.857142857142858</v>
      </c>
      <c r="EZ201" s="25" t="str">
        <f t="shared" si="692"/>
        <v>SIN RIESGO DE ISOINMUNIZACIÓN</v>
      </c>
      <c r="FA201" s="21">
        <v>75</v>
      </c>
      <c r="FB201" s="24" t="s">
        <v>1510</v>
      </c>
      <c r="FC201" s="22">
        <v>45126</v>
      </c>
      <c r="FD201" s="29"/>
      <c r="FE201" s="29"/>
      <c r="FF201" s="29"/>
      <c r="FG201" s="21" t="str">
        <f t="shared" ca="1" si="860"/>
        <v>TOMAR PTOG</v>
      </c>
      <c r="FH201" s="31"/>
      <c r="FI201" s="29" t="str">
        <f t="shared" si="861"/>
        <v>TOMAR EXAMEN</v>
      </c>
      <c r="FJ201" s="22"/>
      <c r="FK201" s="290"/>
      <c r="FL201" s="29" t="str">
        <f t="shared" ca="1" si="862"/>
        <v>NO APLICA-INGRESO TARDIO</v>
      </c>
      <c r="FM201" s="22" t="s">
        <v>867</v>
      </c>
      <c r="FN201" s="22">
        <v>45126</v>
      </c>
      <c r="FO201" s="29">
        <f t="shared" ca="1" si="677"/>
        <v>22.857142857142858</v>
      </c>
      <c r="FP201" s="22"/>
      <c r="FQ201" s="32"/>
      <c r="FR201" s="29" t="str">
        <f t="shared" ca="1" si="678"/>
        <v>TOMA INMEDIATA DE TAMIZAJE</v>
      </c>
      <c r="FS201" s="22"/>
      <c r="FT201" s="32"/>
      <c r="FU201" s="29" t="str">
        <f>IF(AND(FJ201="",FM201="",FP201="",FS201=""),"",IF(OR(OR(Tabla1[[#This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1" s="28"/>
      <c r="FW201" s="22"/>
      <c r="FX201" s="29" t="str">
        <f t="shared" si="863"/>
        <v>TOMAR EXAMEN</v>
      </c>
      <c r="FY201" s="22"/>
      <c r="FZ201" s="22"/>
      <c r="GA201" s="29" t="str">
        <f t="shared" ca="1" si="737"/>
        <v>NO APLICA-INGRESO TARDIO</v>
      </c>
      <c r="GB201" s="22" t="s">
        <v>868</v>
      </c>
      <c r="GC201" s="22">
        <v>45126</v>
      </c>
      <c r="GD201" s="29">
        <f t="shared" ca="1" si="730"/>
        <v>22.857142857142858</v>
      </c>
      <c r="GE201" s="22"/>
      <c r="GF201" s="22"/>
      <c r="GG201" s="29" t="str">
        <f t="shared" ca="1" si="680"/>
        <v>TOMA INMEDIATA DE TAMIZAJE</v>
      </c>
      <c r="GH201" s="22"/>
      <c r="GI201" s="29"/>
      <c r="GJ201" s="22"/>
      <c r="GK201" s="22"/>
      <c r="GL201" s="22"/>
      <c r="GM201" s="22"/>
      <c r="GN201" s="28" t="s">
        <v>869</v>
      </c>
      <c r="GO201" s="22">
        <v>45126</v>
      </c>
      <c r="GP201" s="29">
        <f t="shared" si="864"/>
        <v>22.857142857142858</v>
      </c>
      <c r="GQ201" s="28" t="s">
        <v>846</v>
      </c>
      <c r="GR201" s="28" t="s">
        <v>869</v>
      </c>
      <c r="GS201" s="22" t="str">
        <f t="shared" si="726"/>
        <v/>
      </c>
      <c r="GT201" s="28" t="s">
        <v>869</v>
      </c>
      <c r="GU201" s="22">
        <v>45126</v>
      </c>
      <c r="GV201" s="21" t="str">
        <f t="shared" si="866"/>
        <v>POR DEFINIR</v>
      </c>
      <c r="GW201" s="28"/>
      <c r="GX201" s="30"/>
      <c r="GY201" s="21"/>
      <c r="GZ201" s="21"/>
      <c r="HA201" s="21"/>
      <c r="HB201" s="21"/>
      <c r="HC201" s="21"/>
      <c r="HD201" s="21"/>
      <c r="HE201" s="21"/>
      <c r="HF201" s="22"/>
      <c r="HG201" s="22" t="str">
        <f>IF(OR(O201&gt;0,R201&gt;0),CONCATENATE(IF(Tabla1[[#This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1" s="22" t="e">
        <f t="shared" si="867"/>
        <v>#REF!</v>
      </c>
      <c r="HI201" s="22" t="e">
        <f t="shared" si="868"/>
        <v>#REF!</v>
      </c>
      <c r="HJ201" s="21"/>
      <c r="HK201" s="21" t="str">
        <f t="shared" si="869"/>
        <v>SIN ANTECEDENTES DE RIESGO</v>
      </c>
      <c r="HL201" s="24" t="str">
        <f t="shared" si="870"/>
        <v>APARENTEMENTE NORMAL</v>
      </c>
      <c r="HM201" s="21" t="str">
        <f t="shared" si="871"/>
        <v>DIA DE CONTROL</v>
      </c>
      <c r="HN201" s="30" t="str">
        <f t="shared" si="681"/>
        <v>ACTIVA INGRESO A CPN</v>
      </c>
      <c r="HO201" s="21"/>
      <c r="HP201" s="21"/>
      <c r="HQ201" s="349"/>
      <c r="HR201" s="21"/>
      <c r="HS201" s="22">
        <v>45098</v>
      </c>
      <c r="HT201" s="22" t="s">
        <v>1518</v>
      </c>
      <c r="HU201" s="22"/>
      <c r="HV201" s="22"/>
      <c r="HW201" s="22">
        <v>45098</v>
      </c>
      <c r="HX201" s="22" t="s">
        <v>1511</v>
      </c>
      <c r="HY201" s="22">
        <v>45098</v>
      </c>
      <c r="HZ201" s="28">
        <f t="shared" si="872"/>
        <v>18.857142857142858</v>
      </c>
      <c r="IA201" s="26"/>
      <c r="IB201" s="26"/>
      <c r="IC201" s="111"/>
      <c r="ID201" s="22"/>
      <c r="IE201" s="22" t="str">
        <f t="shared" ca="1" si="873"/>
        <v>INASISTENTE</v>
      </c>
      <c r="IF201" s="22"/>
      <c r="IG201" s="22">
        <f t="shared" si="874"/>
        <v>45246</v>
      </c>
      <c r="IH201" s="29">
        <f t="shared" ca="1" si="875"/>
        <v>13</v>
      </c>
      <c r="II201" s="22" t="str">
        <f t="shared" ca="1" si="876"/>
        <v>MENOS DE 4 SEMANAS</v>
      </c>
      <c r="IJ201" s="22"/>
      <c r="IK201" s="21"/>
      <c r="IL201" s="21"/>
      <c r="IM201" s="34"/>
      <c r="IN201" s="22"/>
      <c r="IO201" s="21"/>
      <c r="IP201" s="29"/>
      <c r="IQ201" s="35"/>
      <c r="IR201" s="21"/>
      <c r="IS201" s="21"/>
      <c r="IT201" s="21"/>
      <c r="IU201" s="21"/>
      <c r="IV201" s="21"/>
      <c r="IW201" s="21"/>
      <c r="IX201" s="21"/>
      <c r="IY201" s="21"/>
      <c r="IZ201" s="21"/>
      <c r="JA201" s="21"/>
      <c r="JB201" s="30"/>
      <c r="JC201" s="21"/>
      <c r="JD201" s="36"/>
      <c r="JE201" s="21"/>
      <c r="JF201" s="30"/>
      <c r="JG201" s="21"/>
      <c r="JH201" s="21"/>
      <c r="JI201" s="21"/>
      <c r="JJ201" s="30"/>
      <c r="JK201" s="22"/>
      <c r="JL201" s="22"/>
      <c r="JM201" s="21"/>
      <c r="JN201" s="36"/>
      <c r="JO201" s="21"/>
      <c r="JP201" s="22"/>
      <c r="JQ201" s="21"/>
      <c r="JR201" s="21"/>
      <c r="JS201" s="21"/>
      <c r="JT201" s="30"/>
      <c r="JU201" s="22"/>
      <c r="JV201" s="22"/>
      <c r="JW201" s="33"/>
      <c r="JX201" s="28"/>
      <c r="JY201" s="33"/>
      <c r="JZ201" s="28"/>
      <c r="KA201" s="21"/>
      <c r="KB201" s="21"/>
      <c r="KC201" s="21"/>
      <c r="KD201" s="37"/>
      <c r="KE201" s="28"/>
      <c r="KF201" s="28"/>
      <c r="KG201" s="28"/>
      <c r="KH201" s="39"/>
      <c r="KI201" s="39"/>
      <c r="KJ201" s="66"/>
      <c r="KK201" s="39"/>
      <c r="KL201" s="39"/>
      <c r="KM201" s="66"/>
      <c r="KN201" s="39"/>
      <c r="KO201" s="39"/>
      <c r="KP201" s="39"/>
      <c r="KQ201" s="39"/>
      <c r="KR201" s="39"/>
      <c r="KS201" s="39"/>
      <c r="KT201" s="39"/>
      <c r="KU201" s="38"/>
      <c r="KV201" s="38"/>
      <c r="KW201" s="38"/>
      <c r="KX201" s="38"/>
      <c r="KY201" s="38"/>
      <c r="KZ201" s="38"/>
      <c r="LA201" s="38"/>
      <c r="LB201" s="38"/>
      <c r="LC201" s="38"/>
      <c r="LD201" s="38"/>
      <c r="LE201" s="38"/>
      <c r="LF201" s="38"/>
      <c r="LG201" s="38"/>
      <c r="LH201" s="38"/>
      <c r="LI201" s="38"/>
      <c r="LJ201" s="38"/>
      <c r="LK201" s="38"/>
      <c r="LL201" s="38"/>
      <c r="LM201" s="38"/>
      <c r="LN201" s="38"/>
      <c r="LO201" s="38"/>
      <c r="LP201" s="38"/>
      <c r="LQ201" s="38"/>
      <c r="LR201" s="38"/>
      <c r="LS201" s="38"/>
      <c r="LT201" s="38"/>
      <c r="LU201" s="38"/>
      <c r="LV201" s="38"/>
      <c r="LW201" s="38"/>
      <c r="LX201" s="38"/>
      <c r="LY201" s="38"/>
      <c r="LZ201" s="38"/>
      <c r="MA201" s="38"/>
      <c r="MB201" s="38"/>
      <c r="MC201" s="38"/>
      <c r="MD201" s="38"/>
      <c r="ME201" s="38"/>
      <c r="MF201" s="38"/>
      <c r="MG201" s="38"/>
      <c r="MH201" s="43"/>
      <c r="MI201" s="43"/>
      <c r="MJ201" s="43"/>
      <c r="MK201" s="43"/>
      <c r="ML201" s="43"/>
      <c r="MM201" s="43"/>
      <c r="MN201" s="43"/>
      <c r="MO201" s="43"/>
      <c r="MP201" s="43"/>
      <c r="MQ201" s="43"/>
      <c r="MR201" s="43"/>
      <c r="MS201" s="43"/>
      <c r="MT201" s="43"/>
      <c r="MU201" s="43"/>
      <c r="MV201" s="43"/>
      <c r="MW201" s="43"/>
      <c r="MX201" s="43"/>
      <c r="MY201" s="43"/>
      <c r="MZ201" s="43"/>
      <c r="NA201" s="43"/>
      <c r="NB201" s="43"/>
      <c r="NC201" s="43"/>
      <c r="ND201" s="43"/>
      <c r="NE201" s="43"/>
      <c r="NF201" s="43"/>
      <c r="NG201" s="43"/>
      <c r="NH201" s="43"/>
      <c r="NI201" s="43"/>
      <c r="NJ201" s="43"/>
      <c r="NK201" s="43"/>
      <c r="NL201" s="43"/>
      <c r="NM201" s="43"/>
      <c r="NN201" s="43"/>
      <c r="NO201" s="43"/>
      <c r="NP201" s="204"/>
      <c r="NQ201" s="21"/>
      <c r="NR201" s="21"/>
      <c r="NS201" s="205"/>
      <c r="NT201" s="21"/>
      <c r="NU201" s="21"/>
      <c r="NV201" s="21"/>
      <c r="NW201" s="206"/>
      <c r="NX201" s="207"/>
      <c r="NY201" s="43">
        <f>ROW(Tabla1[[#This Row],['# DE TAMIZAJES SIFILIS TOMADOS ]])</f>
        <v>201</v>
      </c>
      <c r="NZ201" s="43">
        <f t="shared" si="738"/>
        <v>19</v>
      </c>
      <c r="OA201" s="43" t="str">
        <f t="shared" si="739"/>
        <v/>
      </c>
      <c r="OB201" s="43" t="str">
        <f t="shared" si="740"/>
        <v/>
      </c>
      <c r="OC201" s="43" t="str">
        <f t="shared" si="741"/>
        <v/>
      </c>
      <c r="OD201" s="43" t="str">
        <f t="shared" si="742"/>
        <v/>
      </c>
      <c r="OE201" s="43" t="str">
        <f t="shared" si="743"/>
        <v/>
      </c>
      <c r="OF201" s="43" t="str">
        <f t="shared" si="744"/>
        <v/>
      </c>
      <c r="OG201" s="43" t="str">
        <f t="shared" si="745"/>
        <v/>
      </c>
      <c r="OH201" s="43" t="str">
        <f t="shared" si="746"/>
        <v/>
      </c>
      <c r="OI201" s="43" t="str">
        <f t="shared" si="747"/>
        <v/>
      </c>
      <c r="OJ201" s="43" t="str">
        <f t="shared" si="748"/>
        <v/>
      </c>
      <c r="OK201" s="43" t="str">
        <f t="shared" si="749"/>
        <v>OBESIDAD</v>
      </c>
      <c r="OL201" s="43" t="str">
        <f t="shared" si="750"/>
        <v/>
      </c>
      <c r="OM201" s="43" t="str">
        <f t="shared" si="751"/>
        <v/>
      </c>
      <c r="ON201" s="43" t="str">
        <f t="shared" si="752"/>
        <v/>
      </c>
      <c r="OO201" s="43" t="str">
        <f t="shared" si="753"/>
        <v/>
      </c>
      <c r="OP201" s="43" t="str">
        <f t="shared" si="754"/>
        <v/>
      </c>
      <c r="OQ201" s="43" t="str">
        <f t="shared" si="755"/>
        <v/>
      </c>
      <c r="OR201" s="43" t="str">
        <f t="shared" si="756"/>
        <v/>
      </c>
      <c r="OS201" s="43" t="str">
        <f t="shared" si="757"/>
        <v/>
      </c>
      <c r="OT201" s="43" t="str">
        <f t="shared" si="758"/>
        <v/>
      </c>
      <c r="OU201" s="43" t="str">
        <f t="shared" si="759"/>
        <v/>
      </c>
      <c r="OV201" s="110" t="str">
        <f t="shared" si="760"/>
        <v/>
      </c>
      <c r="OW201" s="43" t="str">
        <f t="shared" si="761"/>
        <v/>
      </c>
      <c r="OX201" s="43" t="str">
        <f t="shared" si="762"/>
        <v/>
      </c>
      <c r="OY201" s="43" t="str">
        <f t="shared" si="763"/>
        <v/>
      </c>
      <c r="OZ201" s="43" t="str">
        <f t="shared" si="764"/>
        <v/>
      </c>
      <c r="PA201" s="43" t="str">
        <f t="shared" si="765"/>
        <v/>
      </c>
      <c r="PB201" s="43" t="str">
        <f t="shared" si="766"/>
        <v/>
      </c>
      <c r="PC201" s="43" t="str">
        <f t="shared" si="767"/>
        <v/>
      </c>
      <c r="PD201" s="43" t="str">
        <f t="shared" si="768"/>
        <v/>
      </c>
      <c r="PE201" s="43" t="str">
        <f t="shared" si="769"/>
        <v/>
      </c>
      <c r="PF201" s="43" t="str">
        <f t="shared" si="770"/>
        <v/>
      </c>
      <c r="PG201" s="43" t="str">
        <f t="shared" si="771"/>
        <v/>
      </c>
      <c r="PH201" s="43" t="str">
        <f t="shared" si="772"/>
        <v/>
      </c>
      <c r="PI201" s="43">
        <f t="shared" si="773"/>
        <v>28</v>
      </c>
      <c r="PJ201" s="43" t="str">
        <f t="shared" si="774"/>
        <v/>
      </c>
      <c r="PK201" s="43" t="str">
        <f t="shared" si="775"/>
        <v/>
      </c>
      <c r="PL201" s="43" t="str">
        <f t="shared" si="776"/>
        <v/>
      </c>
      <c r="PM201" s="43" t="str">
        <f t="shared" si="777"/>
        <v/>
      </c>
      <c r="PN201" s="43" t="str">
        <f t="shared" si="778"/>
        <v/>
      </c>
      <c r="PO201" s="43" t="str">
        <f t="shared" si="779"/>
        <v/>
      </c>
      <c r="PP201" s="43" t="str">
        <f t="shared" si="780"/>
        <v/>
      </c>
      <c r="PQ201" s="43" t="str">
        <f t="shared" si="781"/>
        <v/>
      </c>
      <c r="PR201" s="43" t="str">
        <f t="shared" si="782"/>
        <v/>
      </c>
      <c r="PS201" s="43" t="str">
        <f t="shared" si="783"/>
        <v/>
      </c>
      <c r="PT201" s="43" t="str">
        <f t="shared" si="784"/>
        <v/>
      </c>
      <c r="PU201" s="43" t="str">
        <f t="shared" si="785"/>
        <v/>
      </c>
      <c r="PV201" s="43" t="str">
        <f t="shared" si="786"/>
        <v/>
      </c>
      <c r="PW201" s="43" t="str">
        <f t="shared" si="787"/>
        <v/>
      </c>
      <c r="PX201" s="43" t="str">
        <f t="shared" si="788"/>
        <v/>
      </c>
      <c r="PY201" s="43" t="str">
        <f t="shared" si="789"/>
        <v/>
      </c>
      <c r="PZ201" s="43" t="str">
        <f t="shared" si="790"/>
        <v/>
      </c>
      <c r="QA201" s="43" t="str">
        <f t="shared" si="791"/>
        <v/>
      </c>
      <c r="QB201" s="43" t="str">
        <f t="shared" si="792"/>
        <v/>
      </c>
      <c r="QC201" s="43" t="str">
        <f t="shared" si="793"/>
        <v>OBESIDAD</v>
      </c>
      <c r="QD201" s="43" t="str">
        <f t="shared" si="794"/>
        <v/>
      </c>
      <c r="QE201" s="43" t="str">
        <f t="shared" si="795"/>
        <v/>
      </c>
      <c r="QF201" s="43" t="str">
        <f t="shared" si="796"/>
        <v/>
      </c>
      <c r="QG201" s="43" t="str">
        <f t="shared" si="797"/>
        <v/>
      </c>
      <c r="QH201" s="43" t="str">
        <f t="shared" si="798"/>
        <v/>
      </c>
      <c r="QI201" s="43" t="str">
        <f t="shared" si="799"/>
        <v/>
      </c>
      <c r="QJ201" s="43" t="str">
        <f t="shared" si="800"/>
        <v/>
      </c>
      <c r="QK201" s="43" t="str">
        <f t="shared" si="801"/>
        <v/>
      </c>
      <c r="QL201" s="43" t="str">
        <f t="shared" si="802"/>
        <v/>
      </c>
      <c r="QM201" s="43" t="str">
        <f t="shared" si="803"/>
        <v/>
      </c>
      <c r="QN201" s="43" t="str">
        <f t="shared" si="804"/>
        <v/>
      </c>
      <c r="QO201" s="43" t="str">
        <f t="shared" si="805"/>
        <v/>
      </c>
      <c r="QP201" s="43" t="str">
        <f t="shared" si="806"/>
        <v/>
      </c>
      <c r="QQ201" s="43" t="str">
        <f t="shared" si="807"/>
        <v/>
      </c>
      <c r="QR201" s="43">
        <f t="shared" si="837"/>
        <v>28</v>
      </c>
      <c r="QS201" s="43"/>
      <c r="QT201" s="21" t="str">
        <f t="shared" si="808"/>
        <v/>
      </c>
      <c r="QU201" s="21" t="str">
        <f t="shared" si="809"/>
        <v/>
      </c>
      <c r="QV201" s="21" t="str">
        <f t="shared" si="810"/>
        <v/>
      </c>
      <c r="QW201" s="21" t="str">
        <f t="shared" si="811"/>
        <v/>
      </c>
      <c r="QX201" s="21" t="str">
        <f t="shared" si="812"/>
        <v/>
      </c>
      <c r="QY201" s="21" t="str">
        <f t="shared" si="813"/>
        <v/>
      </c>
      <c r="QZ201" s="21" t="str">
        <f t="shared" si="814"/>
        <v/>
      </c>
      <c r="RA201" s="21" t="str">
        <f t="shared" si="815"/>
        <v/>
      </c>
      <c r="RB201" s="21" t="str">
        <f t="shared" si="816"/>
        <v/>
      </c>
      <c r="RC201" s="21" t="str">
        <f t="shared" si="817"/>
        <v/>
      </c>
      <c r="RD201" s="21" t="str">
        <f t="shared" si="818"/>
        <v/>
      </c>
      <c r="RE201" s="21" t="str">
        <f t="shared" si="819"/>
        <v/>
      </c>
      <c r="RF201" s="21" t="str">
        <f t="shared" si="820"/>
        <v/>
      </c>
      <c r="RG201" s="21" t="str">
        <f t="shared" si="821"/>
        <v/>
      </c>
      <c r="RH201" s="21" t="str">
        <f t="shared" si="822"/>
        <v/>
      </c>
      <c r="RI201" s="21" t="str">
        <f t="shared" si="823"/>
        <v>ALTO PARA EDAD GESTACIONAL</v>
      </c>
      <c r="RJ201" s="21" t="str">
        <f t="shared" si="824"/>
        <v/>
      </c>
      <c r="RK201" s="21" t="str">
        <f t="shared" si="825"/>
        <v/>
      </c>
      <c r="RL201" s="21" t="str">
        <f t="shared" si="826"/>
        <v/>
      </c>
      <c r="RM201" s="21" t="str">
        <f t="shared" si="827"/>
        <v/>
      </c>
      <c r="RN201" s="21" t="str">
        <f t="shared" si="828"/>
        <v/>
      </c>
      <c r="RO201" s="21" t="str">
        <f t="shared" si="829"/>
        <v/>
      </c>
      <c r="RP201" s="21" t="str">
        <f t="shared" si="830"/>
        <v/>
      </c>
      <c r="RQ201" s="21" t="str">
        <f t="shared" si="831"/>
        <v/>
      </c>
      <c r="RR201" s="21" t="str">
        <f t="shared" si="832"/>
        <v/>
      </c>
      <c r="RS201" s="21" t="str">
        <f t="shared" si="833"/>
        <v/>
      </c>
      <c r="RT201" s="21" t="str">
        <f t="shared" si="834"/>
        <v/>
      </c>
      <c r="RU201" s="21" t="str">
        <f t="shared" si="835"/>
        <v/>
      </c>
      <c r="RV201" s="21">
        <f t="shared" si="836"/>
        <v>-1</v>
      </c>
      <c r="RW201" s="284">
        <f>IF(OR(Tabla1[[#This Row],[FUM FORMULA CONFIABLE]]="",Tabla1[[#This Row],[FUM FORMULA CONFIABLE]]="SD"),"",IF(Tabla1[[#This Row],[FUM FORMULA CONFIABLE]]="CORREGIDA",Tabla1[[#This Row],[FUM X ECO 1]],Tabla1[[#This Row],[FUM x AMENORREA]]))</f>
        <v>44966</v>
      </c>
      <c r="RX201" s="21" t="str">
        <f>IF(AND(Tabla1[[#This Row],[FUM X ECO 1]]="",Tabla1[[#This Row],[FUM x AMENORREA]]=""),"",IF(AND(Tabla1[[#This Row],[FUM X ECO 1]]="",Tabla1[[#This Row],[FUM x AMENORREA]]&lt;&gt;""),"X",SUM(Tabla1[[#This Row],[FUM X ECO 1]]-Tabla1[[#This Row],[FUM x AMENORREA]])))</f>
        <v>X</v>
      </c>
      <c r="RY201" s="21" t="str">
        <f t="shared" si="838"/>
        <v>x</v>
      </c>
    </row>
    <row r="202" spans="1:493" ht="45" customHeight="1" x14ac:dyDescent="0.25">
      <c r="A202" s="109"/>
      <c r="B202" s="43"/>
      <c r="C202" s="43" t="s">
        <v>845</v>
      </c>
      <c r="D202" s="124"/>
      <c r="E202" s="43" t="s">
        <v>943</v>
      </c>
      <c r="F202" s="43" t="s">
        <v>1144</v>
      </c>
      <c r="G202" s="43" t="s">
        <v>1504</v>
      </c>
      <c r="H202" s="43" t="s">
        <v>1281</v>
      </c>
      <c r="I202" s="109" t="s">
        <v>1094</v>
      </c>
      <c r="J202" s="110">
        <v>1059599329</v>
      </c>
      <c r="K202" s="43" t="s">
        <v>852</v>
      </c>
      <c r="L202" s="175" t="s">
        <v>1509</v>
      </c>
      <c r="M202" s="22">
        <v>39559</v>
      </c>
      <c r="N202" s="213">
        <f t="shared" ca="1" si="839"/>
        <v>15.545205479452054</v>
      </c>
      <c r="O202" s="293">
        <v>45101</v>
      </c>
      <c r="P202" s="214" t="str">
        <f t="shared" si="673"/>
        <v>SI</v>
      </c>
      <c r="Q202" s="26" t="s">
        <v>855</v>
      </c>
      <c r="R202" s="293">
        <v>45101</v>
      </c>
      <c r="S202" s="21" t="s">
        <v>856</v>
      </c>
      <c r="T202" s="24" t="s">
        <v>690</v>
      </c>
      <c r="U202" s="21" t="s">
        <v>857</v>
      </c>
      <c r="V202" s="21" t="s">
        <v>858</v>
      </c>
      <c r="W202" s="21" t="s">
        <v>1062</v>
      </c>
      <c r="X202" s="21"/>
      <c r="Y202" s="21"/>
      <c r="Z202" s="21"/>
      <c r="AA202" s="21" t="s">
        <v>860</v>
      </c>
      <c r="AB202" s="27" t="s">
        <v>861</v>
      </c>
      <c r="AC202" s="26" t="s">
        <v>897</v>
      </c>
      <c r="AD202" s="38" t="s">
        <v>1546</v>
      </c>
      <c r="AE202" s="26" t="s">
        <v>854</v>
      </c>
      <c r="AF202" s="26" t="s">
        <v>854</v>
      </c>
      <c r="AG202" s="23" t="s">
        <v>864</v>
      </c>
      <c r="AH202" s="23" t="s">
        <v>864</v>
      </c>
      <c r="AI202" s="24" t="s">
        <v>863</v>
      </c>
      <c r="AJ202" s="23" t="s">
        <v>864</v>
      </c>
      <c r="AK202" s="220" t="str">
        <f>IF(AND(AD202="",AE202="",AF202="",AG202="",AH202="",AI202="",AJ202=""),"",IF(OR(Tabla1[[#This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EVALUACIÓN",IF(AND(O202="",R202=""),"",IF(AND(OR(O202&gt;0,R202&gt;0),NG202&gt;=0,NG202&lt;2),"SIN RIESGO",IF(AND(OR(O202&gt;0,R202&gt;0),NG202&gt;=2),"CON RIESGO","ASD")))))</f>
        <v>SIN RIESGO</v>
      </c>
      <c r="AL202" s="23" t="s">
        <v>864</v>
      </c>
      <c r="AM202" s="26" t="s">
        <v>864</v>
      </c>
      <c r="AN202" s="26" t="s">
        <v>864</v>
      </c>
      <c r="AO202" s="26" t="s">
        <v>864</v>
      </c>
      <c r="AP202" s="26" t="s">
        <v>864</v>
      </c>
      <c r="AQ202" s="26" t="s">
        <v>864</v>
      </c>
      <c r="AR202" s="26" t="s">
        <v>864</v>
      </c>
      <c r="AS202" s="294">
        <v>0</v>
      </c>
      <c r="AT202" s="294">
        <v>0</v>
      </c>
      <c r="AU202" s="294">
        <v>0</v>
      </c>
      <c r="AV202" s="26" t="s">
        <v>864</v>
      </c>
      <c r="AW202" s="294">
        <v>0</v>
      </c>
      <c r="AX202" s="26" t="s">
        <v>864</v>
      </c>
      <c r="AY202" s="26" t="s">
        <v>864</v>
      </c>
      <c r="AZ202" s="26" t="s">
        <v>864</v>
      </c>
      <c r="BA202" s="26" t="s">
        <v>864</v>
      </c>
      <c r="BB202" s="26" t="s">
        <v>864</v>
      </c>
      <c r="BC202" s="26" t="s">
        <v>864</v>
      </c>
      <c r="BD202" s="26" t="s">
        <v>864</v>
      </c>
      <c r="BE202" s="26" t="s">
        <v>864</v>
      </c>
      <c r="BF202" s="26" t="s">
        <v>864</v>
      </c>
      <c r="BG202" s="26" t="s">
        <v>864</v>
      </c>
      <c r="BH202" s="26" t="s">
        <v>864</v>
      </c>
      <c r="BI202" s="26" t="s">
        <v>864</v>
      </c>
      <c r="BJ202" s="26" t="s">
        <v>864</v>
      </c>
      <c r="BK202" s="26" t="s">
        <v>864</v>
      </c>
      <c r="BL202" s="26" t="s">
        <v>864</v>
      </c>
      <c r="BM202" s="26" t="s">
        <v>864</v>
      </c>
      <c r="BN202" s="22"/>
      <c r="BO202" s="22">
        <v>45026</v>
      </c>
      <c r="BP202" s="21" t="s">
        <v>854</v>
      </c>
      <c r="BQ202" s="222">
        <f t="shared" si="840"/>
        <v>0</v>
      </c>
      <c r="BR202" s="223" t="str">
        <f t="shared" si="841"/>
        <v/>
      </c>
      <c r="BS202" s="224">
        <f t="shared" si="842"/>
        <v>10.714285714285714</v>
      </c>
      <c r="BT202" s="294" t="str">
        <f t="shared" si="843"/>
        <v>II TRIM</v>
      </c>
      <c r="BU202" s="214">
        <f t="shared" ca="1" si="844"/>
        <v>29.571428571428573</v>
      </c>
      <c r="BV202" s="25"/>
      <c r="BW202" s="22"/>
      <c r="BX202" s="28"/>
      <c r="BY202" s="28"/>
      <c r="BZ202" s="22"/>
      <c r="CA202" s="21"/>
      <c r="CB202" s="26"/>
      <c r="CC202" s="26"/>
      <c r="CD202" s="26"/>
      <c r="CE202" s="26"/>
      <c r="CF202" s="22" t="s">
        <v>1517</v>
      </c>
      <c r="CG202" s="21">
        <v>1.52</v>
      </c>
      <c r="CH202" s="21">
        <v>58</v>
      </c>
      <c r="CI202" s="214">
        <f t="shared" si="845"/>
        <v>25.103878116343491</v>
      </c>
      <c r="CJ202" s="225" t="e">
        <f>IF(AND(CI202&lt;10,CH202="SD"),"SIN DATO PESO PREGESTACION O I TRIM",IF(AND(OR(R202&gt;0,O202&gt;0),CI202="X"),"INGRESAR DATO DE PESO",IF(CI202="SD","INGRESAR DATO DE TALLA Y PESO",IF(AND(OR(Tabla1[[#This Row],[MOMENTO EN QUE SE REALIZA EL PESO AL INGRESO A CPN]]="PREGESTACIÓN",NZ202="Menor"),CI202&lt;18.5),"BAJO PESO",IF(AND(OR(Tabla1[[#This Row],[MOMENTO EN QUE SE REALIZA EL PESO AL INGRESO A CPN]]="PREGESTACIÓN",NZ202="Menor"),CI202&lt;25),"NORMAL",IF(AND(OR(Tabla1[[#This Row],[MOMENTO EN QUE SE REALIZA EL PESO AL INGRESO A CPN]]="PREGESTACIÓN",NZ202="Menor"),CI202&lt;30),"SOBREPESO",IF(AND(OR(Tabla1[[#This Row],[MOMENTO EN QUE SE REALIZA EL PESO AL INGRESO A CPN]]="PREGESTACIÓN",NZ202="Menor"),CI202&gt;=30,CI202&lt;50),"OBESIDAD",IF(AND(BS202&gt;0,Tabla1[[#This Row],[MOMENTO EN QUE SE REALIZA EL PESO AL INGRESO A CPN]]="GESTACIÓN"),HLOOKUP(NZ202,$OA$2:PH202,NY202),""))))))))</f>
        <v>#REF!</v>
      </c>
      <c r="CK202" s="212">
        <f t="shared" si="846"/>
        <v>45134</v>
      </c>
      <c r="CL202" s="21">
        <v>60.5</v>
      </c>
      <c r="CM202" s="214">
        <f t="shared" si="847"/>
        <v>26.185941828254848</v>
      </c>
      <c r="CN202" s="216">
        <f t="shared" si="848"/>
        <v>15</v>
      </c>
      <c r="CO202" s="216" t="e">
        <f>IF(PI202="","",IF(PI202&gt;0,HLOOKUP(PI202,$PJ$2:QQ202,NY202),""))</f>
        <v>#REF!</v>
      </c>
      <c r="CP202" s="21">
        <v>14</v>
      </c>
      <c r="CQ202" s="216" t="e">
        <f>IF(QR202="Menor","NO APLICA-MENOR 13 SEM",IF(AND(CC202="SI",CN202&gt;23),"NO APLICA- GEMELAR",IF(QR202="","",IF(QR202&gt;0,HLOOKUP(QR202,$QS$2:RU202,NY202),""))))</f>
        <v>#REF!</v>
      </c>
      <c r="CR202" s="21">
        <v>90</v>
      </c>
      <c r="CS202" s="21">
        <v>60</v>
      </c>
      <c r="CT202" s="217" t="str">
        <f>IF(R202="","",IF(AND(BS202&gt;1,BS202&lt;12,Tabla1[[#This Row],[T.A. SISTOLICA - ANTES DE SEMANA 12]]="",Tabla1[[#This Row],[T.A. DIASTOLICA - ANTES DE SEMANA 12]]=""),"REGISTRE DATO TA ANTES SEMANA 12",IF(AND(BS202&gt;11,BS202&lt;43,Tabla1[[#This Row],[T.A. SISTOLICA - ANTES DE SEMANA 12]]="",Tabla1[[#This Row],[T.A. DIASTOLICA - ANTES DE SEMANA 12]]=""),"NO APLICA REGISTRO TA-INGRESO TARDIO",IF(AND(OR(O202&gt;0,R202&gt;0),OR(CR202&gt;=140,CS202&gt;=90)),"DEFINIR ESTADIO HTA",IF(AND(OR(O202&gt;0,R202&gt;0),AND(CR202&gt;120,CR202&lt;=139)),"PRE HTA SEGUIMIENTO",IF(AND(OR(O202&gt;0,R202&gt;0),AND(CS202&gt;80,CS202&lt;=89)),"PRE HTA SEGUIMIENTO",IF(AND(OR(O202&gt;0,R202&gt;0),AND(CR202&gt;=80,CR202&lt;=120)),"APARENTEMENTE NORMAL",IF(AND(OR(O202&gt;0,R202&gt;0),AND(CS202&gt;=50,CS202&lt;=80)),"APARENTEMENTE NORMAL",IF(AND(OR(O202&gt;0,R202&gt;0),AND(CR202&gt;1,CR202&lt;=70),AND(CS202&gt;1,CS202&lt;=40)),"HIPOTENSIÓN","")))))))))</f>
        <v>APARENTEMENTE NORMAL</v>
      </c>
      <c r="CU202" s="21"/>
      <c r="CV202" s="21"/>
      <c r="CW202" s="217" t="str">
        <f ca="1">IF(R202="","",IF(AND(CN202&gt;19,CN202&lt;27,Tabla1[[#This Row],[T.A. SISTOLICA (Entre semana 20 y 26)]]="",Tabla1[[#This Row],[T.A. DIATOLICA (Entre semana 20 y 26)]]=""),"ACUDE A CONTROL SEM 20 A 26 REGISTRE TA AHORA",IF(AND(BS202&gt;1,BS202&lt;27,BU202&gt;19,Tabla1[[#This Row],[T.A. SISTOLICA (Entre semana 20 y 26)]]="",Tabla1[[#This Row],[T.A. DIATOLICA (Entre semana 20 y 26)]]=""),"COMPLETE REGISTRO TA CONTROL SEM 20 A26 ",IF(AND(BS202&gt;26,BS202&lt;43,Tabla1[[#This Row],[T.A. SISTOLICA (Entre semana 20 y 26)]]="",Tabla1[[#This Row],[T.A. DIATOLICA (Entre semana 20 y 26)]]=""),"NO APLICA REGISTRO TA-INGRESO TARDIO",IF(AND(OR(O202&gt;0,R202&gt;0),OR(CU202&gt;=140,CV202&gt;=90)),"ALTO RIESGO PREECLAMPSIA,DEFINIR ESTADIO HTA",IF(AND(OR(O202&gt;0,R202&gt;0),AND(CU202&gt;120,CU202&lt;=139)),"PRE HTA SEGUIMIENTO,RIESGO HIPERTENSION INDUCIDA POR EL EMBARAZO",IF(AND(OR(O202&gt;0,R202&gt;0),AND(CV202&gt;80,CV202&lt;=89)),"PRE HTA SEGUIMIENTO, RIESGO HIPERTENSION INDUCIDA POR EL EMBARAZO",IF(AND(OR(O202&lt;&gt;"",R202&lt;&gt;""),CS202&lt;&gt;"",CV202&lt;&gt;"",CS202&lt;=CV202),"VIGILAR CIFRAS PRESION ARTERIAL",IF(AND(OR(O202&gt;0,R202&gt;0),AND(CU202&gt;120,CU202&lt;=139)),"PRE HTA SEGUIMIENTO",IF(AND(OR(O202&gt;0,R202&gt;0),AND(CU202&gt;1,CU202&lt;=70),AND(CV202&gt;1,CV202&lt;=40)),"HIPOTENSIÓN",IF(AND(OR(O202&lt;&gt;"",R202&lt;&gt;""),CS202&lt;&gt;"",CV202&lt;&gt;"",CS202&gt;CV202),"APARENTEMENTE NORMAL",IF(AND(OR(O202&gt;0,R202&gt;0),AND(CU202&gt;=80,CU202&lt;=120)),"APARENTEMENTE NORMAL",IF(AND(OR(O202&gt;0,R202&gt;0),AND(CV202&gt;=50,CV202&lt;=80)),"APARENTEMENTE NORMAL","")))))))))))))</f>
        <v xml:space="preserve">COMPLETE REGISTRO TA CONTROL SEM 20 A26 </v>
      </c>
      <c r="CX202" s="21"/>
      <c r="CY202" s="21"/>
      <c r="CZ202" s="216" t="str">
        <f>IF(R202="","",IF(AND(CN202&gt;31,CN202&lt;35,CX202="",CY202=""),"ACUDE A CONTROL SEM 30 A 34- REGISTRE AHORA",IF(AND(BS202&gt;34,BS202&lt;43,CX203="",CY203=""),"NO APLICA-INGRESO TARDIO",IF(AND(OR(O202&gt;0,R202&gt;0),OR(CX202&gt;=140,CY202&gt;=90)),"ESTUDIO INMEDIATO HTA PARA DESCARTAR PREECLAMSIA",IF(AND(OR(O202&gt;0,R202&gt;0),AND(CX202&gt;=130,CX202&lt;=139)),"PRE HTA,RIESGO ALTO PREECLAMPSIA",IF(AND(OR(O202&gt;0,R202&gt;0),AND(CY202&gt;80,CY202&lt;=89)),"PRE HTA,RIESGO ALTO PREECLAMPSIA",IF(AND(OR(O202&gt;0,R202&gt;0),AND(CX202&gt;120,CX202&lt;=129)),"RANGO PREHIPERTENSIVO SEGUIMIENTO HTA",IF(AND(OR(O202&lt;&gt;"",R202&lt;&gt;""),CS202&lt;&gt;"",CY202&lt;&gt;"",CS202&lt;CY202),"VIGILAR CIFRAS PRESION ARTERIAL",IF(AND(OR(O202&lt;&gt;"",R202&lt;&gt;""),CS202&lt;&gt;"",CY202&lt;&gt;"",CS202=CY202),"APARENTEMENTE NORMAL",IF(AND(OR(O202&gt;0,R202&gt;0),CX202&gt;=80,CX202&lt;=120),"APARENTEMENTE NORMAL",IF(AND(OR(O202&gt;0,R202&gt;0),CY202&gt;=50,CY202&lt;=80),"APARENTEMENTE NORMAL","")))))))))))</f>
        <v/>
      </c>
      <c r="DA202" s="21">
        <v>100</v>
      </c>
      <c r="DB202" s="21">
        <v>60</v>
      </c>
      <c r="DC202" s="217" t="str">
        <f t="shared" si="849"/>
        <v>APARENTEMENTE NORMAL</v>
      </c>
      <c r="DD202" s="22">
        <v>45101</v>
      </c>
      <c r="DE202" s="22">
        <v>45101</v>
      </c>
      <c r="DF202" s="22">
        <v>45134</v>
      </c>
      <c r="DG202" s="22"/>
      <c r="DH202" s="22"/>
      <c r="DI202" s="22"/>
      <c r="DJ202" s="22"/>
      <c r="DK202" s="22"/>
      <c r="DL202" s="22"/>
      <c r="DM202" s="22"/>
      <c r="DN202" s="22"/>
      <c r="DO202" s="22"/>
      <c r="DP202" s="22"/>
      <c r="DQ202" s="22"/>
      <c r="DR202" s="28"/>
      <c r="DS202" s="22"/>
      <c r="DT202" s="22"/>
      <c r="DU202" s="216" t="str">
        <f t="shared" ca="1" si="674"/>
        <v>PLANEAR PLAN DE PARTO</v>
      </c>
      <c r="DV202" s="226" t="str">
        <f t="shared" si="675"/>
        <v>ACTIVA INGRESO A CPN</v>
      </c>
      <c r="DW20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2" s="216" t="e">
        <f t="shared" ca="1" si="850"/>
        <v>#REF!</v>
      </c>
      <c r="DY202" s="212">
        <f>IF(R202="","",IF(R202&gt;0,MAX(Tabla1[[#This Row],[FECHA C2]:[FECHA C13]],Tabla1[[#This Row],[FECHA CONSULTA PRIMERA VEZ PROGRAMA CPN ]])))</f>
        <v>45134</v>
      </c>
      <c r="DZ202" s="216">
        <f t="shared" si="851"/>
        <v>15</v>
      </c>
      <c r="EA202" s="222">
        <f>IF(R202&gt;0,SUM(COUNTA(DF202:DQ202)+COUNTA(Tabla1[[#This Row],[FECHA CONSULTA PRIMERA VEZ PROGRAMA CPN ]])),"")</f>
        <v>2</v>
      </c>
      <c r="EB202" s="222" t="str">
        <f t="shared" si="852"/>
        <v>NO</v>
      </c>
      <c r="EC202" s="214">
        <f t="shared" si="853"/>
        <v>9</v>
      </c>
      <c r="ED202" s="227">
        <f t="shared" si="854"/>
        <v>0.22222222222222221</v>
      </c>
      <c r="EE202" s="22">
        <v>45101</v>
      </c>
      <c r="EF202" s="22"/>
      <c r="EG202" s="22">
        <v>45101</v>
      </c>
      <c r="EH202" s="22"/>
      <c r="EI202" s="22">
        <v>45101</v>
      </c>
      <c r="EJ202" s="22"/>
      <c r="EK202" s="22"/>
      <c r="EL202" s="21"/>
      <c r="EM202" s="21">
        <v>13.3</v>
      </c>
      <c r="EN202" s="22">
        <v>45101</v>
      </c>
      <c r="EO202" s="222">
        <f t="shared" si="855"/>
        <v>10.714285714285714</v>
      </c>
      <c r="EP202" s="214" t="str">
        <f t="shared" si="856"/>
        <v>NORMAL- SUMINISTRAR SULFATO FERROSO</v>
      </c>
      <c r="EQ202" s="216" t="str">
        <f t="shared" si="857"/>
        <v>I TRIM</v>
      </c>
      <c r="ER202" s="24"/>
      <c r="ES202" s="22"/>
      <c r="ET202" s="29" t="str">
        <f t="shared" ca="1" si="676"/>
        <v>EN SEMANA 28 TOMA INMEDIATA DE EXAMEN</v>
      </c>
      <c r="EU202" s="25" t="str">
        <f t="shared" si="858"/>
        <v/>
      </c>
      <c r="EV202" s="24" t="s">
        <v>1510</v>
      </c>
      <c r="EW202" s="22">
        <v>45101</v>
      </c>
      <c r="EX202" s="22"/>
      <c r="EY202" s="29">
        <f t="shared" si="691"/>
        <v>10.714285714285714</v>
      </c>
      <c r="EZ202" s="25" t="str">
        <f t="shared" si="692"/>
        <v>SIN RIESGO DE ISOINMUNIZACIÓN</v>
      </c>
      <c r="FA202" s="21">
        <v>91</v>
      </c>
      <c r="FB202" s="22">
        <v>45101</v>
      </c>
      <c r="FC202" s="29">
        <f t="shared" si="859"/>
        <v>10.714285714285714</v>
      </c>
      <c r="FD202" s="29"/>
      <c r="FE202" s="29"/>
      <c r="FF202" s="29"/>
      <c r="FG202" s="21" t="str">
        <f t="shared" ca="1" si="860"/>
        <v>TOMAR PTOG</v>
      </c>
      <c r="FH202" s="31"/>
      <c r="FI202" s="29" t="str">
        <f t="shared" si="861"/>
        <v>TOMAR EXAMEN</v>
      </c>
      <c r="FJ202" s="22" t="s">
        <v>867</v>
      </c>
      <c r="FK202" s="22">
        <v>45101</v>
      </c>
      <c r="FL202" s="29">
        <f t="shared" ca="1" si="862"/>
        <v>10.714285714285714</v>
      </c>
      <c r="FM202" s="22"/>
      <c r="FN202" s="32"/>
      <c r="FO202" s="29" t="str">
        <f t="shared" ca="1" si="677"/>
        <v>PIERDE TOMA DE TAMIZAJE</v>
      </c>
      <c r="FP202" s="22"/>
      <c r="FQ202" s="32"/>
      <c r="FR202" s="29" t="str">
        <f t="shared" ca="1" si="678"/>
        <v>EN RANGO PARA TOMAR EXAMEN</v>
      </c>
      <c r="FS202" s="22"/>
      <c r="FT202" s="32"/>
      <c r="FU202" s="29" t="str">
        <f>IF(AND(FJ202="",FM202="",FP202="",FS202=""),"",IF(OR(OR(Tabla1[[#This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2" s="28"/>
      <c r="FW202" s="22"/>
      <c r="FX202" s="29" t="str">
        <f t="shared" si="863"/>
        <v>TOMAR EXAMEN</v>
      </c>
      <c r="FY202" s="22" t="s">
        <v>868</v>
      </c>
      <c r="FZ202" s="22">
        <v>45101</v>
      </c>
      <c r="GA202" s="29">
        <f t="shared" ca="1" si="737"/>
        <v>10.714285714285714</v>
      </c>
      <c r="GB202" s="22"/>
      <c r="GC202" s="22"/>
      <c r="GD202" s="29" t="str">
        <f t="shared" ca="1" si="730"/>
        <v>PIERDE TOMA DE TAMIZAJE</v>
      </c>
      <c r="GE202" s="22"/>
      <c r="GF202" s="22"/>
      <c r="GG202" s="29" t="str">
        <f t="shared" ca="1" si="680"/>
        <v>EN RANGO PARA TOMAR EXAMEN</v>
      </c>
      <c r="GH202" s="22"/>
      <c r="GI202" s="29"/>
      <c r="GJ202" s="22"/>
      <c r="GK202" s="22"/>
      <c r="GL202" s="22"/>
      <c r="GM202" s="22"/>
      <c r="GN202" s="28" t="s">
        <v>869</v>
      </c>
      <c r="GO202" s="22">
        <v>45101</v>
      </c>
      <c r="GP202" s="29">
        <f t="shared" si="864"/>
        <v>10.714285714285714</v>
      </c>
      <c r="GQ202" s="28" t="s">
        <v>869</v>
      </c>
      <c r="GR202" s="22"/>
      <c r="GS202" s="22" t="str">
        <f t="shared" si="726"/>
        <v>CONTROL Igm</v>
      </c>
      <c r="GT202" s="22">
        <v>45101</v>
      </c>
      <c r="GU202" s="29">
        <f t="shared" si="865"/>
        <v>10.714285714285714</v>
      </c>
      <c r="GV202" s="21" t="str">
        <f t="shared" si="866"/>
        <v>I TRIM</v>
      </c>
      <c r="GW202" s="28"/>
      <c r="GX202" s="30"/>
      <c r="GY202" s="21"/>
      <c r="GZ202" s="21"/>
      <c r="HA202" s="21"/>
      <c r="HB202" s="21"/>
      <c r="HC202" s="21"/>
      <c r="HD202" s="21"/>
      <c r="HE202" s="21"/>
      <c r="HF202" s="22"/>
      <c r="HG202" s="22" t="str">
        <f>IF(OR(O202&gt;0,R202&gt;0),CONCATENATE(IF(Tabla1[[#This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2" s="22" t="e">
        <f t="shared" si="867"/>
        <v>#REF!</v>
      </c>
      <c r="HI202" s="22" t="e">
        <f t="shared" ca="1" si="868"/>
        <v>#REF!</v>
      </c>
      <c r="HJ202" s="21"/>
      <c r="HK202" s="21" t="str">
        <f t="shared" si="869"/>
        <v>SIN ANTECEDENTES DE RIESGO</v>
      </c>
      <c r="HL202" s="24" t="str">
        <f t="shared" si="870"/>
        <v>APARENTEMENTE NORMAL</v>
      </c>
      <c r="HM202" s="21" t="e">
        <f t="shared" ca="1" si="871"/>
        <v>#REF!</v>
      </c>
      <c r="HN202" s="30" t="str">
        <f t="shared" si="681"/>
        <v>ACTIVA INGRESO A CPN</v>
      </c>
      <c r="HO202" s="21"/>
      <c r="HP202" s="21"/>
      <c r="HQ202" s="349"/>
      <c r="HR202" s="21" t="str">
        <f>IF(R202="","",IF(Tabla1[[#This Row],[ALARMA FACTORES DE RIESGO COMPLICACIONES HIPERTENSIVAS3]]="SIN ANTECEDENTES DE RIESGO","No Aplica para suministro de ASA",IF(AND(Tabla1[[#This Row],[FECHA INICIO DE SUMINISTRO DE ASA]]&gt;0,RV202&lt;12),"Inicia ASA ANTES de Sem 12",IF(AND(RV202&gt;11,RV202&lt;17,OR(HK202="RIESGO ALTO DE COMPLICACIONES HIPERTENSIVAS VER MANEJO GUIA SUMINISTRO ASA Y CALCIO",HK202="RIESGO MODERADO (2 O MAS CRITERIOS) VER MANEJO GUIA SUMINISTRO ASA Y CALCIO")),"Inicio oportuno de ASA",IF(AND(RV202&gt;12,OR(HK202="RIESGO ALTO DE COMPLICACIONES HIPERTENSIVAS VER MANEJO GUIA SUMINISTRO ASA Y CALCIO",HK202="RIESGO MODERADO (2 O MAS CRITERIOS) VER MANEJO GUIA SUMINISTRO ASA Y CALCIO")),"Inicio no oportuno mayor a 16 semanas",IF(AND(BU202&lt;12,OR(HK202="RIESGO ALTO DE COMPLICACIONES HIPERTENSIVAS VER MANEJO GUIA SUMINISTRO ASA Y CALCIO",HK202="RIESGO MODERADO (2 O MAS CRITERIOS) VER MANEJO GUIA SUMINISTRO ASA Y CALCIO")),"Pendiente Inicio de ASA a la semana 12",IF(AND(BU202&gt;11,BU202&lt;17,OR(HK202="RIESGO ALTO DE COMPLICACIONES HIPERTENSIVAS VER MANEJO GUIA SUMINISTRO ASA Y CALCIO",HK202="RIESGO MODERADO (2 O MAS CRITERIOS) VER MANEJO GUIA SUMINISTRO ASA Y CALCIO")),"Iniciar de inmediato ASA",IF(AND(BU202&gt;16,OR(HK202="RIESGO ALTO DE COMPLICACIONES HIPERTENSIVAS VER MANEJO GUIA SUMINISTRO ASA Y CALCIO",HK202="RIESGO MODERADO (2 O MAS CRITERIOS) VER MANEJO GUIA SUMINISTRO ASA Y CALCIO")),"Pierde Oportunidad, Inicio tardío de ASA","XXXXX"))))))))</f>
        <v>No Aplica para suministro de ASA</v>
      </c>
      <c r="HS202" s="295">
        <v>45101</v>
      </c>
      <c r="HT202" s="294" t="s">
        <v>1518</v>
      </c>
      <c r="HU202" s="295">
        <v>45101</v>
      </c>
      <c r="HV202" s="22" t="s">
        <v>1544</v>
      </c>
      <c r="HW202" s="295">
        <v>45101</v>
      </c>
      <c r="HX202" s="22" t="s">
        <v>1511</v>
      </c>
      <c r="HY202" s="22"/>
      <c r="HZ202" s="28" t="str">
        <f t="shared" si="872"/>
        <v>PENDIENTE CONSULTA</v>
      </c>
      <c r="IA202" s="26"/>
      <c r="IB202" s="26"/>
      <c r="IC202" s="111"/>
      <c r="ID202" s="22"/>
      <c r="IE202" s="22" t="str">
        <f t="shared" ca="1" si="873"/>
        <v>INASISTENTE</v>
      </c>
      <c r="IF202" s="22"/>
      <c r="IG202" s="22">
        <f t="shared" si="874"/>
        <v>45306</v>
      </c>
      <c r="IH202" s="29">
        <f t="shared" ca="1" si="875"/>
        <v>73</v>
      </c>
      <c r="II202" s="22" t="str">
        <f t="shared" ca="1" si="876"/>
        <v>PENDIENTE</v>
      </c>
      <c r="IJ202" s="22"/>
      <c r="IK202" s="21"/>
      <c r="IL202" s="21"/>
      <c r="IM202" s="34"/>
      <c r="IN202" s="22"/>
      <c r="IO202" s="21"/>
      <c r="IP202" s="29" t="str">
        <f t="shared" ref="IP202:IP248" si="877">IF(AND(IN202&gt;0,IK202&lt;&gt;""),SUM(IN202-RW202)/7,"")</f>
        <v/>
      </c>
      <c r="IQ202" s="35"/>
      <c r="IR202" s="21"/>
      <c r="IS202" s="21"/>
      <c r="IT202" s="21"/>
      <c r="IU202" s="21"/>
      <c r="IV202" s="21"/>
      <c r="IW202" s="21"/>
      <c r="IX202" s="21"/>
      <c r="IY202" s="21"/>
      <c r="IZ202" s="21"/>
      <c r="JA202" s="21"/>
      <c r="JB202" s="30"/>
      <c r="JC202" s="21"/>
      <c r="JD202" s="36"/>
      <c r="JE202" s="21" t="str">
        <f t="shared" ref="JE202:JE248" si="878">IF(AND(JD202&gt;700,JD202&lt;2500,IP202&gt;36),"BAJO PESO AL NACER",IF(AND(JD202&gt;500,JD202&lt;2500,IP202&lt;37),"PREMATURO",IF(AND(JD202&gt;2499,JD202&lt;5000,IP202&lt;37),"ERROR VERIFICAR DATO EDAD GESTACIONAL VS PESO",IF(AND(JD202&gt;2499,JD202&lt;4000,IP202&gt;36),"PESO ADECUADO EDAD GESTACIONAL",IF(AND(JD202&gt;3999,JD202&lt;6000,IP202&gt;36),"PESO GRANDE EDAD GESTACIONAL","")))))</f>
        <v/>
      </c>
      <c r="JF202" s="30"/>
      <c r="JG202" s="21"/>
      <c r="JH202" s="21"/>
      <c r="JI202" s="21"/>
      <c r="JJ202" s="30"/>
      <c r="JK202" s="22"/>
      <c r="JL202" s="22"/>
      <c r="JM202" s="21"/>
      <c r="JN202" s="36"/>
      <c r="JO202" s="21" t="str">
        <f t="shared" ref="JO202:JO248" si="879">IF(AND(JN202&gt;700,JN202&lt;2500,IP202&gt;36,IP202&lt;43),"BAJO PESO AL NACER",IF(AND(JN202&gt;700,JN202&lt;2500,IP202&lt;37),"PREMATURO",IF(AND(JN202&gt;2499,JN202&lt;5000,IP202&lt;37),"ERROR VERIFICAR DATO EDAD GESTACIONAL VS PESO",IF(AND(JN202&gt;2499,JN202&lt;4000,IP202&gt;36,IP202&lt;43),"PESO ADECUADO EDAD GESTACIONAL",IF(AND(JN202&gt;3999,JN202&lt;6000,IP202&gt;36,IP202&lt;43),"PESO GRANDE EDAD GESTACIONAL","")))))</f>
        <v/>
      </c>
      <c r="JP202" s="22"/>
      <c r="JQ202" s="21"/>
      <c r="JR202" s="21"/>
      <c r="JS202" s="21"/>
      <c r="JT202" s="30"/>
      <c r="JU202" s="22"/>
      <c r="JV202" s="22"/>
      <c r="JW202" s="33"/>
      <c r="JX202" s="28" t="str">
        <f t="shared" ref="JX202:JX248" si="880">IF(AND(JW202&lt;&gt;"",JW202&lt;IN202),"INCONSISTENCIA FECHA CONTROL",IF(AND(OR(IK202="Parto",IK202="Cesarea"),JW202&gt;0,IN202&gt;0),SUM(JW202-IN202),IF(AND(OR(IK202="Parto",IK202="Cesarea"),JW202="",IN202&gt;0),"INASISTENTE","")))</f>
        <v/>
      </c>
      <c r="JY202" s="33"/>
      <c r="JZ202" s="28" t="str">
        <f t="shared" ref="JZ202:JZ248" si="881">IF(AND(JY202&lt;&gt;"",JY202&lt;IN202),"INCONSISTENCIA FECHA CONTROL",IF(AND(OR(IK202="Parto",IK202="Cesarea",IK202="Aborto Espontaneo",IK202="Aborto Inducido",IK202="IVE"),JY202&gt;0,IN202&gt;0),SUM(JY202-IN202),IF(AND(JY202&lt;&gt;"",JY202&lt;IN202),"INCONSISTENCIA FECHA CONTROL",IF(AND(OR(IK202="Parto",IK202="Cesarea",IK202="Aborto Espontaneo",IK202="Aborto Inducido",IK202="IVE"),JY202="",IN202&gt;0),"INASISTENTE",""))))</f>
        <v/>
      </c>
      <c r="KA202" s="21"/>
      <c r="KB202" s="21"/>
      <c r="KC202" s="21"/>
      <c r="KD202" s="37"/>
      <c r="KE202" s="28"/>
      <c r="KF202" s="28"/>
      <c r="KG202" s="28"/>
      <c r="KH202" s="39"/>
      <c r="KI202" s="39"/>
      <c r="KJ202" s="66"/>
      <c r="KK202" s="39"/>
      <c r="KL202" s="39"/>
      <c r="KM202" s="66"/>
      <c r="KN202" s="39"/>
      <c r="KO202" s="39"/>
      <c r="KP202" s="39"/>
      <c r="KQ202" s="39"/>
      <c r="KR202" s="39"/>
      <c r="KS202" s="39"/>
      <c r="KT202" s="39"/>
      <c r="KU202" s="38"/>
      <c r="KV202" s="38"/>
      <c r="KW202" s="38"/>
      <c r="KX202" s="38"/>
      <c r="KY202" s="38"/>
      <c r="KZ202" s="38"/>
      <c r="LA202" s="38"/>
      <c r="LB202" s="38"/>
      <c r="LC202" s="38"/>
      <c r="LD202" s="38"/>
      <c r="LE202" s="38"/>
      <c r="LF202" s="38"/>
      <c r="LG202" s="38"/>
      <c r="LH202" s="38"/>
      <c r="LI202" s="38"/>
      <c r="LJ202" s="38"/>
      <c r="LK202" s="38"/>
      <c r="LL202" s="38"/>
      <c r="LM202" s="38"/>
      <c r="LN202" s="38"/>
      <c r="LO202" s="38"/>
      <c r="LP202" s="38"/>
      <c r="LQ202" s="38"/>
      <c r="LR202" s="38"/>
      <c r="LS202" s="38"/>
      <c r="LT202" s="38"/>
      <c r="LU202" s="38"/>
      <c r="LV202" s="38"/>
      <c r="LW202" s="38"/>
      <c r="LX202" s="38"/>
      <c r="LY202" s="38"/>
      <c r="LZ202" s="38"/>
      <c r="MA202" s="38"/>
      <c r="MB202" s="38"/>
      <c r="MC202" s="38"/>
      <c r="MD202" s="38"/>
      <c r="ME202" s="38"/>
      <c r="MF202" s="38"/>
      <c r="MG202" s="38"/>
      <c r="MH202" s="43">
        <f t="shared" ref="MH202:MH248" si="882">SUM(COUNTIF(KU202,"PARTERO (A)"),COUNTIF(KY202,"PARTERO (A)"),COUNTIF(LC202,"PARTERO (A)"),COUNTIF(LG202,"PARTERO (A)"),COUNTIF(LK202,"PARTERO (A)"),COUNTIF(LO202,"PARTERO (A)"),COUNTIF(ME202,"PARTERO (A)"))</f>
        <v>0</v>
      </c>
      <c r="MI202" s="43" t="str">
        <f t="shared" ref="MI202:MI206" si="883">IF(AND(R202="",O202=""),"",IF(AND(OR(O202&gt;0,R202&gt;0),KT202&gt;0),SUM(KT202-RW202)/7,""))</f>
        <v/>
      </c>
      <c r="MJ202" s="43" t="str">
        <f t="shared" ref="MJ202:MJ248" si="884">IF(AND(MI202="",BT202=""),"",IF(AND(MI202&lt;&gt;"",BT202="SIN DATO"),"SIN DATO",IF(AND(MI202="",BT202&lt;&gt;""),"",IF(AND(MI202&lt;0,BT202&gt;0),"ERROR FUM O INGRESO",IF(MI202&lt;=13,"I TRIM",IF(MI202&lt;28,"II TRIM",IF(AND(MI202&gt;27,MI202&lt;45),"III TRIM","POR DEFINIR")))))))</f>
        <v/>
      </c>
      <c r="MK202" s="43">
        <f t="shared" ref="MK202:MK248" si="885">SUM(COUNTIF(KU202,"MEDICO (A) TRADICIONAL"),COUNTIF(KY202,"MEDICO (A) TRADICIONAL"),COUNTIF(LC202,"MEDICO (A) TRADICIONAL"),COUNTIF(LG202,"MEDICO (A) TRADICIONAL"),COUNTIF(LK202,"MEDICO (A) TRADICIONAL"),COUNTIF(LO202,"MEDICO (A) TRADICIONAL"),COUNTIF(ME202,"MEDICO (A) TRADICIONAL"))</f>
        <v>0</v>
      </c>
      <c r="ML20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2" s="43">
        <f t="shared" ref="MM202:MM206" si="886">IF(AND(O202&gt;0,RW202&gt;0),SUM(O202-RW202)/7,"")</f>
        <v>10.714285714285714</v>
      </c>
      <c r="MN202" s="43">
        <f t="shared" ref="MN202:MN206" si="887">IF(R202&gt;0,MONTH(R202),"")</f>
        <v>6</v>
      </c>
      <c r="MO202" s="43">
        <f t="shared" ref="MO202:MO206" si="888">IF(R202&gt;0,YEAR(R202),"")</f>
        <v>2023</v>
      </c>
      <c r="MP202" s="43" t="str">
        <f t="shared" ref="MP202:MP248" si="889">IF(AND(MN202&gt;=1,MN202&lt;=3),"I TRIMESTRE AÑO",IF(AND(MN202&gt;=4,MN202&lt;=6),"II TRIMESTRE AÑO",IF(AND(MN202&gt;=7,MN202&lt;=9),"III TRIMESTRE AÑO",IF(AND(MN202&gt;=10,MN202&lt;=12),"IV TRIMESTRE AÑO",""))))</f>
        <v>II TRIMESTRE AÑO</v>
      </c>
      <c r="MQ202" s="43">
        <f t="shared" ref="MQ202:MQ206" si="890">IF(AND(M202&gt;0,R202&gt;0),DAYS360(M202,R202)/30.44/12,IF(AND(M202&gt;0,O202&gt;0,R202=""),DAYS360(M202,O202)/30.44/12,""))</f>
        <v>14.955650459921157</v>
      </c>
      <c r="MR202" s="43">
        <f t="shared" ref="MR202:MR248" si="891">IF(AND(MQ202&gt;7,MQ202&lt;14),2,IF(MQ202&lt;16,1,IF(MQ202&lt;=35,0,IF(AND(MQ202&gt;35,MQ202&lt;50),2,""))))</f>
        <v>1</v>
      </c>
      <c r="MS202" s="43" t="str">
        <f t="shared" ref="MS202:MS248" si="892">+IF(MQ202="","",IF(MQ202&lt;14,"MENOR 14 AÑOS",IF(MQ202&lt;20,"DE 14 A 19AÑOS",IF(MQ202&lt;25," DE 20 A 24 AÑOS",IF(MQ202&lt;30," DE 25 A 29 AÑOS",IF(MQ202&lt;35," DE 30 A 34 AÑOS",IF(MQ202&lt;40," DE 35 A 39 AÑOS"," DE 40 Y MAS")))))))</f>
        <v>DE 14 A 19AÑOS</v>
      </c>
      <c r="MT202" s="43">
        <f t="shared" ref="MT202:MT248" si="893">IF(OR(AX202="SI",BA202="SI"),1,IF(AND(AX202="NO",BA202="NO"),0,""))</f>
        <v>0</v>
      </c>
      <c r="MU202" s="43">
        <f t="shared" ref="MU202:MU248" si="894">IF(AT202="","",IF(AT202=0,1,IF(AND(AT202&gt;=1,AT202&lt;=4),0,IF(AT202&gt;=5,2,"X"))))</f>
        <v>1</v>
      </c>
      <c r="MV202" s="43">
        <f t="shared" ref="MV202:MV248" si="895">IF(AW202="","",IF(AW202=0,0,IF(AW202=1,1,IF(OR(AW202=2,AW202="3 o MAS"),2,"X"))))</f>
        <v>0</v>
      </c>
      <c r="MW202" s="43">
        <f t="shared" ref="MW202:MW248" si="896">IF(AY202="SI",1,IF(AY202="NO",0,""))</f>
        <v>0</v>
      </c>
      <c r="MX202" s="43" t="str">
        <f t="shared" ref="MX202:MX248" si="897">IF(OR(AND(EM202&gt;0,EM202&lt;11),AND(ER202&gt;0,ER202&lt;10.5)),1,"")</f>
        <v/>
      </c>
      <c r="MY202" s="43" t="str">
        <f t="shared" ref="MY202:MY248" ca="1" si="898">IF(AND(AND(BU202&gt;40.9,BU202&lt;43),IN202=""),1,"")</f>
        <v/>
      </c>
      <c r="MZ202" s="43" t="str">
        <f t="shared" ref="MZ202:MZ248" si="899">IF(AND(GJ202="",GL202="",BB202=""),"",IF(OR(OR(GJ202="P.R REACTIVA",GJ202="ELISA REACTIVA"),OR(BB202="SI",GL202="POSITIVA",GL202="NO CONCLUYENTE")),3,""))</f>
        <v/>
      </c>
      <c r="NA202" s="43" t="str">
        <f t="shared" ref="NA202:NA248" si="900">IF(CD202="","",IF(OR(CD202="CEFÁLICA",CD202="SD"),0,IF(OR(CD202="PODÁLICA",CD202="TRANSVERSA O DE FRENTE",CD202="OBLICUA"),3,"")))</f>
        <v/>
      </c>
      <c r="NB202" s="43" t="str">
        <f t="shared" ref="NB202:NB248" si="901">IF(GZ202="","",IF(GZ202="POSITIVO",2,"0"))</f>
        <v/>
      </c>
      <c r="NC202" s="43" t="str">
        <f t="shared" ref="NC202:NC248" si="902">IF(AND(HB202="",HD202=""),"",IF(OR(HB202="POSITIVO",HD202="POSITIVO"),3,0))</f>
        <v/>
      </c>
      <c r="ND202" s="43">
        <f t="shared" ref="ND202:ND206" ca="1" si="903">IF(AND(O202="",R202=""),"",IF(OR(O202&lt;&gt;"",R202&lt;&gt;""),SUM(COUNTIF(AL202:AR202,"SI"),COUNTIF(AV202,"SI"),COUNTIF(BC202,"SI, CONTROLADA"),COUNTIF(BI202,"SI"),COUNTIF(BM202,"SI"),SUM(COUNTIF(BC202,"SI, SIN MANEJO")*3),SUM(COUNTIF(BC202,"SI, NO CONTROLADA")*3),SUM(COUNTIF(BD202:BG202,"SI")*3),SUM(COUNTIF(CB202:CC202,"SI")*3),SUM(COUNTIF(AD202,"Consumo Actual")*3),SUM(COUNTIF(AD202,"Hasta Antes de la Gestación")*2),SUM(COUNTIF(BK202,"SI")*3),SUM(COUNTIF(BL202,"SI")*2),SUM(COUNTIF(CE202,"SI")*2),SUM(COUNTIF(BH202,"SI")*2),SUM(COUNTIF(FG202,"DIABETES, REMITIR")*2),SUM(MT202:NC202),SUM(MR202),SUM(NG202),SUM(COUNTIF(EZ202,"COOMBS C/MES Y RESUMAN SEM 28")*2),SUM(COUNTIF(EZ202,"TOMAR COOMBS CUANTITATIVO Y REMISIÓN")*3),SUM(COUNTIF(FU202,"SIFILIS GESTACIONAL")*3)),""))</f>
        <v>2</v>
      </c>
      <c r="NE202" s="43">
        <f>IF(OR(O202&gt;0,R202&gt;0),SUM(COUNTIF(Tabla1[[#This Row],[AÑOS AL INICIO5 CPN]],"&gt;=40"),COUNTIF(AS202,"0"),COUNTIF(AR202,"SI"),COUNTIF(CC202,"SI"),COUNTIF(BQ202,"&gt;119"),COUNTIF(CI202,"&gt;=35")),"")</f>
        <v>1</v>
      </c>
      <c r="NF202" s="43" t="str">
        <f t="shared" ref="NF202:NF206" si="904">IF(AND(R202="",O202=""),"",IF(AND(OR(O202&gt;0,R202&gt;0),RW202=""),"SD",IF(AND(OR(O202&gt;0,R202&gt;0),ID202&gt;0),SUM(ID202-RW202)/7,"")))</f>
        <v/>
      </c>
      <c r="NG202" s="43">
        <f t="shared" ref="NG202:NG248" si="905">IF(AND(AD202="",AE202="",AF202="",AG202="",AH202="",AI202="",AJ202=""),"",SUM(COUNTIF(AD202,"Hasta Antes de la Gestación")/2,SUM(COUNTIF(AE202,"NO")/2),COUNTIF(AF202,"NO"),SUM(COUNTIF(AG202,"SI")/2),COUNTIF(AH202,"SI"),SUM(COUNTIF(AJ202,"SI")*2),COUNTIF(AD202,"Consumo Actual"),COUNTIF(AI202,"HABITANTE DE CALLE"),COUNTIF(AI202,"DESPLAZADA"),COUNTIF(AI202,"MIGRATORIA"),COUNTIF(AI202,"DISCAPACIDAD FISICA"),COUNTIF(AI202,"DISCAPACIDAD CONDUCTUAL"),COUNTIF(AI202,"DISCAPACIDAD VISUAL"),COUNTIF(AI202,"DISCAPACIDAD AUDITIVA"),COUNTIF(AI202,"DISCAPACIDAD MULTIPLE"),COUNTIF(AI202,"DISCAPACIDAD SISTEMICA")))</f>
        <v>0</v>
      </c>
      <c r="NH202" s="43" t="str">
        <f t="shared" ref="NH202:NH248" si="906">IF(BX202&gt;0,BX202*7,"")</f>
        <v/>
      </c>
      <c r="NI20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CPN",P202="NO"),"Z",IF(AND(Tabla1[[#This Row],[CITA PROXIMO CONTROL]]="CITA MANUAL",Tabla1[[#This Row],[GESTANTES ACTUALES]]="ACTIVA INGRESO A CPN"),"W",IF(AND(Tabla1[[#This Row],[GESTANTES ACTUALES]]="SALIO PROGRAMA",IN202=""),"S",IF(AND(Tabla1[[#This Row],[CITA PROXIMO CONTROL]]&gt;0,IN202=""),(Tabla1[[#This Row],[CITA PROXIMO CONTROL]]-TODAY()),"SD"))))))))</f>
        <v>#REF!</v>
      </c>
      <c r="NJ202" s="43">
        <f>MONTH(Tabla1[[#This Row],[FECHA DE SALIDA  DEL PROGRAMA]])</f>
        <v>1</v>
      </c>
      <c r="NK202" s="43">
        <f>YEAR(Tabla1[[#This Row],[FECHA DE SALIDA  DEL PROGRAMA]])</f>
        <v>1900</v>
      </c>
      <c r="NL202" s="43" t="str">
        <f t="shared" ref="NL202:NL206" si="907">IF(AND(O202&gt;0,R202=""),"NO CPN",IF(AND(O202="",R202=""),"",IF(AND(R202&gt;0,EJ202&gt;0,EI202&gt;0),_xlfn.DAYS(EJ202,EI202),IF(AND(R202&gt;0,EJ202&gt;0,EI202=""),"NO CITA","X"))))</f>
        <v>X</v>
      </c>
      <c r="NM202" s="43" t="str">
        <f t="shared" ref="NM202:NM206" si="908">IF(AND(O202&gt;0,R202=""),"NO CPN",IF(AND(O202="",R202=""),"",IF(AND(EN202&lt;&gt;"",EX202&lt;&gt;"",FB202&lt;&gt;"",FK202&lt;&gt;"",FW202&lt;&gt;"",FZ202&lt;&gt;"",GO202&lt;&gt;"",GQ202&lt;&gt;"",GR202&lt;&gt;""),"SI","NO")))</f>
        <v>NO</v>
      </c>
      <c r="NN202" s="43" t="str">
        <f ca="1">IF(AND(O202&gt;0,R202=""),"NO CPN",IF(AND(O202="",R202=""),"",IF(AND(R202&gt;0,Tabla1[[#This Row],[SEMANAS DE GESTACION ACTUALIZADAS]]&lt;=12),"NO APLICA",IF(AND(FH202&lt;&gt;"",FN202&lt;&gt;""),"SI","NO"))))</f>
        <v>NO</v>
      </c>
      <c r="NO202" s="43" t="str">
        <f ca="1">IF(AND(O202&gt;0,R202=""),"NO CPN",IF(AND(O202="",R202=""),"",IF(AND(R202&gt;0,Tabla1[[#This Row],[SEMANAS DE GESTACION ACTUALIZADAS]]&lt;=27),"NO APLICA",IF(AND(ES202&lt;&gt;"",FQ202&lt;&gt;"",GF202&lt;&gt;""),"SI","NO"))))</f>
        <v>NO</v>
      </c>
      <c r="NP202" s="204" t="str">
        <f t="shared" ref="NP202:NP248" si="909">IF(AND(BS202="",IG202=""),"",IF(AND(BS202="",IG202="DEFINIR FPP POR ECO"),"SIN DATO",IF(BS202&lt;0,"ERROR FUM O INGRESO",IF(BP202="NO","DEFINIR CON ECO",IF(BS202&lt;12,"I TRIM",IF(BS202&lt;27,"II TRIM",IF(AND(BS202&gt;26,BS202&lt;45),"III TRIM","ERROR FUM O INGRESO")))))))</f>
        <v>I TRIM</v>
      </c>
      <c r="NQ202" s="21" t="str">
        <f>IF(AND(IP203&gt;0,IP203&lt;37),10,IF(OR(CD203="Transversa",CD203="Oblicua"),9,IF(CC203="SI",8,IF(AND(AT203=0,AW203=0,CC203="NO",CD203="Cefálica",IP203&gt;=37,IT203="INICIO ESPONTÁNEO"),1,IF(AND(AND(AT203=0,AW203=0,CC203="NO",CD203="Cefálica",IP203&gt;=37),OR(IT203="LE HACEN INDUCCIÓN",IT203="LE HACEN CESÁREA SIN INICIO TRABAJO DE PARTO")),2,IF(AND(AT203&gt;=1,AW203=0,CC203="NO",CD203="Cefálica",IP203&gt;=37,IT203="INICIO ESPONTÁNEO"),3,IF(AND(AND(AT203&gt;=1,AW203=0,CC203="NO",CD203="Cefálica",IP203&gt;=37),OR(IT203="LE HACEN INDUCCIÓN",IT203="LE HACEN CESÁREA SIN INICIO TRABAJO DE PARTO")),4,IF(AND(AND(AT203&gt;=1,AW203&gt;=1,CC203="NO",CD203="Cefálica",IP203&gt;=37),OR(IT203="LE HACEN INDUCCIÓN",IT203="LE HACEN CESÁREA SIN INICIO TRABAJO DE PARTO",IT203="INICIO ESPONTÁNEO")),5,IF(AND(AND(AT203=0,AW203=0,CC203="NO",CD203="Podálica",IP203&gt;=1),OR(IT203="LE HACEN INDUCCIÓN",IT203="LE HACEN CESÁREA SIN INICIO TRABAJO DE PARTO",IT203="INICIO ESPONTÁNEO")),6,IF(AND(AND(AT203&gt;=1,CC203="NO",CD203="Podálica",IP203&gt;=1),OR(IT203="LE HACEN INDUCCIÓN",IT203="LE HACEN CESÁREA SIN INICIO TRABAJO DE PARTO",IT203="INICIO ESPONTÁNEO"),OR(AW203=0,AW203&gt;=1)),7,""))))))))))</f>
        <v/>
      </c>
      <c r="NR202" s="21">
        <f t="shared" ref="NR202:NR206" ca="1" si="910">IF(AND(O202="",R202=""),"",IF(AND(BS202&gt;0,BS202&lt;12,IP202&gt;28,IP202&lt;44),3, IF(OR(AND(BS202&gt;=12,BS202&lt;28,IP202&gt;=28,IP202&lt;44),AND(BS202&gt;0,BS202&lt;12,IP202&gt;=12,IP202&lt;29)),2,IF(OR(AND(BS202&gt;=28,BS202&lt;44),AND(BS202&gt;0,BS202&lt;12,IP202&gt;0,IP202&lt;12),AND(BS202&gt;=12,BS202&lt;28,IP202&gt;=12,IP202&lt;28)),1,IF(AND(BS202&gt;0,BS202&lt;12,BU202&gt;=28,BU202&lt;44,DV202="ACTIVA INGRESO A CPN"),3,IF(OR(AND(BS202&gt;0,BS202&lt;12,BU202&gt;=12,BU202&lt;28,DV202="ACTIVA INGRESO A CPN"),AND(BS202&gt;=12,BS202&lt;28,BU202&gt;=28,BU202&lt;44,DV202="ACTIVA INGRESO A CPN")),2,IF(OR(AND(BS202&gt;0,BS202&lt;12,BU202&gt;0,BU202&lt;12,DV202="ACTIVA INGRESO A CPN"),AND(BS202&gt;=12,BS202&lt;28,BU202&gt;=12,BU202&lt;28,DV202="ACTIVA INGRESO A CPN")),1,"REVISAR FUM O FECHA SALIDA PROGRAMA")))))))</f>
        <v>3</v>
      </c>
      <c r="NS202" s="205">
        <f t="shared" ref="NS202:NS248" ca="1" si="911">COUNT(FL202,FO202,FR202,FT202)</f>
        <v>1</v>
      </c>
      <c r="NT202" s="21">
        <f t="shared" ref="NT202:NT248" ca="1" si="912">COUNT(GA202,GD202,GG202,GI202)</f>
        <v>1</v>
      </c>
      <c r="NU202" s="21" t="str">
        <f t="shared" ref="NU202:NU248" ca="1" si="913">IF(NR202="","",IF(NR202="REVISAR FUM O FECHA SALIDA PROGRAMA","POR DEFINIR",IF(OR(NR202=NS202,NS202&gt;NR202),"COMPLETO",IF(NS202&lt;NR202,"INCOMPLETO",""))))</f>
        <v>INCOMPLETO</v>
      </c>
      <c r="NV202" s="21" t="str">
        <f t="shared" ref="NV202:NV248" ca="1" si="914">IF(NR202="","",IF(NR202="REVISAR FUM O FECHA SALIDA PROGRAMA","POR DEFINIR",IF(OR(NR202=NT202,NT202&gt;NR202),"COMPLETO",IF(NT202&lt;NR202,"INCOMPLETO",""))))</f>
        <v>INCOMPLETO</v>
      </c>
      <c r="NW202" s="206" t="str">
        <f>IF(AND(O202="",R202=""),"",IF(OR(AND(Tabla1[[#This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2" s="207" t="str">
        <f t="shared" ref="NX202:NX206" ca="1" si="915">IF(AND(O202="",R202=""),"",IF(OR(IE202="VACUNA APLICADA ENTRE SEMANA 20 Y SEMANA 26",IE202="VACUNA APLICADA ENTRE SEMANA 27 Y EL PARTO",IE202="VACUNA APLICADA ANTES SEMANA 20"),"VACUNADA","SIN VACUNAR"))</f>
        <v>SIN VACUNAR</v>
      </c>
      <c r="NY202" s="43">
        <f>ROW(Tabla1[[#This Row],['# DE TAMIZAJES SIFILIS TOMADOS ]])</f>
        <v>202</v>
      </c>
      <c r="NZ202" s="43">
        <f t="shared" si="738"/>
        <v>10</v>
      </c>
      <c r="OA202" s="43" t="str">
        <f t="shared" si="739"/>
        <v/>
      </c>
      <c r="OB202" s="43" t="str">
        <f t="shared" si="740"/>
        <v>NORMAL</v>
      </c>
      <c r="OC202" s="43" t="str">
        <f t="shared" si="741"/>
        <v/>
      </c>
      <c r="OD202" s="43" t="str">
        <f t="shared" si="742"/>
        <v/>
      </c>
      <c r="OE202" s="43" t="str">
        <f t="shared" si="743"/>
        <v/>
      </c>
      <c r="OF202" s="43" t="str">
        <f t="shared" si="744"/>
        <v/>
      </c>
      <c r="OG202" s="43" t="str">
        <f t="shared" si="745"/>
        <v/>
      </c>
      <c r="OH202" s="43" t="str">
        <f t="shared" si="746"/>
        <v/>
      </c>
      <c r="OI202" s="43" t="str">
        <f t="shared" si="747"/>
        <v/>
      </c>
      <c r="OJ202" s="43" t="str">
        <f t="shared" si="748"/>
        <v/>
      </c>
      <c r="OK202" s="43" t="str">
        <f t="shared" si="749"/>
        <v/>
      </c>
      <c r="OL202" s="43" t="str">
        <f t="shared" si="750"/>
        <v/>
      </c>
      <c r="OM202" s="43" t="str">
        <f t="shared" si="751"/>
        <v/>
      </c>
      <c r="ON202" s="43" t="str">
        <f t="shared" si="752"/>
        <v/>
      </c>
      <c r="OO202" s="43" t="str">
        <f t="shared" si="753"/>
        <v/>
      </c>
      <c r="OP202" s="43" t="str">
        <f t="shared" si="754"/>
        <v/>
      </c>
      <c r="OQ202" s="43" t="str">
        <f t="shared" si="755"/>
        <v/>
      </c>
      <c r="OR202" s="43" t="str">
        <f t="shared" si="756"/>
        <v/>
      </c>
      <c r="OS202" s="43" t="str">
        <f t="shared" si="757"/>
        <v/>
      </c>
      <c r="OT202" s="43" t="str">
        <f t="shared" si="758"/>
        <v/>
      </c>
      <c r="OU202" s="43" t="str">
        <f t="shared" si="759"/>
        <v/>
      </c>
      <c r="OV202" s="110" t="str">
        <f t="shared" si="760"/>
        <v/>
      </c>
      <c r="OW202" s="43" t="str">
        <f t="shared" si="761"/>
        <v/>
      </c>
      <c r="OX202" s="43" t="str">
        <f t="shared" si="762"/>
        <v/>
      </c>
      <c r="OY202" s="43" t="str">
        <f t="shared" si="763"/>
        <v/>
      </c>
      <c r="OZ202" s="43" t="str">
        <f t="shared" si="764"/>
        <v/>
      </c>
      <c r="PA202" s="43" t="str">
        <f t="shared" si="765"/>
        <v/>
      </c>
      <c r="PB202" s="43" t="str">
        <f t="shared" si="766"/>
        <v/>
      </c>
      <c r="PC202" s="43" t="str">
        <f t="shared" si="767"/>
        <v/>
      </c>
      <c r="PD202" s="43" t="str">
        <f t="shared" si="768"/>
        <v/>
      </c>
      <c r="PE202" s="43" t="str">
        <f t="shared" si="769"/>
        <v/>
      </c>
      <c r="PF202" s="43" t="str">
        <f t="shared" si="770"/>
        <v/>
      </c>
      <c r="PG202" s="43" t="str">
        <f t="shared" si="771"/>
        <v/>
      </c>
      <c r="PH202" s="43" t="str">
        <f t="shared" si="772"/>
        <v/>
      </c>
      <c r="PI202" s="43">
        <f t="shared" si="773"/>
        <v>15</v>
      </c>
      <c r="PJ202" s="43" t="str">
        <f t="shared" si="774"/>
        <v/>
      </c>
      <c r="PK202" s="43" t="str">
        <f t="shared" si="775"/>
        <v/>
      </c>
      <c r="PL202" s="43" t="str">
        <f t="shared" si="776"/>
        <v/>
      </c>
      <c r="PM202" s="43" t="str">
        <f t="shared" si="777"/>
        <v/>
      </c>
      <c r="PN202" s="43" t="str">
        <f t="shared" si="778"/>
        <v/>
      </c>
      <c r="PO202" s="43" t="str">
        <f t="shared" si="779"/>
        <v/>
      </c>
      <c r="PP202" s="43" t="str">
        <f t="shared" si="780"/>
        <v>SOBREPESO</v>
      </c>
      <c r="PQ202" s="43" t="str">
        <f t="shared" si="781"/>
        <v/>
      </c>
      <c r="PR202" s="43" t="str">
        <f t="shared" si="782"/>
        <v/>
      </c>
      <c r="PS202" s="43" t="str">
        <f t="shared" si="783"/>
        <v/>
      </c>
      <c r="PT202" s="43" t="str">
        <f t="shared" si="784"/>
        <v/>
      </c>
      <c r="PU202" s="43" t="str">
        <f t="shared" si="785"/>
        <v/>
      </c>
      <c r="PV202" s="43" t="str">
        <f t="shared" si="786"/>
        <v/>
      </c>
      <c r="PW202" s="43" t="str">
        <f t="shared" si="787"/>
        <v/>
      </c>
      <c r="PX202" s="43" t="str">
        <f t="shared" si="788"/>
        <v/>
      </c>
      <c r="PY202" s="43" t="str">
        <f t="shared" si="789"/>
        <v/>
      </c>
      <c r="PZ202" s="43" t="str">
        <f t="shared" si="790"/>
        <v/>
      </c>
      <c r="QA202" s="43" t="str">
        <f t="shared" si="791"/>
        <v/>
      </c>
      <c r="QB202" s="43" t="str">
        <f t="shared" si="792"/>
        <v/>
      </c>
      <c r="QC202" s="43" t="str">
        <f t="shared" si="793"/>
        <v/>
      </c>
      <c r="QD202" s="43" t="str">
        <f t="shared" si="794"/>
        <v/>
      </c>
      <c r="QE202" s="43" t="str">
        <f t="shared" si="795"/>
        <v/>
      </c>
      <c r="QF202" s="43" t="str">
        <f t="shared" si="796"/>
        <v/>
      </c>
      <c r="QG202" s="43" t="str">
        <f t="shared" si="797"/>
        <v/>
      </c>
      <c r="QH202" s="43" t="str">
        <f t="shared" si="798"/>
        <v/>
      </c>
      <c r="QI202" s="43" t="str">
        <f t="shared" si="799"/>
        <v/>
      </c>
      <c r="QJ202" s="43" t="str">
        <f t="shared" si="800"/>
        <v/>
      </c>
      <c r="QK202" s="43" t="str">
        <f t="shared" si="801"/>
        <v/>
      </c>
      <c r="QL202" s="43" t="str">
        <f t="shared" si="802"/>
        <v/>
      </c>
      <c r="QM202" s="43" t="str">
        <f t="shared" si="803"/>
        <v/>
      </c>
      <c r="QN202" s="43" t="str">
        <f t="shared" si="804"/>
        <v/>
      </c>
      <c r="QO202" s="43" t="str">
        <f t="shared" si="805"/>
        <v/>
      </c>
      <c r="QP202" s="43" t="str">
        <f t="shared" si="806"/>
        <v/>
      </c>
      <c r="QQ202" s="43" t="str">
        <f t="shared" si="807"/>
        <v/>
      </c>
      <c r="QR202" s="43">
        <f t="shared" si="837"/>
        <v>15</v>
      </c>
      <c r="QS202" s="43"/>
      <c r="QT202" s="21" t="str">
        <f t="shared" si="808"/>
        <v/>
      </c>
      <c r="QU202" s="21" t="str">
        <f t="shared" si="809"/>
        <v/>
      </c>
      <c r="QV202" s="21" t="str">
        <f t="shared" si="810"/>
        <v>ADECUADO PARA EDAD GESTACIONAL</v>
      </c>
      <c r="QW202" s="21" t="str">
        <f t="shared" si="811"/>
        <v/>
      </c>
      <c r="QX202" s="21" t="str">
        <f t="shared" si="812"/>
        <v/>
      </c>
      <c r="QY202" s="21" t="str">
        <f t="shared" si="813"/>
        <v/>
      </c>
      <c r="QZ202" s="21" t="str">
        <f t="shared" si="814"/>
        <v/>
      </c>
      <c r="RA202" s="21" t="str">
        <f t="shared" si="815"/>
        <v/>
      </c>
      <c r="RB202" s="21" t="str">
        <f t="shared" si="816"/>
        <v/>
      </c>
      <c r="RC202" s="21" t="str">
        <f t="shared" si="817"/>
        <v/>
      </c>
      <c r="RD202" s="21" t="str">
        <f t="shared" si="818"/>
        <v/>
      </c>
      <c r="RE202" s="21" t="str">
        <f t="shared" si="819"/>
        <v/>
      </c>
      <c r="RF202" s="21" t="str">
        <f t="shared" si="820"/>
        <v/>
      </c>
      <c r="RG202" s="21" t="str">
        <f t="shared" si="821"/>
        <v/>
      </c>
      <c r="RH202" s="21" t="str">
        <f t="shared" si="822"/>
        <v/>
      </c>
      <c r="RI202" s="21" t="str">
        <f t="shared" si="823"/>
        <v/>
      </c>
      <c r="RJ202" s="21" t="str">
        <f t="shared" si="824"/>
        <v/>
      </c>
      <c r="RK202" s="21" t="str">
        <f t="shared" si="825"/>
        <v/>
      </c>
      <c r="RL202" s="21" t="str">
        <f t="shared" si="826"/>
        <v/>
      </c>
      <c r="RM202" s="21" t="str">
        <f t="shared" si="827"/>
        <v/>
      </c>
      <c r="RN202" s="21" t="str">
        <f t="shared" si="828"/>
        <v/>
      </c>
      <c r="RO202" s="21" t="str">
        <f t="shared" si="829"/>
        <v/>
      </c>
      <c r="RP202" s="21" t="str">
        <f t="shared" si="830"/>
        <v/>
      </c>
      <c r="RQ202" s="21" t="str">
        <f t="shared" si="831"/>
        <v/>
      </c>
      <c r="RR202" s="21" t="str">
        <f t="shared" si="832"/>
        <v/>
      </c>
      <c r="RS202" s="21" t="str">
        <f t="shared" si="833"/>
        <v/>
      </c>
      <c r="RT202" s="21" t="str">
        <f t="shared" si="834"/>
        <v/>
      </c>
      <c r="RU202" s="21" t="str">
        <f t="shared" si="835"/>
        <v/>
      </c>
      <c r="RV202" s="21">
        <f t="shared" si="836"/>
        <v>-1</v>
      </c>
      <c r="RW202" s="284">
        <f>IF(OR(Tabla1[[#This Row],[FUM FORMULA CONFIABLE]]="",Tabla1[[#This Row],[FUM FORMULA CONFIABLE]]="SD"),"",IF(Tabla1[[#This Row],[FUM FORMULA CONFIABLE]]="CORREGIDA",Tabla1[[#This Row],[FUM X ECO 1]],Tabla1[[#This Row],[FUM x AMENORREA]]))</f>
        <v>45026</v>
      </c>
      <c r="RX202" s="21" t="str">
        <f>IF(AND(Tabla1[[#This Row],[FUM X ECO 1]]="",Tabla1[[#This Row],[FUM x AMENORREA]]=""),"",IF(AND(Tabla1[[#This Row],[FUM X ECO 1]]="",Tabla1[[#This Row],[FUM x AMENORREA]]&lt;&gt;""),"X",SUM(Tabla1[[#This Row],[FUM X ECO 1]]-Tabla1[[#This Row],[FUM x AMENORREA]])))</f>
        <v>X</v>
      </c>
      <c r="RY202" s="21" t="str">
        <f t="shared" si="838"/>
        <v>x</v>
      </c>
    </row>
    <row r="203" spans="1:493" ht="45" customHeight="1" x14ac:dyDescent="0.25">
      <c r="A203" s="109"/>
      <c r="B203" s="43" t="s">
        <v>1555</v>
      </c>
      <c r="C203" s="43" t="s">
        <v>845</v>
      </c>
      <c r="D203" s="124"/>
      <c r="E203" s="43" t="s">
        <v>953</v>
      </c>
      <c r="F203" s="43" t="s">
        <v>1249</v>
      </c>
      <c r="G203" s="43" t="s">
        <v>1556</v>
      </c>
      <c r="H203" s="43"/>
      <c r="I203" s="109" t="s">
        <v>1094</v>
      </c>
      <c r="J203" s="110">
        <v>1059599873</v>
      </c>
      <c r="K203" s="43" t="s">
        <v>852</v>
      </c>
      <c r="L203" s="175" t="s">
        <v>1509</v>
      </c>
      <c r="M203" s="22">
        <v>40138</v>
      </c>
      <c r="N203" s="213">
        <f t="shared" ca="1" si="839"/>
        <v>13.95890410958904</v>
      </c>
      <c r="O203" s="22">
        <v>45120</v>
      </c>
      <c r="P203" s="214" t="str">
        <f t="shared" si="673"/>
        <v>SI</v>
      </c>
      <c r="Q203" s="26" t="s">
        <v>855</v>
      </c>
      <c r="R203" s="22">
        <v>45120</v>
      </c>
      <c r="S203" s="21" t="s">
        <v>856</v>
      </c>
      <c r="T203" s="24" t="s">
        <v>690</v>
      </c>
      <c r="U203" s="21" t="s">
        <v>857</v>
      </c>
      <c r="V203" s="21" t="s">
        <v>858</v>
      </c>
      <c r="W203" s="21" t="s">
        <v>1062</v>
      </c>
      <c r="X203" s="21" t="s">
        <v>1200</v>
      </c>
      <c r="Y203" s="21"/>
      <c r="Z203" s="21" t="s">
        <v>1554</v>
      </c>
      <c r="AA203" s="21" t="s">
        <v>860</v>
      </c>
      <c r="AB203" s="27" t="s">
        <v>861</v>
      </c>
      <c r="AC203" s="26" t="s">
        <v>862</v>
      </c>
      <c r="AD203" s="38" t="s">
        <v>1546</v>
      </c>
      <c r="AE203" s="26" t="s">
        <v>854</v>
      </c>
      <c r="AF203" s="26" t="s">
        <v>854</v>
      </c>
      <c r="AG203" s="23" t="s">
        <v>864</v>
      </c>
      <c r="AH203" s="23" t="s">
        <v>864</v>
      </c>
      <c r="AI203" s="24" t="s">
        <v>863</v>
      </c>
      <c r="AJ203" s="23" t="s">
        <v>864</v>
      </c>
      <c r="AK203" s="220" t="str">
        <f>IF(AND(AD203="",AE203="",AF203="",AG203="",AH203="",AI203="",AJ203=""),"",IF(OR(Tabla1[[#This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EVALUACIÓN",IF(AND(O203="",R203=""),"",IF(AND(OR(O203&gt;0,R203&gt;0),NG203&gt;=0,NG203&lt;2),"SIN RIESGO",IF(AND(OR(O203&gt;0,R203&gt;0),NG203&gt;=2),"CON RIESGO","ASD")))))</f>
        <v>SIN RIESGO</v>
      </c>
      <c r="AL203" s="23" t="s">
        <v>864</v>
      </c>
      <c r="AM203" s="26" t="s">
        <v>864</v>
      </c>
      <c r="AN203" s="26" t="s">
        <v>864</v>
      </c>
      <c r="AO203" s="26" t="s">
        <v>864</v>
      </c>
      <c r="AP203" s="26" t="s">
        <v>864</v>
      </c>
      <c r="AQ203" s="26" t="s">
        <v>864</v>
      </c>
      <c r="AR203" s="26" t="s">
        <v>864</v>
      </c>
      <c r="AS203" s="21">
        <v>0</v>
      </c>
      <c r="AT203" s="21">
        <v>0</v>
      </c>
      <c r="AU203" s="21">
        <v>0</v>
      </c>
      <c r="AV203" s="26" t="s">
        <v>864</v>
      </c>
      <c r="AW203" s="21">
        <v>0</v>
      </c>
      <c r="AX203" s="26" t="s">
        <v>864</v>
      </c>
      <c r="AY203" s="26" t="s">
        <v>864</v>
      </c>
      <c r="AZ203" s="26" t="s">
        <v>864</v>
      </c>
      <c r="BA203" s="26" t="s">
        <v>864</v>
      </c>
      <c r="BB203" s="26" t="s">
        <v>864</v>
      </c>
      <c r="BC203" s="26" t="s">
        <v>864</v>
      </c>
      <c r="BD203" s="26" t="s">
        <v>864</v>
      </c>
      <c r="BE203" s="26" t="s">
        <v>864</v>
      </c>
      <c r="BF203" s="26" t="s">
        <v>864</v>
      </c>
      <c r="BG203" s="26" t="s">
        <v>864</v>
      </c>
      <c r="BH203" s="26" t="s">
        <v>864</v>
      </c>
      <c r="BI203" s="26" t="s">
        <v>864</v>
      </c>
      <c r="BJ203" s="26" t="s">
        <v>864</v>
      </c>
      <c r="BK203" s="26" t="s">
        <v>864</v>
      </c>
      <c r="BL203" s="26" t="s">
        <v>864</v>
      </c>
      <c r="BM203" s="26" t="s">
        <v>864</v>
      </c>
      <c r="BN203" s="22"/>
      <c r="BO203" s="22">
        <v>45017</v>
      </c>
      <c r="BP203" s="21" t="s">
        <v>1380</v>
      </c>
      <c r="BQ203" s="222">
        <f t="shared" si="840"/>
        <v>0</v>
      </c>
      <c r="BR203" s="223">
        <f t="shared" si="841"/>
        <v>44981</v>
      </c>
      <c r="BS203" s="224">
        <f t="shared" si="842"/>
        <v>19.857142857142858</v>
      </c>
      <c r="BT203" s="294" t="str">
        <f t="shared" si="843"/>
        <v>II TRIM</v>
      </c>
      <c r="BU203" s="214">
        <f t="shared" ca="1" si="844"/>
        <v>36</v>
      </c>
      <c r="BV203" s="25" t="s">
        <v>988</v>
      </c>
      <c r="BW203" s="22">
        <v>45121</v>
      </c>
      <c r="BX203" s="28">
        <v>20</v>
      </c>
      <c r="BY203" s="25" t="s">
        <v>988</v>
      </c>
      <c r="BZ203" s="22">
        <v>45149</v>
      </c>
      <c r="CA203" s="21">
        <v>24</v>
      </c>
      <c r="CB203" s="26" t="s">
        <v>864</v>
      </c>
      <c r="CC203" s="26" t="s">
        <v>864</v>
      </c>
      <c r="CD203" s="26"/>
      <c r="CE203" s="26" t="s">
        <v>864</v>
      </c>
      <c r="CF203" s="22" t="s">
        <v>1517</v>
      </c>
      <c r="CG203" s="21">
        <v>1.49</v>
      </c>
      <c r="CH203" s="21">
        <v>56</v>
      </c>
      <c r="CI203" s="214">
        <f t="shared" si="845"/>
        <v>25.224089004999776</v>
      </c>
      <c r="CJ203" s="225" t="e">
        <f>IF(AND(CI203&lt;10,CH203="SD"),"SIN DATO PESO PREGESTACION O I TRIM",IF(AND(OR(R203&gt;0,O203&gt;0),CI203="X"),"INGRESAR DATO DE PESO",IF(CI203="SD","INGRESAR DATO DE TALLA Y PESO",IF(AND(OR(Tabla1[[#This Row],[MOMENTO EN QUE SE REALIZA EL PESO AL INGRESO A CPN]]="PREGESTACIÓN",NZ203="Menor"),CI203&lt;18.5),"BAJO PESO",IF(AND(OR(Tabla1[[#This Row],[MOMENTO EN QUE SE REALIZA EL PESO AL INGRESO A CPN]]="PREGESTACIÓN",NZ203="Menor"),CI203&lt;25),"NORMAL",IF(AND(OR(Tabla1[[#This Row],[MOMENTO EN QUE SE REALIZA EL PESO AL INGRESO A CPN]]="PREGESTACIÓN",NZ203="Menor"),CI203&lt;30),"SOBREPESO",IF(AND(OR(Tabla1[[#This Row],[MOMENTO EN QUE SE REALIZA EL PESO AL INGRESO A CPN]]="PREGESTACIÓN",NZ203="Menor"),CI203&gt;=30,CI203&lt;50),"OBESIDAD",IF(AND(BS203&gt;0,Tabla1[[#This Row],[MOMENTO EN QUE SE REALIZA EL PESO AL INGRESO A CPN]]="GESTACIÓN"),HLOOKUP(NZ203,$OA$2:PH203,NY203),""))))))))</f>
        <v>#REF!</v>
      </c>
      <c r="CK203" s="212">
        <f t="shared" si="846"/>
        <v>45149</v>
      </c>
      <c r="CL203" s="21">
        <v>58</v>
      </c>
      <c r="CM203" s="214">
        <f t="shared" si="847"/>
        <v>26.124949326606909</v>
      </c>
      <c r="CN203" s="216">
        <f t="shared" si="848"/>
        <v>24</v>
      </c>
      <c r="CO203" s="216" t="e">
        <f>IF(PI203="","",IF(PI203&gt;0,HLOOKUP(PI203,$PJ$2:QQ203,NY203),""))</f>
        <v>#REF!</v>
      </c>
      <c r="CP203" s="21">
        <v>22</v>
      </c>
      <c r="CQ203" s="216" t="e">
        <f>IF(QR203="Menor","NO APLICA-MENOR 13 SEM",IF(AND(CC203="SI",CN203&gt;23),"NO APLICA- GEMELAR",IF(QR203="","",IF(QR203&gt;0,HLOOKUP(QR203,$QS$2:RU203,NY203),""))))</f>
        <v>#REF!</v>
      </c>
      <c r="CR203" s="21"/>
      <c r="CS203" s="21"/>
      <c r="CT203" s="217" t="str">
        <f>IF(R203="","",IF(AND(BS203&gt;1,BS203&lt;12,Tabla1[[#This Row],[T.A. SISTOLICA - ANTES DE SEMANA 12]]="",Tabla1[[#This Row],[T.A. DIASTOLICA - ANTES DE SEMANA 12]]=""),"REGISTRE DATO TA ANTES SEMANA 12",IF(AND(BS203&gt;11,BS203&lt;43,Tabla1[[#This Row],[T.A. SISTOLICA - ANTES DE SEMANA 12]]="",Tabla1[[#This Row],[T.A. DIASTOLICA - ANTES DE SEMANA 12]]=""),"NO APLICA REGISTRO TA-INGRESO TARDIO",IF(AND(OR(O203&gt;0,R203&gt;0),OR(CR203&gt;=140,CS203&gt;=90)),"DEFINIR ESTADIO HTA",IF(AND(OR(O203&gt;0,R203&gt;0),AND(CR203&gt;120,CR203&lt;=139)),"PRE HTA SEGUIMIENTO",IF(AND(OR(O203&gt;0,R203&gt;0),AND(CS203&gt;80,CS203&lt;=89)),"PRE HTA SEGUIMIENTO",IF(AND(OR(O203&gt;0,R203&gt;0),AND(CR203&gt;=80,CR203&lt;=120)),"APARENTEMENTE NORMAL",IF(AND(OR(O203&gt;0,R203&gt;0),AND(CS203&gt;=50,CS203&lt;=80)),"APARENTEMENTE NORMAL",IF(AND(OR(O203&gt;0,R203&gt;0),AND(CR203&gt;1,CR203&lt;=70),AND(CS203&gt;1,CS203&lt;=40)),"HIPOTENSIÓN","")))))))))</f>
        <v>NO APLICA REGISTRO TA-INGRESO TARDIO</v>
      </c>
      <c r="CU203" s="21"/>
      <c r="CV203" s="21"/>
      <c r="CW203" s="217" t="str">
        <f>IF(R203="","",IF(AND(CN203&gt;19,CN203&lt;27,Tabla1[[#This Row],[T.A. SISTOLICA (Entre semana 20 y 26)]]="",Tabla1[[#This Row],[T.A. DIATOLICA (Entre semana 20 y 26)]]=""),"ACUDE A CONTROL SEM 20 A 26 REGISTRE TA AHORA",IF(AND(BS203&gt;1,BS203&lt;27,BU203&gt;19,Tabla1[[#This Row],[T.A. SISTOLICA (Entre semana 20 y 26)]]="",Tabla1[[#This Row],[T.A. DIATOLICA (Entre semana 20 y 26)]]=""),"COMPLETE REGISTRO TA CONTROL SEM 20 A26 ",IF(AND(BS203&gt;26,BS203&lt;43,Tabla1[[#This Row],[T.A. SISTOLICA (Entre semana 20 y 26)]]="",Tabla1[[#This Row],[T.A. DIATOLICA (Entre semana 20 y 26)]]=""),"NO APLICA REGISTRO TA-INGRESO TARDIO",IF(AND(OR(O203&gt;0,R203&gt;0),OR(CU203&gt;=140,CV203&gt;=90)),"ALTO RIESGO PREECLAMPSIA,DEFINIR ESTADIO HTA",IF(AND(OR(O203&gt;0,R203&gt;0),AND(CU203&gt;120,CU203&lt;=139)),"PRE HTA SEGUIMIENTO,RIESGO HIPERTENSION INDUCIDA POR EL EMBARAZO",IF(AND(OR(O203&gt;0,R203&gt;0),AND(CV203&gt;80,CV203&lt;=89)),"PRE HTA SEGUIMIENTO, RIESGO HIPERTENSION INDUCIDA POR EL EMBARAZO",IF(AND(OR(O203&lt;&gt;"",R203&lt;&gt;""),CS203&lt;&gt;"",CV203&lt;&gt;"",CS203&lt;=CV203),"VIGILAR CIFRAS PRESION ARTERIAL",IF(AND(OR(O203&gt;0,R203&gt;0),AND(CU203&gt;120,CU203&lt;=139)),"PRE HTA SEGUIMIENTO",IF(AND(OR(O203&gt;0,R203&gt;0),AND(CU203&gt;1,CU203&lt;=70),AND(CV203&gt;1,CV203&lt;=40)),"HIPOTENSIÓN",IF(AND(OR(O203&lt;&gt;"",R203&lt;&gt;""),CS203&lt;&gt;"",CV203&lt;&gt;"",CS203&gt;CV203),"APARENTEMENTE NORMAL",IF(AND(OR(O203&gt;0,R203&gt;0),AND(CU203&gt;=80,CU203&lt;=120)),"APARENTEMENTE NORMAL",IF(AND(OR(O203&gt;0,R203&gt;0),AND(CV203&gt;=50,CV203&lt;=80)),"APARENTEMENTE NORMAL","")))))))))))))</f>
        <v>ACUDE A CONTROL SEM 20 A 26 REGISTRE TA AHORA</v>
      </c>
      <c r="CX203" s="21"/>
      <c r="CY203" s="21"/>
      <c r="CZ203" s="216" t="str">
        <f>IF(R203="","",IF(AND(CN203&gt;31,CN203&lt;35,CX203="",CY203=""),"ACUDE A CONTROL SEM 30 A 34- REGISTRE AHORA",IF(AND(BS203&gt;34,BS203&lt;43,CX204="",CY204=""),"NO APLICA-INGRESO TARDIO",IF(AND(OR(O203&gt;0,R203&gt;0),OR(CX203&gt;=140,CY203&gt;=90)),"ESTUDIO INMEDIATO HTA PARA DESCARTAR PREECLAMSIA",IF(AND(OR(O203&gt;0,R203&gt;0),AND(CX203&gt;=130,CX203&lt;=139)),"PRE HTA,RIESGO ALTO PREECLAMPSIA",IF(AND(OR(O203&gt;0,R203&gt;0),AND(CY203&gt;80,CY203&lt;=89)),"PRE HTA,RIESGO ALTO PREECLAMPSIA",IF(AND(OR(O203&gt;0,R203&gt;0),AND(CX203&gt;120,CX203&lt;=129)),"RANGO PREHIPERTENSIVO SEGUIMIENTO HTA",IF(AND(OR(O203&lt;&gt;"",R203&lt;&gt;""),CS203&lt;&gt;"",CY203&lt;&gt;"",CS203&lt;CY203),"VIGILAR CIFRAS PRESION ARTERIAL",IF(AND(OR(O203&lt;&gt;"",R203&lt;&gt;""),CS203&lt;&gt;"",CY203&lt;&gt;"",CS203=CY203),"APARENTEMENTE NORMAL",IF(AND(OR(O203&gt;0,R203&gt;0),CX203&gt;=80,CX203&lt;=120),"APARENTEMENTE NORMAL",IF(AND(OR(O203&gt;0,R203&gt;0),CY203&gt;=50,CY203&lt;=80),"APARENTEMENTE NORMAL","")))))))))))</f>
        <v/>
      </c>
      <c r="DA203" s="21">
        <v>90</v>
      </c>
      <c r="DB203" s="21">
        <v>60</v>
      </c>
      <c r="DC203" s="217" t="str">
        <f t="shared" si="849"/>
        <v>APARENTEMENTE NORMAL</v>
      </c>
      <c r="DD203" s="22">
        <v>45120</v>
      </c>
      <c r="DE203" s="22">
        <v>45120</v>
      </c>
      <c r="DF203" s="22">
        <v>45149</v>
      </c>
      <c r="DG203" s="22"/>
      <c r="DH203" s="22"/>
      <c r="DI203" s="22"/>
      <c r="DJ203" s="22"/>
      <c r="DK203" s="22"/>
      <c r="DL203" s="22"/>
      <c r="DM203" s="22"/>
      <c r="DN203" s="22"/>
      <c r="DO203" s="22"/>
      <c r="DP203" s="22"/>
      <c r="DQ203" s="22"/>
      <c r="DR203" s="28"/>
      <c r="DS203" s="22"/>
      <c r="DT203" s="22"/>
      <c r="DU203" s="216" t="str">
        <f t="shared" ca="1" si="674"/>
        <v>CONCERTAR PLAN DE PARTO INMEDIATO</v>
      </c>
      <c r="DV203" s="226" t="str">
        <f t="shared" si="675"/>
        <v>ACTIVA INGRESO A CPN</v>
      </c>
      <c r="DW20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3" s="216" t="e">
        <f t="shared" ca="1" si="850"/>
        <v>#REF!</v>
      </c>
      <c r="DY203" s="212">
        <f>IF(R203="","",IF(R203&gt;0,MAX(Tabla1[[#This Row],[FECHA C2]:[FECHA C13]],Tabla1[[#This Row],[FECHA CONSULTA PRIMERA VEZ PROGRAMA CPN ]])))</f>
        <v>45149</v>
      </c>
      <c r="DZ203" s="216">
        <f t="shared" si="851"/>
        <v>24</v>
      </c>
      <c r="EA203" s="222">
        <f>IF(R203&gt;0,SUM(COUNTA(DF203:DQ203)+COUNTA(Tabla1[[#This Row],[FECHA CONSULTA PRIMERA VEZ PROGRAMA CPN ]])),"")</f>
        <v>2</v>
      </c>
      <c r="EB203" s="222" t="str">
        <f t="shared" si="852"/>
        <v>NO</v>
      </c>
      <c r="EC203" s="214">
        <f t="shared" si="853"/>
        <v>7</v>
      </c>
      <c r="ED203" s="227">
        <f t="shared" si="854"/>
        <v>0.2857142857142857</v>
      </c>
      <c r="EE203" s="22">
        <v>45120</v>
      </c>
      <c r="EF203" s="22">
        <v>45120</v>
      </c>
      <c r="EG203" s="22">
        <v>45120</v>
      </c>
      <c r="EH203" s="22">
        <v>45131</v>
      </c>
      <c r="EI203" s="22">
        <v>45120</v>
      </c>
      <c r="EJ203" s="22">
        <v>45131</v>
      </c>
      <c r="EK203" s="22">
        <v>45131</v>
      </c>
      <c r="EL203" s="21">
        <v>1</v>
      </c>
      <c r="EM203" s="21">
        <v>11.8</v>
      </c>
      <c r="EN203" s="22">
        <v>45120</v>
      </c>
      <c r="EO203" s="222">
        <f t="shared" si="855"/>
        <v>19.857142857142858</v>
      </c>
      <c r="EP203" s="214" t="str">
        <f t="shared" si="856"/>
        <v>NORMAL- SUMINISTRAR SULFATO FERROSO</v>
      </c>
      <c r="EQ203" s="216" t="str">
        <f t="shared" si="857"/>
        <v>II TRIM</v>
      </c>
      <c r="ER203" s="24"/>
      <c r="ES203" s="32"/>
      <c r="ET203" s="29" t="str">
        <f t="shared" ca="1" si="676"/>
        <v>TOMA DE HEMOGLOBINA TARDÍA</v>
      </c>
      <c r="EU203" s="25" t="str">
        <f t="shared" si="858"/>
        <v/>
      </c>
      <c r="EV203" s="24" t="s">
        <v>1510</v>
      </c>
      <c r="EW203" s="32">
        <v>45121</v>
      </c>
      <c r="EX203" s="22"/>
      <c r="EY203" s="29">
        <f t="shared" si="691"/>
        <v>20</v>
      </c>
      <c r="EZ203" s="25" t="str">
        <f t="shared" si="692"/>
        <v>SIN RIESGO DE ISOINMUNIZACIÓN</v>
      </c>
      <c r="FA203" s="21">
        <v>70</v>
      </c>
      <c r="FB203" s="32">
        <v>45121</v>
      </c>
      <c r="FC203" s="29">
        <f t="shared" si="859"/>
        <v>20</v>
      </c>
      <c r="FD203" s="29"/>
      <c r="FE203" s="29"/>
      <c r="FF203" s="29"/>
      <c r="FG203" s="21" t="str">
        <f t="shared" ca="1" si="860"/>
        <v>TOMAR PTOG</v>
      </c>
      <c r="FH203" s="31"/>
      <c r="FI203" s="29" t="str">
        <f t="shared" si="861"/>
        <v>TOMAR EXAMEN</v>
      </c>
      <c r="FJ203" s="22"/>
      <c r="FK203" s="22"/>
      <c r="FL203" s="29" t="str">
        <f t="shared" ca="1" si="862"/>
        <v>NO APLICA-INGRESO TARDIO</v>
      </c>
      <c r="FM203" s="22" t="s">
        <v>867</v>
      </c>
      <c r="FN203" s="32">
        <v>45121</v>
      </c>
      <c r="FO203" s="29">
        <f t="shared" ca="1" si="677"/>
        <v>20</v>
      </c>
      <c r="FP203" s="22"/>
      <c r="FQ203" s="32"/>
      <c r="FR203" s="29" t="str">
        <f t="shared" ca="1" si="678"/>
        <v>TOMA INMEDIATA DE TAMIZAJE</v>
      </c>
      <c r="FS203" s="22"/>
      <c r="FT203" s="32"/>
      <c r="FU203" s="29" t="str">
        <f>IF(AND(FJ203="",FM203="",FP203="",FS203=""),"",IF(OR(OR(Tabla1[[#This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3" s="28"/>
      <c r="FW203" s="22"/>
      <c r="FX203" s="29" t="str">
        <f t="shared" si="863"/>
        <v>TOMAR EXAMEN</v>
      </c>
      <c r="FY203" s="22"/>
      <c r="FZ203" s="22"/>
      <c r="GA203" s="29" t="str">
        <f t="shared" ca="1" si="737"/>
        <v>NO APLICA-INGRESO TARDIO</v>
      </c>
      <c r="GB203" s="22" t="s">
        <v>868</v>
      </c>
      <c r="GC203" s="22">
        <v>45121</v>
      </c>
      <c r="GD203" s="29">
        <f t="shared" ca="1" si="730"/>
        <v>20</v>
      </c>
      <c r="GE203" s="22"/>
      <c r="GF203" s="22"/>
      <c r="GG203" s="29" t="str">
        <f t="shared" ca="1" si="680"/>
        <v>TOMA INMEDIATA DE TAMIZAJE</v>
      </c>
      <c r="GH203" s="22"/>
      <c r="GI203" s="29"/>
      <c r="GJ203" s="22"/>
      <c r="GK203" s="22"/>
      <c r="GL203" s="22"/>
      <c r="GM203" s="22"/>
      <c r="GN203" s="28" t="s">
        <v>869</v>
      </c>
      <c r="GO203" s="22">
        <v>45121</v>
      </c>
      <c r="GP203" s="29">
        <f t="shared" si="864"/>
        <v>20</v>
      </c>
      <c r="GQ203" s="28"/>
      <c r="GR203" s="28" t="s">
        <v>869</v>
      </c>
      <c r="GS203" s="22" t="str">
        <f t="shared" si="726"/>
        <v/>
      </c>
      <c r="GT203" s="22">
        <v>45121</v>
      </c>
      <c r="GU203" s="29">
        <f t="shared" si="865"/>
        <v>14.857142857142858</v>
      </c>
      <c r="GV203" s="21" t="str">
        <f t="shared" si="866"/>
        <v>II TRIM</v>
      </c>
      <c r="GW203" s="28"/>
      <c r="GX203" s="30"/>
      <c r="GY203" s="21"/>
      <c r="GZ203" s="21"/>
      <c r="HA203" s="21"/>
      <c r="HB203" s="21"/>
      <c r="HC203" s="21"/>
      <c r="HD203" s="21"/>
      <c r="HE203" s="21"/>
      <c r="HF203" s="22"/>
      <c r="HG203" s="22" t="str">
        <f>IF(OR(O203&gt;0,R203&gt;0),CONCATENATE(IF(Tabla1[[#This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3" s="22" t="e">
        <f t="shared" si="867"/>
        <v>#REF!</v>
      </c>
      <c r="HI203" s="22" t="e">
        <f t="shared" ca="1" si="868"/>
        <v>#REF!</v>
      </c>
      <c r="HJ203" s="21"/>
      <c r="HK203" s="21" t="str">
        <f t="shared" si="869"/>
        <v>SIN ANTECEDENTES DE RIESGO</v>
      </c>
      <c r="HL203" s="24" t="str">
        <f t="shared" si="870"/>
        <v>APARENTEMENTE NORMAL</v>
      </c>
      <c r="HM203" s="21" t="e">
        <f t="shared" ca="1" si="871"/>
        <v>#REF!</v>
      </c>
      <c r="HN203" s="30" t="str">
        <f t="shared" si="681"/>
        <v>ACTIVA INGRESO A CPN</v>
      </c>
      <c r="HO203" s="21"/>
      <c r="HP203" s="21"/>
      <c r="HQ203" s="349"/>
      <c r="HR203" s="21" t="str">
        <f>IF(R203="","",IF(Tabla1[[#This Row],[ALARMA FACTORES DE RIESGO COMPLICACIONES HIPERTENSIVAS3]]="SIN ANTECEDENTES DE RIESGO","No Aplica para suministro de ASA",IF(AND(Tabla1[[#This Row],[FECHA INICIO DE SUMINISTRO DE ASA]]&gt;0,RV203&lt;12),"Inicia ASA ANTES de Sem 12",IF(AND(RV203&gt;11,RV203&lt;17,OR(HK203="RIESGO ALTO DE COMPLICACIONES HIPERTENSIVAS VER MANEJO GUIA SUMINISTRO ASA Y CALCIO",HK203="RIESGO MODERADO (2 O MAS CRITERIOS) VER MANEJO GUIA SUMINISTRO ASA Y CALCIO")),"Inicio oportuno de ASA",IF(AND(RV203&gt;12,OR(HK203="RIESGO ALTO DE COMPLICACIONES HIPERTENSIVAS VER MANEJO GUIA SUMINISTRO ASA Y CALCIO",HK203="RIESGO MODERADO (2 O MAS CRITERIOS) VER MANEJO GUIA SUMINISTRO ASA Y CALCIO")),"Inicio no oportuno mayor a 16 semanas",IF(AND(BU203&lt;12,OR(HK203="RIESGO ALTO DE COMPLICACIONES HIPERTENSIVAS VER MANEJO GUIA SUMINISTRO ASA Y CALCIO",HK203="RIESGO MODERADO (2 O MAS CRITERIOS) VER MANEJO GUIA SUMINISTRO ASA Y CALCIO")),"Pendiente Inicio de ASA a la semana 12",IF(AND(BU203&gt;11,BU203&lt;17,OR(HK203="RIESGO ALTO DE COMPLICACIONES HIPERTENSIVAS VER MANEJO GUIA SUMINISTRO ASA Y CALCIO",HK203="RIESGO MODERADO (2 O MAS CRITERIOS) VER MANEJO GUIA SUMINISTRO ASA Y CALCIO")),"Iniciar de inmediato ASA",IF(AND(BU203&gt;16,OR(HK203="RIESGO ALTO DE COMPLICACIONES HIPERTENSIVAS VER MANEJO GUIA SUMINISTRO ASA Y CALCIO",HK203="RIESGO MODERADO (2 O MAS CRITERIOS) VER MANEJO GUIA SUMINISTRO ASA Y CALCIO")),"Pierde Oportunidad, Inicio tardío de ASA","XXXXX"))))))))</f>
        <v>No Aplica para suministro de ASA</v>
      </c>
      <c r="HS203" s="22">
        <v>45120</v>
      </c>
      <c r="HT203" s="22" t="s">
        <v>935</v>
      </c>
      <c r="HU203" s="22">
        <v>45120</v>
      </c>
      <c r="HV203" s="22" t="s">
        <v>1523</v>
      </c>
      <c r="HW203" s="22">
        <v>45120</v>
      </c>
      <c r="HX203" s="22" t="s">
        <v>1511</v>
      </c>
      <c r="HY203" s="22"/>
      <c r="HZ203" s="28" t="str">
        <f t="shared" si="872"/>
        <v>PENDIENTE CONSULTA</v>
      </c>
      <c r="IA203" s="26"/>
      <c r="IB203" s="26"/>
      <c r="IC203" s="111"/>
      <c r="ID203" s="22"/>
      <c r="IE203" s="22" t="str">
        <f t="shared" ca="1" si="873"/>
        <v>INASISTENTE</v>
      </c>
      <c r="IF203" s="22"/>
      <c r="IG203" s="22">
        <f t="shared" si="874"/>
        <v>45261</v>
      </c>
      <c r="IH203" s="29">
        <f t="shared" ca="1" si="875"/>
        <v>28</v>
      </c>
      <c r="II203" s="22" t="str">
        <f t="shared" ca="1" si="876"/>
        <v>MENOS DE 4 SEMANAS</v>
      </c>
      <c r="IJ203" s="22"/>
      <c r="IK203" s="21"/>
      <c r="IL203" s="21"/>
      <c r="IM203" s="34"/>
      <c r="IN203" s="22"/>
      <c r="IO203" s="21"/>
      <c r="IP203" s="29" t="str">
        <f t="shared" si="877"/>
        <v/>
      </c>
      <c r="IQ203" s="35"/>
      <c r="IR203" s="21"/>
      <c r="IS203" s="21"/>
      <c r="IT203" s="21"/>
      <c r="IU203" s="21"/>
      <c r="IV203" s="21"/>
      <c r="IW203" s="21"/>
      <c r="IX203" s="21"/>
      <c r="IY203" s="21"/>
      <c r="IZ203" s="21"/>
      <c r="JA203" s="21"/>
      <c r="JB203" s="30"/>
      <c r="JC203" s="21"/>
      <c r="JD203" s="36"/>
      <c r="JE203" s="21" t="str">
        <f t="shared" si="878"/>
        <v/>
      </c>
      <c r="JF203" s="30"/>
      <c r="JG203" s="21"/>
      <c r="JH203" s="21"/>
      <c r="JI203" s="21"/>
      <c r="JJ203" s="30"/>
      <c r="JK203" s="22"/>
      <c r="JL203" s="22"/>
      <c r="JM203" s="21"/>
      <c r="JN203" s="36"/>
      <c r="JO203" s="21" t="str">
        <f t="shared" si="879"/>
        <v/>
      </c>
      <c r="JP203" s="22"/>
      <c r="JQ203" s="21"/>
      <c r="JR203" s="21"/>
      <c r="JS203" s="21"/>
      <c r="JT203" s="30"/>
      <c r="JU203" s="22"/>
      <c r="JV203" s="22"/>
      <c r="JW203" s="33"/>
      <c r="JX203" s="28" t="str">
        <f t="shared" si="880"/>
        <v/>
      </c>
      <c r="JY203" s="33"/>
      <c r="JZ203" s="28" t="str">
        <f t="shared" si="881"/>
        <v/>
      </c>
      <c r="KA203" s="21"/>
      <c r="KB203" s="21"/>
      <c r="KC203" s="21"/>
      <c r="KD203" s="37"/>
      <c r="KE203" s="28"/>
      <c r="KF203" s="28"/>
      <c r="KG203" s="28"/>
      <c r="KH203" s="39"/>
      <c r="KI203" s="39"/>
      <c r="KJ203" s="66"/>
      <c r="KK203" s="39"/>
      <c r="KL203" s="39"/>
      <c r="KM203" s="66"/>
      <c r="KN203" s="39"/>
      <c r="KO203" s="39"/>
      <c r="KP203" s="39"/>
      <c r="KQ203" s="39"/>
      <c r="KR203" s="39"/>
      <c r="KS203" s="39"/>
      <c r="KT203" s="39"/>
      <c r="KU203" s="38"/>
      <c r="KV203" s="38"/>
      <c r="KW203" s="38"/>
      <c r="KX203" s="38"/>
      <c r="KY203" s="38"/>
      <c r="KZ203" s="38"/>
      <c r="LA203" s="38"/>
      <c r="LB203" s="38"/>
      <c r="LC203" s="38"/>
      <c r="LD203" s="38"/>
      <c r="LE203" s="38"/>
      <c r="LF203" s="38"/>
      <c r="LG203" s="38"/>
      <c r="LH203" s="38"/>
      <c r="LI203" s="38"/>
      <c r="LJ203" s="38"/>
      <c r="LK203" s="38"/>
      <c r="LL203" s="38"/>
      <c r="LM203" s="38"/>
      <c r="LN203" s="38"/>
      <c r="LO203" s="38"/>
      <c r="LP203" s="38"/>
      <c r="LQ203" s="38"/>
      <c r="LR203" s="38"/>
      <c r="LS203" s="38"/>
      <c r="LT203" s="38"/>
      <c r="LU203" s="38"/>
      <c r="LV203" s="38"/>
      <c r="LW203" s="38"/>
      <c r="LX203" s="38"/>
      <c r="LY203" s="38"/>
      <c r="LZ203" s="38"/>
      <c r="MA203" s="38"/>
      <c r="MB203" s="38"/>
      <c r="MC203" s="38"/>
      <c r="MD203" s="38"/>
      <c r="ME203" s="38"/>
      <c r="MF203" s="38"/>
      <c r="MG203" s="38"/>
      <c r="MH203" s="43">
        <f t="shared" si="882"/>
        <v>0</v>
      </c>
      <c r="MI203" s="43" t="str">
        <f t="shared" si="883"/>
        <v/>
      </c>
      <c r="MJ203" s="43" t="str">
        <f t="shared" si="884"/>
        <v/>
      </c>
      <c r="MK203" s="43">
        <f t="shared" si="885"/>
        <v>0</v>
      </c>
      <c r="ML20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3" s="43">
        <f t="shared" si="886"/>
        <v>19.857142857142858</v>
      </c>
      <c r="MN203" s="43">
        <f t="shared" si="887"/>
        <v>7</v>
      </c>
      <c r="MO203" s="43">
        <f t="shared" si="888"/>
        <v>2023</v>
      </c>
      <c r="MP203" s="43" t="str">
        <f t="shared" si="889"/>
        <v>III TRIMESTRE AÑO</v>
      </c>
      <c r="MQ203" s="43">
        <f t="shared" si="890"/>
        <v>13.447218572054313</v>
      </c>
      <c r="MR203" s="43">
        <f t="shared" si="891"/>
        <v>2</v>
      </c>
      <c r="MS203" s="43" t="str">
        <f t="shared" si="892"/>
        <v>MENOR 14 AÑOS</v>
      </c>
      <c r="MT203" s="43">
        <f t="shared" si="893"/>
        <v>0</v>
      </c>
      <c r="MU203" s="43">
        <f t="shared" si="894"/>
        <v>1</v>
      </c>
      <c r="MV203" s="43">
        <f t="shared" si="895"/>
        <v>0</v>
      </c>
      <c r="MW203" s="43">
        <f t="shared" si="896"/>
        <v>0</v>
      </c>
      <c r="MX203" s="43" t="str">
        <f t="shared" si="897"/>
        <v/>
      </c>
      <c r="MY203" s="43" t="str">
        <f t="shared" ca="1" si="898"/>
        <v/>
      </c>
      <c r="MZ203" s="43" t="str">
        <f t="shared" si="899"/>
        <v/>
      </c>
      <c r="NA203" s="43" t="str">
        <f t="shared" si="900"/>
        <v/>
      </c>
      <c r="NB203" s="43" t="str">
        <f t="shared" si="901"/>
        <v/>
      </c>
      <c r="NC203" s="43" t="str">
        <f t="shared" si="902"/>
        <v/>
      </c>
      <c r="ND203" s="43">
        <f t="shared" ca="1" si="903"/>
        <v>3</v>
      </c>
      <c r="NE203" s="43">
        <f>IF(OR(O203&gt;0,R203&gt;0),SUM(COUNTIF(Tabla1[[#This Row],[AÑOS AL INICIO5 CPN]],"&gt;=40"),COUNTIF(AS203,"0"),COUNTIF(AR203,"SI"),COUNTIF(CC203,"SI"),COUNTIF(BQ203,"&gt;119"),COUNTIF(CI203,"&gt;=35")),"")</f>
        <v>1</v>
      </c>
      <c r="NF203" s="43" t="str">
        <f t="shared" si="904"/>
        <v/>
      </c>
      <c r="NG203" s="43">
        <f t="shared" si="905"/>
        <v>0</v>
      </c>
      <c r="NH203" s="43">
        <f t="shared" si="906"/>
        <v>140</v>
      </c>
      <c r="NI20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CPN",P203="NO"),"Z",IF(AND(Tabla1[[#This Row],[CITA PROXIMO CONTROL]]="CITA MANUAL",Tabla1[[#This Row],[GESTANTES ACTUALES]]="ACTIVA INGRESO A CPN"),"W",IF(AND(Tabla1[[#This Row],[GESTANTES ACTUALES]]="SALIO PROGRAMA",IN203=""),"S",IF(AND(Tabla1[[#This Row],[CITA PROXIMO CONTROL]]&gt;0,IN203=""),(Tabla1[[#This Row],[CITA PROXIMO CONTROL]]-TODAY()),"SD"))))))))</f>
        <v>#REF!</v>
      </c>
      <c r="NJ203" s="43">
        <f>MONTH(Tabla1[[#This Row],[FECHA DE SALIDA  DEL PROGRAMA]])</f>
        <v>1</v>
      </c>
      <c r="NK203" s="43">
        <f>YEAR(Tabla1[[#This Row],[FECHA DE SALIDA  DEL PROGRAMA]])</f>
        <v>1900</v>
      </c>
      <c r="NL203" s="43">
        <f t="shared" si="907"/>
        <v>11</v>
      </c>
      <c r="NM203" s="43" t="str">
        <f t="shared" si="908"/>
        <v>NO</v>
      </c>
      <c r="NN203" s="43" t="str">
        <f ca="1">IF(AND(O203&gt;0,R203=""),"NO CPN",IF(AND(O203="",R203=""),"",IF(AND(R203&gt;0,Tabla1[[#This Row],[SEMANAS DE GESTACION ACTUALIZADAS]]&lt;=12),"NO APLICA",IF(AND(FH203&lt;&gt;"",FN203&lt;&gt;""),"SI","NO"))))</f>
        <v>NO</v>
      </c>
      <c r="NO203" s="43" t="str">
        <f ca="1">IF(AND(O203&gt;0,R203=""),"NO CPN",IF(AND(O203="",R203=""),"",IF(AND(R203&gt;0,Tabla1[[#This Row],[SEMANAS DE GESTACION ACTUALIZADAS]]&lt;=27),"NO APLICA",IF(AND(ES203&lt;&gt;"",FQ203&lt;&gt;"",GF203&lt;&gt;""),"SI","NO"))))</f>
        <v>NO</v>
      </c>
      <c r="NP203" s="204" t="str">
        <f t="shared" si="909"/>
        <v>II TRIM</v>
      </c>
      <c r="NQ203" s="21" t="str">
        <f>IF(AND(IP204&gt;0,IP204&lt;37),10,IF(OR(CD204="Transversa",CD204="Oblicua"),9,IF(CC204="SI",8,IF(AND(AT204=0,AW204=0,CC204="NO",CD204="Cefálica",IP204&gt;=37,IT204="INICIO ESPONTÁNEO"),1,IF(AND(AND(AT204=0,AW204=0,CC204="NO",CD204="Cefálica",IP204&gt;=37),OR(IT204="LE HACEN INDUCCIÓN",IT204="LE HACEN CESÁREA SIN INICIO TRABAJO DE PARTO")),2,IF(AND(AT204&gt;=1,AW204=0,CC204="NO",CD204="Cefálica",IP204&gt;=37,IT204="INICIO ESPONTÁNEO"),3,IF(AND(AND(AT204&gt;=1,AW204=0,CC204="NO",CD204="Cefálica",IP204&gt;=37),OR(IT204="LE HACEN INDUCCIÓN",IT204="LE HACEN CESÁREA SIN INICIO TRABAJO DE PARTO")),4,IF(AND(AND(AT204&gt;=1,AW204&gt;=1,CC204="NO",CD204="Cefálica",IP204&gt;=37),OR(IT204="LE HACEN INDUCCIÓN",IT204="LE HACEN CESÁREA SIN INICIO TRABAJO DE PARTO",IT204="INICIO ESPONTÁNEO")),5,IF(AND(AND(AT204=0,AW204=0,CC204="NO",CD204="Podálica",IP204&gt;=1),OR(IT204="LE HACEN INDUCCIÓN",IT204="LE HACEN CESÁREA SIN INICIO TRABAJO DE PARTO",IT204="INICIO ESPONTÁNEO")),6,IF(AND(AND(AT204&gt;=1,CC204="NO",CD204="Podálica",IP204&gt;=1),OR(IT204="LE HACEN INDUCCIÓN",IT204="LE HACEN CESÁREA SIN INICIO TRABAJO DE PARTO",IT204="INICIO ESPONTÁNEO"),OR(AW204=0,AW204&gt;=1)),7,""))))))))))</f>
        <v/>
      </c>
      <c r="NR203" s="21">
        <f t="shared" ca="1" si="910"/>
        <v>2</v>
      </c>
      <c r="NS203" s="205">
        <f t="shared" ca="1" si="911"/>
        <v>1</v>
      </c>
      <c r="NT203" s="21">
        <f t="shared" ca="1" si="912"/>
        <v>1</v>
      </c>
      <c r="NU203" s="21" t="str">
        <f t="shared" ca="1" si="913"/>
        <v>INCOMPLETO</v>
      </c>
      <c r="NV203" s="21" t="str">
        <f t="shared" ca="1" si="914"/>
        <v>INCOMPLETO</v>
      </c>
      <c r="NW203" s="206" t="str">
        <f>IF(AND(O203="",R203=""),"",IF(OR(AND(Tabla1[[#This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3" s="207" t="str">
        <f t="shared" ca="1" si="915"/>
        <v>SIN VACUNAR</v>
      </c>
      <c r="NY203" s="43">
        <f>ROW(Tabla1[[#This Row],['# DE TAMIZAJES SIFILIS TOMADOS ]])</f>
        <v>203</v>
      </c>
      <c r="NZ203" s="43">
        <f t="shared" si="738"/>
        <v>19</v>
      </c>
      <c r="OA203" s="43" t="str">
        <f t="shared" si="739"/>
        <v/>
      </c>
      <c r="OB203" s="43" t="str">
        <f t="shared" si="740"/>
        <v/>
      </c>
      <c r="OC203" s="43" t="str">
        <f t="shared" si="741"/>
        <v/>
      </c>
      <c r="OD203" s="43" t="str">
        <f t="shared" si="742"/>
        <v/>
      </c>
      <c r="OE203" s="43" t="str">
        <f t="shared" si="743"/>
        <v/>
      </c>
      <c r="OF203" s="43" t="str">
        <f t="shared" si="744"/>
        <v/>
      </c>
      <c r="OG203" s="43" t="str">
        <f t="shared" si="745"/>
        <v/>
      </c>
      <c r="OH203" s="43" t="str">
        <f t="shared" si="746"/>
        <v/>
      </c>
      <c r="OI203" s="43" t="str">
        <f t="shared" si="747"/>
        <v/>
      </c>
      <c r="OJ203" s="43" t="str">
        <f t="shared" si="748"/>
        <v/>
      </c>
      <c r="OK203" s="43" t="str">
        <f t="shared" si="749"/>
        <v>NORMAL</v>
      </c>
      <c r="OL203" s="43" t="str">
        <f t="shared" si="750"/>
        <v/>
      </c>
      <c r="OM203" s="43" t="str">
        <f t="shared" si="751"/>
        <v/>
      </c>
      <c r="ON203" s="43" t="str">
        <f t="shared" si="752"/>
        <v/>
      </c>
      <c r="OO203" s="43" t="str">
        <f t="shared" si="753"/>
        <v/>
      </c>
      <c r="OP203" s="43" t="str">
        <f t="shared" si="754"/>
        <v/>
      </c>
      <c r="OQ203" s="43" t="str">
        <f t="shared" si="755"/>
        <v/>
      </c>
      <c r="OR203" s="43" t="str">
        <f t="shared" si="756"/>
        <v/>
      </c>
      <c r="OS203" s="43" t="str">
        <f t="shared" si="757"/>
        <v/>
      </c>
      <c r="OT203" s="43" t="str">
        <f t="shared" si="758"/>
        <v/>
      </c>
      <c r="OU203" s="43" t="str">
        <f t="shared" si="759"/>
        <v/>
      </c>
      <c r="OV203" s="110" t="str">
        <f t="shared" si="760"/>
        <v/>
      </c>
      <c r="OW203" s="43" t="str">
        <f t="shared" si="761"/>
        <v/>
      </c>
      <c r="OX203" s="43" t="str">
        <f t="shared" si="762"/>
        <v/>
      </c>
      <c r="OY203" s="43" t="str">
        <f t="shared" si="763"/>
        <v/>
      </c>
      <c r="OZ203" s="43" t="str">
        <f t="shared" si="764"/>
        <v/>
      </c>
      <c r="PA203" s="43" t="str">
        <f t="shared" si="765"/>
        <v/>
      </c>
      <c r="PB203" s="43" t="str">
        <f t="shared" si="766"/>
        <v/>
      </c>
      <c r="PC203" s="43" t="str">
        <f t="shared" si="767"/>
        <v/>
      </c>
      <c r="PD203" s="43" t="str">
        <f t="shared" si="768"/>
        <v/>
      </c>
      <c r="PE203" s="43" t="str">
        <f t="shared" si="769"/>
        <v/>
      </c>
      <c r="PF203" s="43" t="str">
        <f t="shared" si="770"/>
        <v/>
      </c>
      <c r="PG203" s="43" t="str">
        <f t="shared" si="771"/>
        <v/>
      </c>
      <c r="PH203" s="43" t="str">
        <f t="shared" si="772"/>
        <v/>
      </c>
      <c r="PI203" s="43">
        <f t="shared" si="773"/>
        <v>24</v>
      </c>
      <c r="PJ203" s="43" t="str">
        <f t="shared" si="774"/>
        <v/>
      </c>
      <c r="PK203" s="43" t="str">
        <f t="shared" si="775"/>
        <v/>
      </c>
      <c r="PL203" s="43" t="str">
        <f t="shared" si="776"/>
        <v/>
      </c>
      <c r="PM203" s="43" t="str">
        <f t="shared" si="777"/>
        <v/>
      </c>
      <c r="PN203" s="43" t="str">
        <f t="shared" si="778"/>
        <v/>
      </c>
      <c r="PO203" s="43" t="str">
        <f t="shared" si="779"/>
        <v/>
      </c>
      <c r="PP203" s="43" t="str">
        <f t="shared" si="780"/>
        <v/>
      </c>
      <c r="PQ203" s="43" t="str">
        <f t="shared" si="781"/>
        <v/>
      </c>
      <c r="PR203" s="43" t="str">
        <f t="shared" si="782"/>
        <v/>
      </c>
      <c r="PS203" s="43" t="str">
        <f t="shared" si="783"/>
        <v/>
      </c>
      <c r="PT203" s="43" t="str">
        <f t="shared" si="784"/>
        <v/>
      </c>
      <c r="PU203" s="43" t="str">
        <f t="shared" si="785"/>
        <v/>
      </c>
      <c r="PV203" s="43" t="str">
        <f t="shared" si="786"/>
        <v/>
      </c>
      <c r="PW203" s="43" t="str">
        <f t="shared" si="787"/>
        <v/>
      </c>
      <c r="PX203" s="43" t="str">
        <f t="shared" si="788"/>
        <v/>
      </c>
      <c r="PY203" s="43" t="str">
        <f t="shared" si="789"/>
        <v>NORMAL</v>
      </c>
      <c r="PZ203" s="43" t="str">
        <f t="shared" si="790"/>
        <v/>
      </c>
      <c r="QA203" s="43" t="str">
        <f t="shared" si="791"/>
        <v/>
      </c>
      <c r="QB203" s="43" t="str">
        <f t="shared" si="792"/>
        <v/>
      </c>
      <c r="QC203" s="43" t="str">
        <f t="shared" si="793"/>
        <v/>
      </c>
      <c r="QD203" s="43" t="str">
        <f t="shared" si="794"/>
        <v/>
      </c>
      <c r="QE203" s="43" t="str">
        <f t="shared" si="795"/>
        <v/>
      </c>
      <c r="QF203" s="43" t="str">
        <f t="shared" si="796"/>
        <v/>
      </c>
      <c r="QG203" s="43" t="str">
        <f t="shared" si="797"/>
        <v/>
      </c>
      <c r="QH203" s="43" t="str">
        <f t="shared" si="798"/>
        <v/>
      </c>
      <c r="QI203" s="43" t="str">
        <f t="shared" si="799"/>
        <v/>
      </c>
      <c r="QJ203" s="43" t="str">
        <f t="shared" si="800"/>
        <v/>
      </c>
      <c r="QK203" s="43" t="str">
        <f t="shared" si="801"/>
        <v/>
      </c>
      <c r="QL203" s="43" t="str">
        <f t="shared" si="802"/>
        <v/>
      </c>
      <c r="QM203" s="43" t="str">
        <f t="shared" si="803"/>
        <v/>
      </c>
      <c r="QN203" s="43" t="str">
        <f t="shared" si="804"/>
        <v/>
      </c>
      <c r="QO203" s="43" t="str">
        <f t="shared" si="805"/>
        <v/>
      </c>
      <c r="QP203" s="43" t="str">
        <f t="shared" si="806"/>
        <v/>
      </c>
      <c r="QQ203" s="43" t="str">
        <f t="shared" si="807"/>
        <v/>
      </c>
      <c r="QR203" s="43">
        <f t="shared" si="837"/>
        <v>24</v>
      </c>
      <c r="QS203" s="43"/>
      <c r="QT203" s="21" t="str">
        <f t="shared" si="808"/>
        <v/>
      </c>
      <c r="QU203" s="21" t="str">
        <f t="shared" si="809"/>
        <v/>
      </c>
      <c r="QV203" s="21" t="str">
        <f t="shared" si="810"/>
        <v/>
      </c>
      <c r="QW203" s="21" t="str">
        <f t="shared" si="811"/>
        <v/>
      </c>
      <c r="QX203" s="21" t="str">
        <f t="shared" si="812"/>
        <v/>
      </c>
      <c r="QY203" s="21" t="str">
        <f t="shared" si="813"/>
        <v/>
      </c>
      <c r="QZ203" s="21" t="str">
        <f t="shared" si="814"/>
        <v/>
      </c>
      <c r="RA203" s="21" t="str">
        <f t="shared" si="815"/>
        <v/>
      </c>
      <c r="RB203" s="21" t="str">
        <f t="shared" si="816"/>
        <v/>
      </c>
      <c r="RC203" s="21" t="str">
        <f t="shared" si="817"/>
        <v/>
      </c>
      <c r="RD203" s="21" t="str">
        <f t="shared" si="818"/>
        <v/>
      </c>
      <c r="RE203" s="21" t="str">
        <f t="shared" si="819"/>
        <v>ADECUADO PARA EDAD GESTACIONAL</v>
      </c>
      <c r="RF203" s="21" t="str">
        <f t="shared" si="820"/>
        <v/>
      </c>
      <c r="RG203" s="21" t="str">
        <f t="shared" si="821"/>
        <v/>
      </c>
      <c r="RH203" s="21" t="str">
        <f t="shared" si="822"/>
        <v/>
      </c>
      <c r="RI203" s="21" t="str">
        <f t="shared" si="823"/>
        <v/>
      </c>
      <c r="RJ203" s="21" t="str">
        <f t="shared" si="824"/>
        <v/>
      </c>
      <c r="RK203" s="21" t="str">
        <f t="shared" si="825"/>
        <v/>
      </c>
      <c r="RL203" s="21" t="str">
        <f t="shared" si="826"/>
        <v/>
      </c>
      <c r="RM203" s="21" t="str">
        <f t="shared" si="827"/>
        <v/>
      </c>
      <c r="RN203" s="21" t="str">
        <f t="shared" si="828"/>
        <v/>
      </c>
      <c r="RO203" s="21" t="str">
        <f t="shared" si="829"/>
        <v/>
      </c>
      <c r="RP203" s="21" t="str">
        <f t="shared" si="830"/>
        <v/>
      </c>
      <c r="RQ203" s="21" t="str">
        <f t="shared" si="831"/>
        <v/>
      </c>
      <c r="RR203" s="21" t="str">
        <f t="shared" si="832"/>
        <v/>
      </c>
      <c r="RS203" s="21" t="str">
        <f t="shared" si="833"/>
        <v/>
      </c>
      <c r="RT203" s="21" t="str">
        <f t="shared" si="834"/>
        <v/>
      </c>
      <c r="RU203" s="21" t="str">
        <f t="shared" si="835"/>
        <v/>
      </c>
      <c r="RV203" s="21">
        <f t="shared" si="836"/>
        <v>-1</v>
      </c>
      <c r="RW203" s="284">
        <f>IF(OR(Tabla1[[#This Row],[FUM FORMULA CONFIABLE]]="",Tabla1[[#This Row],[FUM FORMULA CONFIABLE]]="SD"),"",IF(Tabla1[[#This Row],[FUM FORMULA CONFIABLE]]="CORREGIDA",Tabla1[[#This Row],[FUM X ECO 1]],Tabla1[[#This Row],[FUM x AMENORREA]]))</f>
        <v>44981</v>
      </c>
      <c r="RX203" s="21">
        <f>IF(AND(Tabla1[[#This Row],[FUM X ECO 1]]="",Tabla1[[#This Row],[FUM x AMENORREA]]=""),"",IF(AND(Tabla1[[#This Row],[FUM X ECO 1]]="",Tabla1[[#This Row],[FUM x AMENORREA]]&lt;&gt;""),"X",SUM(Tabla1[[#This Row],[FUM X ECO 1]]-Tabla1[[#This Row],[FUM x AMENORREA]])))</f>
        <v>-36</v>
      </c>
      <c r="RY203" s="21">
        <f t="shared" si="838"/>
        <v>1</v>
      </c>
    </row>
    <row r="204" spans="1:493" ht="45" customHeight="1" x14ac:dyDescent="0.25">
      <c r="A204" s="109" t="s">
        <v>1561</v>
      </c>
      <c r="B204" s="43" t="s">
        <v>1558</v>
      </c>
      <c r="C204" s="43" t="s">
        <v>845</v>
      </c>
      <c r="D204" s="124"/>
      <c r="E204" s="43" t="s">
        <v>996</v>
      </c>
      <c r="F204" s="43" t="s">
        <v>1559</v>
      </c>
      <c r="G204" s="43" t="s">
        <v>1560</v>
      </c>
      <c r="H204" s="43"/>
      <c r="I204" s="109" t="s">
        <v>851</v>
      </c>
      <c r="J204" s="110">
        <v>25552089</v>
      </c>
      <c r="K204" s="43" t="s">
        <v>852</v>
      </c>
      <c r="L204" s="175" t="s">
        <v>1509</v>
      </c>
      <c r="M204" s="22">
        <v>28912</v>
      </c>
      <c r="N204" s="213">
        <f t="shared" ca="1" si="839"/>
        <v>44.715068493150682</v>
      </c>
      <c r="O204" s="22">
        <v>45118</v>
      </c>
      <c r="P204" s="214" t="str">
        <f t="shared" ref="P204:P248" si="916">IF(AND(O204="",R204&gt;0),"ACUDE ESPONTANEAMENTE",IF(AND(AND(O204&gt;0,R204=""),OR(IN204&gt;0,IK204&lt;&gt;"")),"NA",IF(AND(O204&gt;0,IN204="",R204=""),"NO",IF(AND(O204&gt;0,R204&gt;0),"SI",""))))</f>
        <v>SI</v>
      </c>
      <c r="Q204" s="26" t="s">
        <v>855</v>
      </c>
      <c r="R204" s="22">
        <v>45118</v>
      </c>
      <c r="S204" s="21" t="s">
        <v>856</v>
      </c>
      <c r="T204" s="24" t="s">
        <v>690</v>
      </c>
      <c r="U204" s="21" t="s">
        <v>857</v>
      </c>
      <c r="V204" s="21" t="s">
        <v>858</v>
      </c>
      <c r="W204" s="21" t="s">
        <v>1062</v>
      </c>
      <c r="X204" s="21" t="s">
        <v>1624</v>
      </c>
      <c r="Y204" s="21"/>
      <c r="Z204" s="21" t="s">
        <v>1557</v>
      </c>
      <c r="AA204" s="21" t="s">
        <v>860</v>
      </c>
      <c r="AB204" s="27" t="s">
        <v>861</v>
      </c>
      <c r="AC204" s="26" t="s">
        <v>862</v>
      </c>
      <c r="AD204" s="38" t="s">
        <v>1546</v>
      </c>
      <c r="AE204" s="26" t="s">
        <v>854</v>
      </c>
      <c r="AF204" s="26" t="s">
        <v>854</v>
      </c>
      <c r="AG204" s="23" t="s">
        <v>864</v>
      </c>
      <c r="AH204" s="23" t="s">
        <v>864</v>
      </c>
      <c r="AI204" s="24" t="s">
        <v>863</v>
      </c>
      <c r="AJ204" s="23" t="s">
        <v>864</v>
      </c>
      <c r="AK204" s="220" t="str">
        <f>IF(AND(AD204="",AE204="",AF204="",AG204="",AH204="",AI204="",AJ204=""),"",IF(OR(Tabla1[[#This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EVALUACIÓN",IF(AND(O204="",R204=""),"",IF(AND(OR(O204&gt;0,R204&gt;0),NG204&gt;=0,NG204&lt;2),"SIN RIESGO",IF(AND(OR(O204&gt;0,R204&gt;0),NG204&gt;=2),"CON RIESGO","ASD")))))</f>
        <v>SIN RIESGO</v>
      </c>
      <c r="AL204" s="23" t="s">
        <v>864</v>
      </c>
      <c r="AM204" s="26" t="s">
        <v>864</v>
      </c>
      <c r="AN204" s="26" t="s">
        <v>864</v>
      </c>
      <c r="AO204" s="26" t="s">
        <v>864</v>
      </c>
      <c r="AP204" s="26" t="s">
        <v>864</v>
      </c>
      <c r="AQ204" s="26" t="s">
        <v>864</v>
      </c>
      <c r="AR204" s="26" t="s">
        <v>864</v>
      </c>
      <c r="AS204" s="21">
        <v>3</v>
      </c>
      <c r="AT204" s="21">
        <v>3</v>
      </c>
      <c r="AU204" s="21">
        <v>0</v>
      </c>
      <c r="AV204" s="26" t="s">
        <v>864</v>
      </c>
      <c r="AW204" s="21">
        <v>0</v>
      </c>
      <c r="AX204" s="26" t="s">
        <v>864</v>
      </c>
      <c r="AY204" s="26" t="s">
        <v>864</v>
      </c>
      <c r="AZ204" s="26" t="s">
        <v>864</v>
      </c>
      <c r="BA204" s="26" t="s">
        <v>864</v>
      </c>
      <c r="BB204" s="26" t="s">
        <v>864</v>
      </c>
      <c r="BC204" s="26" t="s">
        <v>864</v>
      </c>
      <c r="BD204" s="26" t="s">
        <v>864</v>
      </c>
      <c r="BE204" s="26" t="s">
        <v>864</v>
      </c>
      <c r="BF204" s="26" t="s">
        <v>864</v>
      </c>
      <c r="BG204" s="26" t="s">
        <v>864</v>
      </c>
      <c r="BH204" s="26" t="s">
        <v>864</v>
      </c>
      <c r="BI204" s="26" t="s">
        <v>864</v>
      </c>
      <c r="BJ204" s="26" t="s">
        <v>864</v>
      </c>
      <c r="BK204" s="26" t="s">
        <v>864</v>
      </c>
      <c r="BL204" s="26" t="s">
        <v>864</v>
      </c>
      <c r="BM204" s="26" t="s">
        <v>864</v>
      </c>
      <c r="BN204" s="22">
        <v>40964</v>
      </c>
      <c r="BO204" s="22">
        <v>45030</v>
      </c>
      <c r="BP204" s="21" t="s">
        <v>854</v>
      </c>
      <c r="BQ204" s="222">
        <f t="shared" si="840"/>
        <v>135.53333333333333</v>
      </c>
      <c r="BR204" s="223">
        <f t="shared" si="841"/>
        <v>45030</v>
      </c>
      <c r="BS204" s="224">
        <f t="shared" si="842"/>
        <v>12.571428571428571</v>
      </c>
      <c r="BT204" s="294" t="str">
        <f t="shared" si="843"/>
        <v>II TRIM</v>
      </c>
      <c r="BU204" s="214">
        <f t="shared" ca="1" si="844"/>
        <v>29</v>
      </c>
      <c r="BV204" s="25" t="s">
        <v>988</v>
      </c>
      <c r="BW204" s="22">
        <v>45121</v>
      </c>
      <c r="BX204" s="28">
        <v>13</v>
      </c>
      <c r="BY204" s="28"/>
      <c r="BZ204" s="22"/>
      <c r="CA204" s="21"/>
      <c r="CB204" s="26" t="s">
        <v>864</v>
      </c>
      <c r="CC204" s="26" t="s">
        <v>864</v>
      </c>
      <c r="CD204" s="26"/>
      <c r="CE204" s="26" t="s">
        <v>864</v>
      </c>
      <c r="CF204" s="22" t="s">
        <v>1517</v>
      </c>
      <c r="CG204" s="21">
        <v>1.55</v>
      </c>
      <c r="CH204" s="21">
        <v>61</v>
      </c>
      <c r="CI204" s="214">
        <f t="shared" si="845"/>
        <v>25.390218522372525</v>
      </c>
      <c r="CJ204" s="225" t="e">
        <f>IF(AND(CI204&lt;10,CH204="SD"),"SIN DATO PESO PREGESTACION O I TRIM",IF(AND(OR(R204&gt;0,O204&gt;0),CI204="X"),"INGRESAR DATO DE PESO",IF(CI204="SD","INGRESAR DATO DE TALLA Y PESO",IF(AND(OR(Tabla1[[#This Row],[MOMENTO EN QUE SE REALIZA EL PESO AL INGRESO A CPN]]="PREGESTACIÓN",NZ204="Menor"),CI204&lt;18.5),"BAJO PESO",IF(AND(OR(Tabla1[[#This Row],[MOMENTO EN QUE SE REALIZA EL PESO AL INGRESO A CPN]]="PREGESTACIÓN",NZ204="Menor"),CI204&lt;25),"NORMAL",IF(AND(OR(Tabla1[[#This Row],[MOMENTO EN QUE SE REALIZA EL PESO AL INGRESO A CPN]]="PREGESTACIÓN",NZ204="Menor"),CI204&lt;30),"SOBREPESO",IF(AND(OR(Tabla1[[#This Row],[MOMENTO EN QUE SE REALIZA EL PESO AL INGRESO A CPN]]="PREGESTACIÓN",NZ204="Menor"),CI204&gt;=30,CI204&lt;50),"OBESIDAD",IF(AND(BS204&gt;0,Tabla1[[#This Row],[MOMENTO EN QUE SE REALIZA EL PESO AL INGRESO A CPN]]="GESTACIÓN"),HLOOKUP(NZ204,$OA$2:PH204,NY204),""))))))))</f>
        <v>#REF!</v>
      </c>
      <c r="CK204" s="212">
        <f t="shared" si="846"/>
        <v>45118</v>
      </c>
      <c r="CL204" s="21">
        <v>61</v>
      </c>
      <c r="CM204" s="214">
        <f t="shared" si="847"/>
        <v>25.390218522372525</v>
      </c>
      <c r="CN204" s="216">
        <f t="shared" si="848"/>
        <v>12</v>
      </c>
      <c r="CO204" s="216" t="e">
        <f>IF(PI204="","",IF(PI204&gt;0,HLOOKUP(PI204,$PJ$2:QQ204,NY204),""))</f>
        <v>#REF!</v>
      </c>
      <c r="CP204" s="21">
        <v>13.6</v>
      </c>
      <c r="CQ204" s="216" t="str">
        <f>IF(QR204="Menor","NO APLICA-MENOR 13 SEM",IF(AND(CC204="SI",CN204&gt;23),"NO APLICA- GEMELAR",IF(QR204="","",IF(QR204&gt;0,HLOOKUP(QR204,$QS$2:RU204,NY204),""))))</f>
        <v>NO APLICA-MENOR 13 SEM</v>
      </c>
      <c r="CR204" s="21">
        <v>90</v>
      </c>
      <c r="CS204" s="21">
        <v>60</v>
      </c>
      <c r="CT204" s="217" t="str">
        <f>IF(R204="","",IF(AND(BS204&gt;1,BS204&lt;12,Tabla1[[#This Row],[T.A. SISTOLICA - ANTES DE SEMANA 12]]="",Tabla1[[#This Row],[T.A. DIASTOLICA - ANTES DE SEMANA 12]]=""),"REGISTRE DATO TA ANTES SEMANA 12",IF(AND(BS204&gt;11,BS204&lt;43,Tabla1[[#This Row],[T.A. SISTOLICA - ANTES DE SEMANA 12]]="",Tabla1[[#This Row],[T.A. DIASTOLICA - ANTES DE SEMANA 12]]=""),"NO APLICA REGISTRO TA-INGRESO TARDIO",IF(AND(OR(O204&gt;0,R204&gt;0),OR(CR204&gt;=140,CS204&gt;=90)),"DEFINIR ESTADIO HTA",IF(AND(OR(O204&gt;0,R204&gt;0),AND(CR204&gt;120,CR204&lt;=139)),"PRE HTA SEGUIMIENTO",IF(AND(OR(O204&gt;0,R204&gt;0),AND(CS204&gt;80,CS204&lt;=89)),"PRE HTA SEGUIMIENTO",IF(AND(OR(O204&gt;0,R204&gt;0),AND(CR204&gt;=80,CR204&lt;=120)),"APARENTEMENTE NORMAL",IF(AND(OR(O204&gt;0,R204&gt;0),AND(CS204&gt;=50,CS204&lt;=80)),"APARENTEMENTE NORMAL",IF(AND(OR(O204&gt;0,R204&gt;0),AND(CR204&gt;1,CR204&lt;=70),AND(CS204&gt;1,CS204&lt;=40)),"HIPOTENSIÓN","")))))))))</f>
        <v>APARENTEMENTE NORMAL</v>
      </c>
      <c r="CU204" s="21"/>
      <c r="CV204" s="21"/>
      <c r="CW204" s="217" t="str">
        <f ca="1">IF(R204="","",IF(AND(CN204&gt;19,CN204&lt;27,Tabla1[[#This Row],[T.A. SISTOLICA (Entre semana 20 y 26)]]="",Tabla1[[#This Row],[T.A. DIATOLICA (Entre semana 20 y 26)]]=""),"ACUDE A CONTROL SEM 20 A 26 REGISTRE TA AHORA",IF(AND(BS204&gt;1,BS204&lt;27,BU204&gt;19,Tabla1[[#This Row],[T.A. SISTOLICA (Entre semana 20 y 26)]]="",Tabla1[[#This Row],[T.A. DIATOLICA (Entre semana 20 y 26)]]=""),"COMPLETE REGISTRO TA CONTROL SEM 20 A26 ",IF(AND(BS204&gt;26,BS204&lt;43,Tabla1[[#This Row],[T.A. SISTOLICA (Entre semana 20 y 26)]]="",Tabla1[[#This Row],[T.A. DIATOLICA (Entre semana 20 y 26)]]=""),"NO APLICA REGISTRO TA-INGRESO TARDIO",IF(AND(OR(O204&gt;0,R204&gt;0),OR(CU204&gt;=140,CV204&gt;=90)),"ALTO RIESGO PREECLAMPSIA,DEFINIR ESTADIO HTA",IF(AND(OR(O204&gt;0,R204&gt;0),AND(CU204&gt;120,CU204&lt;=139)),"PRE HTA SEGUIMIENTO,RIESGO HIPERTENSION INDUCIDA POR EL EMBARAZO",IF(AND(OR(O204&gt;0,R204&gt;0),AND(CV204&gt;80,CV204&lt;=89)),"PRE HTA SEGUIMIENTO, RIESGO HIPERTENSION INDUCIDA POR EL EMBARAZO",IF(AND(OR(O204&lt;&gt;"",R204&lt;&gt;""),CS204&lt;&gt;"",CV204&lt;&gt;"",CS204&lt;=CV204),"VIGILAR CIFRAS PRESION ARTERIAL",IF(AND(OR(O204&gt;0,R204&gt;0),AND(CU204&gt;120,CU204&lt;=139)),"PRE HTA SEGUIMIENTO",IF(AND(OR(O204&gt;0,R204&gt;0),AND(CU204&gt;1,CU204&lt;=70),AND(CV204&gt;1,CV204&lt;=40)),"HIPOTENSIÓN",IF(AND(OR(O204&lt;&gt;"",R204&lt;&gt;""),CS204&lt;&gt;"",CV204&lt;&gt;"",CS204&gt;CV204),"APARENTEMENTE NORMAL",IF(AND(OR(O204&gt;0,R204&gt;0),AND(CU204&gt;=80,CU204&lt;=120)),"APARENTEMENTE NORMAL",IF(AND(OR(O204&gt;0,R204&gt;0),AND(CV204&gt;=50,CV204&lt;=80)),"APARENTEMENTE NORMAL","")))))))))))))</f>
        <v xml:space="preserve">COMPLETE REGISTRO TA CONTROL SEM 20 A26 </v>
      </c>
      <c r="CX204" s="21"/>
      <c r="CY204" s="21"/>
      <c r="CZ204" s="216" t="str">
        <f>IF(R204="","",IF(AND(CN204&gt;31,CN204&lt;35,CX204="",CY204=""),"ACUDE A CONTROL SEM 30 A 34- REGISTRE AHORA",IF(AND(BS204&gt;34,BS204&lt;43,CX205="",CY205=""),"NO APLICA-INGRESO TARDIO",IF(AND(OR(O204&gt;0,R204&gt;0),OR(CX204&gt;=140,CY204&gt;=90)),"ESTUDIO INMEDIATO HTA PARA DESCARTAR PREECLAMSIA",IF(AND(OR(O204&gt;0,R204&gt;0),AND(CX204&gt;=130,CX204&lt;=139)),"PRE HTA,RIESGO ALTO PREECLAMPSIA",IF(AND(OR(O204&gt;0,R204&gt;0),AND(CY204&gt;80,CY204&lt;=89)),"PRE HTA,RIESGO ALTO PREECLAMPSIA",IF(AND(OR(O204&gt;0,R204&gt;0),AND(CX204&gt;120,CX204&lt;=129)),"RANGO PREHIPERTENSIVO SEGUIMIENTO HTA",IF(AND(OR(O204&lt;&gt;"",R204&lt;&gt;""),CS204&lt;&gt;"",CY204&lt;&gt;"",CS204&lt;CY204),"VIGILAR CIFRAS PRESION ARTERIAL",IF(AND(OR(O204&lt;&gt;"",R204&lt;&gt;""),CS204&lt;&gt;"",CY204&lt;&gt;"",CS204=CY204),"APARENTEMENTE NORMAL",IF(AND(OR(O204&gt;0,R204&gt;0),CX204&gt;=80,CX204&lt;=120),"APARENTEMENTE NORMAL",IF(AND(OR(O204&gt;0,R204&gt;0),CY204&gt;=50,CY204&lt;=80),"APARENTEMENTE NORMAL","")))))))))))</f>
        <v/>
      </c>
      <c r="DA204" s="21">
        <v>90</v>
      </c>
      <c r="DB204" s="21">
        <v>60</v>
      </c>
      <c r="DC204" s="217" t="str">
        <f t="shared" si="849"/>
        <v>APARENTEMENTE NORMAL</v>
      </c>
      <c r="DD204" s="22">
        <v>45118</v>
      </c>
      <c r="DE204" s="22">
        <v>45118</v>
      </c>
      <c r="DF204" s="22"/>
      <c r="DG204" s="22"/>
      <c r="DH204" s="22"/>
      <c r="DI204" s="22"/>
      <c r="DJ204" s="22"/>
      <c r="DK204" s="22"/>
      <c r="DL204" s="22"/>
      <c r="DM204" s="22"/>
      <c r="DN204" s="22"/>
      <c r="DO204" s="22"/>
      <c r="DP204" s="22"/>
      <c r="DQ204" s="22"/>
      <c r="DR204" s="28"/>
      <c r="DS204" s="22"/>
      <c r="DT204" s="22"/>
      <c r="DU204" s="216" t="str">
        <f t="shared" ref="DU204:DU248" ca="1" si="917">IF(AND(BT204="ERROR FUM O INGRESO",DS204&gt;0),"ERROR FUM O INGRESO",IF(AND(DS204="",R204="",O204=""),"",IF(OR(AND(DS204&lt;&gt;"",DS204&lt;RW204),AND(DS204&lt;&gt;"",AND(SUM((DS204-RW204)/7)&gt;0,SUM((DS204-RW204)/7)&lt;28))),"PLAN REALIZADO ANTES III TRIM", IF(AND(DS204="",OR(O204&gt;0,R204&gt;0),AND(BU204&gt;=28, BU204&lt;35,DV204="ACTIVA INGRESO A CPN")),"PLANEAR PLAN DE PARTO", IF(AND(DS204="",OR(O204&gt;0,R204&gt;0),BU204&gt;=35,DV204="ACTIVA INGRESO A CPN"),"CONCERTAR PLAN DE PARTO INMEDIATO", IF(AND(DS204="",OR(O204&gt;0,R204&gt;0),AND(BU204&gt;0, BU204&lt;28),OR(DV204="ACTIVA INGRESO A CPN", DV204=" ACTIVA SIN INGRESO CPN")),"EN ESPERA", IF(AND(DS204="",OR(O204&gt;0,R204&gt;0),AND(IP204&gt;0, IP204&lt;28)),"NO APLICA SALE PROGRAMA ANTES III TRIM", IF(AND(DS204="",OR(O204&gt;0,R204&gt;0),AND(IP204&gt;=28, IP204&lt;35)),"SALE PROGRAMA ANTES SEMANA 35", IF(AND(DS204="",OR(O204&gt;0,R204&gt;0),IP204&gt;35),"SALE SIN PLAN DE PARTO",IF(DS204&gt;0,SUM(DS204-BO204)/7,""))))))))))</f>
        <v>PLANEAR PLAN DE PARTO</v>
      </c>
      <c r="DV204" s="226" t="str">
        <f t="shared" ref="DV204:DV248" si="918">IF(AND(R204&lt;&gt;"",IK204="CAMBIO DE RESIDENCIA",IK204="CAMBIO DE IPS",IK204="CAMBIO DE EPS"),"SEGUIMIENTO REPORTE EPS",IF(IK204="IVE","IVE",IF(AND(R204&lt;&gt;"",OR(IK204&lt;&gt;"",IN204&lt;&gt;"")),"SALIO PROGRAMA",IF(AND(AND(R204="",O204&gt;0),OR(IK204&lt;&gt;"",IN204&lt;&gt;"")),"SALE SIN INGRESO CPN",IF(AND(R204="",O204&gt;0,IK204="",IN204=""),"ACTIVA SIN INGRESO CPN",IF(AND(R204&lt;&gt;"",OR(IK204="",IN204="")),"ACTIVA INGRESO A CPN",""))))))</f>
        <v>ACTIVA INGRESO A CPN</v>
      </c>
      <c r="DW20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4" s="216" t="e">
        <f t="shared" ca="1" si="850"/>
        <v>#REF!</v>
      </c>
      <c r="DY204" s="212">
        <f>IF(R204="","",IF(R204&gt;0,MAX(Tabla1[[#This Row],[FECHA C2]:[FECHA C13]],Tabla1[[#This Row],[FECHA CONSULTA PRIMERA VEZ PROGRAMA CPN ]])))</f>
        <v>45118</v>
      </c>
      <c r="DZ204" s="216">
        <f t="shared" si="851"/>
        <v>12</v>
      </c>
      <c r="EA204" s="222">
        <f>IF(R204&gt;0,SUM(COUNTA(DF204:DQ204)+COUNTA(Tabla1[[#This Row],[FECHA CONSULTA PRIMERA VEZ PROGRAMA CPN ]])),"")</f>
        <v>1</v>
      </c>
      <c r="EB204" s="222" t="str">
        <f t="shared" si="852"/>
        <v>NO</v>
      </c>
      <c r="EC204" s="214">
        <f t="shared" si="853"/>
        <v>8</v>
      </c>
      <c r="ED204" s="227">
        <f t="shared" si="854"/>
        <v>0.125</v>
      </c>
      <c r="EE204" s="22">
        <v>45121</v>
      </c>
      <c r="EF204" s="22">
        <v>45121</v>
      </c>
      <c r="EG204" s="22">
        <v>45121</v>
      </c>
      <c r="EH204" s="22"/>
      <c r="EI204" s="22">
        <v>45121</v>
      </c>
      <c r="EJ204" s="22"/>
      <c r="EK204" s="22"/>
      <c r="EL204" s="21"/>
      <c r="EM204" s="21">
        <v>13.1</v>
      </c>
      <c r="EN204" s="22">
        <v>45121</v>
      </c>
      <c r="EO204" s="222">
        <f t="shared" si="855"/>
        <v>13</v>
      </c>
      <c r="EP204" s="214" t="str">
        <f t="shared" si="856"/>
        <v>NORMAL- SUMINISTRAR SULFATO FERROSO</v>
      </c>
      <c r="EQ204" s="216" t="str">
        <f t="shared" si="857"/>
        <v>I TRIM</v>
      </c>
      <c r="ER204" s="24"/>
      <c r="ES204" s="22"/>
      <c r="ET204" s="29" t="str">
        <f t="shared" ref="ET204:ET248" ca="1" si="919">IF(AND(BT204="ERROR FUM O INGRESO",ES204&gt;0),"ERROR FUM O INGRESO",IF(AND(ES204="",R204="",O204=""),"",IF(OR(AND(ES204&lt;&gt;"",ES204&lt;RW204),AND(ES204&lt;&gt;"",SUM((ES204-RW204)/7)&gt;40)),"CORREGIR FECHA RESULTADO",IF(AND(BU204&gt;1,BU204&lt;23,ER204="",ES204=""),"EN ESPERA PARA TOMA EXAMEN",IF(AND(BU204&gt;22,BU204&lt;26,ER204="",ES204=""),"PROGRAMAR TOMA HEMOGLOBINA A SEM 28",IF(AND(BU204&gt;25,BU204&lt;28,ER204="",ES204=""),"TOMA HEMOGLOBINA A SEM 28 EN 1 SEMANA",IF(AND(BU204&gt;27,BU204&lt;31,ES204="",OR(O204&gt;0,R204&gt;0)),"EN SEMANA 28 TOMA INMEDIATA DE EXAMEN",IF(AND(IP204&gt;0,IP204&lt;28,ES204="",OR(O204&gt;0,R204&gt;0)),"NO APLICA-SALE ANTES SEM 28",IF(AND(IP204&gt;28,IP204&lt;43,ES204="",OR(O204&gt;0,R204&gt;0)),"SALE SIN TAMIZAJE HEMOGLOBINA SEM 28",IF(AND(BS204&gt;0,ES204="",OR(O204&gt;0,R204&gt;0)),"TOMA DE HEMOGLOBINA TARDÍA",IF(ES204&gt;0,SUM(ES204-RW204)/7,"")))))))))))</f>
        <v>EN SEMANA 28 TOMA INMEDIATA DE EXAMEN</v>
      </c>
      <c r="EU204" s="25" t="str">
        <f t="shared" si="858"/>
        <v/>
      </c>
      <c r="EV204" s="24" t="s">
        <v>1510</v>
      </c>
      <c r="EW204" s="32">
        <v>45121</v>
      </c>
      <c r="EX204" s="22"/>
      <c r="EY204" s="29">
        <f t="shared" si="691"/>
        <v>13</v>
      </c>
      <c r="EZ204" s="25" t="str">
        <f t="shared" si="692"/>
        <v>SIN RIESGO DE ISOINMUNIZACIÓN</v>
      </c>
      <c r="FA204" s="21">
        <v>89</v>
      </c>
      <c r="FB204" s="22">
        <v>45121</v>
      </c>
      <c r="FC204" s="29">
        <f t="shared" si="859"/>
        <v>13</v>
      </c>
      <c r="FD204" s="29"/>
      <c r="FE204" s="29"/>
      <c r="FF204" s="29"/>
      <c r="FG204" s="21" t="str">
        <f t="shared" ca="1" si="860"/>
        <v>TOMAR PTOG</v>
      </c>
      <c r="FH204" s="31"/>
      <c r="FI204" s="29" t="str">
        <f t="shared" si="861"/>
        <v>TOMAR EXAMEN</v>
      </c>
      <c r="FJ204" s="22"/>
      <c r="FK204" s="22"/>
      <c r="FL204" s="29" t="str">
        <f t="shared" ca="1" si="862"/>
        <v>PIERDE TOMA DE TAMIZAJE</v>
      </c>
      <c r="FM204" s="22" t="s">
        <v>867</v>
      </c>
      <c r="FN204" s="22">
        <v>45121</v>
      </c>
      <c r="FO204" s="29">
        <f t="shared" ref="FO204:FO248" ca="1" si="920">IF(AND(BT204="ERROR FUM O INGRESO",FN204&gt;0),"ERROR FUM O INGRESO",IF(AND(FN204="",R204="",O204=""),"",IF(AND(FN204&lt;&gt;"",FN204&lt;RW204), "INCOHERENCIA FUM Y FECHA TAMIZAJE",IF(AND(FN204="",DV204="ACTIVA INGRESO A CPN",AND(BU204&gt;0,BU204&lt;13)),"EN ESPERA-ESTÁ I TRIM", IF(AND(FN204="",AND(BS204&gt;0, BS204&lt;13),OR(O204&gt;0,R204&gt;0),AND(IP204&gt;0,IP204&lt;13)),"NO APLICA-SALIO DEL PROGRAMA I TRIM",IF(AND(FN204&lt;&gt;"",AND(SUM((FN204-RW204)/7)&gt;0,SUM((FN204-RW204)/7)&lt;13)),"REGISTRAR EN I TRIMESTRE",IF(AND(FN204&lt;&gt;"",AND(SUM((FN204-RW204)/7)&gt;=27,SUM((FN204-RW204)/7)&lt;44)),"REGISTRAR EN III TRIMESTRE",IF(AND(FN204="",OR(O204&gt;0,R204&gt;0),AND(BU204&gt;=13,BU204&lt;24),DV204="ACTIVA INGRESO A CPN"),"EN RANGO PARA TOMAR EXAMEN",IF(AND(FN204="",OR(O204&gt;0,R204&gt;0),AND(BU204&gt;=25,BU204&lt;27),DV204="ACTIVA INGRESO A CPN"),"TOMA INMEDIATA DE TAMIZAJE",IF(AND(FN204="",OR(O204&gt;0,R204&gt;0),AND(BS204&gt;=27,BS204&lt;44)),"NO APLICA-INGRESO TARDIO",IF(AND(FN204="",BS204&lt;27,OR(AND(IP204&gt;12,IP204&lt;44),BU204&gt;12)),"PIERDE TOMA DE TAMIZAJE",IF(FN204&gt;0,SUM(FN204-RW204)/7,""))))))))))))</f>
        <v>13</v>
      </c>
      <c r="FP204" s="22"/>
      <c r="FQ204" s="32"/>
      <c r="FR204" s="29" t="str">
        <f t="shared" ref="FR204:FR248" ca="1" si="921">IF(AND(BT204="ERROR FUM O INGRESO",FQ204&gt;0),"ERROR FUM O INGRESO",IF(AND(FQ204="",R204="",O204=""),"",IF(AND(FQ204&lt;&gt;"",FQ204&lt;RW204), "INCOHERENCIA FUM Y FECHA TAMIZAJE",IF(AND(FQ204="",DV204="ACTIVA INGRESO A CPN",AND(BU204&gt;0,BU204&lt;27)),"EN ESPERA-ESTÁ I TRIM O II TRIM", IF(AND(FQ204="",AND(BS204&gt;0, BS204&lt;27),OR(O204&gt;0,R204&gt;0),AND(IP204&gt;0,IP204&lt;27)),"NO APLICA-SALIO DEL PROGRAMA I O II TRIM",IF(AND(FQ204&lt;&gt;"",AND(SUM((FQ204-RW204)/7)&gt;0,SUM((FQ204-RW204)/7)&lt;13)),"REGISTAR EN I TRIMESTRE",IF(AND(FQ204&lt;&gt;"",AND(SUM((FQ204-RW204)/7)&gt;=13,SUM((FQ204-RW204)/7)&lt;27)),"REGISTRAR EN II TRIMESTRE",IF(AND(FQ204="",OR(O204&gt;0,R204&gt;0),AND(BU204&gt;=28,BU204&lt;35),DV204="ACTIVA INGRESO A CPN"),"EN RANGO PARA TOMAR EXAMEN",IF(AND(FQ204="",OR(O204&gt;0,R204&gt;0),BU204&gt;=35, DV204="ACTIVA INGRESO A CPN"),"TOMA INMEDIATA DE TAMIZAJE",IF(AND(FQ204="",DV204= "SALE SIN INGRESO CPN"),"NO APLICA-SIN CPN",IF(AND(FQ204="",AND(IP204&gt;26,IP204&lt;43)),"PIERDE TOMA DE TAMIZAJE",IF(FQ204&gt;0,SUM(FQ204-RW204)/7,""))))))))))))</f>
        <v>EN RANGO PARA TOMAR EXAMEN</v>
      </c>
      <c r="FS204" s="22"/>
      <c r="FT204" s="32"/>
      <c r="FU204" s="29" t="str">
        <f>IF(AND(FJ204="",FM204="",FP204="",FS204=""),"",IF(OR(OR(Tabla1[[#This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4" s="28"/>
      <c r="FW204" s="22"/>
      <c r="FX204" s="29" t="str">
        <f t="shared" si="863"/>
        <v>TOMAR EXAMEN</v>
      </c>
      <c r="FY204" s="22"/>
      <c r="FZ204" s="22"/>
      <c r="GA204" s="29" t="str">
        <f t="shared" ca="1" si="737"/>
        <v/>
      </c>
      <c r="GB204" s="22" t="s">
        <v>868</v>
      </c>
      <c r="GC204" s="22">
        <v>45121</v>
      </c>
      <c r="GD204" s="29">
        <f t="shared" ref="GD204:GD209" ca="1" si="922">IF(AND(BT204="ERROR FUM O INGRESO",GC204&gt;0),"ERROR FUM O INGRESO",IF(AND(GC204="",R204="",O204=""),"",IF(AND(GC204&lt;&gt;"",GC204&lt;RW204), "INCOHERENCIA FUM Y FECHA TAMIZAJE",IF(AND(GC204="",DV204="ACTIVA INGRESO A CPN",AND(BU204&gt;0,BU204&lt;13)),"EN ESPERA-ESTÁ I TRIM", IF(AND(GC204="",AND(BS204&gt;0, BS204&lt;12),OR(O204&gt;0,R204&gt;0),AND(IP204&gt;0,IP204&lt;13)),"NO APLICA-SALIO DEL PROGRAMA I TRIM",IF(AND(GC204&lt;&gt;"",AND(SUM((GC204-RW204)/7)&gt;0,SUM((GC204-RW204)/7)&lt;13)),"REGISTRAR EN I TRIMESTRE",IF(AND(GC204&lt;&gt;"",AND(SUM((GC204-RW204)/7)&gt;=27,SUM((GC204-RW204)/7)&lt;44)),"REGISTRAR EN III TRIMESTRE",IF(AND(GC204="",OR(O204&gt;0,R204&gt;0),AND(BU204&gt;=12,BU204&lt;25),DV204="ACTIVA INGRESO A CPN"),"EN RANGO PARA TOMAR EXAMEN",IF(AND(GC204="",OR(O204&gt;0,R204&gt;0),AND(BU204&gt;=25,BU204&lt;27),DV204="ACTIVA INGRESO A CPN"),"TOMA INMEDIATA DE TAMIZAJE",IF(AND(GC204="",OR(O204&gt;0,R204&gt;0),AND(BS204&gt;=27,BS204&lt;43)),"NO APLICA-INGRESO TARDIO",IF(AND(GC204="",BS204&lt;27),"PIERDE TOMA DE TAMIZAJE",IF(GC204&gt;0,SUM(GC204-RW204)/7,""))))))))))))</f>
        <v>13</v>
      </c>
      <c r="GE204" s="22"/>
      <c r="GF204" s="22"/>
      <c r="GG204" s="29" t="str">
        <f t="shared" ref="GG204:GG248" ca="1" si="923">IF(AND(BT204="ERROR FUM O INGRESO",GF204&gt;0),"ERROR FUM O INGRESO",IF(AND(GF204="",R204="",O204=""),"",IF(AND(GF204&lt;&gt;"",GF204&lt;RW204), "INCOHERENCIA FUM Y FECHA TAMIZAJE",IF(AND(GF204="",DV204="ACTIVA INGRESO A CPN",AND(BU204&gt;0,BU204&lt;27)),"EN ESPERA-ESTÁ I TRIM O II TRIM", IF(AND(GF204="",AND(BS204&gt;0, BS204&lt;28),OR(O204&gt;0,R204&gt;0),AND(IP204&gt;0,IP204&lt;28)),"NO APLICA-SALIO DEL PROGRAMA I O II TRIM",IF(AND(GF204&lt;&gt;"",AND(SUM((GF204-RW204)/7)&gt;0,SUM((GF204-RW204)/7)&lt;13)),"REGISTAR EN I TRIMESTRE",IF(AND(GF204&lt;&gt;"",AND(SUM((GF204-RW204)/7)&gt;=13,SUM((GF204-RW204)/7)&lt;27)),"REGISTRAR EN II TRIMESTRE",IF(AND(GF204="",OR(O204&gt;0,R204&gt;0),AND(BU204&gt;=28,BU204&lt;35),DV204="ACTIVA INGRESO A CPN"),"EN RANGO PARA TOMAR EXAMEN",IF(AND(GF204="",OR(O204&gt;0,R204&gt;0),BU204&gt;=35, DV204="ACTIVA INGRESO A CPN"),"TOMA INMEDIATA DE TAMIZAJE",IF(AND(GF204="",DV204= "SALE SIN INGRESO CPN"),"NO APLICA-SIN CPN",IF(AND(GF204="",BS204&lt;44),"PIERDE TOMA DE TAMIZAJE",IF(GF204&gt;0,SUM(GF204-RW204)/7,""))))))))))))</f>
        <v>EN RANGO PARA TOMAR EXAMEN</v>
      </c>
      <c r="GH204" s="22"/>
      <c r="GI204" s="29"/>
      <c r="GJ204" s="22"/>
      <c r="GK204" s="22"/>
      <c r="GL204" s="22"/>
      <c r="GM204" s="22"/>
      <c r="GN204" s="28" t="s">
        <v>869</v>
      </c>
      <c r="GO204" s="22">
        <v>45121</v>
      </c>
      <c r="GP204" s="29">
        <f t="shared" si="864"/>
        <v>13</v>
      </c>
      <c r="GQ204" s="28"/>
      <c r="GR204" s="28" t="s">
        <v>869</v>
      </c>
      <c r="GS204" s="22" t="str">
        <f t="shared" si="726"/>
        <v/>
      </c>
      <c r="GT204" s="22">
        <v>44999</v>
      </c>
      <c r="GU204" s="29" t="str">
        <f t="shared" si="865"/>
        <v>CORREGIR FECHA RESULTADO</v>
      </c>
      <c r="GV204" s="21" t="str">
        <f t="shared" si="866"/>
        <v>POR DEFINIR</v>
      </c>
      <c r="GW204" s="28"/>
      <c r="GX204" s="30"/>
      <c r="GY204" s="21"/>
      <c r="GZ204" s="21"/>
      <c r="HA204" s="21"/>
      <c r="HB204" s="21"/>
      <c r="HC204" s="21"/>
      <c r="HD204" s="21"/>
      <c r="HE204" s="21"/>
      <c r="HF204" s="22"/>
      <c r="HG204" s="22" t="str">
        <f>IF(OR(O204&gt;0,R204&gt;0),CONCATENATE(IF(Tabla1[[#This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4" s="22" t="e">
        <f t="shared" si="867"/>
        <v>#REF!</v>
      </c>
      <c r="HI204" s="22" t="str">
        <f t="shared" si="868"/>
        <v>ALTO RIESGO</v>
      </c>
      <c r="HJ204" s="21"/>
      <c r="HK204" s="21" t="str">
        <f t="shared" si="869"/>
        <v>RIESGO MODERADO (2 O MAS CRITERIOS) VER MANEJO GUIA SUMINISTRO ASA Y CALCIO</v>
      </c>
      <c r="HL204" s="24" t="str">
        <f t="shared" si="870"/>
        <v>APARENTEMENTE NORMAL</v>
      </c>
      <c r="HM204" s="21" t="e">
        <f t="shared" ca="1" si="871"/>
        <v>#REF!</v>
      </c>
      <c r="HN204" s="30" t="str">
        <f t="shared" ref="HN204:HN248" si="924">IF(AND(R204&lt;&gt;"",IK204="CAMBIO DE RESIDENCIA"),"SEGUIMIENTO REPORTE EPS",IF(AND(R204&lt;&gt;"",OR(IK204&lt;&gt;"",IN204&lt;&gt;"")),"SALIO PROGRAMA",IF(AND(AND(R204="",O204&gt;0),OR(IK204&lt;&gt;"",IN204&lt;&gt;"")),"SALE SIN INGRESO CPN",IF(AND(R204="",O204&gt;0,IK204="",IN204=""),"ACTIVA SIN INGRESO CPN",IF(AND(R204&lt;&gt;"",OR(IK204="",IN204="")),"ACTIVA INGRESO A CPN","")))))</f>
        <v>ACTIVA INGRESO A CPN</v>
      </c>
      <c r="HO204" s="21"/>
      <c r="HP204" s="21"/>
      <c r="HQ204" s="349"/>
      <c r="HR204" s="21" t="str">
        <f ca="1">IF(R204="","",IF(Tabla1[[#This Row],[ALARMA FACTORES DE RIESGO COMPLICACIONES HIPERTENSIVAS3]]="SIN ANTECEDENTES DE RIESGO","No Aplica para suministro de ASA",IF(AND(Tabla1[[#This Row],[FECHA INICIO DE SUMINISTRO DE ASA]]&gt;0,RV204&lt;12),"Inicia ASA ANTES de Sem 12",IF(AND(RV204&gt;11,RV204&lt;17,OR(HK204="RIESGO ALTO DE COMPLICACIONES HIPERTENSIVAS VER MANEJO GUIA SUMINISTRO ASA Y CALCIO",HK204="RIESGO MODERADO (2 O MAS CRITERIOS) VER MANEJO GUIA SUMINISTRO ASA Y CALCIO")),"Inicio oportuno de ASA",IF(AND(RV204&gt;12,OR(HK204="RIESGO ALTO DE COMPLICACIONES HIPERTENSIVAS VER MANEJO GUIA SUMINISTRO ASA Y CALCIO",HK204="RIESGO MODERADO (2 O MAS CRITERIOS) VER MANEJO GUIA SUMINISTRO ASA Y CALCIO")),"Inicio no oportuno mayor a 16 semanas",IF(AND(BU204&lt;12,OR(HK204="RIESGO ALTO DE COMPLICACIONES HIPERTENSIVAS VER MANEJO GUIA SUMINISTRO ASA Y CALCIO",HK204="RIESGO MODERADO (2 O MAS CRITERIOS) VER MANEJO GUIA SUMINISTRO ASA Y CALCIO")),"Pendiente Inicio de ASA a la semana 12",IF(AND(BU204&gt;11,BU204&lt;17,OR(HK204="RIESGO ALTO DE COMPLICACIONES HIPERTENSIVAS VER MANEJO GUIA SUMINISTRO ASA Y CALCIO",HK204="RIESGO MODERADO (2 O MAS CRITERIOS) VER MANEJO GUIA SUMINISTRO ASA Y CALCIO")),"Iniciar de inmediato ASA",IF(AND(BU204&gt;16,OR(HK204="RIESGO ALTO DE COMPLICACIONES HIPERTENSIVAS VER MANEJO GUIA SUMINISTRO ASA Y CALCIO",HK204="RIESGO MODERADO (2 O MAS CRITERIOS) VER MANEJO GUIA SUMINISTRO ASA Y CALCIO")),"Pierde Oportunidad, Inicio tardío de ASA","XXXXX"))))))))</f>
        <v>Pierde Oportunidad, Inicio tardío de ASA</v>
      </c>
      <c r="HS204" s="22">
        <v>45118</v>
      </c>
      <c r="HT204" s="22" t="s">
        <v>1518</v>
      </c>
      <c r="HU204" s="22">
        <v>45118</v>
      </c>
      <c r="HV204" s="22" t="s">
        <v>1544</v>
      </c>
      <c r="HW204" s="22">
        <v>45118</v>
      </c>
      <c r="HX204" s="22" t="s">
        <v>1511</v>
      </c>
      <c r="HY204" s="22">
        <v>45120</v>
      </c>
      <c r="HZ204" s="28">
        <f t="shared" si="872"/>
        <v>12.857142857142858</v>
      </c>
      <c r="IA204" s="26"/>
      <c r="IB204" s="26"/>
      <c r="IC204" s="111"/>
      <c r="ID204" s="22"/>
      <c r="IE204" s="22" t="str">
        <f t="shared" ca="1" si="873"/>
        <v>INASISTENTE</v>
      </c>
      <c r="IF204" s="22"/>
      <c r="IG204" s="22">
        <f t="shared" si="874"/>
        <v>45310</v>
      </c>
      <c r="IH204" s="29">
        <f t="shared" ca="1" si="875"/>
        <v>77</v>
      </c>
      <c r="II204" s="22" t="str">
        <f t="shared" ca="1" si="876"/>
        <v>PENDIENTE</v>
      </c>
      <c r="IJ204" s="22"/>
      <c r="IK204" s="21"/>
      <c r="IL204" s="21"/>
      <c r="IM204" s="34"/>
      <c r="IN204" s="22"/>
      <c r="IO204" s="21"/>
      <c r="IP204" s="29" t="str">
        <f t="shared" si="877"/>
        <v/>
      </c>
      <c r="IQ204" s="35"/>
      <c r="IR204" s="21"/>
      <c r="IS204" s="21"/>
      <c r="IT204" s="21"/>
      <c r="IU204" s="21"/>
      <c r="IV204" s="21"/>
      <c r="IW204" s="21"/>
      <c r="IX204" s="21"/>
      <c r="IY204" s="21"/>
      <c r="IZ204" s="21"/>
      <c r="JA204" s="21"/>
      <c r="JB204" s="30"/>
      <c r="JC204" s="21"/>
      <c r="JD204" s="36"/>
      <c r="JE204" s="21" t="str">
        <f t="shared" si="878"/>
        <v/>
      </c>
      <c r="JF204" s="30"/>
      <c r="JG204" s="21"/>
      <c r="JH204" s="21"/>
      <c r="JI204" s="21"/>
      <c r="JJ204" s="30"/>
      <c r="JK204" s="22"/>
      <c r="JL204" s="22"/>
      <c r="JM204" s="21"/>
      <c r="JN204" s="36"/>
      <c r="JO204" s="21" t="str">
        <f t="shared" si="879"/>
        <v/>
      </c>
      <c r="JP204" s="22"/>
      <c r="JQ204" s="21"/>
      <c r="JR204" s="21"/>
      <c r="JS204" s="21"/>
      <c r="JT204" s="30"/>
      <c r="JU204" s="22"/>
      <c r="JV204" s="22"/>
      <c r="JW204" s="33"/>
      <c r="JX204" s="28" t="str">
        <f t="shared" si="880"/>
        <v/>
      </c>
      <c r="JY204" s="33"/>
      <c r="JZ204" s="28" t="str">
        <f t="shared" si="881"/>
        <v/>
      </c>
      <c r="KA204" s="21"/>
      <c r="KB204" s="21"/>
      <c r="KC204" s="21"/>
      <c r="KD204" s="37"/>
      <c r="KE204" s="28"/>
      <c r="KF204" s="28"/>
      <c r="KG204" s="28"/>
      <c r="KH204" s="39"/>
      <c r="KI204" s="39"/>
      <c r="KJ204" s="66"/>
      <c r="KK204" s="39"/>
      <c r="KL204" s="39"/>
      <c r="KM204" s="66"/>
      <c r="KN204" s="39"/>
      <c r="KO204" s="39"/>
      <c r="KP204" s="39"/>
      <c r="KQ204" s="39"/>
      <c r="KR204" s="39"/>
      <c r="KS204" s="39"/>
      <c r="KT204" s="39"/>
      <c r="KU204" s="38"/>
      <c r="KV204" s="38"/>
      <c r="KW204" s="38"/>
      <c r="KX204" s="38"/>
      <c r="KY204" s="38"/>
      <c r="KZ204" s="38"/>
      <c r="LA204" s="38"/>
      <c r="LB204" s="38"/>
      <c r="LC204" s="38"/>
      <c r="LD204" s="38"/>
      <c r="LE204" s="38"/>
      <c r="LF204" s="38"/>
      <c r="LG204" s="38"/>
      <c r="LH204" s="38"/>
      <c r="LI204" s="38"/>
      <c r="LJ204" s="38"/>
      <c r="LK204" s="38"/>
      <c r="LL204" s="38"/>
      <c r="LM204" s="38"/>
      <c r="LN204" s="38"/>
      <c r="LO204" s="38"/>
      <c r="LP204" s="38"/>
      <c r="LQ204" s="38"/>
      <c r="LR204" s="38"/>
      <c r="LS204" s="38"/>
      <c r="LT204" s="38"/>
      <c r="LU204" s="38"/>
      <c r="LV204" s="38"/>
      <c r="LW204" s="38"/>
      <c r="LX204" s="38"/>
      <c r="LY204" s="38"/>
      <c r="LZ204" s="38"/>
      <c r="MA204" s="38"/>
      <c r="MB204" s="38"/>
      <c r="MC204" s="38"/>
      <c r="MD204" s="38"/>
      <c r="ME204" s="38"/>
      <c r="MF204" s="38"/>
      <c r="MG204" s="38"/>
      <c r="MH204" s="43">
        <f t="shared" si="882"/>
        <v>0</v>
      </c>
      <c r="MI204" s="43" t="str">
        <f t="shared" si="883"/>
        <v/>
      </c>
      <c r="MJ204" s="43" t="str">
        <f t="shared" si="884"/>
        <v/>
      </c>
      <c r="MK204" s="43">
        <f t="shared" si="885"/>
        <v>0</v>
      </c>
      <c r="ML20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4" s="43">
        <f t="shared" si="886"/>
        <v>12.571428571428571</v>
      </c>
      <c r="MN204" s="43">
        <f t="shared" si="887"/>
        <v>7</v>
      </c>
      <c r="MO204" s="43">
        <f t="shared" si="888"/>
        <v>2023</v>
      </c>
      <c r="MP204" s="43" t="str">
        <f t="shared" si="889"/>
        <v>III TRIMESTRE AÑO</v>
      </c>
      <c r="MQ204" s="43">
        <f t="shared" si="890"/>
        <v>43.733574244415244</v>
      </c>
      <c r="MR204" s="43">
        <f t="shared" si="891"/>
        <v>2</v>
      </c>
      <c r="MS204" s="43" t="str">
        <f t="shared" si="892"/>
        <v xml:space="preserve"> DE 40 Y MAS</v>
      </c>
      <c r="MT204" s="43">
        <f t="shared" si="893"/>
        <v>0</v>
      </c>
      <c r="MU204" s="43">
        <f t="shared" si="894"/>
        <v>0</v>
      </c>
      <c r="MV204" s="43">
        <f t="shared" si="895"/>
        <v>0</v>
      </c>
      <c r="MW204" s="43">
        <f t="shared" si="896"/>
        <v>0</v>
      </c>
      <c r="MX204" s="43" t="str">
        <f t="shared" si="897"/>
        <v/>
      </c>
      <c r="MY204" s="43" t="str">
        <f t="shared" ca="1" si="898"/>
        <v/>
      </c>
      <c r="MZ204" s="43" t="str">
        <f t="shared" si="899"/>
        <v/>
      </c>
      <c r="NA204" s="43" t="str">
        <f t="shared" si="900"/>
        <v/>
      </c>
      <c r="NB204" s="43" t="str">
        <f t="shared" si="901"/>
        <v/>
      </c>
      <c r="NC204" s="43" t="str">
        <f t="shared" si="902"/>
        <v/>
      </c>
      <c r="ND204" s="43">
        <f t="shared" ca="1" si="903"/>
        <v>2</v>
      </c>
      <c r="NE204" s="43">
        <f>IF(OR(O204&gt;0,R204&gt;0),SUM(COUNTIF(Tabla1[[#This Row],[AÑOS AL INICIO5 CPN]],"&gt;=40"),COUNTIF(AS204,"0"),COUNTIF(AR204,"SI"),COUNTIF(CC204,"SI"),COUNTIF(BQ204,"&gt;119"),COUNTIF(CI204,"&gt;=35")),"")</f>
        <v>2</v>
      </c>
      <c r="NF204" s="43" t="str">
        <f t="shared" si="904"/>
        <v/>
      </c>
      <c r="NG204" s="43">
        <f t="shared" si="905"/>
        <v>0</v>
      </c>
      <c r="NH204" s="43">
        <f t="shared" si="906"/>
        <v>91</v>
      </c>
      <c r="NI20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CPN",P204="NO"),"Z",IF(AND(Tabla1[[#This Row],[CITA PROXIMO CONTROL]]="CITA MANUAL",Tabla1[[#This Row],[GESTANTES ACTUALES]]="ACTIVA INGRESO A CPN"),"W",IF(AND(Tabla1[[#This Row],[GESTANTES ACTUALES]]="SALIO PROGRAMA",IN204=""),"S",IF(AND(Tabla1[[#This Row],[CITA PROXIMO CONTROL]]&gt;0,IN204=""),(Tabla1[[#This Row],[CITA PROXIMO CONTROL]]-TODAY()),"SD"))))))))</f>
        <v>#REF!</v>
      </c>
      <c r="NJ204" s="43">
        <f>MONTH(Tabla1[[#This Row],[FECHA DE SALIDA  DEL PROGRAMA]])</f>
        <v>1</v>
      </c>
      <c r="NK204" s="43">
        <f>YEAR(Tabla1[[#This Row],[FECHA DE SALIDA  DEL PROGRAMA]])</f>
        <v>1900</v>
      </c>
      <c r="NL204" s="43" t="str">
        <f t="shared" si="907"/>
        <v>X</v>
      </c>
      <c r="NM204" s="43" t="str">
        <f t="shared" si="908"/>
        <v>NO</v>
      </c>
      <c r="NN204" s="43" t="str">
        <f ca="1">IF(AND(O204&gt;0,R204=""),"NO CPN",IF(AND(O204="",R204=""),"",IF(AND(R204&gt;0,Tabla1[[#This Row],[SEMANAS DE GESTACION ACTUALIZADAS]]&lt;=12),"NO APLICA",IF(AND(FH204&lt;&gt;"",FN204&lt;&gt;""),"SI","NO"))))</f>
        <v>NO</v>
      </c>
      <c r="NO204" s="43" t="str">
        <f ca="1">IF(AND(O204&gt;0,R204=""),"NO CPN",IF(AND(O204="",R204=""),"",IF(AND(R204&gt;0,Tabla1[[#This Row],[SEMANAS DE GESTACION ACTUALIZADAS]]&lt;=27),"NO APLICA",IF(AND(ES204&lt;&gt;"",FQ204&lt;&gt;"",GF204&lt;&gt;""),"SI","NO"))))</f>
        <v>NO</v>
      </c>
      <c r="NP204" s="204" t="str">
        <f t="shared" si="909"/>
        <v>II TRIM</v>
      </c>
      <c r="NQ204" s="21" t="str">
        <f>IF(AND(IP205&gt;0,IP205&lt;37),10,IF(OR(CD205="Transversa",CD205="Oblicua"),9,IF(CC205="SI",8,IF(AND(AT205=0,AW205=0,CC205="NO",CD205="Cefálica",IP205&gt;=37,IT205="INICIO ESPONTÁNEO"),1,IF(AND(AND(AT205=0,AW205=0,CC205="NO",CD205="Cefálica",IP205&gt;=37),OR(IT205="LE HACEN INDUCCIÓN",IT205="LE HACEN CESÁREA SIN INICIO TRABAJO DE PARTO")),2,IF(AND(AT205&gt;=1,AW205=0,CC205="NO",CD205="Cefálica",IP205&gt;=37,IT205="INICIO ESPONTÁNEO"),3,IF(AND(AND(AT205&gt;=1,AW205=0,CC205="NO",CD205="Cefálica",IP205&gt;=37),OR(IT205="LE HACEN INDUCCIÓN",IT205="LE HACEN CESÁREA SIN INICIO TRABAJO DE PARTO")),4,IF(AND(AND(AT205&gt;=1,AW205&gt;=1,CC205="NO",CD205="Cefálica",IP205&gt;=37),OR(IT205="LE HACEN INDUCCIÓN",IT205="LE HACEN CESÁREA SIN INICIO TRABAJO DE PARTO",IT205="INICIO ESPONTÁNEO")),5,IF(AND(AND(AT205=0,AW205=0,CC205="NO",CD205="Podálica",IP205&gt;=1),OR(IT205="LE HACEN INDUCCIÓN",IT205="LE HACEN CESÁREA SIN INICIO TRABAJO DE PARTO",IT205="INICIO ESPONTÁNEO")),6,IF(AND(AND(AT205&gt;=1,CC205="NO",CD205="Podálica",IP205&gt;=1),OR(IT205="LE HACEN INDUCCIÓN",IT205="LE HACEN CESÁREA SIN INICIO TRABAJO DE PARTO",IT205="INICIO ESPONTÁNEO"),OR(AW205=0,AW205&gt;=1)),7,""))))))))))</f>
        <v/>
      </c>
      <c r="NR204" s="21">
        <f t="shared" ca="1" si="910"/>
        <v>2</v>
      </c>
      <c r="NS204" s="205">
        <f t="shared" ca="1" si="911"/>
        <v>1</v>
      </c>
      <c r="NT204" s="21">
        <f t="shared" ca="1" si="912"/>
        <v>1</v>
      </c>
      <c r="NU204" s="21" t="str">
        <f t="shared" ca="1" si="913"/>
        <v>INCOMPLETO</v>
      </c>
      <c r="NV204" s="21" t="str">
        <f t="shared" ca="1" si="914"/>
        <v>INCOMPLETO</v>
      </c>
      <c r="NW204" s="206" t="str">
        <f>IF(AND(O204="",R204=""),"",IF(OR(AND(Tabla1[[#This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4" s="207" t="str">
        <f t="shared" ca="1" si="915"/>
        <v>SIN VACUNAR</v>
      </c>
      <c r="NY204" s="43">
        <f>ROW(Tabla1[[#This Row],['# DE TAMIZAJES SIFILIS TOMADOS ]])</f>
        <v>204</v>
      </c>
      <c r="NZ204" s="43">
        <f t="shared" si="738"/>
        <v>12</v>
      </c>
      <c r="OA204" s="43" t="str">
        <f t="shared" si="739"/>
        <v/>
      </c>
      <c r="OB204" s="43" t="str">
        <f t="shared" si="740"/>
        <v/>
      </c>
      <c r="OC204" s="43" t="str">
        <f t="shared" si="741"/>
        <v/>
      </c>
      <c r="OD204" s="43" t="str">
        <f t="shared" si="742"/>
        <v>NORMAL</v>
      </c>
      <c r="OE204" s="43" t="str">
        <f t="shared" si="743"/>
        <v/>
      </c>
      <c r="OF204" s="43" t="str">
        <f t="shared" si="744"/>
        <v/>
      </c>
      <c r="OG204" s="43" t="str">
        <f t="shared" si="745"/>
        <v/>
      </c>
      <c r="OH204" s="43" t="str">
        <f t="shared" si="746"/>
        <v/>
      </c>
      <c r="OI204" s="43" t="str">
        <f t="shared" si="747"/>
        <v/>
      </c>
      <c r="OJ204" s="43" t="str">
        <f t="shared" si="748"/>
        <v/>
      </c>
      <c r="OK204" s="43" t="str">
        <f t="shared" si="749"/>
        <v/>
      </c>
      <c r="OL204" s="43" t="str">
        <f t="shared" si="750"/>
        <v/>
      </c>
      <c r="OM204" s="43" t="str">
        <f t="shared" si="751"/>
        <v/>
      </c>
      <c r="ON204" s="43" t="str">
        <f t="shared" si="752"/>
        <v/>
      </c>
      <c r="OO204" s="43" t="str">
        <f t="shared" si="753"/>
        <v/>
      </c>
      <c r="OP204" s="43" t="str">
        <f t="shared" si="754"/>
        <v/>
      </c>
      <c r="OQ204" s="43" t="str">
        <f t="shared" si="755"/>
        <v/>
      </c>
      <c r="OR204" s="43" t="str">
        <f t="shared" si="756"/>
        <v/>
      </c>
      <c r="OS204" s="43" t="str">
        <f t="shared" si="757"/>
        <v/>
      </c>
      <c r="OT204" s="43" t="str">
        <f t="shared" si="758"/>
        <v/>
      </c>
      <c r="OU204" s="43" t="str">
        <f t="shared" si="759"/>
        <v/>
      </c>
      <c r="OV204" s="110" t="str">
        <f t="shared" si="760"/>
        <v/>
      </c>
      <c r="OW204" s="43" t="str">
        <f t="shared" si="761"/>
        <v/>
      </c>
      <c r="OX204" s="43" t="str">
        <f t="shared" si="762"/>
        <v/>
      </c>
      <c r="OY204" s="43" t="str">
        <f t="shared" si="763"/>
        <v/>
      </c>
      <c r="OZ204" s="43" t="str">
        <f t="shared" si="764"/>
        <v/>
      </c>
      <c r="PA204" s="43" t="str">
        <f t="shared" si="765"/>
        <v/>
      </c>
      <c r="PB204" s="43" t="str">
        <f t="shared" si="766"/>
        <v/>
      </c>
      <c r="PC204" s="43" t="str">
        <f t="shared" si="767"/>
        <v/>
      </c>
      <c r="PD204" s="43" t="str">
        <f t="shared" si="768"/>
        <v/>
      </c>
      <c r="PE204" s="43" t="str">
        <f t="shared" si="769"/>
        <v/>
      </c>
      <c r="PF204" s="43" t="str">
        <f t="shared" si="770"/>
        <v/>
      </c>
      <c r="PG204" s="43" t="str">
        <f t="shared" si="771"/>
        <v/>
      </c>
      <c r="PH204" s="43" t="str">
        <f t="shared" si="772"/>
        <v/>
      </c>
      <c r="PI204" s="43">
        <f t="shared" si="773"/>
        <v>12</v>
      </c>
      <c r="PJ204" s="43" t="str">
        <f t="shared" si="774"/>
        <v/>
      </c>
      <c r="PK204" s="43" t="str">
        <f t="shared" si="775"/>
        <v/>
      </c>
      <c r="PL204" s="43" t="str">
        <f t="shared" si="776"/>
        <v/>
      </c>
      <c r="PM204" s="43" t="str">
        <f t="shared" si="777"/>
        <v>NORMAL</v>
      </c>
      <c r="PN204" s="43" t="str">
        <f t="shared" si="778"/>
        <v/>
      </c>
      <c r="PO204" s="43" t="str">
        <f t="shared" si="779"/>
        <v/>
      </c>
      <c r="PP204" s="43" t="str">
        <f t="shared" si="780"/>
        <v/>
      </c>
      <c r="PQ204" s="43" t="str">
        <f t="shared" si="781"/>
        <v/>
      </c>
      <c r="PR204" s="43" t="str">
        <f t="shared" si="782"/>
        <v/>
      </c>
      <c r="PS204" s="43" t="str">
        <f t="shared" si="783"/>
        <v/>
      </c>
      <c r="PT204" s="43" t="str">
        <f t="shared" si="784"/>
        <v/>
      </c>
      <c r="PU204" s="43" t="str">
        <f t="shared" si="785"/>
        <v/>
      </c>
      <c r="PV204" s="43" t="str">
        <f t="shared" si="786"/>
        <v/>
      </c>
      <c r="PW204" s="43" t="str">
        <f t="shared" si="787"/>
        <v/>
      </c>
      <c r="PX204" s="43" t="str">
        <f t="shared" si="788"/>
        <v/>
      </c>
      <c r="PY204" s="43" t="str">
        <f t="shared" si="789"/>
        <v/>
      </c>
      <c r="PZ204" s="43" t="str">
        <f t="shared" si="790"/>
        <v/>
      </c>
      <c r="QA204" s="43" t="str">
        <f t="shared" si="791"/>
        <v/>
      </c>
      <c r="QB204" s="43" t="str">
        <f t="shared" si="792"/>
        <v/>
      </c>
      <c r="QC204" s="43" t="str">
        <f t="shared" si="793"/>
        <v/>
      </c>
      <c r="QD204" s="43" t="str">
        <f t="shared" si="794"/>
        <v/>
      </c>
      <c r="QE204" s="43" t="str">
        <f t="shared" si="795"/>
        <v/>
      </c>
      <c r="QF204" s="43" t="str">
        <f t="shared" si="796"/>
        <v/>
      </c>
      <c r="QG204" s="43" t="str">
        <f t="shared" si="797"/>
        <v/>
      </c>
      <c r="QH204" s="43" t="str">
        <f t="shared" si="798"/>
        <v/>
      </c>
      <c r="QI204" s="43" t="str">
        <f t="shared" si="799"/>
        <v/>
      </c>
      <c r="QJ204" s="43" t="str">
        <f t="shared" si="800"/>
        <v/>
      </c>
      <c r="QK204" s="43" t="str">
        <f t="shared" si="801"/>
        <v/>
      </c>
      <c r="QL204" s="43" t="str">
        <f t="shared" si="802"/>
        <v/>
      </c>
      <c r="QM204" s="43" t="str">
        <f t="shared" si="803"/>
        <v/>
      </c>
      <c r="QN204" s="43" t="str">
        <f t="shared" si="804"/>
        <v/>
      </c>
      <c r="QO204" s="43" t="str">
        <f t="shared" si="805"/>
        <v/>
      </c>
      <c r="QP204" s="43" t="str">
        <f t="shared" si="806"/>
        <v/>
      </c>
      <c r="QQ204" s="43" t="str">
        <f t="shared" si="807"/>
        <v/>
      </c>
      <c r="QR204" s="43" t="str">
        <f t="shared" si="837"/>
        <v>Menor</v>
      </c>
      <c r="QS204" s="43"/>
      <c r="QT204" s="21" t="str">
        <f t="shared" si="808"/>
        <v/>
      </c>
      <c r="QU204" s="21" t="str">
        <f t="shared" si="809"/>
        <v/>
      </c>
      <c r="QV204" s="21" t="str">
        <f t="shared" si="810"/>
        <v/>
      </c>
      <c r="QW204" s="21" t="str">
        <f t="shared" si="811"/>
        <v/>
      </c>
      <c r="QX204" s="21" t="str">
        <f t="shared" si="812"/>
        <v/>
      </c>
      <c r="QY204" s="21" t="str">
        <f t="shared" si="813"/>
        <v/>
      </c>
      <c r="QZ204" s="21" t="str">
        <f t="shared" si="814"/>
        <v/>
      </c>
      <c r="RA204" s="21" t="str">
        <f t="shared" si="815"/>
        <v/>
      </c>
      <c r="RB204" s="21" t="str">
        <f t="shared" si="816"/>
        <v/>
      </c>
      <c r="RC204" s="21" t="str">
        <f t="shared" si="817"/>
        <v/>
      </c>
      <c r="RD204" s="21" t="str">
        <f t="shared" si="818"/>
        <v/>
      </c>
      <c r="RE204" s="21" t="str">
        <f t="shared" si="819"/>
        <v/>
      </c>
      <c r="RF204" s="21" t="str">
        <f t="shared" si="820"/>
        <v/>
      </c>
      <c r="RG204" s="21" t="str">
        <f t="shared" si="821"/>
        <v/>
      </c>
      <c r="RH204" s="21" t="str">
        <f t="shared" si="822"/>
        <v/>
      </c>
      <c r="RI204" s="21" t="str">
        <f t="shared" si="823"/>
        <v/>
      </c>
      <c r="RJ204" s="21" t="str">
        <f t="shared" si="824"/>
        <v/>
      </c>
      <c r="RK204" s="21" t="str">
        <f t="shared" si="825"/>
        <v/>
      </c>
      <c r="RL204" s="21" t="str">
        <f t="shared" si="826"/>
        <v/>
      </c>
      <c r="RM204" s="21" t="str">
        <f t="shared" si="827"/>
        <v/>
      </c>
      <c r="RN204" s="21" t="str">
        <f t="shared" si="828"/>
        <v/>
      </c>
      <c r="RO204" s="21" t="str">
        <f t="shared" si="829"/>
        <v/>
      </c>
      <c r="RP204" s="21" t="str">
        <f t="shared" si="830"/>
        <v/>
      </c>
      <c r="RQ204" s="21" t="str">
        <f t="shared" si="831"/>
        <v/>
      </c>
      <c r="RR204" s="21" t="str">
        <f t="shared" si="832"/>
        <v/>
      </c>
      <c r="RS204" s="21" t="str">
        <f t="shared" si="833"/>
        <v/>
      </c>
      <c r="RT204" s="21" t="str">
        <f t="shared" si="834"/>
        <v/>
      </c>
      <c r="RU204" s="21" t="str">
        <f t="shared" si="835"/>
        <v/>
      </c>
      <c r="RV204" s="21">
        <f t="shared" si="836"/>
        <v>-1</v>
      </c>
      <c r="RW204" s="284">
        <f>IF(OR(Tabla1[[#This Row],[FUM FORMULA CONFIABLE]]="",Tabla1[[#This Row],[FUM FORMULA CONFIABLE]]="SD"),"",IF(Tabla1[[#This Row],[FUM FORMULA CONFIABLE]]="CORREGIDA",Tabla1[[#This Row],[FUM X ECO 1]],Tabla1[[#This Row],[FUM x AMENORREA]]))</f>
        <v>45030</v>
      </c>
      <c r="RX204" s="21">
        <f>IF(AND(Tabla1[[#This Row],[FUM X ECO 1]]="",Tabla1[[#This Row],[FUM x AMENORREA]]=""),"",IF(AND(Tabla1[[#This Row],[FUM X ECO 1]]="",Tabla1[[#This Row],[FUM x AMENORREA]]&lt;&gt;""),"X",SUM(Tabla1[[#This Row],[FUM X ECO 1]]-Tabla1[[#This Row],[FUM x AMENORREA]])))</f>
        <v>0</v>
      </c>
      <c r="RY204" s="21">
        <f t="shared" si="838"/>
        <v>0</v>
      </c>
    </row>
    <row r="205" spans="1:493" ht="45" customHeight="1" x14ac:dyDescent="0.25">
      <c r="A205" s="109"/>
      <c r="B205" s="43"/>
      <c r="C205" s="43" t="s">
        <v>845</v>
      </c>
      <c r="D205" s="124"/>
      <c r="E205" s="43" t="s">
        <v>848</v>
      </c>
      <c r="F205" s="43" t="s">
        <v>943</v>
      </c>
      <c r="G205" s="43" t="s">
        <v>1565</v>
      </c>
      <c r="H205" s="43"/>
      <c r="I205" s="109" t="s">
        <v>851</v>
      </c>
      <c r="J205" s="110">
        <v>1059606933</v>
      </c>
      <c r="K205" s="43" t="s">
        <v>852</v>
      </c>
      <c r="L205" s="175" t="s">
        <v>1509</v>
      </c>
      <c r="M205" s="22">
        <v>36102</v>
      </c>
      <c r="N205" s="213">
        <f t="shared" ca="1" si="839"/>
        <v>25.016438356164382</v>
      </c>
      <c r="O205" s="22">
        <v>44992</v>
      </c>
      <c r="P205" s="214" t="str">
        <f t="shared" si="916"/>
        <v>SI</v>
      </c>
      <c r="Q205" s="26" t="s">
        <v>855</v>
      </c>
      <c r="R205" s="22">
        <v>44992</v>
      </c>
      <c r="S205" s="21" t="s">
        <v>856</v>
      </c>
      <c r="T205" s="24" t="s">
        <v>690</v>
      </c>
      <c r="U205" s="21" t="s">
        <v>857</v>
      </c>
      <c r="V205" s="21" t="s">
        <v>858</v>
      </c>
      <c r="W205" s="21" t="s">
        <v>1062</v>
      </c>
      <c r="X205" s="21"/>
      <c r="Y205" s="21" t="s">
        <v>955</v>
      </c>
      <c r="Z205" s="21" t="s">
        <v>894</v>
      </c>
      <c r="AA205" s="21" t="s">
        <v>860</v>
      </c>
      <c r="AB205" s="27" t="s">
        <v>861</v>
      </c>
      <c r="AC205" s="26" t="s">
        <v>862</v>
      </c>
      <c r="AD205" s="38" t="s">
        <v>1546</v>
      </c>
      <c r="AE205" s="26" t="s">
        <v>854</v>
      </c>
      <c r="AF205" s="26" t="s">
        <v>854</v>
      </c>
      <c r="AG205" s="23" t="s">
        <v>864</v>
      </c>
      <c r="AH205" s="23" t="s">
        <v>864</v>
      </c>
      <c r="AI205" s="24" t="s">
        <v>863</v>
      </c>
      <c r="AJ205" s="23" t="s">
        <v>864</v>
      </c>
      <c r="AK205" s="220" t="str">
        <f>IF(AND(AD205="",AE205="",AF205="",AG205="",AH205="",AI205="",AJ205=""),"",IF(OR(Tabla1[[#This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EVALUACIÓN",IF(AND(O205="",R205=""),"",IF(AND(OR(O205&gt;0,R205&gt;0),NG205&gt;=0,NG205&lt;2),"SIN RIESGO",IF(AND(OR(O205&gt;0,R205&gt;0),NG205&gt;=2),"CON RIESGO","ASD")))))</f>
        <v>SIN RIESGO</v>
      </c>
      <c r="AL205" s="23" t="s">
        <v>864</v>
      </c>
      <c r="AM205" s="26" t="s">
        <v>864</v>
      </c>
      <c r="AN205" s="26" t="s">
        <v>864</v>
      </c>
      <c r="AO205" s="26" t="s">
        <v>864</v>
      </c>
      <c r="AP205" s="26" t="s">
        <v>864</v>
      </c>
      <c r="AQ205" s="26" t="s">
        <v>864</v>
      </c>
      <c r="AR205" s="26" t="s">
        <v>864</v>
      </c>
      <c r="AS205" s="21">
        <v>2</v>
      </c>
      <c r="AT205" s="21">
        <v>1</v>
      </c>
      <c r="AU205" s="21">
        <v>0</v>
      </c>
      <c r="AV205" s="26" t="s">
        <v>864</v>
      </c>
      <c r="AW205" s="21">
        <v>1</v>
      </c>
      <c r="AX205" s="26" t="s">
        <v>864</v>
      </c>
      <c r="AY205" s="26" t="s">
        <v>864</v>
      </c>
      <c r="AZ205" s="26" t="s">
        <v>864</v>
      </c>
      <c r="BA205" s="26" t="s">
        <v>864</v>
      </c>
      <c r="BB205" s="26" t="s">
        <v>864</v>
      </c>
      <c r="BC205" s="26" t="s">
        <v>864</v>
      </c>
      <c r="BD205" s="26" t="s">
        <v>864</v>
      </c>
      <c r="BE205" s="26" t="s">
        <v>864</v>
      </c>
      <c r="BF205" s="26" t="s">
        <v>864</v>
      </c>
      <c r="BG205" s="26" t="s">
        <v>864</v>
      </c>
      <c r="BH205" s="26" t="s">
        <v>864</v>
      </c>
      <c r="BI205" s="26" t="s">
        <v>864</v>
      </c>
      <c r="BJ205" s="26" t="s">
        <v>864</v>
      </c>
      <c r="BK205" s="26" t="s">
        <v>864</v>
      </c>
      <c r="BL205" s="26" t="s">
        <v>864</v>
      </c>
      <c r="BM205" s="26" t="s">
        <v>864</v>
      </c>
      <c r="BN205" s="22">
        <v>44512</v>
      </c>
      <c r="BO205" s="22">
        <v>44868</v>
      </c>
      <c r="BP205" s="21" t="s">
        <v>1380</v>
      </c>
      <c r="BQ205" s="222">
        <f t="shared" si="840"/>
        <v>12.576666666666764</v>
      </c>
      <c r="BR205" s="223">
        <f t="shared" si="841"/>
        <v>44889.3</v>
      </c>
      <c r="BS205" s="224">
        <f t="shared" si="842"/>
        <v>14.671428571428155</v>
      </c>
      <c r="BT205" s="294" t="str">
        <f t="shared" si="843"/>
        <v>II TRIM</v>
      </c>
      <c r="BU205" s="214"/>
      <c r="BV205" s="25" t="s">
        <v>988</v>
      </c>
      <c r="BW205" s="22">
        <v>45121</v>
      </c>
      <c r="BX205" s="28">
        <v>33.1</v>
      </c>
      <c r="BY205" s="28"/>
      <c r="BZ205" s="22"/>
      <c r="CA205" s="21"/>
      <c r="CB205" s="26" t="s">
        <v>864</v>
      </c>
      <c r="CC205" s="26" t="s">
        <v>864</v>
      </c>
      <c r="CD205" s="26"/>
      <c r="CE205" s="26" t="s">
        <v>864</v>
      </c>
      <c r="CF205" s="22" t="s">
        <v>1517</v>
      </c>
      <c r="CG205" s="21">
        <v>1.49</v>
      </c>
      <c r="CH205" s="21">
        <v>54</v>
      </c>
      <c r="CI205" s="214">
        <f t="shared" si="845"/>
        <v>24.323228683392639</v>
      </c>
      <c r="CJ205" s="225" t="e">
        <f>IF(AND(CI205&lt;10,CH205="SD"),"SIN DATO PESO PREGESTACION O I TRIM",IF(AND(OR(R205&gt;0,O205&gt;0),CI205="X"),"INGRESAR DATO DE PESO",IF(CI205="SD","INGRESAR DATO DE TALLA Y PESO",IF(AND(OR(Tabla1[[#This Row],[MOMENTO EN QUE SE REALIZA EL PESO AL INGRESO A CPN]]="PREGESTACIÓN",NZ205="Menor"),CI205&lt;18.5),"BAJO PESO",IF(AND(OR(Tabla1[[#This Row],[MOMENTO EN QUE SE REALIZA EL PESO AL INGRESO A CPN]]="PREGESTACIÓN",NZ205="Menor"),CI205&lt;25),"NORMAL",IF(AND(OR(Tabla1[[#This Row],[MOMENTO EN QUE SE REALIZA EL PESO AL INGRESO A CPN]]="PREGESTACIÓN",NZ205="Menor"),CI205&lt;30),"SOBREPESO",IF(AND(OR(Tabla1[[#This Row],[MOMENTO EN QUE SE REALIZA EL PESO AL INGRESO A CPN]]="PREGESTACIÓN",NZ205="Menor"),CI205&gt;=30,CI205&lt;50),"OBESIDAD",IF(AND(BS205&gt;0,Tabla1[[#This Row],[MOMENTO EN QUE SE REALIZA EL PESO AL INGRESO A CPN]]="GESTACIÓN"),HLOOKUP(NZ205,$OA$2:PH205,NY205),""))))))))</f>
        <v>#REF!</v>
      </c>
      <c r="CK205" s="212">
        <f t="shared" si="846"/>
        <v>45113</v>
      </c>
      <c r="CL205" s="21">
        <v>62.4</v>
      </c>
      <c r="CM205" s="214">
        <f t="shared" si="847"/>
        <v>28.106842034142606</v>
      </c>
      <c r="CN205" s="216">
        <f t="shared" si="848"/>
        <v>31</v>
      </c>
      <c r="CO205" s="216" t="e">
        <f>IF(PI205="","",IF(PI205&gt;0,HLOOKUP(PI205,$PJ$2:QQ205,NY205),""))</f>
        <v>#REF!</v>
      </c>
      <c r="CP205" s="21">
        <v>34</v>
      </c>
      <c r="CQ205" s="216"/>
      <c r="CR205" s="21">
        <v>100</v>
      </c>
      <c r="CS205" s="21">
        <v>80</v>
      </c>
      <c r="CT205" s="217" t="str">
        <f>IF(R205="","",IF(AND(BS205&gt;1,BS205&lt;12,Tabla1[[#This Row],[T.A. SISTOLICA - ANTES DE SEMANA 12]]="",Tabla1[[#This Row],[T.A. DIASTOLICA - ANTES DE SEMANA 12]]=""),"REGISTRE DATO TA ANTES SEMANA 12",IF(AND(BS205&gt;11,BS205&lt;43,Tabla1[[#This Row],[T.A. SISTOLICA - ANTES DE SEMANA 12]]="",Tabla1[[#This Row],[T.A. DIASTOLICA - ANTES DE SEMANA 12]]=""),"NO APLICA REGISTRO TA-INGRESO TARDIO",IF(AND(OR(O205&gt;0,R205&gt;0),OR(CR205&gt;=140,CS205&gt;=90)),"DEFINIR ESTADIO HTA",IF(AND(OR(O205&gt;0,R205&gt;0),AND(CR205&gt;120,CR205&lt;=139)),"PRE HTA SEGUIMIENTO",IF(AND(OR(O205&gt;0,R205&gt;0),AND(CS205&gt;80,CS205&lt;=89)),"PRE HTA SEGUIMIENTO",IF(AND(OR(O205&gt;0,R205&gt;0),AND(CR205&gt;=80,CR205&lt;=120)),"APARENTEMENTE NORMAL",IF(AND(OR(O205&gt;0,R205&gt;0),AND(CS205&gt;=50,CS205&lt;=80)),"APARENTEMENTE NORMAL",IF(AND(OR(O205&gt;0,R205&gt;0),AND(CR205&gt;1,CR205&lt;=70),AND(CS205&gt;1,CS205&lt;=40)),"HIPOTENSIÓN","")))))))))</f>
        <v>APARENTEMENTE NORMAL</v>
      </c>
      <c r="CU205" s="21">
        <v>100</v>
      </c>
      <c r="CV205" s="21">
        <v>60</v>
      </c>
      <c r="CW205" s="217" t="str">
        <f>IF(R205="","",IF(AND(CN205&gt;19,CN205&lt;27,Tabla1[[#This Row],[T.A. SISTOLICA (Entre semana 20 y 26)]]="",Tabla1[[#This Row],[T.A. DIATOLICA (Entre semana 20 y 26)]]=""),"ACUDE A CONTROL SEM 20 A 26 REGISTRE TA AHORA",IF(AND(BS205&gt;1,BS205&lt;27,BU205&gt;19,Tabla1[[#This Row],[T.A. SISTOLICA (Entre semana 20 y 26)]]="",Tabla1[[#This Row],[T.A. DIATOLICA (Entre semana 20 y 26)]]=""),"COMPLETE REGISTRO TA CONTROL SEM 20 A26 ",IF(AND(BS205&gt;26,BS205&lt;43,Tabla1[[#This Row],[T.A. SISTOLICA (Entre semana 20 y 26)]]="",Tabla1[[#This Row],[T.A. DIATOLICA (Entre semana 20 y 26)]]=""),"NO APLICA REGISTRO TA-INGRESO TARDIO",IF(AND(OR(O205&gt;0,R205&gt;0),OR(CU205&gt;=140,CV205&gt;=90)),"ALTO RIESGO PREECLAMPSIA,DEFINIR ESTADIO HTA",IF(AND(OR(O205&gt;0,R205&gt;0),AND(CU205&gt;120,CU205&lt;=139)),"PRE HTA SEGUIMIENTO,RIESGO HIPERTENSION INDUCIDA POR EL EMBARAZO",IF(AND(OR(O205&gt;0,R205&gt;0),AND(CV205&gt;80,CV205&lt;=89)),"PRE HTA SEGUIMIENTO, RIESGO HIPERTENSION INDUCIDA POR EL EMBARAZO",IF(AND(OR(O205&lt;&gt;"",R205&lt;&gt;""),CS205&lt;&gt;"",CV205&lt;&gt;"",CS205&lt;=CV205),"VIGILAR CIFRAS PRESION ARTERIAL",IF(AND(OR(O205&gt;0,R205&gt;0),AND(CU205&gt;120,CU205&lt;=139)),"PRE HTA SEGUIMIENTO",IF(AND(OR(O205&gt;0,R205&gt;0),AND(CU205&gt;1,CU205&lt;=70),AND(CV205&gt;1,CV205&lt;=40)),"HIPOTENSIÓN",IF(AND(OR(O205&lt;&gt;"",R205&lt;&gt;""),CS205&lt;&gt;"",CV205&lt;&gt;"",CS205&gt;CV205),"APARENTEMENTE NORMAL",IF(AND(OR(O205&gt;0,R205&gt;0),AND(CU205&gt;=80,CU205&lt;=120)),"APARENTEMENTE NORMAL",IF(AND(OR(O205&gt;0,R205&gt;0),AND(CV205&gt;=50,CV205&lt;=80)),"APARENTEMENTE NORMAL","")))))))))))))</f>
        <v>APARENTEMENTE NORMAL</v>
      </c>
      <c r="CX205" s="21">
        <v>100</v>
      </c>
      <c r="CY205" s="21">
        <v>60</v>
      </c>
      <c r="CZ205" s="216" t="str">
        <f>IF(R205="","",IF(AND(CN205&gt;31,CN205&lt;35,CX205="",CY205=""),"ACUDE A CONTROL SEM 30 A 34- REGISTRE AHORA",IF(AND(BS205&gt;34,BS205&lt;43,CX206="",CY206=""),"NO APLICA-INGRESO TARDIO",IF(AND(OR(O205&gt;0,R205&gt;0),OR(CX205&gt;=140,CY205&gt;=90)),"ESTUDIO INMEDIATO HTA PARA DESCARTAR PREECLAMSIA",IF(AND(OR(O205&gt;0,R205&gt;0),AND(CX205&gt;=130,CX205&lt;=139)),"PRE HTA,RIESGO ALTO PREECLAMPSIA",IF(AND(OR(O205&gt;0,R205&gt;0),AND(CY205&gt;80,CY205&lt;=89)),"PRE HTA,RIESGO ALTO PREECLAMPSIA",IF(AND(OR(O205&gt;0,R205&gt;0),AND(CX205&gt;120,CX205&lt;=129)),"RANGO PREHIPERTENSIVO SEGUIMIENTO HTA",IF(AND(OR(O205&lt;&gt;"",R205&lt;&gt;""),CS205&lt;&gt;"",CY205&lt;&gt;"",CS205&lt;CY205),"VIGILAR CIFRAS PRESION ARTERIAL",IF(AND(OR(O205&lt;&gt;"",R205&lt;&gt;""),CS205&lt;&gt;"",CY205&lt;&gt;"",CS205=CY205),"APARENTEMENTE NORMAL",IF(AND(OR(O205&gt;0,R205&gt;0),CX205&gt;=80,CX205&lt;=120),"APARENTEMENTE NORMAL",IF(AND(OR(O205&gt;0,R205&gt;0),CY205&gt;=50,CY205&lt;=80),"APARENTEMENTE NORMAL","")))))))))))</f>
        <v>APARENTEMENTE NORMAL</v>
      </c>
      <c r="DA205" s="21">
        <v>100</v>
      </c>
      <c r="DB205" s="21">
        <v>60</v>
      </c>
      <c r="DC205" s="217" t="str">
        <f t="shared" si="849"/>
        <v>APARENTEMENTE NORMAL</v>
      </c>
      <c r="DD205" s="22">
        <v>44992</v>
      </c>
      <c r="DE205" s="22">
        <v>44992</v>
      </c>
      <c r="DF205" s="22">
        <v>45062</v>
      </c>
      <c r="DG205" s="22">
        <v>45113</v>
      </c>
      <c r="DH205" s="22"/>
      <c r="DI205" s="22"/>
      <c r="DJ205" s="22"/>
      <c r="DK205" s="22"/>
      <c r="DL205" s="22"/>
      <c r="DM205" s="22"/>
      <c r="DN205" s="22"/>
      <c r="DO205" s="22"/>
      <c r="DP205" s="22"/>
      <c r="DQ205" s="22"/>
      <c r="DR205" s="28"/>
      <c r="DS205" s="22"/>
      <c r="DT205" s="22"/>
      <c r="DU205" s="216" t="str">
        <f t="shared" si="917"/>
        <v>SALE SIN PLAN DE PARTO</v>
      </c>
      <c r="DV205" s="226" t="str">
        <f t="shared" si="918"/>
        <v>ACTIVA INGRESO A CPN</v>
      </c>
      <c r="DW20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5" s="216" t="e">
        <f t="shared" ca="1" si="850"/>
        <v>#REF!</v>
      </c>
      <c r="DY205" s="212">
        <f>IF(R205="","",IF(R205&gt;0,MAX(Tabla1[[#This Row],[FECHA C2]:[FECHA C13]],Tabla1[[#This Row],[FECHA CONSULTA PRIMERA VEZ PROGRAMA CPN ]])))</f>
        <v>45113</v>
      </c>
      <c r="DZ205" s="216">
        <f t="shared" si="851"/>
        <v>31</v>
      </c>
      <c r="EA205" s="222">
        <f>IF(R205&gt;0,SUM(COUNTA(DF205:DQ205)+COUNTA(Tabla1[[#This Row],[FECHA CONSULTA PRIMERA VEZ PROGRAMA CPN ]])),"")</f>
        <v>3</v>
      </c>
      <c r="EB205" s="222" t="str">
        <f t="shared" si="852"/>
        <v>NO</v>
      </c>
      <c r="EC205" s="214">
        <f t="shared" si="853"/>
        <v>8</v>
      </c>
      <c r="ED205" s="227">
        <f t="shared" si="854"/>
        <v>0.375</v>
      </c>
      <c r="EE205" s="296">
        <v>44992</v>
      </c>
      <c r="EF205" s="22">
        <v>45121</v>
      </c>
      <c r="EG205" s="296">
        <v>44992</v>
      </c>
      <c r="EH205" s="22"/>
      <c r="EI205" s="296">
        <v>44992</v>
      </c>
      <c r="EJ205" s="22"/>
      <c r="EK205" s="22"/>
      <c r="EL205" s="21"/>
      <c r="EM205" s="21">
        <v>11.5</v>
      </c>
      <c r="EN205" s="22">
        <v>45066</v>
      </c>
      <c r="EO205" s="222">
        <f t="shared" si="855"/>
        <v>25.242857142856728</v>
      </c>
      <c r="EP205" s="214" t="str">
        <f t="shared" si="856"/>
        <v>NORMAL- SUMINISTRAR SULFATO FERROSO</v>
      </c>
      <c r="EQ205" s="216" t="str">
        <f t="shared" si="857"/>
        <v>II TRIM</v>
      </c>
      <c r="ER205" s="24">
        <v>11.2</v>
      </c>
      <c r="ES205" s="22">
        <v>45124</v>
      </c>
      <c r="ET205" s="29">
        <f t="shared" si="919"/>
        <v>33.528571428571013</v>
      </c>
      <c r="EU205" s="25" t="str">
        <f t="shared" si="858"/>
        <v>NORMAL- SUMINISTRAR SULFATO FERROSO</v>
      </c>
      <c r="EV205" s="24" t="s">
        <v>1510</v>
      </c>
      <c r="EW205" s="22">
        <v>45066</v>
      </c>
      <c r="EX205" s="22"/>
      <c r="EY205" s="29">
        <f t="shared" si="691"/>
        <v>25.242857142856728</v>
      </c>
      <c r="EZ205" s="25" t="str">
        <f t="shared" si="692"/>
        <v>SIN RIESGO DE ISOINMUNIZACIÓN</v>
      </c>
      <c r="FA205" s="21">
        <v>82</v>
      </c>
      <c r="FB205" s="22">
        <v>45066</v>
      </c>
      <c r="FC205" s="29" t="str">
        <f t="shared" si="859"/>
        <v>NO APLICA &gt; 23 SEM -TOMAR PTOG</v>
      </c>
      <c r="FD205" s="29">
        <v>57</v>
      </c>
      <c r="FE205" s="29">
        <v>109</v>
      </c>
      <c r="FF205" s="29">
        <v>90</v>
      </c>
      <c r="FG205" s="21" t="str">
        <f t="shared" si="860"/>
        <v>NORMAL</v>
      </c>
      <c r="FH205" s="31">
        <v>45121</v>
      </c>
      <c r="FI205" s="29">
        <f t="shared" si="861"/>
        <v>33.099999999999582</v>
      </c>
      <c r="FJ205" s="22"/>
      <c r="FK205" s="22"/>
      <c r="FL205" s="29" t="str">
        <f t="shared" si="862"/>
        <v>NO APLICA-INGRESO TARDIO</v>
      </c>
      <c r="FM205" s="22" t="s">
        <v>867</v>
      </c>
      <c r="FN205" s="32">
        <v>45066</v>
      </c>
      <c r="FO205" s="29">
        <f t="shared" si="920"/>
        <v>25.242857142856728</v>
      </c>
      <c r="FP205" s="22" t="s">
        <v>867</v>
      </c>
      <c r="FQ205" s="32">
        <v>45121</v>
      </c>
      <c r="FR205" s="29">
        <f t="shared" si="921"/>
        <v>33.099999999999582</v>
      </c>
      <c r="FS205" s="22"/>
      <c r="FT205" s="32"/>
      <c r="FU205" s="29" t="str">
        <f>IF(AND(FJ205="",FM205="",FP205="",FS205=""),"",IF(OR(OR(Tabla1[[#This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5" s="28"/>
      <c r="FW205" s="22"/>
      <c r="FX205" s="29" t="str">
        <f t="shared" si="863"/>
        <v>TOMAR EXAMEN</v>
      </c>
      <c r="FY205" s="22"/>
      <c r="FZ205" s="22"/>
      <c r="GA205" s="29" t="str">
        <f t="shared" si="737"/>
        <v>NO APLICA-INGRESO TARDIO</v>
      </c>
      <c r="GB205" s="22" t="s">
        <v>868</v>
      </c>
      <c r="GC205" s="22">
        <v>45066</v>
      </c>
      <c r="GD205" s="29">
        <f t="shared" si="922"/>
        <v>25.242857142856728</v>
      </c>
      <c r="GE205" s="22" t="s">
        <v>868</v>
      </c>
      <c r="GF205" s="22">
        <v>45121</v>
      </c>
      <c r="GG205" s="29">
        <f t="shared" si="923"/>
        <v>33.099999999999582</v>
      </c>
      <c r="GH205" s="22"/>
      <c r="GI205" s="29"/>
      <c r="GJ205" s="22"/>
      <c r="GK205" s="22"/>
      <c r="GL205" s="22"/>
      <c r="GM205" s="22"/>
      <c r="GN205" s="28" t="s">
        <v>869</v>
      </c>
      <c r="GO205" s="22">
        <v>45066</v>
      </c>
      <c r="GP205" s="29">
        <f t="shared" si="864"/>
        <v>25.242857142856728</v>
      </c>
      <c r="GQ205" s="28" t="s">
        <v>869</v>
      </c>
      <c r="GR205" s="28" t="s">
        <v>869</v>
      </c>
      <c r="GS205" s="22" t="str">
        <f t="shared" si="726"/>
        <v>CONTROL Igm</v>
      </c>
      <c r="GT205" s="22">
        <v>45066</v>
      </c>
      <c r="GU205" s="29">
        <f t="shared" si="865"/>
        <v>28.285714285714285</v>
      </c>
      <c r="GV205" s="21" t="str">
        <f t="shared" si="866"/>
        <v>III TRIM</v>
      </c>
      <c r="GW205" s="28"/>
      <c r="GX205" s="30"/>
      <c r="GY205" s="21"/>
      <c r="GZ205" s="21"/>
      <c r="HA205" s="21"/>
      <c r="HB205" s="21"/>
      <c r="HC205" s="21"/>
      <c r="HD205" s="21"/>
      <c r="HE205" s="21"/>
      <c r="HF205" s="22"/>
      <c r="HG205" s="22" t="str">
        <f>IF(OR(O205&gt;0,R205&gt;0),CONCATENATE(IF(Tabla1[[#This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5" s="22" t="e">
        <f t="shared" si="867"/>
        <v>#REF!</v>
      </c>
      <c r="HI205" s="22" t="e">
        <f t="shared" si="868"/>
        <v>#REF!</v>
      </c>
      <c r="HJ205" s="21"/>
      <c r="HK205" s="21" t="str">
        <f t="shared" si="869"/>
        <v>SIN ANTECEDENTES DE RIESGO</v>
      </c>
      <c r="HL205" s="24" t="str">
        <f t="shared" si="870"/>
        <v>APARENTEMENTE NORMAL</v>
      </c>
      <c r="HM205" s="21" t="e">
        <f t="shared" ca="1" si="871"/>
        <v>#REF!</v>
      </c>
      <c r="HN205" s="30" t="str">
        <f t="shared" si="924"/>
        <v>ACTIVA INGRESO A CPN</v>
      </c>
      <c r="HO205" s="21"/>
      <c r="HP205" s="21"/>
      <c r="HQ205" s="21"/>
      <c r="HR205" s="21" t="str">
        <f>IF(R205="","",IF(Tabla1[[#This Row],[ALARMA FACTORES DE RIESGO COMPLICACIONES HIPERTENSIVAS3]]="SIN ANTECEDENTES DE RIESGO","No Aplica para suministro de ASA",IF(AND(Tabla1[[#This Row],[FECHA INICIO DE SUMINISTRO DE ASA]]&gt;0,RV205&lt;12),"Inicia ASA ANTES de Sem 12",IF(AND(RV205&gt;11,RV205&lt;17,OR(HK205="RIESGO ALTO DE COMPLICACIONES HIPERTENSIVAS VER MANEJO GUIA SUMINISTRO ASA Y CALCIO",HK205="RIESGO MODERADO (2 O MAS CRITERIOS) VER MANEJO GUIA SUMINISTRO ASA Y CALCIO")),"Inicio oportuno de ASA",IF(AND(RV205&gt;12,OR(HK205="RIESGO ALTO DE COMPLICACIONES HIPERTENSIVAS VER MANEJO GUIA SUMINISTRO ASA Y CALCIO",HK205="RIESGO MODERADO (2 O MAS CRITERIOS) VER MANEJO GUIA SUMINISTRO ASA Y CALCIO")),"Inicio no oportuno mayor a 16 semanas",IF(AND(BU205&lt;12,OR(HK205="RIESGO ALTO DE COMPLICACIONES HIPERTENSIVAS VER MANEJO GUIA SUMINISTRO ASA Y CALCIO",HK205="RIESGO MODERADO (2 O MAS CRITERIOS) VER MANEJO GUIA SUMINISTRO ASA Y CALCIO")),"Pendiente Inicio de ASA a la semana 12",IF(AND(BU205&gt;11,BU205&lt;17,OR(HK205="RIESGO ALTO DE COMPLICACIONES HIPERTENSIVAS VER MANEJO GUIA SUMINISTRO ASA Y CALCIO",HK205="RIESGO MODERADO (2 O MAS CRITERIOS) VER MANEJO GUIA SUMINISTRO ASA Y CALCIO")),"Iniciar de inmediato ASA",IF(AND(BU205&gt;16,OR(HK205="RIESGO ALTO DE COMPLICACIONES HIPERTENSIVAS VER MANEJO GUIA SUMINISTRO ASA Y CALCIO",HK205="RIESGO MODERADO (2 O MAS CRITERIOS) VER MANEJO GUIA SUMINISTRO ASA Y CALCIO")),"Pierde Oportunidad, Inicio tardío de ASA","XXXXX"))))))))</f>
        <v>No Aplica para suministro de ASA</v>
      </c>
      <c r="HS205" s="22">
        <v>44992</v>
      </c>
      <c r="HT205" s="22" t="s">
        <v>1518</v>
      </c>
      <c r="HU205" s="22">
        <v>44992</v>
      </c>
      <c r="HV205" s="22" t="s">
        <v>1544</v>
      </c>
      <c r="HW205" s="22">
        <v>44992</v>
      </c>
      <c r="HX205" s="22" t="s">
        <v>1511</v>
      </c>
      <c r="HY205" s="22">
        <v>44992</v>
      </c>
      <c r="HZ205" s="28">
        <f t="shared" si="872"/>
        <v>14.671428571428155</v>
      </c>
      <c r="IA205" s="26" t="s">
        <v>864</v>
      </c>
      <c r="IB205" s="26"/>
      <c r="IC205" s="22">
        <v>45091</v>
      </c>
      <c r="ID205" s="22">
        <v>45091</v>
      </c>
      <c r="IE205" s="22" t="str">
        <f t="shared" si="873"/>
        <v>VACUNA APLICADA ENTRE SEMANA 27 Y EL PARTO</v>
      </c>
      <c r="IF205" s="22"/>
      <c r="IG205" s="22">
        <f t="shared" si="874"/>
        <v>45169.3</v>
      </c>
      <c r="IH205" s="29">
        <f t="shared" ca="1" si="875"/>
        <v>-63.69999999999709</v>
      </c>
      <c r="II205" s="22" t="str">
        <f t="shared" ca="1" si="876"/>
        <v>POSIBLEMENTE NACIO</v>
      </c>
      <c r="IJ205" s="22"/>
      <c r="IK205" s="21"/>
      <c r="IL205" s="21"/>
      <c r="IM205" s="34"/>
      <c r="IN205" s="349"/>
      <c r="IO205" s="21"/>
      <c r="IP205" s="29" t="str">
        <f t="shared" si="877"/>
        <v/>
      </c>
      <c r="IQ205" s="35"/>
      <c r="IR205" s="21"/>
      <c r="IS205" s="21"/>
      <c r="IT205" s="21"/>
      <c r="IU205" s="21"/>
      <c r="IV205" s="21"/>
      <c r="IW205" s="21"/>
      <c r="IX205" s="21"/>
      <c r="IY205" s="21"/>
      <c r="IZ205" s="21"/>
      <c r="JA205" s="21"/>
      <c r="JB205" s="30"/>
      <c r="JC205" s="21"/>
      <c r="JD205" s="36"/>
      <c r="JE205" s="21" t="str">
        <f t="shared" si="878"/>
        <v/>
      </c>
      <c r="JF205" s="30"/>
      <c r="JG205" s="21"/>
      <c r="JH205" s="21"/>
      <c r="JI205" s="21"/>
      <c r="JJ205" s="30"/>
      <c r="JK205" s="22"/>
      <c r="JL205" s="22"/>
      <c r="JM205" s="21"/>
      <c r="JN205" s="36"/>
      <c r="JO205" s="21" t="str">
        <f t="shared" si="879"/>
        <v/>
      </c>
      <c r="JP205" s="22"/>
      <c r="JQ205" s="21"/>
      <c r="JR205" s="21"/>
      <c r="JS205" s="21"/>
      <c r="JT205" s="30"/>
      <c r="JU205" s="22"/>
      <c r="JV205" s="22"/>
      <c r="JW205" s="33"/>
      <c r="JX205" s="28" t="str">
        <f t="shared" si="880"/>
        <v/>
      </c>
      <c r="JY205" s="33"/>
      <c r="JZ205" s="28" t="str">
        <f t="shared" si="881"/>
        <v/>
      </c>
      <c r="KA205" s="21"/>
      <c r="KB205" s="21"/>
      <c r="KC205" s="21"/>
      <c r="KD205" s="37"/>
      <c r="KE205" s="28"/>
      <c r="KF205" s="28"/>
      <c r="KG205" s="28"/>
      <c r="KH205" s="39"/>
      <c r="KI205" s="39"/>
      <c r="KJ205" s="66"/>
      <c r="KK205" s="39"/>
      <c r="KL205" s="39"/>
      <c r="KM205" s="66"/>
      <c r="KN205" s="39"/>
      <c r="KO205" s="39"/>
      <c r="KP205" s="39"/>
      <c r="KQ205" s="39"/>
      <c r="KR205" s="39"/>
      <c r="KS205" s="39"/>
      <c r="KT205" s="39"/>
      <c r="KU205" s="38"/>
      <c r="KV205" s="38"/>
      <c r="KW205" s="38"/>
      <c r="KX205" s="38"/>
      <c r="KY205" s="38"/>
      <c r="KZ205" s="38"/>
      <c r="LA205" s="38"/>
      <c r="LB205" s="38"/>
      <c r="LC205" s="38"/>
      <c r="LD205" s="38"/>
      <c r="LE205" s="38"/>
      <c r="LF205" s="38"/>
      <c r="LG205" s="38"/>
      <c r="LH205" s="38"/>
      <c r="LI205" s="38"/>
      <c r="LJ205" s="38"/>
      <c r="LK205" s="38"/>
      <c r="LL205" s="38"/>
      <c r="LM205" s="38"/>
      <c r="LN205" s="38"/>
      <c r="LO205" s="38"/>
      <c r="LP205" s="38"/>
      <c r="LQ205" s="38"/>
      <c r="LR205" s="38"/>
      <c r="LS205" s="38"/>
      <c r="LT205" s="38"/>
      <c r="LU205" s="38"/>
      <c r="LV205" s="38"/>
      <c r="LW205" s="38"/>
      <c r="LX205" s="38"/>
      <c r="LY205" s="38"/>
      <c r="LZ205" s="38"/>
      <c r="MA205" s="38"/>
      <c r="MB205" s="38"/>
      <c r="MC205" s="38"/>
      <c r="MD205" s="38"/>
      <c r="ME205" s="38"/>
      <c r="MF205" s="38"/>
      <c r="MG205" s="38"/>
      <c r="MH205" s="43">
        <f t="shared" si="882"/>
        <v>0</v>
      </c>
      <c r="MI205" s="43" t="str">
        <f t="shared" si="883"/>
        <v/>
      </c>
      <c r="MJ205" s="43" t="str">
        <f t="shared" si="884"/>
        <v/>
      </c>
      <c r="MK205" s="43">
        <f t="shared" si="885"/>
        <v>0</v>
      </c>
      <c r="ML20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5" s="43">
        <f t="shared" si="886"/>
        <v>14.671428571428155</v>
      </c>
      <c r="MN205" s="43">
        <f t="shared" si="887"/>
        <v>3</v>
      </c>
      <c r="MO205" s="43">
        <f t="shared" si="888"/>
        <v>2023</v>
      </c>
      <c r="MP205" s="43" t="str">
        <f t="shared" si="889"/>
        <v>I TRIMESTRE AÑO</v>
      </c>
      <c r="MQ205" s="43">
        <f t="shared" si="890"/>
        <v>23.992553657468239</v>
      </c>
      <c r="MR205" s="43">
        <f t="shared" si="891"/>
        <v>0</v>
      </c>
      <c r="MS205" s="43" t="str">
        <f t="shared" si="892"/>
        <v xml:space="preserve"> DE 20 A 24 AÑOS</v>
      </c>
      <c r="MT205" s="43">
        <f t="shared" si="893"/>
        <v>0</v>
      </c>
      <c r="MU205" s="43">
        <f t="shared" si="894"/>
        <v>0</v>
      </c>
      <c r="MV205" s="43">
        <f t="shared" si="895"/>
        <v>1</v>
      </c>
      <c r="MW205" s="43">
        <f t="shared" si="896"/>
        <v>0</v>
      </c>
      <c r="MX205" s="43" t="str">
        <f t="shared" si="897"/>
        <v/>
      </c>
      <c r="MY205" s="43" t="str">
        <f t="shared" si="898"/>
        <v/>
      </c>
      <c r="MZ205" s="43" t="str">
        <f t="shared" si="899"/>
        <v/>
      </c>
      <c r="NA205" s="43" t="str">
        <f t="shared" si="900"/>
        <v/>
      </c>
      <c r="NB205" s="43" t="str">
        <f t="shared" si="901"/>
        <v/>
      </c>
      <c r="NC205" s="43" t="str">
        <f t="shared" si="902"/>
        <v/>
      </c>
      <c r="ND205" s="43">
        <f t="shared" si="903"/>
        <v>1</v>
      </c>
      <c r="NE205" s="43">
        <f>IF(OR(O205&gt;0,R205&gt;0),SUM(COUNTIF(Tabla1[[#This Row],[AÑOS AL INICIO5 CPN]],"&gt;=40"),COUNTIF(AS205,"0"),COUNTIF(AR205,"SI"),COUNTIF(CC205,"SI"),COUNTIF(BQ205,"&gt;119"),COUNTIF(CI205,"&gt;=35")),"")</f>
        <v>0</v>
      </c>
      <c r="NF205" s="43">
        <f t="shared" si="904"/>
        <v>28.814285714285298</v>
      </c>
      <c r="NG205" s="43">
        <f t="shared" si="905"/>
        <v>0</v>
      </c>
      <c r="NH205" s="43">
        <f t="shared" si="906"/>
        <v>231.70000000000002</v>
      </c>
      <c r="NI20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CPN",P205="NO"),"Z",IF(AND(Tabla1[[#This Row],[CITA PROXIMO CONTROL]]="CITA MANUAL",Tabla1[[#This Row],[GESTANTES ACTUALES]]="ACTIVA INGRESO A CPN"),"W",IF(AND(Tabla1[[#This Row],[GESTANTES ACTUALES]]="SALIO PROGRAMA",IN205=""),"S",IF(AND(Tabla1[[#This Row],[CITA PROXIMO CONTROL]]&gt;0,IN205=""),(Tabla1[[#This Row],[CITA PROXIMO CONTROL]]-TODAY()),"SD"))))))))</f>
        <v>#REF!</v>
      </c>
      <c r="NJ205" s="43">
        <f>MONTH(Tabla1[[#This Row],[FECHA DE SALIDA  DEL PROGRAMA]])</f>
        <v>1</v>
      </c>
      <c r="NK205" s="43">
        <f>YEAR(Tabla1[[#This Row],[FECHA DE SALIDA  DEL PROGRAMA]])</f>
        <v>1900</v>
      </c>
      <c r="NL205" s="43" t="str">
        <f t="shared" si="907"/>
        <v>X</v>
      </c>
      <c r="NM205" s="43" t="str">
        <f t="shared" si="908"/>
        <v>NO</v>
      </c>
      <c r="NN205" s="43" t="str">
        <f>IF(AND(O205&gt;0,R205=""),"NO CPN",IF(AND(O205="",R205=""),"",IF(AND(R205&gt;0,Tabla1[[#This Row],[SEMANAS DE GESTACION ACTUALIZADAS]]&lt;=12),"NO APLICA",IF(AND(FH205&lt;&gt;"",FN205&lt;&gt;""),"SI","NO"))))</f>
        <v>NO APLICA</v>
      </c>
      <c r="NO205" s="43" t="str">
        <f>IF(AND(O205&gt;0,R205=""),"NO CPN",IF(AND(O205="",R205=""),"",IF(AND(R205&gt;0,Tabla1[[#This Row],[SEMANAS DE GESTACION ACTUALIZADAS]]&lt;=27),"NO APLICA",IF(AND(ES205&lt;&gt;"",FQ205&lt;&gt;"",GF205&lt;&gt;""),"SI","NO"))))</f>
        <v>NO APLICA</v>
      </c>
      <c r="NP205" s="204" t="str">
        <f t="shared" si="909"/>
        <v>II TRIM</v>
      </c>
      <c r="NQ205" s="21" t="str">
        <f>IF(AND(IP206&gt;0,IP206&lt;37),10,IF(OR(CD206="Transversa",CD206="Oblicua"),9,IF(CC206="SI",8,IF(AND(AT206=0,AW206=0,CC206="NO",CD206="Cefálica",IP206&gt;=37,IT206="INICIO ESPONTÁNEO"),1,IF(AND(AND(AT206=0,AW206=0,CC206="NO",CD206="Cefálica",IP206&gt;=37),OR(IT206="LE HACEN INDUCCIÓN",IT206="LE HACEN CESÁREA SIN INICIO TRABAJO DE PARTO")),2,IF(AND(AT206&gt;=1,AW206=0,CC206="NO",CD206="Cefálica",IP206&gt;=37,IT206="INICIO ESPONTÁNEO"),3,IF(AND(AND(AT206&gt;=1,AW206=0,CC206="NO",CD206="Cefálica",IP206&gt;=37),OR(IT206="LE HACEN INDUCCIÓN",IT206="LE HACEN CESÁREA SIN INICIO TRABAJO DE PARTO")),4,IF(AND(AND(AT206&gt;=1,AW206&gt;=1,CC206="NO",CD206="Cefálica",IP206&gt;=37),OR(IT206="LE HACEN INDUCCIÓN",IT206="LE HACEN CESÁREA SIN INICIO TRABAJO DE PARTO",IT206="INICIO ESPONTÁNEO")),5,IF(AND(AND(AT206=0,AW206=0,CC206="NO",CD206="Podálica",IP206&gt;=1),OR(IT206="LE HACEN INDUCCIÓN",IT206="LE HACEN CESÁREA SIN INICIO TRABAJO DE PARTO",IT206="INICIO ESPONTÁNEO")),6,IF(AND(AND(AT206&gt;=1,CC206="NO",CD206="Podálica",IP206&gt;=1),OR(IT206="LE HACEN INDUCCIÓN",IT206="LE HACEN CESÁREA SIN INICIO TRABAJO DE PARTO",IT206="INICIO ESPONTÁNEO"),OR(AW206=0,AW206&gt;=1)),7,""))))))))))</f>
        <v/>
      </c>
      <c r="NR205" s="21" t="str">
        <f t="shared" si="910"/>
        <v>REVISAR FUM O FECHA SALIDA PROGRAMA</v>
      </c>
      <c r="NS205" s="205">
        <f t="shared" si="911"/>
        <v>2</v>
      </c>
      <c r="NT205" s="21">
        <f t="shared" si="912"/>
        <v>2</v>
      </c>
      <c r="NU205" s="21" t="str">
        <f t="shared" si="913"/>
        <v>POR DEFINIR</v>
      </c>
      <c r="NV205" s="21" t="str">
        <f t="shared" si="914"/>
        <v>POR DEFINIR</v>
      </c>
      <c r="NW205" s="206" t="str">
        <f>IF(AND(O205="",R205=""),"",IF(OR(AND(Tabla1[[#This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5" s="207" t="str">
        <f t="shared" si="915"/>
        <v>VACUNADA</v>
      </c>
      <c r="NY205" s="43">
        <f>ROW(Tabla1[[#This Row],['# DE TAMIZAJES SIFILIS TOMADOS ]])</f>
        <v>205</v>
      </c>
      <c r="NZ205" s="43">
        <f t="shared" si="738"/>
        <v>14</v>
      </c>
      <c r="OA205" s="43" t="str">
        <f t="shared" si="739"/>
        <v/>
      </c>
      <c r="OB205" s="43" t="str">
        <f t="shared" si="740"/>
        <v/>
      </c>
      <c r="OC205" s="43" t="str">
        <f t="shared" si="741"/>
        <v/>
      </c>
      <c r="OD205" s="43" t="str">
        <f t="shared" si="742"/>
        <v/>
      </c>
      <c r="OE205" s="43" t="str">
        <f t="shared" si="743"/>
        <v/>
      </c>
      <c r="OF205" s="43" t="str">
        <f t="shared" si="744"/>
        <v>NORMAL</v>
      </c>
      <c r="OG205" s="43" t="str">
        <f t="shared" si="745"/>
        <v/>
      </c>
      <c r="OH205" s="43" t="str">
        <f t="shared" si="746"/>
        <v/>
      </c>
      <c r="OI205" s="43" t="str">
        <f t="shared" si="747"/>
        <v/>
      </c>
      <c r="OJ205" s="43" t="str">
        <f t="shared" si="748"/>
        <v/>
      </c>
      <c r="OK205" s="43" t="str">
        <f t="shared" si="749"/>
        <v/>
      </c>
      <c r="OL205" s="43" t="str">
        <f t="shared" si="750"/>
        <v/>
      </c>
      <c r="OM205" s="43" t="str">
        <f t="shared" si="751"/>
        <v/>
      </c>
      <c r="ON205" s="43" t="str">
        <f t="shared" si="752"/>
        <v/>
      </c>
      <c r="OO205" s="43" t="str">
        <f t="shared" si="753"/>
        <v/>
      </c>
      <c r="OP205" s="43" t="str">
        <f t="shared" si="754"/>
        <v/>
      </c>
      <c r="OQ205" s="43" t="str">
        <f t="shared" si="755"/>
        <v/>
      </c>
      <c r="OR205" s="43" t="str">
        <f t="shared" si="756"/>
        <v/>
      </c>
      <c r="OS205" s="43" t="str">
        <f t="shared" si="757"/>
        <v/>
      </c>
      <c r="OT205" s="43" t="str">
        <f t="shared" si="758"/>
        <v/>
      </c>
      <c r="OU205" s="43" t="str">
        <f t="shared" si="759"/>
        <v/>
      </c>
      <c r="OV205" s="110" t="str">
        <f t="shared" si="760"/>
        <v/>
      </c>
      <c r="OW205" s="43" t="str">
        <f t="shared" si="761"/>
        <v/>
      </c>
      <c r="OX205" s="43" t="str">
        <f t="shared" si="762"/>
        <v/>
      </c>
      <c r="OY205" s="43" t="str">
        <f t="shared" si="763"/>
        <v/>
      </c>
      <c r="OZ205" s="43" t="str">
        <f t="shared" si="764"/>
        <v/>
      </c>
      <c r="PA205" s="43" t="str">
        <f t="shared" si="765"/>
        <v/>
      </c>
      <c r="PB205" s="43" t="str">
        <f t="shared" si="766"/>
        <v/>
      </c>
      <c r="PC205" s="43" t="str">
        <f t="shared" si="767"/>
        <v/>
      </c>
      <c r="PD205" s="43" t="str">
        <f t="shared" si="768"/>
        <v/>
      </c>
      <c r="PE205" s="43" t="str">
        <f t="shared" si="769"/>
        <v/>
      </c>
      <c r="PF205" s="43" t="str">
        <f t="shared" si="770"/>
        <v/>
      </c>
      <c r="PG205" s="43" t="str">
        <f t="shared" si="771"/>
        <v/>
      </c>
      <c r="PH205" s="43" t="str">
        <f t="shared" si="772"/>
        <v/>
      </c>
      <c r="PI205" s="43">
        <f t="shared" si="773"/>
        <v>31</v>
      </c>
      <c r="PJ205" s="43" t="str">
        <f t="shared" si="774"/>
        <v/>
      </c>
      <c r="PK205" s="43" t="str">
        <f t="shared" si="775"/>
        <v/>
      </c>
      <c r="PL205" s="43" t="str">
        <f t="shared" si="776"/>
        <v/>
      </c>
      <c r="PM205" s="43" t="str">
        <f t="shared" si="777"/>
        <v/>
      </c>
      <c r="PN205" s="43" t="str">
        <f t="shared" si="778"/>
        <v/>
      </c>
      <c r="PO205" s="43" t="str">
        <f t="shared" si="779"/>
        <v/>
      </c>
      <c r="PP205" s="43" t="str">
        <f t="shared" si="780"/>
        <v/>
      </c>
      <c r="PQ205" s="43" t="str">
        <f t="shared" si="781"/>
        <v/>
      </c>
      <c r="PR205" s="43" t="str">
        <f t="shared" si="782"/>
        <v/>
      </c>
      <c r="PS205" s="43" t="str">
        <f t="shared" si="783"/>
        <v/>
      </c>
      <c r="PT205" s="43" t="str">
        <f t="shared" si="784"/>
        <v/>
      </c>
      <c r="PU205" s="43" t="str">
        <f t="shared" si="785"/>
        <v/>
      </c>
      <c r="PV205" s="43" t="str">
        <f t="shared" si="786"/>
        <v/>
      </c>
      <c r="PW205" s="43" t="str">
        <f t="shared" si="787"/>
        <v/>
      </c>
      <c r="PX205" s="43" t="str">
        <f t="shared" si="788"/>
        <v/>
      </c>
      <c r="PY205" s="43" t="str">
        <f t="shared" si="789"/>
        <v/>
      </c>
      <c r="PZ205" s="43" t="str">
        <f t="shared" si="790"/>
        <v/>
      </c>
      <c r="QA205" s="43" t="str">
        <f t="shared" si="791"/>
        <v/>
      </c>
      <c r="QB205" s="43" t="str">
        <f t="shared" si="792"/>
        <v/>
      </c>
      <c r="QC205" s="43" t="str">
        <f t="shared" si="793"/>
        <v/>
      </c>
      <c r="QD205" s="43" t="str">
        <f t="shared" si="794"/>
        <v/>
      </c>
      <c r="QE205" s="43" t="str">
        <f t="shared" si="795"/>
        <v/>
      </c>
      <c r="QF205" s="43" t="str">
        <f t="shared" si="796"/>
        <v>SOBREPESO</v>
      </c>
      <c r="QG205" s="43" t="str">
        <f t="shared" si="797"/>
        <v/>
      </c>
      <c r="QH205" s="43" t="str">
        <f t="shared" si="798"/>
        <v/>
      </c>
      <c r="QI205" s="43" t="str">
        <f t="shared" si="799"/>
        <v/>
      </c>
      <c r="QJ205" s="43" t="str">
        <f t="shared" si="800"/>
        <v/>
      </c>
      <c r="QK205" s="43" t="str">
        <f t="shared" si="801"/>
        <v/>
      </c>
      <c r="QL205" s="43" t="str">
        <f t="shared" si="802"/>
        <v/>
      </c>
      <c r="QM205" s="43" t="str">
        <f t="shared" si="803"/>
        <v/>
      </c>
      <c r="QN205" s="43" t="str">
        <f t="shared" si="804"/>
        <v/>
      </c>
      <c r="QO205" s="43" t="str">
        <f t="shared" si="805"/>
        <v/>
      </c>
      <c r="QP205" s="43" t="str">
        <f t="shared" si="806"/>
        <v/>
      </c>
      <c r="QQ205" s="43" t="str">
        <f t="shared" si="807"/>
        <v/>
      </c>
      <c r="QR205" s="43">
        <f t="shared" si="837"/>
        <v>31</v>
      </c>
      <c r="QS205" s="43"/>
      <c r="QT205" s="21" t="str">
        <f t="shared" si="808"/>
        <v/>
      </c>
      <c r="QU205" s="21" t="str">
        <f t="shared" si="809"/>
        <v/>
      </c>
      <c r="QV205" s="21" t="str">
        <f t="shared" si="810"/>
        <v/>
      </c>
      <c r="QW205" s="21" t="str">
        <f t="shared" si="811"/>
        <v/>
      </c>
      <c r="QX205" s="21" t="str">
        <f t="shared" si="812"/>
        <v/>
      </c>
      <c r="QY205" s="21" t="str">
        <f t="shared" si="813"/>
        <v/>
      </c>
      <c r="QZ205" s="21" t="str">
        <f t="shared" si="814"/>
        <v/>
      </c>
      <c r="RA205" s="21" t="str">
        <f t="shared" si="815"/>
        <v/>
      </c>
      <c r="RB205" s="21" t="str">
        <f t="shared" si="816"/>
        <v/>
      </c>
      <c r="RC205" s="21" t="str">
        <f t="shared" si="817"/>
        <v/>
      </c>
      <c r="RD205" s="21" t="str">
        <f t="shared" si="818"/>
        <v/>
      </c>
      <c r="RE205" s="21" t="str">
        <f t="shared" si="819"/>
        <v/>
      </c>
      <c r="RF205" s="21" t="str">
        <f t="shared" si="820"/>
        <v/>
      </c>
      <c r="RG205" s="21" t="str">
        <f t="shared" si="821"/>
        <v/>
      </c>
      <c r="RH205" s="21" t="str">
        <f t="shared" si="822"/>
        <v/>
      </c>
      <c r="RI205" s="21" t="str">
        <f t="shared" si="823"/>
        <v/>
      </c>
      <c r="RJ205" s="21" t="str">
        <f t="shared" si="824"/>
        <v/>
      </c>
      <c r="RK205" s="21" t="str">
        <f t="shared" si="825"/>
        <v/>
      </c>
      <c r="RL205" s="21" t="str">
        <f t="shared" si="826"/>
        <v>ALTO PARA EDAD GESTACIONAL</v>
      </c>
      <c r="RM205" s="21" t="str">
        <f t="shared" si="827"/>
        <v/>
      </c>
      <c r="RN205" s="21" t="str">
        <f t="shared" si="828"/>
        <v/>
      </c>
      <c r="RO205" s="21" t="str">
        <f t="shared" si="829"/>
        <v/>
      </c>
      <c r="RP205" s="21" t="str">
        <f t="shared" si="830"/>
        <v/>
      </c>
      <c r="RQ205" s="21" t="str">
        <f t="shared" si="831"/>
        <v/>
      </c>
      <c r="RR205" s="21" t="str">
        <f t="shared" si="832"/>
        <v/>
      </c>
      <c r="RS205" s="21" t="str">
        <f t="shared" si="833"/>
        <v/>
      </c>
      <c r="RT205" s="21" t="str">
        <f t="shared" si="834"/>
        <v/>
      </c>
      <c r="RU205" s="21" t="str">
        <f t="shared" si="835"/>
        <v/>
      </c>
      <c r="RV205" s="21">
        <f t="shared" si="836"/>
        <v>-1</v>
      </c>
      <c r="RW205" s="284">
        <f>IF(OR(Tabla1[[#This Row],[FUM FORMULA CONFIABLE]]="",Tabla1[[#This Row],[FUM FORMULA CONFIABLE]]="SD"),"",IF(Tabla1[[#This Row],[FUM FORMULA CONFIABLE]]="CORREGIDA",Tabla1[[#This Row],[FUM X ECO 1]],Tabla1[[#This Row],[FUM x AMENORREA]]))</f>
        <v>44889.3</v>
      </c>
      <c r="RX205" s="21">
        <f>IF(AND(Tabla1[[#This Row],[FUM X ECO 1]]="",Tabla1[[#This Row],[FUM x AMENORREA]]=""),"",IF(AND(Tabla1[[#This Row],[FUM X ECO 1]]="",Tabla1[[#This Row],[FUM x AMENORREA]]&lt;&gt;""),"X",SUM(Tabla1[[#This Row],[FUM X ECO 1]]-Tabla1[[#This Row],[FUM x AMENORREA]])))</f>
        <v>21.30000000000291</v>
      </c>
      <c r="RY205" s="21">
        <f t="shared" si="838"/>
        <v>1</v>
      </c>
    </row>
    <row r="206" spans="1:493" ht="45" customHeight="1" x14ac:dyDescent="0.25">
      <c r="A206" s="109"/>
      <c r="B206" s="43"/>
      <c r="C206" s="43" t="s">
        <v>845</v>
      </c>
      <c r="D206" s="124"/>
      <c r="E206" s="43" t="s">
        <v>1361</v>
      </c>
      <c r="F206" s="43" t="s">
        <v>1470</v>
      </c>
      <c r="G206" s="43" t="s">
        <v>1553</v>
      </c>
      <c r="H206" s="43"/>
      <c r="I206" s="109" t="s">
        <v>851</v>
      </c>
      <c r="J206" s="110">
        <v>1059595865</v>
      </c>
      <c r="K206" s="43" t="s">
        <v>852</v>
      </c>
      <c r="L206" s="175" t="s">
        <v>1509</v>
      </c>
      <c r="M206" s="22">
        <v>31513</v>
      </c>
      <c r="N206" s="213">
        <f t="shared" ca="1" si="839"/>
        <v>37.589041095890408</v>
      </c>
      <c r="O206" s="22">
        <v>45112</v>
      </c>
      <c r="P206" s="214" t="str">
        <f t="shared" si="916"/>
        <v>SI</v>
      </c>
      <c r="Q206" s="26" t="s">
        <v>855</v>
      </c>
      <c r="R206" s="22">
        <v>45112</v>
      </c>
      <c r="S206" s="21" t="s">
        <v>856</v>
      </c>
      <c r="T206" s="24" t="s">
        <v>690</v>
      </c>
      <c r="U206" s="21" t="s">
        <v>857</v>
      </c>
      <c r="V206" s="21" t="s">
        <v>858</v>
      </c>
      <c r="W206" s="21" t="s">
        <v>1062</v>
      </c>
      <c r="X206" s="21" t="s">
        <v>859</v>
      </c>
      <c r="Y206" s="21" t="s">
        <v>859</v>
      </c>
      <c r="Z206" s="21" t="s">
        <v>894</v>
      </c>
      <c r="AA206" s="21" t="s">
        <v>860</v>
      </c>
      <c r="AB206" s="27" t="s">
        <v>861</v>
      </c>
      <c r="AC206" s="26" t="s">
        <v>862</v>
      </c>
      <c r="AD206" s="38" t="s">
        <v>1546</v>
      </c>
      <c r="AE206" s="26" t="s">
        <v>854</v>
      </c>
      <c r="AF206" s="26" t="s">
        <v>854</v>
      </c>
      <c r="AG206" s="23" t="s">
        <v>864</v>
      </c>
      <c r="AH206" s="23" t="s">
        <v>864</v>
      </c>
      <c r="AI206" s="24" t="s">
        <v>863</v>
      </c>
      <c r="AJ206" s="23" t="s">
        <v>864</v>
      </c>
      <c r="AK206" s="220" t="str">
        <f>IF(AND(AD206="",AE206="",AF206="",AG206="",AH206="",AI206="",AJ206=""),"",IF(OR(Tabla1[[#This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EVALUACIÓN",IF(AND(O206="",R206=""),"",IF(AND(OR(O206&gt;0,R206&gt;0),NG206&gt;=0,NG206&lt;2),"SIN RIESGO",IF(AND(OR(O206&gt;0,R206&gt;0),NG206&gt;=2),"CON RIESGO","ASD")))))</f>
        <v>SIN RIESGO</v>
      </c>
      <c r="AL206" s="23" t="s">
        <v>864</v>
      </c>
      <c r="AM206" s="26" t="s">
        <v>864</v>
      </c>
      <c r="AN206" s="26" t="s">
        <v>864</v>
      </c>
      <c r="AO206" s="26" t="s">
        <v>864</v>
      </c>
      <c r="AP206" s="26" t="s">
        <v>864</v>
      </c>
      <c r="AQ206" s="26" t="s">
        <v>864</v>
      </c>
      <c r="AR206" s="26" t="s">
        <v>864</v>
      </c>
      <c r="AS206" s="21">
        <v>4</v>
      </c>
      <c r="AT206" s="21">
        <v>4</v>
      </c>
      <c r="AU206" s="21">
        <v>0</v>
      </c>
      <c r="AV206" s="26" t="s">
        <v>864</v>
      </c>
      <c r="AW206" s="21">
        <v>0</v>
      </c>
      <c r="AX206" s="26" t="s">
        <v>864</v>
      </c>
      <c r="AY206" s="26" t="s">
        <v>864</v>
      </c>
      <c r="AZ206" s="26" t="s">
        <v>864</v>
      </c>
      <c r="BA206" s="26" t="s">
        <v>864</v>
      </c>
      <c r="BB206" s="26" t="s">
        <v>864</v>
      </c>
      <c r="BC206" s="26" t="s">
        <v>864</v>
      </c>
      <c r="BD206" s="26" t="s">
        <v>864</v>
      </c>
      <c r="BE206" s="26" t="s">
        <v>864</v>
      </c>
      <c r="BF206" s="26" t="s">
        <v>864</v>
      </c>
      <c r="BG206" s="26" t="s">
        <v>864</v>
      </c>
      <c r="BH206" s="26" t="s">
        <v>864</v>
      </c>
      <c r="BI206" s="26" t="s">
        <v>864</v>
      </c>
      <c r="BJ206" s="26" t="s">
        <v>864</v>
      </c>
      <c r="BK206" s="26" t="s">
        <v>864</v>
      </c>
      <c r="BL206" s="26" t="s">
        <v>864</v>
      </c>
      <c r="BM206" s="26" t="s">
        <v>864</v>
      </c>
      <c r="BN206" s="22">
        <v>43397</v>
      </c>
      <c r="BO206" s="22">
        <v>45076</v>
      </c>
      <c r="BP206" s="21" t="s">
        <v>854</v>
      </c>
      <c r="BQ206" s="222">
        <f t="shared" si="840"/>
        <v>55.966666666666669</v>
      </c>
      <c r="BR206" s="223">
        <f t="shared" si="841"/>
        <v>45075.5</v>
      </c>
      <c r="BS206" s="224">
        <f t="shared" si="842"/>
        <v>5.1428571428571432</v>
      </c>
      <c r="BT206" s="216" t="str">
        <f t="shared" si="843"/>
        <v>I TRIM</v>
      </c>
      <c r="BU206" s="214">
        <f t="shared" ref="BU206:BU248" ca="1" si="925">IF(AND(BO206="",BR206=""),"",IF(SUM((TODAY()-RW206)/7)&gt;43.1,"",IF(AND(RW206&gt;0,OR(BP206="si",BP206="Corregida",BP206="NO")),SUM((TODAY()-RW206)/7),"")))</f>
        <v>22.428571428571427</v>
      </c>
      <c r="BV206" s="25" t="s">
        <v>1478</v>
      </c>
      <c r="BW206" s="22">
        <v>45121</v>
      </c>
      <c r="BX206" s="28">
        <v>6.5</v>
      </c>
      <c r="BY206" s="28"/>
      <c r="BZ206" s="22"/>
      <c r="CA206" s="21"/>
      <c r="CB206" s="26" t="s">
        <v>864</v>
      </c>
      <c r="CC206" s="26" t="s">
        <v>864</v>
      </c>
      <c r="CD206" s="26"/>
      <c r="CE206" s="26" t="s">
        <v>864</v>
      </c>
      <c r="CF206" s="22" t="s">
        <v>1517</v>
      </c>
      <c r="CG206" s="21">
        <v>1.51</v>
      </c>
      <c r="CH206" s="21">
        <v>48.6</v>
      </c>
      <c r="CI206" s="214">
        <f t="shared" si="845"/>
        <v>21.314854611639841</v>
      </c>
      <c r="CJ206" s="225" t="str">
        <f>IF(AND(CI206&lt;10,CH206="SD"),"SIN DATO PESO PREGESTACION O I TRIM",IF(AND(OR(R206&gt;0,O206&gt;0),CI206="X"),"INGRESAR DATO DE PESO",IF(CI206="SD","INGRESAR DATO DE TALLA Y PESO",IF(AND(OR(Tabla1[[#This Row],[MOMENTO EN QUE SE REALIZA EL PESO AL INGRESO A CPN]]="PREGESTACIÓN",NZ206="Menor"),CI206&lt;18.5),"BAJO PESO",IF(AND(OR(Tabla1[[#This Row],[MOMENTO EN QUE SE REALIZA EL PESO AL INGRESO A CPN]]="PREGESTACIÓN",NZ206="Menor"),CI206&lt;25),"NORMAL",IF(AND(OR(Tabla1[[#This Row],[MOMENTO EN QUE SE REALIZA EL PESO AL INGRESO A CPN]]="PREGESTACIÓN",NZ206="Menor"),CI206&lt;30),"SOBREPESO",IF(AND(OR(Tabla1[[#This Row],[MOMENTO EN QUE SE REALIZA EL PESO AL INGRESO A CPN]]="PREGESTACIÓN",NZ206="Menor"),CI206&gt;=30,CI206&lt;50),"OBESIDAD",IF(AND(BS206&gt;0,Tabla1[[#This Row],[MOMENTO EN QUE SE REALIZA EL PESO AL INGRESO A CPN]]="GESTACIÓN"),HLOOKUP(NZ206,$OA$2:PH206,NY206),""))))))))</f>
        <v>NORMAL</v>
      </c>
      <c r="CK206" s="212">
        <f t="shared" si="846"/>
        <v>45147</v>
      </c>
      <c r="CL206" s="21">
        <v>50</v>
      </c>
      <c r="CM206" s="214">
        <f t="shared" si="847"/>
        <v>21.928862769176792</v>
      </c>
      <c r="CN206" s="216">
        <f t="shared" si="848"/>
        <v>10</v>
      </c>
      <c r="CO206" s="216" t="e">
        <f>IF(PI206="","",IF(PI206&gt;0,HLOOKUP(PI206,$PJ$2:QQ206,NY206),""))</f>
        <v>#REF!</v>
      </c>
      <c r="CP206" s="21"/>
      <c r="CQ206" s="216" t="str">
        <f>IF(QR206="Menor","NO APLICA-MENOR 13 SEM",IF(AND(CC206="SI",CN206&gt;23),"NO APLICA- GEMELAR",IF(QR206="","",IF(QR206&gt;0,HLOOKUP(QR206,$QS$2:RU206,NY206),""))))</f>
        <v>NO APLICA-MENOR 13 SEM</v>
      </c>
      <c r="CR206" s="21">
        <v>120</v>
      </c>
      <c r="CS206" s="21">
        <v>80</v>
      </c>
      <c r="CT206" s="217" t="str">
        <f>IF(R206="","",IF(AND(BS206&gt;1,BS206&lt;12,Tabla1[[#This Row],[T.A. SISTOLICA - ANTES DE SEMANA 12]]="",Tabla1[[#This Row],[T.A. DIASTOLICA - ANTES DE SEMANA 12]]=""),"REGISTRE DATO TA ANTES SEMANA 12",IF(AND(BS206&gt;11,BS206&lt;43,Tabla1[[#This Row],[T.A. SISTOLICA - ANTES DE SEMANA 12]]="",Tabla1[[#This Row],[T.A. DIASTOLICA - ANTES DE SEMANA 12]]=""),"NO APLICA REGISTRO TA-INGRESO TARDIO",IF(AND(OR(O206&gt;0,R206&gt;0),OR(CR206&gt;=140,CS206&gt;=90)),"DEFINIR ESTADIO HTA",IF(AND(OR(O206&gt;0,R206&gt;0),AND(CR206&gt;120,CR206&lt;=139)),"PRE HTA SEGUIMIENTO",IF(AND(OR(O206&gt;0,R206&gt;0),AND(CS206&gt;80,CS206&lt;=89)),"PRE HTA SEGUIMIENTO",IF(AND(OR(O206&gt;0,R206&gt;0),AND(CR206&gt;=80,CR206&lt;=120)),"APARENTEMENTE NORMAL",IF(AND(OR(O206&gt;0,R206&gt;0),AND(CS206&gt;=50,CS206&lt;=80)),"APARENTEMENTE NORMAL",IF(AND(OR(O206&gt;0,R206&gt;0),AND(CR206&gt;1,CR206&lt;=70),AND(CS206&gt;1,CS206&lt;=40)),"HIPOTENSIÓN","")))))))))</f>
        <v>APARENTEMENTE NORMAL</v>
      </c>
      <c r="CU206" s="21"/>
      <c r="CV206" s="21"/>
      <c r="CW206" s="217" t="str">
        <f ca="1">IF(R206="","",IF(AND(CN206&gt;19,CN206&lt;27,Tabla1[[#This Row],[T.A. SISTOLICA (Entre semana 20 y 26)]]="",Tabla1[[#This Row],[T.A. DIATOLICA (Entre semana 20 y 26)]]=""),"ACUDE A CONTROL SEM 20 A 26 REGISTRE TA AHORA",IF(AND(BS206&gt;1,BS206&lt;27,BU206&gt;19,Tabla1[[#This Row],[T.A. SISTOLICA (Entre semana 20 y 26)]]="",Tabla1[[#This Row],[T.A. DIATOLICA (Entre semana 20 y 26)]]=""),"COMPLETE REGISTRO TA CONTROL SEM 20 A26 ",IF(AND(BS206&gt;26,BS206&lt;43,Tabla1[[#This Row],[T.A. SISTOLICA (Entre semana 20 y 26)]]="",Tabla1[[#This Row],[T.A. DIATOLICA (Entre semana 20 y 26)]]=""),"NO APLICA REGISTRO TA-INGRESO TARDIO",IF(AND(OR(O206&gt;0,R206&gt;0),OR(CU206&gt;=140,CV206&gt;=90)),"ALTO RIESGO PREECLAMPSIA,DEFINIR ESTADIO HTA",IF(AND(OR(O206&gt;0,R206&gt;0),AND(CU206&gt;120,CU206&lt;=139)),"PRE HTA SEGUIMIENTO,RIESGO HIPERTENSION INDUCIDA POR EL EMBARAZO",IF(AND(OR(O206&gt;0,R206&gt;0),AND(CV206&gt;80,CV206&lt;=89)),"PRE HTA SEGUIMIENTO, RIESGO HIPERTENSION INDUCIDA POR EL EMBARAZO",IF(AND(OR(O206&lt;&gt;"",R206&lt;&gt;""),CS206&lt;&gt;"",CV206&lt;&gt;"",CS206&lt;=CV206),"VIGILAR CIFRAS PRESION ARTERIAL",IF(AND(OR(O206&gt;0,R206&gt;0),AND(CU206&gt;120,CU206&lt;=139)),"PRE HTA SEGUIMIENTO",IF(AND(OR(O206&gt;0,R206&gt;0),AND(CU206&gt;1,CU206&lt;=70),AND(CV206&gt;1,CV206&lt;=40)),"HIPOTENSIÓN",IF(AND(OR(O206&lt;&gt;"",R206&lt;&gt;""),CS206&lt;&gt;"",CV206&lt;&gt;"",CS206&gt;CV206),"APARENTEMENTE NORMAL",IF(AND(OR(O206&gt;0,R206&gt;0),AND(CU206&gt;=80,CU206&lt;=120)),"APARENTEMENTE NORMAL",IF(AND(OR(O206&gt;0,R206&gt;0),AND(CV206&gt;=50,CV206&lt;=80)),"APARENTEMENTE NORMAL","")))))))))))))</f>
        <v xml:space="preserve">COMPLETE REGISTRO TA CONTROL SEM 20 A26 </v>
      </c>
      <c r="CX206" s="21"/>
      <c r="CY206" s="21"/>
      <c r="CZ206" s="216" t="e">
        <f>IF(R206="","",IF(AND(CN206&gt;31,CN206&lt;35,CX206="",CY206=""),"ACUDE A CONTROL SEM 30 A 34- REGISTRE AHORA",IF(AND(BS206&gt;34,BS206&lt;43,#REF!="",#REF!=""),"NO APLICA-INGRESO TARDIO",IF(AND(OR(O206&gt;0,R206&gt;0),OR(CX206&gt;=140,CY206&gt;=90)),"ESTUDIO INMEDIATO HTA PARA DESCARTAR PREECLAMSIA",IF(AND(OR(O206&gt;0,R206&gt;0),AND(CX206&gt;=130,CX206&lt;=139)),"PRE HTA,RIESGO ALTO PREECLAMPSIA",IF(AND(OR(O206&gt;0,R206&gt;0),AND(CY206&gt;80,CY206&lt;=89)),"PRE HTA,RIESGO ALTO PREECLAMPSIA",IF(AND(OR(O206&gt;0,R206&gt;0),AND(CX206&gt;120,CX206&lt;=129)),"RANGO PREHIPERTENSIVO SEGUIMIENTO HTA",IF(AND(OR(O206&lt;&gt;"",R206&lt;&gt;""),CS206&lt;&gt;"",CY206&lt;&gt;"",CS206&lt;CY206),"VIGILAR CIFRAS PRESION ARTERIAL",IF(AND(OR(O206&lt;&gt;"",R206&lt;&gt;""),CS206&lt;&gt;"",CY206&lt;&gt;"",CS206=CY206),"APARENTEMENTE NORMAL",IF(AND(OR(O206&gt;0,R206&gt;0),CX206&gt;=80,CX206&lt;=120),"APARENTEMENTE NORMAL",IF(AND(OR(O206&gt;0,R206&gt;0),CY206&gt;=50,CY206&lt;=80),"APARENTEMENTE NORMAL","")))))))))))</f>
        <v>#REF!</v>
      </c>
      <c r="DA206" s="21">
        <v>120</v>
      </c>
      <c r="DB206" s="21">
        <v>70</v>
      </c>
      <c r="DC206" s="217" t="str">
        <f t="shared" si="849"/>
        <v>APARENTEMENTE NORMAL</v>
      </c>
      <c r="DD206" s="22">
        <v>45112</v>
      </c>
      <c r="DE206" s="22">
        <v>45112</v>
      </c>
      <c r="DF206" s="22">
        <v>45147</v>
      </c>
      <c r="DG206" s="22"/>
      <c r="DH206" s="22"/>
      <c r="DI206" s="22"/>
      <c r="DJ206" s="22"/>
      <c r="DK206" s="22"/>
      <c r="DL206" s="22"/>
      <c r="DM206" s="22"/>
      <c r="DN206" s="22"/>
      <c r="DO206" s="22"/>
      <c r="DP206" s="22"/>
      <c r="DQ206" s="22"/>
      <c r="DR206" s="28"/>
      <c r="DS206" s="22"/>
      <c r="DT206" s="22"/>
      <c r="DU206" s="216" t="str">
        <f t="shared" ca="1" si="917"/>
        <v>EN ESPERA</v>
      </c>
      <c r="DV206" s="226" t="str">
        <f t="shared" si="918"/>
        <v>ACTIVA INGRESO A CPN</v>
      </c>
      <c r="DW20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6" s="216" t="e">
        <f t="shared" ca="1" si="850"/>
        <v>#REF!</v>
      </c>
      <c r="DY206" s="212">
        <f>IF(R206="","",IF(R206&gt;0,MAX(Tabla1[[#This Row],[FECHA C2]:[FECHA C13]],Tabla1[[#This Row],[FECHA CONSULTA PRIMERA VEZ PROGRAMA CPN ]])))</f>
        <v>45147</v>
      </c>
      <c r="DZ206" s="216">
        <f t="shared" si="851"/>
        <v>10</v>
      </c>
      <c r="EA206" s="222">
        <f>IF(R206&gt;0,SUM(COUNTA(DF206:DQ206)+COUNTA(Tabla1[[#This Row],[FECHA CONSULTA PRIMERA VEZ PROGRAMA CPN ]])),"")</f>
        <v>2</v>
      </c>
      <c r="EB206" s="222" t="str">
        <f t="shared" si="852"/>
        <v>NO</v>
      </c>
      <c r="EC206" s="214">
        <f t="shared" si="853"/>
        <v>10</v>
      </c>
      <c r="ED206" s="227">
        <f t="shared" si="854"/>
        <v>0.2</v>
      </c>
      <c r="EE206" s="22">
        <v>45112</v>
      </c>
      <c r="EF206" s="22">
        <v>45121</v>
      </c>
      <c r="EG206" s="22">
        <v>45112</v>
      </c>
      <c r="EH206" s="22"/>
      <c r="EI206" s="22">
        <v>45112</v>
      </c>
      <c r="EJ206" s="22"/>
      <c r="EK206" s="22"/>
      <c r="EL206" s="21"/>
      <c r="EM206" s="21">
        <v>12.6</v>
      </c>
      <c r="EN206" s="22">
        <v>45112</v>
      </c>
      <c r="EO206" s="222">
        <f t="shared" si="855"/>
        <v>5.1428571428571432</v>
      </c>
      <c r="EP206" s="214" t="str">
        <f t="shared" si="856"/>
        <v>NORMAL- SUMINISTRAR SULFATO FERROSO</v>
      </c>
      <c r="EQ206" s="216" t="str">
        <f t="shared" si="857"/>
        <v>I TRIM</v>
      </c>
      <c r="ER206" s="24"/>
      <c r="ES206" s="22"/>
      <c r="ET206" s="29" t="str">
        <f t="shared" ca="1" si="919"/>
        <v>EN ESPERA PARA TOMA EXAMEN</v>
      </c>
      <c r="EU206" s="25" t="str">
        <f t="shared" si="858"/>
        <v/>
      </c>
      <c r="EV206" s="24" t="s">
        <v>1628</v>
      </c>
      <c r="EW206" s="32">
        <v>45114</v>
      </c>
      <c r="EX206" s="22"/>
      <c r="EY206" s="29">
        <f t="shared" si="691"/>
        <v>5.4285714285714288</v>
      </c>
      <c r="EZ206" s="25" t="str">
        <f t="shared" ca="1" si="692"/>
        <v>TOMAR COOMBS INMEDIATO PARA DEFINIR MANEJO</v>
      </c>
      <c r="FA206" s="21">
        <v>77</v>
      </c>
      <c r="FB206" s="32">
        <v>45114</v>
      </c>
      <c r="FC206" s="29">
        <f t="shared" si="859"/>
        <v>5.4285714285714288</v>
      </c>
      <c r="FD206" s="29"/>
      <c r="FE206" s="29"/>
      <c r="FF206" s="29"/>
      <c r="FG206" s="21" t="str">
        <f t="shared" ca="1" si="860"/>
        <v>PROGRAMAR TOMA PTOG SIGUIENTE CONTROL</v>
      </c>
      <c r="FH206" s="31"/>
      <c r="FI206" s="29" t="str">
        <f t="shared" si="861"/>
        <v>TOMAR EXAMEN</v>
      </c>
      <c r="FJ206" s="22" t="s">
        <v>867</v>
      </c>
      <c r="FK206" s="32">
        <v>45114</v>
      </c>
      <c r="FL206" s="29">
        <f t="shared" ca="1" si="862"/>
        <v>5.4285714285714288</v>
      </c>
      <c r="FM206" s="22"/>
      <c r="FN206" s="32"/>
      <c r="FO206" s="29" t="str">
        <f t="shared" ca="1" si="920"/>
        <v>EN RANGO PARA TOMAR EXAMEN</v>
      </c>
      <c r="FP206" s="22"/>
      <c r="FQ206" s="32"/>
      <c r="FR206" s="29" t="str">
        <f t="shared" ca="1" si="921"/>
        <v>EN ESPERA-ESTÁ I TRIM O II TRIM</v>
      </c>
      <c r="FS206" s="22"/>
      <c r="FT206" s="32"/>
      <c r="FU206" s="29" t="str">
        <f>IF(AND(FJ206="",FM206="",FP206="",FS206=""),"",IF(OR(OR(Tabla1[[#This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6" s="28"/>
      <c r="FW206" s="22"/>
      <c r="FX206" s="29" t="str">
        <f t="shared" si="863"/>
        <v>TOMAR EXAMEN</v>
      </c>
      <c r="FY206" s="22" t="s">
        <v>868</v>
      </c>
      <c r="FZ206" s="32">
        <v>45114</v>
      </c>
      <c r="GA206" s="29">
        <f t="shared" ca="1" si="737"/>
        <v>5.4285714285714288</v>
      </c>
      <c r="GB206" s="22"/>
      <c r="GC206" s="22"/>
      <c r="GD206" s="29" t="str">
        <f t="shared" ca="1" si="922"/>
        <v>EN RANGO PARA TOMAR EXAMEN</v>
      </c>
      <c r="GE206" s="22"/>
      <c r="GF206" s="22"/>
      <c r="GG206" s="29" t="str">
        <f t="shared" ca="1" si="923"/>
        <v>EN ESPERA-ESTÁ I TRIM O II TRIM</v>
      </c>
      <c r="GH206" s="22"/>
      <c r="GI206" s="29"/>
      <c r="GJ206" s="22"/>
      <c r="GK206" s="22"/>
      <c r="GL206" s="22"/>
      <c r="GM206" s="22"/>
      <c r="GN206" s="28" t="s">
        <v>869</v>
      </c>
      <c r="GO206" s="32">
        <v>45114</v>
      </c>
      <c r="GP206" s="29">
        <f t="shared" si="864"/>
        <v>5.4285714285714288</v>
      </c>
      <c r="GQ206" s="28" t="s">
        <v>880</v>
      </c>
      <c r="GR206" s="28" t="s">
        <v>869</v>
      </c>
      <c r="GS206" s="22" t="str">
        <f t="shared" si="726"/>
        <v>SE EXCLUYE INFECCION</v>
      </c>
      <c r="GT206" s="22">
        <v>45114</v>
      </c>
      <c r="GU206" s="29">
        <f t="shared" si="865"/>
        <v>5.4285714285714288</v>
      </c>
      <c r="GV206" s="21" t="str">
        <f t="shared" si="866"/>
        <v>I TRIM</v>
      </c>
      <c r="GW206" s="28"/>
      <c r="GX206" s="30"/>
      <c r="GY206" s="21"/>
      <c r="GZ206" s="21"/>
      <c r="HA206" s="21"/>
      <c r="HB206" s="21"/>
      <c r="HC206" s="21"/>
      <c r="HD206" s="21"/>
      <c r="HE206" s="21"/>
      <c r="HF206" s="22"/>
      <c r="HG206" s="22" t="str">
        <f>IF(OR(O206&gt;0,R206&gt;0),CONCATENATE(IF(Tabla1[[#This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6" s="22" t="e">
        <f t="shared" si="867"/>
        <v>#REF!</v>
      </c>
      <c r="HI206" s="22" t="e">
        <f t="shared" ca="1" si="868"/>
        <v>#REF!</v>
      </c>
      <c r="HJ206" s="21"/>
      <c r="HK206" s="21" t="str">
        <f t="shared" si="869"/>
        <v>SIN ANTECEDENTES DE RIESGO</v>
      </c>
      <c r="HL206" s="24" t="str">
        <f t="shared" si="870"/>
        <v>APARENTEMENTE NORMAL</v>
      </c>
      <c r="HM206" s="21" t="e">
        <f t="shared" ca="1" si="871"/>
        <v>#REF!</v>
      </c>
      <c r="HN206" s="30" t="str">
        <f t="shared" si="924"/>
        <v>ACTIVA INGRESO A CPN</v>
      </c>
      <c r="HO206" s="21"/>
      <c r="HP206" s="21"/>
      <c r="HQ206" s="349"/>
      <c r="HR206" s="21" t="str">
        <f>IF(R206="","",IF(Tabla1[[#This Row],[ALARMA FACTORES DE RIESGO COMPLICACIONES HIPERTENSIVAS3]]="SIN ANTECEDENTES DE RIESGO","No Aplica para suministro de ASA",IF(AND(Tabla1[[#This Row],[FECHA INICIO DE SUMINISTRO DE ASA]]&gt;0,RV206&lt;12),"Inicia ASA ANTES de Sem 12",IF(AND(RV206&gt;11,RV206&lt;17,OR(HK206="RIESGO ALTO DE COMPLICACIONES HIPERTENSIVAS VER MANEJO GUIA SUMINISTRO ASA Y CALCIO",HK206="RIESGO MODERADO (2 O MAS CRITERIOS) VER MANEJO GUIA SUMINISTRO ASA Y CALCIO")),"Inicio oportuno de ASA",IF(AND(RV206&gt;12,OR(HK206="RIESGO ALTO DE COMPLICACIONES HIPERTENSIVAS VER MANEJO GUIA SUMINISTRO ASA Y CALCIO",HK206="RIESGO MODERADO (2 O MAS CRITERIOS) VER MANEJO GUIA SUMINISTRO ASA Y CALCIO")),"Inicio no oportuno mayor a 16 semanas",IF(AND(BU206&lt;12,OR(HK206="RIESGO ALTO DE COMPLICACIONES HIPERTENSIVAS VER MANEJO GUIA SUMINISTRO ASA Y CALCIO",HK206="RIESGO MODERADO (2 O MAS CRITERIOS) VER MANEJO GUIA SUMINISTRO ASA Y CALCIO")),"Pendiente Inicio de ASA a la semana 12",IF(AND(BU206&gt;11,BU206&lt;17,OR(HK206="RIESGO ALTO DE COMPLICACIONES HIPERTENSIVAS VER MANEJO GUIA SUMINISTRO ASA Y CALCIO",HK206="RIESGO MODERADO (2 O MAS CRITERIOS) VER MANEJO GUIA SUMINISTRO ASA Y CALCIO")),"Iniciar de inmediato ASA",IF(AND(BU206&gt;16,OR(HK206="RIESGO ALTO DE COMPLICACIONES HIPERTENSIVAS VER MANEJO GUIA SUMINISTRO ASA Y CALCIO",HK206="RIESGO MODERADO (2 O MAS CRITERIOS) VER MANEJO GUIA SUMINISTRO ASA Y CALCIO")),"Pierde Oportunidad, Inicio tardío de ASA","XXXXX"))))))))</f>
        <v>No Aplica para suministro de ASA</v>
      </c>
      <c r="HS206" s="22">
        <v>45114</v>
      </c>
      <c r="HT206" s="22" t="s">
        <v>1518</v>
      </c>
      <c r="HU206" s="22">
        <v>45114</v>
      </c>
      <c r="HV206" s="22" t="s">
        <v>1544</v>
      </c>
      <c r="HW206" s="22">
        <v>45114</v>
      </c>
      <c r="HX206" s="22" t="s">
        <v>1511</v>
      </c>
      <c r="HY206" s="22">
        <v>45112</v>
      </c>
      <c r="HZ206" s="28">
        <f t="shared" si="872"/>
        <v>5.1428571428571432</v>
      </c>
      <c r="IA206" s="26"/>
      <c r="IB206" s="26"/>
      <c r="IC206" s="111"/>
      <c r="ID206" s="22"/>
      <c r="IE206" s="22" t="str">
        <f t="shared" ca="1" si="873"/>
        <v>PROGRAMAR APLICACION DE VACUNA</v>
      </c>
      <c r="IF206" s="22"/>
      <c r="IG206" s="22">
        <f t="shared" si="874"/>
        <v>45356</v>
      </c>
      <c r="IH206" s="29">
        <f t="shared" ca="1" si="875"/>
        <v>123</v>
      </c>
      <c r="II206" s="22" t="str">
        <f t="shared" ca="1" si="876"/>
        <v>PENDIENTE</v>
      </c>
      <c r="IJ206" s="22"/>
      <c r="IK206" s="21"/>
      <c r="IL206" s="21"/>
      <c r="IM206" s="34"/>
      <c r="IN206" s="22"/>
      <c r="IO206" s="21"/>
      <c r="IP206" s="29" t="str">
        <f t="shared" si="877"/>
        <v/>
      </c>
      <c r="IQ206" s="35"/>
      <c r="IR206" s="21"/>
      <c r="IS206" s="21"/>
      <c r="IT206" s="21"/>
      <c r="IU206" s="21"/>
      <c r="IV206" s="21"/>
      <c r="IW206" s="21"/>
      <c r="IX206" s="21"/>
      <c r="IY206" s="21"/>
      <c r="IZ206" s="21"/>
      <c r="JA206" s="21"/>
      <c r="JB206" s="30"/>
      <c r="JC206" s="21"/>
      <c r="JD206" s="36"/>
      <c r="JE206" s="21" t="str">
        <f t="shared" si="878"/>
        <v/>
      </c>
      <c r="JF206" s="30"/>
      <c r="JG206" s="21"/>
      <c r="JH206" s="21"/>
      <c r="JI206" s="21"/>
      <c r="JJ206" s="30"/>
      <c r="JK206" s="22"/>
      <c r="JL206" s="22"/>
      <c r="JM206" s="21"/>
      <c r="JN206" s="36"/>
      <c r="JO206" s="21" t="str">
        <f t="shared" si="879"/>
        <v/>
      </c>
      <c r="JP206" s="22"/>
      <c r="JQ206" s="21"/>
      <c r="JR206" s="21"/>
      <c r="JS206" s="21"/>
      <c r="JT206" s="30"/>
      <c r="JU206" s="22"/>
      <c r="JV206" s="22"/>
      <c r="JW206" s="33"/>
      <c r="JX206" s="28" t="str">
        <f t="shared" si="880"/>
        <v/>
      </c>
      <c r="JY206" s="33"/>
      <c r="JZ206" s="28" t="str">
        <f t="shared" si="881"/>
        <v/>
      </c>
      <c r="KA206" s="21"/>
      <c r="KB206" s="21"/>
      <c r="KC206" s="21"/>
      <c r="KD206" s="37"/>
      <c r="KE206" s="28"/>
      <c r="KF206" s="28"/>
      <c r="KG206" s="28"/>
      <c r="KH206" s="39"/>
      <c r="KI206" s="39"/>
      <c r="KJ206" s="66"/>
      <c r="KK206" s="39"/>
      <c r="KL206" s="39"/>
      <c r="KM206" s="66"/>
      <c r="KN206" s="39"/>
      <c r="KO206" s="39"/>
      <c r="KP206" s="39"/>
      <c r="KQ206" s="39"/>
      <c r="KR206" s="39"/>
      <c r="KS206" s="39"/>
      <c r="KT206" s="39"/>
      <c r="KU206" s="38"/>
      <c r="KV206" s="38"/>
      <c r="KW206" s="38"/>
      <c r="KX206" s="38"/>
      <c r="KY206" s="38"/>
      <c r="KZ206" s="38"/>
      <c r="LA206" s="38"/>
      <c r="LB206" s="38"/>
      <c r="LC206" s="38"/>
      <c r="LD206" s="38"/>
      <c r="LE206" s="38"/>
      <c r="LF206" s="38"/>
      <c r="LG206" s="38"/>
      <c r="LH206" s="38"/>
      <c r="LI206" s="38"/>
      <c r="LJ206" s="38"/>
      <c r="LK206" s="38"/>
      <c r="LL206" s="38"/>
      <c r="LM206" s="38"/>
      <c r="LN206" s="38"/>
      <c r="LO206" s="38"/>
      <c r="LP206" s="38"/>
      <c r="LQ206" s="38"/>
      <c r="LR206" s="38"/>
      <c r="LS206" s="38"/>
      <c r="LT206" s="38"/>
      <c r="LU206" s="38"/>
      <c r="LV206" s="38"/>
      <c r="LW206" s="38"/>
      <c r="LX206" s="38"/>
      <c r="LY206" s="38"/>
      <c r="LZ206" s="38"/>
      <c r="MA206" s="38"/>
      <c r="MB206" s="38"/>
      <c r="MC206" s="38"/>
      <c r="MD206" s="38"/>
      <c r="ME206" s="38"/>
      <c r="MF206" s="38"/>
      <c r="MG206" s="38"/>
      <c r="MH206" s="43">
        <f t="shared" si="882"/>
        <v>0</v>
      </c>
      <c r="MI206" s="43" t="str">
        <f t="shared" si="883"/>
        <v/>
      </c>
      <c r="MJ206" s="43" t="str">
        <f t="shared" si="884"/>
        <v/>
      </c>
      <c r="MK206" s="43">
        <f t="shared" si="885"/>
        <v>0</v>
      </c>
      <c r="ML20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6" s="43">
        <f t="shared" si="886"/>
        <v>5.1428571428571432</v>
      </c>
      <c r="MN206" s="43">
        <f t="shared" si="887"/>
        <v>7</v>
      </c>
      <c r="MO206" s="43">
        <f t="shared" si="888"/>
        <v>2023</v>
      </c>
      <c r="MP206" s="43" t="str">
        <f t="shared" si="889"/>
        <v>III TRIMESTRE AÑO</v>
      </c>
      <c r="MQ206" s="43">
        <f t="shared" si="890"/>
        <v>36.695137976346906</v>
      </c>
      <c r="MR206" s="43">
        <f t="shared" si="891"/>
        <v>2</v>
      </c>
      <c r="MS206" s="43" t="str">
        <f t="shared" si="892"/>
        <v xml:space="preserve"> DE 35 A 39 AÑOS</v>
      </c>
      <c r="MT206" s="43">
        <f t="shared" si="893"/>
        <v>0</v>
      </c>
      <c r="MU206" s="43">
        <f t="shared" si="894"/>
        <v>0</v>
      </c>
      <c r="MV206" s="43">
        <f t="shared" si="895"/>
        <v>0</v>
      </c>
      <c r="MW206" s="43">
        <f t="shared" si="896"/>
        <v>0</v>
      </c>
      <c r="MX206" s="43" t="str">
        <f t="shared" si="897"/>
        <v/>
      </c>
      <c r="MY206" s="43" t="str">
        <f t="shared" ca="1" si="898"/>
        <v/>
      </c>
      <c r="MZ206" s="43" t="str">
        <f t="shared" si="899"/>
        <v/>
      </c>
      <c r="NA206" s="43" t="str">
        <f t="shared" si="900"/>
        <v/>
      </c>
      <c r="NB206" s="43" t="str">
        <f t="shared" si="901"/>
        <v/>
      </c>
      <c r="NC206" s="43" t="str">
        <f t="shared" si="902"/>
        <v/>
      </c>
      <c r="ND206" s="43">
        <f t="shared" ca="1" si="903"/>
        <v>2</v>
      </c>
      <c r="NE206" s="43">
        <f>IF(OR(O206&gt;0,R206&gt;0),SUM(COUNTIF(Tabla1[[#This Row],[AÑOS AL INICIO5 CPN]],"&gt;=40"),COUNTIF(AS206,"0"),COUNTIF(AR206,"SI"),COUNTIF(CC206,"SI"),COUNTIF(BQ206,"&gt;119"),COUNTIF(CI206,"&gt;=35")),"")</f>
        <v>0</v>
      </c>
      <c r="NF206" s="43" t="str">
        <f t="shared" si="904"/>
        <v/>
      </c>
      <c r="NG206" s="43">
        <f t="shared" si="905"/>
        <v>0</v>
      </c>
      <c r="NH206" s="43">
        <f t="shared" si="906"/>
        <v>45.5</v>
      </c>
      <c r="NI20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CPN",P206="NO"),"Z",IF(AND(Tabla1[[#This Row],[CITA PROXIMO CONTROL]]="CITA MANUAL",Tabla1[[#This Row],[GESTANTES ACTUALES]]="ACTIVA INGRESO A CPN"),"W",IF(AND(Tabla1[[#This Row],[GESTANTES ACTUALES]]="SALIO PROGRAMA",IN206=""),"S",IF(AND(Tabla1[[#This Row],[CITA PROXIMO CONTROL]]&gt;0,IN206=""),(Tabla1[[#This Row],[CITA PROXIMO CONTROL]]-TODAY()),"SD"))))))))</f>
        <v>#REF!</v>
      </c>
      <c r="NJ206" s="43">
        <f>MONTH(Tabla1[[#This Row],[FECHA DE SALIDA  DEL PROGRAMA]])</f>
        <v>1</v>
      </c>
      <c r="NK206" s="43">
        <f>YEAR(Tabla1[[#This Row],[FECHA DE SALIDA  DEL PROGRAMA]])</f>
        <v>1900</v>
      </c>
      <c r="NL206" s="43" t="str">
        <f t="shared" si="907"/>
        <v>X</v>
      </c>
      <c r="NM206" s="43" t="str">
        <f t="shared" si="908"/>
        <v>NO</v>
      </c>
      <c r="NN206" s="43" t="str">
        <f ca="1">IF(AND(O206&gt;0,R206=""),"NO CPN",IF(AND(O206="",R206=""),"",IF(AND(R206&gt;0,Tabla1[[#This Row],[SEMANAS DE GESTACION ACTUALIZADAS]]&lt;=12),"NO APLICA",IF(AND(FH206&lt;&gt;"",FN206&lt;&gt;""),"SI","NO"))))</f>
        <v>NO</v>
      </c>
      <c r="NO206" s="43" t="str">
        <f ca="1">IF(AND(O206&gt;0,R206=""),"NO CPN",IF(AND(O206="",R206=""),"",IF(AND(R206&gt;0,Tabla1[[#This Row],[SEMANAS DE GESTACION ACTUALIZADAS]]&lt;=27),"NO APLICA",IF(AND(ES206&lt;&gt;"",FQ206&lt;&gt;"",GF206&lt;&gt;""),"SI","NO"))))</f>
        <v>NO APLICA</v>
      </c>
      <c r="NP206" s="204" t="str">
        <f t="shared" si="909"/>
        <v>I TRIM</v>
      </c>
      <c r="NQ206"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6" s="21">
        <f t="shared" ca="1" si="910"/>
        <v>2</v>
      </c>
      <c r="NS206" s="205">
        <f t="shared" ca="1" si="911"/>
        <v>1</v>
      </c>
      <c r="NT206" s="21">
        <f t="shared" ca="1" si="912"/>
        <v>1</v>
      </c>
      <c r="NU206" s="21" t="str">
        <f t="shared" ca="1" si="913"/>
        <v>INCOMPLETO</v>
      </c>
      <c r="NV206" s="21" t="str">
        <f t="shared" ca="1" si="914"/>
        <v>INCOMPLETO</v>
      </c>
      <c r="NW206" s="206" t="str">
        <f>IF(AND(O206="",R206=""),"",IF(OR(AND(Tabla1[[#This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6" s="207" t="str">
        <f t="shared" ca="1" si="915"/>
        <v>SIN VACUNAR</v>
      </c>
      <c r="NY206" s="43">
        <f>ROW(Tabla1[[#This Row],['# DE TAMIZAJES SIFILIS TOMADOS ]])</f>
        <v>206</v>
      </c>
      <c r="NZ206" s="43" t="str">
        <f t="shared" si="738"/>
        <v>Menor</v>
      </c>
      <c r="OA206" s="43" t="str">
        <f t="shared" si="739"/>
        <v>NORMAL</v>
      </c>
      <c r="OB206" s="43" t="str">
        <f t="shared" si="740"/>
        <v/>
      </c>
      <c r="OC206" s="43" t="str">
        <f t="shared" si="741"/>
        <v/>
      </c>
      <c r="OD206" s="43" t="str">
        <f t="shared" si="742"/>
        <v/>
      </c>
      <c r="OE206" s="43" t="str">
        <f t="shared" si="743"/>
        <v/>
      </c>
      <c r="OF206" s="43" t="str">
        <f t="shared" si="744"/>
        <v/>
      </c>
      <c r="OG206" s="43" t="str">
        <f t="shared" si="745"/>
        <v/>
      </c>
      <c r="OH206" s="43" t="str">
        <f t="shared" si="746"/>
        <v/>
      </c>
      <c r="OI206" s="43" t="str">
        <f t="shared" si="747"/>
        <v/>
      </c>
      <c r="OJ206" s="43" t="str">
        <f t="shared" si="748"/>
        <v/>
      </c>
      <c r="OK206" s="43" t="str">
        <f t="shared" si="749"/>
        <v/>
      </c>
      <c r="OL206" s="43" t="str">
        <f t="shared" si="750"/>
        <v/>
      </c>
      <c r="OM206" s="43" t="str">
        <f t="shared" si="751"/>
        <v/>
      </c>
      <c r="ON206" s="43" t="str">
        <f t="shared" si="752"/>
        <v/>
      </c>
      <c r="OO206" s="43" t="str">
        <f t="shared" si="753"/>
        <v/>
      </c>
      <c r="OP206" s="43" t="str">
        <f t="shared" si="754"/>
        <v/>
      </c>
      <c r="OQ206" s="43" t="str">
        <f t="shared" si="755"/>
        <v/>
      </c>
      <c r="OR206" s="43" t="str">
        <f t="shared" si="756"/>
        <v/>
      </c>
      <c r="OS206" s="43" t="str">
        <f t="shared" si="757"/>
        <v/>
      </c>
      <c r="OT206" s="43" t="str">
        <f t="shared" si="758"/>
        <v/>
      </c>
      <c r="OU206" s="43" t="str">
        <f t="shared" si="759"/>
        <v/>
      </c>
      <c r="OV206" s="110" t="str">
        <f t="shared" si="760"/>
        <v/>
      </c>
      <c r="OW206" s="43" t="str">
        <f t="shared" si="761"/>
        <v/>
      </c>
      <c r="OX206" s="43" t="str">
        <f t="shared" si="762"/>
        <v/>
      </c>
      <c r="OY206" s="43" t="str">
        <f t="shared" si="763"/>
        <v/>
      </c>
      <c r="OZ206" s="43" t="str">
        <f t="shared" si="764"/>
        <v/>
      </c>
      <c r="PA206" s="43" t="str">
        <f t="shared" si="765"/>
        <v/>
      </c>
      <c r="PB206" s="43" t="str">
        <f t="shared" si="766"/>
        <v/>
      </c>
      <c r="PC206" s="43" t="str">
        <f t="shared" si="767"/>
        <v/>
      </c>
      <c r="PD206" s="43" t="str">
        <f t="shared" si="768"/>
        <v/>
      </c>
      <c r="PE206" s="43" t="str">
        <f t="shared" si="769"/>
        <v/>
      </c>
      <c r="PF206" s="43" t="str">
        <f t="shared" si="770"/>
        <v/>
      </c>
      <c r="PG206" s="43" t="str">
        <f t="shared" si="771"/>
        <v/>
      </c>
      <c r="PH206" s="43" t="str">
        <f t="shared" si="772"/>
        <v/>
      </c>
      <c r="PI206" s="43">
        <f t="shared" si="773"/>
        <v>10</v>
      </c>
      <c r="PJ206" s="43" t="str">
        <f t="shared" si="774"/>
        <v/>
      </c>
      <c r="PK206" s="43" t="str">
        <f t="shared" si="775"/>
        <v>NORMAL</v>
      </c>
      <c r="PL206" s="43" t="str">
        <f t="shared" si="776"/>
        <v/>
      </c>
      <c r="PM206" s="43" t="str">
        <f t="shared" si="777"/>
        <v/>
      </c>
      <c r="PN206" s="43" t="str">
        <f t="shared" si="778"/>
        <v/>
      </c>
      <c r="PO206" s="43" t="str">
        <f t="shared" si="779"/>
        <v/>
      </c>
      <c r="PP206" s="43" t="str">
        <f t="shared" si="780"/>
        <v/>
      </c>
      <c r="PQ206" s="43" t="str">
        <f t="shared" si="781"/>
        <v/>
      </c>
      <c r="PR206" s="43" t="str">
        <f t="shared" si="782"/>
        <v/>
      </c>
      <c r="PS206" s="43" t="str">
        <f t="shared" si="783"/>
        <v/>
      </c>
      <c r="PT206" s="43" t="str">
        <f t="shared" si="784"/>
        <v/>
      </c>
      <c r="PU206" s="43" t="str">
        <f t="shared" si="785"/>
        <v/>
      </c>
      <c r="PV206" s="43" t="str">
        <f t="shared" si="786"/>
        <v/>
      </c>
      <c r="PW206" s="43" t="str">
        <f t="shared" si="787"/>
        <v/>
      </c>
      <c r="PX206" s="43" t="str">
        <f t="shared" si="788"/>
        <v/>
      </c>
      <c r="PY206" s="43" t="str">
        <f t="shared" si="789"/>
        <v/>
      </c>
      <c r="PZ206" s="43" t="str">
        <f t="shared" si="790"/>
        <v/>
      </c>
      <c r="QA206" s="43" t="str">
        <f t="shared" si="791"/>
        <v/>
      </c>
      <c r="QB206" s="43" t="str">
        <f t="shared" si="792"/>
        <v/>
      </c>
      <c r="QC206" s="43" t="str">
        <f t="shared" si="793"/>
        <v/>
      </c>
      <c r="QD206" s="43" t="str">
        <f t="shared" si="794"/>
        <v/>
      </c>
      <c r="QE206" s="43" t="str">
        <f t="shared" si="795"/>
        <v/>
      </c>
      <c r="QF206" s="43" t="str">
        <f t="shared" si="796"/>
        <v/>
      </c>
      <c r="QG206" s="43" t="str">
        <f t="shared" si="797"/>
        <v/>
      </c>
      <c r="QH206" s="43" t="str">
        <f t="shared" si="798"/>
        <v/>
      </c>
      <c r="QI206" s="43" t="str">
        <f t="shared" si="799"/>
        <v/>
      </c>
      <c r="QJ206" s="43" t="str">
        <f t="shared" si="800"/>
        <v/>
      </c>
      <c r="QK206" s="43" t="str">
        <f t="shared" si="801"/>
        <v/>
      </c>
      <c r="QL206" s="43" t="str">
        <f t="shared" si="802"/>
        <v/>
      </c>
      <c r="QM206" s="43" t="str">
        <f t="shared" si="803"/>
        <v/>
      </c>
      <c r="QN206" s="43" t="str">
        <f t="shared" si="804"/>
        <v/>
      </c>
      <c r="QO206" s="43" t="str">
        <f t="shared" si="805"/>
        <v/>
      </c>
      <c r="QP206" s="43" t="str">
        <f t="shared" si="806"/>
        <v/>
      </c>
      <c r="QQ206" s="43" t="str">
        <f t="shared" si="807"/>
        <v/>
      </c>
      <c r="QR206" s="43" t="str">
        <f t="shared" si="837"/>
        <v>Menor</v>
      </c>
      <c r="QS206" s="43"/>
      <c r="QT206" s="21" t="str">
        <f t="shared" si="808"/>
        <v/>
      </c>
      <c r="QU206" s="21" t="str">
        <f t="shared" si="809"/>
        <v/>
      </c>
      <c r="QV206" s="21" t="str">
        <f t="shared" si="810"/>
        <v/>
      </c>
      <c r="QW206" s="21" t="str">
        <f t="shared" si="811"/>
        <v/>
      </c>
      <c r="QX206" s="21" t="str">
        <f t="shared" si="812"/>
        <v/>
      </c>
      <c r="QY206" s="21" t="str">
        <f t="shared" si="813"/>
        <v/>
      </c>
      <c r="QZ206" s="21" t="str">
        <f t="shared" si="814"/>
        <v/>
      </c>
      <c r="RA206" s="21" t="str">
        <f t="shared" si="815"/>
        <v/>
      </c>
      <c r="RB206" s="21" t="str">
        <f t="shared" si="816"/>
        <v/>
      </c>
      <c r="RC206" s="21" t="str">
        <f t="shared" si="817"/>
        <v/>
      </c>
      <c r="RD206" s="21" t="str">
        <f t="shared" si="818"/>
        <v/>
      </c>
      <c r="RE206" s="21" t="str">
        <f t="shared" si="819"/>
        <v/>
      </c>
      <c r="RF206" s="21" t="str">
        <f t="shared" si="820"/>
        <v/>
      </c>
      <c r="RG206" s="21" t="str">
        <f t="shared" si="821"/>
        <v/>
      </c>
      <c r="RH206" s="21" t="str">
        <f t="shared" si="822"/>
        <v/>
      </c>
      <c r="RI206" s="21" t="str">
        <f t="shared" si="823"/>
        <v/>
      </c>
      <c r="RJ206" s="21" t="str">
        <f t="shared" si="824"/>
        <v/>
      </c>
      <c r="RK206" s="21" t="str">
        <f t="shared" si="825"/>
        <v/>
      </c>
      <c r="RL206" s="21" t="str">
        <f t="shared" si="826"/>
        <v/>
      </c>
      <c r="RM206" s="21" t="str">
        <f t="shared" si="827"/>
        <v/>
      </c>
      <c r="RN206" s="21" t="str">
        <f t="shared" si="828"/>
        <v/>
      </c>
      <c r="RO206" s="21" t="str">
        <f t="shared" si="829"/>
        <v/>
      </c>
      <c r="RP206" s="21" t="str">
        <f t="shared" si="830"/>
        <v/>
      </c>
      <c r="RQ206" s="21" t="str">
        <f t="shared" si="831"/>
        <v/>
      </c>
      <c r="RR206" s="21" t="str">
        <f t="shared" si="832"/>
        <v/>
      </c>
      <c r="RS206" s="21" t="str">
        <f t="shared" si="833"/>
        <v/>
      </c>
      <c r="RT206" s="21" t="str">
        <f t="shared" si="834"/>
        <v/>
      </c>
      <c r="RU206" s="21" t="str">
        <f t="shared" si="835"/>
        <v/>
      </c>
      <c r="RV206" s="21">
        <f t="shared" si="836"/>
        <v>-1</v>
      </c>
      <c r="RW206" s="284">
        <f>IF(OR(Tabla1[[#This Row],[FUM FORMULA CONFIABLE]]="",Tabla1[[#This Row],[FUM FORMULA CONFIABLE]]="SD"),"",IF(Tabla1[[#This Row],[FUM FORMULA CONFIABLE]]="CORREGIDA",Tabla1[[#This Row],[FUM X ECO 1]],Tabla1[[#This Row],[FUM x AMENORREA]]))</f>
        <v>45076</v>
      </c>
      <c r="RX206" s="21">
        <f>IF(AND(Tabla1[[#This Row],[FUM X ECO 1]]="",Tabla1[[#This Row],[FUM x AMENORREA]]=""),"",IF(AND(Tabla1[[#This Row],[FUM X ECO 1]]="",Tabla1[[#This Row],[FUM x AMENORREA]]&lt;&gt;""),"X",SUM(Tabla1[[#This Row],[FUM X ECO 1]]-Tabla1[[#This Row],[FUM x AMENORREA]])))</f>
        <v>-0.5</v>
      </c>
      <c r="RY206" s="21">
        <f t="shared" si="838"/>
        <v>0</v>
      </c>
    </row>
    <row r="207" spans="1:493" ht="45" customHeight="1" x14ac:dyDescent="0.25">
      <c r="A207" s="109"/>
      <c r="B207" s="43"/>
      <c r="C207" s="43" t="s">
        <v>845</v>
      </c>
      <c r="D207" s="124" t="s">
        <v>1627</v>
      </c>
      <c r="E207" s="43" t="s">
        <v>953</v>
      </c>
      <c r="F207" s="43" t="s">
        <v>1378</v>
      </c>
      <c r="G207" s="43" t="s">
        <v>1617</v>
      </c>
      <c r="H207" s="43"/>
      <c r="I207" s="109" t="s">
        <v>851</v>
      </c>
      <c r="J207" s="110">
        <v>1059606238</v>
      </c>
      <c r="K207" s="43" t="s">
        <v>852</v>
      </c>
      <c r="L207" s="175" t="s">
        <v>1509</v>
      </c>
      <c r="M207" s="22">
        <v>36014</v>
      </c>
      <c r="N207" s="213">
        <f t="shared" ca="1" si="839"/>
        <v>25.257534246575343</v>
      </c>
      <c r="O207" s="22">
        <v>45115</v>
      </c>
      <c r="P207" s="214" t="str">
        <f t="shared" si="916"/>
        <v>SI</v>
      </c>
      <c r="Q207" s="26" t="s">
        <v>855</v>
      </c>
      <c r="R207" s="22">
        <v>45115</v>
      </c>
      <c r="S207" s="21" t="s">
        <v>856</v>
      </c>
      <c r="T207" s="24" t="s">
        <v>690</v>
      </c>
      <c r="U207" s="21" t="s">
        <v>857</v>
      </c>
      <c r="V207" s="21" t="s">
        <v>858</v>
      </c>
      <c r="W207" s="21" t="s">
        <v>1062</v>
      </c>
      <c r="X207" s="21" t="s">
        <v>1259</v>
      </c>
      <c r="Y207" s="21" t="s">
        <v>859</v>
      </c>
      <c r="Z207" s="21">
        <v>3178188154</v>
      </c>
      <c r="AA207" s="21" t="s">
        <v>860</v>
      </c>
      <c r="AB207" s="27" t="s">
        <v>861</v>
      </c>
      <c r="AC207" s="26" t="s">
        <v>877</v>
      </c>
      <c r="AD207" s="38" t="s">
        <v>1546</v>
      </c>
      <c r="AE207" s="26" t="s">
        <v>854</v>
      </c>
      <c r="AF207" s="26" t="s">
        <v>854</v>
      </c>
      <c r="AG207" s="23" t="s">
        <v>864</v>
      </c>
      <c r="AH207" s="23" t="s">
        <v>864</v>
      </c>
      <c r="AI207" s="24" t="s">
        <v>863</v>
      </c>
      <c r="AJ207" s="23" t="s">
        <v>864</v>
      </c>
      <c r="AK207" s="220" t="str">
        <f>IF(AND(AD207="",AE207="",AF207="",AG207="",AH207="",AI207="",AJ207=""),"",IF(OR(Tabla1[[#This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EVALUACIÓN",IF(AND(O207="",R207=""),"",IF(AND(OR(O207&gt;0,R207&gt;0),NG207&gt;=0,NG207&lt;2),"SIN RIESGO",IF(AND(OR(O207&gt;0,R207&gt;0),NG207&gt;=2),"CON RIESGO","ASD")))))</f>
        <v>SIN RIESGO</v>
      </c>
      <c r="AL207" s="23" t="s">
        <v>864</v>
      </c>
      <c r="AM207" s="23" t="s">
        <v>864</v>
      </c>
      <c r="AN207" s="23" t="s">
        <v>864</v>
      </c>
      <c r="AO207" s="23" t="s">
        <v>864</v>
      </c>
      <c r="AP207" s="23" t="s">
        <v>864</v>
      </c>
      <c r="AQ207" s="23" t="s">
        <v>864</v>
      </c>
      <c r="AR207" s="23" t="s">
        <v>864</v>
      </c>
      <c r="AS207" s="21">
        <v>1</v>
      </c>
      <c r="AT207" s="21">
        <v>1</v>
      </c>
      <c r="AU207" s="21">
        <v>0</v>
      </c>
      <c r="AV207" s="26" t="s">
        <v>864</v>
      </c>
      <c r="AW207" s="21">
        <v>0</v>
      </c>
      <c r="AX207" s="26" t="s">
        <v>864</v>
      </c>
      <c r="AY207" s="26" t="s">
        <v>864</v>
      </c>
      <c r="AZ207" s="26" t="s">
        <v>864</v>
      </c>
      <c r="BA207" s="26" t="s">
        <v>864</v>
      </c>
      <c r="BB207" s="26" t="s">
        <v>864</v>
      </c>
      <c r="BC207" s="26" t="s">
        <v>864</v>
      </c>
      <c r="BD207" s="26" t="s">
        <v>864</v>
      </c>
      <c r="BE207" s="26" t="s">
        <v>864</v>
      </c>
      <c r="BF207" s="26" t="s">
        <v>864</v>
      </c>
      <c r="BG207" s="26" t="s">
        <v>864</v>
      </c>
      <c r="BH207" s="26" t="s">
        <v>864</v>
      </c>
      <c r="BI207" s="26" t="s">
        <v>864</v>
      </c>
      <c r="BJ207" s="26" t="s">
        <v>864</v>
      </c>
      <c r="BK207" s="26" t="s">
        <v>864</v>
      </c>
      <c r="BL207" s="26" t="s">
        <v>864</v>
      </c>
      <c r="BM207" s="26" t="s">
        <v>864</v>
      </c>
      <c r="BN207" s="22">
        <v>41570</v>
      </c>
      <c r="BO207" s="22">
        <v>45076</v>
      </c>
      <c r="BP207" s="21" t="s">
        <v>1380</v>
      </c>
      <c r="BQ207" s="222">
        <f t="shared" si="840"/>
        <v>116.96666666666667</v>
      </c>
      <c r="BR207" s="223">
        <f t="shared" si="841"/>
        <v>45079</v>
      </c>
      <c r="BS207" s="224">
        <f t="shared" si="842"/>
        <v>5.1428571428571432</v>
      </c>
      <c r="BT207" s="216" t="str">
        <f t="shared" si="843"/>
        <v>I TRIM</v>
      </c>
      <c r="BU207" s="214">
        <f t="shared" ca="1" si="925"/>
        <v>22</v>
      </c>
      <c r="BV207" s="25" t="s">
        <v>1478</v>
      </c>
      <c r="BW207" s="22">
        <v>45121</v>
      </c>
      <c r="BX207" s="28">
        <v>6</v>
      </c>
      <c r="BY207" s="28"/>
      <c r="BZ207" s="22"/>
      <c r="CA207" s="21"/>
      <c r="CB207" s="26" t="s">
        <v>864</v>
      </c>
      <c r="CC207" s="26" t="s">
        <v>864</v>
      </c>
      <c r="CD207" s="26"/>
      <c r="CE207" s="26" t="s">
        <v>864</v>
      </c>
      <c r="CF207" s="22" t="s">
        <v>1517</v>
      </c>
      <c r="CG207" s="21">
        <v>1.5</v>
      </c>
      <c r="CH207" s="21">
        <v>49.2</v>
      </c>
      <c r="CI207" s="214">
        <f t="shared" si="845"/>
        <v>21.866666666666667</v>
      </c>
      <c r="CJ207" s="225" t="str">
        <f>IF(AND(CI207&lt;10,CH207="SD"),"SIN DATO PESO PREGESTACION O I TRIM",IF(AND(OR(R207&gt;0,O207&gt;0),CI207="X"),"INGRESAR DATO DE PESO",IF(CI207="SD","INGRESAR DATO DE TALLA Y PESO",IF(AND(OR(Tabla1[[#This Row],[MOMENTO EN QUE SE REALIZA EL PESO AL INGRESO A CPN]]="PREGESTACIÓN",NZ207="Menor"),CI207&lt;18.5),"BAJO PESO",IF(AND(OR(Tabla1[[#This Row],[MOMENTO EN QUE SE REALIZA EL PESO AL INGRESO A CPN]]="PREGESTACIÓN",NZ207="Menor"),CI207&lt;25),"NORMAL",IF(AND(OR(Tabla1[[#This Row],[MOMENTO EN QUE SE REALIZA EL PESO AL INGRESO A CPN]]="PREGESTACIÓN",NZ207="Menor"),CI207&lt;30),"SOBREPESO",IF(AND(OR(Tabla1[[#This Row],[MOMENTO EN QUE SE REALIZA EL PESO AL INGRESO A CPN]]="PREGESTACIÓN",NZ207="Menor"),CI207&gt;=30,CI207&lt;50),"OBESIDAD",IF(AND(BS207&gt;0,Tabla1[[#This Row],[MOMENTO EN QUE SE REALIZA EL PESO AL INGRESO A CPN]]="GESTACIÓN"),HLOOKUP(NZ207,$OA$2:PH207,NY207),""))))))))</f>
        <v>NORMAL</v>
      </c>
      <c r="CK207" s="212">
        <f t="shared" si="846"/>
        <v>45115</v>
      </c>
      <c r="CL207" s="21">
        <v>49.2</v>
      </c>
      <c r="CM207" s="214">
        <f t="shared" si="847"/>
        <v>21.866666666666667</v>
      </c>
      <c r="CN207" s="216">
        <f t="shared" si="848"/>
        <v>5</v>
      </c>
      <c r="CO207" s="216" t="e">
        <f>IF(PI207="","",IF(PI207&gt;0,HLOOKUP(PI207,$PJ$2:QQ207,NY207),""))</f>
        <v>#REF!</v>
      </c>
      <c r="CP207" s="21"/>
      <c r="CQ207" s="216" t="str">
        <f>IF(QR207="Menor","NO APLICA-MENOR 13 SEM",IF(AND(CC207="SI",CN207&gt;23),"NO APLICA- GEMELAR",IF(QR207="","",IF(QR207&gt;0,HLOOKUP(QR207,$QS$2:RU207,NY207),""))))</f>
        <v>NO APLICA-MENOR 13 SEM</v>
      </c>
      <c r="CR207" s="21">
        <v>110</v>
      </c>
      <c r="CS207" s="21">
        <v>70</v>
      </c>
      <c r="CT207" s="217" t="str">
        <f>IF(R207="","",IF(AND(BS207&gt;1,BS207&lt;12,Tabla1[[#This Row],[T.A. SISTOLICA - ANTES DE SEMANA 12]]="",Tabla1[[#This Row],[T.A. DIASTOLICA - ANTES DE SEMANA 12]]=""),"REGISTRE DATO TA ANTES SEMANA 12",IF(AND(BS207&gt;11,BS207&lt;43,Tabla1[[#This Row],[T.A. SISTOLICA - ANTES DE SEMANA 12]]="",Tabla1[[#This Row],[T.A. DIASTOLICA - ANTES DE SEMANA 12]]=""),"NO APLICA REGISTRO TA-INGRESO TARDIO",IF(AND(OR(O207&gt;0,R207&gt;0),OR(CR207&gt;=140,CS207&gt;=90)),"DEFINIR ESTADIO HTA",IF(AND(OR(O207&gt;0,R207&gt;0),AND(CR207&gt;120,CR207&lt;=139)),"PRE HTA SEGUIMIENTO",IF(AND(OR(O207&gt;0,R207&gt;0),AND(CS207&gt;80,CS207&lt;=89)),"PRE HTA SEGUIMIENTO",IF(AND(OR(O207&gt;0,R207&gt;0),AND(CR207&gt;=80,CR207&lt;=120)),"APARENTEMENTE NORMAL",IF(AND(OR(O207&gt;0,R207&gt;0),AND(CS207&gt;=50,CS207&lt;=80)),"APARENTEMENTE NORMAL",IF(AND(OR(O207&gt;0,R207&gt;0),AND(CR207&gt;1,CR207&lt;=70),AND(CS207&gt;1,CS207&lt;=40)),"HIPOTENSIÓN","")))))))))</f>
        <v>APARENTEMENTE NORMAL</v>
      </c>
      <c r="CU207" s="21"/>
      <c r="CV207" s="21"/>
      <c r="CW207" s="217" t="str">
        <f ca="1">IF(R207="","",IF(AND(CN207&gt;19,CN207&lt;27,Tabla1[[#This Row],[T.A. SISTOLICA (Entre semana 20 y 26)]]="",Tabla1[[#This Row],[T.A. DIATOLICA (Entre semana 20 y 26)]]=""),"ACUDE A CONTROL SEM 20 A 26 REGISTRE TA AHORA",IF(AND(BS207&gt;1,BS207&lt;27,BU207&gt;19,Tabla1[[#This Row],[T.A. SISTOLICA (Entre semana 20 y 26)]]="",Tabla1[[#This Row],[T.A. DIATOLICA (Entre semana 20 y 26)]]=""),"COMPLETE REGISTRO TA CONTROL SEM 20 A26 ",IF(AND(BS207&gt;26,BS207&lt;43,Tabla1[[#This Row],[T.A. SISTOLICA (Entre semana 20 y 26)]]="",Tabla1[[#This Row],[T.A. DIATOLICA (Entre semana 20 y 26)]]=""),"NO APLICA REGISTRO TA-INGRESO TARDIO",IF(AND(OR(O207&gt;0,R207&gt;0),OR(CU207&gt;=140,CV207&gt;=90)),"ALTO RIESGO PREECLAMPSIA,DEFINIR ESTADIO HTA",IF(AND(OR(O207&gt;0,R207&gt;0),AND(CU207&gt;120,CU207&lt;=139)),"PRE HTA SEGUIMIENTO,RIESGO HIPERTENSION INDUCIDA POR EL EMBARAZO",IF(AND(OR(O207&gt;0,R207&gt;0),AND(CV207&gt;80,CV207&lt;=89)),"PRE HTA SEGUIMIENTO, RIESGO HIPERTENSION INDUCIDA POR EL EMBARAZO",IF(AND(OR(O207&lt;&gt;"",R207&lt;&gt;""),CS207&lt;&gt;"",CV207&lt;&gt;"",CS207&lt;=CV207),"VIGILAR CIFRAS PRESION ARTERIAL",IF(AND(OR(O207&gt;0,R207&gt;0),AND(CU207&gt;120,CU207&lt;=139)),"PRE HTA SEGUIMIENTO",IF(AND(OR(O207&gt;0,R207&gt;0),AND(CU207&gt;1,CU207&lt;=70),AND(CV207&gt;1,CV207&lt;=40)),"HIPOTENSIÓN",IF(AND(OR(O207&lt;&gt;"",R207&lt;&gt;""),CS207&lt;&gt;"",CV207&lt;&gt;"",CS207&gt;CV207),"APARENTEMENTE NORMAL",IF(AND(OR(O207&gt;0,R207&gt;0),AND(CU207&gt;=80,CU207&lt;=120)),"APARENTEMENTE NORMAL",IF(AND(OR(O207&gt;0,R207&gt;0),AND(CV207&gt;=50,CV207&lt;=80)),"APARENTEMENTE NORMAL","")))))))))))))</f>
        <v xml:space="preserve">COMPLETE REGISTRO TA CONTROL SEM 20 A26 </v>
      </c>
      <c r="CX207" s="21"/>
      <c r="CY207" s="21"/>
      <c r="CZ207" s="216" t="str">
        <f>IF(R207="","",IF(AND(CN207&gt;31,CN207&lt;35,CX207="",CY207=""),"ACUDE A CONTROL SEM 30 A 34- REGISTRE AHORA",IF(AND(BS207&gt;34,BS207&lt;43,CX208="",CY208=""),"NO APLICA-INGRESO TARDIO",IF(AND(OR(O207&gt;0,R207&gt;0),OR(CX207&gt;=140,CY207&gt;=90)),"ESTUDIO INMEDIATO HTA PARA DESCARTAR PREECLAMSIA",IF(AND(OR(O207&gt;0,R207&gt;0),AND(CX207&gt;=130,CX207&lt;=139)),"PRE HTA,RIESGO ALTO PREECLAMPSIA",IF(AND(OR(O207&gt;0,R207&gt;0),AND(CY207&gt;80,CY207&lt;=89)),"PRE HTA,RIESGO ALTO PREECLAMPSIA",IF(AND(OR(O207&gt;0,R207&gt;0),AND(CX207&gt;120,CX207&lt;=129)),"RANGO PREHIPERTENSIVO SEGUIMIENTO HTA",IF(AND(OR(O207&lt;&gt;"",R207&lt;&gt;""),CS207&lt;&gt;"",CY207&lt;&gt;"",CS207&lt;CY207),"VIGILAR CIFRAS PRESION ARTERIAL",IF(AND(OR(O207&lt;&gt;"",R207&lt;&gt;""),CS207&lt;&gt;"",CY207&lt;&gt;"",CS207=CY207),"APARENTEMENTE NORMAL",IF(AND(OR(O207&gt;0,R207&gt;0),CX207&gt;=80,CX207&lt;=120),"APARENTEMENTE NORMAL",IF(AND(OR(O207&gt;0,R207&gt;0),CY207&gt;=50,CY207&lt;=80),"APARENTEMENTE NORMAL","")))))))))))</f>
        <v/>
      </c>
      <c r="DA207" s="21">
        <v>110</v>
      </c>
      <c r="DB207" s="21">
        <v>70</v>
      </c>
      <c r="DC207" s="217" t="str">
        <f t="shared" si="849"/>
        <v>APARENTEMENTE NORMAL</v>
      </c>
      <c r="DD207" s="22">
        <v>45115</v>
      </c>
      <c r="DE207" s="22">
        <v>45115</v>
      </c>
      <c r="DF207" s="22"/>
      <c r="DG207" s="22"/>
      <c r="DH207" s="22"/>
      <c r="DI207" s="22"/>
      <c r="DJ207" s="22"/>
      <c r="DK207" s="22"/>
      <c r="DL207" s="22"/>
      <c r="DM207" s="22"/>
      <c r="DN207" s="22"/>
      <c r="DO207" s="22"/>
      <c r="DP207" s="22"/>
      <c r="DQ207" s="22"/>
      <c r="DR207" s="28"/>
      <c r="DS207" s="22"/>
      <c r="DT207" s="22"/>
      <c r="DU207" s="216" t="str">
        <f t="shared" ca="1" si="917"/>
        <v>EN ESPERA</v>
      </c>
      <c r="DV207" s="226" t="str">
        <f t="shared" si="918"/>
        <v>ACTIVA INGRESO A CPN</v>
      </c>
      <c r="DW20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7" s="216" t="e">
        <f t="shared" ca="1" si="850"/>
        <v>#REF!</v>
      </c>
      <c r="DY207" s="212">
        <f>IF(R207="","",IF(R207&gt;0,MAX(Tabla1[[#This Row],[FECHA C2]:[FECHA C13]],Tabla1[[#This Row],[FECHA CONSULTA PRIMERA VEZ PROGRAMA CPN ]])))</f>
        <v>45115</v>
      </c>
      <c r="DZ207" s="216">
        <f t="shared" si="851"/>
        <v>5</v>
      </c>
      <c r="EA207" s="222">
        <f>IF(R207&gt;0,SUM(COUNTA(DF207:DQ207)+COUNTA(Tabla1[[#This Row],[FECHA CONSULTA PRIMERA VEZ PROGRAMA CPN ]])),"")</f>
        <v>1</v>
      </c>
      <c r="EB207" s="222" t="str">
        <f t="shared" si="852"/>
        <v>NO</v>
      </c>
      <c r="EC207" s="214">
        <f t="shared" si="853"/>
        <v>10</v>
      </c>
      <c r="ED207" s="227">
        <f t="shared" si="854"/>
        <v>0.1</v>
      </c>
      <c r="EE207" s="22">
        <v>45115</v>
      </c>
      <c r="EF207" s="22">
        <v>45121</v>
      </c>
      <c r="EG207" s="22">
        <v>45115</v>
      </c>
      <c r="EH207" s="22"/>
      <c r="EI207" s="22">
        <v>45115</v>
      </c>
      <c r="EJ207" s="22"/>
      <c r="EK207" s="22"/>
      <c r="EL207" s="21"/>
      <c r="EM207" s="21">
        <v>13.1</v>
      </c>
      <c r="EN207" s="22">
        <v>45115</v>
      </c>
      <c r="EO207" s="222">
        <f t="shared" si="855"/>
        <v>5.1428571428571432</v>
      </c>
      <c r="EP207" s="214" t="str">
        <f t="shared" si="856"/>
        <v>NORMAL- SUMINISTRAR SULFATO FERROSO</v>
      </c>
      <c r="EQ207" s="216" t="str">
        <f t="shared" si="857"/>
        <v>I TRIM</v>
      </c>
      <c r="ER207" s="24"/>
      <c r="ES207" s="22"/>
      <c r="ET207" s="29" t="str">
        <f t="shared" ca="1" si="919"/>
        <v>EN ESPERA PARA TOMA EXAMEN</v>
      </c>
      <c r="EU207" s="25" t="str">
        <f t="shared" si="858"/>
        <v/>
      </c>
      <c r="EV207" s="24" t="s">
        <v>1510</v>
      </c>
      <c r="EW207" s="32">
        <v>45115</v>
      </c>
      <c r="EX207" s="22"/>
      <c r="EY207" s="29">
        <f t="shared" si="691"/>
        <v>5.1428571428571432</v>
      </c>
      <c r="EZ207" s="25" t="str">
        <f t="shared" si="692"/>
        <v>SIN RIESGO DE ISOINMUNIZACIÓN</v>
      </c>
      <c r="FA207" s="21">
        <v>88</v>
      </c>
      <c r="FB207" s="32">
        <v>45115</v>
      </c>
      <c r="FC207" s="29">
        <f t="shared" si="859"/>
        <v>5.1428571428571432</v>
      </c>
      <c r="FD207" s="29"/>
      <c r="FE207" s="29"/>
      <c r="FF207" s="29"/>
      <c r="FG207" s="21" t="str">
        <f t="shared" ca="1" si="860"/>
        <v>PROGRAMAR TOMA PTOG SIGUIENTE CONTROL</v>
      </c>
      <c r="FH207" s="31"/>
      <c r="FI207" s="29" t="str">
        <f t="shared" si="861"/>
        <v>TOMAR EXAMEN</v>
      </c>
      <c r="FJ207" s="22" t="s">
        <v>867</v>
      </c>
      <c r="FK207" s="32">
        <v>45115</v>
      </c>
      <c r="FL207" s="29">
        <f t="shared" ca="1" si="862"/>
        <v>5.1428571428571432</v>
      </c>
      <c r="FM207" s="22"/>
      <c r="FN207" s="32"/>
      <c r="FO207" s="29" t="str">
        <f t="shared" ca="1" si="920"/>
        <v>EN RANGO PARA TOMAR EXAMEN</v>
      </c>
      <c r="FP207" s="22"/>
      <c r="FQ207" s="32"/>
      <c r="FR207" s="29" t="str">
        <f t="shared" ca="1" si="921"/>
        <v>EN ESPERA-ESTÁ I TRIM O II TRIM</v>
      </c>
      <c r="FS207" s="22"/>
      <c r="FT207" s="32"/>
      <c r="FU207" s="29" t="str">
        <f>IF(AND(FJ207="",FM207="",FP207="",FS207=""),"",IF(OR(OR(Tabla1[[#This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7" s="28"/>
      <c r="FW207" s="22"/>
      <c r="FX207" s="29" t="str">
        <f t="shared" si="863"/>
        <v>TOMAR EXAMEN</v>
      </c>
      <c r="FY207" s="22" t="s">
        <v>868</v>
      </c>
      <c r="FZ207" s="32">
        <v>45115</v>
      </c>
      <c r="GA207" s="29">
        <f t="shared" ca="1" si="737"/>
        <v>5.1428571428571432</v>
      </c>
      <c r="GB207" s="22"/>
      <c r="GC207" s="22"/>
      <c r="GD207" s="29" t="str">
        <f t="shared" ca="1" si="922"/>
        <v>EN RANGO PARA TOMAR EXAMEN</v>
      </c>
      <c r="GE207" s="22"/>
      <c r="GF207" s="22"/>
      <c r="GG207" s="29" t="str">
        <f t="shared" ca="1" si="923"/>
        <v>EN ESPERA-ESTÁ I TRIM O II TRIM</v>
      </c>
      <c r="GH207" s="22"/>
      <c r="GI207" s="29"/>
      <c r="GJ207" s="22"/>
      <c r="GK207" s="22"/>
      <c r="GL207" s="22"/>
      <c r="GM207" s="22"/>
      <c r="GN207" s="28" t="s">
        <v>869</v>
      </c>
      <c r="GO207" s="32">
        <v>45115</v>
      </c>
      <c r="GP207" s="29">
        <f t="shared" si="864"/>
        <v>5.1428571428571432</v>
      </c>
      <c r="GQ207" s="28" t="s">
        <v>846</v>
      </c>
      <c r="GR207" s="28" t="s">
        <v>869</v>
      </c>
      <c r="GS207" s="22" t="str">
        <f t="shared" si="726"/>
        <v/>
      </c>
      <c r="GT207" s="22">
        <v>45115</v>
      </c>
      <c r="GU207" s="29">
        <f t="shared" si="865"/>
        <v>5.5714285714285712</v>
      </c>
      <c r="GV207" s="21" t="str">
        <f t="shared" si="866"/>
        <v>I TRIM</v>
      </c>
      <c r="GW207" s="28"/>
      <c r="GX207" s="30"/>
      <c r="GY207" s="21"/>
      <c r="GZ207" s="21"/>
      <c r="HA207" s="21"/>
      <c r="HB207" s="21"/>
      <c r="HC207" s="21"/>
      <c r="HD207" s="21"/>
      <c r="HE207" s="21"/>
      <c r="HF207" s="22"/>
      <c r="HG207" s="22" t="str">
        <f>IF(OR(O207&gt;0,R207&gt;0),CONCATENATE(IF(Tabla1[[#This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7" s="22" t="e">
        <f t="shared" si="867"/>
        <v>#REF!</v>
      </c>
      <c r="HI207" s="22" t="e">
        <f t="shared" si="868"/>
        <v>#REF!</v>
      </c>
      <c r="HJ207" s="21"/>
      <c r="HK207" s="21" t="e">
        <f t="shared" si="869"/>
        <v>#REF!</v>
      </c>
      <c r="HL207" s="24" t="str">
        <f t="shared" si="870"/>
        <v>APARENTEMENTE NORMAL</v>
      </c>
      <c r="HM207" s="21" t="e">
        <f t="shared" ca="1" si="871"/>
        <v>#REF!</v>
      </c>
      <c r="HN207" s="30" t="str">
        <f t="shared" si="924"/>
        <v>ACTIVA INGRESO A CPN</v>
      </c>
      <c r="HO207" s="21"/>
      <c r="HP207" s="21"/>
      <c r="HQ207" s="349"/>
      <c r="HR207" s="21" t="e">
        <f>IF(R207="","",IF(Tabla1[[#This Row],[ALARMA FACTORES DE RIESGO COMPLICACIONES HIPERTENSIVAS3]]="SIN ANTECEDENTES DE RIESGO","No Aplica para suministro de ASA",IF(AND(Tabla1[[#This Row],[FECHA INICIO DE SUMINISTRO DE ASA]]&gt;0,RV207&lt;12),"Inicia ASA ANTES de Sem 12",IF(AND(RV207&gt;11,RV207&lt;17,OR(HK207="RIESGO ALTO DE COMPLICACIONES HIPERTENSIVAS VER MANEJO GUIA SUMINISTRO ASA Y CALCIO",HK207="RIESGO MODERADO (2 O MAS CRITERIOS) VER MANEJO GUIA SUMINISTRO ASA Y CALCIO")),"Inicio oportuno de ASA",IF(AND(RV207&gt;12,OR(HK207="RIESGO ALTO DE COMPLICACIONES HIPERTENSIVAS VER MANEJO GUIA SUMINISTRO ASA Y CALCIO",HK207="RIESGO MODERADO (2 O MAS CRITERIOS) VER MANEJO GUIA SUMINISTRO ASA Y CALCIO")),"Inicio no oportuno mayor a 16 semanas",IF(AND(BU207&lt;12,OR(HK207="RIESGO ALTO DE COMPLICACIONES HIPERTENSIVAS VER MANEJO GUIA SUMINISTRO ASA Y CALCIO",HK207="RIESGO MODERADO (2 O MAS CRITERIOS) VER MANEJO GUIA SUMINISTRO ASA Y CALCIO")),"Pendiente Inicio de ASA a la semana 12",IF(AND(BU207&gt;11,BU207&lt;17,OR(HK207="RIESGO ALTO DE COMPLICACIONES HIPERTENSIVAS VER MANEJO GUIA SUMINISTRO ASA Y CALCIO",HK207="RIESGO MODERADO (2 O MAS CRITERIOS) VER MANEJO GUIA SUMINISTRO ASA Y CALCIO")),"Iniciar de inmediato ASA",IF(AND(BU207&gt;16,OR(HK207="RIESGO ALTO DE COMPLICACIONES HIPERTENSIVAS VER MANEJO GUIA SUMINISTRO ASA Y CALCIO",HK207="RIESGO MODERADO (2 O MAS CRITERIOS) VER MANEJO GUIA SUMINISTRO ASA Y CALCIO")),"Pierde Oportunidad, Inicio tardío de ASA","XXXXX"))))))))</f>
        <v>#REF!</v>
      </c>
      <c r="HS207" s="22">
        <v>45115</v>
      </c>
      <c r="HT207" s="22" t="s">
        <v>1518</v>
      </c>
      <c r="HU207" s="22">
        <v>45115</v>
      </c>
      <c r="HV207" s="22" t="s">
        <v>1544</v>
      </c>
      <c r="HW207" s="22">
        <v>45115</v>
      </c>
      <c r="HX207" s="22" t="s">
        <v>1511</v>
      </c>
      <c r="HY207" s="22">
        <v>45115</v>
      </c>
      <c r="HZ207" s="28">
        <f t="shared" si="872"/>
        <v>5.1428571428571432</v>
      </c>
      <c r="IA207" s="26"/>
      <c r="IB207" s="26"/>
      <c r="IC207" s="111"/>
      <c r="ID207" s="22"/>
      <c r="IE207" s="22" t="e">
        <f t="shared" si="873"/>
        <v>#REF!</v>
      </c>
      <c r="IF207" s="22"/>
      <c r="IG207" s="22">
        <f t="shared" si="874"/>
        <v>45359</v>
      </c>
      <c r="IH207" s="29">
        <f t="shared" ca="1" si="875"/>
        <v>126</v>
      </c>
      <c r="II207" s="22" t="str">
        <f t="shared" ca="1" si="876"/>
        <v>PENDIENTE</v>
      </c>
      <c r="IJ207" s="22"/>
      <c r="IK207" s="21"/>
      <c r="IL207" s="21"/>
      <c r="IM207" s="34"/>
      <c r="IN207" s="22"/>
      <c r="IO207" s="21"/>
      <c r="IP207" s="29" t="str">
        <f t="shared" si="877"/>
        <v/>
      </c>
      <c r="IQ207" s="35"/>
      <c r="IR207" s="21"/>
      <c r="IS207" s="21"/>
      <c r="IT207" s="21"/>
      <c r="IU207" s="21"/>
      <c r="IV207" s="21"/>
      <c r="IW207" s="21"/>
      <c r="IX207" s="21"/>
      <c r="IY207" s="21"/>
      <c r="IZ207" s="21"/>
      <c r="JA207" s="21"/>
      <c r="JB207" s="30"/>
      <c r="JC207" s="21"/>
      <c r="JD207" s="36"/>
      <c r="JE207" s="21" t="str">
        <f t="shared" si="878"/>
        <v/>
      </c>
      <c r="JF207" s="30"/>
      <c r="JG207" s="21"/>
      <c r="JH207" s="21"/>
      <c r="JI207" s="21"/>
      <c r="JJ207" s="30"/>
      <c r="JK207" s="22"/>
      <c r="JL207" s="22"/>
      <c r="JM207" s="21"/>
      <c r="JN207" s="36"/>
      <c r="JO207" s="21" t="str">
        <f t="shared" si="879"/>
        <v/>
      </c>
      <c r="JP207" s="22"/>
      <c r="JQ207" s="21"/>
      <c r="JR207" s="21"/>
      <c r="JS207" s="21"/>
      <c r="JT207" s="30"/>
      <c r="JU207" s="22"/>
      <c r="JV207" s="22"/>
      <c r="JW207" s="33"/>
      <c r="JX207" s="28" t="str">
        <f t="shared" si="880"/>
        <v/>
      </c>
      <c r="JY207" s="33"/>
      <c r="JZ207" s="28" t="str">
        <f t="shared" si="881"/>
        <v/>
      </c>
      <c r="KA207" s="21"/>
      <c r="KB207" s="21"/>
      <c r="KC207" s="21"/>
      <c r="KD207" s="37"/>
      <c r="KE207" s="28"/>
      <c r="KF207" s="28"/>
      <c r="KG207" s="28"/>
      <c r="KH207" s="39"/>
      <c r="KI207" s="39"/>
      <c r="KJ207" s="66"/>
      <c r="KK207" s="39"/>
      <c r="KL207" s="39"/>
      <c r="KM207" s="66"/>
      <c r="KN207" s="39"/>
      <c r="KO207" s="39"/>
      <c r="KP207" s="39"/>
      <c r="KQ207" s="39"/>
      <c r="KR207" s="39"/>
      <c r="KS207" s="39"/>
      <c r="KT207" s="39"/>
      <c r="KU207" s="38"/>
      <c r="KV207" s="38"/>
      <c r="KW207" s="38"/>
      <c r="KX207" s="38"/>
      <c r="KY207" s="38"/>
      <c r="KZ207" s="38"/>
      <c r="LA207" s="38"/>
      <c r="LB207" s="38"/>
      <c r="LC207" s="38"/>
      <c r="LD207" s="38"/>
      <c r="LE207" s="38"/>
      <c r="LF207" s="38"/>
      <c r="LG207" s="38"/>
      <c r="LH207" s="38"/>
      <c r="LI207" s="38"/>
      <c r="LJ207" s="38"/>
      <c r="LK207" s="38"/>
      <c r="LL207" s="38"/>
      <c r="LM207" s="38"/>
      <c r="LN207" s="38"/>
      <c r="LO207" s="38"/>
      <c r="LP207" s="38"/>
      <c r="LQ207" s="38"/>
      <c r="LR207" s="38"/>
      <c r="LS207" s="38"/>
      <c r="LT207" s="38"/>
      <c r="LU207" s="38"/>
      <c r="LV207" s="38"/>
      <c r="LW207" s="38"/>
      <c r="LX207" s="38"/>
      <c r="LY207" s="38"/>
      <c r="LZ207" s="38"/>
      <c r="MA207" s="38"/>
      <c r="MB207" s="38"/>
      <c r="MC207" s="38"/>
      <c r="MD207" s="38"/>
      <c r="ME207" s="38"/>
      <c r="MF207" s="38"/>
      <c r="MG207" s="38"/>
      <c r="MH207" s="43">
        <f t="shared" si="882"/>
        <v>0</v>
      </c>
      <c r="MI207" s="43" t="e">
        <f>IF(AND(#REF!="",#REF!=""),"",IF(AND(OR(#REF!&gt;0,#REF!&gt;0),KT207&gt;0),SUM(KT207-RW207)/7,""))</f>
        <v>#REF!</v>
      </c>
      <c r="MJ207" s="43" t="e">
        <f t="shared" si="884"/>
        <v>#REF!</v>
      </c>
      <c r="MK207" s="43">
        <f t="shared" si="885"/>
        <v>0</v>
      </c>
      <c r="ML20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7" s="43" t="e">
        <f>IF(AND(#REF!&gt;0,RW207&gt;0),SUM(#REF!-RW207)/7,"")</f>
        <v>#REF!</v>
      </c>
      <c r="MN207" s="43" t="e">
        <f>IF(#REF!&gt;0,MONTH(#REF!),"")</f>
        <v>#REF!</v>
      </c>
      <c r="MO207" s="43" t="e">
        <f>IF(#REF!&gt;0,YEAR(#REF!),"")</f>
        <v>#REF!</v>
      </c>
      <c r="MP207" s="43" t="e">
        <f t="shared" si="889"/>
        <v>#REF!</v>
      </c>
      <c r="MQ207" s="43" t="e">
        <f>IF(AND(#REF!&gt;0,#REF!&gt;0),DAYS360(#REF!,#REF!)/30.44/12,IF(AND(#REF!&gt;0,#REF!&gt;0,#REF!=""),DAYS360(#REF!,#REF!)/30.44/12,""))</f>
        <v>#REF!</v>
      </c>
      <c r="MR207" s="43" t="e">
        <f t="shared" si="891"/>
        <v>#REF!</v>
      </c>
      <c r="MS207" s="43" t="e">
        <f t="shared" si="892"/>
        <v>#REF!</v>
      </c>
      <c r="MT207" s="43">
        <f t="shared" si="893"/>
        <v>0</v>
      </c>
      <c r="MU207" s="43">
        <f t="shared" si="894"/>
        <v>0</v>
      </c>
      <c r="MV207" s="43">
        <f t="shared" si="895"/>
        <v>0</v>
      </c>
      <c r="MW207" s="43">
        <f t="shared" si="896"/>
        <v>0</v>
      </c>
      <c r="MX207" s="43" t="str">
        <f t="shared" si="897"/>
        <v/>
      </c>
      <c r="MY207" s="43" t="str">
        <f t="shared" ca="1" si="898"/>
        <v/>
      </c>
      <c r="MZ207" s="43" t="str">
        <f t="shared" si="899"/>
        <v/>
      </c>
      <c r="NA207" s="43" t="str">
        <f t="shared" si="900"/>
        <v/>
      </c>
      <c r="NB207" s="43" t="str">
        <f t="shared" si="901"/>
        <v/>
      </c>
      <c r="NC207" s="43" t="str">
        <f t="shared" si="902"/>
        <v/>
      </c>
      <c r="ND207" s="43" t="e">
        <f>IF(AND(#REF!="",#REF!=""),"",IF(OR(#REF!&lt;&gt;"",#REF!&lt;&gt;""),SUM(COUNTIF(AL207:AR207,"SI"),COUNTIF(AV207,"SI"),COUNTIF(BC207,"SI, CONTROLADA"),COUNTIF(BI207,"SI"),COUNTIF(BM207,"SI"),SUM(COUNTIF(BC207,"SI, SIN MANEJO")*3),SUM(COUNTIF(BC207,"SI, NO CONTROLADA")*3),SUM(COUNTIF(BD207:BG207,"SI")*3),SUM(COUNTIF(CB207:CC207,"SI")*3),SUM(COUNTIF(AD207,"Consumo Actual")*3),SUM(COUNTIF(AD207,"Hasta Antes de la Gestación")*2),SUM(COUNTIF(BK207,"SI")*3),SUM(COUNTIF(BL207,"SI")*2),SUM(COUNTIF(CE207,"SI")*2),SUM(COUNTIF(BH207,"SI")*2),SUM(COUNTIF(FG207,"DIABETES, REMITIR")*2),SUM(MT207:NC207),SUM(MR207),SUM(NG207),SUM(COUNTIF(EZ207,"COOMBS C/MES Y RESUMAN SEM 28")*2),SUM(COUNTIF(EZ207,"TOMAR COOMBS CUANTITATIVO Y REMISIÓN")*3),SUM(COUNTIF(FU207,"SIFILIS GESTACIONAL")*3)),""))</f>
        <v>#REF!</v>
      </c>
      <c r="NE207" s="43" t="e">
        <f>IF(OR(#REF!&gt;0,#REF!&gt;0),SUM(COUNTIF(Tabla1[[#This Row],[AÑOS AL INICIO5 CPN]],"&gt;=40"),COUNTIF(AS207,"0"),COUNTIF(AR207,"SI"),COUNTIF(CC207,"SI"),COUNTIF(BQ207,"&gt;119"),COUNTIF(CI207,"&gt;=35")),"")</f>
        <v>#REF!</v>
      </c>
      <c r="NF207" s="43" t="e">
        <f>IF(AND(#REF!="",#REF!=""),"",IF(AND(OR(#REF!&gt;0,#REF!&gt;0),RW207=""),"SD",IF(AND(OR(#REF!&gt;0,#REF!&gt;0),ID207&gt;0),SUM(ID207-RW207)/7,"")))</f>
        <v>#REF!</v>
      </c>
      <c r="NG207" s="43">
        <f t="shared" si="905"/>
        <v>0</v>
      </c>
      <c r="NH207" s="43">
        <f t="shared" si="906"/>
        <v>42</v>
      </c>
      <c r="NI20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CPN",#REF!="NO"),"Z",IF(AND(Tabla1[[#This Row],[CITA PROXIMO CONTROL]]="CITA MANUAL",Tabla1[[#This Row],[GESTANTES ACTUALES]]="ACTIVA INGRESO A CPN"),"W",IF(AND(Tabla1[[#This Row],[GESTANTES ACTUALES]]="SALIO PROGRAMA",IN207=""),"S",IF(AND(Tabla1[[#This Row],[CITA PROXIMO CONTROL]]&gt;0,IN207=""),(Tabla1[[#This Row],[CITA PROXIMO CONTROL]]-TODAY()),"SD"))))))))</f>
        <v>#REF!</v>
      </c>
      <c r="NJ207" s="43">
        <f>MONTH(Tabla1[[#This Row],[FECHA DE SALIDA  DEL PROGRAMA]])</f>
        <v>1</v>
      </c>
      <c r="NK207" s="43">
        <f>YEAR(Tabla1[[#This Row],[FECHA DE SALIDA  DEL PROGRAMA]])</f>
        <v>1900</v>
      </c>
      <c r="NL207" s="43" t="e">
        <f>IF(AND(#REF!&gt;0,#REF!=""),"NO CPN",IF(AND(#REF!="",#REF!=""),"",IF(AND(#REF!&gt;0,EJ207&gt;0,EI207&gt;0),_xlfn.DAYS(EJ207,EI207),IF(AND(#REF!&gt;0,EJ207&gt;0,EI207=""),"NO CITA","X"))))</f>
        <v>#REF!</v>
      </c>
      <c r="NM207" s="43" t="e">
        <f>IF(AND(#REF!&gt;0,#REF!=""),"NO CPN",IF(AND(#REF!="",#REF!=""),"",IF(AND(EN207&lt;&gt;"",EX207&lt;&gt;"",FB207&lt;&gt;"",FK207&lt;&gt;"",FW207&lt;&gt;"",FZ207&lt;&gt;"",GO207&lt;&gt;"",GQ207&lt;&gt;"",GR207&lt;&gt;""),"SI","NO")))</f>
        <v>#REF!</v>
      </c>
      <c r="NN207" s="43" t="e">
        <f>IF(AND(#REF!&gt;0,#REF!=""),"NO CPN",IF(AND(#REF!="",#REF!=""),"",IF(AND(#REF!&gt;0,Tabla1[[#This Row],[SEMANAS DE GESTACION ACTUALIZADAS]]&lt;=12),"NO APLICA",IF(AND(FH207&lt;&gt;"",FN207&lt;&gt;""),"SI","NO"))))</f>
        <v>#REF!</v>
      </c>
      <c r="NO207" s="43" t="e">
        <f>IF(AND(#REF!&gt;0,#REF!=""),"NO CPN",IF(AND(#REF!="",#REF!=""),"",IF(AND(#REF!&gt;0,Tabla1[[#This Row],[SEMANAS DE GESTACION ACTUALIZADAS]]&lt;=27),"NO APLICA",IF(AND(ES207&lt;&gt;"",FQ207&lt;&gt;"",GF207&lt;&gt;""),"SI","NO"))))</f>
        <v>#REF!</v>
      </c>
      <c r="NP207" s="204" t="str">
        <f t="shared" si="909"/>
        <v>I TRIM</v>
      </c>
      <c r="NQ207" s="21" t="str">
        <f>IF(AND(IP208&gt;0,IP208&lt;37),10,IF(OR(CD208="Transversa",CD208="Oblicua"),9,IF(CC208="SI",8,IF(AND(AT208=0,AW208=0,CC208="NO",CD208="Cefálica",IP208&gt;=37,IT208="INICIO ESPONTÁNEO"),1,IF(AND(AND(AT208=0,AW208=0,CC208="NO",CD208="Cefálica",IP208&gt;=37),OR(IT208="LE HACEN INDUCCIÓN",IT208="LE HACEN CESÁREA SIN INICIO TRABAJO DE PARTO")),2,IF(AND(AT208&gt;=1,AW208=0,CC208="NO",CD208="Cefálica",IP208&gt;=37,IT208="INICIO ESPONTÁNEO"),3,IF(AND(AND(AT208&gt;=1,AW208=0,CC208="NO",CD208="Cefálica",IP208&gt;=37),OR(IT208="LE HACEN INDUCCIÓN",IT208="LE HACEN CESÁREA SIN INICIO TRABAJO DE PARTO")),4,IF(AND(AND(AT208&gt;=1,AW208&gt;=1,CC208="NO",CD208="Cefálica",IP208&gt;=37),OR(IT208="LE HACEN INDUCCIÓN",IT208="LE HACEN CESÁREA SIN INICIO TRABAJO DE PARTO",IT208="INICIO ESPONTÁNEO")),5,IF(AND(AND(AT208=0,AW208=0,CC208="NO",CD208="Podálica",IP208&gt;=1),OR(IT208="LE HACEN INDUCCIÓN",IT208="LE HACEN CESÁREA SIN INICIO TRABAJO DE PARTO",IT208="INICIO ESPONTÁNEO")),6,IF(AND(AND(AT208&gt;=1,CC208="NO",CD208="Podálica",IP208&gt;=1),OR(IT208="LE HACEN INDUCCIÓN",IT208="LE HACEN CESÁREA SIN INICIO TRABAJO DE PARTO",IT208="INICIO ESPONTÁNEO"),OR(AW208=0,AW208&gt;=1)),7,""))))))))))</f>
        <v/>
      </c>
      <c r="NR207" s="21" t="e">
        <f>IF(AND(#REF!="",#REF!=""),"",IF(AND(BS207&gt;0,BS207&lt;12,IP207&gt;28,IP207&lt;44),3, IF(OR(AND(BS207&gt;=12,BS207&lt;28,IP207&gt;=28,IP207&lt;44),AND(BS207&gt;0,BS207&lt;12,IP207&gt;=12,IP207&lt;29)),2,IF(OR(AND(BS207&gt;=28,BS207&lt;44),AND(BS207&gt;0,BS207&lt;12,IP207&gt;0,IP207&lt;12),AND(BS207&gt;=12,BS207&lt;28,IP207&gt;=12,IP207&lt;28)),1,IF(AND(BS207&gt;0,BS207&lt;12,BU207&gt;=28,BU207&lt;44,DV207="ACTIVA INGRESO A CPN"),3,IF(OR(AND(BS207&gt;0,BS207&lt;12,BU207&gt;=12,BU207&lt;28,DV207="ACTIVA INGRESO A CPN"),AND(BS207&gt;=12,BS207&lt;28,BU207&gt;=28,BU207&lt;44,DV207="ACTIVA INGRESO A CPN")),2,IF(OR(AND(BS207&gt;0,BS207&lt;12,BU207&gt;0,BU207&lt;12,DV207="ACTIVA INGRESO A CPN"),AND(BS207&gt;=12,BS207&lt;28,BU207&gt;=12,BU207&lt;28,DV207="ACTIVA INGRESO A CPN")),1,"REVISAR FUM O FECHA SALIDA PROGRAMA")))))))</f>
        <v>#REF!</v>
      </c>
      <c r="NS207" s="205">
        <f t="shared" ca="1" si="911"/>
        <v>1</v>
      </c>
      <c r="NT207" s="21">
        <f t="shared" ca="1" si="912"/>
        <v>1</v>
      </c>
      <c r="NU207" s="21" t="e">
        <f t="shared" si="913"/>
        <v>#REF!</v>
      </c>
      <c r="NV207" s="21" t="e">
        <f t="shared" si="914"/>
        <v>#REF!</v>
      </c>
      <c r="NW207" s="206" t="e">
        <f>IF(AND(#REF!="",#REF!=""),"",IF(OR(AND(Tabla1[[#This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#REF!</v>
      </c>
      <c r="NX207" s="207" t="e">
        <f>IF(AND(#REF!="",#REF!=""),"",IF(OR(IE207="VACUNA APLICADA ENTRE SEMANA 20 Y SEMANA 26",IE207="VACUNA APLICADA ENTRE SEMANA 27 Y EL PARTO",IE207="VACUNA APLICADA ANTES SEMANA 20"),"VACUNADA","SIN VACUNAR"))</f>
        <v>#REF!</v>
      </c>
      <c r="NY207" s="43">
        <f>ROW(Tabla1[[#This Row],['# DE TAMIZAJES SIFILIS TOMADOS ]])</f>
        <v>207</v>
      </c>
      <c r="NZ207" s="43" t="str">
        <f t="shared" si="738"/>
        <v>Menor</v>
      </c>
      <c r="OA207" s="43" t="str">
        <f t="shared" si="739"/>
        <v>NORMAL</v>
      </c>
      <c r="OB207" s="43" t="str">
        <f t="shared" si="740"/>
        <v/>
      </c>
      <c r="OC207" s="43" t="str">
        <f t="shared" si="741"/>
        <v/>
      </c>
      <c r="OD207" s="43" t="str">
        <f t="shared" si="742"/>
        <v/>
      </c>
      <c r="OE207" s="43" t="str">
        <f t="shared" si="743"/>
        <v/>
      </c>
      <c r="OF207" s="43" t="str">
        <f t="shared" si="744"/>
        <v/>
      </c>
      <c r="OG207" s="43" t="str">
        <f t="shared" si="745"/>
        <v/>
      </c>
      <c r="OH207" s="43" t="str">
        <f t="shared" si="746"/>
        <v/>
      </c>
      <c r="OI207" s="43" t="str">
        <f t="shared" si="747"/>
        <v/>
      </c>
      <c r="OJ207" s="43" t="str">
        <f t="shared" si="748"/>
        <v/>
      </c>
      <c r="OK207" s="43" t="str">
        <f t="shared" si="749"/>
        <v/>
      </c>
      <c r="OL207" s="43" t="str">
        <f t="shared" si="750"/>
        <v/>
      </c>
      <c r="OM207" s="43" t="str">
        <f t="shared" si="751"/>
        <v/>
      </c>
      <c r="ON207" s="43" t="str">
        <f t="shared" si="752"/>
        <v/>
      </c>
      <c r="OO207" s="43" t="str">
        <f t="shared" si="753"/>
        <v/>
      </c>
      <c r="OP207" s="43" t="str">
        <f t="shared" si="754"/>
        <v/>
      </c>
      <c r="OQ207" s="43" t="str">
        <f t="shared" si="755"/>
        <v/>
      </c>
      <c r="OR207" s="43" t="str">
        <f t="shared" si="756"/>
        <v/>
      </c>
      <c r="OS207" s="43" t="str">
        <f t="shared" si="757"/>
        <v/>
      </c>
      <c r="OT207" s="43" t="str">
        <f t="shared" si="758"/>
        <v/>
      </c>
      <c r="OU207" s="43" t="str">
        <f t="shared" si="759"/>
        <v/>
      </c>
      <c r="OV207" s="110" t="str">
        <f t="shared" si="760"/>
        <v/>
      </c>
      <c r="OW207" s="43" t="str">
        <f t="shared" si="761"/>
        <v/>
      </c>
      <c r="OX207" s="43" t="str">
        <f t="shared" si="762"/>
        <v/>
      </c>
      <c r="OY207" s="43" t="str">
        <f t="shared" si="763"/>
        <v/>
      </c>
      <c r="OZ207" s="43" t="str">
        <f t="shared" si="764"/>
        <v/>
      </c>
      <c r="PA207" s="43" t="str">
        <f t="shared" si="765"/>
        <v/>
      </c>
      <c r="PB207" s="43" t="str">
        <f t="shared" si="766"/>
        <v/>
      </c>
      <c r="PC207" s="43" t="str">
        <f t="shared" si="767"/>
        <v/>
      </c>
      <c r="PD207" s="43" t="str">
        <f t="shared" si="768"/>
        <v/>
      </c>
      <c r="PE207" s="43" t="str">
        <f t="shared" si="769"/>
        <v/>
      </c>
      <c r="PF207" s="43" t="str">
        <f t="shared" si="770"/>
        <v/>
      </c>
      <c r="PG207" s="43" t="str">
        <f t="shared" si="771"/>
        <v/>
      </c>
      <c r="PH207" s="43" t="str">
        <f t="shared" si="772"/>
        <v/>
      </c>
      <c r="PI207" s="43" t="str">
        <f t="shared" si="773"/>
        <v>Menor</v>
      </c>
      <c r="PJ207" s="43" t="str">
        <f t="shared" si="774"/>
        <v>NORMAL</v>
      </c>
      <c r="PK207" s="43" t="str">
        <f t="shared" si="775"/>
        <v/>
      </c>
      <c r="PL207" s="43" t="str">
        <f t="shared" si="776"/>
        <v/>
      </c>
      <c r="PM207" s="43" t="str">
        <f t="shared" si="777"/>
        <v/>
      </c>
      <c r="PN207" s="43" t="str">
        <f t="shared" si="778"/>
        <v/>
      </c>
      <c r="PO207" s="43" t="str">
        <f t="shared" si="779"/>
        <v/>
      </c>
      <c r="PP207" s="43" t="str">
        <f t="shared" si="780"/>
        <v/>
      </c>
      <c r="PQ207" s="43" t="str">
        <f t="shared" si="781"/>
        <v/>
      </c>
      <c r="PR207" s="43" t="str">
        <f t="shared" si="782"/>
        <v/>
      </c>
      <c r="PS207" s="43" t="str">
        <f t="shared" si="783"/>
        <v/>
      </c>
      <c r="PT207" s="43" t="str">
        <f t="shared" si="784"/>
        <v/>
      </c>
      <c r="PU207" s="43" t="str">
        <f t="shared" si="785"/>
        <v/>
      </c>
      <c r="PV207" s="43" t="str">
        <f t="shared" si="786"/>
        <v/>
      </c>
      <c r="PW207" s="43" t="str">
        <f t="shared" si="787"/>
        <v/>
      </c>
      <c r="PX207" s="43" t="str">
        <f t="shared" si="788"/>
        <v/>
      </c>
      <c r="PY207" s="43" t="str">
        <f t="shared" si="789"/>
        <v/>
      </c>
      <c r="PZ207" s="43" t="str">
        <f t="shared" si="790"/>
        <v/>
      </c>
      <c r="QA207" s="43" t="str">
        <f t="shared" si="791"/>
        <v/>
      </c>
      <c r="QB207" s="43" t="str">
        <f t="shared" si="792"/>
        <v/>
      </c>
      <c r="QC207" s="43" t="str">
        <f t="shared" si="793"/>
        <v/>
      </c>
      <c r="QD207" s="43" t="str">
        <f t="shared" si="794"/>
        <v/>
      </c>
      <c r="QE207" s="43" t="str">
        <f t="shared" si="795"/>
        <v/>
      </c>
      <c r="QF207" s="43" t="str">
        <f t="shared" si="796"/>
        <v/>
      </c>
      <c r="QG207" s="43" t="str">
        <f t="shared" si="797"/>
        <v/>
      </c>
      <c r="QH207" s="43" t="str">
        <f t="shared" si="798"/>
        <v/>
      </c>
      <c r="QI207" s="43" t="str">
        <f t="shared" si="799"/>
        <v/>
      </c>
      <c r="QJ207" s="43" t="str">
        <f t="shared" si="800"/>
        <v/>
      </c>
      <c r="QK207" s="43" t="str">
        <f t="shared" si="801"/>
        <v/>
      </c>
      <c r="QL207" s="43" t="str">
        <f t="shared" si="802"/>
        <v/>
      </c>
      <c r="QM207" s="43" t="str">
        <f t="shared" si="803"/>
        <v/>
      </c>
      <c r="QN207" s="43" t="str">
        <f t="shared" si="804"/>
        <v/>
      </c>
      <c r="QO207" s="43" t="str">
        <f t="shared" si="805"/>
        <v/>
      </c>
      <c r="QP207" s="43" t="str">
        <f t="shared" si="806"/>
        <v/>
      </c>
      <c r="QQ207" s="43" t="str">
        <f t="shared" si="807"/>
        <v/>
      </c>
      <c r="QR207" s="43" t="str">
        <f t="shared" si="837"/>
        <v>Menor</v>
      </c>
      <c r="QS207" s="43"/>
      <c r="QT207" s="21" t="str">
        <f t="shared" si="808"/>
        <v/>
      </c>
      <c r="QU207" s="21" t="str">
        <f t="shared" si="809"/>
        <v/>
      </c>
      <c r="QV207" s="21" t="str">
        <f t="shared" si="810"/>
        <v/>
      </c>
      <c r="QW207" s="21" t="str">
        <f t="shared" si="811"/>
        <v/>
      </c>
      <c r="QX207" s="21" t="str">
        <f t="shared" si="812"/>
        <v/>
      </c>
      <c r="QY207" s="21" t="str">
        <f t="shared" si="813"/>
        <v/>
      </c>
      <c r="QZ207" s="21" t="str">
        <f t="shared" si="814"/>
        <v/>
      </c>
      <c r="RA207" s="21" t="str">
        <f t="shared" si="815"/>
        <v/>
      </c>
      <c r="RB207" s="21" t="str">
        <f t="shared" si="816"/>
        <v/>
      </c>
      <c r="RC207" s="21" t="str">
        <f t="shared" si="817"/>
        <v/>
      </c>
      <c r="RD207" s="21" t="str">
        <f t="shared" si="818"/>
        <v/>
      </c>
      <c r="RE207" s="21" t="str">
        <f t="shared" si="819"/>
        <v/>
      </c>
      <c r="RF207" s="21" t="str">
        <f t="shared" si="820"/>
        <v/>
      </c>
      <c r="RG207" s="21" t="str">
        <f t="shared" si="821"/>
        <v/>
      </c>
      <c r="RH207" s="21" t="str">
        <f t="shared" si="822"/>
        <v/>
      </c>
      <c r="RI207" s="21" t="str">
        <f t="shared" si="823"/>
        <v/>
      </c>
      <c r="RJ207" s="21" t="str">
        <f t="shared" si="824"/>
        <v/>
      </c>
      <c r="RK207" s="21" t="str">
        <f t="shared" si="825"/>
        <v/>
      </c>
      <c r="RL207" s="21" t="str">
        <f t="shared" si="826"/>
        <v/>
      </c>
      <c r="RM207" s="21" t="str">
        <f t="shared" si="827"/>
        <v/>
      </c>
      <c r="RN207" s="21" t="str">
        <f t="shared" si="828"/>
        <v/>
      </c>
      <c r="RO207" s="21" t="str">
        <f t="shared" si="829"/>
        <v/>
      </c>
      <c r="RP207" s="21" t="str">
        <f t="shared" si="830"/>
        <v/>
      </c>
      <c r="RQ207" s="21" t="str">
        <f t="shared" si="831"/>
        <v/>
      </c>
      <c r="RR207" s="21" t="str">
        <f t="shared" si="832"/>
        <v/>
      </c>
      <c r="RS207" s="21" t="str">
        <f t="shared" si="833"/>
        <v/>
      </c>
      <c r="RT207" s="21" t="str">
        <f t="shared" si="834"/>
        <v/>
      </c>
      <c r="RU207" s="21" t="str">
        <f t="shared" si="835"/>
        <v/>
      </c>
      <c r="RV207" s="21" t="e">
        <f>IF(AND(#REF!="",HQ207=""),"",IF(SUM((HQ207-RW207)/7)&gt;43.1,"",IF(SUM((HQ207-RW207)/7)&lt;0,-1,SUM((HQ207-RW207)/7))))</f>
        <v>#REF!</v>
      </c>
      <c r="RW207" s="284">
        <f>IF(OR(Tabla1[[#This Row],[FUM FORMULA CONFIABLE]]="",Tabla1[[#This Row],[FUM FORMULA CONFIABLE]]="SD"),"",IF(Tabla1[[#This Row],[FUM FORMULA CONFIABLE]]="CORREGIDA",Tabla1[[#This Row],[FUM X ECO 1]],Tabla1[[#This Row],[FUM x AMENORREA]]))</f>
        <v>45079</v>
      </c>
      <c r="RX207" s="21">
        <f>IF(AND(Tabla1[[#This Row],[FUM X ECO 1]]="",Tabla1[[#This Row],[FUM x AMENORREA]]=""),"",IF(AND(Tabla1[[#This Row],[FUM X ECO 1]]="",Tabla1[[#This Row],[FUM x AMENORREA]]&lt;&gt;""),"X",SUM(Tabla1[[#This Row],[FUM X ECO 1]]-Tabla1[[#This Row],[FUM x AMENORREA]])))</f>
        <v>3</v>
      </c>
      <c r="RY207" s="21">
        <f t="shared" si="838"/>
        <v>0</v>
      </c>
    </row>
    <row r="208" spans="1:493" ht="45" customHeight="1" x14ac:dyDescent="0.25">
      <c r="A208" s="109"/>
      <c r="B208" s="43"/>
      <c r="C208" s="43" t="s">
        <v>845</v>
      </c>
      <c r="D208" s="124" t="s">
        <v>1627</v>
      </c>
      <c r="E208" s="43" t="s">
        <v>874</v>
      </c>
      <c r="F208" s="43" t="s">
        <v>873</v>
      </c>
      <c r="G208" s="43" t="s">
        <v>1635</v>
      </c>
      <c r="H208" s="43" t="s">
        <v>1294</v>
      </c>
      <c r="I208" s="109" t="s">
        <v>1094</v>
      </c>
      <c r="J208" s="110">
        <v>1059597986</v>
      </c>
      <c r="K208" s="43" t="s">
        <v>852</v>
      </c>
      <c r="L208" s="175" t="s">
        <v>1509</v>
      </c>
      <c r="M208" s="22">
        <v>39304</v>
      </c>
      <c r="N208" s="213">
        <f t="shared" ca="1" si="839"/>
        <v>16.243835616438357</v>
      </c>
      <c r="O208" s="22">
        <v>45115</v>
      </c>
      <c r="P208" s="214" t="str">
        <f t="shared" si="916"/>
        <v>SI</v>
      </c>
      <c r="Q208" s="26" t="s">
        <v>855</v>
      </c>
      <c r="R208" s="22">
        <v>45115</v>
      </c>
      <c r="S208" s="21" t="s">
        <v>856</v>
      </c>
      <c r="T208" s="24" t="s">
        <v>690</v>
      </c>
      <c r="U208" s="21" t="s">
        <v>857</v>
      </c>
      <c r="V208" s="21" t="s">
        <v>858</v>
      </c>
      <c r="W208" s="21" t="s">
        <v>1062</v>
      </c>
      <c r="X208" s="21" t="s">
        <v>1139</v>
      </c>
      <c r="Y208" s="21"/>
      <c r="Z208" s="21">
        <v>3216377263</v>
      </c>
      <c r="AA208" s="21" t="s">
        <v>860</v>
      </c>
      <c r="AB208" s="27" t="s">
        <v>861</v>
      </c>
      <c r="AC208" s="26" t="s">
        <v>897</v>
      </c>
      <c r="AD208" s="38" t="s">
        <v>1546</v>
      </c>
      <c r="AE208" s="26" t="s">
        <v>864</v>
      </c>
      <c r="AF208" s="26" t="s">
        <v>854</v>
      </c>
      <c r="AG208" s="23" t="s">
        <v>864</v>
      </c>
      <c r="AH208" s="23" t="s">
        <v>864</v>
      </c>
      <c r="AI208" s="24" t="s">
        <v>863</v>
      </c>
      <c r="AJ208" s="23" t="s">
        <v>864</v>
      </c>
      <c r="AK208" s="220" t="str">
        <f>IF(AND(AD208="",AE208="",AF208="",AG208="",AH208="",AI208="",AJ208=""),"",IF(OR(Tabla1[[#This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EVALUACIÓN",IF(AND(O208="",R208=""),"",IF(AND(OR(O208&gt;0,R208&gt;0),NG208&gt;=0,NG208&lt;2),"SIN RIESGO",IF(AND(OR(O208&gt;0,R208&gt;0),NG208&gt;=2),"CON RIESGO","ASD")))))</f>
        <v>SIN RIESGO</v>
      </c>
      <c r="AL208" s="23" t="s">
        <v>864</v>
      </c>
      <c r="AM208" s="23" t="s">
        <v>864</v>
      </c>
      <c r="AN208" s="23" t="s">
        <v>864</v>
      </c>
      <c r="AO208" s="23" t="s">
        <v>864</v>
      </c>
      <c r="AP208" s="23" t="s">
        <v>864</v>
      </c>
      <c r="AQ208" s="23" t="s">
        <v>864</v>
      </c>
      <c r="AR208" s="23" t="s">
        <v>864</v>
      </c>
      <c r="AS208" s="21">
        <v>0</v>
      </c>
      <c r="AT208" s="21">
        <v>0</v>
      </c>
      <c r="AU208" s="21">
        <v>0</v>
      </c>
      <c r="AV208" s="26" t="s">
        <v>864</v>
      </c>
      <c r="AW208" s="21">
        <v>0</v>
      </c>
      <c r="AX208" s="26" t="s">
        <v>864</v>
      </c>
      <c r="AY208" s="26" t="s">
        <v>864</v>
      </c>
      <c r="AZ208" s="26" t="s">
        <v>864</v>
      </c>
      <c r="BA208" s="26" t="s">
        <v>864</v>
      </c>
      <c r="BB208" s="26" t="s">
        <v>864</v>
      </c>
      <c r="BC208" s="26" t="s">
        <v>864</v>
      </c>
      <c r="BD208" s="26" t="s">
        <v>864</v>
      </c>
      <c r="BE208" s="26" t="s">
        <v>864</v>
      </c>
      <c r="BF208" s="26" t="s">
        <v>864</v>
      </c>
      <c r="BG208" s="26" t="s">
        <v>864</v>
      </c>
      <c r="BH208" s="26" t="s">
        <v>864</v>
      </c>
      <c r="BI208" s="26" t="s">
        <v>864</v>
      </c>
      <c r="BJ208" s="26" t="s">
        <v>864</v>
      </c>
      <c r="BK208" s="26" t="s">
        <v>864</v>
      </c>
      <c r="BL208" s="26" t="s">
        <v>864</v>
      </c>
      <c r="BM208" s="26" t="s">
        <v>864</v>
      </c>
      <c r="BN208" s="22"/>
      <c r="BO208" s="22">
        <v>45073</v>
      </c>
      <c r="BP208" s="21" t="s">
        <v>854</v>
      </c>
      <c r="BQ208" s="222">
        <f t="shared" si="840"/>
        <v>0</v>
      </c>
      <c r="BR208" s="223">
        <f t="shared" si="841"/>
        <v>45071.3</v>
      </c>
      <c r="BS208" s="224">
        <f t="shared" si="842"/>
        <v>6</v>
      </c>
      <c r="BT208" s="216" t="str">
        <f t="shared" si="843"/>
        <v>I TRIM</v>
      </c>
      <c r="BU208" s="214">
        <f t="shared" ca="1" si="925"/>
        <v>22.857142857142858</v>
      </c>
      <c r="BV208" s="25" t="s">
        <v>1478</v>
      </c>
      <c r="BW208" s="22">
        <v>45121</v>
      </c>
      <c r="BX208" s="28">
        <v>7.1</v>
      </c>
      <c r="BY208" s="28"/>
      <c r="BZ208" s="22"/>
      <c r="CA208" s="21"/>
      <c r="CB208" s="26" t="s">
        <v>864</v>
      </c>
      <c r="CC208" s="26" t="s">
        <v>864</v>
      </c>
      <c r="CD208" s="26"/>
      <c r="CE208" s="26" t="s">
        <v>864</v>
      </c>
      <c r="CF208" s="22" t="s">
        <v>1517</v>
      </c>
      <c r="CG208" s="21">
        <v>1.5</v>
      </c>
      <c r="CH208" s="21">
        <v>42</v>
      </c>
      <c r="CI208" s="214">
        <f t="shared" si="845"/>
        <v>18.666666666666668</v>
      </c>
      <c r="CJ208" s="225" t="str">
        <f>IF(AND(CI208&lt;10,CH208="SD"),"SIN DATO PESO PREGESTACION O I TRIM",IF(AND(OR(R208&gt;0,O208&gt;0),CI208="X"),"INGRESAR DATO DE PESO",IF(CI208="SD","INGRESAR DATO DE TALLA Y PESO",IF(AND(OR(Tabla1[[#This Row],[MOMENTO EN QUE SE REALIZA EL PESO AL INGRESO A CPN]]="PREGESTACIÓN",NZ208="Menor"),CI208&lt;18.5),"BAJO PESO",IF(AND(OR(Tabla1[[#This Row],[MOMENTO EN QUE SE REALIZA EL PESO AL INGRESO A CPN]]="PREGESTACIÓN",NZ208="Menor"),CI208&lt;25),"NORMAL",IF(AND(OR(Tabla1[[#This Row],[MOMENTO EN QUE SE REALIZA EL PESO AL INGRESO A CPN]]="PREGESTACIÓN",NZ208="Menor"),CI208&lt;30),"SOBREPESO",IF(AND(OR(Tabla1[[#This Row],[MOMENTO EN QUE SE REALIZA EL PESO AL INGRESO A CPN]]="PREGESTACIÓN",NZ208="Menor"),CI208&gt;=30,CI208&lt;50),"OBESIDAD",IF(AND(BS208&gt;0,Tabla1[[#This Row],[MOMENTO EN QUE SE REALIZA EL PESO AL INGRESO A CPN]]="GESTACIÓN"),HLOOKUP(NZ208,$OA$2:PH208,NY208),""))))))))</f>
        <v>NORMAL</v>
      </c>
      <c r="CK208" s="212">
        <f t="shared" si="846"/>
        <v>45146</v>
      </c>
      <c r="CL208" s="21">
        <v>42</v>
      </c>
      <c r="CM208" s="214">
        <f t="shared" si="847"/>
        <v>18.666666666666668</v>
      </c>
      <c r="CN208" s="216">
        <f t="shared" si="848"/>
        <v>10</v>
      </c>
      <c r="CO208" s="216" t="e">
        <f>IF(PI208="","",IF(PI208&gt;0,HLOOKUP(PI208,$PJ$2:QQ208,NY208),""))</f>
        <v>#REF!</v>
      </c>
      <c r="CP208" s="21"/>
      <c r="CQ208" s="216" t="str">
        <f>IF(QR208="Menor","NO APLICA-MENOR 13 SEM",IF(AND(CC208="SI",CN208&gt;23),"NO APLICA- GEMELAR",IF(QR208="","",IF(QR208&gt;0,HLOOKUP(QR208,$QS$2:RU208,NY208),""))))</f>
        <v>NO APLICA-MENOR 13 SEM</v>
      </c>
      <c r="CR208" s="21">
        <v>100</v>
      </c>
      <c r="CS208" s="21">
        <v>60</v>
      </c>
      <c r="CT208" s="217" t="str">
        <f>IF(R208="","",IF(AND(BS208&gt;1,BS208&lt;12,Tabla1[[#This Row],[T.A. SISTOLICA - ANTES DE SEMANA 12]]="",Tabla1[[#This Row],[T.A. DIASTOLICA - ANTES DE SEMANA 12]]=""),"REGISTRE DATO TA ANTES SEMANA 12",IF(AND(BS208&gt;11,BS208&lt;43,Tabla1[[#This Row],[T.A. SISTOLICA - ANTES DE SEMANA 12]]="",Tabla1[[#This Row],[T.A. DIASTOLICA - ANTES DE SEMANA 12]]=""),"NO APLICA REGISTRO TA-INGRESO TARDIO",IF(AND(OR(O208&gt;0,R208&gt;0),OR(CR208&gt;=140,CS208&gt;=90)),"DEFINIR ESTADIO HTA",IF(AND(OR(O208&gt;0,R208&gt;0),AND(CR208&gt;120,CR208&lt;=139)),"PRE HTA SEGUIMIENTO",IF(AND(OR(O208&gt;0,R208&gt;0),AND(CS208&gt;80,CS208&lt;=89)),"PRE HTA SEGUIMIENTO",IF(AND(OR(O208&gt;0,R208&gt;0),AND(CR208&gt;=80,CR208&lt;=120)),"APARENTEMENTE NORMAL",IF(AND(OR(O208&gt;0,R208&gt;0),AND(CS208&gt;=50,CS208&lt;=80)),"APARENTEMENTE NORMAL",IF(AND(OR(O208&gt;0,R208&gt;0),AND(CR208&gt;1,CR208&lt;=70),AND(CS208&gt;1,CS208&lt;=40)),"HIPOTENSIÓN","")))))))))</f>
        <v>APARENTEMENTE NORMAL</v>
      </c>
      <c r="CU208" s="21"/>
      <c r="CV208" s="21"/>
      <c r="CW208" s="217" t="str">
        <f ca="1">IF(R208="","",IF(AND(CN208&gt;19,CN208&lt;27,Tabla1[[#This Row],[T.A. SISTOLICA (Entre semana 20 y 26)]]="",Tabla1[[#This Row],[T.A. DIATOLICA (Entre semana 20 y 26)]]=""),"ACUDE A CONTROL SEM 20 A 26 REGISTRE TA AHORA",IF(AND(BS208&gt;1,BS208&lt;27,BU208&gt;19,Tabla1[[#This Row],[T.A. SISTOLICA (Entre semana 20 y 26)]]="",Tabla1[[#This Row],[T.A. DIATOLICA (Entre semana 20 y 26)]]=""),"COMPLETE REGISTRO TA CONTROL SEM 20 A26 ",IF(AND(BS208&gt;26,BS208&lt;43,Tabla1[[#This Row],[T.A. SISTOLICA (Entre semana 20 y 26)]]="",Tabla1[[#This Row],[T.A. DIATOLICA (Entre semana 20 y 26)]]=""),"NO APLICA REGISTRO TA-INGRESO TARDIO",IF(AND(OR(O208&gt;0,R208&gt;0),OR(CU208&gt;=140,CV208&gt;=90)),"ALTO RIESGO PREECLAMPSIA,DEFINIR ESTADIO HTA",IF(AND(OR(O208&gt;0,R208&gt;0),AND(CU208&gt;120,CU208&lt;=139)),"PRE HTA SEGUIMIENTO,RIESGO HIPERTENSION INDUCIDA POR EL EMBARAZO",IF(AND(OR(O208&gt;0,R208&gt;0),AND(CV208&gt;80,CV208&lt;=89)),"PRE HTA SEGUIMIENTO, RIESGO HIPERTENSION INDUCIDA POR EL EMBARAZO",IF(AND(OR(O208&lt;&gt;"",R208&lt;&gt;""),CS208&lt;&gt;"",CV208&lt;&gt;"",CS208&lt;=CV208),"VIGILAR CIFRAS PRESION ARTERIAL",IF(AND(OR(O208&gt;0,R208&gt;0),AND(CU208&gt;120,CU208&lt;=139)),"PRE HTA SEGUIMIENTO",IF(AND(OR(O208&gt;0,R208&gt;0),AND(CU208&gt;1,CU208&lt;=70),AND(CV208&gt;1,CV208&lt;=40)),"HIPOTENSIÓN",IF(AND(OR(O208&lt;&gt;"",R208&lt;&gt;""),CS208&lt;&gt;"",CV208&lt;&gt;"",CS208&gt;CV208),"APARENTEMENTE NORMAL",IF(AND(OR(O208&gt;0,R208&gt;0),AND(CU208&gt;=80,CU208&lt;=120)),"APARENTEMENTE NORMAL",IF(AND(OR(O208&gt;0,R208&gt;0),AND(CV208&gt;=50,CV208&lt;=80)),"APARENTEMENTE NORMAL","")))))))))))))</f>
        <v xml:space="preserve">COMPLETE REGISTRO TA CONTROL SEM 20 A26 </v>
      </c>
      <c r="CX208" s="21"/>
      <c r="CY208" s="21"/>
      <c r="CZ208" s="216" t="str">
        <f>IF(R208="","",IF(AND(CN208&gt;31,CN208&lt;35,CX208="",CY208=""),"ACUDE A CONTROL SEM 30 A 34- REGISTRE AHORA",IF(AND(BS208&gt;34,BS208&lt;43,CX209="",CY209=""),"NO APLICA-INGRESO TARDIO",IF(AND(OR(O208&gt;0,R208&gt;0),OR(CX208&gt;=140,CY208&gt;=90)),"ESTUDIO INMEDIATO HTA PARA DESCARTAR PREECLAMSIA",IF(AND(OR(O208&gt;0,R208&gt;0),AND(CX208&gt;=130,CX208&lt;=139)),"PRE HTA,RIESGO ALTO PREECLAMPSIA",IF(AND(OR(O208&gt;0,R208&gt;0),AND(CY208&gt;80,CY208&lt;=89)),"PRE HTA,RIESGO ALTO PREECLAMPSIA",IF(AND(OR(O208&gt;0,R208&gt;0),AND(CX208&gt;120,CX208&lt;=129)),"RANGO PREHIPERTENSIVO SEGUIMIENTO HTA",IF(AND(OR(O208&lt;&gt;"",R208&lt;&gt;""),CS208&lt;&gt;"",CY208&lt;&gt;"",CS208&lt;CY208),"VIGILAR CIFRAS PRESION ARTERIAL",IF(AND(OR(O208&lt;&gt;"",R208&lt;&gt;""),CS208&lt;&gt;"",CY208&lt;&gt;"",CS208=CY208),"APARENTEMENTE NORMAL",IF(AND(OR(O208&gt;0,R208&gt;0),CX208&gt;=80,CX208&lt;=120),"APARENTEMENTE NORMAL",IF(AND(OR(O208&gt;0,R208&gt;0),CY208&gt;=50,CY208&lt;=80),"APARENTEMENTE NORMAL","")))))))))))</f>
        <v/>
      </c>
      <c r="DA208" s="21">
        <v>90</v>
      </c>
      <c r="DB208" s="21">
        <v>60</v>
      </c>
      <c r="DC208" s="217" t="str">
        <f t="shared" si="849"/>
        <v>APARENTEMENTE NORMAL</v>
      </c>
      <c r="DD208" s="22">
        <v>45115</v>
      </c>
      <c r="DE208" s="22">
        <v>45115</v>
      </c>
      <c r="DF208" s="22">
        <v>45146</v>
      </c>
      <c r="DG208" s="22"/>
      <c r="DH208" s="22"/>
      <c r="DI208" s="22"/>
      <c r="DJ208" s="22"/>
      <c r="DK208" s="22"/>
      <c r="DL208" s="22"/>
      <c r="DM208" s="22"/>
      <c r="DN208" s="22"/>
      <c r="DO208" s="22"/>
      <c r="DP208" s="22"/>
      <c r="DQ208" s="22"/>
      <c r="DR208" s="28"/>
      <c r="DS208" s="22"/>
      <c r="DT208" s="22"/>
      <c r="DU208" s="216" t="str">
        <f t="shared" ca="1" si="917"/>
        <v>EN ESPERA</v>
      </c>
      <c r="DV208" s="226" t="str">
        <f t="shared" si="918"/>
        <v>ACTIVA INGRESO A CPN</v>
      </c>
      <c r="DW20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8" s="216" t="e">
        <f t="shared" ca="1" si="850"/>
        <v>#REF!</v>
      </c>
      <c r="DY208" s="212">
        <f>IF(R208="","",IF(R208&gt;0,MAX(Tabla1[[#This Row],[FECHA C2]:[FECHA C13]],Tabla1[[#This Row],[FECHA CONSULTA PRIMERA VEZ PROGRAMA CPN ]])))</f>
        <v>45146</v>
      </c>
      <c r="DZ208" s="216">
        <f t="shared" si="851"/>
        <v>10</v>
      </c>
      <c r="EA208" s="222">
        <f>IF(R208&gt;0,SUM(COUNTA(DF208:DQ208)+COUNTA(Tabla1[[#This Row],[FECHA CONSULTA PRIMERA VEZ PROGRAMA CPN ]])),"")</f>
        <v>2</v>
      </c>
      <c r="EB208" s="222" t="str">
        <f t="shared" si="852"/>
        <v>NO</v>
      </c>
      <c r="EC208" s="214">
        <f t="shared" si="853"/>
        <v>10</v>
      </c>
      <c r="ED208" s="227">
        <f t="shared" si="854"/>
        <v>0.2</v>
      </c>
      <c r="EE208" s="22">
        <v>45115</v>
      </c>
      <c r="EF208" s="22">
        <v>45121</v>
      </c>
      <c r="EG208" s="22">
        <v>45115</v>
      </c>
      <c r="EH208" s="22"/>
      <c r="EI208" s="22">
        <v>45115</v>
      </c>
      <c r="EJ208" s="22"/>
      <c r="EK208" s="22"/>
      <c r="EL208" s="21"/>
      <c r="EM208" s="21">
        <v>12.7</v>
      </c>
      <c r="EN208" s="22">
        <v>45115</v>
      </c>
      <c r="EO208" s="222">
        <f t="shared" si="855"/>
        <v>6</v>
      </c>
      <c r="EP208" s="214" t="str">
        <f t="shared" si="856"/>
        <v>NORMAL- SUMINISTRAR SULFATO FERROSO</v>
      </c>
      <c r="EQ208" s="216" t="str">
        <f t="shared" si="857"/>
        <v>I TRIM</v>
      </c>
      <c r="ER208" s="24"/>
      <c r="ES208" s="22"/>
      <c r="ET208" s="29" t="str">
        <f t="shared" ca="1" si="919"/>
        <v>EN ESPERA PARA TOMA EXAMEN</v>
      </c>
      <c r="EU208" s="25" t="str">
        <f t="shared" si="858"/>
        <v/>
      </c>
      <c r="EV208" s="24" t="s">
        <v>1510</v>
      </c>
      <c r="EW208" s="32">
        <v>45115</v>
      </c>
      <c r="EX208" s="22"/>
      <c r="EY208" s="29">
        <f t="shared" si="691"/>
        <v>6</v>
      </c>
      <c r="EZ208" s="25" t="str">
        <f t="shared" si="692"/>
        <v>SIN RIESGO DE ISOINMUNIZACIÓN</v>
      </c>
      <c r="FA208" s="21">
        <v>90</v>
      </c>
      <c r="FB208" s="32">
        <v>45115</v>
      </c>
      <c r="FC208" s="29">
        <f t="shared" si="859"/>
        <v>6</v>
      </c>
      <c r="FD208" s="29"/>
      <c r="FE208" s="29"/>
      <c r="FF208" s="29"/>
      <c r="FG208" s="21" t="str">
        <f t="shared" ca="1" si="860"/>
        <v>PROGRAMAR TOMA PTOG SIGUIENTE CONTROL</v>
      </c>
      <c r="FH208" s="31"/>
      <c r="FI208" s="29" t="str">
        <f t="shared" si="861"/>
        <v>TOMAR EXAMEN</v>
      </c>
      <c r="FJ208" s="22" t="s">
        <v>867</v>
      </c>
      <c r="FK208" s="32">
        <v>45115</v>
      </c>
      <c r="FL208" s="29">
        <f t="shared" ca="1" si="862"/>
        <v>6</v>
      </c>
      <c r="FM208" s="22"/>
      <c r="FN208" s="32"/>
      <c r="FO208" s="29" t="str">
        <f t="shared" ca="1" si="920"/>
        <v>EN RANGO PARA TOMAR EXAMEN</v>
      </c>
      <c r="FP208" s="22"/>
      <c r="FQ208" s="32"/>
      <c r="FR208" s="29" t="str">
        <f t="shared" ca="1" si="921"/>
        <v>EN ESPERA-ESTÁ I TRIM O II TRIM</v>
      </c>
      <c r="FS208" s="22"/>
      <c r="FT208" s="32"/>
      <c r="FU208" s="29" t="str">
        <f>IF(AND(FJ208="",FM208="",FP208="",FS208=""),"",IF(OR(OR(Tabla1[[#This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8" s="28"/>
      <c r="FW208" s="22"/>
      <c r="FX208" s="29" t="str">
        <f t="shared" si="863"/>
        <v>TOMAR EXAMEN</v>
      </c>
      <c r="FY208" s="22" t="s">
        <v>868</v>
      </c>
      <c r="FZ208" s="32">
        <v>45116</v>
      </c>
      <c r="GA208" s="29">
        <f t="shared" ca="1" si="737"/>
        <v>6.1428571428571432</v>
      </c>
      <c r="GB208" s="22"/>
      <c r="GC208" s="22"/>
      <c r="GD208" s="29" t="str">
        <f t="shared" ca="1" si="922"/>
        <v>EN RANGO PARA TOMAR EXAMEN</v>
      </c>
      <c r="GE208" s="22"/>
      <c r="GF208" s="22"/>
      <c r="GG208" s="29" t="str">
        <f t="shared" ca="1" si="923"/>
        <v>EN ESPERA-ESTÁ I TRIM O II TRIM</v>
      </c>
      <c r="GH208" s="22"/>
      <c r="GI208" s="29"/>
      <c r="GJ208" s="22"/>
      <c r="GK208" s="22"/>
      <c r="GL208" s="22"/>
      <c r="GM208" s="22"/>
      <c r="GN208" s="28" t="s">
        <v>869</v>
      </c>
      <c r="GO208" s="32">
        <v>45115</v>
      </c>
      <c r="GP208" s="29">
        <f t="shared" si="864"/>
        <v>6</v>
      </c>
      <c r="GQ208" s="28" t="s">
        <v>869</v>
      </c>
      <c r="GR208" s="28" t="s">
        <v>869</v>
      </c>
      <c r="GS208" s="22" t="str">
        <f t="shared" si="726"/>
        <v>CONTROL Igm</v>
      </c>
      <c r="GT208" s="22">
        <v>45115</v>
      </c>
      <c r="GU208" s="29">
        <f t="shared" si="865"/>
        <v>6</v>
      </c>
      <c r="GV208" s="21" t="str">
        <f t="shared" si="866"/>
        <v>I TRIM</v>
      </c>
      <c r="GW208" s="28"/>
      <c r="GX208" s="30"/>
      <c r="GY208" s="21"/>
      <c r="GZ208" s="21"/>
      <c r="HA208" s="21"/>
      <c r="HB208" s="21"/>
      <c r="HC208" s="21"/>
      <c r="HD208" s="21"/>
      <c r="HE208" s="21"/>
      <c r="HF208" s="22"/>
      <c r="HG208" s="22" t="str">
        <f>IF(OR(O208&gt;0,R208&gt;0),CONCATENATE(IF(Tabla1[[#This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8" s="22" t="e">
        <f t="shared" si="867"/>
        <v>#REF!</v>
      </c>
      <c r="HI208" s="22" t="e">
        <f t="shared" ca="1" si="868"/>
        <v>#REF!</v>
      </c>
      <c r="HJ208" s="21"/>
      <c r="HK208" s="21" t="str">
        <f t="shared" si="869"/>
        <v>SIN ANTECEDENTES DE RIESGO</v>
      </c>
      <c r="HL208" s="24" t="str">
        <f t="shared" si="870"/>
        <v>APARENTEMENTE NORMAL</v>
      </c>
      <c r="HM208" s="21" t="e">
        <f t="shared" ca="1" si="871"/>
        <v>#REF!</v>
      </c>
      <c r="HN208" s="30" t="str">
        <f t="shared" si="924"/>
        <v>ACTIVA INGRESO A CPN</v>
      </c>
      <c r="HO208" s="21"/>
      <c r="HP208" s="21"/>
      <c r="HQ208" s="349"/>
      <c r="HR208" s="21" t="str">
        <f>IF(R208="","",IF(Tabla1[[#This Row],[ALARMA FACTORES DE RIESGO COMPLICACIONES HIPERTENSIVAS3]]="SIN ANTECEDENTES DE RIESGO","No Aplica para suministro de ASA",IF(AND(Tabla1[[#This Row],[FECHA INICIO DE SUMINISTRO DE ASA]]&gt;0,RV208&lt;12),"Inicia ASA ANTES de Sem 12",IF(AND(RV208&gt;11,RV208&lt;17,OR(HK208="RIESGO ALTO DE COMPLICACIONES HIPERTENSIVAS VER MANEJO GUIA SUMINISTRO ASA Y CALCIO",HK208="RIESGO MODERADO (2 O MAS CRITERIOS) VER MANEJO GUIA SUMINISTRO ASA Y CALCIO")),"Inicio oportuno de ASA",IF(AND(RV208&gt;12,OR(HK208="RIESGO ALTO DE COMPLICACIONES HIPERTENSIVAS VER MANEJO GUIA SUMINISTRO ASA Y CALCIO",HK208="RIESGO MODERADO (2 O MAS CRITERIOS) VER MANEJO GUIA SUMINISTRO ASA Y CALCIO")),"Inicio no oportuno mayor a 16 semanas",IF(AND(BU208&lt;12,OR(HK208="RIESGO ALTO DE COMPLICACIONES HIPERTENSIVAS VER MANEJO GUIA SUMINISTRO ASA Y CALCIO",HK208="RIESGO MODERADO (2 O MAS CRITERIOS) VER MANEJO GUIA SUMINISTRO ASA Y CALCIO")),"Pendiente Inicio de ASA a la semana 12",IF(AND(BU208&gt;11,BU208&lt;17,OR(HK208="RIESGO ALTO DE COMPLICACIONES HIPERTENSIVAS VER MANEJO GUIA SUMINISTRO ASA Y CALCIO",HK208="RIESGO MODERADO (2 O MAS CRITERIOS) VER MANEJO GUIA SUMINISTRO ASA Y CALCIO")),"Iniciar de inmediato ASA",IF(AND(BU208&gt;16,OR(HK208="RIESGO ALTO DE COMPLICACIONES HIPERTENSIVAS VER MANEJO GUIA SUMINISTRO ASA Y CALCIO",HK208="RIESGO MODERADO (2 O MAS CRITERIOS) VER MANEJO GUIA SUMINISTRO ASA Y CALCIO")),"Pierde Oportunidad, Inicio tardío de ASA","XXXXX"))))))))</f>
        <v>No Aplica para suministro de ASA</v>
      </c>
      <c r="HS208" s="22"/>
      <c r="HT208" s="22"/>
      <c r="HU208" s="22">
        <v>45115</v>
      </c>
      <c r="HV208" s="22" t="s">
        <v>1544</v>
      </c>
      <c r="HW208" s="22">
        <v>45115</v>
      </c>
      <c r="HX208" s="22" t="s">
        <v>1511</v>
      </c>
      <c r="HY208" s="22">
        <v>45115</v>
      </c>
      <c r="HZ208" s="28">
        <f t="shared" si="872"/>
        <v>6</v>
      </c>
      <c r="IA208" s="26" t="s">
        <v>864</v>
      </c>
      <c r="IB208" s="26"/>
      <c r="IC208" s="111"/>
      <c r="ID208" s="22"/>
      <c r="IE208" s="22" t="str">
        <f t="shared" ca="1" si="873"/>
        <v>PROGRAMAR APLICACION DE VACUNA</v>
      </c>
      <c r="IF208" s="22"/>
      <c r="IG208" s="22">
        <f t="shared" si="874"/>
        <v>45353</v>
      </c>
      <c r="IH208" s="29">
        <f t="shared" ca="1" si="875"/>
        <v>120</v>
      </c>
      <c r="II208" s="22" t="str">
        <f t="shared" ca="1" si="876"/>
        <v>PENDIENTE</v>
      </c>
      <c r="IJ208" s="22"/>
      <c r="IK208" s="21"/>
      <c r="IL208" s="21"/>
      <c r="IM208" s="34"/>
      <c r="IN208" s="22"/>
      <c r="IO208" s="21"/>
      <c r="IP208" s="29" t="str">
        <f t="shared" si="877"/>
        <v/>
      </c>
      <c r="IQ208" s="35"/>
      <c r="IR208" s="21"/>
      <c r="IS208" s="21"/>
      <c r="IT208" s="21"/>
      <c r="IU208" s="21"/>
      <c r="IV208" s="21"/>
      <c r="IW208" s="21"/>
      <c r="IX208" s="21"/>
      <c r="IY208" s="21"/>
      <c r="IZ208" s="21"/>
      <c r="JA208" s="21"/>
      <c r="JB208" s="30"/>
      <c r="JC208" s="21"/>
      <c r="JD208" s="36"/>
      <c r="JE208" s="21" t="str">
        <f t="shared" si="878"/>
        <v/>
      </c>
      <c r="JF208" s="30"/>
      <c r="JG208" s="21"/>
      <c r="JH208" s="21"/>
      <c r="JI208" s="21"/>
      <c r="JJ208" s="30"/>
      <c r="JK208" s="22"/>
      <c r="JL208" s="22"/>
      <c r="JM208" s="21"/>
      <c r="JN208" s="36"/>
      <c r="JO208" s="21" t="str">
        <f t="shared" si="879"/>
        <v/>
      </c>
      <c r="JP208" s="22"/>
      <c r="JQ208" s="21"/>
      <c r="JR208" s="21"/>
      <c r="JS208" s="21"/>
      <c r="JT208" s="30"/>
      <c r="JU208" s="22"/>
      <c r="JV208" s="22"/>
      <c r="JW208" s="33"/>
      <c r="JX208" s="28" t="str">
        <f t="shared" si="880"/>
        <v/>
      </c>
      <c r="JY208" s="33"/>
      <c r="JZ208" s="28" t="str">
        <f t="shared" si="881"/>
        <v/>
      </c>
      <c r="KA208" s="21"/>
      <c r="KB208" s="21"/>
      <c r="KC208" s="21"/>
      <c r="KD208" s="37"/>
      <c r="KE208" s="28"/>
      <c r="KF208" s="28"/>
      <c r="KG208" s="28"/>
      <c r="KH208" s="39"/>
      <c r="KI208" s="39"/>
      <c r="KJ208" s="66"/>
      <c r="KK208" s="39"/>
      <c r="KL208" s="39"/>
      <c r="KM208" s="66"/>
      <c r="KN208" s="39"/>
      <c r="KO208" s="39"/>
      <c r="KP208" s="39"/>
      <c r="KQ208" s="39"/>
      <c r="KR208" s="39"/>
      <c r="KS208" s="39"/>
      <c r="KT208" s="39"/>
      <c r="KU208" s="38"/>
      <c r="KV208" s="38"/>
      <c r="KW208" s="38"/>
      <c r="KX208" s="38"/>
      <c r="KY208" s="38"/>
      <c r="KZ208" s="38"/>
      <c r="LA208" s="38"/>
      <c r="LB208" s="38"/>
      <c r="LC208" s="38"/>
      <c r="LD208" s="38"/>
      <c r="LE208" s="38"/>
      <c r="LF208" s="38"/>
      <c r="LG208" s="38"/>
      <c r="LH208" s="38"/>
      <c r="LI208" s="38"/>
      <c r="LJ208" s="38"/>
      <c r="LK208" s="38"/>
      <c r="LL208" s="38"/>
      <c r="LM208" s="38"/>
      <c r="LN208" s="38"/>
      <c r="LO208" s="38"/>
      <c r="LP208" s="38"/>
      <c r="LQ208" s="38"/>
      <c r="LR208" s="38"/>
      <c r="LS208" s="38"/>
      <c r="LT208" s="38"/>
      <c r="LU208" s="38"/>
      <c r="LV208" s="38"/>
      <c r="LW208" s="38"/>
      <c r="LX208" s="38"/>
      <c r="LY208" s="38"/>
      <c r="LZ208" s="38"/>
      <c r="MA208" s="38"/>
      <c r="MB208" s="38"/>
      <c r="MC208" s="38"/>
      <c r="MD208" s="38"/>
      <c r="ME208" s="38"/>
      <c r="MF208" s="38"/>
      <c r="MG208" s="38"/>
      <c r="MH208" s="43">
        <f t="shared" si="882"/>
        <v>0</v>
      </c>
      <c r="MI208" s="43" t="str">
        <f t="shared" ref="MI208:MI248" si="926">IF(AND(R208="",O208=""),"",IF(AND(OR(O208&gt;0,R208&gt;0),KT208&gt;0),SUM(KT208-RW208)/7,""))</f>
        <v/>
      </c>
      <c r="MJ208" s="43" t="str">
        <f t="shared" si="884"/>
        <v/>
      </c>
      <c r="MK208" s="43">
        <f t="shared" si="885"/>
        <v>0</v>
      </c>
      <c r="ML20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8" s="43">
        <f t="shared" ref="MM208:MM248" si="927">IF(AND(O208&gt;0,RW208&gt;0),SUM(O208-RW208)/7,"")</f>
        <v>6</v>
      </c>
      <c r="MN208" s="43">
        <f t="shared" ref="MN208:MN248" si="928">IF(R208&gt;0,MONTH(R208),"")</f>
        <v>7</v>
      </c>
      <c r="MO208" s="43">
        <f t="shared" ref="MO208:MO248" si="929">IF(R208&gt;0,YEAR(R208),"")</f>
        <v>2023</v>
      </c>
      <c r="MP208" s="43" t="str">
        <f t="shared" si="889"/>
        <v>III TRIMESTRE AÑO</v>
      </c>
      <c r="MQ208" s="43">
        <f t="shared" ref="MQ208:MQ248" si="930">IF(AND(M208&gt;0,R208&gt;0),DAYS360(M208,R208)/30.44/12,IF(AND(M208&gt;0,O208&gt;0,R208=""),DAYS360(M208,O208)/30.44/12,""))</f>
        <v>15.681121331581252</v>
      </c>
      <c r="MR208" s="43">
        <f t="shared" si="891"/>
        <v>1</v>
      </c>
      <c r="MS208" s="43" t="str">
        <f t="shared" si="892"/>
        <v>DE 14 A 19AÑOS</v>
      </c>
      <c r="MT208" s="43">
        <f t="shared" si="893"/>
        <v>0</v>
      </c>
      <c r="MU208" s="43">
        <f t="shared" si="894"/>
        <v>1</v>
      </c>
      <c r="MV208" s="43">
        <f t="shared" si="895"/>
        <v>0</v>
      </c>
      <c r="MW208" s="43">
        <f t="shared" si="896"/>
        <v>0</v>
      </c>
      <c r="MX208" s="43" t="str">
        <f t="shared" si="897"/>
        <v/>
      </c>
      <c r="MY208" s="43" t="str">
        <f t="shared" ca="1" si="898"/>
        <v/>
      </c>
      <c r="MZ208" s="43" t="str">
        <f t="shared" si="899"/>
        <v/>
      </c>
      <c r="NA208" s="43" t="str">
        <f t="shared" si="900"/>
        <v/>
      </c>
      <c r="NB208" s="43" t="str">
        <f t="shared" si="901"/>
        <v/>
      </c>
      <c r="NC208" s="43" t="str">
        <f t="shared" si="902"/>
        <v/>
      </c>
      <c r="ND208" s="43">
        <f t="shared" ref="ND208:ND248" ca="1" si="931">IF(AND(O208="",R208=""),"",IF(OR(O208&lt;&gt;"",R208&lt;&gt;""),SUM(COUNTIF(AL208:AR208,"SI"),COUNTIF(AV208,"SI"),COUNTIF(BC208,"SI, CONTROLADA"),COUNTIF(BI208,"SI"),COUNTIF(BM208,"SI"),SUM(COUNTIF(BC208,"SI, SIN MANEJO")*3),SUM(COUNTIF(BC208,"SI, NO CONTROLADA")*3),SUM(COUNTIF(BD208:BG208,"SI")*3),SUM(COUNTIF(CB208:CC208,"SI")*3),SUM(COUNTIF(AD208,"Consumo Actual")*3),SUM(COUNTIF(AD208,"Hasta Antes de la Gestación")*2),SUM(COUNTIF(BK208,"SI")*3),SUM(COUNTIF(BL208,"SI")*2),SUM(COUNTIF(CE208,"SI")*2),SUM(COUNTIF(BH208,"SI")*2),SUM(COUNTIF(FG208,"DIABETES, REMITIR")*2),SUM(MT208:NC208),SUM(MR208),SUM(NG208),SUM(COUNTIF(EZ208,"COOMBS C/MES Y RESUMAN SEM 28")*2),SUM(COUNTIF(EZ208,"TOMAR COOMBS CUANTITATIVO Y REMISIÓN")*3),SUM(COUNTIF(FU208,"SIFILIS GESTACIONAL")*3)),""))</f>
        <v>2.5</v>
      </c>
      <c r="NE208" s="43">
        <f>IF(OR(O208&gt;0,R208&gt;0),SUM(COUNTIF(Tabla1[[#This Row],[AÑOS AL INICIO5 CPN]],"&gt;=40"),COUNTIF(AS208,"0"),COUNTIF(AR208,"SI"),COUNTIF(CC208,"SI"),COUNTIF(BQ208,"&gt;119"),COUNTIF(CI208,"&gt;=35")),"")</f>
        <v>1</v>
      </c>
      <c r="NF208" s="43" t="str">
        <f t="shared" ref="NF208:NF248" si="932">IF(AND(R208="",O208=""),"",IF(AND(OR(O208&gt;0,R208&gt;0),RW208=""),"SD",IF(AND(OR(O208&gt;0,R208&gt;0),ID208&gt;0),SUM(ID208-RW208)/7,"")))</f>
        <v/>
      </c>
      <c r="NG208" s="43">
        <f t="shared" si="905"/>
        <v>0.5</v>
      </c>
      <c r="NH208" s="43">
        <f t="shared" si="906"/>
        <v>49.699999999999996</v>
      </c>
      <c r="NI20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CPN",P208="NO"),"Z",IF(AND(Tabla1[[#This Row],[CITA PROXIMO CONTROL]]="CITA MANUAL",Tabla1[[#This Row],[GESTANTES ACTUALES]]="ACTIVA INGRESO A CPN"),"W",IF(AND(Tabla1[[#This Row],[GESTANTES ACTUALES]]="SALIO PROGRAMA",IN208=""),"S",IF(AND(Tabla1[[#This Row],[CITA PROXIMO CONTROL]]&gt;0,IN208=""),(Tabla1[[#This Row],[CITA PROXIMO CONTROL]]-TODAY()),"SD"))))))))</f>
        <v>#REF!</v>
      </c>
      <c r="NJ208" s="43">
        <f>MONTH(Tabla1[[#This Row],[FECHA DE SALIDA  DEL PROGRAMA]])</f>
        <v>1</v>
      </c>
      <c r="NK208" s="43">
        <f>YEAR(Tabla1[[#This Row],[FECHA DE SALIDA  DEL PROGRAMA]])</f>
        <v>1900</v>
      </c>
      <c r="NL208" s="43" t="str">
        <f t="shared" ref="NL208:NL248" si="933">IF(AND(O208&gt;0,R208=""),"NO CPN",IF(AND(O208="",R208=""),"",IF(AND(R208&gt;0,EJ208&gt;0,EI208&gt;0),_xlfn.DAYS(EJ208,EI208),IF(AND(R208&gt;0,EJ208&gt;0,EI208=""),"NO CITA","X"))))</f>
        <v>X</v>
      </c>
      <c r="NM208" s="43" t="str">
        <f>IF(AND(O208&gt;0,R208=""),"NO CPN",IF(AND(O208="",R208=""),"",IF(AND(EN208&lt;&gt;"",EX208&lt;&gt;"",FB208&lt;&gt;"",FK208&lt;&gt;"",FW208&lt;&gt;"",FZ208&lt;&gt;"",GO208&lt;&gt;"",GQ208&lt;&gt;"",GR208&lt;&gt;""),"SI","NO")))</f>
        <v>NO</v>
      </c>
      <c r="NN208" s="43" t="str">
        <f ca="1">IF(AND(O208&gt;0,R208=""),"NO CPN",IF(AND(O208="",R208=""),"",IF(AND(R208&gt;0,Tabla1[[#This Row],[SEMANAS DE GESTACION ACTUALIZADAS]]&lt;=12),"NO APLICA",IF(AND(FH208&lt;&gt;"",FN208&lt;&gt;""),"SI","NO"))))</f>
        <v>NO</v>
      </c>
      <c r="NO208" s="43" t="str">
        <f ca="1">IF(AND(O208&gt;0,R208=""),"NO CPN",IF(AND(O208="",R208=""),"",IF(AND(R208&gt;0,Tabla1[[#This Row],[SEMANAS DE GESTACION ACTUALIZADAS]]&lt;=27),"NO APLICA",IF(AND(ES208&lt;&gt;"",FQ208&lt;&gt;"",GF208&lt;&gt;""),"SI","NO"))))</f>
        <v>NO APLICA</v>
      </c>
      <c r="NP208" s="204" t="str">
        <f t="shared" si="909"/>
        <v>I TRIM</v>
      </c>
      <c r="NQ208" s="21" t="str">
        <f>IF(AND(IP209&gt;0,IP209&lt;37),10,IF(OR(CD209="Transversa",CD209="Oblicua"),9,IF(CC209="SI",8,IF(AND(AT209=0,AW209=0,CC209="NO",CD209="Cefálica",IP209&gt;=37,IT209="INICIO ESPONTÁNEO"),1,IF(AND(AND(AT209=0,AW209=0,CC209="NO",CD209="Cefálica",IP209&gt;=37),OR(IT209="LE HACEN INDUCCIÓN",IT209="LE HACEN CESÁREA SIN INICIO TRABAJO DE PARTO")),2,IF(AND(AT209&gt;=1,AW209=0,CC209="NO",CD209="Cefálica",IP209&gt;=37,IT209="INICIO ESPONTÁNEO"),3,IF(AND(AND(AT209&gt;=1,AW209=0,CC209="NO",CD209="Cefálica",IP209&gt;=37),OR(IT209="LE HACEN INDUCCIÓN",IT209="LE HACEN CESÁREA SIN INICIO TRABAJO DE PARTO")),4,IF(AND(AND(AT209&gt;=1,AW209&gt;=1,CC209="NO",CD209="Cefálica",IP209&gt;=37),OR(IT209="LE HACEN INDUCCIÓN",IT209="LE HACEN CESÁREA SIN INICIO TRABAJO DE PARTO",IT209="INICIO ESPONTÁNEO")),5,IF(AND(AND(AT209=0,AW209=0,CC209="NO",CD209="Podálica",IP209&gt;=1),OR(IT209="LE HACEN INDUCCIÓN",IT209="LE HACEN CESÁREA SIN INICIO TRABAJO DE PARTO",IT209="INICIO ESPONTÁNEO")),6,IF(AND(AND(AT209&gt;=1,CC209="NO",CD209="Podálica",IP209&gt;=1),OR(IT209="LE HACEN INDUCCIÓN",IT209="LE HACEN CESÁREA SIN INICIO TRABAJO DE PARTO",IT209="INICIO ESPONTÁNEO"),OR(AW209=0,AW209&gt;=1)),7,""))))))))))</f>
        <v/>
      </c>
      <c r="NR208" s="21">
        <f t="shared" ref="NR208:NR248" ca="1" si="934">IF(AND(O208="",R208=""),"",IF(AND(BS208&gt;0,BS208&lt;12,IP208&gt;28,IP208&lt;44),3, IF(OR(AND(BS208&gt;=12,BS208&lt;28,IP208&gt;=28,IP208&lt;44),AND(BS208&gt;0,BS208&lt;12,IP208&gt;=12,IP208&lt;29)),2,IF(OR(AND(BS208&gt;=28,BS208&lt;44),AND(BS208&gt;0,BS208&lt;12,IP208&gt;0,IP208&lt;12),AND(BS208&gt;=12,BS208&lt;28,IP208&gt;=12,IP208&lt;28)),1,IF(AND(BS208&gt;0,BS208&lt;12,BU208&gt;=28,BU208&lt;44,DV208="ACTIVA INGRESO A CPN"),3,IF(OR(AND(BS208&gt;0,BS208&lt;12,BU208&gt;=12,BU208&lt;28,DV208="ACTIVA INGRESO A CPN"),AND(BS208&gt;=12,BS208&lt;28,BU208&gt;=28,BU208&lt;44,DV208="ACTIVA INGRESO A CPN")),2,IF(OR(AND(BS208&gt;0,BS208&lt;12,BU208&gt;0,BU208&lt;12,DV208="ACTIVA INGRESO A CPN"),AND(BS208&gt;=12,BS208&lt;28,BU208&gt;=12,BU208&lt;28,DV208="ACTIVA INGRESO A CPN")),1,"REVISAR FUM O FECHA SALIDA PROGRAMA")))))))</f>
        <v>2</v>
      </c>
      <c r="NS208" s="205">
        <f t="shared" ca="1" si="911"/>
        <v>1</v>
      </c>
      <c r="NT208" s="21">
        <f t="shared" ca="1" si="912"/>
        <v>1</v>
      </c>
      <c r="NU208" s="21" t="str">
        <f t="shared" ca="1" si="913"/>
        <v>INCOMPLETO</v>
      </c>
      <c r="NV208" s="21" t="str">
        <f t="shared" ca="1" si="914"/>
        <v>INCOMPLETO</v>
      </c>
      <c r="NW208" s="206" t="str">
        <f>IF(AND(O208="",R208=""),"",IF(OR(AND(Tabla1[[#This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8" s="207" t="str">
        <f t="shared" ref="NX208:NX248" ca="1" si="935">IF(AND(O208="",R208=""),"",IF(OR(IE208="VACUNA APLICADA ENTRE SEMANA 20 Y SEMANA 26",IE208="VACUNA APLICADA ENTRE SEMANA 27 Y EL PARTO",IE208="VACUNA APLICADA ANTES SEMANA 20"),"VACUNADA","SIN VACUNAR"))</f>
        <v>SIN VACUNAR</v>
      </c>
      <c r="NY208" s="43">
        <f>ROW(Tabla1[[#This Row],['# DE TAMIZAJES SIFILIS TOMADOS ]])</f>
        <v>208</v>
      </c>
      <c r="NZ208" s="43" t="str">
        <f t="shared" si="738"/>
        <v>Menor</v>
      </c>
      <c r="OA208" s="43" t="str">
        <f t="shared" si="739"/>
        <v>NORMAL</v>
      </c>
      <c r="OB208" s="43" t="str">
        <f t="shared" si="740"/>
        <v/>
      </c>
      <c r="OC208" s="43" t="str">
        <f t="shared" si="741"/>
        <v/>
      </c>
      <c r="OD208" s="43" t="str">
        <f t="shared" si="742"/>
        <v/>
      </c>
      <c r="OE208" s="43" t="str">
        <f t="shared" si="743"/>
        <v/>
      </c>
      <c r="OF208" s="43" t="str">
        <f t="shared" si="744"/>
        <v/>
      </c>
      <c r="OG208" s="43" t="str">
        <f t="shared" si="745"/>
        <v/>
      </c>
      <c r="OH208" s="43" t="str">
        <f t="shared" si="746"/>
        <v/>
      </c>
      <c r="OI208" s="43" t="str">
        <f t="shared" si="747"/>
        <v/>
      </c>
      <c r="OJ208" s="43" t="str">
        <f t="shared" si="748"/>
        <v/>
      </c>
      <c r="OK208" s="43" t="str">
        <f t="shared" si="749"/>
        <v/>
      </c>
      <c r="OL208" s="43" t="str">
        <f t="shared" si="750"/>
        <v/>
      </c>
      <c r="OM208" s="43" t="str">
        <f t="shared" si="751"/>
        <v/>
      </c>
      <c r="ON208" s="43" t="str">
        <f t="shared" si="752"/>
        <v/>
      </c>
      <c r="OO208" s="43" t="str">
        <f t="shared" si="753"/>
        <v/>
      </c>
      <c r="OP208" s="43" t="str">
        <f t="shared" si="754"/>
        <v/>
      </c>
      <c r="OQ208" s="43" t="str">
        <f t="shared" si="755"/>
        <v/>
      </c>
      <c r="OR208" s="43" t="str">
        <f t="shared" si="756"/>
        <v/>
      </c>
      <c r="OS208" s="43" t="str">
        <f t="shared" si="757"/>
        <v/>
      </c>
      <c r="OT208" s="43" t="str">
        <f t="shared" si="758"/>
        <v/>
      </c>
      <c r="OU208" s="43" t="str">
        <f t="shared" si="759"/>
        <v/>
      </c>
      <c r="OV208" s="110" t="str">
        <f t="shared" si="760"/>
        <v/>
      </c>
      <c r="OW208" s="43" t="str">
        <f t="shared" si="761"/>
        <v/>
      </c>
      <c r="OX208" s="43" t="str">
        <f t="shared" si="762"/>
        <v/>
      </c>
      <c r="OY208" s="43" t="str">
        <f t="shared" si="763"/>
        <v/>
      </c>
      <c r="OZ208" s="43" t="str">
        <f t="shared" si="764"/>
        <v/>
      </c>
      <c r="PA208" s="43" t="str">
        <f t="shared" si="765"/>
        <v/>
      </c>
      <c r="PB208" s="43" t="str">
        <f t="shared" si="766"/>
        <v/>
      </c>
      <c r="PC208" s="43" t="str">
        <f t="shared" si="767"/>
        <v/>
      </c>
      <c r="PD208" s="43" t="str">
        <f t="shared" si="768"/>
        <v/>
      </c>
      <c r="PE208" s="43" t="str">
        <f t="shared" si="769"/>
        <v/>
      </c>
      <c r="PF208" s="43" t="str">
        <f t="shared" si="770"/>
        <v/>
      </c>
      <c r="PG208" s="43" t="str">
        <f t="shared" si="771"/>
        <v/>
      </c>
      <c r="PH208" s="43" t="str">
        <f t="shared" si="772"/>
        <v/>
      </c>
      <c r="PI208" s="43">
        <f t="shared" si="773"/>
        <v>10</v>
      </c>
      <c r="PJ208" s="43" t="str">
        <f t="shared" si="774"/>
        <v/>
      </c>
      <c r="PK208" s="43" t="str">
        <f t="shared" si="775"/>
        <v>BAJO PESO</v>
      </c>
      <c r="PL208" s="43" t="str">
        <f t="shared" si="776"/>
        <v/>
      </c>
      <c r="PM208" s="43" t="str">
        <f t="shared" si="777"/>
        <v/>
      </c>
      <c r="PN208" s="43" t="str">
        <f t="shared" si="778"/>
        <v/>
      </c>
      <c r="PO208" s="43" t="str">
        <f t="shared" si="779"/>
        <v/>
      </c>
      <c r="PP208" s="43" t="str">
        <f t="shared" si="780"/>
        <v/>
      </c>
      <c r="PQ208" s="43" t="str">
        <f t="shared" si="781"/>
        <v/>
      </c>
      <c r="PR208" s="43" t="str">
        <f t="shared" si="782"/>
        <v/>
      </c>
      <c r="PS208" s="43" t="str">
        <f t="shared" si="783"/>
        <v/>
      </c>
      <c r="PT208" s="43" t="str">
        <f t="shared" si="784"/>
        <v/>
      </c>
      <c r="PU208" s="43" t="str">
        <f t="shared" si="785"/>
        <v/>
      </c>
      <c r="PV208" s="43" t="str">
        <f t="shared" si="786"/>
        <v/>
      </c>
      <c r="PW208" s="43" t="str">
        <f t="shared" si="787"/>
        <v/>
      </c>
      <c r="PX208" s="43" t="str">
        <f t="shared" si="788"/>
        <v/>
      </c>
      <c r="PY208" s="43" t="str">
        <f t="shared" si="789"/>
        <v/>
      </c>
      <c r="PZ208" s="43" t="str">
        <f t="shared" si="790"/>
        <v/>
      </c>
      <c r="QA208" s="43" t="str">
        <f t="shared" si="791"/>
        <v/>
      </c>
      <c r="QB208" s="43" t="str">
        <f t="shared" si="792"/>
        <v/>
      </c>
      <c r="QC208" s="43" t="str">
        <f t="shared" si="793"/>
        <v/>
      </c>
      <c r="QD208" s="43" t="str">
        <f t="shared" si="794"/>
        <v/>
      </c>
      <c r="QE208" s="43" t="str">
        <f t="shared" si="795"/>
        <v/>
      </c>
      <c r="QF208" s="43" t="str">
        <f t="shared" si="796"/>
        <v/>
      </c>
      <c r="QG208" s="43" t="str">
        <f t="shared" si="797"/>
        <v/>
      </c>
      <c r="QH208" s="43" t="str">
        <f t="shared" si="798"/>
        <v/>
      </c>
      <c r="QI208" s="43" t="str">
        <f t="shared" si="799"/>
        <v/>
      </c>
      <c r="QJ208" s="43" t="str">
        <f t="shared" si="800"/>
        <v/>
      </c>
      <c r="QK208" s="43" t="str">
        <f t="shared" si="801"/>
        <v/>
      </c>
      <c r="QL208" s="43" t="str">
        <f t="shared" si="802"/>
        <v/>
      </c>
      <c r="QM208" s="43" t="str">
        <f t="shared" si="803"/>
        <v/>
      </c>
      <c r="QN208" s="43" t="str">
        <f t="shared" si="804"/>
        <v/>
      </c>
      <c r="QO208" s="43" t="str">
        <f t="shared" si="805"/>
        <v/>
      </c>
      <c r="QP208" s="43" t="str">
        <f t="shared" si="806"/>
        <v/>
      </c>
      <c r="QQ208" s="43" t="str">
        <f t="shared" si="807"/>
        <v/>
      </c>
      <c r="QR208" s="43" t="str">
        <f t="shared" si="837"/>
        <v>Menor</v>
      </c>
      <c r="QS208" s="43"/>
      <c r="QT208" s="21" t="str">
        <f t="shared" si="808"/>
        <v/>
      </c>
      <c r="QU208" s="21" t="str">
        <f t="shared" si="809"/>
        <v/>
      </c>
      <c r="QV208" s="21" t="str">
        <f t="shared" si="810"/>
        <v/>
      </c>
      <c r="QW208" s="21" t="str">
        <f t="shared" si="811"/>
        <v/>
      </c>
      <c r="QX208" s="21" t="str">
        <f t="shared" si="812"/>
        <v/>
      </c>
      <c r="QY208" s="21" t="str">
        <f t="shared" si="813"/>
        <v/>
      </c>
      <c r="QZ208" s="21" t="str">
        <f t="shared" si="814"/>
        <v/>
      </c>
      <c r="RA208" s="21" t="str">
        <f t="shared" si="815"/>
        <v/>
      </c>
      <c r="RB208" s="21" t="str">
        <f t="shared" si="816"/>
        <v/>
      </c>
      <c r="RC208" s="21" t="str">
        <f t="shared" si="817"/>
        <v/>
      </c>
      <c r="RD208" s="21" t="str">
        <f t="shared" si="818"/>
        <v/>
      </c>
      <c r="RE208" s="21" t="str">
        <f t="shared" si="819"/>
        <v/>
      </c>
      <c r="RF208" s="21" t="str">
        <f t="shared" si="820"/>
        <v/>
      </c>
      <c r="RG208" s="21" t="str">
        <f t="shared" si="821"/>
        <v/>
      </c>
      <c r="RH208" s="21" t="str">
        <f t="shared" si="822"/>
        <v/>
      </c>
      <c r="RI208" s="21" t="str">
        <f t="shared" si="823"/>
        <v/>
      </c>
      <c r="RJ208" s="21" t="str">
        <f t="shared" si="824"/>
        <v/>
      </c>
      <c r="RK208" s="21" t="str">
        <f t="shared" si="825"/>
        <v/>
      </c>
      <c r="RL208" s="21" t="str">
        <f t="shared" si="826"/>
        <v/>
      </c>
      <c r="RM208" s="21" t="str">
        <f t="shared" si="827"/>
        <v/>
      </c>
      <c r="RN208" s="21" t="str">
        <f t="shared" si="828"/>
        <v/>
      </c>
      <c r="RO208" s="21" t="str">
        <f t="shared" si="829"/>
        <v/>
      </c>
      <c r="RP208" s="21" t="str">
        <f t="shared" si="830"/>
        <v/>
      </c>
      <c r="RQ208" s="21" t="str">
        <f t="shared" si="831"/>
        <v/>
      </c>
      <c r="RR208" s="21" t="str">
        <f t="shared" si="832"/>
        <v/>
      </c>
      <c r="RS208" s="21" t="str">
        <f t="shared" si="833"/>
        <v/>
      </c>
      <c r="RT208" s="21" t="str">
        <f t="shared" si="834"/>
        <v/>
      </c>
      <c r="RU208" s="21" t="str">
        <f t="shared" si="835"/>
        <v/>
      </c>
      <c r="RV208" s="21">
        <f t="shared" si="836"/>
        <v>-1</v>
      </c>
      <c r="RW208" s="284">
        <f>IF(OR(Tabla1[[#This Row],[FUM FORMULA CONFIABLE]]="",Tabla1[[#This Row],[FUM FORMULA CONFIABLE]]="SD"),"",IF(Tabla1[[#This Row],[FUM FORMULA CONFIABLE]]="CORREGIDA",Tabla1[[#This Row],[FUM X ECO 1]],Tabla1[[#This Row],[FUM x AMENORREA]]))</f>
        <v>45073</v>
      </c>
      <c r="RX208" s="21">
        <f>IF(AND(Tabla1[[#This Row],[FUM X ECO 1]]="",Tabla1[[#This Row],[FUM x AMENORREA]]=""),"",IF(AND(Tabla1[[#This Row],[FUM X ECO 1]]="",Tabla1[[#This Row],[FUM x AMENORREA]]&lt;&gt;""),"X",SUM(Tabla1[[#This Row],[FUM X ECO 1]]-Tabla1[[#This Row],[FUM x AMENORREA]])))</f>
        <v>-1.6999999999970896</v>
      </c>
      <c r="RY208" s="21">
        <f t="shared" si="838"/>
        <v>0</v>
      </c>
    </row>
    <row r="209" spans="1:493" ht="45" customHeight="1" x14ac:dyDescent="0.25">
      <c r="A209" s="109"/>
      <c r="B209" s="43"/>
      <c r="C209" s="43" t="s">
        <v>845</v>
      </c>
      <c r="D209" s="124" t="s">
        <v>1627</v>
      </c>
      <c r="E209" s="43" t="s">
        <v>873</v>
      </c>
      <c r="F209" s="43" t="s">
        <v>962</v>
      </c>
      <c r="G209" s="43" t="s">
        <v>1501</v>
      </c>
      <c r="H209" s="43" t="s">
        <v>1340</v>
      </c>
      <c r="I209" s="109" t="s">
        <v>851</v>
      </c>
      <c r="J209" s="110">
        <v>1059594976</v>
      </c>
      <c r="K209" s="43" t="s">
        <v>852</v>
      </c>
      <c r="L209" s="175" t="s">
        <v>1509</v>
      </c>
      <c r="M209" s="22">
        <v>38333</v>
      </c>
      <c r="N209" s="213">
        <f t="shared" ca="1" si="839"/>
        <v>18.904109589041095</v>
      </c>
      <c r="O209" s="22">
        <v>45111</v>
      </c>
      <c r="P209" s="214" t="str">
        <f t="shared" si="916"/>
        <v>SI</v>
      </c>
      <c r="Q209" s="26" t="s">
        <v>855</v>
      </c>
      <c r="R209" s="22">
        <v>45111</v>
      </c>
      <c r="S209" s="21" t="s">
        <v>856</v>
      </c>
      <c r="T209" s="24" t="s">
        <v>690</v>
      </c>
      <c r="U209" s="21" t="s">
        <v>857</v>
      </c>
      <c r="V209" s="21" t="s">
        <v>858</v>
      </c>
      <c r="W209" s="21" t="s">
        <v>1139</v>
      </c>
      <c r="X209" s="21"/>
      <c r="Y209" s="21" t="s">
        <v>859</v>
      </c>
      <c r="Z209" s="21">
        <v>3136293459</v>
      </c>
      <c r="AA209" s="21" t="s">
        <v>860</v>
      </c>
      <c r="AB209" s="27" t="s">
        <v>861</v>
      </c>
      <c r="AC209" s="26" t="s">
        <v>888</v>
      </c>
      <c r="AD209" s="38" t="s">
        <v>1546</v>
      </c>
      <c r="AE209" s="26" t="s">
        <v>854</v>
      </c>
      <c r="AF209" s="26" t="s">
        <v>854</v>
      </c>
      <c r="AG209" s="23" t="s">
        <v>854</v>
      </c>
      <c r="AH209" s="23" t="s">
        <v>864</v>
      </c>
      <c r="AI209" s="24" t="s">
        <v>863</v>
      </c>
      <c r="AJ209" s="23" t="s">
        <v>864</v>
      </c>
      <c r="AK209" s="220" t="str">
        <f>IF(AND(AD209="",AE209="",AF209="",AG209="",AH209="",AI209="",AJ209=""),"",IF(OR(Tabla1[[#This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EVALUACIÓN",IF(AND(O209="",R209=""),"",IF(AND(OR(O209&gt;0,R209&gt;0),NG209&gt;=0,NG209&lt;2),"SIN RIESGO",IF(AND(OR(O209&gt;0,R209&gt;0),NG209&gt;=2),"CON RIESGO","ASD")))))</f>
        <v>SIN RIESGO</v>
      </c>
      <c r="AL209" s="23" t="s">
        <v>864</v>
      </c>
      <c r="AM209" s="23" t="s">
        <v>864</v>
      </c>
      <c r="AN209" s="23" t="s">
        <v>864</v>
      </c>
      <c r="AO209" s="23" t="s">
        <v>864</v>
      </c>
      <c r="AP209" s="23" t="s">
        <v>864</v>
      </c>
      <c r="AQ209" s="23" t="s">
        <v>864</v>
      </c>
      <c r="AR209" s="23" t="s">
        <v>864</v>
      </c>
      <c r="AS209" s="21">
        <v>0</v>
      </c>
      <c r="AT209" s="21">
        <v>0</v>
      </c>
      <c r="AU209" s="21">
        <v>0</v>
      </c>
      <c r="AV209" s="26" t="s">
        <v>864</v>
      </c>
      <c r="AW209" s="21">
        <v>0</v>
      </c>
      <c r="AX209" s="26" t="s">
        <v>864</v>
      </c>
      <c r="AY209" s="26" t="s">
        <v>864</v>
      </c>
      <c r="AZ209" s="26" t="s">
        <v>864</v>
      </c>
      <c r="BA209" s="26" t="s">
        <v>864</v>
      </c>
      <c r="BB209" s="26" t="s">
        <v>864</v>
      </c>
      <c r="BC209" s="26" t="s">
        <v>864</v>
      </c>
      <c r="BD209" s="26" t="s">
        <v>864</v>
      </c>
      <c r="BE209" s="26" t="s">
        <v>864</v>
      </c>
      <c r="BF209" s="26" t="s">
        <v>864</v>
      </c>
      <c r="BG209" s="26" t="s">
        <v>864</v>
      </c>
      <c r="BH209" s="26" t="s">
        <v>864</v>
      </c>
      <c r="BI209" s="26" t="s">
        <v>864</v>
      </c>
      <c r="BJ209" s="26" t="s">
        <v>864</v>
      </c>
      <c r="BK209" s="26" t="s">
        <v>864</v>
      </c>
      <c r="BL209" s="26" t="s">
        <v>864</v>
      </c>
      <c r="BM209" s="26" t="s">
        <v>864</v>
      </c>
      <c r="BN209" s="22"/>
      <c r="BO209" s="22">
        <v>45063</v>
      </c>
      <c r="BP209" s="21" t="s">
        <v>1380</v>
      </c>
      <c r="BQ209" s="222">
        <f t="shared" si="840"/>
        <v>0</v>
      </c>
      <c r="BR209" s="223">
        <f t="shared" si="841"/>
        <v>45016</v>
      </c>
      <c r="BS209" s="224">
        <f t="shared" si="842"/>
        <v>13.571428571428571</v>
      </c>
      <c r="BT209" s="216" t="str">
        <f t="shared" si="843"/>
        <v>II TRIM</v>
      </c>
      <c r="BU209" s="214">
        <f t="shared" ca="1" si="925"/>
        <v>31</v>
      </c>
      <c r="BV209" s="25" t="s">
        <v>988</v>
      </c>
      <c r="BW209" s="22">
        <v>45121</v>
      </c>
      <c r="BX209" s="28">
        <v>15</v>
      </c>
      <c r="BY209" s="28"/>
      <c r="BZ209" s="22"/>
      <c r="CA209" s="21"/>
      <c r="CB209" s="26" t="s">
        <v>864</v>
      </c>
      <c r="CC209" s="26" t="s">
        <v>864</v>
      </c>
      <c r="CD209" s="26"/>
      <c r="CE209" s="26" t="s">
        <v>864</v>
      </c>
      <c r="CF209" s="22" t="s">
        <v>1517</v>
      </c>
      <c r="CG209" s="21">
        <v>1.54</v>
      </c>
      <c r="CH209" s="21">
        <v>51.7</v>
      </c>
      <c r="CI209" s="214">
        <f t="shared" si="845"/>
        <v>21.799628942486088</v>
      </c>
      <c r="CJ209" s="225" t="e">
        <f>IF(AND(CI209&lt;10,CH209="SD"),"SIN DATO PESO PREGESTACION O I TRIM",IF(AND(OR(R209&gt;0,O209&gt;0),CI209="X"),"INGRESAR DATO DE PESO",IF(CI209="SD","INGRESAR DATO DE TALLA Y PESO",IF(AND(OR(Tabla1[[#This Row],[MOMENTO EN QUE SE REALIZA EL PESO AL INGRESO A CPN]]="PREGESTACIÓN",NZ209="Menor"),CI209&lt;18.5),"BAJO PESO",IF(AND(OR(Tabla1[[#This Row],[MOMENTO EN QUE SE REALIZA EL PESO AL INGRESO A CPN]]="PREGESTACIÓN",NZ209="Menor"),CI209&lt;25),"NORMAL",IF(AND(OR(Tabla1[[#This Row],[MOMENTO EN QUE SE REALIZA EL PESO AL INGRESO A CPN]]="PREGESTACIÓN",NZ209="Menor"),CI209&lt;30),"SOBREPESO",IF(AND(OR(Tabla1[[#This Row],[MOMENTO EN QUE SE REALIZA EL PESO AL INGRESO A CPN]]="PREGESTACIÓN",NZ209="Menor"),CI209&gt;=30,CI209&lt;50),"OBESIDAD",IF(AND(BS209&gt;0,Tabla1[[#This Row],[MOMENTO EN QUE SE REALIZA EL PESO AL INGRESO A CPN]]="GESTACIÓN"),HLOOKUP(NZ209,$OA$2:PH209,NY209),""))))))))</f>
        <v>#REF!</v>
      </c>
      <c r="CK209" s="212">
        <f t="shared" si="846"/>
        <v>45111</v>
      </c>
      <c r="CL209" s="21">
        <v>51.7</v>
      </c>
      <c r="CM209" s="214">
        <f t="shared" si="847"/>
        <v>21.799628942486088</v>
      </c>
      <c r="CN209" s="216">
        <f t="shared" si="848"/>
        <v>13</v>
      </c>
      <c r="CO209" s="216" t="e">
        <f>IF(PI209="","",IF(PI209&gt;0,HLOOKUP(PI209,$PJ$2:QQ209,NY209),""))</f>
        <v>#REF!</v>
      </c>
      <c r="CP209" s="21"/>
      <c r="CQ209" s="216" t="e">
        <f>IF(QR209="Menor","NO APLICA-MENOR 13 SEM",IF(AND(CC209="SI",CN209&gt;23),"NO APLICA- GEMELAR",IF(QR209="","",IF(QR209&gt;0,HLOOKUP(QR209,$QS$2:RU209,NY209),""))))</f>
        <v>#REF!</v>
      </c>
      <c r="CR209" s="21">
        <v>90</v>
      </c>
      <c r="CS209" s="21">
        <v>60</v>
      </c>
      <c r="CT209" s="217" t="str">
        <f>IF(R209="","",IF(AND(BS209&gt;1,BS209&lt;12,Tabla1[[#This Row],[T.A. SISTOLICA - ANTES DE SEMANA 12]]="",Tabla1[[#This Row],[T.A. DIASTOLICA - ANTES DE SEMANA 12]]=""),"REGISTRE DATO TA ANTES SEMANA 12",IF(AND(BS209&gt;11,BS209&lt;43,Tabla1[[#This Row],[T.A. SISTOLICA - ANTES DE SEMANA 12]]="",Tabla1[[#This Row],[T.A. DIASTOLICA - ANTES DE SEMANA 12]]=""),"NO APLICA REGISTRO TA-INGRESO TARDIO",IF(AND(OR(O209&gt;0,R209&gt;0),OR(CR209&gt;=140,CS209&gt;=90)),"DEFINIR ESTADIO HTA",IF(AND(OR(O209&gt;0,R209&gt;0),AND(CR209&gt;120,CR209&lt;=139)),"PRE HTA SEGUIMIENTO",IF(AND(OR(O209&gt;0,R209&gt;0),AND(CS209&gt;80,CS209&lt;=89)),"PRE HTA SEGUIMIENTO",IF(AND(OR(O209&gt;0,R209&gt;0),AND(CR209&gt;=80,CR209&lt;=120)),"APARENTEMENTE NORMAL",IF(AND(OR(O209&gt;0,R209&gt;0),AND(CS209&gt;=50,CS209&lt;=80)),"APARENTEMENTE NORMAL",IF(AND(OR(O209&gt;0,R209&gt;0),AND(CR209&gt;1,CR209&lt;=70),AND(CS209&gt;1,CS209&lt;=40)),"HIPOTENSIÓN","")))))))))</f>
        <v>APARENTEMENTE NORMAL</v>
      </c>
      <c r="CU209" s="21"/>
      <c r="CV209" s="21"/>
      <c r="CW209" s="217" t="str">
        <f ca="1">IF(R209="","",IF(AND(CN209&gt;19,CN209&lt;27,Tabla1[[#This Row],[T.A. SISTOLICA (Entre semana 20 y 26)]]="",Tabla1[[#This Row],[T.A. DIATOLICA (Entre semana 20 y 26)]]=""),"ACUDE A CONTROL SEM 20 A 26 REGISTRE TA AHORA",IF(AND(BS209&gt;1,BS209&lt;27,BU209&gt;19,Tabla1[[#This Row],[T.A. SISTOLICA (Entre semana 20 y 26)]]="",Tabla1[[#This Row],[T.A. DIATOLICA (Entre semana 20 y 26)]]=""),"COMPLETE REGISTRO TA CONTROL SEM 20 A26 ",IF(AND(BS209&gt;26,BS209&lt;43,Tabla1[[#This Row],[T.A. SISTOLICA (Entre semana 20 y 26)]]="",Tabla1[[#This Row],[T.A. DIATOLICA (Entre semana 20 y 26)]]=""),"NO APLICA REGISTRO TA-INGRESO TARDIO",IF(AND(OR(O209&gt;0,R209&gt;0),OR(CU209&gt;=140,CV209&gt;=90)),"ALTO RIESGO PREECLAMPSIA,DEFINIR ESTADIO HTA",IF(AND(OR(O209&gt;0,R209&gt;0),AND(CU209&gt;120,CU209&lt;=139)),"PRE HTA SEGUIMIENTO,RIESGO HIPERTENSION INDUCIDA POR EL EMBARAZO",IF(AND(OR(O209&gt;0,R209&gt;0),AND(CV209&gt;80,CV209&lt;=89)),"PRE HTA SEGUIMIENTO, RIESGO HIPERTENSION INDUCIDA POR EL EMBARAZO",IF(AND(OR(O209&lt;&gt;"",R209&lt;&gt;""),CS209&lt;&gt;"",CV209&lt;&gt;"",CS209&lt;=CV209),"VIGILAR CIFRAS PRESION ARTERIAL",IF(AND(OR(O209&gt;0,R209&gt;0),AND(CU209&gt;120,CU209&lt;=139)),"PRE HTA SEGUIMIENTO",IF(AND(OR(O209&gt;0,R209&gt;0),AND(CU209&gt;1,CU209&lt;=70),AND(CV209&gt;1,CV209&lt;=40)),"HIPOTENSIÓN",IF(AND(OR(O209&lt;&gt;"",R209&lt;&gt;""),CS209&lt;&gt;"",CV209&lt;&gt;"",CS209&gt;CV209),"APARENTEMENTE NORMAL",IF(AND(OR(O209&gt;0,R209&gt;0),AND(CU209&gt;=80,CU209&lt;=120)),"APARENTEMENTE NORMAL",IF(AND(OR(O209&gt;0,R209&gt;0),AND(CV209&gt;=50,CV209&lt;=80)),"APARENTEMENTE NORMAL","")))))))))))))</f>
        <v xml:space="preserve">COMPLETE REGISTRO TA CONTROL SEM 20 A26 </v>
      </c>
      <c r="CX209" s="21"/>
      <c r="CY209" s="21"/>
      <c r="CZ209" s="216" t="e">
        <f>IF(R209="","",IF(AND(CN209&gt;31,CN209&lt;35,CX209="",CY209=""),"ACUDE A CONTROL SEM 30 A 34- REGISTRE AHORA",IF(AND(BS209&gt;34,BS209&lt;43,#REF!="",#REF!=""),"NO APLICA-INGRESO TARDIO",IF(AND(OR(O209&gt;0,R209&gt;0),OR(CX209&gt;=140,CY209&gt;=90)),"ESTUDIO INMEDIATO HTA PARA DESCARTAR PREECLAMSIA",IF(AND(OR(O209&gt;0,R209&gt;0),AND(CX209&gt;=130,CX209&lt;=139)),"PRE HTA,RIESGO ALTO PREECLAMPSIA",IF(AND(OR(O209&gt;0,R209&gt;0),AND(CY209&gt;80,CY209&lt;=89)),"PRE HTA,RIESGO ALTO PREECLAMPSIA",IF(AND(OR(O209&gt;0,R209&gt;0),AND(CX209&gt;120,CX209&lt;=129)),"RANGO PREHIPERTENSIVO SEGUIMIENTO HTA",IF(AND(OR(O209&lt;&gt;"",R209&lt;&gt;""),CS209&lt;&gt;"",CY209&lt;&gt;"",CS209&lt;CY209),"VIGILAR CIFRAS PRESION ARTERIAL",IF(AND(OR(O209&lt;&gt;"",R209&lt;&gt;""),CS209&lt;&gt;"",CY209&lt;&gt;"",CS209=CY209),"APARENTEMENTE NORMAL",IF(AND(OR(O209&gt;0,R209&gt;0),CX209&gt;=80,CX209&lt;=120),"APARENTEMENTE NORMAL",IF(AND(OR(O209&gt;0,R209&gt;0),CY209&gt;=50,CY209&lt;=80),"APARENTEMENTE NORMAL","")))))))))))</f>
        <v>#REF!</v>
      </c>
      <c r="DA209" s="21">
        <v>90</v>
      </c>
      <c r="DB209" s="21">
        <v>60</v>
      </c>
      <c r="DC209" s="217" t="str">
        <f t="shared" si="849"/>
        <v>APARENTEMENTE NORMAL</v>
      </c>
      <c r="DD209" s="22">
        <v>45111</v>
      </c>
      <c r="DE209" s="22">
        <v>45111</v>
      </c>
      <c r="DF209" s="22"/>
      <c r="DG209" s="22"/>
      <c r="DH209" s="22"/>
      <c r="DI209" s="22"/>
      <c r="DJ209" s="22"/>
      <c r="DK209" s="22"/>
      <c r="DL209" s="22"/>
      <c r="DM209" s="22"/>
      <c r="DN209" s="22"/>
      <c r="DO209" s="22"/>
      <c r="DP209" s="22"/>
      <c r="DQ209" s="22"/>
      <c r="DR209" s="28"/>
      <c r="DS209" s="22"/>
      <c r="DT209" s="22"/>
      <c r="DU209" s="216" t="str">
        <f t="shared" ca="1" si="917"/>
        <v>PLANEAR PLAN DE PARTO</v>
      </c>
      <c r="DV209" s="226" t="str">
        <f t="shared" si="918"/>
        <v>ACTIVA INGRESO A CPN</v>
      </c>
      <c r="DW20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09" s="216" t="e">
        <f t="shared" ca="1" si="850"/>
        <v>#REF!</v>
      </c>
      <c r="DY209" s="212">
        <f>IF(R209="","",IF(R209&gt;0,MAX(Tabla1[[#This Row],[FECHA C2]:[FECHA C13]],Tabla1[[#This Row],[FECHA CONSULTA PRIMERA VEZ PROGRAMA CPN ]])))</f>
        <v>45111</v>
      </c>
      <c r="DZ209" s="216">
        <f t="shared" si="851"/>
        <v>13</v>
      </c>
      <c r="EA209" s="222">
        <f>IF(R209&gt;0,SUM(COUNTA(DF209:DQ209)+COUNTA(Tabla1[[#This Row],[FECHA CONSULTA PRIMERA VEZ PROGRAMA CPN ]])),"")</f>
        <v>1</v>
      </c>
      <c r="EB209" s="222" t="str">
        <f t="shared" si="852"/>
        <v>NO</v>
      </c>
      <c r="EC209" s="214">
        <f t="shared" si="853"/>
        <v>8</v>
      </c>
      <c r="ED209" s="227">
        <f t="shared" si="854"/>
        <v>0.125</v>
      </c>
      <c r="EE209" s="22">
        <v>45111</v>
      </c>
      <c r="EF209" s="22">
        <v>45111</v>
      </c>
      <c r="EG209" s="22">
        <v>45111</v>
      </c>
      <c r="EH209" s="22"/>
      <c r="EI209" s="22">
        <v>45111</v>
      </c>
      <c r="EJ209" s="22"/>
      <c r="EK209" s="22"/>
      <c r="EL209" s="21"/>
      <c r="EM209" s="21"/>
      <c r="EN209" s="22"/>
      <c r="EO209" s="222" t="str">
        <f t="shared" si="855"/>
        <v>TOMAR EXAMEN</v>
      </c>
      <c r="EP209" s="214" t="str">
        <f t="shared" si="856"/>
        <v/>
      </c>
      <c r="EQ209" s="216" t="str">
        <f t="shared" si="857"/>
        <v>POR DEFINIR</v>
      </c>
      <c r="ER209" s="24"/>
      <c r="ES209" s="22"/>
      <c r="ET209" s="29" t="str">
        <f t="shared" ca="1" si="919"/>
        <v>TOMA DE HEMOGLOBINA TARDÍA</v>
      </c>
      <c r="EU209" s="25" t="str">
        <f t="shared" si="858"/>
        <v/>
      </c>
      <c r="EV209" s="24" t="s">
        <v>1510</v>
      </c>
      <c r="EW209" s="32">
        <v>45121</v>
      </c>
      <c r="EX209" s="22"/>
      <c r="EY209" s="29">
        <f t="shared" si="691"/>
        <v>15</v>
      </c>
      <c r="EZ209" s="25" t="str">
        <f t="shared" si="692"/>
        <v>SIN RIESGO DE ISOINMUNIZACIÓN</v>
      </c>
      <c r="FA209" s="21">
        <v>78</v>
      </c>
      <c r="FB209" s="32">
        <v>45121</v>
      </c>
      <c r="FC209" s="29">
        <f t="shared" si="859"/>
        <v>15</v>
      </c>
      <c r="FD209" s="29"/>
      <c r="FE209" s="29"/>
      <c r="FF209" s="29"/>
      <c r="FG209" s="21" t="str">
        <f t="shared" ca="1" si="860"/>
        <v>TOMAR PTOG</v>
      </c>
      <c r="FH209" s="31"/>
      <c r="FI209" s="29" t="str">
        <f t="shared" si="861"/>
        <v>TOMAR EXAMEN</v>
      </c>
      <c r="FJ209" s="22"/>
      <c r="FK209" s="32"/>
      <c r="FL209" s="29" t="str">
        <f t="shared" ca="1" si="862"/>
        <v>NO APLICA-INGRESO TARDIO</v>
      </c>
      <c r="FM209" s="22" t="s">
        <v>867</v>
      </c>
      <c r="FN209" s="32">
        <v>45121</v>
      </c>
      <c r="FO209" s="29">
        <f t="shared" ca="1" si="920"/>
        <v>15</v>
      </c>
      <c r="FP209" s="22"/>
      <c r="FQ209" s="32"/>
      <c r="FR209" s="29" t="str">
        <f t="shared" ca="1" si="921"/>
        <v>EN RANGO PARA TOMAR EXAMEN</v>
      </c>
      <c r="FS209" s="22"/>
      <c r="FT209" s="32"/>
      <c r="FU209" s="29" t="str">
        <f>IF(AND(FJ209="",FM209="",FP209="",FS209=""),"",IF(OR(OR(Tabla1[[#This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09" s="28"/>
      <c r="FW209" s="22"/>
      <c r="FX209" s="29" t="str">
        <f t="shared" si="863"/>
        <v>TOMAR EXAMEN</v>
      </c>
      <c r="FY209" s="22"/>
      <c r="FZ209" s="32"/>
      <c r="GA209" s="29" t="str">
        <f t="shared" ca="1" si="737"/>
        <v>NO APLICA-INGRESO TARDIO</v>
      </c>
      <c r="GB209" s="22" t="s">
        <v>868</v>
      </c>
      <c r="GC209" s="32">
        <v>45117</v>
      </c>
      <c r="GD209" s="29">
        <f t="shared" ca="1" si="922"/>
        <v>14.428571428571429</v>
      </c>
      <c r="GE209" s="22"/>
      <c r="GF209" s="22"/>
      <c r="GG209" s="29" t="str">
        <f t="shared" ca="1" si="923"/>
        <v>EN RANGO PARA TOMAR EXAMEN</v>
      </c>
      <c r="GH209" s="22"/>
      <c r="GI209" s="29"/>
      <c r="GJ209" s="22"/>
      <c r="GK209" s="22"/>
      <c r="GL209" s="22"/>
      <c r="GM209" s="22"/>
      <c r="GN209" s="28" t="s">
        <v>869</v>
      </c>
      <c r="GO209" s="22">
        <v>45121</v>
      </c>
      <c r="GP209" s="29">
        <f t="shared" si="864"/>
        <v>15</v>
      </c>
      <c r="GQ209" s="28" t="s">
        <v>846</v>
      </c>
      <c r="GR209" s="28" t="s">
        <v>869</v>
      </c>
      <c r="GS209" s="22" t="str">
        <f t="shared" si="726"/>
        <v/>
      </c>
      <c r="GT209" s="22">
        <v>45121</v>
      </c>
      <c r="GU209" s="29">
        <f t="shared" si="865"/>
        <v>8.2857142857142865</v>
      </c>
      <c r="GV209" s="21" t="str">
        <f t="shared" si="866"/>
        <v>I TRIM</v>
      </c>
      <c r="GW209" s="28"/>
      <c r="GX209" s="30"/>
      <c r="GY209" s="21"/>
      <c r="GZ209" s="21"/>
      <c r="HA209" s="21"/>
      <c r="HB209" s="21"/>
      <c r="HC209" s="21"/>
      <c r="HD209" s="21"/>
      <c r="HE209" s="21"/>
      <c r="HF209" s="22"/>
      <c r="HG209" s="22" t="str">
        <f>IF(OR(O209&gt;0,R209&gt;0),CONCATENATE(IF(Tabla1[[#This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09" s="22" t="e">
        <f t="shared" si="867"/>
        <v>#REF!</v>
      </c>
      <c r="HI209" s="22" t="e">
        <f t="shared" ca="1" si="868"/>
        <v>#REF!</v>
      </c>
      <c r="HJ209" s="21"/>
      <c r="HK209" s="21" t="str">
        <f t="shared" si="869"/>
        <v>SIN ANTECEDENTES DE RIESGO</v>
      </c>
      <c r="HL209" s="24" t="str">
        <f t="shared" si="870"/>
        <v>APARENTEMENTE NORMAL</v>
      </c>
      <c r="HM209" s="21" t="e">
        <f t="shared" ca="1" si="871"/>
        <v>#REF!</v>
      </c>
      <c r="HN209" s="30" t="str">
        <f t="shared" si="924"/>
        <v>ACTIVA INGRESO A CPN</v>
      </c>
      <c r="HO209" s="21"/>
      <c r="HP209" s="21"/>
      <c r="HQ209" s="349"/>
      <c r="HR209" s="21" t="str">
        <f>IF(R209="","",IF(Tabla1[[#This Row],[ALARMA FACTORES DE RIESGO COMPLICACIONES HIPERTENSIVAS3]]="SIN ANTECEDENTES DE RIESGO","No Aplica para suministro de ASA",IF(AND(Tabla1[[#This Row],[FECHA INICIO DE SUMINISTRO DE ASA]]&gt;0,RV209&lt;12),"Inicia ASA ANTES de Sem 12",IF(AND(RV209&gt;11,RV209&lt;17,OR(HK209="RIESGO ALTO DE COMPLICACIONES HIPERTENSIVAS VER MANEJO GUIA SUMINISTRO ASA Y CALCIO",HK209="RIESGO MODERADO (2 O MAS CRITERIOS) VER MANEJO GUIA SUMINISTRO ASA Y CALCIO")),"Inicio oportuno de ASA",IF(AND(RV209&gt;12,OR(HK209="RIESGO ALTO DE COMPLICACIONES HIPERTENSIVAS VER MANEJO GUIA SUMINISTRO ASA Y CALCIO",HK209="RIESGO MODERADO (2 O MAS CRITERIOS) VER MANEJO GUIA SUMINISTRO ASA Y CALCIO")),"Inicio no oportuno mayor a 16 semanas",IF(AND(BU209&lt;12,OR(HK209="RIESGO ALTO DE COMPLICACIONES HIPERTENSIVAS VER MANEJO GUIA SUMINISTRO ASA Y CALCIO",HK209="RIESGO MODERADO (2 O MAS CRITERIOS) VER MANEJO GUIA SUMINISTRO ASA Y CALCIO")),"Pendiente Inicio de ASA a la semana 12",IF(AND(BU209&gt;11,BU209&lt;17,OR(HK209="RIESGO ALTO DE COMPLICACIONES HIPERTENSIVAS VER MANEJO GUIA SUMINISTRO ASA Y CALCIO",HK209="RIESGO MODERADO (2 O MAS CRITERIOS) VER MANEJO GUIA SUMINISTRO ASA Y CALCIO")),"Iniciar de inmediato ASA",IF(AND(BU209&gt;16,OR(HK209="RIESGO ALTO DE COMPLICACIONES HIPERTENSIVAS VER MANEJO GUIA SUMINISTRO ASA Y CALCIO",HK209="RIESGO MODERADO (2 O MAS CRITERIOS) VER MANEJO GUIA SUMINISTRO ASA Y CALCIO")),"Pierde Oportunidad, Inicio tardío de ASA","XXXXX"))))))))</f>
        <v>No Aplica para suministro de ASA</v>
      </c>
      <c r="HS209" s="22">
        <v>45111</v>
      </c>
      <c r="HT209" s="22"/>
      <c r="HU209" s="22">
        <v>45111</v>
      </c>
      <c r="HV209" s="22" t="s">
        <v>1544</v>
      </c>
      <c r="HW209" s="22">
        <v>45111</v>
      </c>
      <c r="HX209" s="22" t="s">
        <v>1511</v>
      </c>
      <c r="HY209" s="22">
        <v>45111</v>
      </c>
      <c r="HZ209" s="28">
        <f t="shared" si="872"/>
        <v>13.571428571428571</v>
      </c>
      <c r="IA209" s="26"/>
      <c r="IB209" s="26"/>
      <c r="IC209" s="111"/>
      <c r="ID209" s="22"/>
      <c r="IE209" s="22" t="str">
        <f t="shared" ca="1" si="873"/>
        <v>INASISTENTE</v>
      </c>
      <c r="IF209" s="22"/>
      <c r="IG209" s="22">
        <f t="shared" si="874"/>
        <v>45296</v>
      </c>
      <c r="IH209" s="29">
        <f t="shared" ca="1" si="875"/>
        <v>63</v>
      </c>
      <c r="II209" s="22" t="str">
        <f t="shared" ca="1" si="876"/>
        <v>PENDIENTE</v>
      </c>
      <c r="IJ209" s="22"/>
      <c r="IK209" s="21"/>
      <c r="IL209" s="21"/>
      <c r="IM209" s="34"/>
      <c r="IN209" s="22"/>
      <c r="IO209" s="21"/>
      <c r="IP209" s="29" t="str">
        <f t="shared" si="877"/>
        <v/>
      </c>
      <c r="IQ209" s="35"/>
      <c r="IR209" s="21"/>
      <c r="IS209" s="21"/>
      <c r="IT209" s="21"/>
      <c r="IU209" s="21"/>
      <c r="IV209" s="21"/>
      <c r="IW209" s="21"/>
      <c r="IX209" s="21"/>
      <c r="IY209" s="21"/>
      <c r="IZ209" s="21"/>
      <c r="JA209" s="21"/>
      <c r="JB209" s="30"/>
      <c r="JC209" s="21"/>
      <c r="JD209" s="36"/>
      <c r="JE209" s="21" t="str">
        <f t="shared" si="878"/>
        <v/>
      </c>
      <c r="JF209" s="30"/>
      <c r="JG209" s="21"/>
      <c r="JH209" s="21"/>
      <c r="JI209" s="21"/>
      <c r="JJ209" s="30"/>
      <c r="JK209" s="22"/>
      <c r="JL209" s="22"/>
      <c r="JM209" s="21"/>
      <c r="JN209" s="36"/>
      <c r="JO209" s="21" t="str">
        <f t="shared" si="879"/>
        <v/>
      </c>
      <c r="JP209" s="22"/>
      <c r="JQ209" s="21"/>
      <c r="JR209" s="21"/>
      <c r="JS209" s="21"/>
      <c r="JT209" s="30"/>
      <c r="JU209" s="22"/>
      <c r="JV209" s="22"/>
      <c r="JW209" s="33"/>
      <c r="JX209" s="28" t="str">
        <f t="shared" si="880"/>
        <v/>
      </c>
      <c r="JY209" s="33"/>
      <c r="JZ209" s="28" t="str">
        <f t="shared" si="881"/>
        <v/>
      </c>
      <c r="KA209" s="21"/>
      <c r="KB209" s="21"/>
      <c r="KC209" s="21"/>
      <c r="KD209" s="37"/>
      <c r="KE209" s="28"/>
      <c r="KF209" s="28"/>
      <c r="KG209" s="28"/>
      <c r="KH209" s="39"/>
      <c r="KI209" s="39"/>
      <c r="KJ209" s="66"/>
      <c r="KK209" s="39"/>
      <c r="KL209" s="39"/>
      <c r="KM209" s="66"/>
      <c r="KN209" s="39"/>
      <c r="KO209" s="39"/>
      <c r="KP209" s="39"/>
      <c r="KQ209" s="39"/>
      <c r="KR209" s="39"/>
      <c r="KS209" s="39"/>
      <c r="KT209" s="39"/>
      <c r="KU209" s="38"/>
      <c r="KV209" s="38"/>
      <c r="KW209" s="38"/>
      <c r="KX209" s="38"/>
      <c r="KY209" s="38"/>
      <c r="KZ209" s="38"/>
      <c r="LA209" s="38"/>
      <c r="LB209" s="38"/>
      <c r="LC209" s="38"/>
      <c r="LD209" s="38"/>
      <c r="LE209" s="38"/>
      <c r="LF209" s="38"/>
      <c r="LG209" s="38"/>
      <c r="LH209" s="38"/>
      <c r="LI209" s="38"/>
      <c r="LJ209" s="38"/>
      <c r="LK209" s="38"/>
      <c r="LL209" s="38"/>
      <c r="LM209" s="38"/>
      <c r="LN209" s="38"/>
      <c r="LO209" s="38"/>
      <c r="LP209" s="38"/>
      <c r="LQ209" s="38"/>
      <c r="LR209" s="38"/>
      <c r="LS209" s="38"/>
      <c r="LT209" s="38"/>
      <c r="LU209" s="38"/>
      <c r="LV209" s="38"/>
      <c r="LW209" s="38"/>
      <c r="LX209" s="38"/>
      <c r="LY209" s="38"/>
      <c r="LZ209" s="38"/>
      <c r="MA209" s="38"/>
      <c r="MB209" s="38"/>
      <c r="MC209" s="38"/>
      <c r="MD209" s="38"/>
      <c r="ME209" s="38"/>
      <c r="MF209" s="38"/>
      <c r="MG209" s="38"/>
      <c r="MH209" s="43">
        <f t="shared" si="882"/>
        <v>0</v>
      </c>
      <c r="MI209" s="43" t="str">
        <f t="shared" si="926"/>
        <v/>
      </c>
      <c r="MJ209" s="43" t="str">
        <f t="shared" si="884"/>
        <v/>
      </c>
      <c r="MK209" s="43">
        <f t="shared" si="885"/>
        <v>0</v>
      </c>
      <c r="ML20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09" s="43">
        <f t="shared" si="927"/>
        <v>13.571428571428571</v>
      </c>
      <c r="MN209" s="43">
        <f t="shared" si="928"/>
        <v>7</v>
      </c>
      <c r="MO209" s="43">
        <f t="shared" si="929"/>
        <v>2023</v>
      </c>
      <c r="MP209" s="43" t="str">
        <f t="shared" si="889"/>
        <v>III TRIMESTRE AÑO</v>
      </c>
      <c r="MQ209" s="43">
        <f t="shared" si="930"/>
        <v>18.292816469557597</v>
      </c>
      <c r="MR209" s="43">
        <f t="shared" si="891"/>
        <v>0</v>
      </c>
      <c r="MS209" s="43" t="str">
        <f t="shared" si="892"/>
        <v>DE 14 A 19AÑOS</v>
      </c>
      <c r="MT209" s="43">
        <f t="shared" si="893"/>
        <v>0</v>
      </c>
      <c r="MU209" s="43">
        <f t="shared" si="894"/>
        <v>1</v>
      </c>
      <c r="MV209" s="43">
        <f t="shared" si="895"/>
        <v>0</v>
      </c>
      <c r="MW209" s="43">
        <f t="shared" si="896"/>
        <v>0</v>
      </c>
      <c r="MX209" s="43" t="str">
        <f t="shared" si="897"/>
        <v/>
      </c>
      <c r="MY209" s="43" t="str">
        <f t="shared" ca="1" si="898"/>
        <v/>
      </c>
      <c r="MZ209" s="43" t="str">
        <f t="shared" si="899"/>
        <v/>
      </c>
      <c r="NA209" s="43" t="str">
        <f t="shared" si="900"/>
        <v/>
      </c>
      <c r="NB209" s="43" t="str">
        <f t="shared" si="901"/>
        <v/>
      </c>
      <c r="NC209" s="43" t="str">
        <f t="shared" si="902"/>
        <v/>
      </c>
      <c r="ND209" s="43">
        <f t="shared" ca="1" si="931"/>
        <v>1.5</v>
      </c>
      <c r="NE209" s="43">
        <f>IF(OR(O209&gt;0,R209&gt;0),SUM(COUNTIF(Tabla1[[#This Row],[AÑOS AL INICIO5 CPN]],"&gt;=40"),COUNTIF(AS209,"0"),COUNTIF(AR209,"SI"),COUNTIF(CC209,"SI"),COUNTIF(BQ209,"&gt;119"),COUNTIF(CI209,"&gt;=35")),"")</f>
        <v>1</v>
      </c>
      <c r="NF209" s="43" t="str">
        <f t="shared" si="932"/>
        <v/>
      </c>
      <c r="NG209" s="43">
        <f t="shared" si="905"/>
        <v>0.5</v>
      </c>
      <c r="NH209" s="43">
        <f t="shared" si="906"/>
        <v>105</v>
      </c>
      <c r="NI20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CPN",P209="NO"),"Z",IF(AND(Tabla1[[#This Row],[CITA PROXIMO CONTROL]]="CITA MANUAL",Tabla1[[#This Row],[GESTANTES ACTUALES]]="ACTIVA INGRESO A CPN"),"W",IF(AND(Tabla1[[#This Row],[GESTANTES ACTUALES]]="SALIO PROGRAMA",IN209=""),"S",IF(AND(Tabla1[[#This Row],[CITA PROXIMO CONTROL]]&gt;0,IN209=""),(Tabla1[[#This Row],[CITA PROXIMO CONTROL]]-TODAY()),"SD"))))))))</f>
        <v>#REF!</v>
      </c>
      <c r="NJ209" s="43">
        <f>MONTH(Tabla1[[#This Row],[FECHA DE SALIDA  DEL PROGRAMA]])</f>
        <v>1</v>
      </c>
      <c r="NK209" s="43">
        <f>YEAR(Tabla1[[#This Row],[FECHA DE SALIDA  DEL PROGRAMA]])</f>
        <v>1900</v>
      </c>
      <c r="NL209" s="43" t="str">
        <f t="shared" si="933"/>
        <v>X</v>
      </c>
      <c r="NM209" s="43" t="str">
        <f>IF(AND(O209&gt;0,R209=""),"NO CPN",IF(AND(O209="",R209=""),"",IF(AND(EN209&lt;&gt;"",EX209&lt;&gt;"",FB209&lt;&gt;"",FK209&lt;&gt;"",FW209&lt;&gt;"",FZ209&lt;&gt;"",GO209&lt;&gt;"",GQ209&lt;&gt;"",GR209&lt;&gt;""),"SI","NO")))</f>
        <v>NO</v>
      </c>
      <c r="NN209" s="43" t="str">
        <f ca="1">IF(AND(O209&gt;0,R209=""),"NO CPN",IF(AND(O209="",R209=""),"",IF(AND(R209&gt;0,Tabla1[[#This Row],[SEMANAS DE GESTACION ACTUALIZADAS]]&lt;=12),"NO APLICA",IF(AND(FH209&lt;&gt;"",FN209&lt;&gt;""),"SI","NO"))))</f>
        <v>NO</v>
      </c>
      <c r="NO209" s="43" t="str">
        <f ca="1">IF(AND(O209&gt;0,R209=""),"NO CPN",IF(AND(O209="",R209=""),"",IF(AND(R209&gt;0,Tabla1[[#This Row],[SEMANAS DE GESTACION ACTUALIZADAS]]&lt;=27),"NO APLICA",IF(AND(ES209&lt;&gt;"",FQ209&lt;&gt;"",GF209&lt;&gt;""),"SI","NO"))))</f>
        <v>NO</v>
      </c>
      <c r="NP209" s="204" t="str">
        <f t="shared" si="909"/>
        <v>II TRIM</v>
      </c>
      <c r="NQ209"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09" s="21">
        <f t="shared" ca="1" si="934"/>
        <v>2</v>
      </c>
      <c r="NS209" s="205">
        <f t="shared" ca="1" si="911"/>
        <v>1</v>
      </c>
      <c r="NT209" s="21">
        <f t="shared" ca="1" si="912"/>
        <v>1</v>
      </c>
      <c r="NU209" s="21" t="str">
        <f t="shared" ca="1" si="913"/>
        <v>INCOMPLETO</v>
      </c>
      <c r="NV209" s="21" t="str">
        <f t="shared" ca="1" si="914"/>
        <v>INCOMPLETO</v>
      </c>
      <c r="NW209" s="206" t="str">
        <f>IF(AND(O209="",R209=""),"",IF(OR(AND(Tabla1[[#This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09" s="207" t="str">
        <f t="shared" ca="1" si="935"/>
        <v>SIN VACUNAR</v>
      </c>
      <c r="NY209" s="43">
        <f>ROW(Tabla1[[#This Row],['# DE TAMIZAJES SIFILIS TOMADOS ]])</f>
        <v>209</v>
      </c>
      <c r="NZ209" s="43">
        <f t="shared" si="738"/>
        <v>13</v>
      </c>
      <c r="OA209" s="43" t="str">
        <f t="shared" si="739"/>
        <v/>
      </c>
      <c r="OB209" s="43" t="str">
        <f t="shared" si="740"/>
        <v/>
      </c>
      <c r="OC209" s="43" t="str">
        <f t="shared" si="741"/>
        <v/>
      </c>
      <c r="OD209" s="43" t="str">
        <f t="shared" si="742"/>
        <v/>
      </c>
      <c r="OE209" s="43" t="str">
        <f t="shared" si="743"/>
        <v>NORMAL</v>
      </c>
      <c r="OF209" s="43" t="str">
        <f t="shared" si="744"/>
        <v/>
      </c>
      <c r="OG209" s="43" t="str">
        <f t="shared" si="745"/>
        <v/>
      </c>
      <c r="OH209" s="43" t="str">
        <f t="shared" si="746"/>
        <v/>
      </c>
      <c r="OI209" s="43" t="str">
        <f t="shared" si="747"/>
        <v/>
      </c>
      <c r="OJ209" s="43" t="str">
        <f t="shared" si="748"/>
        <v/>
      </c>
      <c r="OK209" s="43" t="str">
        <f t="shared" si="749"/>
        <v/>
      </c>
      <c r="OL209" s="43" t="str">
        <f t="shared" si="750"/>
        <v/>
      </c>
      <c r="OM209" s="43" t="str">
        <f t="shared" si="751"/>
        <v/>
      </c>
      <c r="ON209" s="43" t="str">
        <f t="shared" si="752"/>
        <v/>
      </c>
      <c r="OO209" s="43" t="str">
        <f t="shared" si="753"/>
        <v/>
      </c>
      <c r="OP209" s="43" t="str">
        <f t="shared" si="754"/>
        <v/>
      </c>
      <c r="OQ209" s="43" t="str">
        <f t="shared" si="755"/>
        <v/>
      </c>
      <c r="OR209" s="43" t="str">
        <f t="shared" si="756"/>
        <v/>
      </c>
      <c r="OS209" s="43" t="str">
        <f t="shared" si="757"/>
        <v/>
      </c>
      <c r="OT209" s="43" t="str">
        <f t="shared" si="758"/>
        <v/>
      </c>
      <c r="OU209" s="43" t="str">
        <f t="shared" si="759"/>
        <v/>
      </c>
      <c r="OV209" s="110" t="str">
        <f t="shared" si="760"/>
        <v/>
      </c>
      <c r="OW209" s="43" t="str">
        <f t="shared" si="761"/>
        <v/>
      </c>
      <c r="OX209" s="43" t="str">
        <f t="shared" si="762"/>
        <v/>
      </c>
      <c r="OY209" s="43" t="str">
        <f t="shared" si="763"/>
        <v/>
      </c>
      <c r="OZ209" s="43" t="str">
        <f t="shared" si="764"/>
        <v/>
      </c>
      <c r="PA209" s="43" t="str">
        <f t="shared" si="765"/>
        <v/>
      </c>
      <c r="PB209" s="43" t="str">
        <f t="shared" si="766"/>
        <v/>
      </c>
      <c r="PC209" s="43" t="str">
        <f t="shared" si="767"/>
        <v/>
      </c>
      <c r="PD209" s="43" t="str">
        <f t="shared" si="768"/>
        <v/>
      </c>
      <c r="PE209" s="43" t="str">
        <f t="shared" si="769"/>
        <v/>
      </c>
      <c r="PF209" s="43" t="str">
        <f t="shared" si="770"/>
        <v/>
      </c>
      <c r="PG209" s="43" t="str">
        <f t="shared" si="771"/>
        <v/>
      </c>
      <c r="PH209" s="43" t="str">
        <f t="shared" si="772"/>
        <v/>
      </c>
      <c r="PI209" s="43">
        <f t="shared" si="773"/>
        <v>13</v>
      </c>
      <c r="PJ209" s="43" t="str">
        <f t="shared" si="774"/>
        <v/>
      </c>
      <c r="PK209" s="43" t="str">
        <f t="shared" si="775"/>
        <v/>
      </c>
      <c r="PL209" s="43" t="str">
        <f t="shared" si="776"/>
        <v/>
      </c>
      <c r="PM209" s="43" t="str">
        <f t="shared" si="777"/>
        <v/>
      </c>
      <c r="PN209" s="43" t="str">
        <f t="shared" si="778"/>
        <v>NORMAL</v>
      </c>
      <c r="PO209" s="43" t="str">
        <f t="shared" si="779"/>
        <v/>
      </c>
      <c r="PP209" s="43" t="str">
        <f t="shared" si="780"/>
        <v/>
      </c>
      <c r="PQ209" s="43" t="str">
        <f t="shared" si="781"/>
        <v/>
      </c>
      <c r="PR209" s="43" t="str">
        <f t="shared" si="782"/>
        <v/>
      </c>
      <c r="PS209" s="43" t="str">
        <f t="shared" si="783"/>
        <v/>
      </c>
      <c r="PT209" s="43" t="str">
        <f t="shared" si="784"/>
        <v/>
      </c>
      <c r="PU209" s="43" t="str">
        <f t="shared" si="785"/>
        <v/>
      </c>
      <c r="PV209" s="43" t="str">
        <f t="shared" si="786"/>
        <v/>
      </c>
      <c r="PW209" s="43" t="str">
        <f t="shared" si="787"/>
        <v/>
      </c>
      <c r="PX209" s="43" t="str">
        <f t="shared" si="788"/>
        <v/>
      </c>
      <c r="PY209" s="43" t="str">
        <f t="shared" si="789"/>
        <v/>
      </c>
      <c r="PZ209" s="43" t="str">
        <f t="shared" si="790"/>
        <v/>
      </c>
      <c r="QA209" s="43" t="str">
        <f t="shared" si="791"/>
        <v/>
      </c>
      <c r="QB209" s="43" t="str">
        <f t="shared" si="792"/>
        <v/>
      </c>
      <c r="QC209" s="43" t="str">
        <f t="shared" si="793"/>
        <v/>
      </c>
      <c r="QD209" s="43" t="str">
        <f t="shared" si="794"/>
        <v/>
      </c>
      <c r="QE209" s="43" t="str">
        <f t="shared" si="795"/>
        <v/>
      </c>
      <c r="QF209" s="43" t="str">
        <f t="shared" si="796"/>
        <v/>
      </c>
      <c r="QG209" s="43" t="str">
        <f t="shared" si="797"/>
        <v/>
      </c>
      <c r="QH209" s="43" t="str">
        <f t="shared" si="798"/>
        <v/>
      </c>
      <c r="QI209" s="43" t="str">
        <f t="shared" si="799"/>
        <v/>
      </c>
      <c r="QJ209" s="43" t="str">
        <f t="shared" si="800"/>
        <v/>
      </c>
      <c r="QK209" s="43" t="str">
        <f t="shared" si="801"/>
        <v/>
      </c>
      <c r="QL209" s="43" t="str">
        <f t="shared" si="802"/>
        <v/>
      </c>
      <c r="QM209" s="43" t="str">
        <f t="shared" si="803"/>
        <v/>
      </c>
      <c r="QN209" s="43" t="str">
        <f t="shared" si="804"/>
        <v/>
      </c>
      <c r="QO209" s="43" t="str">
        <f t="shared" si="805"/>
        <v/>
      </c>
      <c r="QP209" s="43" t="str">
        <f t="shared" si="806"/>
        <v/>
      </c>
      <c r="QQ209" s="43" t="str">
        <f t="shared" si="807"/>
        <v/>
      </c>
      <c r="QR209" s="43">
        <f t="shared" si="837"/>
        <v>13</v>
      </c>
      <c r="QS209" s="43"/>
      <c r="QT209" s="21" t="str">
        <f t="shared" si="808"/>
        <v/>
      </c>
      <c r="QU209" s="21" t="str">
        <f t="shared" si="809"/>
        <v/>
      </c>
      <c r="QV209" s="21" t="str">
        <f t="shared" si="810"/>
        <v/>
      </c>
      <c r="QW209" s="21" t="str">
        <f t="shared" si="811"/>
        <v/>
      </c>
      <c r="QX209" s="21" t="str">
        <f t="shared" si="812"/>
        <v/>
      </c>
      <c r="QY209" s="21" t="str">
        <f t="shared" si="813"/>
        <v/>
      </c>
      <c r="QZ209" s="21" t="str">
        <f t="shared" si="814"/>
        <v/>
      </c>
      <c r="RA209" s="21" t="str">
        <f t="shared" si="815"/>
        <v/>
      </c>
      <c r="RB209" s="21" t="str">
        <f t="shared" si="816"/>
        <v/>
      </c>
      <c r="RC209" s="21" t="str">
        <f t="shared" si="817"/>
        <v/>
      </c>
      <c r="RD209" s="21" t="str">
        <f t="shared" si="818"/>
        <v/>
      </c>
      <c r="RE209" s="21" t="str">
        <f t="shared" si="819"/>
        <v/>
      </c>
      <c r="RF209" s="21" t="str">
        <f t="shared" si="820"/>
        <v/>
      </c>
      <c r="RG209" s="21" t="str">
        <f t="shared" si="821"/>
        <v/>
      </c>
      <c r="RH209" s="21" t="str">
        <f t="shared" si="822"/>
        <v/>
      </c>
      <c r="RI209" s="21" t="str">
        <f t="shared" si="823"/>
        <v/>
      </c>
      <c r="RJ209" s="21" t="str">
        <f t="shared" si="824"/>
        <v/>
      </c>
      <c r="RK209" s="21" t="str">
        <f t="shared" si="825"/>
        <v/>
      </c>
      <c r="RL209" s="21" t="str">
        <f t="shared" si="826"/>
        <v/>
      </c>
      <c r="RM209" s="21" t="str">
        <f t="shared" si="827"/>
        <v/>
      </c>
      <c r="RN209" s="21" t="str">
        <f t="shared" si="828"/>
        <v/>
      </c>
      <c r="RO209" s="21" t="str">
        <f t="shared" si="829"/>
        <v/>
      </c>
      <c r="RP209" s="21" t="str">
        <f t="shared" si="830"/>
        <v/>
      </c>
      <c r="RQ209" s="21" t="str">
        <f t="shared" si="831"/>
        <v/>
      </c>
      <c r="RR209" s="21" t="str">
        <f t="shared" si="832"/>
        <v/>
      </c>
      <c r="RS209" s="21" t="str">
        <f t="shared" si="833"/>
        <v/>
      </c>
      <c r="RT209" s="21" t="str">
        <f t="shared" si="834"/>
        <v/>
      </c>
      <c r="RU209" s="21" t="str">
        <f t="shared" si="835"/>
        <v/>
      </c>
      <c r="RV209" s="21">
        <f t="shared" si="836"/>
        <v>-1</v>
      </c>
      <c r="RW209" s="284">
        <f>IF(OR(Tabla1[[#This Row],[FUM FORMULA CONFIABLE]]="",Tabla1[[#This Row],[FUM FORMULA CONFIABLE]]="SD"),"",IF(Tabla1[[#This Row],[FUM FORMULA CONFIABLE]]="CORREGIDA",Tabla1[[#This Row],[FUM X ECO 1]],Tabla1[[#This Row],[FUM x AMENORREA]]))</f>
        <v>45016</v>
      </c>
      <c r="RX209" s="21">
        <f>IF(AND(Tabla1[[#This Row],[FUM X ECO 1]]="",Tabla1[[#This Row],[FUM x AMENORREA]]=""),"",IF(AND(Tabla1[[#This Row],[FUM X ECO 1]]="",Tabla1[[#This Row],[FUM x AMENORREA]]&lt;&gt;""),"X",SUM(Tabla1[[#This Row],[FUM X ECO 1]]-Tabla1[[#This Row],[FUM x AMENORREA]])))</f>
        <v>-47</v>
      </c>
      <c r="RY209" s="21">
        <f t="shared" si="838"/>
        <v>1</v>
      </c>
    </row>
    <row r="210" spans="1:493" ht="45" customHeight="1" x14ac:dyDescent="0.25">
      <c r="A210" s="109"/>
      <c r="B210" s="43"/>
      <c r="C210" s="43" t="s">
        <v>845</v>
      </c>
      <c r="D210" s="124" t="s">
        <v>1627</v>
      </c>
      <c r="E210" s="43" t="s">
        <v>896</v>
      </c>
      <c r="F210" s="43" t="s">
        <v>953</v>
      </c>
      <c r="G210" s="43" t="s">
        <v>1634</v>
      </c>
      <c r="H210" s="43"/>
      <c r="I210" s="109"/>
      <c r="J210" s="110">
        <v>1002848733</v>
      </c>
      <c r="K210" s="43" t="s">
        <v>852</v>
      </c>
      <c r="L210" s="175" t="s">
        <v>1509</v>
      </c>
      <c r="M210" s="22">
        <v>36365</v>
      </c>
      <c r="N210" s="213">
        <f t="shared" ca="1" si="839"/>
        <v>24.295890410958904</v>
      </c>
      <c r="O210" s="22">
        <v>45113</v>
      </c>
      <c r="P210" s="214" t="str">
        <f t="shared" si="916"/>
        <v>SI</v>
      </c>
      <c r="Q210" s="26" t="s">
        <v>855</v>
      </c>
      <c r="R210" s="22">
        <v>45113</v>
      </c>
      <c r="S210" s="21" t="s">
        <v>856</v>
      </c>
      <c r="T210" s="24" t="s">
        <v>690</v>
      </c>
      <c r="U210" s="21" t="s">
        <v>857</v>
      </c>
      <c r="V210" s="21" t="s">
        <v>893</v>
      </c>
      <c r="W210" s="21" t="s">
        <v>893</v>
      </c>
      <c r="X210" s="21"/>
      <c r="Y210" s="21" t="s">
        <v>859</v>
      </c>
      <c r="Z210" s="21">
        <v>3156415192</v>
      </c>
      <c r="AA210" s="21" t="s">
        <v>860</v>
      </c>
      <c r="AB210" s="27" t="s">
        <v>861</v>
      </c>
      <c r="AC210" s="26" t="s">
        <v>877</v>
      </c>
      <c r="AD210" s="38" t="s">
        <v>1546</v>
      </c>
      <c r="AE210" s="26" t="s">
        <v>854</v>
      </c>
      <c r="AF210" s="26" t="s">
        <v>854</v>
      </c>
      <c r="AG210" s="23" t="s">
        <v>854</v>
      </c>
      <c r="AH210" s="23" t="s">
        <v>864</v>
      </c>
      <c r="AI210" s="24" t="s">
        <v>863</v>
      </c>
      <c r="AJ210" s="23" t="s">
        <v>864</v>
      </c>
      <c r="AK210" s="220" t="str">
        <f>IF(AND(AD210="",AE210="",AF210="",AG210="",AH210="",AI210="",AJ210=""),"",IF(OR(Tabla1[[#This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EVALUACIÓN",IF(AND(O210="",R210=""),"",IF(AND(OR(O210&gt;0,R210&gt;0),NG210&gt;=0,NG210&lt;2),"SIN RIESGO",IF(AND(OR(O210&gt;0,R210&gt;0),NG210&gt;=2),"CON RIESGO","ASD")))))</f>
        <v>SIN RIESGO</v>
      </c>
      <c r="AL210" s="23" t="s">
        <v>864</v>
      </c>
      <c r="AM210" s="23" t="s">
        <v>864</v>
      </c>
      <c r="AN210" s="23" t="s">
        <v>864</v>
      </c>
      <c r="AO210" s="23" t="s">
        <v>864</v>
      </c>
      <c r="AP210" s="23" t="s">
        <v>864</v>
      </c>
      <c r="AQ210" s="23" t="s">
        <v>864</v>
      </c>
      <c r="AR210" s="23" t="s">
        <v>864</v>
      </c>
      <c r="AS210" s="21">
        <v>1</v>
      </c>
      <c r="AT210" s="21">
        <v>1</v>
      </c>
      <c r="AU210" s="21">
        <v>0</v>
      </c>
      <c r="AV210" s="26" t="s">
        <v>864</v>
      </c>
      <c r="AW210" s="21">
        <v>0</v>
      </c>
      <c r="AX210" s="26" t="s">
        <v>864</v>
      </c>
      <c r="AY210" s="26" t="s">
        <v>864</v>
      </c>
      <c r="AZ210" s="26" t="s">
        <v>864</v>
      </c>
      <c r="BA210" s="26" t="s">
        <v>864</v>
      </c>
      <c r="BB210" s="26" t="s">
        <v>864</v>
      </c>
      <c r="BC210" s="26" t="s">
        <v>864</v>
      </c>
      <c r="BD210" s="26" t="s">
        <v>864</v>
      </c>
      <c r="BE210" s="26" t="s">
        <v>864</v>
      </c>
      <c r="BF210" s="26" t="s">
        <v>864</v>
      </c>
      <c r="BG210" s="26" t="s">
        <v>864</v>
      </c>
      <c r="BH210" s="26" t="s">
        <v>864</v>
      </c>
      <c r="BI210" s="26" t="s">
        <v>864</v>
      </c>
      <c r="BJ210" s="26" t="s">
        <v>864</v>
      </c>
      <c r="BK210" s="26" t="s">
        <v>864</v>
      </c>
      <c r="BL210" s="26" t="s">
        <v>864</v>
      </c>
      <c r="BM210" s="26" t="s">
        <v>864</v>
      </c>
      <c r="BN210" s="26"/>
      <c r="BO210" s="22">
        <v>44934</v>
      </c>
      <c r="BP210" s="21" t="s">
        <v>1380</v>
      </c>
      <c r="BQ210" s="222">
        <f t="shared" si="840"/>
        <v>0</v>
      </c>
      <c r="BR210" s="223">
        <f t="shared" si="841"/>
        <v>44942.5</v>
      </c>
      <c r="BS210" s="224">
        <f t="shared" si="842"/>
        <v>24.357142857142858</v>
      </c>
      <c r="BT210" s="216" t="str">
        <f t="shared" si="843"/>
        <v>II TRIM</v>
      </c>
      <c r="BU210" s="214">
        <f t="shared" ca="1" si="925"/>
        <v>41.5</v>
      </c>
      <c r="BV210" s="25" t="s">
        <v>988</v>
      </c>
      <c r="BW210" s="22">
        <v>45121</v>
      </c>
      <c r="BX210" s="28">
        <v>25.5</v>
      </c>
      <c r="BY210" s="28"/>
      <c r="BZ210" s="22"/>
      <c r="CA210" s="21"/>
      <c r="CB210" s="26" t="s">
        <v>864</v>
      </c>
      <c r="CC210" s="26" t="s">
        <v>864</v>
      </c>
      <c r="CD210" s="26"/>
      <c r="CE210" s="26" t="s">
        <v>864</v>
      </c>
      <c r="CF210" s="22" t="s">
        <v>1517</v>
      </c>
      <c r="CG210" s="21">
        <v>1.52</v>
      </c>
      <c r="CH210" s="21">
        <v>63</v>
      </c>
      <c r="CI210" s="214">
        <f t="shared" si="845"/>
        <v>27.268005540166204</v>
      </c>
      <c r="CJ210" s="225" t="e">
        <f>IF(AND(CI210&lt;10,CH210="SD"),"SIN DATO PESO PREGESTACION O I TRIM",IF(AND(OR(R210&gt;0,O210&gt;0),CI210="X"),"INGRESAR DATO DE PESO",IF(CI210="SD","INGRESAR DATO DE TALLA Y PESO",IF(AND(OR(Tabla1[[#This Row],[MOMENTO EN QUE SE REALIZA EL PESO AL INGRESO A CPN]]="PREGESTACIÓN",NZ210="Menor"),CI210&lt;18.5),"BAJO PESO",IF(AND(OR(Tabla1[[#This Row],[MOMENTO EN QUE SE REALIZA EL PESO AL INGRESO A CPN]]="PREGESTACIÓN",NZ210="Menor"),CI210&lt;25),"NORMAL",IF(AND(OR(Tabla1[[#This Row],[MOMENTO EN QUE SE REALIZA EL PESO AL INGRESO A CPN]]="PREGESTACIÓN",NZ210="Menor"),CI210&lt;30),"SOBREPESO",IF(AND(OR(Tabla1[[#This Row],[MOMENTO EN QUE SE REALIZA EL PESO AL INGRESO A CPN]]="PREGESTACIÓN",NZ210="Menor"),CI210&gt;=30,CI210&lt;50),"OBESIDAD",IF(AND(BS210&gt;0,Tabla1[[#This Row],[MOMENTO EN QUE SE REALIZA EL PESO AL INGRESO A CPN]]="GESTACIÓN"),HLOOKUP(NZ210,$OA$2:PH210,NY210),""))))))))</f>
        <v>#REF!</v>
      </c>
      <c r="CK210" s="212">
        <f t="shared" si="846"/>
        <v>45113</v>
      </c>
      <c r="CL210" s="21">
        <v>63</v>
      </c>
      <c r="CM210" s="214">
        <f t="shared" si="847"/>
        <v>27.268005540166204</v>
      </c>
      <c r="CN210" s="216">
        <f t="shared" si="848"/>
        <v>24</v>
      </c>
      <c r="CO210" s="216" t="e">
        <f>IF(PI210="","",IF(PI210&gt;0,HLOOKUP(PI210,$PJ$2:QQ210,NY210),""))</f>
        <v>#REF!</v>
      </c>
      <c r="CP210" s="21">
        <v>23</v>
      </c>
      <c r="CQ210" s="216" t="e">
        <f>IF(QR210="Menor","NO APLICA-MENOR 13 SEM",IF(AND(CC210="SI",CN210&gt;23),"NO APLICA- GEMELAR",IF(QR210="","",IF(QR210&gt;0,HLOOKUP(QR210,$QS$2:RU210,NY210),""))))</f>
        <v>#REF!</v>
      </c>
      <c r="CR210" s="21"/>
      <c r="CS210" s="21"/>
      <c r="CT210" s="217" t="str">
        <f>IF(R210="","",IF(AND(BS210&gt;1,BS210&lt;12,Tabla1[[#This Row],[T.A. SISTOLICA - ANTES DE SEMANA 12]]="",Tabla1[[#This Row],[T.A. DIASTOLICA - ANTES DE SEMANA 12]]=""),"REGISTRE DATO TA ANTES SEMANA 12",IF(AND(BS210&gt;11,BS210&lt;43,Tabla1[[#This Row],[T.A. SISTOLICA - ANTES DE SEMANA 12]]="",Tabla1[[#This Row],[T.A. DIASTOLICA - ANTES DE SEMANA 12]]=""),"NO APLICA REGISTRO TA-INGRESO TARDIO",IF(AND(OR(O210&gt;0,R210&gt;0),OR(CR210&gt;=140,CS210&gt;=90)),"DEFINIR ESTADIO HTA",IF(AND(OR(O210&gt;0,R210&gt;0),AND(CR210&gt;120,CR210&lt;=139)),"PRE HTA SEGUIMIENTO",IF(AND(OR(O210&gt;0,R210&gt;0),AND(CS210&gt;80,CS210&lt;=89)),"PRE HTA SEGUIMIENTO",IF(AND(OR(O210&gt;0,R210&gt;0),AND(CR210&gt;=80,CR210&lt;=120)),"APARENTEMENTE NORMAL",IF(AND(OR(O210&gt;0,R210&gt;0),AND(CS210&gt;=50,CS210&lt;=80)),"APARENTEMENTE NORMAL",IF(AND(OR(O210&gt;0,R210&gt;0),AND(CR210&gt;1,CR210&lt;=70),AND(CS210&gt;1,CS210&lt;=40)),"HIPOTENSIÓN","")))))))))</f>
        <v>NO APLICA REGISTRO TA-INGRESO TARDIO</v>
      </c>
      <c r="CU210" s="21">
        <v>90</v>
      </c>
      <c r="CV210" s="21">
        <v>60</v>
      </c>
      <c r="CW210" s="217" t="str">
        <f ca="1">IF(R210="","",IF(AND(CN210&gt;19,CN210&lt;27,Tabla1[[#This Row],[T.A. SISTOLICA (Entre semana 20 y 26)]]="",Tabla1[[#This Row],[T.A. DIATOLICA (Entre semana 20 y 26)]]=""),"ACUDE A CONTROL SEM 20 A 26 REGISTRE TA AHORA",IF(AND(BS210&gt;1,BS210&lt;27,BU210&gt;19,Tabla1[[#This Row],[T.A. SISTOLICA (Entre semana 20 y 26)]]="",Tabla1[[#This Row],[T.A. DIATOLICA (Entre semana 20 y 26)]]=""),"COMPLETE REGISTRO TA CONTROL SEM 20 A26 ",IF(AND(BS210&gt;26,BS210&lt;43,Tabla1[[#This Row],[T.A. SISTOLICA (Entre semana 20 y 26)]]="",Tabla1[[#This Row],[T.A. DIATOLICA (Entre semana 20 y 26)]]=""),"NO APLICA REGISTRO TA-INGRESO TARDIO",IF(AND(OR(O210&gt;0,R210&gt;0),OR(CU210&gt;=140,CV210&gt;=90)),"ALTO RIESGO PREECLAMPSIA,DEFINIR ESTADIO HTA",IF(AND(OR(O210&gt;0,R210&gt;0),AND(CU210&gt;120,CU210&lt;=139)),"PRE HTA SEGUIMIENTO,RIESGO HIPERTENSION INDUCIDA POR EL EMBARAZO",IF(AND(OR(O210&gt;0,R210&gt;0),AND(CV210&gt;80,CV210&lt;=89)),"PRE HTA SEGUIMIENTO, RIESGO HIPERTENSION INDUCIDA POR EL EMBARAZO",IF(AND(OR(O210&lt;&gt;"",R210&lt;&gt;""),CS210&lt;&gt;"",CV210&lt;&gt;"",CS210&lt;=CV210),"VIGILAR CIFRAS PRESION ARTERIAL",IF(AND(OR(O210&gt;0,R210&gt;0),AND(CU210&gt;120,CU210&lt;=139)),"PRE HTA SEGUIMIENTO",IF(AND(OR(O210&gt;0,R210&gt;0),AND(CU210&gt;1,CU210&lt;=70),AND(CV210&gt;1,CV210&lt;=40)),"HIPOTENSIÓN",IF(AND(OR(O210&lt;&gt;"",R210&lt;&gt;""),CS210&lt;&gt;"",CV210&lt;&gt;"",CS210&gt;CV210),"APARENTEMENTE NORMAL",IF(AND(OR(O210&gt;0,R210&gt;0),AND(CU210&gt;=80,CU210&lt;=120)),"APARENTEMENTE NORMAL",IF(AND(OR(O210&gt;0,R210&gt;0),AND(CV210&gt;=50,CV210&lt;=80)),"APARENTEMENTE NORMAL","")))))))))))))</f>
        <v>APARENTEMENTE NORMAL</v>
      </c>
      <c r="CX210" s="21"/>
      <c r="CY210" s="21"/>
      <c r="CZ210" s="216" t="str">
        <f>IF(R210="","",IF(AND(CN210&gt;31,CN210&lt;35,CX210="",CY210=""),"ACUDE A CONTROL SEM 30 A 34- REGISTRE AHORA",IF(AND(BS210&gt;34,BS210&lt;43,CX211="",CY211=""),"NO APLICA-INGRESO TARDIO",IF(AND(OR(O210&gt;0,R210&gt;0),OR(CX210&gt;=140,CY210&gt;=90)),"ESTUDIO INMEDIATO HTA PARA DESCARTAR PREECLAMSIA",IF(AND(OR(O210&gt;0,R210&gt;0),AND(CX210&gt;=130,CX210&lt;=139)),"PRE HTA,RIESGO ALTO PREECLAMPSIA",IF(AND(OR(O210&gt;0,R210&gt;0),AND(CY210&gt;80,CY210&lt;=89)),"PRE HTA,RIESGO ALTO PREECLAMPSIA",IF(AND(OR(O210&gt;0,R210&gt;0),AND(CX210&gt;120,CX210&lt;=129)),"RANGO PREHIPERTENSIVO SEGUIMIENTO HTA",IF(AND(OR(O210&lt;&gt;"",R210&lt;&gt;""),CS210&lt;&gt;"",CY210&lt;&gt;"",CS210&lt;CY210),"VIGILAR CIFRAS PRESION ARTERIAL",IF(AND(OR(O210&lt;&gt;"",R210&lt;&gt;""),CS210&lt;&gt;"",CY210&lt;&gt;"",CS210=CY210),"APARENTEMENTE NORMAL",IF(AND(OR(O210&gt;0,R210&gt;0),CX210&gt;=80,CX210&lt;=120),"APARENTEMENTE NORMAL",IF(AND(OR(O210&gt;0,R210&gt;0),CY210&gt;=50,CY210&lt;=80),"APARENTEMENTE NORMAL","")))))))))))</f>
        <v/>
      </c>
      <c r="DA210" s="21">
        <v>90</v>
      </c>
      <c r="DB210" s="21">
        <v>60</v>
      </c>
      <c r="DC210" s="217" t="str">
        <f t="shared" si="849"/>
        <v>APARENTEMENTE NORMAL</v>
      </c>
      <c r="DD210" s="22">
        <v>45113</v>
      </c>
      <c r="DE210" s="22">
        <v>45113</v>
      </c>
      <c r="DF210" s="22"/>
      <c r="DG210" s="22"/>
      <c r="DH210" s="22"/>
      <c r="DI210" s="22"/>
      <c r="DJ210" s="22"/>
      <c r="DK210" s="22"/>
      <c r="DL210" s="22"/>
      <c r="DM210" s="22"/>
      <c r="DN210" s="22"/>
      <c r="DO210" s="22"/>
      <c r="DP210" s="22"/>
      <c r="DQ210" s="22"/>
      <c r="DR210" s="28"/>
      <c r="DS210" s="22"/>
      <c r="DT210" s="22"/>
      <c r="DU210" s="216" t="str">
        <f t="shared" ca="1" si="917"/>
        <v>CONCERTAR PLAN DE PARTO INMEDIATO</v>
      </c>
      <c r="DV210" s="226" t="str">
        <f t="shared" si="918"/>
        <v>ACTIVA INGRESO A CPN</v>
      </c>
      <c r="DW21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0" s="216" t="e">
        <f t="shared" ca="1" si="850"/>
        <v>#REF!</v>
      </c>
      <c r="DY210" s="212">
        <f>IF(R210="","",IF(R210&gt;0,MAX(Tabla1[[#This Row],[FECHA C2]:[FECHA C13]],Tabla1[[#This Row],[FECHA CONSULTA PRIMERA VEZ PROGRAMA CPN ]])))</f>
        <v>45113</v>
      </c>
      <c r="DZ210" s="216">
        <f t="shared" si="851"/>
        <v>24</v>
      </c>
      <c r="EA210" s="222">
        <f>IF(R210&gt;0,SUM(COUNTA(DF210:DQ210)+COUNTA(Tabla1[[#This Row],[FECHA CONSULTA PRIMERA VEZ PROGRAMA CPN ]])),"")</f>
        <v>1</v>
      </c>
      <c r="EB210" s="222" t="str">
        <f t="shared" si="852"/>
        <v>NO</v>
      </c>
      <c r="EC210" s="214">
        <f t="shared" si="853"/>
        <v>5</v>
      </c>
      <c r="ED210" s="227">
        <f t="shared" si="854"/>
        <v>0.2</v>
      </c>
      <c r="EE210" s="22">
        <v>45113</v>
      </c>
      <c r="EF210" s="22">
        <v>45113</v>
      </c>
      <c r="EG210" s="22">
        <v>45113</v>
      </c>
      <c r="EH210" s="22"/>
      <c r="EI210" s="22">
        <v>45113</v>
      </c>
      <c r="EJ210" s="22"/>
      <c r="EK210" s="22"/>
      <c r="EL210" s="21"/>
      <c r="EM210" s="21">
        <v>12.5</v>
      </c>
      <c r="EN210" s="22">
        <v>45115</v>
      </c>
      <c r="EO210" s="222">
        <f t="shared" si="855"/>
        <v>24.642857142857142</v>
      </c>
      <c r="EP210" s="214" t="str">
        <f t="shared" si="856"/>
        <v>NORMAL- SUMINISTRAR SULFATO FERROSO</v>
      </c>
      <c r="EQ210" s="216" t="str">
        <f t="shared" si="857"/>
        <v>II TRIM</v>
      </c>
      <c r="ER210" s="24"/>
      <c r="ES210" s="22"/>
      <c r="ET210" s="29" t="str">
        <f t="shared" ca="1" si="919"/>
        <v>TOMA DE HEMOGLOBINA TARDÍA</v>
      </c>
      <c r="EU210" s="25" t="str">
        <f t="shared" si="858"/>
        <v/>
      </c>
      <c r="EV210" s="24" t="s">
        <v>1510</v>
      </c>
      <c r="EW210" s="22">
        <v>45115</v>
      </c>
      <c r="EX210" s="22"/>
      <c r="EY210" s="29">
        <f t="shared" si="691"/>
        <v>24.642857142857142</v>
      </c>
      <c r="EZ210" s="25" t="str">
        <f t="shared" si="692"/>
        <v>SIN RIESGO DE ISOINMUNIZACIÓN</v>
      </c>
      <c r="FA210" s="21">
        <v>69</v>
      </c>
      <c r="FB210" s="22">
        <v>45115</v>
      </c>
      <c r="FC210" s="29" t="str">
        <f t="shared" si="859"/>
        <v>NO APLICA &gt; 23 SEM -TOMAR PTOG</v>
      </c>
      <c r="FD210" s="29"/>
      <c r="FE210" s="29"/>
      <c r="FF210" s="29"/>
      <c r="FG210" s="21" t="str">
        <f t="shared" ca="1" si="860"/>
        <v>TOMAR PTOG</v>
      </c>
      <c r="FH210" s="31"/>
      <c r="FI210" s="29" t="str">
        <f t="shared" si="861"/>
        <v>TOMAR EXAMEN</v>
      </c>
      <c r="FJ210" s="22"/>
      <c r="FK210" s="22"/>
      <c r="FL210" s="29" t="str">
        <f t="shared" ca="1" si="862"/>
        <v>NO APLICA-INGRESO TARDIO</v>
      </c>
      <c r="FM210" s="22" t="s">
        <v>867</v>
      </c>
      <c r="FN210" s="22">
        <v>45115</v>
      </c>
      <c r="FO210" s="29">
        <f t="shared" ca="1" si="920"/>
        <v>24.642857142857142</v>
      </c>
      <c r="FP210" s="22"/>
      <c r="FQ210" s="32"/>
      <c r="FR210" s="29" t="str">
        <f t="shared" ca="1" si="921"/>
        <v>TOMA INMEDIATA DE TAMIZAJE</v>
      </c>
      <c r="FS210" s="22"/>
      <c r="FT210" s="32"/>
      <c r="FU210" s="29" t="str">
        <f>IF(AND(FJ210="",FM210="",FP210="",FS210=""),"",IF(OR(OR(Tabla1[[#This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0" s="28"/>
      <c r="FW210" s="22"/>
      <c r="FX210" s="29" t="str">
        <f t="shared" si="863"/>
        <v>TOMAR EXAMEN</v>
      </c>
      <c r="FY210" s="22"/>
      <c r="FZ210" s="290"/>
      <c r="GA210" s="29" t="str">
        <f t="shared" ca="1" si="737"/>
        <v>NO APLICA-INGRESO TARDIO</v>
      </c>
      <c r="GB210" s="22" t="s">
        <v>868</v>
      </c>
      <c r="GC210" s="22">
        <v>45115</v>
      </c>
      <c r="GD210" s="29" t="e">
        <f>IF(AND(BT210="ERROR FUM O INGRESO",#REF!&gt;0),"ERROR FUM O INGRESO",IF(AND(#REF!="",R210="",O210=""),"",IF(AND(#REF!&lt;&gt;"",#REF!&lt;RW210), "INCOHERENCIA FUM Y FECHA TAMIZAJE",IF(AND(#REF!="",DV210="ACTIVA INGRESO A CPN",AND(BU210&gt;0,BU210&lt;13)),"EN ESPERA-ESTÁ I TRIM", IF(AND(#REF!="",AND(BS210&gt;0, BS210&lt;12),OR(O210&gt;0,R210&gt;0),AND(IP210&gt;0,IP210&lt;13)),"NO APLICA-SALIO DEL PROGRAMA I TRIM",IF(AND(#REF!&lt;&gt;"",AND(SUM((#REF!-RW210)/7)&gt;0,SUM((#REF!-RW210)/7)&lt;13)),"REGISTRAR EN I TRIMESTRE",IF(AND(#REF!&lt;&gt;"",AND(SUM((#REF!-RW210)/7)&gt;=27,SUM((#REF!-RW210)/7)&lt;44)),"REGISTRAR EN III TRIMESTRE",IF(AND(#REF!="",OR(O210&gt;0,R210&gt;0),AND(BU210&gt;=12,BU210&lt;25),DV210="ACTIVA INGRESO A CPN"),"EN RANGO PARA TOMAR EXAMEN",IF(AND(#REF!="",OR(O210&gt;0,R210&gt;0),AND(BU210&gt;=25,BU210&lt;27),DV210="ACTIVA INGRESO A CPN"),"TOMA INMEDIATA DE TAMIZAJE",IF(AND(#REF!="",OR(O210&gt;0,R210&gt;0),AND(BS210&gt;=27,BS210&lt;43)),"NO APLICA-INGRESO TARDIO",IF(AND(#REF!="",BS210&lt;27),"PIERDE TOMA DE TAMIZAJE",IF(#REF!&gt;0,SUM(#REF!-RW210)/7,""))))))))))))</f>
        <v>#REF!</v>
      </c>
      <c r="GE210" s="22"/>
      <c r="GF210" s="22"/>
      <c r="GG210" s="29" t="str">
        <f t="shared" ca="1" si="923"/>
        <v>TOMA INMEDIATA DE TAMIZAJE</v>
      </c>
      <c r="GH210" s="22"/>
      <c r="GI210" s="29"/>
      <c r="GJ210" s="22"/>
      <c r="GK210" s="22"/>
      <c r="GL210" s="22"/>
      <c r="GM210" s="22"/>
      <c r="GN210" s="28" t="s">
        <v>869</v>
      </c>
      <c r="GO210" s="22">
        <v>45115</v>
      </c>
      <c r="GP210" s="29">
        <f t="shared" si="864"/>
        <v>24.642857142857142</v>
      </c>
      <c r="GQ210" s="28" t="s">
        <v>880</v>
      </c>
      <c r="GR210" s="28" t="s">
        <v>869</v>
      </c>
      <c r="GS210" s="22" t="str">
        <f t="shared" si="726"/>
        <v>SE EXCLUYE INFECCION</v>
      </c>
      <c r="GT210" s="22">
        <v>45115</v>
      </c>
      <c r="GU210" s="29">
        <f t="shared" si="865"/>
        <v>25.857142857142858</v>
      </c>
      <c r="GV210" s="21" t="str">
        <f t="shared" si="866"/>
        <v>II TRIM</v>
      </c>
      <c r="GW210" s="28"/>
      <c r="GX210" s="30"/>
      <c r="GY210" s="21"/>
      <c r="GZ210" s="21"/>
      <c r="HA210" s="21"/>
      <c r="HB210" s="21"/>
      <c r="HC210" s="21"/>
      <c r="HD210" s="21"/>
      <c r="HE210" s="21"/>
      <c r="HF210" s="22"/>
      <c r="HG210" s="22" t="str">
        <f>IF(OR(O210&gt;0,R210&gt;0),CONCATENATE(IF(Tabla1[[#This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0" s="22" t="e">
        <f t="shared" si="867"/>
        <v>#REF!</v>
      </c>
      <c r="HI210" s="22" t="e">
        <f t="shared" ca="1" si="868"/>
        <v>#REF!</v>
      </c>
      <c r="HJ210" s="21"/>
      <c r="HK210" s="21" t="str">
        <f t="shared" si="869"/>
        <v>SIN ANTECEDENTES DE RIESGO</v>
      </c>
      <c r="HL210" s="24" t="str">
        <f t="shared" si="870"/>
        <v>APARENTEMENTE NORMAL</v>
      </c>
      <c r="HM210" s="21" t="e">
        <f t="shared" ca="1" si="871"/>
        <v>#REF!</v>
      </c>
      <c r="HN210" s="30" t="str">
        <f t="shared" si="924"/>
        <v>ACTIVA INGRESO A CPN</v>
      </c>
      <c r="HO210" s="21"/>
      <c r="HP210" s="21"/>
      <c r="HQ210" s="349"/>
      <c r="HR210" s="21" t="str">
        <f>IF(R210="","",IF(Tabla1[[#This Row],[ALARMA FACTORES DE RIESGO COMPLICACIONES HIPERTENSIVAS3]]="SIN ANTECEDENTES DE RIESGO","No Aplica para suministro de ASA",IF(AND(Tabla1[[#This Row],[FECHA INICIO DE SUMINISTRO DE ASA]]&gt;0,RV210&lt;12),"Inicia ASA ANTES de Sem 12",IF(AND(RV210&gt;11,RV210&lt;17,OR(HK210="RIESGO ALTO DE COMPLICACIONES HIPERTENSIVAS VER MANEJO GUIA SUMINISTRO ASA Y CALCIO",HK210="RIESGO MODERADO (2 O MAS CRITERIOS) VER MANEJO GUIA SUMINISTRO ASA Y CALCIO")),"Inicio oportuno de ASA",IF(AND(RV210&gt;12,OR(HK210="RIESGO ALTO DE COMPLICACIONES HIPERTENSIVAS VER MANEJO GUIA SUMINISTRO ASA Y CALCIO",HK210="RIESGO MODERADO (2 O MAS CRITERIOS) VER MANEJO GUIA SUMINISTRO ASA Y CALCIO")),"Inicio no oportuno mayor a 16 semanas",IF(AND(BU210&lt;12,OR(HK210="RIESGO ALTO DE COMPLICACIONES HIPERTENSIVAS VER MANEJO GUIA SUMINISTRO ASA Y CALCIO",HK210="RIESGO MODERADO (2 O MAS CRITERIOS) VER MANEJO GUIA SUMINISTRO ASA Y CALCIO")),"Pendiente Inicio de ASA a la semana 12",IF(AND(BU210&gt;11,BU210&lt;17,OR(HK210="RIESGO ALTO DE COMPLICACIONES HIPERTENSIVAS VER MANEJO GUIA SUMINISTRO ASA Y CALCIO",HK210="RIESGO MODERADO (2 O MAS CRITERIOS) VER MANEJO GUIA SUMINISTRO ASA Y CALCIO")),"Iniciar de inmediato ASA",IF(AND(BU210&gt;16,OR(HK210="RIESGO ALTO DE COMPLICACIONES HIPERTENSIVAS VER MANEJO GUIA SUMINISTRO ASA Y CALCIO",HK210="RIESGO MODERADO (2 O MAS CRITERIOS) VER MANEJO GUIA SUMINISTRO ASA Y CALCIO")),"Pierde Oportunidad, Inicio tardío de ASA","XXXXX"))))))))</f>
        <v>No Aplica para suministro de ASA</v>
      </c>
      <c r="HS210" s="22">
        <v>45115</v>
      </c>
      <c r="HT210" s="22" t="s">
        <v>1505</v>
      </c>
      <c r="HU210" s="22">
        <v>45115</v>
      </c>
      <c r="HV210" s="22" t="s">
        <v>1544</v>
      </c>
      <c r="HW210" s="22"/>
      <c r="HX210" s="22"/>
      <c r="HY210" s="22">
        <v>45113</v>
      </c>
      <c r="HZ210" s="28">
        <f t="shared" si="872"/>
        <v>24.357142857142858</v>
      </c>
      <c r="IA210" s="26"/>
      <c r="IB210" s="26"/>
      <c r="IC210" s="22">
        <v>45121</v>
      </c>
      <c r="ID210" s="22">
        <v>45121</v>
      </c>
      <c r="IE210" s="22" t="str">
        <f t="shared" ca="1" si="873"/>
        <v>VACUNA APLICADA ENTRE SEMANA 20 Y SEMANA 26</v>
      </c>
      <c r="IF210" s="22"/>
      <c r="IG210" s="22">
        <f t="shared" si="874"/>
        <v>45222.5</v>
      </c>
      <c r="IH210" s="29">
        <f t="shared" ca="1" si="875"/>
        <v>-10.5</v>
      </c>
      <c r="II210" s="22" t="str">
        <f t="shared" ca="1" si="876"/>
        <v>POSIBLEMENTE NACIO</v>
      </c>
      <c r="IJ210" s="22"/>
      <c r="IK210" s="21"/>
      <c r="IL210" s="21"/>
      <c r="IM210" s="34"/>
      <c r="IN210" s="22"/>
      <c r="IO210" s="21"/>
      <c r="IP210" s="29" t="str">
        <f t="shared" si="877"/>
        <v/>
      </c>
      <c r="IQ210" s="35"/>
      <c r="IR210" s="21"/>
      <c r="IS210" s="21"/>
      <c r="IT210" s="21"/>
      <c r="IU210" s="21"/>
      <c r="IV210" s="21"/>
      <c r="IW210" s="21"/>
      <c r="IX210" s="21"/>
      <c r="IY210" s="21"/>
      <c r="IZ210" s="21"/>
      <c r="JA210" s="21"/>
      <c r="JB210" s="30"/>
      <c r="JC210" s="21"/>
      <c r="JD210" s="36"/>
      <c r="JE210" s="21" t="str">
        <f t="shared" si="878"/>
        <v/>
      </c>
      <c r="JF210" s="30"/>
      <c r="JG210" s="21"/>
      <c r="JH210" s="21"/>
      <c r="JI210" s="21"/>
      <c r="JJ210" s="30"/>
      <c r="JK210" s="22"/>
      <c r="JL210" s="22"/>
      <c r="JM210" s="21"/>
      <c r="JN210" s="36"/>
      <c r="JO210" s="21" t="str">
        <f t="shared" si="879"/>
        <v/>
      </c>
      <c r="JP210" s="22"/>
      <c r="JQ210" s="21"/>
      <c r="JR210" s="21"/>
      <c r="JS210" s="21"/>
      <c r="JT210" s="30"/>
      <c r="JU210" s="22"/>
      <c r="JV210" s="22"/>
      <c r="JW210" s="33"/>
      <c r="JX210" s="28" t="str">
        <f t="shared" si="880"/>
        <v/>
      </c>
      <c r="JY210" s="33"/>
      <c r="JZ210" s="28" t="str">
        <f t="shared" si="881"/>
        <v/>
      </c>
      <c r="KA210" s="21"/>
      <c r="KB210" s="21"/>
      <c r="KC210" s="21"/>
      <c r="KD210" s="37"/>
      <c r="KE210" s="28"/>
      <c r="KF210" s="28"/>
      <c r="KG210" s="28"/>
      <c r="KH210" s="39"/>
      <c r="KI210" s="39"/>
      <c r="KJ210" s="66"/>
      <c r="KK210" s="39"/>
      <c r="KL210" s="39"/>
      <c r="KM210" s="66"/>
      <c r="KN210" s="39"/>
      <c r="KO210" s="39"/>
      <c r="KP210" s="39"/>
      <c r="KQ210" s="39"/>
      <c r="KR210" s="39"/>
      <c r="KS210" s="39"/>
      <c r="KT210" s="39"/>
      <c r="KU210" s="38"/>
      <c r="KV210" s="38"/>
      <c r="KW210" s="38"/>
      <c r="KX210" s="38"/>
      <c r="KY210" s="38"/>
      <c r="KZ210" s="38"/>
      <c r="LA210" s="38"/>
      <c r="LB210" s="38"/>
      <c r="LC210" s="38"/>
      <c r="LD210" s="38"/>
      <c r="LE210" s="38"/>
      <c r="LF210" s="38"/>
      <c r="LG210" s="38"/>
      <c r="LH210" s="38"/>
      <c r="LI210" s="38"/>
      <c r="LJ210" s="38"/>
      <c r="LK210" s="38"/>
      <c r="LL210" s="38"/>
      <c r="LM210" s="38"/>
      <c r="LN210" s="38"/>
      <c r="LO210" s="38"/>
      <c r="LP210" s="38"/>
      <c r="LQ210" s="38"/>
      <c r="LR210" s="38"/>
      <c r="LS210" s="38"/>
      <c r="LT210" s="38"/>
      <c r="LU210" s="38"/>
      <c r="LV210" s="38"/>
      <c r="LW210" s="38"/>
      <c r="LX210" s="38"/>
      <c r="LY210" s="38"/>
      <c r="LZ210" s="38"/>
      <c r="MA210" s="38"/>
      <c r="MB210" s="38"/>
      <c r="MC210" s="38"/>
      <c r="MD210" s="38"/>
      <c r="ME210" s="38"/>
      <c r="MF210" s="38"/>
      <c r="MG210" s="38"/>
      <c r="MH210" s="43">
        <f t="shared" si="882"/>
        <v>0</v>
      </c>
      <c r="MI210" s="43" t="str">
        <f t="shared" si="926"/>
        <v/>
      </c>
      <c r="MJ210" s="43" t="str">
        <f t="shared" si="884"/>
        <v/>
      </c>
      <c r="MK210" s="43">
        <f t="shared" si="885"/>
        <v>0</v>
      </c>
      <c r="ML21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0" s="43">
        <f t="shared" si="927"/>
        <v>24.357142857142858</v>
      </c>
      <c r="MN210" s="43">
        <f t="shared" si="928"/>
        <v>7</v>
      </c>
      <c r="MO210" s="43">
        <f t="shared" si="929"/>
        <v>2023</v>
      </c>
      <c r="MP210" s="43" t="str">
        <f t="shared" si="889"/>
        <v>III TRIMESTRE AÑO</v>
      </c>
      <c r="MQ210" s="43">
        <f t="shared" si="930"/>
        <v>23.60381077529566</v>
      </c>
      <c r="MR210" s="43">
        <f t="shared" si="891"/>
        <v>0</v>
      </c>
      <c r="MS210" s="43" t="str">
        <f t="shared" si="892"/>
        <v xml:space="preserve"> DE 20 A 24 AÑOS</v>
      </c>
      <c r="MT210" s="43">
        <f t="shared" si="893"/>
        <v>0</v>
      </c>
      <c r="MU210" s="43">
        <f t="shared" si="894"/>
        <v>0</v>
      </c>
      <c r="MV210" s="43">
        <f t="shared" si="895"/>
        <v>0</v>
      </c>
      <c r="MW210" s="43">
        <f t="shared" si="896"/>
        <v>0</v>
      </c>
      <c r="MX210" s="43" t="str">
        <f t="shared" si="897"/>
        <v/>
      </c>
      <c r="MY210" s="43">
        <f t="shared" ca="1" si="898"/>
        <v>1</v>
      </c>
      <c r="MZ210" s="43" t="str">
        <f t="shared" si="899"/>
        <v/>
      </c>
      <c r="NA210" s="43" t="str">
        <f t="shared" si="900"/>
        <v/>
      </c>
      <c r="NB210" s="43" t="str">
        <f t="shared" si="901"/>
        <v/>
      </c>
      <c r="NC210" s="43" t="str">
        <f t="shared" si="902"/>
        <v/>
      </c>
      <c r="ND210" s="43">
        <f t="shared" ca="1" si="931"/>
        <v>1.5</v>
      </c>
      <c r="NE210" s="43">
        <f>IF(OR(O210&gt;0,R210&gt;0),SUM(COUNTIF(Tabla1[[#This Row],[AÑOS AL INICIO5 CPN]],"&gt;=40"),COUNTIF(AS210,"0"),COUNTIF(AR210,"SI"),COUNTIF(CC210,"SI"),COUNTIF(BQ210,"&gt;119"),COUNTIF(CI210,"&gt;=35")),"")</f>
        <v>0</v>
      </c>
      <c r="NF210" s="43">
        <f t="shared" si="932"/>
        <v>25.5</v>
      </c>
      <c r="NG210" s="43">
        <f t="shared" si="905"/>
        <v>0.5</v>
      </c>
      <c r="NH210" s="43">
        <f t="shared" si="906"/>
        <v>178.5</v>
      </c>
      <c r="NI21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CPN",P210="NO"),"Z",IF(AND(Tabla1[[#This Row],[CITA PROXIMO CONTROL]]="CITA MANUAL",Tabla1[[#This Row],[GESTANTES ACTUALES]]="ACTIVA INGRESO A CPN"),"W",IF(AND(Tabla1[[#This Row],[GESTANTES ACTUALES]]="SALIO PROGRAMA",IN210=""),"S",IF(AND(Tabla1[[#This Row],[CITA PROXIMO CONTROL]]&gt;0,IN210=""),(Tabla1[[#This Row],[CITA PROXIMO CONTROL]]-TODAY()),"SD"))))))))</f>
        <v>#REF!</v>
      </c>
      <c r="NJ210" s="43">
        <f>MONTH(Tabla1[[#This Row],[FECHA DE SALIDA  DEL PROGRAMA]])</f>
        <v>1</v>
      </c>
      <c r="NK210" s="43">
        <f>YEAR(Tabla1[[#This Row],[FECHA DE SALIDA  DEL PROGRAMA]])</f>
        <v>1900</v>
      </c>
      <c r="NL210" s="43" t="str">
        <f t="shared" si="933"/>
        <v>X</v>
      </c>
      <c r="NM210" s="43" t="str">
        <f>IF(AND(O210&gt;0,R210=""),"NO CPN",IF(AND(O210="",R210=""),"",IF(AND(EN210&lt;&gt;"",EX210&lt;&gt;"",FB210&lt;&gt;"",FK210&lt;&gt;"",FW210&lt;&gt;"",GC210&lt;&gt;"",GO210&lt;&gt;"",GQ210&lt;&gt;"",GR210&lt;&gt;""),"SI","NO")))</f>
        <v>NO</v>
      </c>
      <c r="NN210" s="43" t="str">
        <f ca="1">IF(AND(O210&gt;0,R210=""),"NO CPN",IF(AND(O210="",R210=""),"",IF(AND(R210&gt;0,Tabla1[[#This Row],[SEMANAS DE GESTACION ACTUALIZADAS]]&lt;=12),"NO APLICA",IF(AND(FH210&lt;&gt;"",FN210&lt;&gt;""),"SI","NO"))))</f>
        <v>NO</v>
      </c>
      <c r="NO210" s="43" t="str">
        <f ca="1">IF(AND(O210&gt;0,R210=""),"NO CPN",IF(AND(O210="",R210=""),"",IF(AND(R210&gt;0,Tabla1[[#This Row],[SEMANAS DE GESTACION ACTUALIZADAS]]&lt;=27),"NO APLICA",IF(AND(ES210&lt;&gt;"",FQ210&lt;&gt;"",GF210&lt;&gt;""),"SI","NO"))))</f>
        <v>NO</v>
      </c>
      <c r="NP210" s="204" t="str">
        <f t="shared" si="909"/>
        <v>II TRIM</v>
      </c>
      <c r="NQ210" s="21" t="str">
        <f>IF(AND(IP211&gt;0,IP211&lt;37),10,IF(OR(CD211="Transversa",CD211="Oblicua"),9,IF(CC211="SI",8,IF(AND(AT211=0,AW211=0,CC211="NO",CD211="Cefálica",IP211&gt;=37,IT211="INICIO ESPONTÁNEO"),1,IF(AND(AND(AT211=0,AW211=0,CC211="NO",CD211="Cefálica",IP211&gt;=37),OR(IT211="LE HACEN INDUCCIÓN",IT211="LE HACEN CESÁREA SIN INICIO TRABAJO DE PARTO")),2,IF(AND(AT211&gt;=1,AW211=0,CC211="NO",CD211="Cefálica",IP211&gt;=37,IT211="INICIO ESPONTÁNEO"),3,IF(AND(AND(AT211&gt;=1,AW211=0,CC211="NO",CD211="Cefálica",IP211&gt;=37),OR(IT211="LE HACEN INDUCCIÓN",IT211="LE HACEN CESÁREA SIN INICIO TRABAJO DE PARTO")),4,IF(AND(AND(AT211&gt;=1,AW211&gt;=1,CC211="NO",CD211="Cefálica",IP211&gt;=37),OR(IT211="LE HACEN INDUCCIÓN",IT211="LE HACEN CESÁREA SIN INICIO TRABAJO DE PARTO",IT211="INICIO ESPONTÁNEO")),5,IF(AND(AND(AT211=0,AW211=0,CC211="NO",CD211="Podálica",IP211&gt;=1),OR(IT211="LE HACEN INDUCCIÓN",IT211="LE HACEN CESÁREA SIN INICIO TRABAJO DE PARTO",IT211="INICIO ESPONTÁNEO")),6,IF(AND(AND(AT211&gt;=1,CC211="NO",CD211="Podálica",IP211&gt;=1),OR(IT211="LE HACEN INDUCCIÓN",IT211="LE HACEN CESÁREA SIN INICIO TRABAJO DE PARTO",IT211="INICIO ESPONTÁNEO"),OR(AW211=0,AW211&gt;=1)),7,""))))))))))</f>
        <v/>
      </c>
      <c r="NR210" s="21">
        <f t="shared" ca="1" si="934"/>
        <v>2</v>
      </c>
      <c r="NS210" s="205">
        <f t="shared" ca="1" si="911"/>
        <v>1</v>
      </c>
      <c r="NT210" s="21">
        <f t="shared" ca="1" si="912"/>
        <v>0</v>
      </c>
      <c r="NU210" s="21" t="str">
        <f t="shared" ca="1" si="913"/>
        <v>INCOMPLETO</v>
      </c>
      <c r="NV210" s="21" t="str">
        <f t="shared" ca="1" si="914"/>
        <v>INCOMPLETO</v>
      </c>
      <c r="NW210" s="206" t="str">
        <f>IF(AND(O210="",R210=""),"",IF(OR(AND(Tabla1[[#This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0" s="207" t="str">
        <f t="shared" ca="1" si="935"/>
        <v>VACUNADA</v>
      </c>
      <c r="NY210" s="43">
        <f>ROW(Tabla1[[#This Row],['# DE TAMIZAJES SIFILIS TOMADOS ]])</f>
        <v>210</v>
      </c>
      <c r="NZ210" s="43">
        <f t="shared" si="738"/>
        <v>24</v>
      </c>
      <c r="OA210" s="43" t="str">
        <f t="shared" si="739"/>
        <v/>
      </c>
      <c r="OB210" s="43" t="str">
        <f t="shared" si="740"/>
        <v/>
      </c>
      <c r="OC210" s="43" t="str">
        <f t="shared" si="741"/>
        <v/>
      </c>
      <c r="OD210" s="43" t="str">
        <f t="shared" si="742"/>
        <v/>
      </c>
      <c r="OE210" s="43" t="str">
        <f t="shared" si="743"/>
        <v/>
      </c>
      <c r="OF210" s="43" t="str">
        <f t="shared" si="744"/>
        <v/>
      </c>
      <c r="OG210" s="43" t="str">
        <f t="shared" si="745"/>
        <v/>
      </c>
      <c r="OH210" s="43" t="str">
        <f t="shared" si="746"/>
        <v/>
      </c>
      <c r="OI210" s="43" t="str">
        <f t="shared" si="747"/>
        <v/>
      </c>
      <c r="OJ210" s="43" t="str">
        <f t="shared" si="748"/>
        <v/>
      </c>
      <c r="OK210" s="43" t="str">
        <f t="shared" si="749"/>
        <v/>
      </c>
      <c r="OL210" s="43" t="str">
        <f t="shared" si="750"/>
        <v/>
      </c>
      <c r="OM210" s="43" t="str">
        <f t="shared" si="751"/>
        <v/>
      </c>
      <c r="ON210" s="43" t="str">
        <f t="shared" si="752"/>
        <v/>
      </c>
      <c r="OO210" s="43" t="str">
        <f t="shared" si="753"/>
        <v/>
      </c>
      <c r="OP210" s="43" t="str">
        <f t="shared" si="754"/>
        <v>SOBREPESO</v>
      </c>
      <c r="OQ210" s="43" t="str">
        <f t="shared" si="755"/>
        <v/>
      </c>
      <c r="OR210" s="43" t="str">
        <f t="shared" si="756"/>
        <v/>
      </c>
      <c r="OS210" s="43" t="str">
        <f t="shared" si="757"/>
        <v/>
      </c>
      <c r="OT210" s="43" t="str">
        <f t="shared" si="758"/>
        <v/>
      </c>
      <c r="OU210" s="43" t="str">
        <f t="shared" si="759"/>
        <v/>
      </c>
      <c r="OV210" s="110" t="str">
        <f t="shared" si="760"/>
        <v/>
      </c>
      <c r="OW210" s="43" t="str">
        <f t="shared" si="761"/>
        <v/>
      </c>
      <c r="OX210" s="43" t="str">
        <f t="shared" si="762"/>
        <v/>
      </c>
      <c r="OY210" s="43" t="str">
        <f t="shared" si="763"/>
        <v/>
      </c>
      <c r="OZ210" s="43" t="str">
        <f t="shared" si="764"/>
        <v/>
      </c>
      <c r="PA210" s="43" t="str">
        <f t="shared" si="765"/>
        <v/>
      </c>
      <c r="PB210" s="43" t="str">
        <f t="shared" si="766"/>
        <v/>
      </c>
      <c r="PC210" s="43" t="str">
        <f t="shared" si="767"/>
        <v/>
      </c>
      <c r="PD210" s="43" t="str">
        <f t="shared" si="768"/>
        <v/>
      </c>
      <c r="PE210" s="43" t="str">
        <f t="shared" si="769"/>
        <v/>
      </c>
      <c r="PF210" s="43" t="str">
        <f t="shared" si="770"/>
        <v/>
      </c>
      <c r="PG210" s="43" t="str">
        <f t="shared" si="771"/>
        <v/>
      </c>
      <c r="PH210" s="43" t="str">
        <f t="shared" si="772"/>
        <v/>
      </c>
      <c r="PI210" s="43">
        <f t="shared" si="773"/>
        <v>24</v>
      </c>
      <c r="PJ210" s="43" t="str">
        <f t="shared" si="774"/>
        <v/>
      </c>
      <c r="PK210" s="43" t="str">
        <f t="shared" si="775"/>
        <v/>
      </c>
      <c r="PL210" s="43" t="str">
        <f t="shared" si="776"/>
        <v/>
      </c>
      <c r="PM210" s="43" t="str">
        <f t="shared" si="777"/>
        <v/>
      </c>
      <c r="PN210" s="43" t="str">
        <f t="shared" si="778"/>
        <v/>
      </c>
      <c r="PO210" s="43" t="str">
        <f t="shared" si="779"/>
        <v/>
      </c>
      <c r="PP210" s="43" t="str">
        <f t="shared" si="780"/>
        <v/>
      </c>
      <c r="PQ210" s="43" t="str">
        <f t="shared" si="781"/>
        <v/>
      </c>
      <c r="PR210" s="43" t="str">
        <f t="shared" si="782"/>
        <v/>
      </c>
      <c r="PS210" s="43" t="str">
        <f t="shared" si="783"/>
        <v/>
      </c>
      <c r="PT210" s="43" t="str">
        <f t="shared" si="784"/>
        <v/>
      </c>
      <c r="PU210" s="43" t="str">
        <f t="shared" si="785"/>
        <v/>
      </c>
      <c r="PV210" s="43" t="str">
        <f t="shared" si="786"/>
        <v/>
      </c>
      <c r="PW210" s="43" t="str">
        <f t="shared" si="787"/>
        <v/>
      </c>
      <c r="PX210" s="43" t="str">
        <f t="shared" si="788"/>
        <v/>
      </c>
      <c r="PY210" s="43" t="str">
        <f t="shared" si="789"/>
        <v>SOBREPESO</v>
      </c>
      <c r="PZ210" s="43" t="str">
        <f t="shared" si="790"/>
        <v/>
      </c>
      <c r="QA210" s="43" t="str">
        <f t="shared" si="791"/>
        <v/>
      </c>
      <c r="QB210" s="43" t="str">
        <f t="shared" si="792"/>
        <v/>
      </c>
      <c r="QC210" s="43" t="str">
        <f t="shared" si="793"/>
        <v/>
      </c>
      <c r="QD210" s="43" t="str">
        <f t="shared" si="794"/>
        <v/>
      </c>
      <c r="QE210" s="43" t="str">
        <f t="shared" si="795"/>
        <v/>
      </c>
      <c r="QF210" s="43" t="str">
        <f t="shared" si="796"/>
        <v/>
      </c>
      <c r="QG210" s="43" t="str">
        <f t="shared" si="797"/>
        <v/>
      </c>
      <c r="QH210" s="43" t="str">
        <f t="shared" si="798"/>
        <v/>
      </c>
      <c r="QI210" s="43" t="str">
        <f t="shared" si="799"/>
        <v/>
      </c>
      <c r="QJ210" s="43" t="str">
        <f t="shared" si="800"/>
        <v/>
      </c>
      <c r="QK210" s="43" t="str">
        <f t="shared" si="801"/>
        <v/>
      </c>
      <c r="QL210" s="43" t="str">
        <f t="shared" si="802"/>
        <v/>
      </c>
      <c r="QM210" s="43" t="str">
        <f t="shared" si="803"/>
        <v/>
      </c>
      <c r="QN210" s="43" t="str">
        <f t="shared" si="804"/>
        <v/>
      </c>
      <c r="QO210" s="43" t="str">
        <f t="shared" si="805"/>
        <v/>
      </c>
      <c r="QP210" s="43" t="str">
        <f t="shared" si="806"/>
        <v/>
      </c>
      <c r="QQ210" s="43" t="str">
        <f t="shared" si="807"/>
        <v/>
      </c>
      <c r="QR210" s="43">
        <f t="shared" si="837"/>
        <v>24</v>
      </c>
      <c r="QS210" s="43"/>
      <c r="QT210" s="21" t="str">
        <f t="shared" si="808"/>
        <v/>
      </c>
      <c r="QU210" s="21" t="str">
        <f t="shared" si="809"/>
        <v/>
      </c>
      <c r="QV210" s="21" t="str">
        <f t="shared" si="810"/>
        <v/>
      </c>
      <c r="QW210" s="21" t="str">
        <f t="shared" si="811"/>
        <v/>
      </c>
      <c r="QX210" s="21" t="str">
        <f t="shared" si="812"/>
        <v/>
      </c>
      <c r="QY210" s="21" t="str">
        <f t="shared" si="813"/>
        <v/>
      </c>
      <c r="QZ210" s="21" t="str">
        <f t="shared" si="814"/>
        <v/>
      </c>
      <c r="RA210" s="21" t="str">
        <f t="shared" si="815"/>
        <v/>
      </c>
      <c r="RB210" s="21" t="str">
        <f t="shared" si="816"/>
        <v/>
      </c>
      <c r="RC210" s="21" t="str">
        <f t="shared" si="817"/>
        <v/>
      </c>
      <c r="RD210" s="21" t="str">
        <f t="shared" si="818"/>
        <v/>
      </c>
      <c r="RE210" s="21" t="str">
        <f t="shared" si="819"/>
        <v>ADECUADO PARA EDAD GESTACIONAL</v>
      </c>
      <c r="RF210" s="21" t="str">
        <f t="shared" si="820"/>
        <v/>
      </c>
      <c r="RG210" s="21" t="str">
        <f t="shared" si="821"/>
        <v/>
      </c>
      <c r="RH210" s="21" t="str">
        <f t="shared" si="822"/>
        <v/>
      </c>
      <c r="RI210" s="21" t="str">
        <f t="shared" si="823"/>
        <v/>
      </c>
      <c r="RJ210" s="21" t="str">
        <f t="shared" si="824"/>
        <v/>
      </c>
      <c r="RK210" s="21" t="str">
        <f t="shared" si="825"/>
        <v/>
      </c>
      <c r="RL210" s="21" t="str">
        <f t="shared" si="826"/>
        <v/>
      </c>
      <c r="RM210" s="21" t="str">
        <f t="shared" si="827"/>
        <v/>
      </c>
      <c r="RN210" s="21" t="str">
        <f t="shared" si="828"/>
        <v/>
      </c>
      <c r="RO210" s="21" t="str">
        <f t="shared" si="829"/>
        <v/>
      </c>
      <c r="RP210" s="21" t="str">
        <f t="shared" si="830"/>
        <v/>
      </c>
      <c r="RQ210" s="21" t="str">
        <f t="shared" si="831"/>
        <v/>
      </c>
      <c r="RR210" s="21" t="str">
        <f t="shared" si="832"/>
        <v/>
      </c>
      <c r="RS210" s="21" t="str">
        <f t="shared" si="833"/>
        <v/>
      </c>
      <c r="RT210" s="21" t="str">
        <f t="shared" si="834"/>
        <v/>
      </c>
      <c r="RU210" s="21" t="str">
        <f t="shared" si="835"/>
        <v/>
      </c>
      <c r="RV210" s="21">
        <f t="shared" si="836"/>
        <v>-1</v>
      </c>
      <c r="RW210" s="284">
        <f>IF(OR(Tabla1[[#This Row],[FUM FORMULA CONFIABLE]]="",Tabla1[[#This Row],[FUM FORMULA CONFIABLE]]="SD"),"",IF(Tabla1[[#This Row],[FUM FORMULA CONFIABLE]]="CORREGIDA",Tabla1[[#This Row],[FUM X ECO 1]],Tabla1[[#This Row],[FUM x AMENORREA]]))</f>
        <v>44942.5</v>
      </c>
      <c r="RX210" s="21">
        <f>IF(AND(Tabla1[[#This Row],[FUM X ECO 1]]="",Tabla1[[#This Row],[FUM x AMENORREA]]=""),"",IF(AND(Tabla1[[#This Row],[FUM X ECO 1]]="",Tabla1[[#This Row],[FUM x AMENORREA]]&lt;&gt;""),"X",SUM(Tabla1[[#This Row],[FUM X ECO 1]]-Tabla1[[#This Row],[FUM x AMENORREA]])))</f>
        <v>8.5</v>
      </c>
      <c r="RY210" s="21">
        <f t="shared" si="838"/>
        <v>1</v>
      </c>
    </row>
    <row r="211" spans="1:493" ht="45" customHeight="1" x14ac:dyDescent="0.25">
      <c r="A211" s="109"/>
      <c r="B211" s="43"/>
      <c r="C211" s="43" t="s">
        <v>845</v>
      </c>
      <c r="D211" s="124"/>
      <c r="E211" s="43" t="s">
        <v>896</v>
      </c>
      <c r="F211" s="43" t="s">
        <v>915</v>
      </c>
      <c r="G211" s="43" t="s">
        <v>1585</v>
      </c>
      <c r="H211" s="43"/>
      <c r="I211" s="109" t="s">
        <v>851</v>
      </c>
      <c r="J211" s="110">
        <v>1059595460</v>
      </c>
      <c r="K211" s="43" t="s">
        <v>852</v>
      </c>
      <c r="L211" s="175" t="s">
        <v>1509</v>
      </c>
      <c r="M211" s="22">
        <v>38479</v>
      </c>
      <c r="N211" s="213">
        <f t="shared" ca="1" si="839"/>
        <v>18.504109589041096</v>
      </c>
      <c r="O211" s="22">
        <v>45079</v>
      </c>
      <c r="P211" s="214" t="str">
        <f t="shared" si="916"/>
        <v>SI</v>
      </c>
      <c r="Q211" s="26" t="s">
        <v>855</v>
      </c>
      <c r="R211" s="22">
        <v>45079</v>
      </c>
      <c r="S211" s="21" t="s">
        <v>856</v>
      </c>
      <c r="T211" s="24" t="s">
        <v>690</v>
      </c>
      <c r="U211" s="21" t="s">
        <v>857</v>
      </c>
      <c r="V211" s="21" t="s">
        <v>858</v>
      </c>
      <c r="W211" s="21" t="s">
        <v>893</v>
      </c>
      <c r="X211" s="21"/>
      <c r="Y211" s="21" t="s">
        <v>859</v>
      </c>
      <c r="Z211" s="21" t="s">
        <v>894</v>
      </c>
      <c r="AA211" s="21" t="s">
        <v>860</v>
      </c>
      <c r="AB211" s="27" t="s">
        <v>861</v>
      </c>
      <c r="AC211" s="26" t="s">
        <v>888</v>
      </c>
      <c r="AD211" s="38" t="s">
        <v>1546</v>
      </c>
      <c r="AE211" s="26" t="s">
        <v>854</v>
      </c>
      <c r="AF211" s="26" t="s">
        <v>854</v>
      </c>
      <c r="AG211" s="23" t="s">
        <v>864</v>
      </c>
      <c r="AH211" s="23" t="s">
        <v>864</v>
      </c>
      <c r="AI211" s="24" t="s">
        <v>863</v>
      </c>
      <c r="AJ211" s="23" t="s">
        <v>864</v>
      </c>
      <c r="AK211" s="220" t="str">
        <f>IF(AND(AD211="",AE211="",AF211="",AG211="",AH211="",AI211="",AJ211=""),"",IF(OR(Tabla1[[#This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EVALUACIÓN",IF(AND(O211="",R211=""),"",IF(AND(OR(O211&gt;0,R211&gt;0),NG211&gt;=0,NG211&lt;2),"SIN RIESGO",IF(AND(OR(O211&gt;0,R211&gt;0),NG211&gt;=2),"CON RIESGO","ASD")))))</f>
        <v>SIN RIESGO</v>
      </c>
      <c r="AL211" s="26" t="s">
        <v>864</v>
      </c>
      <c r="AM211" s="26" t="s">
        <v>864</v>
      </c>
      <c r="AN211" s="26" t="s">
        <v>864</v>
      </c>
      <c r="AO211" s="26" t="s">
        <v>864</v>
      </c>
      <c r="AP211" s="26" t="s">
        <v>864</v>
      </c>
      <c r="AQ211" s="26" t="s">
        <v>864</v>
      </c>
      <c r="AR211" s="26" t="s">
        <v>864</v>
      </c>
      <c r="AS211" s="21">
        <v>2</v>
      </c>
      <c r="AT211" s="21">
        <v>2</v>
      </c>
      <c r="AU211" s="21">
        <v>0</v>
      </c>
      <c r="AV211" s="26" t="s">
        <v>864</v>
      </c>
      <c r="AW211" s="21">
        <v>0</v>
      </c>
      <c r="AX211" s="26" t="s">
        <v>864</v>
      </c>
      <c r="AY211" s="26" t="s">
        <v>864</v>
      </c>
      <c r="AZ211" s="26" t="s">
        <v>864</v>
      </c>
      <c r="BA211" s="26" t="s">
        <v>864</v>
      </c>
      <c r="BB211" s="26" t="s">
        <v>864</v>
      </c>
      <c r="BC211" s="26" t="s">
        <v>864</v>
      </c>
      <c r="BD211" s="26" t="s">
        <v>864</v>
      </c>
      <c r="BE211" s="26" t="s">
        <v>864</v>
      </c>
      <c r="BF211" s="26" t="s">
        <v>864</v>
      </c>
      <c r="BG211" s="26" t="s">
        <v>864</v>
      </c>
      <c r="BH211" s="26" t="s">
        <v>864</v>
      </c>
      <c r="BI211" s="26" t="s">
        <v>864</v>
      </c>
      <c r="BJ211" s="26" t="s">
        <v>864</v>
      </c>
      <c r="BK211" s="26" t="s">
        <v>864</v>
      </c>
      <c r="BL211" s="26" t="s">
        <v>864</v>
      </c>
      <c r="BM211" s="26" t="s">
        <v>864</v>
      </c>
      <c r="BN211" s="22">
        <v>44377</v>
      </c>
      <c r="BO211" s="22">
        <v>44987</v>
      </c>
      <c r="BP211" s="21" t="s">
        <v>1380</v>
      </c>
      <c r="BQ211" s="222">
        <f t="shared" si="840"/>
        <v>20.6</v>
      </c>
      <c r="BR211" s="223">
        <f t="shared" si="841"/>
        <v>44995</v>
      </c>
      <c r="BS211" s="224">
        <f t="shared" si="842"/>
        <v>12</v>
      </c>
      <c r="BT211" s="216" t="str">
        <f t="shared" si="843"/>
        <v>II TRIM</v>
      </c>
      <c r="BU211" s="214">
        <f t="shared" ca="1" si="925"/>
        <v>34</v>
      </c>
      <c r="BV211" s="25" t="s">
        <v>988</v>
      </c>
      <c r="BW211" s="22">
        <v>45121</v>
      </c>
      <c r="BX211" s="28">
        <v>18</v>
      </c>
      <c r="BY211" s="28"/>
      <c r="BZ211" s="22"/>
      <c r="CA211" s="21"/>
      <c r="CB211" s="26" t="s">
        <v>864</v>
      </c>
      <c r="CC211" s="26" t="s">
        <v>864</v>
      </c>
      <c r="CD211" s="26"/>
      <c r="CE211" s="26" t="s">
        <v>864</v>
      </c>
      <c r="CF211" s="22" t="s">
        <v>1517</v>
      </c>
      <c r="CG211" s="21">
        <v>1.54</v>
      </c>
      <c r="CH211" s="21">
        <v>49.9</v>
      </c>
      <c r="CI211" s="214">
        <f t="shared" si="845"/>
        <v>21.040647664024288</v>
      </c>
      <c r="CJ211" s="225" t="e">
        <f>IF(AND(CI211&lt;10,CH211="SD"),"SIN DATO PESO PREGESTACION O I TRIM",IF(AND(OR(R211&gt;0,O211&gt;0),CI211="X"),"INGRESAR DATO DE PESO",IF(CI211="SD","INGRESAR DATO DE TALLA Y PESO",IF(AND(OR(Tabla1[[#This Row],[MOMENTO EN QUE SE REALIZA EL PESO AL INGRESO A CPN]]="PREGESTACIÓN",NZ211="Menor"),CI211&lt;18.5),"BAJO PESO",IF(AND(OR(Tabla1[[#This Row],[MOMENTO EN QUE SE REALIZA EL PESO AL INGRESO A CPN]]="PREGESTACIÓN",NZ211="Menor"),CI211&lt;25),"NORMAL",IF(AND(OR(Tabla1[[#This Row],[MOMENTO EN QUE SE REALIZA EL PESO AL INGRESO A CPN]]="PREGESTACIÓN",NZ211="Menor"),CI211&lt;30),"SOBREPESO",IF(AND(OR(Tabla1[[#This Row],[MOMENTO EN QUE SE REALIZA EL PESO AL INGRESO A CPN]]="PREGESTACIÓN",NZ211="Menor"),CI211&gt;=30,CI211&lt;50),"OBESIDAD",IF(AND(BS211&gt;0,Tabla1[[#This Row],[MOMENTO EN QUE SE REALIZA EL PESO AL INGRESO A CPN]]="GESTACIÓN"),HLOOKUP(NZ211,$OA$2:PH211,NY211),""))))))))</f>
        <v>#REF!</v>
      </c>
      <c r="CK211" s="212">
        <f t="shared" si="846"/>
        <v>45164</v>
      </c>
      <c r="CL211" s="21">
        <v>51.1</v>
      </c>
      <c r="CM211" s="214">
        <f t="shared" si="847"/>
        <v>21.54663518299882</v>
      </c>
      <c r="CN211" s="216">
        <f t="shared" si="848"/>
        <v>24</v>
      </c>
      <c r="CO211" s="216" t="e">
        <f>IF(PI211="","",IF(PI211&gt;0,HLOOKUP(PI211,$PJ$2:QQ211,NY211),""))</f>
        <v>#REF!</v>
      </c>
      <c r="CP211" s="21">
        <v>17</v>
      </c>
      <c r="CQ211" s="216" t="e">
        <f>IF(QR211="Menor","NO APLICA-MENOR 13 SEM",IF(AND(CC211="SI",CN211&gt;23),"NO APLICA- GEMELAR",IF(QR211="","",IF(QR211&gt;0,HLOOKUP(QR211,$QS$2:RU211,NY211),""))))</f>
        <v>#REF!</v>
      </c>
      <c r="CR211" s="21"/>
      <c r="CS211" s="21"/>
      <c r="CT211" s="217" t="str">
        <f>IF(R211="","",IF(AND(BS211&gt;1,BS211&lt;12,Tabla1[[#This Row],[T.A. SISTOLICA - ANTES DE SEMANA 12]]="",Tabla1[[#This Row],[T.A. DIASTOLICA - ANTES DE SEMANA 12]]=""),"REGISTRE DATO TA ANTES SEMANA 12",IF(AND(BS211&gt;11,BS211&lt;43,Tabla1[[#This Row],[T.A. SISTOLICA - ANTES DE SEMANA 12]]="",Tabla1[[#This Row],[T.A. DIASTOLICA - ANTES DE SEMANA 12]]=""),"NO APLICA REGISTRO TA-INGRESO TARDIO",IF(AND(OR(O211&gt;0,R211&gt;0),OR(CR211&gt;=140,CS211&gt;=90)),"DEFINIR ESTADIO HTA",IF(AND(OR(O211&gt;0,R211&gt;0),AND(CR211&gt;120,CR211&lt;=139)),"PRE HTA SEGUIMIENTO",IF(AND(OR(O211&gt;0,R211&gt;0),AND(CS211&gt;80,CS211&lt;=89)),"PRE HTA SEGUIMIENTO",IF(AND(OR(O211&gt;0,R211&gt;0),AND(CR211&gt;=80,CR211&lt;=120)),"APARENTEMENTE NORMAL",IF(AND(OR(O211&gt;0,R211&gt;0),AND(CS211&gt;=50,CS211&lt;=80)),"APARENTEMENTE NORMAL",IF(AND(OR(O211&gt;0,R211&gt;0),AND(CR211&gt;1,CR211&lt;=70),AND(CS211&gt;1,CS211&lt;=40)),"HIPOTENSIÓN","")))))))))</f>
        <v>NO APLICA REGISTRO TA-INGRESO TARDIO</v>
      </c>
      <c r="CU211" s="21"/>
      <c r="CV211" s="21"/>
      <c r="CW211" s="217" t="str">
        <f>IF(R211="","",IF(AND(CN211&gt;19,CN211&lt;27,Tabla1[[#This Row],[T.A. SISTOLICA (Entre semana 20 y 26)]]="",Tabla1[[#This Row],[T.A. DIATOLICA (Entre semana 20 y 26)]]=""),"ACUDE A CONTROL SEM 20 A 26 REGISTRE TA AHORA",IF(AND(BS211&gt;1,BS211&lt;27,BU211&gt;19,Tabla1[[#This Row],[T.A. SISTOLICA (Entre semana 20 y 26)]]="",Tabla1[[#This Row],[T.A. DIATOLICA (Entre semana 20 y 26)]]=""),"COMPLETE REGISTRO TA CONTROL SEM 20 A26 ",IF(AND(BS211&gt;26,BS211&lt;43,Tabla1[[#This Row],[T.A. SISTOLICA (Entre semana 20 y 26)]]="",Tabla1[[#This Row],[T.A. DIATOLICA (Entre semana 20 y 26)]]=""),"NO APLICA REGISTRO TA-INGRESO TARDIO",IF(AND(OR(O211&gt;0,R211&gt;0),OR(CU211&gt;=140,CV211&gt;=90)),"ALTO RIESGO PREECLAMPSIA,DEFINIR ESTADIO HTA",IF(AND(OR(O211&gt;0,R211&gt;0),AND(CU211&gt;120,CU211&lt;=139)),"PRE HTA SEGUIMIENTO,RIESGO HIPERTENSION INDUCIDA POR EL EMBARAZO",IF(AND(OR(O211&gt;0,R211&gt;0),AND(CV211&gt;80,CV211&lt;=89)),"PRE HTA SEGUIMIENTO, RIESGO HIPERTENSION INDUCIDA POR EL EMBARAZO",IF(AND(OR(O211&lt;&gt;"",R211&lt;&gt;""),CS211&lt;&gt;"",CV211&lt;&gt;"",CS211&lt;=CV211),"VIGILAR CIFRAS PRESION ARTERIAL",IF(AND(OR(O211&gt;0,R211&gt;0),AND(CU211&gt;120,CU211&lt;=139)),"PRE HTA SEGUIMIENTO",IF(AND(OR(O211&gt;0,R211&gt;0),AND(CU211&gt;1,CU211&lt;=70),AND(CV211&gt;1,CV211&lt;=40)),"HIPOTENSIÓN",IF(AND(OR(O211&lt;&gt;"",R211&lt;&gt;""),CS211&lt;&gt;"",CV211&lt;&gt;"",CS211&gt;CV211),"APARENTEMENTE NORMAL",IF(AND(OR(O211&gt;0,R211&gt;0),AND(CU211&gt;=80,CU211&lt;=120)),"APARENTEMENTE NORMAL",IF(AND(OR(O211&gt;0,R211&gt;0),AND(CV211&gt;=50,CV211&lt;=80)),"APARENTEMENTE NORMAL","")))))))))))))</f>
        <v>ACUDE A CONTROL SEM 20 A 26 REGISTRE TA AHORA</v>
      </c>
      <c r="CX211" s="21"/>
      <c r="CY211" s="21"/>
      <c r="CZ211" s="216" t="str">
        <f>IF(R211="","",IF(AND(CN211&gt;31,CN211&lt;35,CX211="",CY211=""),"ACUDE A CONTROL SEM 30 A 34- REGISTRE AHORA",IF(AND(BS211&gt;34,BS211&lt;43,CX212="",CY212=""),"NO APLICA-INGRESO TARDIO",IF(AND(OR(O211&gt;0,R211&gt;0),OR(CX211&gt;=140,CY211&gt;=90)),"ESTUDIO INMEDIATO HTA PARA DESCARTAR PREECLAMSIA",IF(AND(OR(O211&gt;0,R211&gt;0),AND(CX211&gt;=130,CX211&lt;=139)),"PRE HTA,RIESGO ALTO PREECLAMPSIA",IF(AND(OR(O211&gt;0,R211&gt;0),AND(CY211&gt;80,CY211&lt;=89)),"PRE HTA,RIESGO ALTO PREECLAMPSIA",IF(AND(OR(O211&gt;0,R211&gt;0),AND(CX211&gt;120,CX211&lt;=129)),"RANGO PREHIPERTENSIVO SEGUIMIENTO HTA",IF(AND(OR(O211&lt;&gt;"",R211&lt;&gt;""),CS211&lt;&gt;"",CY211&lt;&gt;"",CS211&lt;CY211),"VIGILAR CIFRAS PRESION ARTERIAL",IF(AND(OR(O211&lt;&gt;"",R211&lt;&gt;""),CS211&lt;&gt;"",CY211&lt;&gt;"",CS211=CY211),"APARENTEMENTE NORMAL",IF(AND(OR(O211&gt;0,R211&gt;0),CX211&gt;=80,CX211&lt;=120),"APARENTEMENTE NORMAL",IF(AND(OR(O211&gt;0,R211&gt;0),CY211&gt;=50,CY211&lt;=80),"APARENTEMENTE NORMAL","")))))))))))</f>
        <v/>
      </c>
      <c r="DA211" s="21">
        <v>90</v>
      </c>
      <c r="DB211" s="21">
        <v>60</v>
      </c>
      <c r="DC211" s="217" t="str">
        <f t="shared" si="849"/>
        <v>APARENTEMENTE NORMAL</v>
      </c>
      <c r="DD211" s="22">
        <v>45079</v>
      </c>
      <c r="DE211" s="22">
        <v>45079</v>
      </c>
      <c r="DF211" s="22">
        <v>45121</v>
      </c>
      <c r="DG211" s="22">
        <v>45164</v>
      </c>
      <c r="DH211" s="22"/>
      <c r="DI211" s="22"/>
      <c r="DJ211" s="22"/>
      <c r="DK211" s="22"/>
      <c r="DL211" s="22"/>
      <c r="DM211" s="22"/>
      <c r="DN211" s="22"/>
      <c r="DO211" s="22"/>
      <c r="DP211" s="22"/>
      <c r="DQ211" s="22"/>
      <c r="DR211" s="28"/>
      <c r="DS211" s="22"/>
      <c r="DT211" s="22"/>
      <c r="DU211" s="216" t="str">
        <f t="shared" ca="1" si="917"/>
        <v>PLANEAR PLAN DE PARTO</v>
      </c>
      <c r="DV211" s="226" t="str">
        <f t="shared" si="918"/>
        <v>ACTIVA INGRESO A CPN</v>
      </c>
      <c r="DW21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1" s="216" t="e">
        <f t="shared" ca="1" si="850"/>
        <v>#REF!</v>
      </c>
      <c r="DY211" s="212">
        <f>IF(R211="","",IF(R211&gt;0,MAX(Tabla1[[#This Row],[FECHA C2]:[FECHA C13]],Tabla1[[#This Row],[FECHA CONSULTA PRIMERA VEZ PROGRAMA CPN ]])))</f>
        <v>45164</v>
      </c>
      <c r="DZ211" s="216">
        <f t="shared" si="851"/>
        <v>24</v>
      </c>
      <c r="EA211" s="222">
        <f>IF(R211&gt;0,SUM(COUNTA(DF211:DQ211)+COUNTA(Tabla1[[#This Row],[FECHA CONSULTA PRIMERA VEZ PROGRAMA CPN ]])),"")</f>
        <v>3</v>
      </c>
      <c r="EB211" s="222" t="str">
        <f t="shared" si="852"/>
        <v>NO</v>
      </c>
      <c r="EC211" s="214">
        <f t="shared" si="853"/>
        <v>9</v>
      </c>
      <c r="ED211" s="227">
        <f t="shared" si="854"/>
        <v>0.33333333333333331</v>
      </c>
      <c r="EE211" s="22">
        <v>45079</v>
      </c>
      <c r="EF211" s="22">
        <v>45079</v>
      </c>
      <c r="EG211" s="22">
        <v>45079</v>
      </c>
      <c r="EH211" s="22"/>
      <c r="EI211" s="22">
        <v>45079</v>
      </c>
      <c r="EJ211" s="22"/>
      <c r="EK211" s="22"/>
      <c r="EL211" s="21"/>
      <c r="EM211" s="21">
        <v>13.5</v>
      </c>
      <c r="EN211" s="22">
        <v>45083</v>
      </c>
      <c r="EO211" s="222">
        <f t="shared" si="855"/>
        <v>12.571428571428571</v>
      </c>
      <c r="EP211" s="214" t="str">
        <f t="shared" si="856"/>
        <v>NORMAL- SUMINISTRAR SULFATO FERROSO</v>
      </c>
      <c r="EQ211" s="216" t="str">
        <f t="shared" si="857"/>
        <v>I TRIM</v>
      </c>
      <c r="ER211" s="24"/>
      <c r="ES211" s="22"/>
      <c r="ET211" s="29" t="str">
        <f t="shared" ca="1" si="919"/>
        <v>TOMA DE HEMOGLOBINA TARDÍA</v>
      </c>
      <c r="EU211" s="25" t="str">
        <f t="shared" si="858"/>
        <v/>
      </c>
      <c r="EV211" s="24" t="s">
        <v>1510</v>
      </c>
      <c r="EW211" s="32">
        <v>45083</v>
      </c>
      <c r="EX211" s="22"/>
      <c r="EY211" s="29">
        <f t="shared" si="691"/>
        <v>12.571428571428571</v>
      </c>
      <c r="EZ211" s="25" t="str">
        <f t="shared" si="692"/>
        <v>SIN RIESGO DE ISOINMUNIZACIÓN</v>
      </c>
      <c r="FA211" s="21">
        <v>72</v>
      </c>
      <c r="FB211" s="32">
        <v>45083</v>
      </c>
      <c r="FC211" s="29">
        <f t="shared" si="859"/>
        <v>12.571428571428571</v>
      </c>
      <c r="FD211" s="29"/>
      <c r="FE211" s="29"/>
      <c r="FF211" s="29"/>
      <c r="FG211" s="21" t="str">
        <f t="shared" ca="1" si="860"/>
        <v>TOMAR PTOG</v>
      </c>
      <c r="FH211" s="31"/>
      <c r="FI211" s="29" t="str">
        <f t="shared" si="861"/>
        <v>TOMAR EXAMEN</v>
      </c>
      <c r="FJ211" s="22" t="s">
        <v>867</v>
      </c>
      <c r="FK211" s="22">
        <v>45083</v>
      </c>
      <c r="FL211" s="29">
        <f t="shared" ca="1" si="862"/>
        <v>12.571428571428571</v>
      </c>
      <c r="FM211" s="22"/>
      <c r="FN211" s="32"/>
      <c r="FO211" s="29" t="str">
        <f t="shared" ca="1" si="920"/>
        <v>PIERDE TOMA DE TAMIZAJE</v>
      </c>
      <c r="FP211" s="22"/>
      <c r="FQ211" s="32"/>
      <c r="FR211" s="29" t="str">
        <f t="shared" ca="1" si="921"/>
        <v>EN RANGO PARA TOMAR EXAMEN</v>
      </c>
      <c r="FS211" s="22"/>
      <c r="FT211" s="32"/>
      <c r="FU211" s="29" t="str">
        <f>IF(AND(FJ211="",FM211="",FP211="",FS211=""),"",IF(OR(OR(Tabla1[[#This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1" s="28"/>
      <c r="FW211" s="22"/>
      <c r="FX211" s="29" t="str">
        <f t="shared" si="863"/>
        <v>TOMAR EXAMEN</v>
      </c>
      <c r="FY211" s="22" t="s">
        <v>868</v>
      </c>
      <c r="FZ211" s="32">
        <v>45083</v>
      </c>
      <c r="GA211" s="29">
        <f t="shared" ref="GA211:GA248" ca="1" si="936">IF(AND(BT211="ERROR FUM O INGRESO",FZ211&gt;0),"ERROR FUM O INGRESO",IF(AND(FZ211="",R211="",O211=""),"",IF(OR(AND(FZ211&lt;&gt;"",FZ211&lt;RW211),AND(FZ211&lt;&gt;"",AND(SUM((FZ211-RW211)/7)&gt;=13,SUM((FZ211-RW211)/7)&lt;27))),"REGISTRAR EN II TRIMESTRE",IF(OR(AND(FZ211&lt;&gt;"",FZ211&lt;RW211),AND(FZ211&lt;&gt;"",AND(SUM((FZ211-RW211)/7)&gt;=27,SUM((FZ211-RW211)/7)&lt;44))),"REGISTRAR EN III TRIMESTRE",IF(AND(FZ211="",OR(O211&gt;0,R211&gt;0),AND(BU211&gt;1,BU211&lt;10)),"EN RANGO PARA TOMAR EXAMEN",IF(AND(FZ211="",OR(O211&gt;0,R211&gt;0),AND(BU211&gt;=10,BU211&lt;12)),"TOMA INMEDIATA DE TAMIZAJE",IF(AND(FZ211="",BS211&lt;12,OR(O211&gt;0,R211&gt;0)),"PIERDE TOMA DE TAMIZAJE",IF(AND(FZ211="",OR(O211&gt;0,R211&gt;0),AND(BS211&gt;=13,BS211&lt;44)),"NO APLICA-INGRESO TARDIO",IF(FZ211&gt;0,SUM(FZ211-RW211)/7,"")))))))))</f>
        <v>12.571428571428571</v>
      </c>
      <c r="GB211" s="22"/>
      <c r="GC211" s="32"/>
      <c r="GD211" s="29" t="str">
        <f t="shared" ref="GD211:GD229" ca="1" si="937">IF(AND(BT211="ERROR FUM O INGRESO",GC211&gt;0),"ERROR FUM O INGRESO",IF(AND(GC211="",R211="",O211=""),"",IF(AND(GC211&lt;&gt;"",GC211&lt;RW211), "INCOHERENCIA FUM Y FECHA TAMIZAJE",IF(AND(GC211="",DV211="ACTIVA INGRESO A CPN",AND(BU211&gt;0,BU211&lt;13)),"EN ESPERA-ESTÁ I TRIM", IF(AND(GC211="",AND(BS211&gt;0, BS211&lt;12),OR(O211&gt;0,R211&gt;0),AND(IP211&gt;0,IP211&lt;13)),"NO APLICA-SALIO DEL PROGRAMA I TRIM",IF(AND(GC211&lt;&gt;"",AND(SUM((GC211-RW211)/7)&gt;0,SUM((GC211-RW211)/7)&lt;13)),"REGISTRAR EN I TRIMESTRE",IF(AND(GC211&lt;&gt;"",AND(SUM((GC211-RW211)/7)&gt;=27,SUM((GC211-RW211)/7)&lt;44)),"REGISTRAR EN III TRIMESTRE",IF(AND(GC211="",OR(O211&gt;0,R211&gt;0),AND(BU211&gt;=12,BU211&lt;25),DV211="ACTIVA INGRESO A CPN"),"EN RANGO PARA TOMAR EXAMEN",IF(AND(GC211="",OR(O211&gt;0,R211&gt;0),AND(BU211&gt;=25,BU211&lt;27),DV211="ACTIVA INGRESO A CPN"),"TOMA INMEDIATA DE TAMIZAJE",IF(AND(GC211="",OR(O211&gt;0,R211&gt;0),AND(BS211&gt;=27,BS211&lt;43)),"NO APLICA-INGRESO TARDIO",IF(AND(GC211="",BS211&lt;27),"PIERDE TOMA DE TAMIZAJE",IF(GC211&gt;0,SUM(GC211-RW211)/7,""))))))))))))</f>
        <v>PIERDE TOMA DE TAMIZAJE</v>
      </c>
      <c r="GE211" s="22"/>
      <c r="GF211" s="22"/>
      <c r="GG211" s="29" t="str">
        <f t="shared" ca="1" si="923"/>
        <v>EN RANGO PARA TOMAR EXAMEN</v>
      </c>
      <c r="GH211" s="22"/>
      <c r="GI211" s="29"/>
      <c r="GJ211" s="22"/>
      <c r="GK211" s="22"/>
      <c r="GL211" s="22"/>
      <c r="GM211" s="22"/>
      <c r="GN211" s="28"/>
      <c r="GO211" s="22"/>
      <c r="GP211" s="29" t="str">
        <f t="shared" si="864"/>
        <v>TOMAR EXAMEN</v>
      </c>
      <c r="GQ211" s="28" t="s">
        <v>880</v>
      </c>
      <c r="GR211" s="28" t="s">
        <v>869</v>
      </c>
      <c r="GS211" s="22" t="str">
        <f t="shared" si="726"/>
        <v>SE EXCLUYE INFECCION</v>
      </c>
      <c r="GT211" s="22">
        <v>45083</v>
      </c>
      <c r="GU211" s="29">
        <f t="shared" si="865"/>
        <v>13.714285714285714</v>
      </c>
      <c r="GV211" s="21" t="str">
        <f t="shared" si="866"/>
        <v>II TRIM</v>
      </c>
      <c r="GW211" s="28"/>
      <c r="GX211" s="30"/>
      <c r="GY211" s="21"/>
      <c r="GZ211" s="21"/>
      <c r="HA211" s="21"/>
      <c r="HB211" s="21"/>
      <c r="HC211" s="21"/>
      <c r="HD211" s="21"/>
      <c r="HE211" s="21"/>
      <c r="HF211" s="22"/>
      <c r="HG211" s="22" t="str">
        <f>IF(OR(O211&gt;0,R211&gt;0),CONCATENATE(IF(Tabla1[[#This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1" s="22" t="e">
        <f t="shared" si="867"/>
        <v>#REF!</v>
      </c>
      <c r="HI211" s="22" t="e">
        <f t="shared" ca="1" si="868"/>
        <v>#REF!</v>
      </c>
      <c r="HJ211" s="21"/>
      <c r="HK211" s="21" t="str">
        <f t="shared" si="869"/>
        <v>SIN ANTECEDENTES DE RIESGO</v>
      </c>
      <c r="HL211" s="24" t="str">
        <f t="shared" si="870"/>
        <v>APARENTEMENTE NORMAL</v>
      </c>
      <c r="HM211" s="21" t="e">
        <f t="shared" ca="1" si="871"/>
        <v>#REF!</v>
      </c>
      <c r="HN211" s="30" t="str">
        <f t="shared" si="924"/>
        <v>ACTIVA INGRESO A CPN</v>
      </c>
      <c r="HO211" s="21"/>
      <c r="HP211" s="21"/>
      <c r="HQ211" s="349"/>
      <c r="HR211" s="21" t="str">
        <f>IF(R211="","",IF(Tabla1[[#This Row],[ALARMA FACTORES DE RIESGO COMPLICACIONES HIPERTENSIVAS3]]="SIN ANTECEDENTES DE RIESGO","No Aplica para suministro de ASA",IF(AND(Tabla1[[#This Row],[FECHA INICIO DE SUMINISTRO DE ASA]]&gt;0,RV211&lt;12),"Inicia ASA ANTES de Sem 12",IF(AND(RV211&gt;11,RV211&lt;17,OR(HK211="RIESGO ALTO DE COMPLICACIONES HIPERTENSIVAS VER MANEJO GUIA SUMINISTRO ASA Y CALCIO",HK211="RIESGO MODERADO (2 O MAS CRITERIOS) VER MANEJO GUIA SUMINISTRO ASA Y CALCIO")),"Inicio oportuno de ASA",IF(AND(RV211&gt;12,OR(HK211="RIESGO ALTO DE COMPLICACIONES HIPERTENSIVAS VER MANEJO GUIA SUMINISTRO ASA Y CALCIO",HK211="RIESGO MODERADO (2 O MAS CRITERIOS) VER MANEJO GUIA SUMINISTRO ASA Y CALCIO")),"Inicio no oportuno mayor a 16 semanas",IF(AND(BU211&lt;12,OR(HK211="RIESGO ALTO DE COMPLICACIONES HIPERTENSIVAS VER MANEJO GUIA SUMINISTRO ASA Y CALCIO",HK211="RIESGO MODERADO (2 O MAS CRITERIOS) VER MANEJO GUIA SUMINISTRO ASA Y CALCIO")),"Pendiente Inicio de ASA a la semana 12",IF(AND(BU211&gt;11,BU211&lt;17,OR(HK211="RIESGO ALTO DE COMPLICACIONES HIPERTENSIVAS VER MANEJO GUIA SUMINISTRO ASA Y CALCIO",HK211="RIESGO MODERADO (2 O MAS CRITERIOS) VER MANEJO GUIA SUMINISTRO ASA Y CALCIO")),"Iniciar de inmediato ASA",IF(AND(BU211&gt;16,OR(HK211="RIESGO ALTO DE COMPLICACIONES HIPERTENSIVAS VER MANEJO GUIA SUMINISTRO ASA Y CALCIO",HK211="RIESGO MODERADO (2 O MAS CRITERIOS) VER MANEJO GUIA SUMINISTRO ASA Y CALCIO")),"Pierde Oportunidad, Inicio tardío de ASA","XXXXX"))))))))</f>
        <v>No Aplica para suministro de ASA</v>
      </c>
      <c r="HS211" s="22"/>
      <c r="HT211" s="22"/>
      <c r="HU211" s="22"/>
      <c r="HV211" s="22"/>
      <c r="HW211" s="22"/>
      <c r="HX211" s="22"/>
      <c r="HY211" s="22"/>
      <c r="HZ211" s="28" t="str">
        <f t="shared" si="872"/>
        <v>PENDIENTE CONSULTA</v>
      </c>
      <c r="IA211" s="26"/>
      <c r="IB211" s="26"/>
      <c r="IC211" s="22"/>
      <c r="ID211" s="22"/>
      <c r="IE211" s="22" t="str">
        <f t="shared" ca="1" si="873"/>
        <v>INASISTENTE</v>
      </c>
      <c r="IF211" s="22"/>
      <c r="IG211" s="22">
        <f t="shared" si="874"/>
        <v>45275</v>
      </c>
      <c r="IH211" s="29">
        <f t="shared" ca="1" si="875"/>
        <v>42</v>
      </c>
      <c r="II211" s="22" t="str">
        <f t="shared" ca="1" si="876"/>
        <v>PENDIENTE</v>
      </c>
      <c r="IJ211" s="22"/>
      <c r="IK211" s="21"/>
      <c r="IL211" s="21"/>
      <c r="IM211" s="34"/>
      <c r="IN211" s="22"/>
      <c r="IO211" s="21"/>
      <c r="IP211" s="29" t="str">
        <f t="shared" si="877"/>
        <v/>
      </c>
      <c r="IQ211" s="35"/>
      <c r="IR211" s="21"/>
      <c r="IS211" s="21"/>
      <c r="IT211" s="21"/>
      <c r="IU211" s="21"/>
      <c r="IV211" s="21"/>
      <c r="IW211" s="21"/>
      <c r="IX211" s="21"/>
      <c r="IY211" s="21"/>
      <c r="IZ211" s="21"/>
      <c r="JA211" s="21"/>
      <c r="JB211" s="30"/>
      <c r="JC211" s="21"/>
      <c r="JD211" s="36"/>
      <c r="JE211" s="21" t="str">
        <f t="shared" si="878"/>
        <v/>
      </c>
      <c r="JF211" s="30"/>
      <c r="JG211" s="21"/>
      <c r="JH211" s="21"/>
      <c r="JI211" s="21"/>
      <c r="JJ211" s="30"/>
      <c r="JK211" s="22"/>
      <c r="JL211" s="22"/>
      <c r="JM211" s="21"/>
      <c r="JN211" s="36"/>
      <c r="JO211" s="21" t="str">
        <f t="shared" si="879"/>
        <v/>
      </c>
      <c r="JP211" s="22"/>
      <c r="JQ211" s="21"/>
      <c r="JR211" s="21"/>
      <c r="JS211" s="21"/>
      <c r="JT211" s="30"/>
      <c r="JU211" s="22"/>
      <c r="JV211" s="22"/>
      <c r="JW211" s="33"/>
      <c r="JX211" s="28" t="str">
        <f t="shared" si="880"/>
        <v/>
      </c>
      <c r="JY211" s="33"/>
      <c r="JZ211" s="28" t="str">
        <f t="shared" si="881"/>
        <v/>
      </c>
      <c r="KA211" s="21"/>
      <c r="KB211" s="21"/>
      <c r="KC211" s="21"/>
      <c r="KD211" s="37"/>
      <c r="KE211" s="28"/>
      <c r="KF211" s="28"/>
      <c r="KG211" s="28"/>
      <c r="KH211" s="39"/>
      <c r="KI211" s="39"/>
      <c r="KJ211" s="66"/>
      <c r="KK211" s="39"/>
      <c r="KL211" s="39"/>
      <c r="KM211" s="66"/>
      <c r="KN211" s="39"/>
      <c r="KO211" s="39"/>
      <c r="KP211" s="39"/>
      <c r="KQ211" s="39"/>
      <c r="KR211" s="39"/>
      <c r="KS211" s="39"/>
      <c r="KT211" s="39"/>
      <c r="KU211" s="38"/>
      <c r="KV211" s="38"/>
      <c r="KW211" s="38"/>
      <c r="KX211" s="38"/>
      <c r="KY211" s="38"/>
      <c r="KZ211" s="38"/>
      <c r="LA211" s="38"/>
      <c r="LB211" s="38"/>
      <c r="LC211" s="38"/>
      <c r="LD211" s="38"/>
      <c r="LE211" s="38"/>
      <c r="LF211" s="38"/>
      <c r="LG211" s="38"/>
      <c r="LH211" s="38"/>
      <c r="LI211" s="38"/>
      <c r="LJ211" s="38"/>
      <c r="LK211" s="38"/>
      <c r="LL211" s="38"/>
      <c r="LM211" s="38"/>
      <c r="LN211" s="38"/>
      <c r="LO211" s="38"/>
      <c r="LP211" s="38"/>
      <c r="LQ211" s="38"/>
      <c r="LR211" s="38"/>
      <c r="LS211" s="38"/>
      <c r="LT211" s="38"/>
      <c r="LU211" s="38"/>
      <c r="LV211" s="38"/>
      <c r="LW211" s="38"/>
      <c r="LX211" s="38"/>
      <c r="LY211" s="38"/>
      <c r="LZ211" s="38"/>
      <c r="MA211" s="38"/>
      <c r="MB211" s="38"/>
      <c r="MC211" s="38"/>
      <c r="MD211" s="38"/>
      <c r="ME211" s="38"/>
      <c r="MF211" s="38"/>
      <c r="MG211" s="38"/>
      <c r="MH211" s="43">
        <f t="shared" si="882"/>
        <v>0</v>
      </c>
      <c r="MI211" s="43" t="str">
        <f t="shared" si="926"/>
        <v/>
      </c>
      <c r="MJ211" s="43" t="str">
        <f t="shared" si="884"/>
        <v/>
      </c>
      <c r="MK211" s="43">
        <f t="shared" si="885"/>
        <v>0</v>
      </c>
      <c r="ML21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1" s="43">
        <f t="shared" si="927"/>
        <v>12</v>
      </c>
      <c r="MN211" s="43">
        <f t="shared" si="928"/>
        <v>6</v>
      </c>
      <c r="MO211" s="43">
        <f t="shared" si="929"/>
        <v>2023</v>
      </c>
      <c r="MP211" s="43" t="str">
        <f t="shared" si="889"/>
        <v>II TRIMESTRE AÑO</v>
      </c>
      <c r="MQ211" s="43">
        <f t="shared" si="930"/>
        <v>17.808256679807268</v>
      </c>
      <c r="MR211" s="43">
        <f t="shared" si="891"/>
        <v>0</v>
      </c>
      <c r="MS211" s="43" t="str">
        <f t="shared" si="892"/>
        <v>DE 14 A 19AÑOS</v>
      </c>
      <c r="MT211" s="43">
        <f t="shared" si="893"/>
        <v>0</v>
      </c>
      <c r="MU211" s="43">
        <f t="shared" si="894"/>
        <v>0</v>
      </c>
      <c r="MV211" s="43">
        <f t="shared" si="895"/>
        <v>0</v>
      </c>
      <c r="MW211" s="43">
        <f t="shared" si="896"/>
        <v>0</v>
      </c>
      <c r="MX211" s="43" t="str">
        <f t="shared" si="897"/>
        <v/>
      </c>
      <c r="MY211" s="43" t="str">
        <f t="shared" ca="1" si="898"/>
        <v/>
      </c>
      <c r="MZ211" s="43" t="str">
        <f t="shared" si="899"/>
        <v/>
      </c>
      <c r="NA211" s="43" t="str">
        <f t="shared" si="900"/>
        <v/>
      </c>
      <c r="NB211" s="43" t="str">
        <f t="shared" si="901"/>
        <v/>
      </c>
      <c r="NC211" s="43" t="str">
        <f t="shared" si="902"/>
        <v/>
      </c>
      <c r="ND211" s="43">
        <f t="shared" ca="1" si="931"/>
        <v>0</v>
      </c>
      <c r="NE211" s="43">
        <f>IF(OR(O211&gt;0,R211&gt;0),SUM(COUNTIF(Tabla1[[#This Row],[AÑOS AL INICIO5 CPN]],"&gt;=40"),COUNTIF(AS211,"0"),COUNTIF(AR211,"SI"),COUNTIF(CC211,"SI"),COUNTIF(BQ211,"&gt;119"),COUNTIF(CI211,"&gt;=35")),"")</f>
        <v>0</v>
      </c>
      <c r="NF211" s="43" t="str">
        <f t="shared" si="932"/>
        <v/>
      </c>
      <c r="NG211" s="43">
        <f t="shared" si="905"/>
        <v>0</v>
      </c>
      <c r="NH211" s="43">
        <f t="shared" si="906"/>
        <v>126</v>
      </c>
      <c r="NI21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CPN",P211="NO"),"Z",IF(AND(Tabla1[[#This Row],[CITA PROXIMO CONTROL]]="CITA MANUAL",Tabla1[[#This Row],[GESTANTES ACTUALES]]="ACTIVA INGRESO A CPN"),"W",IF(AND(Tabla1[[#This Row],[GESTANTES ACTUALES]]="SALIO PROGRAMA",IN211=""),"S",IF(AND(Tabla1[[#This Row],[CITA PROXIMO CONTROL]]&gt;0,IN211=""),(Tabla1[[#This Row],[CITA PROXIMO CONTROL]]-TODAY()),"SD"))))))))</f>
        <v>#REF!</v>
      </c>
      <c r="NJ211" s="43">
        <f>MONTH(Tabla1[[#This Row],[FECHA DE SALIDA  DEL PROGRAMA]])</f>
        <v>1</v>
      </c>
      <c r="NK211" s="43">
        <f>YEAR(Tabla1[[#This Row],[FECHA DE SALIDA  DEL PROGRAMA]])</f>
        <v>1900</v>
      </c>
      <c r="NL211" s="43" t="str">
        <f t="shared" si="933"/>
        <v>X</v>
      </c>
      <c r="NM211" s="43" t="str">
        <f t="shared" ref="NM211:NM248" si="938">IF(AND(O211&gt;0,R211=""),"NO CPN",IF(AND(O211="",R211=""),"",IF(AND(EN211&lt;&gt;"",EX211&lt;&gt;"",FB211&lt;&gt;"",FK211&lt;&gt;"",FW211&lt;&gt;"",FZ211&lt;&gt;"",GO211&lt;&gt;"",GQ211&lt;&gt;"",GR211&lt;&gt;""),"SI","NO")))</f>
        <v>NO</v>
      </c>
      <c r="NN211" s="43" t="str">
        <f ca="1">IF(AND(O211&gt;0,R211=""),"NO CPN",IF(AND(O211="",R211=""),"",IF(AND(R211&gt;0,Tabla1[[#This Row],[SEMANAS DE GESTACION ACTUALIZADAS]]&lt;=12),"NO APLICA",IF(AND(FH211&lt;&gt;"",FN211&lt;&gt;""),"SI","NO"))))</f>
        <v>NO</v>
      </c>
      <c r="NO211" s="43" t="str">
        <f ca="1">IF(AND(O211&gt;0,R211=""),"NO CPN",IF(AND(O211="",R211=""),"",IF(AND(R211&gt;0,Tabla1[[#This Row],[SEMANAS DE GESTACION ACTUALIZADAS]]&lt;=27),"NO APLICA",IF(AND(ES211&lt;&gt;"",FQ211&lt;&gt;"",GF211&lt;&gt;""),"SI","NO"))))</f>
        <v>NO</v>
      </c>
      <c r="NP211" s="204" t="str">
        <f t="shared" si="909"/>
        <v>II TRIM</v>
      </c>
      <c r="NQ211" s="21" t="str">
        <f>IF(AND(IP212&gt;0,IP212&lt;37),10,IF(OR(CD212="Transversa",CD212="Oblicua"),9,IF(CC212="SI",8,IF(AND(AT212=0,AW212=0,CC212="NO",CD212="Cefálica",IP212&gt;=37,IT212="INICIO ESPONTÁNEO"),1,IF(AND(AND(AT212=0,AW212=0,CC212="NO",CD212="Cefálica",IP212&gt;=37),OR(IT212="LE HACEN INDUCCIÓN",IT212="LE HACEN CESÁREA SIN INICIO TRABAJO DE PARTO")),2,IF(AND(AT212&gt;=1,AW212=0,CC212="NO",CD212="Cefálica",IP212&gt;=37,IT212="INICIO ESPONTÁNEO"),3,IF(AND(AND(AT212&gt;=1,AW212=0,CC212="NO",CD212="Cefálica",IP212&gt;=37),OR(IT212="LE HACEN INDUCCIÓN",IT212="LE HACEN CESÁREA SIN INICIO TRABAJO DE PARTO")),4,IF(AND(AND(AT212&gt;=1,AW212&gt;=1,CC212="NO",CD212="Cefálica",IP212&gt;=37),OR(IT212="LE HACEN INDUCCIÓN",IT212="LE HACEN CESÁREA SIN INICIO TRABAJO DE PARTO",IT212="INICIO ESPONTÁNEO")),5,IF(AND(AND(AT212=0,AW212=0,CC212="NO",CD212="Podálica",IP212&gt;=1),OR(IT212="LE HACEN INDUCCIÓN",IT212="LE HACEN CESÁREA SIN INICIO TRABAJO DE PARTO",IT212="INICIO ESPONTÁNEO")),6,IF(AND(AND(AT212&gt;=1,CC212="NO",CD212="Podálica",IP212&gt;=1),OR(IT212="LE HACEN INDUCCIÓN",IT212="LE HACEN CESÁREA SIN INICIO TRABAJO DE PARTO",IT212="INICIO ESPONTÁNEO"),OR(AW212=0,AW212&gt;=1)),7,""))))))))))</f>
        <v/>
      </c>
      <c r="NR211" s="21">
        <f t="shared" ca="1" si="934"/>
        <v>2</v>
      </c>
      <c r="NS211" s="205">
        <f t="shared" ca="1" si="911"/>
        <v>1</v>
      </c>
      <c r="NT211" s="21">
        <f t="shared" ca="1" si="912"/>
        <v>1</v>
      </c>
      <c r="NU211" s="21" t="str">
        <f t="shared" ca="1" si="913"/>
        <v>INCOMPLETO</v>
      </c>
      <c r="NV211" s="21" t="str">
        <f t="shared" ca="1" si="914"/>
        <v>INCOMPLETO</v>
      </c>
      <c r="NW211" s="206" t="str">
        <f>IF(AND(O211="",R211=""),"",IF(OR(AND(Tabla1[[#This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1" s="207" t="str">
        <f t="shared" ca="1" si="935"/>
        <v>SIN VACUNAR</v>
      </c>
      <c r="NY211" s="43">
        <f>ROW(Tabla1[[#This Row],['# DE TAMIZAJES SIFILIS TOMADOS ]])</f>
        <v>211</v>
      </c>
      <c r="NZ211" s="43">
        <f t="shared" si="738"/>
        <v>12</v>
      </c>
      <c r="OA211" s="43" t="str">
        <f t="shared" si="739"/>
        <v/>
      </c>
      <c r="OB211" s="43" t="str">
        <f t="shared" si="740"/>
        <v/>
      </c>
      <c r="OC211" s="43" t="str">
        <f t="shared" si="741"/>
        <v/>
      </c>
      <c r="OD211" s="43" t="str">
        <f t="shared" si="742"/>
        <v>NORMAL</v>
      </c>
      <c r="OE211" s="43" t="str">
        <f t="shared" si="743"/>
        <v/>
      </c>
      <c r="OF211" s="43" t="str">
        <f t="shared" si="744"/>
        <v/>
      </c>
      <c r="OG211" s="43" t="str">
        <f t="shared" si="745"/>
        <v/>
      </c>
      <c r="OH211" s="43" t="str">
        <f t="shared" si="746"/>
        <v/>
      </c>
      <c r="OI211" s="43" t="str">
        <f t="shared" si="747"/>
        <v/>
      </c>
      <c r="OJ211" s="43" t="str">
        <f t="shared" si="748"/>
        <v/>
      </c>
      <c r="OK211" s="43" t="str">
        <f t="shared" si="749"/>
        <v/>
      </c>
      <c r="OL211" s="43" t="str">
        <f t="shared" si="750"/>
        <v/>
      </c>
      <c r="OM211" s="43" t="str">
        <f t="shared" si="751"/>
        <v/>
      </c>
      <c r="ON211" s="43" t="str">
        <f t="shared" si="752"/>
        <v/>
      </c>
      <c r="OO211" s="43" t="str">
        <f t="shared" si="753"/>
        <v/>
      </c>
      <c r="OP211" s="43" t="str">
        <f t="shared" si="754"/>
        <v/>
      </c>
      <c r="OQ211" s="43" t="str">
        <f t="shared" si="755"/>
        <v/>
      </c>
      <c r="OR211" s="43" t="str">
        <f t="shared" si="756"/>
        <v/>
      </c>
      <c r="OS211" s="43" t="str">
        <f t="shared" si="757"/>
        <v/>
      </c>
      <c r="OT211" s="43" t="str">
        <f t="shared" si="758"/>
        <v/>
      </c>
      <c r="OU211" s="43" t="str">
        <f t="shared" si="759"/>
        <v/>
      </c>
      <c r="OV211" s="110" t="str">
        <f t="shared" si="760"/>
        <v/>
      </c>
      <c r="OW211" s="43" t="str">
        <f t="shared" si="761"/>
        <v/>
      </c>
      <c r="OX211" s="43" t="str">
        <f t="shared" si="762"/>
        <v/>
      </c>
      <c r="OY211" s="43" t="str">
        <f t="shared" si="763"/>
        <v/>
      </c>
      <c r="OZ211" s="43" t="str">
        <f t="shared" si="764"/>
        <v/>
      </c>
      <c r="PA211" s="43" t="str">
        <f t="shared" si="765"/>
        <v/>
      </c>
      <c r="PB211" s="43" t="str">
        <f t="shared" si="766"/>
        <v/>
      </c>
      <c r="PC211" s="43" t="str">
        <f t="shared" si="767"/>
        <v/>
      </c>
      <c r="PD211" s="43" t="str">
        <f t="shared" si="768"/>
        <v/>
      </c>
      <c r="PE211" s="43" t="str">
        <f t="shared" si="769"/>
        <v/>
      </c>
      <c r="PF211" s="43" t="str">
        <f t="shared" si="770"/>
        <v/>
      </c>
      <c r="PG211" s="43" t="str">
        <f t="shared" si="771"/>
        <v/>
      </c>
      <c r="PH211" s="43" t="str">
        <f t="shared" si="772"/>
        <v/>
      </c>
      <c r="PI211" s="43">
        <f t="shared" si="773"/>
        <v>24</v>
      </c>
      <c r="PJ211" s="43" t="str">
        <f t="shared" si="774"/>
        <v/>
      </c>
      <c r="PK211" s="43" t="str">
        <f t="shared" si="775"/>
        <v/>
      </c>
      <c r="PL211" s="43" t="str">
        <f t="shared" si="776"/>
        <v/>
      </c>
      <c r="PM211" s="43" t="str">
        <f t="shared" si="777"/>
        <v/>
      </c>
      <c r="PN211" s="43" t="str">
        <f t="shared" si="778"/>
        <v/>
      </c>
      <c r="PO211" s="43" t="str">
        <f t="shared" si="779"/>
        <v/>
      </c>
      <c r="PP211" s="43" t="str">
        <f t="shared" si="780"/>
        <v/>
      </c>
      <c r="PQ211" s="43" t="str">
        <f t="shared" si="781"/>
        <v/>
      </c>
      <c r="PR211" s="43" t="str">
        <f t="shared" si="782"/>
        <v/>
      </c>
      <c r="PS211" s="43" t="str">
        <f t="shared" si="783"/>
        <v/>
      </c>
      <c r="PT211" s="43" t="str">
        <f t="shared" si="784"/>
        <v/>
      </c>
      <c r="PU211" s="43" t="str">
        <f t="shared" si="785"/>
        <v/>
      </c>
      <c r="PV211" s="43" t="str">
        <f t="shared" si="786"/>
        <v/>
      </c>
      <c r="PW211" s="43" t="str">
        <f t="shared" si="787"/>
        <v/>
      </c>
      <c r="PX211" s="43" t="str">
        <f t="shared" si="788"/>
        <v/>
      </c>
      <c r="PY211" s="43" t="str">
        <f t="shared" si="789"/>
        <v>BAJO PESO</v>
      </c>
      <c r="PZ211" s="43" t="str">
        <f t="shared" si="790"/>
        <v/>
      </c>
      <c r="QA211" s="43" t="str">
        <f t="shared" si="791"/>
        <v/>
      </c>
      <c r="QB211" s="43" t="str">
        <f t="shared" si="792"/>
        <v/>
      </c>
      <c r="QC211" s="43" t="str">
        <f t="shared" si="793"/>
        <v/>
      </c>
      <c r="QD211" s="43" t="str">
        <f t="shared" si="794"/>
        <v/>
      </c>
      <c r="QE211" s="43" t="str">
        <f t="shared" si="795"/>
        <v/>
      </c>
      <c r="QF211" s="43" t="str">
        <f t="shared" si="796"/>
        <v/>
      </c>
      <c r="QG211" s="43" t="str">
        <f t="shared" si="797"/>
        <v/>
      </c>
      <c r="QH211" s="43" t="str">
        <f t="shared" si="798"/>
        <v/>
      </c>
      <c r="QI211" s="43" t="str">
        <f t="shared" si="799"/>
        <v/>
      </c>
      <c r="QJ211" s="43" t="str">
        <f t="shared" si="800"/>
        <v/>
      </c>
      <c r="QK211" s="43" t="str">
        <f t="shared" si="801"/>
        <v/>
      </c>
      <c r="QL211" s="43" t="str">
        <f t="shared" si="802"/>
        <v/>
      </c>
      <c r="QM211" s="43" t="str">
        <f t="shared" si="803"/>
        <v/>
      </c>
      <c r="QN211" s="43" t="str">
        <f t="shared" si="804"/>
        <v/>
      </c>
      <c r="QO211" s="43" t="str">
        <f t="shared" si="805"/>
        <v/>
      </c>
      <c r="QP211" s="43" t="str">
        <f t="shared" si="806"/>
        <v/>
      </c>
      <c r="QQ211" s="43" t="str">
        <f t="shared" si="807"/>
        <v/>
      </c>
      <c r="QR211" s="43">
        <f t="shared" si="837"/>
        <v>24</v>
      </c>
      <c r="QS211" s="43"/>
      <c r="QT211" s="21" t="str">
        <f t="shared" si="808"/>
        <v/>
      </c>
      <c r="QU211" s="21" t="str">
        <f t="shared" si="809"/>
        <v/>
      </c>
      <c r="QV211" s="21" t="str">
        <f t="shared" si="810"/>
        <v/>
      </c>
      <c r="QW211" s="21" t="str">
        <f t="shared" si="811"/>
        <v/>
      </c>
      <c r="QX211" s="21" t="str">
        <f t="shared" si="812"/>
        <v/>
      </c>
      <c r="QY211" s="21" t="str">
        <f t="shared" si="813"/>
        <v/>
      </c>
      <c r="QZ211" s="21" t="str">
        <f t="shared" si="814"/>
        <v/>
      </c>
      <c r="RA211" s="21" t="str">
        <f t="shared" si="815"/>
        <v/>
      </c>
      <c r="RB211" s="21" t="str">
        <f t="shared" si="816"/>
        <v/>
      </c>
      <c r="RC211" s="21" t="str">
        <f t="shared" si="817"/>
        <v/>
      </c>
      <c r="RD211" s="21" t="str">
        <f t="shared" si="818"/>
        <v/>
      </c>
      <c r="RE211" s="21" t="str">
        <f t="shared" si="819"/>
        <v>BAJO PARA EDAD GESTACIONAL</v>
      </c>
      <c r="RF211" s="21" t="str">
        <f t="shared" si="820"/>
        <v/>
      </c>
      <c r="RG211" s="21" t="str">
        <f t="shared" si="821"/>
        <v/>
      </c>
      <c r="RH211" s="21" t="str">
        <f t="shared" si="822"/>
        <v/>
      </c>
      <c r="RI211" s="21" t="str">
        <f t="shared" si="823"/>
        <v/>
      </c>
      <c r="RJ211" s="21" t="str">
        <f t="shared" si="824"/>
        <v/>
      </c>
      <c r="RK211" s="21" t="str">
        <f t="shared" si="825"/>
        <v/>
      </c>
      <c r="RL211" s="21" t="str">
        <f t="shared" si="826"/>
        <v/>
      </c>
      <c r="RM211" s="21" t="str">
        <f t="shared" si="827"/>
        <v/>
      </c>
      <c r="RN211" s="21" t="str">
        <f t="shared" si="828"/>
        <v/>
      </c>
      <c r="RO211" s="21" t="str">
        <f t="shared" si="829"/>
        <v/>
      </c>
      <c r="RP211" s="21" t="str">
        <f t="shared" si="830"/>
        <v/>
      </c>
      <c r="RQ211" s="21" t="str">
        <f t="shared" si="831"/>
        <v/>
      </c>
      <c r="RR211" s="21" t="str">
        <f t="shared" si="832"/>
        <v/>
      </c>
      <c r="RS211" s="21" t="str">
        <f t="shared" si="833"/>
        <v/>
      </c>
      <c r="RT211" s="21" t="str">
        <f t="shared" si="834"/>
        <v/>
      </c>
      <c r="RU211" s="21" t="str">
        <f t="shared" si="835"/>
        <v/>
      </c>
      <c r="RV211" s="21">
        <f t="shared" si="836"/>
        <v>-1</v>
      </c>
      <c r="RW211" s="284">
        <f>IF(OR(Tabla1[[#This Row],[FUM FORMULA CONFIABLE]]="",Tabla1[[#This Row],[FUM FORMULA CONFIABLE]]="SD"),"",IF(Tabla1[[#This Row],[FUM FORMULA CONFIABLE]]="CORREGIDA",Tabla1[[#This Row],[FUM X ECO 1]],Tabla1[[#This Row],[FUM x AMENORREA]]))</f>
        <v>44995</v>
      </c>
      <c r="RX211" s="21">
        <f>IF(AND(Tabla1[[#This Row],[FUM X ECO 1]]="",Tabla1[[#This Row],[FUM x AMENORREA]]=""),"",IF(AND(Tabla1[[#This Row],[FUM X ECO 1]]="",Tabla1[[#This Row],[FUM x AMENORREA]]&lt;&gt;""),"X",SUM(Tabla1[[#This Row],[FUM X ECO 1]]-Tabla1[[#This Row],[FUM x AMENORREA]])))</f>
        <v>8</v>
      </c>
      <c r="RY211" s="21">
        <f t="shared" si="838"/>
        <v>1</v>
      </c>
    </row>
    <row r="212" spans="1:493" ht="45" customHeight="1" x14ac:dyDescent="0.25">
      <c r="A212" s="109"/>
      <c r="B212" s="43"/>
      <c r="C212" s="43" t="s">
        <v>845</v>
      </c>
      <c r="D212" s="124"/>
      <c r="E212" s="43" t="s">
        <v>873</v>
      </c>
      <c r="F212" s="43" t="s">
        <v>874</v>
      </c>
      <c r="G212" s="43" t="s">
        <v>1215</v>
      </c>
      <c r="H212" s="43"/>
      <c r="I212" s="109" t="s">
        <v>851</v>
      </c>
      <c r="J212" s="110">
        <v>1002849181</v>
      </c>
      <c r="K212" s="43" t="s">
        <v>852</v>
      </c>
      <c r="L212" s="175" t="s">
        <v>1509</v>
      </c>
      <c r="M212" s="22">
        <v>36747</v>
      </c>
      <c r="N212" s="213">
        <f t="shared" ca="1" si="839"/>
        <v>23.24931506849315</v>
      </c>
      <c r="O212" s="22">
        <v>45079</v>
      </c>
      <c r="P212" s="214" t="str">
        <f t="shared" si="916"/>
        <v>SI</v>
      </c>
      <c r="Q212" s="26" t="s">
        <v>855</v>
      </c>
      <c r="R212" s="22">
        <v>45079</v>
      </c>
      <c r="S212" s="21" t="s">
        <v>856</v>
      </c>
      <c r="T212" s="24" t="s">
        <v>690</v>
      </c>
      <c r="U212" s="21" t="s">
        <v>857</v>
      </c>
      <c r="V212" s="21" t="s">
        <v>858</v>
      </c>
      <c r="W212" s="21" t="s">
        <v>876</v>
      </c>
      <c r="X212" s="21"/>
      <c r="Y212" s="21" t="s">
        <v>859</v>
      </c>
      <c r="Z212" s="21" t="s">
        <v>894</v>
      </c>
      <c r="AA212" s="21" t="s">
        <v>860</v>
      </c>
      <c r="AB212" s="27" t="s">
        <v>861</v>
      </c>
      <c r="AC212" s="26" t="s">
        <v>877</v>
      </c>
      <c r="AD212" s="38" t="s">
        <v>1546</v>
      </c>
      <c r="AE212" s="26" t="s">
        <v>854</v>
      </c>
      <c r="AF212" s="26" t="s">
        <v>854</v>
      </c>
      <c r="AG212" s="23" t="s">
        <v>864</v>
      </c>
      <c r="AH212" s="23" t="s">
        <v>864</v>
      </c>
      <c r="AI212" s="24" t="s">
        <v>863</v>
      </c>
      <c r="AJ212" s="23" t="s">
        <v>864</v>
      </c>
      <c r="AK212" s="220" t="str">
        <f>IF(AND(AD212="",AE212="",AF212="",AG212="",AH212="",AI212="",AJ212=""),"",IF(OR(Tabla1[[#This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EVALUACIÓN",IF(AND(O212="",R212=""),"",IF(AND(OR(O212&gt;0,R212&gt;0),NG212&gt;=0,NG212&lt;2),"SIN RIESGO",IF(AND(OR(O212&gt;0,R212&gt;0),NG212&gt;=2),"CON RIESGO","ASD")))))</f>
        <v>SIN RIESGO</v>
      </c>
      <c r="AL212" s="23" t="s">
        <v>864</v>
      </c>
      <c r="AM212" s="26" t="s">
        <v>864</v>
      </c>
      <c r="AN212" s="26" t="s">
        <v>864</v>
      </c>
      <c r="AO212" s="26" t="s">
        <v>864</v>
      </c>
      <c r="AP212" s="26" t="s">
        <v>864</v>
      </c>
      <c r="AQ212" s="26" t="s">
        <v>864</v>
      </c>
      <c r="AR212" s="26" t="s">
        <v>864</v>
      </c>
      <c r="AS212" s="21">
        <v>3</v>
      </c>
      <c r="AT212" s="21">
        <v>3</v>
      </c>
      <c r="AU212" s="21">
        <v>0</v>
      </c>
      <c r="AV212" s="26" t="s">
        <v>864</v>
      </c>
      <c r="AW212" s="21">
        <v>0</v>
      </c>
      <c r="AX212" s="26" t="s">
        <v>864</v>
      </c>
      <c r="AY212" s="26" t="s">
        <v>864</v>
      </c>
      <c r="AZ212" s="26" t="s">
        <v>864</v>
      </c>
      <c r="BA212" s="26" t="s">
        <v>864</v>
      </c>
      <c r="BB212" s="26" t="s">
        <v>864</v>
      </c>
      <c r="BC212" s="26" t="s">
        <v>864</v>
      </c>
      <c r="BD212" s="26" t="s">
        <v>864</v>
      </c>
      <c r="BE212" s="26" t="s">
        <v>864</v>
      </c>
      <c r="BF212" s="26" t="s">
        <v>864</v>
      </c>
      <c r="BG212" s="26" t="s">
        <v>864</v>
      </c>
      <c r="BH212" s="26" t="s">
        <v>864</v>
      </c>
      <c r="BI212" s="26" t="s">
        <v>864</v>
      </c>
      <c r="BJ212" s="26" t="s">
        <v>864</v>
      </c>
      <c r="BK212" s="26" t="s">
        <v>864</v>
      </c>
      <c r="BL212" s="26" t="s">
        <v>864</v>
      </c>
      <c r="BM212" s="26" t="s">
        <v>864</v>
      </c>
      <c r="BN212" s="22">
        <v>40583</v>
      </c>
      <c r="BO212" s="22">
        <v>44954</v>
      </c>
      <c r="BP212" s="21" t="s">
        <v>854</v>
      </c>
      <c r="BQ212" s="222">
        <f t="shared" si="840"/>
        <v>145.69999999999999</v>
      </c>
      <c r="BR212" s="223">
        <f t="shared" si="841"/>
        <v>44944.6</v>
      </c>
      <c r="BS212" s="224">
        <f t="shared" si="842"/>
        <v>17.857142857142858</v>
      </c>
      <c r="BT212" s="216" t="str">
        <f t="shared" si="843"/>
        <v>II TRIM</v>
      </c>
      <c r="BU212" s="214">
        <f t="shared" ca="1" si="925"/>
        <v>39.857142857142854</v>
      </c>
      <c r="BV212" s="25"/>
      <c r="BW212" s="22">
        <v>45121</v>
      </c>
      <c r="BX212" s="28">
        <v>25.2</v>
      </c>
      <c r="BY212" s="28"/>
      <c r="BZ212" s="22"/>
      <c r="CA212" s="21"/>
      <c r="CB212" s="26"/>
      <c r="CC212" s="26"/>
      <c r="CD212" s="26"/>
      <c r="CE212" s="26"/>
      <c r="CF212" s="22" t="s">
        <v>1517</v>
      </c>
      <c r="CG212" s="21">
        <v>1.5</v>
      </c>
      <c r="CH212" s="21">
        <v>61</v>
      </c>
      <c r="CI212" s="214">
        <f t="shared" si="845"/>
        <v>27.111111111111111</v>
      </c>
      <c r="CJ212" s="225" t="e">
        <f>IF(AND(CI212&lt;10,CH212="SD"),"SIN DATO PESO PREGESTACION O I TRIM",IF(AND(OR(R212&gt;0,O212&gt;0),CI212="X"),"INGRESAR DATO DE PESO",IF(CI212="SD","INGRESAR DATO DE TALLA Y PESO",IF(AND(OR(Tabla1[[#This Row],[MOMENTO EN QUE SE REALIZA EL PESO AL INGRESO A CPN]]="PREGESTACIÓN",NZ212="Menor"),CI212&lt;18.5),"BAJO PESO",IF(AND(OR(Tabla1[[#This Row],[MOMENTO EN QUE SE REALIZA EL PESO AL INGRESO A CPN]]="PREGESTACIÓN",NZ212="Menor"),CI212&lt;25),"NORMAL",IF(AND(OR(Tabla1[[#This Row],[MOMENTO EN QUE SE REALIZA EL PESO AL INGRESO A CPN]]="PREGESTACIÓN",NZ212="Menor"),CI212&lt;30),"SOBREPESO",IF(AND(OR(Tabla1[[#This Row],[MOMENTO EN QUE SE REALIZA EL PESO AL INGRESO A CPN]]="PREGESTACIÓN",NZ212="Menor"),CI212&gt;=30,CI212&lt;50),"OBESIDAD",IF(AND(BS212&gt;0,Tabla1[[#This Row],[MOMENTO EN QUE SE REALIZA EL PESO AL INGRESO A CPN]]="GESTACIÓN"),HLOOKUP(NZ212,$OA$2:PH212,NY212),""))))))))</f>
        <v>#REF!</v>
      </c>
      <c r="CK212" s="212">
        <f t="shared" si="846"/>
        <v>45121</v>
      </c>
      <c r="CL212" s="21">
        <v>62.5</v>
      </c>
      <c r="CM212" s="214">
        <f t="shared" si="847"/>
        <v>27.777777777777779</v>
      </c>
      <c r="CN212" s="216">
        <f t="shared" si="848"/>
        <v>23</v>
      </c>
      <c r="CO212" s="216" t="e">
        <f>IF(PI212="","",IF(PI212&gt;0,HLOOKUP(PI212,$PJ$2:QQ212,NY212),""))</f>
        <v>#REF!</v>
      </c>
      <c r="CP212" s="21">
        <v>20</v>
      </c>
      <c r="CQ212" s="216" t="e">
        <f>IF(QR212="Menor","NO APLICA-MENOR 13 SEM",IF(AND(CC212="SI",CN212&gt;23),"NO APLICA- GEMELAR",IF(QR212="","",IF(QR212&gt;0,HLOOKUP(QR212,$QS$2:RU212,NY212),""))))</f>
        <v>#REF!</v>
      </c>
      <c r="CR212" s="21"/>
      <c r="CS212" s="21"/>
      <c r="CT212" s="217" t="str">
        <f>IF(R212="","",IF(AND(BS212&gt;1,BS212&lt;12,Tabla1[[#This Row],[T.A. SISTOLICA - ANTES DE SEMANA 12]]="",Tabla1[[#This Row],[T.A. DIASTOLICA - ANTES DE SEMANA 12]]=""),"REGISTRE DATO TA ANTES SEMANA 12",IF(AND(BS212&gt;11,BS212&lt;43,Tabla1[[#This Row],[T.A. SISTOLICA - ANTES DE SEMANA 12]]="",Tabla1[[#This Row],[T.A. DIASTOLICA - ANTES DE SEMANA 12]]=""),"NO APLICA REGISTRO TA-INGRESO TARDIO",IF(AND(OR(O212&gt;0,R212&gt;0),OR(CR212&gt;=140,CS212&gt;=90)),"DEFINIR ESTADIO HTA",IF(AND(OR(O212&gt;0,R212&gt;0),AND(CR212&gt;120,CR212&lt;=139)),"PRE HTA SEGUIMIENTO",IF(AND(OR(O212&gt;0,R212&gt;0),AND(CS212&gt;80,CS212&lt;=89)),"PRE HTA SEGUIMIENTO",IF(AND(OR(O212&gt;0,R212&gt;0),AND(CR212&gt;=80,CR212&lt;=120)),"APARENTEMENTE NORMAL",IF(AND(OR(O212&gt;0,R212&gt;0),AND(CS212&gt;=50,CS212&lt;=80)),"APARENTEMENTE NORMAL",IF(AND(OR(O212&gt;0,R212&gt;0),AND(CR212&gt;1,CR212&lt;=70),AND(CS212&gt;1,CS212&lt;=40)),"HIPOTENSIÓN","")))))))))</f>
        <v>NO APLICA REGISTRO TA-INGRESO TARDIO</v>
      </c>
      <c r="CU212" s="21">
        <v>90</v>
      </c>
      <c r="CV212" s="21">
        <v>60</v>
      </c>
      <c r="CW212" s="217" t="str">
        <f ca="1">IF(R212="","",IF(AND(CN212&gt;19,CN212&lt;27,Tabla1[[#This Row],[T.A. SISTOLICA (Entre semana 20 y 26)]]="",Tabla1[[#This Row],[T.A. DIATOLICA (Entre semana 20 y 26)]]=""),"ACUDE A CONTROL SEM 20 A 26 REGISTRE TA AHORA",IF(AND(BS212&gt;1,BS212&lt;27,BU212&gt;19,Tabla1[[#This Row],[T.A. SISTOLICA (Entre semana 20 y 26)]]="",Tabla1[[#This Row],[T.A. DIATOLICA (Entre semana 20 y 26)]]=""),"COMPLETE REGISTRO TA CONTROL SEM 20 A26 ",IF(AND(BS212&gt;26,BS212&lt;43,Tabla1[[#This Row],[T.A. SISTOLICA (Entre semana 20 y 26)]]="",Tabla1[[#This Row],[T.A. DIATOLICA (Entre semana 20 y 26)]]=""),"NO APLICA REGISTRO TA-INGRESO TARDIO",IF(AND(OR(O212&gt;0,R212&gt;0),OR(CU212&gt;=140,CV212&gt;=90)),"ALTO RIESGO PREECLAMPSIA,DEFINIR ESTADIO HTA",IF(AND(OR(O212&gt;0,R212&gt;0),AND(CU212&gt;120,CU212&lt;=139)),"PRE HTA SEGUIMIENTO,RIESGO HIPERTENSION INDUCIDA POR EL EMBARAZO",IF(AND(OR(O212&gt;0,R212&gt;0),AND(CV212&gt;80,CV212&lt;=89)),"PRE HTA SEGUIMIENTO, RIESGO HIPERTENSION INDUCIDA POR EL EMBARAZO",IF(AND(OR(O212&lt;&gt;"",R212&lt;&gt;""),CS212&lt;&gt;"",CV212&lt;&gt;"",CS212&lt;=CV212),"VIGILAR CIFRAS PRESION ARTERIAL",IF(AND(OR(O212&gt;0,R212&gt;0),AND(CU212&gt;120,CU212&lt;=139)),"PRE HTA SEGUIMIENTO",IF(AND(OR(O212&gt;0,R212&gt;0),AND(CU212&gt;1,CU212&lt;=70),AND(CV212&gt;1,CV212&lt;=40)),"HIPOTENSIÓN",IF(AND(OR(O212&lt;&gt;"",R212&lt;&gt;""),CS212&lt;&gt;"",CV212&lt;&gt;"",CS212&gt;CV212),"APARENTEMENTE NORMAL",IF(AND(OR(O212&gt;0,R212&gt;0),AND(CU212&gt;=80,CU212&lt;=120)),"APARENTEMENTE NORMAL",IF(AND(OR(O212&gt;0,R212&gt;0),AND(CV212&gt;=50,CV212&lt;=80)),"APARENTEMENTE NORMAL","")))))))))))))</f>
        <v>APARENTEMENTE NORMAL</v>
      </c>
      <c r="CX212" s="21"/>
      <c r="CY212" s="21"/>
      <c r="CZ212" s="216" t="e">
        <f>IF(R212="","",IF(AND(CN212&gt;31,CN212&lt;35,CX212="",CY212=""),"ACUDE A CONTROL SEM 30 A 34- REGISTRE AHORA",IF(AND(BS212&gt;34,BS212&lt;43,#REF!="",#REF!=""),"NO APLICA-INGRESO TARDIO",IF(AND(OR(O212&gt;0,R212&gt;0),OR(CX212&gt;=140,CY212&gt;=90)),"ESTUDIO INMEDIATO HTA PARA DESCARTAR PREECLAMSIA",IF(AND(OR(O212&gt;0,R212&gt;0),AND(CX212&gt;=130,CX212&lt;=139)),"PRE HTA,RIESGO ALTO PREECLAMPSIA",IF(AND(OR(O212&gt;0,R212&gt;0),AND(CY212&gt;80,CY212&lt;=89)),"PRE HTA,RIESGO ALTO PREECLAMPSIA",IF(AND(OR(O212&gt;0,R212&gt;0),AND(CX212&gt;120,CX212&lt;=129)),"RANGO PREHIPERTENSIVO SEGUIMIENTO HTA",IF(AND(OR(O212&lt;&gt;"",R212&lt;&gt;""),CS212&lt;&gt;"",CY212&lt;&gt;"",CS212&lt;CY212),"VIGILAR CIFRAS PRESION ARTERIAL",IF(AND(OR(O212&lt;&gt;"",R212&lt;&gt;""),CS212&lt;&gt;"",CY212&lt;&gt;"",CS212=CY212),"APARENTEMENTE NORMAL",IF(AND(OR(O212&gt;0,R212&gt;0),CX212&gt;=80,CX212&lt;=120),"APARENTEMENTE NORMAL",IF(AND(OR(O212&gt;0,R212&gt;0),CY212&gt;=50,CY212&lt;=80),"APARENTEMENTE NORMAL","")))))))))))</f>
        <v>#REF!</v>
      </c>
      <c r="DA212" s="21">
        <v>90</v>
      </c>
      <c r="DB212" s="21">
        <v>60</v>
      </c>
      <c r="DC212" s="217" t="str">
        <f t="shared" si="849"/>
        <v>APARENTEMENTE NORMAL</v>
      </c>
      <c r="DD212" s="22">
        <v>45079</v>
      </c>
      <c r="DE212" s="22">
        <v>45079</v>
      </c>
      <c r="DF212" s="22">
        <v>45121</v>
      </c>
      <c r="DG212" s="22"/>
      <c r="DH212" s="22"/>
      <c r="DI212" s="22"/>
      <c r="DJ212" s="22"/>
      <c r="DK212" s="22"/>
      <c r="DL212" s="22"/>
      <c r="DM212" s="22"/>
      <c r="DN212" s="22"/>
      <c r="DO212" s="22"/>
      <c r="DP212" s="22"/>
      <c r="DQ212" s="22"/>
      <c r="DR212" s="28"/>
      <c r="DS212" s="22"/>
      <c r="DT212" s="22"/>
      <c r="DU212" s="216" t="str">
        <f t="shared" ca="1" si="917"/>
        <v>CONCERTAR PLAN DE PARTO INMEDIATO</v>
      </c>
      <c r="DV212" s="226" t="str">
        <f t="shared" si="918"/>
        <v>ACTIVA INGRESO A CPN</v>
      </c>
      <c r="DW21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2" s="216" t="e">
        <f t="shared" ca="1" si="850"/>
        <v>#REF!</v>
      </c>
      <c r="DY212" s="212">
        <f>IF(R212="","",IF(R212&gt;0,MAX(Tabla1[[#This Row],[FECHA C2]:[FECHA C13]],Tabla1[[#This Row],[FECHA CONSULTA PRIMERA VEZ PROGRAMA CPN ]])))</f>
        <v>45121</v>
      </c>
      <c r="DZ212" s="216">
        <f t="shared" si="851"/>
        <v>23</v>
      </c>
      <c r="EA212" s="222">
        <f>IF(R212&gt;0,SUM(COUNTA(DF212:DQ212)+COUNTA(Tabla1[[#This Row],[FECHA CONSULTA PRIMERA VEZ PROGRAMA CPN ]])),"")</f>
        <v>2</v>
      </c>
      <c r="EB212" s="222" t="str">
        <f t="shared" si="852"/>
        <v>NO</v>
      </c>
      <c r="EC212" s="214">
        <f t="shared" si="853"/>
        <v>7</v>
      </c>
      <c r="ED212" s="227">
        <f t="shared" si="854"/>
        <v>0.2857142857142857</v>
      </c>
      <c r="EE212" s="22">
        <v>45079</v>
      </c>
      <c r="EF212" s="22">
        <v>45079</v>
      </c>
      <c r="EG212" s="22">
        <v>45079</v>
      </c>
      <c r="EH212" s="22"/>
      <c r="EI212" s="22">
        <v>45079</v>
      </c>
      <c r="EJ212" s="22"/>
      <c r="EK212" s="22"/>
      <c r="EL212" s="21"/>
      <c r="EM212" s="21">
        <v>11</v>
      </c>
      <c r="EN212" s="22">
        <v>45121</v>
      </c>
      <c r="EO212" s="222">
        <f t="shared" si="855"/>
        <v>23.857142857142858</v>
      </c>
      <c r="EP212" s="214" t="str">
        <f t="shared" si="856"/>
        <v>NORMAL- SUMINISTRAR SULFATO FERROSO</v>
      </c>
      <c r="EQ212" s="216" t="str">
        <f t="shared" si="857"/>
        <v>II TRIM</v>
      </c>
      <c r="ER212" s="24"/>
      <c r="ES212" s="22"/>
      <c r="ET212" s="29" t="str">
        <f t="shared" ca="1" si="919"/>
        <v>TOMA DE HEMOGLOBINA TARDÍA</v>
      </c>
      <c r="EU212" s="25" t="str">
        <f t="shared" si="858"/>
        <v/>
      </c>
      <c r="EV212" s="24" t="s">
        <v>1510</v>
      </c>
      <c r="EW212" s="22">
        <v>45121</v>
      </c>
      <c r="EX212" s="22"/>
      <c r="EY212" s="29">
        <f t="shared" si="691"/>
        <v>23.857142857142858</v>
      </c>
      <c r="EZ212" s="25" t="str">
        <f t="shared" si="692"/>
        <v>SIN RIESGO DE ISOINMUNIZACIÓN</v>
      </c>
      <c r="FA212" s="21">
        <v>90</v>
      </c>
      <c r="FB212" s="22">
        <v>45121</v>
      </c>
      <c r="FC212" s="29">
        <f t="shared" si="859"/>
        <v>23.857142857142858</v>
      </c>
      <c r="FD212" s="29"/>
      <c r="FE212" s="29"/>
      <c r="FF212" s="29"/>
      <c r="FG212" s="21" t="str">
        <f t="shared" ca="1" si="860"/>
        <v>TOMAR PTOG</v>
      </c>
      <c r="FH212" s="31"/>
      <c r="FI212" s="29" t="str">
        <f t="shared" si="861"/>
        <v>TOMAR EXAMEN</v>
      </c>
      <c r="FJ212" s="22"/>
      <c r="FK212" s="22"/>
      <c r="FL212" s="29" t="str">
        <f t="shared" ca="1" si="862"/>
        <v>NO APLICA-INGRESO TARDIO</v>
      </c>
      <c r="FM212" s="22" t="s">
        <v>867</v>
      </c>
      <c r="FN212" s="22">
        <v>45121</v>
      </c>
      <c r="FO212" s="29">
        <f t="shared" ca="1" si="920"/>
        <v>23.857142857142858</v>
      </c>
      <c r="FP212" s="22"/>
      <c r="FQ212" s="32"/>
      <c r="FR212" s="29" t="str">
        <f t="shared" ca="1" si="921"/>
        <v>TOMA INMEDIATA DE TAMIZAJE</v>
      </c>
      <c r="FS212" s="22"/>
      <c r="FT212" s="32"/>
      <c r="FU212" s="29" t="str">
        <f>IF(AND(FJ212="",FM212="",FP212="",FS212=""),"",IF(OR(OR(Tabla1[[#This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2" s="28"/>
      <c r="FW212" s="22"/>
      <c r="FX212" s="29" t="str">
        <f t="shared" si="863"/>
        <v>TOMAR EXAMEN</v>
      </c>
      <c r="FY212" s="22"/>
      <c r="FZ212" s="22"/>
      <c r="GA212" s="29" t="str">
        <f t="shared" ca="1" si="936"/>
        <v>NO APLICA-INGRESO TARDIO</v>
      </c>
      <c r="GB212" s="22" t="s">
        <v>868</v>
      </c>
      <c r="GC212" s="22">
        <v>45125</v>
      </c>
      <c r="GD212" s="29">
        <f t="shared" ca="1" si="937"/>
        <v>24.428571428571427</v>
      </c>
      <c r="GE212" s="22"/>
      <c r="GF212" s="22"/>
      <c r="GG212" s="29" t="str">
        <f t="shared" ca="1" si="923"/>
        <v>TOMA INMEDIATA DE TAMIZAJE</v>
      </c>
      <c r="GH212" s="22"/>
      <c r="GI212" s="29"/>
      <c r="GJ212" s="22"/>
      <c r="GK212" s="22"/>
      <c r="GL212" s="22"/>
      <c r="GM212" s="22"/>
      <c r="GN212" s="28" t="s">
        <v>869</v>
      </c>
      <c r="GO212" s="22">
        <v>45125</v>
      </c>
      <c r="GP212" s="29">
        <f t="shared" si="864"/>
        <v>24.428571428571427</v>
      </c>
      <c r="GQ212" s="28" t="s">
        <v>846</v>
      </c>
      <c r="GR212" s="28" t="s">
        <v>869</v>
      </c>
      <c r="GS212" s="22" t="str">
        <f t="shared" si="726"/>
        <v/>
      </c>
      <c r="GT212" s="22">
        <v>45125</v>
      </c>
      <c r="GU212" s="29">
        <f t="shared" si="865"/>
        <v>24.428571428571427</v>
      </c>
      <c r="GV212" s="21" t="str">
        <f t="shared" si="866"/>
        <v>II TRIM</v>
      </c>
      <c r="GW212" s="28"/>
      <c r="GX212" s="30"/>
      <c r="GY212" s="21"/>
      <c r="GZ212" s="21"/>
      <c r="HA212" s="21"/>
      <c r="HB212" s="21"/>
      <c r="HC212" s="21"/>
      <c r="HD212" s="21"/>
      <c r="HE212" s="21"/>
      <c r="HF212" s="22"/>
      <c r="HG212" s="22" t="str">
        <f>IF(OR(O212&gt;0,R212&gt;0),CONCATENATE(IF(Tabla1[[#This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2" s="22" t="e">
        <f t="shared" si="867"/>
        <v>#REF!</v>
      </c>
      <c r="HI212" s="22" t="e">
        <f t="shared" ca="1" si="868"/>
        <v>#REF!</v>
      </c>
      <c r="HJ212" s="21"/>
      <c r="HK212" s="21" t="str">
        <f t="shared" si="869"/>
        <v>SIN ANTECEDENTES DE RIESGO</v>
      </c>
      <c r="HL212" s="24" t="str">
        <f t="shared" si="870"/>
        <v>APARENTEMENTE NORMAL</v>
      </c>
      <c r="HM212" s="21" t="e">
        <f t="shared" ca="1" si="871"/>
        <v>#REF!</v>
      </c>
      <c r="HN212" s="30" t="str">
        <f t="shared" si="924"/>
        <v>ACTIVA INGRESO A CPN</v>
      </c>
      <c r="HO212" s="21"/>
      <c r="HP212" s="21"/>
      <c r="HQ212" s="349"/>
      <c r="HR212" s="21" t="str">
        <f>IF(R212="","",IF(Tabla1[[#This Row],[ALARMA FACTORES DE RIESGO COMPLICACIONES HIPERTENSIVAS3]]="SIN ANTECEDENTES DE RIESGO","No Aplica para suministro de ASA",IF(AND(Tabla1[[#This Row],[FECHA INICIO DE SUMINISTRO DE ASA]]&gt;0,RV212&lt;12),"Inicia ASA ANTES de Sem 12",IF(AND(RV212&gt;11,RV212&lt;17,OR(HK212="RIESGO ALTO DE COMPLICACIONES HIPERTENSIVAS VER MANEJO GUIA SUMINISTRO ASA Y CALCIO",HK212="RIESGO MODERADO (2 O MAS CRITERIOS) VER MANEJO GUIA SUMINISTRO ASA Y CALCIO")),"Inicio oportuno de ASA",IF(AND(RV212&gt;12,OR(HK212="RIESGO ALTO DE COMPLICACIONES HIPERTENSIVAS VER MANEJO GUIA SUMINISTRO ASA Y CALCIO",HK212="RIESGO MODERADO (2 O MAS CRITERIOS) VER MANEJO GUIA SUMINISTRO ASA Y CALCIO")),"Inicio no oportuno mayor a 16 semanas",IF(AND(BU212&lt;12,OR(HK212="RIESGO ALTO DE COMPLICACIONES HIPERTENSIVAS VER MANEJO GUIA SUMINISTRO ASA Y CALCIO",HK212="RIESGO MODERADO (2 O MAS CRITERIOS) VER MANEJO GUIA SUMINISTRO ASA Y CALCIO")),"Pendiente Inicio de ASA a la semana 12",IF(AND(BU212&gt;11,BU212&lt;17,OR(HK212="RIESGO ALTO DE COMPLICACIONES HIPERTENSIVAS VER MANEJO GUIA SUMINISTRO ASA Y CALCIO",HK212="RIESGO MODERADO (2 O MAS CRITERIOS) VER MANEJO GUIA SUMINISTRO ASA Y CALCIO")),"Iniciar de inmediato ASA",IF(AND(BU212&gt;16,OR(HK212="RIESGO ALTO DE COMPLICACIONES HIPERTENSIVAS VER MANEJO GUIA SUMINISTRO ASA Y CALCIO",HK212="RIESGO MODERADO (2 O MAS CRITERIOS) VER MANEJO GUIA SUMINISTRO ASA Y CALCIO")),"Pierde Oportunidad, Inicio tardío de ASA","XXXXX"))))))))</f>
        <v>No Aplica para suministro de ASA</v>
      </c>
      <c r="HS212" s="22">
        <v>45079</v>
      </c>
      <c r="HT212" s="22" t="s">
        <v>1518</v>
      </c>
      <c r="HU212" s="22">
        <v>45079</v>
      </c>
      <c r="HV212" s="22" t="s">
        <v>1544</v>
      </c>
      <c r="HW212" s="22">
        <v>45079</v>
      </c>
      <c r="HX212" s="22" t="s">
        <v>1511</v>
      </c>
      <c r="HY212" s="22"/>
      <c r="HZ212" s="28" t="str">
        <f t="shared" si="872"/>
        <v>PENDIENTE CONSULTA</v>
      </c>
      <c r="IA212" s="26"/>
      <c r="IB212" s="26"/>
      <c r="IC212" s="22">
        <v>45121</v>
      </c>
      <c r="ID212" s="22">
        <v>45121</v>
      </c>
      <c r="IE212" s="22" t="str">
        <f t="shared" ca="1" si="873"/>
        <v>VACUNA APLICADA ENTRE SEMANA 20 Y SEMANA 26</v>
      </c>
      <c r="IF212" s="22"/>
      <c r="IG212" s="22">
        <f t="shared" si="874"/>
        <v>45234</v>
      </c>
      <c r="IH212" s="29">
        <f t="shared" ca="1" si="875"/>
        <v>1</v>
      </c>
      <c r="II212" s="22" t="str">
        <f t="shared" ca="1" si="876"/>
        <v>SEMANA DE PARTO</v>
      </c>
      <c r="IJ212" s="22"/>
      <c r="IK212" s="21"/>
      <c r="IL212" s="21"/>
      <c r="IM212" s="34"/>
      <c r="IN212" s="22"/>
      <c r="IO212" s="21"/>
      <c r="IP212" s="29" t="str">
        <f t="shared" si="877"/>
        <v/>
      </c>
      <c r="IQ212" s="35"/>
      <c r="IR212" s="21"/>
      <c r="IS212" s="21"/>
      <c r="IT212" s="21"/>
      <c r="IU212" s="21"/>
      <c r="IV212" s="21"/>
      <c r="IW212" s="21"/>
      <c r="IX212" s="21"/>
      <c r="IY212" s="21"/>
      <c r="IZ212" s="21"/>
      <c r="JA212" s="21"/>
      <c r="JB212" s="30"/>
      <c r="JC212" s="21"/>
      <c r="JD212" s="36"/>
      <c r="JE212" s="21" t="str">
        <f t="shared" si="878"/>
        <v/>
      </c>
      <c r="JF212" s="30"/>
      <c r="JG212" s="21"/>
      <c r="JH212" s="21"/>
      <c r="JI212" s="21"/>
      <c r="JJ212" s="30"/>
      <c r="JK212" s="22"/>
      <c r="JL212" s="22"/>
      <c r="JM212" s="21"/>
      <c r="JN212" s="36"/>
      <c r="JO212" s="21" t="str">
        <f t="shared" si="879"/>
        <v/>
      </c>
      <c r="JP212" s="22"/>
      <c r="JQ212" s="21"/>
      <c r="JR212" s="21"/>
      <c r="JS212" s="21"/>
      <c r="JT212" s="30"/>
      <c r="JU212" s="22"/>
      <c r="JV212" s="22"/>
      <c r="JW212" s="33"/>
      <c r="JX212" s="28" t="str">
        <f t="shared" si="880"/>
        <v/>
      </c>
      <c r="JY212" s="33"/>
      <c r="JZ212" s="28" t="str">
        <f t="shared" si="881"/>
        <v/>
      </c>
      <c r="KA212" s="21"/>
      <c r="KB212" s="21"/>
      <c r="KC212" s="21"/>
      <c r="KD212" s="37"/>
      <c r="KE212" s="28"/>
      <c r="KF212" s="28"/>
      <c r="KG212" s="28"/>
      <c r="KH212" s="39"/>
      <c r="KI212" s="39"/>
      <c r="KJ212" s="66"/>
      <c r="KK212" s="39"/>
      <c r="KL212" s="39"/>
      <c r="KM212" s="66"/>
      <c r="KN212" s="39"/>
      <c r="KO212" s="39"/>
      <c r="KP212" s="39"/>
      <c r="KQ212" s="39"/>
      <c r="KR212" s="39"/>
      <c r="KS212" s="39"/>
      <c r="KT212" s="39"/>
      <c r="KU212" s="38"/>
      <c r="KV212" s="38"/>
      <c r="KW212" s="38"/>
      <c r="KX212" s="38"/>
      <c r="KY212" s="38"/>
      <c r="KZ212" s="38"/>
      <c r="LA212" s="38"/>
      <c r="LB212" s="38"/>
      <c r="LC212" s="38"/>
      <c r="LD212" s="38"/>
      <c r="LE212" s="38"/>
      <c r="LF212" s="38"/>
      <c r="LG212" s="38"/>
      <c r="LH212" s="38"/>
      <c r="LI212" s="38"/>
      <c r="LJ212" s="38"/>
      <c r="LK212" s="38"/>
      <c r="LL212" s="38"/>
      <c r="LM212" s="38"/>
      <c r="LN212" s="38"/>
      <c r="LO212" s="38"/>
      <c r="LP212" s="38"/>
      <c r="LQ212" s="38"/>
      <c r="LR212" s="38"/>
      <c r="LS212" s="38"/>
      <c r="LT212" s="38"/>
      <c r="LU212" s="38"/>
      <c r="LV212" s="38"/>
      <c r="LW212" s="38"/>
      <c r="LX212" s="38"/>
      <c r="LY212" s="38"/>
      <c r="LZ212" s="38"/>
      <c r="MA212" s="38"/>
      <c r="MB212" s="38"/>
      <c r="MC212" s="38"/>
      <c r="MD212" s="38"/>
      <c r="ME212" s="38"/>
      <c r="MF212" s="38"/>
      <c r="MG212" s="38"/>
      <c r="MH212" s="43">
        <f t="shared" si="882"/>
        <v>0</v>
      </c>
      <c r="MI212" s="43" t="str">
        <f t="shared" si="926"/>
        <v/>
      </c>
      <c r="MJ212" s="43" t="str">
        <f t="shared" si="884"/>
        <v/>
      </c>
      <c r="MK212" s="43">
        <f t="shared" si="885"/>
        <v>0</v>
      </c>
      <c r="ML21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2" s="43">
        <f t="shared" si="927"/>
        <v>17.857142857142858</v>
      </c>
      <c r="MN212" s="43">
        <f t="shared" si="928"/>
        <v>6</v>
      </c>
      <c r="MO212" s="43">
        <f t="shared" si="929"/>
        <v>2023</v>
      </c>
      <c r="MP212" s="43" t="str">
        <f t="shared" si="889"/>
        <v>II TRIMESTRE AÑO</v>
      </c>
      <c r="MQ212" s="43">
        <f t="shared" si="930"/>
        <v>22.484121769601401</v>
      </c>
      <c r="MR212" s="43">
        <f t="shared" si="891"/>
        <v>0</v>
      </c>
      <c r="MS212" s="43" t="str">
        <f t="shared" si="892"/>
        <v xml:space="preserve"> DE 20 A 24 AÑOS</v>
      </c>
      <c r="MT212" s="43">
        <f t="shared" si="893"/>
        <v>0</v>
      </c>
      <c r="MU212" s="43">
        <f t="shared" si="894"/>
        <v>0</v>
      </c>
      <c r="MV212" s="43">
        <f t="shared" si="895"/>
        <v>0</v>
      </c>
      <c r="MW212" s="43">
        <f t="shared" si="896"/>
        <v>0</v>
      </c>
      <c r="MX212" s="43" t="str">
        <f t="shared" si="897"/>
        <v/>
      </c>
      <c r="MY212" s="43" t="str">
        <f t="shared" ca="1" si="898"/>
        <v/>
      </c>
      <c r="MZ212" s="43" t="str">
        <f t="shared" si="899"/>
        <v/>
      </c>
      <c r="NA212" s="43" t="str">
        <f t="shared" si="900"/>
        <v/>
      </c>
      <c r="NB212" s="43" t="str">
        <f t="shared" si="901"/>
        <v/>
      </c>
      <c r="NC212" s="43" t="str">
        <f t="shared" si="902"/>
        <v/>
      </c>
      <c r="ND212" s="43">
        <f t="shared" ca="1" si="931"/>
        <v>0</v>
      </c>
      <c r="NE212" s="43">
        <f>IF(OR(O212&gt;0,R212&gt;0),SUM(COUNTIF(Tabla1[[#This Row],[AÑOS AL INICIO5 CPN]],"&gt;=40"),COUNTIF(AS212,"0"),COUNTIF(AR212,"SI"),COUNTIF(CC212,"SI"),COUNTIF(BQ212,"&gt;119"),COUNTIF(CI212,"&gt;=35")),"")</f>
        <v>1</v>
      </c>
      <c r="NF212" s="43">
        <f t="shared" si="932"/>
        <v>23.857142857142858</v>
      </c>
      <c r="NG212" s="43">
        <f t="shared" si="905"/>
        <v>0</v>
      </c>
      <c r="NH212" s="43">
        <f t="shared" si="906"/>
        <v>176.4</v>
      </c>
      <c r="NI21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CPN",P212="NO"),"Z",IF(AND(Tabla1[[#This Row],[CITA PROXIMO CONTROL]]="CITA MANUAL",Tabla1[[#This Row],[GESTANTES ACTUALES]]="ACTIVA INGRESO A CPN"),"W",IF(AND(Tabla1[[#This Row],[GESTANTES ACTUALES]]="SALIO PROGRAMA",IN212=""),"S",IF(AND(Tabla1[[#This Row],[CITA PROXIMO CONTROL]]&gt;0,IN212=""),(Tabla1[[#This Row],[CITA PROXIMO CONTROL]]-TODAY()),"SD"))))))))</f>
        <v>#REF!</v>
      </c>
      <c r="NJ212" s="43">
        <f>MONTH(Tabla1[[#This Row],[FECHA DE SALIDA  DEL PROGRAMA]])</f>
        <v>1</v>
      </c>
      <c r="NK212" s="43">
        <f>YEAR(Tabla1[[#This Row],[FECHA DE SALIDA  DEL PROGRAMA]])</f>
        <v>1900</v>
      </c>
      <c r="NL212" s="43" t="str">
        <f t="shared" si="933"/>
        <v>X</v>
      </c>
      <c r="NM212" s="43" t="str">
        <f t="shared" si="938"/>
        <v>NO</v>
      </c>
      <c r="NN212" s="43" t="str">
        <f ca="1">IF(AND(O212&gt;0,R212=""),"NO CPN",IF(AND(O212="",R212=""),"",IF(AND(R212&gt;0,Tabla1[[#This Row],[SEMANAS DE GESTACION ACTUALIZADAS]]&lt;=12),"NO APLICA",IF(AND(FH212&lt;&gt;"",FN212&lt;&gt;""),"SI","NO"))))</f>
        <v>NO</v>
      </c>
      <c r="NO212" s="43" t="str">
        <f ca="1">IF(AND(O212&gt;0,R212=""),"NO CPN",IF(AND(O212="",R212=""),"",IF(AND(R212&gt;0,Tabla1[[#This Row],[SEMANAS DE GESTACION ACTUALIZADAS]]&lt;=27),"NO APLICA",IF(AND(ES212&lt;&gt;"",FQ212&lt;&gt;"",GF212&lt;&gt;""),"SI","NO"))))</f>
        <v>NO</v>
      </c>
      <c r="NP212" s="204" t="str">
        <f t="shared" si="909"/>
        <v>II TRIM</v>
      </c>
      <c r="NQ212"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2" s="21">
        <f t="shared" ca="1" si="934"/>
        <v>2</v>
      </c>
      <c r="NS212" s="205">
        <f t="shared" ca="1" si="911"/>
        <v>1</v>
      </c>
      <c r="NT212" s="21">
        <f t="shared" ca="1" si="912"/>
        <v>1</v>
      </c>
      <c r="NU212" s="21" t="str">
        <f t="shared" ca="1" si="913"/>
        <v>INCOMPLETO</v>
      </c>
      <c r="NV212" s="21" t="str">
        <f t="shared" ca="1" si="914"/>
        <v>INCOMPLETO</v>
      </c>
      <c r="NW212" s="206" t="str">
        <f>IF(AND(O212="",R212=""),"",IF(OR(AND(Tabla1[[#This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2" s="207" t="str">
        <f t="shared" ca="1" si="935"/>
        <v>VACUNADA</v>
      </c>
      <c r="NY212" s="43">
        <f>ROW(Tabla1[[#This Row],['# DE TAMIZAJES SIFILIS TOMADOS ]])</f>
        <v>212</v>
      </c>
      <c r="NZ212" s="43">
        <f t="shared" si="738"/>
        <v>17</v>
      </c>
      <c r="OA212" s="43" t="str">
        <f t="shared" si="739"/>
        <v/>
      </c>
      <c r="OB212" s="43" t="str">
        <f t="shared" si="740"/>
        <v/>
      </c>
      <c r="OC212" s="43" t="str">
        <f t="shared" si="741"/>
        <v/>
      </c>
      <c r="OD212" s="43" t="str">
        <f t="shared" si="742"/>
        <v/>
      </c>
      <c r="OE212" s="43" t="str">
        <f t="shared" si="743"/>
        <v/>
      </c>
      <c r="OF212" s="43" t="str">
        <f t="shared" si="744"/>
        <v/>
      </c>
      <c r="OG212" s="43" t="str">
        <f t="shared" si="745"/>
        <v/>
      </c>
      <c r="OH212" s="43" t="str">
        <f t="shared" si="746"/>
        <v/>
      </c>
      <c r="OI212" s="43" t="str">
        <f t="shared" si="747"/>
        <v>SOBREPESO</v>
      </c>
      <c r="OJ212" s="43" t="str">
        <f t="shared" si="748"/>
        <v/>
      </c>
      <c r="OK212" s="43" t="str">
        <f t="shared" si="749"/>
        <v/>
      </c>
      <c r="OL212" s="43" t="str">
        <f t="shared" si="750"/>
        <v/>
      </c>
      <c r="OM212" s="43" t="str">
        <f t="shared" si="751"/>
        <v/>
      </c>
      <c r="ON212" s="43" t="str">
        <f t="shared" si="752"/>
        <v/>
      </c>
      <c r="OO212" s="43" t="str">
        <f t="shared" si="753"/>
        <v/>
      </c>
      <c r="OP212" s="43" t="str">
        <f t="shared" si="754"/>
        <v/>
      </c>
      <c r="OQ212" s="43" t="str">
        <f t="shared" si="755"/>
        <v/>
      </c>
      <c r="OR212" s="43" t="str">
        <f t="shared" si="756"/>
        <v/>
      </c>
      <c r="OS212" s="43" t="str">
        <f t="shared" si="757"/>
        <v/>
      </c>
      <c r="OT212" s="43" t="str">
        <f t="shared" si="758"/>
        <v/>
      </c>
      <c r="OU212" s="43" t="str">
        <f t="shared" si="759"/>
        <v/>
      </c>
      <c r="OV212" s="110" t="str">
        <f t="shared" si="760"/>
        <v/>
      </c>
      <c r="OW212" s="43" t="str">
        <f t="shared" si="761"/>
        <v/>
      </c>
      <c r="OX212" s="43" t="str">
        <f t="shared" si="762"/>
        <v/>
      </c>
      <c r="OY212" s="43" t="str">
        <f t="shared" si="763"/>
        <v/>
      </c>
      <c r="OZ212" s="43" t="str">
        <f t="shared" si="764"/>
        <v/>
      </c>
      <c r="PA212" s="43" t="str">
        <f t="shared" si="765"/>
        <v/>
      </c>
      <c r="PB212" s="43" t="str">
        <f t="shared" si="766"/>
        <v/>
      </c>
      <c r="PC212" s="43" t="str">
        <f t="shared" si="767"/>
        <v/>
      </c>
      <c r="PD212" s="43" t="str">
        <f t="shared" si="768"/>
        <v/>
      </c>
      <c r="PE212" s="43" t="str">
        <f t="shared" si="769"/>
        <v/>
      </c>
      <c r="PF212" s="43" t="str">
        <f t="shared" si="770"/>
        <v/>
      </c>
      <c r="PG212" s="43" t="str">
        <f t="shared" si="771"/>
        <v/>
      </c>
      <c r="PH212" s="43" t="str">
        <f t="shared" si="772"/>
        <v/>
      </c>
      <c r="PI212" s="43">
        <f t="shared" si="773"/>
        <v>23</v>
      </c>
      <c r="PJ212" s="43" t="str">
        <f t="shared" si="774"/>
        <v/>
      </c>
      <c r="PK212" s="43" t="str">
        <f t="shared" si="775"/>
        <v/>
      </c>
      <c r="PL212" s="43" t="str">
        <f t="shared" si="776"/>
        <v/>
      </c>
      <c r="PM212" s="43" t="str">
        <f t="shared" si="777"/>
        <v/>
      </c>
      <c r="PN212" s="43" t="str">
        <f t="shared" si="778"/>
        <v/>
      </c>
      <c r="PO212" s="43" t="str">
        <f t="shared" si="779"/>
        <v/>
      </c>
      <c r="PP212" s="43" t="str">
        <f t="shared" si="780"/>
        <v/>
      </c>
      <c r="PQ212" s="43" t="str">
        <f t="shared" si="781"/>
        <v/>
      </c>
      <c r="PR212" s="43" t="str">
        <f t="shared" si="782"/>
        <v/>
      </c>
      <c r="PS212" s="43" t="str">
        <f t="shared" si="783"/>
        <v/>
      </c>
      <c r="PT212" s="43" t="str">
        <f t="shared" si="784"/>
        <v/>
      </c>
      <c r="PU212" s="43" t="str">
        <f t="shared" si="785"/>
        <v/>
      </c>
      <c r="PV212" s="43" t="str">
        <f t="shared" si="786"/>
        <v/>
      </c>
      <c r="PW212" s="43" t="str">
        <f t="shared" si="787"/>
        <v/>
      </c>
      <c r="PX212" s="43" t="str">
        <f t="shared" si="788"/>
        <v>SOBREPESO</v>
      </c>
      <c r="PY212" s="43" t="str">
        <f t="shared" si="789"/>
        <v/>
      </c>
      <c r="PZ212" s="43" t="str">
        <f t="shared" si="790"/>
        <v/>
      </c>
      <c r="QA212" s="43" t="str">
        <f t="shared" si="791"/>
        <v/>
      </c>
      <c r="QB212" s="43" t="str">
        <f t="shared" si="792"/>
        <v/>
      </c>
      <c r="QC212" s="43" t="str">
        <f t="shared" si="793"/>
        <v/>
      </c>
      <c r="QD212" s="43" t="str">
        <f t="shared" si="794"/>
        <v/>
      </c>
      <c r="QE212" s="43" t="str">
        <f t="shared" si="795"/>
        <v/>
      </c>
      <c r="QF212" s="43" t="str">
        <f t="shared" si="796"/>
        <v/>
      </c>
      <c r="QG212" s="43" t="str">
        <f t="shared" si="797"/>
        <v/>
      </c>
      <c r="QH212" s="43" t="str">
        <f t="shared" si="798"/>
        <v/>
      </c>
      <c r="QI212" s="43" t="str">
        <f t="shared" si="799"/>
        <v/>
      </c>
      <c r="QJ212" s="43" t="str">
        <f t="shared" si="800"/>
        <v/>
      </c>
      <c r="QK212" s="43" t="str">
        <f t="shared" si="801"/>
        <v/>
      </c>
      <c r="QL212" s="43" t="str">
        <f t="shared" si="802"/>
        <v/>
      </c>
      <c r="QM212" s="43" t="str">
        <f t="shared" si="803"/>
        <v/>
      </c>
      <c r="QN212" s="43" t="str">
        <f t="shared" si="804"/>
        <v/>
      </c>
      <c r="QO212" s="43" t="str">
        <f t="shared" si="805"/>
        <v/>
      </c>
      <c r="QP212" s="43" t="str">
        <f t="shared" si="806"/>
        <v/>
      </c>
      <c r="QQ212" s="43" t="str">
        <f t="shared" si="807"/>
        <v/>
      </c>
      <c r="QR212" s="43">
        <f t="shared" si="837"/>
        <v>23</v>
      </c>
      <c r="QS212" s="43"/>
      <c r="QT212" s="21" t="str">
        <f t="shared" si="808"/>
        <v/>
      </c>
      <c r="QU212" s="21" t="str">
        <f t="shared" si="809"/>
        <v/>
      </c>
      <c r="QV212" s="21" t="str">
        <f t="shared" si="810"/>
        <v/>
      </c>
      <c r="QW212" s="21" t="str">
        <f t="shared" si="811"/>
        <v/>
      </c>
      <c r="QX212" s="21" t="str">
        <f t="shared" si="812"/>
        <v/>
      </c>
      <c r="QY212" s="21" t="str">
        <f t="shared" si="813"/>
        <v/>
      </c>
      <c r="QZ212" s="21" t="str">
        <f t="shared" si="814"/>
        <v/>
      </c>
      <c r="RA212" s="21" t="str">
        <f t="shared" si="815"/>
        <v/>
      </c>
      <c r="RB212" s="21" t="str">
        <f t="shared" si="816"/>
        <v/>
      </c>
      <c r="RC212" s="21" t="str">
        <f t="shared" si="817"/>
        <v/>
      </c>
      <c r="RD212" s="21" t="str">
        <f t="shared" si="818"/>
        <v>ADECUADO PARA EDAD GESTACIONAL</v>
      </c>
      <c r="RE212" s="21" t="str">
        <f t="shared" si="819"/>
        <v/>
      </c>
      <c r="RF212" s="21" t="str">
        <f t="shared" si="820"/>
        <v/>
      </c>
      <c r="RG212" s="21" t="str">
        <f t="shared" si="821"/>
        <v/>
      </c>
      <c r="RH212" s="21" t="str">
        <f t="shared" si="822"/>
        <v/>
      </c>
      <c r="RI212" s="21" t="str">
        <f t="shared" si="823"/>
        <v/>
      </c>
      <c r="RJ212" s="21" t="str">
        <f t="shared" si="824"/>
        <v/>
      </c>
      <c r="RK212" s="21" t="str">
        <f t="shared" si="825"/>
        <v/>
      </c>
      <c r="RL212" s="21" t="str">
        <f t="shared" si="826"/>
        <v/>
      </c>
      <c r="RM212" s="21" t="str">
        <f t="shared" si="827"/>
        <v/>
      </c>
      <c r="RN212" s="21" t="str">
        <f t="shared" si="828"/>
        <v/>
      </c>
      <c r="RO212" s="21" t="str">
        <f t="shared" si="829"/>
        <v/>
      </c>
      <c r="RP212" s="21" t="str">
        <f t="shared" si="830"/>
        <v/>
      </c>
      <c r="RQ212" s="21" t="str">
        <f t="shared" si="831"/>
        <v/>
      </c>
      <c r="RR212" s="21" t="str">
        <f t="shared" si="832"/>
        <v/>
      </c>
      <c r="RS212" s="21" t="str">
        <f t="shared" si="833"/>
        <v/>
      </c>
      <c r="RT212" s="21" t="str">
        <f t="shared" si="834"/>
        <v/>
      </c>
      <c r="RU212" s="21" t="str">
        <f t="shared" si="835"/>
        <v/>
      </c>
      <c r="RV212" s="21">
        <f t="shared" si="836"/>
        <v>-1</v>
      </c>
      <c r="RW212" s="284">
        <f>IF(OR(Tabla1[[#This Row],[FUM FORMULA CONFIABLE]]="",Tabla1[[#This Row],[FUM FORMULA CONFIABLE]]="SD"),"",IF(Tabla1[[#This Row],[FUM FORMULA CONFIABLE]]="CORREGIDA",Tabla1[[#This Row],[FUM X ECO 1]],Tabla1[[#This Row],[FUM x AMENORREA]]))</f>
        <v>44954</v>
      </c>
      <c r="RX212" s="21">
        <f>IF(AND(Tabla1[[#This Row],[FUM X ECO 1]]="",Tabla1[[#This Row],[FUM x AMENORREA]]=""),"",IF(AND(Tabla1[[#This Row],[FUM X ECO 1]]="",Tabla1[[#This Row],[FUM x AMENORREA]]&lt;&gt;""),"X",SUM(Tabla1[[#This Row],[FUM X ECO 1]]-Tabla1[[#This Row],[FUM x AMENORREA]])))</f>
        <v>-9.4000000000014552</v>
      </c>
      <c r="RY212" s="21">
        <f t="shared" si="838"/>
        <v>1</v>
      </c>
    </row>
    <row r="213" spans="1:493" ht="45" customHeight="1" x14ac:dyDescent="0.25">
      <c r="A213" s="109"/>
      <c r="B213" s="43"/>
      <c r="C213" s="43" t="s">
        <v>845</v>
      </c>
      <c r="D213" s="124"/>
      <c r="E213" s="43" t="s">
        <v>1156</v>
      </c>
      <c r="F213" s="43" t="s">
        <v>884</v>
      </c>
      <c r="G213" s="43" t="s">
        <v>1481</v>
      </c>
      <c r="H213" s="43" t="s">
        <v>1482</v>
      </c>
      <c r="I213" s="109" t="s">
        <v>851</v>
      </c>
      <c r="J213" s="291" t="s">
        <v>1483</v>
      </c>
      <c r="K213" s="43" t="s">
        <v>852</v>
      </c>
      <c r="L213" s="175" t="s">
        <v>1509</v>
      </c>
      <c r="M213" s="22">
        <v>37306</v>
      </c>
      <c r="N213" s="213">
        <f t="shared" ca="1" si="839"/>
        <v>21.717808219178082</v>
      </c>
      <c r="O213" s="22">
        <v>45055</v>
      </c>
      <c r="P213" s="214" t="str">
        <f t="shared" si="916"/>
        <v>SI</v>
      </c>
      <c r="Q213" s="26" t="s">
        <v>855</v>
      </c>
      <c r="R213" s="22">
        <v>45055</v>
      </c>
      <c r="S213" s="21" t="s">
        <v>856</v>
      </c>
      <c r="T213" s="24" t="s">
        <v>690</v>
      </c>
      <c r="U213" s="21" t="s">
        <v>857</v>
      </c>
      <c r="V213" s="21" t="s">
        <v>1009</v>
      </c>
      <c r="W213" s="21"/>
      <c r="X213" s="21"/>
      <c r="Y213" s="21" t="s">
        <v>859</v>
      </c>
      <c r="Z213" s="21">
        <v>3145948472</v>
      </c>
      <c r="AA213" s="21" t="s">
        <v>860</v>
      </c>
      <c r="AB213" s="27" t="s">
        <v>861</v>
      </c>
      <c r="AC213" s="26" t="s">
        <v>888</v>
      </c>
      <c r="AD213" s="38" t="s">
        <v>1546</v>
      </c>
      <c r="AE213" s="26" t="s">
        <v>854</v>
      </c>
      <c r="AF213" s="26" t="s">
        <v>854</v>
      </c>
      <c r="AG213" s="23" t="s">
        <v>864</v>
      </c>
      <c r="AH213" s="23" t="s">
        <v>864</v>
      </c>
      <c r="AI213" s="24" t="s">
        <v>863</v>
      </c>
      <c r="AJ213" s="23" t="s">
        <v>864</v>
      </c>
      <c r="AK213" s="220" t="str">
        <f>IF(AND(AD213="",AE213="",AF213="",AG213="",AH213="",AI213="",AJ213=""),"",IF(OR(Tabla1[[#This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EVALUACIÓN",IF(AND(O213="",R213=""),"",IF(AND(OR(O213&gt;0,R213&gt;0),NG213&gt;=0,NG213&lt;2),"SIN RIESGO",IF(AND(OR(O213&gt;0,R213&gt;0),NG213&gt;=2),"CON RIESGO","ASD")))))</f>
        <v>SIN RIESGO</v>
      </c>
      <c r="AL213" s="23" t="s">
        <v>864</v>
      </c>
      <c r="AM213" s="23" t="s">
        <v>864</v>
      </c>
      <c r="AN213" s="23" t="s">
        <v>864</v>
      </c>
      <c r="AO213" s="23" t="s">
        <v>864</v>
      </c>
      <c r="AP213" s="23" t="s">
        <v>864</v>
      </c>
      <c r="AQ213" s="23" t="s">
        <v>864</v>
      </c>
      <c r="AR213" s="23" t="s">
        <v>864</v>
      </c>
      <c r="AS213" s="21">
        <v>0</v>
      </c>
      <c r="AT213" s="21">
        <v>0</v>
      </c>
      <c r="AU213" s="21">
        <v>0</v>
      </c>
      <c r="AV213" s="26" t="s">
        <v>864</v>
      </c>
      <c r="AW213" s="21">
        <v>0</v>
      </c>
      <c r="AX213" s="26" t="s">
        <v>864</v>
      </c>
      <c r="AY213" s="26" t="s">
        <v>864</v>
      </c>
      <c r="AZ213" s="26" t="s">
        <v>864</v>
      </c>
      <c r="BA213" s="26" t="s">
        <v>864</v>
      </c>
      <c r="BB213" s="26" t="s">
        <v>864</v>
      </c>
      <c r="BC213" s="26" t="s">
        <v>864</v>
      </c>
      <c r="BD213" s="26" t="s">
        <v>864</v>
      </c>
      <c r="BE213" s="26" t="s">
        <v>864</v>
      </c>
      <c r="BF213" s="26" t="s">
        <v>864</v>
      </c>
      <c r="BG213" s="26" t="s">
        <v>864</v>
      </c>
      <c r="BH213" s="26" t="s">
        <v>864</v>
      </c>
      <c r="BI213" s="26" t="s">
        <v>864</v>
      </c>
      <c r="BJ213" s="26" t="s">
        <v>864</v>
      </c>
      <c r="BK213" s="26" t="s">
        <v>864</v>
      </c>
      <c r="BL213" s="26" t="s">
        <v>864</v>
      </c>
      <c r="BM213" s="26" t="s">
        <v>864</v>
      </c>
      <c r="BN213" s="22"/>
      <c r="BO213" s="22">
        <v>45003</v>
      </c>
      <c r="BP213" s="21" t="s">
        <v>1380</v>
      </c>
      <c r="BQ213" s="222">
        <f t="shared" si="840"/>
        <v>0</v>
      </c>
      <c r="BR213" s="223">
        <f t="shared" si="841"/>
        <v>45013.3</v>
      </c>
      <c r="BS213" s="224">
        <f t="shared" si="842"/>
        <v>5.9571428571424416</v>
      </c>
      <c r="BT213" s="216" t="str">
        <f t="shared" si="843"/>
        <v>I TRIM</v>
      </c>
      <c r="BU213" s="214">
        <f t="shared" ca="1" si="925"/>
        <v>31.38571428571387</v>
      </c>
      <c r="BV213" s="25" t="s">
        <v>1525</v>
      </c>
      <c r="BW213" s="22">
        <v>45098</v>
      </c>
      <c r="BX213" s="28">
        <v>12.1</v>
      </c>
      <c r="BY213" s="28" t="s">
        <v>988</v>
      </c>
      <c r="BZ213" s="22">
        <v>45149</v>
      </c>
      <c r="CA213" s="21">
        <v>19</v>
      </c>
      <c r="CB213" s="26" t="s">
        <v>864</v>
      </c>
      <c r="CC213" s="26" t="s">
        <v>864</v>
      </c>
      <c r="CD213" s="26"/>
      <c r="CE213" s="26" t="s">
        <v>864</v>
      </c>
      <c r="CF213" s="22" t="s">
        <v>1517</v>
      </c>
      <c r="CG213" s="21">
        <v>1.57</v>
      </c>
      <c r="CH213" s="21">
        <v>59</v>
      </c>
      <c r="CI213" s="214">
        <f t="shared" si="845"/>
        <v>23.936062314901211</v>
      </c>
      <c r="CJ213" s="225" t="str">
        <f>IF(AND(CI213&lt;10,CH213="SD"),"SIN DATO PESO PREGESTACION O I TRIM",IF(AND(OR(R213&gt;0,O213&gt;0),CI213="X"),"INGRESAR DATO DE PESO",IF(CI213="SD","INGRESAR DATO DE TALLA Y PESO",IF(AND(OR(Tabla1[[#This Row],[MOMENTO EN QUE SE REALIZA EL PESO AL INGRESO A CPN]]="PREGESTACIÓN",NZ213="Menor"),CI213&lt;18.5),"BAJO PESO",IF(AND(OR(Tabla1[[#This Row],[MOMENTO EN QUE SE REALIZA EL PESO AL INGRESO A CPN]]="PREGESTACIÓN",NZ213="Menor"),CI213&lt;25),"NORMAL",IF(AND(OR(Tabla1[[#This Row],[MOMENTO EN QUE SE REALIZA EL PESO AL INGRESO A CPN]]="PREGESTACIÓN",NZ213="Menor"),CI213&lt;30),"SOBREPESO",IF(AND(OR(Tabla1[[#This Row],[MOMENTO EN QUE SE REALIZA EL PESO AL INGRESO A CPN]]="PREGESTACIÓN",NZ213="Menor"),CI213&gt;=30,CI213&lt;50),"OBESIDAD",IF(AND(BS213&gt;0,Tabla1[[#This Row],[MOMENTO EN QUE SE REALIZA EL PESO AL INGRESO A CPN]]="GESTACIÓN"),HLOOKUP(NZ213,$OA$2:PH213,NY213),""))))))))</f>
        <v>NORMAL</v>
      </c>
      <c r="CK213" s="212">
        <f t="shared" si="846"/>
        <v>45143</v>
      </c>
      <c r="CL213" s="21">
        <v>57.2</v>
      </c>
      <c r="CM213" s="214">
        <f t="shared" si="847"/>
        <v>23.205809566311007</v>
      </c>
      <c r="CN213" s="216">
        <f t="shared" si="848"/>
        <v>18</v>
      </c>
      <c r="CO213" s="216" t="e">
        <f>IF(PI213="","",IF(PI213&gt;0,HLOOKUP(PI213,$PJ$2:QQ213,NY213),""))</f>
        <v>#REF!</v>
      </c>
      <c r="CP213" s="21">
        <v>36</v>
      </c>
      <c r="CQ213" s="216" t="e">
        <f>IF(QR213="Menor","NO APLICA-MENOR 13 SEM",IF(AND(CC213="SI",CN213&gt;23),"NO APLICA- GEMELAR",IF(QR213="","",IF(QR213&gt;0,HLOOKUP(QR213,$QS$2:RU213,NY213),""))))</f>
        <v>#REF!</v>
      </c>
      <c r="CR213" s="21">
        <v>100</v>
      </c>
      <c r="CS213" s="21">
        <v>60</v>
      </c>
      <c r="CT213" s="217" t="str">
        <f>IF(R213="","",IF(AND(BS213&gt;1,BS213&lt;12,Tabla1[[#This Row],[T.A. SISTOLICA - ANTES DE SEMANA 12]]="",Tabla1[[#This Row],[T.A. DIASTOLICA - ANTES DE SEMANA 12]]=""),"REGISTRE DATO TA ANTES SEMANA 12",IF(AND(BS213&gt;11,BS213&lt;43,Tabla1[[#This Row],[T.A. SISTOLICA - ANTES DE SEMANA 12]]="",Tabla1[[#This Row],[T.A. DIASTOLICA - ANTES DE SEMANA 12]]=""),"NO APLICA REGISTRO TA-INGRESO TARDIO",IF(AND(OR(O213&gt;0,R213&gt;0),OR(CR213&gt;=140,CS213&gt;=90)),"DEFINIR ESTADIO HTA",IF(AND(OR(O213&gt;0,R213&gt;0),AND(CR213&gt;120,CR213&lt;=139)),"PRE HTA SEGUIMIENTO",IF(AND(OR(O213&gt;0,R213&gt;0),AND(CS213&gt;80,CS213&lt;=89)),"PRE HTA SEGUIMIENTO",IF(AND(OR(O213&gt;0,R213&gt;0),AND(CR213&gt;=80,CR213&lt;=120)),"APARENTEMENTE NORMAL",IF(AND(OR(O213&gt;0,R213&gt;0),AND(CS213&gt;=50,CS213&lt;=80)),"APARENTEMENTE NORMAL",IF(AND(OR(O213&gt;0,R213&gt;0),AND(CR213&gt;1,CR213&lt;=70),AND(CS213&gt;1,CS213&lt;=40)),"HIPOTENSIÓN","")))))))))</f>
        <v>APARENTEMENTE NORMAL</v>
      </c>
      <c r="CU213" s="21">
        <v>100</v>
      </c>
      <c r="CV213" s="21">
        <v>60</v>
      </c>
      <c r="CW213" s="217" t="str">
        <f ca="1">IF(R213="","",IF(AND(CN213&gt;19,CN213&lt;27,Tabla1[[#This Row],[T.A. SISTOLICA (Entre semana 20 y 26)]]="",Tabla1[[#This Row],[T.A. DIATOLICA (Entre semana 20 y 26)]]=""),"ACUDE A CONTROL SEM 20 A 26 REGISTRE TA AHORA",IF(AND(BS213&gt;1,BS213&lt;27,BU213&gt;19,Tabla1[[#This Row],[T.A. SISTOLICA (Entre semana 20 y 26)]]="",Tabla1[[#This Row],[T.A. DIATOLICA (Entre semana 20 y 26)]]=""),"COMPLETE REGISTRO TA CONTROL SEM 20 A26 ",IF(AND(BS213&gt;26,BS213&lt;43,Tabla1[[#This Row],[T.A. SISTOLICA (Entre semana 20 y 26)]]="",Tabla1[[#This Row],[T.A. DIATOLICA (Entre semana 20 y 26)]]=""),"NO APLICA REGISTRO TA-INGRESO TARDIO",IF(AND(OR(O213&gt;0,R213&gt;0),OR(CU213&gt;=140,CV213&gt;=90)),"ALTO RIESGO PREECLAMPSIA,DEFINIR ESTADIO HTA",IF(AND(OR(O213&gt;0,R213&gt;0),AND(CU213&gt;120,CU213&lt;=139)),"PRE HTA SEGUIMIENTO,RIESGO HIPERTENSION INDUCIDA POR EL EMBARAZO",IF(AND(OR(O213&gt;0,R213&gt;0),AND(CV213&gt;80,CV213&lt;=89)),"PRE HTA SEGUIMIENTO, RIESGO HIPERTENSION INDUCIDA POR EL EMBARAZO",IF(AND(OR(O213&lt;&gt;"",R213&lt;&gt;""),CS213&lt;&gt;"",CV213&lt;&gt;"",CS213&lt;=CV213),"VIGILAR CIFRAS PRESION ARTERIAL",IF(AND(OR(O213&gt;0,R213&gt;0),AND(CU213&gt;120,CU213&lt;=139)),"PRE HTA SEGUIMIENTO",IF(AND(OR(O213&gt;0,R213&gt;0),AND(CU213&gt;1,CU213&lt;=70),AND(CV213&gt;1,CV213&lt;=40)),"HIPOTENSIÓN",IF(AND(OR(O213&lt;&gt;"",R213&lt;&gt;""),CS213&lt;&gt;"",CV213&lt;&gt;"",CS213&gt;CV213),"APARENTEMENTE NORMAL",IF(AND(OR(O213&gt;0,R213&gt;0),AND(CU213&gt;=80,CU213&lt;=120)),"APARENTEMENTE NORMAL",IF(AND(OR(O213&gt;0,R213&gt;0),AND(CV213&gt;=50,CV213&lt;=80)),"APARENTEMENTE NORMAL","")))))))))))))</f>
        <v>VIGILAR CIFRAS PRESION ARTERIAL</v>
      </c>
      <c r="CX213" s="21"/>
      <c r="CY213" s="21"/>
      <c r="CZ213" s="216" t="e">
        <f>IF(R213="","",IF(AND(CN213&gt;31,CN213&lt;35,CX213="",CY213=""),"ACUDE A CONTROL SEM 30 A 34- REGISTRE AHORA",IF(AND(BS213&gt;34,BS213&lt;43,#REF!="",#REF!=""),"NO APLICA-INGRESO TARDIO",IF(AND(OR(O213&gt;0,R213&gt;0),OR(CX213&gt;=140,CY213&gt;=90)),"ESTUDIO INMEDIATO HTA PARA DESCARTAR PREECLAMSIA",IF(AND(OR(O213&gt;0,R213&gt;0),AND(CX213&gt;=130,CX213&lt;=139)),"PRE HTA,RIESGO ALTO PREECLAMPSIA",IF(AND(OR(O213&gt;0,R213&gt;0),AND(CY213&gt;80,CY213&lt;=89)),"PRE HTA,RIESGO ALTO PREECLAMPSIA",IF(AND(OR(O213&gt;0,R213&gt;0),AND(CX213&gt;120,CX213&lt;=129)),"RANGO PREHIPERTENSIVO SEGUIMIENTO HTA",IF(AND(OR(O213&lt;&gt;"",R213&lt;&gt;""),CS213&lt;&gt;"",CY213&lt;&gt;"",CS213&lt;CY213),"VIGILAR CIFRAS PRESION ARTERIAL",IF(AND(OR(O213&lt;&gt;"",R213&lt;&gt;""),CS213&lt;&gt;"",CY213&lt;&gt;"",CS213=CY213),"APARENTEMENTE NORMAL",IF(AND(OR(O213&gt;0,R213&gt;0),CX213&gt;=80,CX213&lt;=120),"APARENTEMENTE NORMAL",IF(AND(OR(O213&gt;0,R213&gt;0),CY213&gt;=50,CY213&lt;=80),"APARENTEMENTE NORMAL","")))))))))))</f>
        <v>#REF!</v>
      </c>
      <c r="DA213" s="21">
        <v>100</v>
      </c>
      <c r="DB213" s="21">
        <v>60</v>
      </c>
      <c r="DC213" s="217" t="str">
        <f t="shared" si="849"/>
        <v>APARENTEMENTE NORMAL</v>
      </c>
      <c r="DD213" s="22">
        <v>45080</v>
      </c>
      <c r="DE213" s="22">
        <v>45055</v>
      </c>
      <c r="DF213" s="22">
        <v>45080</v>
      </c>
      <c r="DG213" s="22">
        <v>45115</v>
      </c>
      <c r="DH213" s="22">
        <v>45143</v>
      </c>
      <c r="DI213" s="22"/>
      <c r="DJ213" s="22"/>
      <c r="DK213" s="22"/>
      <c r="DL213" s="22"/>
      <c r="DM213" s="22"/>
      <c r="DN213" s="22"/>
      <c r="DO213" s="22"/>
      <c r="DP213" s="22"/>
      <c r="DQ213" s="22"/>
      <c r="DR213" s="28">
        <v>1</v>
      </c>
      <c r="DS213" s="22"/>
      <c r="DT213" s="22"/>
      <c r="DU213" s="216" t="str">
        <f t="shared" ca="1" si="917"/>
        <v>PLANEAR PLAN DE PARTO</v>
      </c>
      <c r="DV213" s="226" t="str">
        <f t="shared" si="918"/>
        <v>ACTIVA INGRESO A CPN</v>
      </c>
      <c r="DW21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3" s="216" t="e">
        <f t="shared" ca="1" si="850"/>
        <v>#REF!</v>
      </c>
      <c r="DY213" s="212">
        <f>IF(R213="","",IF(R213&gt;0,MAX(Tabla1[[#This Row],[FECHA C2]:[FECHA C13]],Tabla1[[#This Row],[FECHA CONSULTA PRIMERA VEZ PROGRAMA CPN ]])))</f>
        <v>45143</v>
      </c>
      <c r="DZ213" s="216">
        <f t="shared" si="851"/>
        <v>18</v>
      </c>
      <c r="EA213" s="222">
        <f>IF(R213&gt;0,SUM(COUNTA(DF213:DQ213)+COUNTA(Tabla1[[#This Row],[FECHA CONSULTA PRIMERA VEZ PROGRAMA CPN ]])),"")</f>
        <v>4</v>
      </c>
      <c r="EB213" s="222" t="str">
        <f t="shared" si="852"/>
        <v>SI</v>
      </c>
      <c r="EC213" s="214">
        <f t="shared" si="853"/>
        <v>10</v>
      </c>
      <c r="ED213" s="227">
        <f t="shared" si="854"/>
        <v>0.4</v>
      </c>
      <c r="EE213" s="22">
        <v>45055</v>
      </c>
      <c r="EF213" s="22">
        <v>45055</v>
      </c>
      <c r="EG213" s="22">
        <v>45055</v>
      </c>
      <c r="EH213" s="22"/>
      <c r="EI213" s="22">
        <v>45055</v>
      </c>
      <c r="EJ213" s="22"/>
      <c r="EK213" s="22"/>
      <c r="EL213" s="21"/>
      <c r="EM213" s="21">
        <v>14.5</v>
      </c>
      <c r="EN213" s="22">
        <v>45055</v>
      </c>
      <c r="EO213" s="222">
        <f t="shared" si="855"/>
        <v>5.9571428571424416</v>
      </c>
      <c r="EP213" s="214" t="str">
        <f t="shared" si="856"/>
        <v>NO DAR SULFATO FERROSO</v>
      </c>
      <c r="EQ213" s="216" t="str">
        <f t="shared" si="857"/>
        <v>I TRIM</v>
      </c>
      <c r="ER213" s="24"/>
      <c r="ES213" s="22"/>
      <c r="ET213" s="29" t="str">
        <f t="shared" ca="1" si="919"/>
        <v>TOMA DE HEMOGLOBINA TARDÍA</v>
      </c>
      <c r="EU213" s="25" t="str">
        <f t="shared" si="858"/>
        <v/>
      </c>
      <c r="EV213" s="24" t="s">
        <v>1510</v>
      </c>
      <c r="EW213" s="32">
        <v>45055</v>
      </c>
      <c r="EX213" s="22"/>
      <c r="EY213" s="29">
        <f t="shared" si="691"/>
        <v>5.9571428571424416</v>
      </c>
      <c r="EZ213" s="25" t="str">
        <f t="shared" si="692"/>
        <v>SIN RIESGO DE ISOINMUNIZACIÓN</v>
      </c>
      <c r="FA213" s="21">
        <v>81</v>
      </c>
      <c r="FB213" s="22">
        <v>45055</v>
      </c>
      <c r="FC213" s="29">
        <f t="shared" si="859"/>
        <v>5.9571428571424416</v>
      </c>
      <c r="FD213" s="29"/>
      <c r="FE213" s="29"/>
      <c r="FF213" s="29"/>
      <c r="FG213" s="21" t="str">
        <f t="shared" ca="1" si="860"/>
        <v>TOMAR PTOG</v>
      </c>
      <c r="FH213" s="31"/>
      <c r="FI213" s="29" t="str">
        <f t="shared" si="861"/>
        <v>TOMAR EXAMEN</v>
      </c>
      <c r="FJ213" s="22" t="s">
        <v>867</v>
      </c>
      <c r="FK213" s="22">
        <v>45055</v>
      </c>
      <c r="FL213" s="29">
        <f t="shared" ca="1" si="862"/>
        <v>5.9571428571424416</v>
      </c>
      <c r="FM213" s="22"/>
      <c r="FN213" s="32"/>
      <c r="FO213" s="29" t="str">
        <f t="shared" ca="1" si="920"/>
        <v>PIERDE TOMA DE TAMIZAJE</v>
      </c>
      <c r="FP213" s="22"/>
      <c r="FQ213" s="32"/>
      <c r="FR213" s="29" t="str">
        <f t="shared" ca="1" si="921"/>
        <v>EN RANGO PARA TOMAR EXAMEN</v>
      </c>
      <c r="FS213" s="22"/>
      <c r="FT213" s="32"/>
      <c r="FU213" s="29" t="str">
        <f>IF(AND(FJ213="",FM213="",FP213="",FS213=""),"",IF(OR(OR(Tabla1[[#This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3" s="28"/>
      <c r="FW213" s="22"/>
      <c r="FX213" s="29" t="str">
        <f t="shared" si="863"/>
        <v>TOMAR EXAMEN</v>
      </c>
      <c r="FY213" s="22">
        <v>45055</v>
      </c>
      <c r="FZ213" s="22">
        <v>45055</v>
      </c>
      <c r="GA213" s="29">
        <f t="shared" ca="1" si="936"/>
        <v>5.9571428571424416</v>
      </c>
      <c r="GB213" s="22"/>
      <c r="GC213" s="22"/>
      <c r="GD213" s="29" t="str">
        <f t="shared" ca="1" si="937"/>
        <v>PIERDE TOMA DE TAMIZAJE</v>
      </c>
      <c r="GE213" s="22"/>
      <c r="GF213" s="22"/>
      <c r="GG213" s="29" t="str">
        <f t="shared" ca="1" si="923"/>
        <v>EN RANGO PARA TOMAR EXAMEN</v>
      </c>
      <c r="GH213" s="22"/>
      <c r="GI213" s="29"/>
      <c r="GJ213" s="22"/>
      <c r="GK213" s="22"/>
      <c r="GL213" s="22"/>
      <c r="GM213" s="22"/>
      <c r="GN213" s="28"/>
      <c r="GO213" s="22"/>
      <c r="GP213" s="29" t="str">
        <f t="shared" si="864"/>
        <v>TOMAR EXAMEN</v>
      </c>
      <c r="GQ213" s="28" t="s">
        <v>869</v>
      </c>
      <c r="GR213" s="28" t="s">
        <v>869</v>
      </c>
      <c r="GS213" s="22" t="str">
        <f t="shared" si="726"/>
        <v>CONTROL Igm</v>
      </c>
      <c r="GT213" s="22">
        <v>45055</v>
      </c>
      <c r="GU213" s="29">
        <f t="shared" si="865"/>
        <v>7.4285714285714288</v>
      </c>
      <c r="GV213" s="21" t="str">
        <f t="shared" si="866"/>
        <v>I TRIM</v>
      </c>
      <c r="GW213" s="28" t="s">
        <v>869</v>
      </c>
      <c r="GX213" s="30"/>
      <c r="GY213" s="21"/>
      <c r="GZ213" s="21"/>
      <c r="HA213" s="21"/>
      <c r="HB213" s="21"/>
      <c r="HC213" s="21"/>
      <c r="HD213" s="21"/>
      <c r="HE213" s="21"/>
      <c r="HF213" s="22"/>
      <c r="HG213" s="22" t="str">
        <f>IF(OR(O213&gt;0,R213&gt;0),CONCATENATE(IF(Tabla1[[#This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3" s="22" t="e">
        <f t="shared" si="867"/>
        <v>#REF!</v>
      </c>
      <c r="HI213" s="22" t="e">
        <f t="shared" ca="1" si="868"/>
        <v>#REF!</v>
      </c>
      <c r="HJ213" s="21"/>
      <c r="HK213" s="21" t="str">
        <f t="shared" si="869"/>
        <v>SIN ANTECEDENTES DE RIESGO</v>
      </c>
      <c r="HL213" s="24" t="str">
        <f t="shared" si="870"/>
        <v>APARENTEMENTE NORMAL</v>
      </c>
      <c r="HM213" s="21" t="e">
        <f t="shared" ca="1" si="871"/>
        <v>#REF!</v>
      </c>
      <c r="HN213" s="30" t="str">
        <f t="shared" si="924"/>
        <v>ACTIVA INGRESO A CPN</v>
      </c>
      <c r="HO213" s="21"/>
      <c r="HP213" s="21"/>
      <c r="HQ213" s="349"/>
      <c r="HR213" s="21" t="str">
        <f>IF(R213="","",IF(Tabla1[[#This Row],[ALARMA FACTORES DE RIESGO COMPLICACIONES HIPERTENSIVAS3]]="SIN ANTECEDENTES DE RIESGO","No Aplica para suministro de ASA",IF(AND(Tabla1[[#This Row],[FECHA INICIO DE SUMINISTRO DE ASA]]&gt;0,RV213&lt;12),"Inicia ASA ANTES de Sem 12",IF(AND(RV213&gt;11,RV213&lt;17,OR(HK213="RIESGO ALTO DE COMPLICACIONES HIPERTENSIVAS VER MANEJO GUIA SUMINISTRO ASA Y CALCIO",HK213="RIESGO MODERADO (2 O MAS CRITERIOS) VER MANEJO GUIA SUMINISTRO ASA Y CALCIO")),"Inicio oportuno de ASA",IF(AND(RV213&gt;12,OR(HK213="RIESGO ALTO DE COMPLICACIONES HIPERTENSIVAS VER MANEJO GUIA SUMINISTRO ASA Y CALCIO",HK213="RIESGO MODERADO (2 O MAS CRITERIOS) VER MANEJO GUIA SUMINISTRO ASA Y CALCIO")),"Inicio no oportuno mayor a 16 semanas",IF(AND(BU213&lt;12,OR(HK213="RIESGO ALTO DE COMPLICACIONES HIPERTENSIVAS VER MANEJO GUIA SUMINISTRO ASA Y CALCIO",HK213="RIESGO MODERADO (2 O MAS CRITERIOS) VER MANEJO GUIA SUMINISTRO ASA Y CALCIO")),"Pendiente Inicio de ASA a la semana 12",IF(AND(BU213&gt;11,BU213&lt;17,OR(HK213="RIESGO ALTO DE COMPLICACIONES HIPERTENSIVAS VER MANEJO GUIA SUMINISTRO ASA Y CALCIO",HK213="RIESGO MODERADO (2 O MAS CRITERIOS) VER MANEJO GUIA SUMINISTRO ASA Y CALCIO")),"Iniciar de inmediato ASA",IF(AND(BU213&gt;16,OR(HK213="RIESGO ALTO DE COMPLICACIONES HIPERTENSIVAS VER MANEJO GUIA SUMINISTRO ASA Y CALCIO",HK213="RIESGO MODERADO (2 O MAS CRITERIOS) VER MANEJO GUIA SUMINISTRO ASA Y CALCIO")),"Pierde Oportunidad, Inicio tardío de ASA","XXXXX"))))))))</f>
        <v>No Aplica para suministro de ASA</v>
      </c>
      <c r="HS213" s="22">
        <v>45055</v>
      </c>
      <c r="HT213" s="22" t="s">
        <v>870</v>
      </c>
      <c r="HU213" s="22">
        <v>45055</v>
      </c>
      <c r="HV213" s="22" t="s">
        <v>870</v>
      </c>
      <c r="HW213" s="22">
        <v>45055</v>
      </c>
      <c r="HX213" s="22" t="s">
        <v>870</v>
      </c>
      <c r="HY213" s="22">
        <v>45055</v>
      </c>
      <c r="HZ213" s="28">
        <f t="shared" si="872"/>
        <v>5.9571428571424416</v>
      </c>
      <c r="IA213" s="26"/>
      <c r="IB213" s="26"/>
      <c r="IC213" s="22">
        <v>45115</v>
      </c>
      <c r="ID213" s="22"/>
      <c r="IE213" s="22" t="str">
        <f t="shared" ca="1" si="873"/>
        <v>INASISTENTE</v>
      </c>
      <c r="IF213" s="22">
        <v>45115</v>
      </c>
      <c r="IG213" s="22">
        <f t="shared" si="874"/>
        <v>45293.3</v>
      </c>
      <c r="IH213" s="29">
        <f t="shared" ca="1" si="875"/>
        <v>60.30000000000291</v>
      </c>
      <c r="II213" s="22" t="str">
        <f t="shared" ca="1" si="876"/>
        <v>PENDIENTE</v>
      </c>
      <c r="IJ213" s="22"/>
      <c r="IK213" s="21"/>
      <c r="IL213" s="21"/>
      <c r="IM213" s="34"/>
      <c r="IN213" s="22"/>
      <c r="IO213" s="21"/>
      <c r="IP213" s="29" t="str">
        <f t="shared" si="877"/>
        <v/>
      </c>
      <c r="IQ213" s="35"/>
      <c r="IR213" s="21"/>
      <c r="IS213" s="21"/>
      <c r="IT213" s="21"/>
      <c r="IU213" s="21"/>
      <c r="IV213" s="21"/>
      <c r="IW213" s="21"/>
      <c r="IX213" s="21"/>
      <c r="IY213" s="21"/>
      <c r="IZ213" s="21"/>
      <c r="JA213" s="21"/>
      <c r="JB213" s="30"/>
      <c r="JC213" s="21"/>
      <c r="JD213" s="36"/>
      <c r="JE213" s="21" t="str">
        <f t="shared" si="878"/>
        <v/>
      </c>
      <c r="JF213" s="30"/>
      <c r="JG213" s="21"/>
      <c r="JH213" s="21"/>
      <c r="JI213" s="21"/>
      <c r="JJ213" s="30"/>
      <c r="JK213" s="22"/>
      <c r="JL213" s="22"/>
      <c r="JM213" s="21"/>
      <c r="JN213" s="36"/>
      <c r="JO213" s="21" t="str">
        <f t="shared" si="879"/>
        <v/>
      </c>
      <c r="JP213" s="22"/>
      <c r="JQ213" s="21"/>
      <c r="JR213" s="21"/>
      <c r="JS213" s="21"/>
      <c r="JT213" s="30"/>
      <c r="JU213" s="22"/>
      <c r="JV213" s="22"/>
      <c r="JW213" s="33"/>
      <c r="JX213" s="28" t="str">
        <f t="shared" si="880"/>
        <v/>
      </c>
      <c r="JY213" s="33"/>
      <c r="JZ213" s="28" t="str">
        <f t="shared" si="881"/>
        <v/>
      </c>
      <c r="KA213" s="21"/>
      <c r="KB213" s="21"/>
      <c r="KC213" s="21"/>
      <c r="KD213" s="37"/>
      <c r="KE213" s="28"/>
      <c r="KF213" s="28"/>
      <c r="KG213" s="28"/>
      <c r="KH213" s="39"/>
      <c r="KI213" s="39"/>
      <c r="KJ213" s="66"/>
      <c r="KK213" s="39"/>
      <c r="KL213" s="39"/>
      <c r="KM213" s="66"/>
      <c r="KN213" s="39"/>
      <c r="KO213" s="39"/>
      <c r="KP213" s="39"/>
      <c r="KQ213" s="39"/>
      <c r="KR213" s="39"/>
      <c r="KS213" s="39"/>
      <c r="KT213" s="39"/>
      <c r="KU213" s="38"/>
      <c r="KV213" s="38"/>
      <c r="KW213" s="38"/>
      <c r="KX213" s="38"/>
      <c r="KY213" s="38"/>
      <c r="KZ213" s="38"/>
      <c r="LA213" s="38"/>
      <c r="LB213" s="38"/>
      <c r="LC213" s="38"/>
      <c r="LD213" s="38"/>
      <c r="LE213" s="38"/>
      <c r="LF213" s="38"/>
      <c r="LG213" s="38"/>
      <c r="LH213" s="38"/>
      <c r="LI213" s="38"/>
      <c r="LJ213" s="38"/>
      <c r="LK213" s="38"/>
      <c r="LL213" s="38"/>
      <c r="LM213" s="38"/>
      <c r="LN213" s="38"/>
      <c r="LO213" s="38"/>
      <c r="LP213" s="38"/>
      <c r="LQ213" s="38"/>
      <c r="LR213" s="38"/>
      <c r="LS213" s="38"/>
      <c r="LT213" s="38"/>
      <c r="LU213" s="38"/>
      <c r="LV213" s="38"/>
      <c r="LW213" s="38"/>
      <c r="LX213" s="38"/>
      <c r="LY213" s="38"/>
      <c r="LZ213" s="38"/>
      <c r="MA213" s="38"/>
      <c r="MB213" s="38"/>
      <c r="MC213" s="38"/>
      <c r="MD213" s="38"/>
      <c r="ME213" s="38"/>
      <c r="MF213" s="38"/>
      <c r="MG213" s="38"/>
      <c r="MH213" s="43">
        <f t="shared" si="882"/>
        <v>0</v>
      </c>
      <c r="MI213" s="43" t="str">
        <f t="shared" si="926"/>
        <v/>
      </c>
      <c r="MJ213" s="43" t="str">
        <f t="shared" si="884"/>
        <v/>
      </c>
      <c r="MK213" s="43">
        <f t="shared" si="885"/>
        <v>0</v>
      </c>
      <c r="ML21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3" s="43">
        <f t="shared" si="927"/>
        <v>5.9571428571424416</v>
      </c>
      <c r="MN213" s="43">
        <f t="shared" si="928"/>
        <v>5</v>
      </c>
      <c r="MO213" s="43">
        <f t="shared" si="929"/>
        <v>2023</v>
      </c>
      <c r="MP213" s="43" t="str">
        <f t="shared" si="889"/>
        <v>II TRIMESTRE AÑO</v>
      </c>
      <c r="MQ213" s="43">
        <f t="shared" si="930"/>
        <v>20.915462111257117</v>
      </c>
      <c r="MR213" s="43">
        <f t="shared" si="891"/>
        <v>0</v>
      </c>
      <c r="MS213" s="43" t="str">
        <f t="shared" si="892"/>
        <v xml:space="preserve"> DE 20 A 24 AÑOS</v>
      </c>
      <c r="MT213" s="43">
        <f t="shared" si="893"/>
        <v>0</v>
      </c>
      <c r="MU213" s="43">
        <f t="shared" si="894"/>
        <v>1</v>
      </c>
      <c r="MV213" s="43">
        <f t="shared" si="895"/>
        <v>0</v>
      </c>
      <c r="MW213" s="43">
        <f t="shared" si="896"/>
        <v>0</v>
      </c>
      <c r="MX213" s="43" t="str">
        <f t="shared" si="897"/>
        <v/>
      </c>
      <c r="MY213" s="43" t="str">
        <f t="shared" ca="1" si="898"/>
        <v/>
      </c>
      <c r="MZ213" s="43" t="str">
        <f t="shared" si="899"/>
        <v/>
      </c>
      <c r="NA213" s="43" t="str">
        <f t="shared" si="900"/>
        <v/>
      </c>
      <c r="NB213" s="43" t="str">
        <f t="shared" si="901"/>
        <v/>
      </c>
      <c r="NC213" s="43" t="str">
        <f t="shared" si="902"/>
        <v/>
      </c>
      <c r="ND213" s="43">
        <f t="shared" ca="1" si="931"/>
        <v>1</v>
      </c>
      <c r="NE213" s="43">
        <f>IF(OR(O213&gt;0,R213&gt;0),SUM(COUNTIF(Tabla1[[#This Row],[AÑOS AL INICIO5 CPN]],"&gt;=40"),COUNTIF(AS213,"0"),COUNTIF(AR213,"SI"),COUNTIF(CC213,"SI"),COUNTIF(BQ213,"&gt;119"),COUNTIF(CI213,"&gt;=35")),"")</f>
        <v>1</v>
      </c>
      <c r="NF213" s="43" t="str">
        <f t="shared" si="932"/>
        <v/>
      </c>
      <c r="NG213" s="43">
        <f t="shared" si="905"/>
        <v>0</v>
      </c>
      <c r="NH213" s="43">
        <f t="shared" si="906"/>
        <v>84.7</v>
      </c>
      <c r="NI21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CPN",P213="NO"),"Z",IF(AND(Tabla1[[#This Row],[CITA PROXIMO CONTROL]]="CITA MANUAL",Tabla1[[#This Row],[GESTANTES ACTUALES]]="ACTIVA INGRESO A CPN"),"W",IF(AND(Tabla1[[#This Row],[GESTANTES ACTUALES]]="SALIO PROGRAMA",IN213=""),"S",IF(AND(Tabla1[[#This Row],[CITA PROXIMO CONTROL]]&gt;0,IN213=""),(Tabla1[[#This Row],[CITA PROXIMO CONTROL]]-TODAY()),"SD"))))))))</f>
        <v>#REF!</v>
      </c>
      <c r="NJ213" s="43">
        <f>MONTH(Tabla1[[#This Row],[FECHA DE SALIDA  DEL PROGRAMA]])</f>
        <v>1</v>
      </c>
      <c r="NK213" s="43">
        <f>YEAR(Tabla1[[#This Row],[FECHA DE SALIDA  DEL PROGRAMA]])</f>
        <v>1900</v>
      </c>
      <c r="NL213" s="43" t="str">
        <f t="shared" si="933"/>
        <v>X</v>
      </c>
      <c r="NM213" s="43" t="str">
        <f t="shared" si="938"/>
        <v>NO</v>
      </c>
      <c r="NN213" s="43" t="str">
        <f ca="1">IF(AND(O213&gt;0,R213=""),"NO CPN",IF(AND(O213="",R213=""),"",IF(AND(R213&gt;0,Tabla1[[#This Row],[SEMANAS DE GESTACION ACTUALIZADAS]]&lt;=12),"NO APLICA",IF(AND(FH213&lt;&gt;"",FN213&lt;&gt;""),"SI","NO"))))</f>
        <v>NO</v>
      </c>
      <c r="NO213" s="43" t="str">
        <f ca="1">IF(AND(O213&gt;0,R213=""),"NO CPN",IF(AND(O213="",R213=""),"",IF(AND(R213&gt;0,Tabla1[[#This Row],[SEMANAS DE GESTACION ACTUALIZADAS]]&lt;=27),"NO APLICA",IF(AND(ES213&lt;&gt;"",FQ213&lt;&gt;"",GF213&lt;&gt;""),"SI","NO"))))</f>
        <v>NO</v>
      </c>
      <c r="NP213" s="204" t="str">
        <f t="shared" si="909"/>
        <v>I TRIM</v>
      </c>
      <c r="NQ213"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3" s="21">
        <f t="shared" ca="1" si="934"/>
        <v>3</v>
      </c>
      <c r="NS213" s="205">
        <f t="shared" ca="1" si="911"/>
        <v>1</v>
      </c>
      <c r="NT213" s="21">
        <f t="shared" ca="1" si="912"/>
        <v>1</v>
      </c>
      <c r="NU213" s="21" t="str">
        <f t="shared" ca="1" si="913"/>
        <v>INCOMPLETO</v>
      </c>
      <c r="NV213" s="21" t="str">
        <f t="shared" ca="1" si="914"/>
        <v>INCOMPLETO</v>
      </c>
      <c r="NW213" s="206" t="str">
        <f>IF(AND(O213="",R213=""),"",IF(OR(AND(Tabla1[[#This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COMPLETO</v>
      </c>
      <c r="NX213" s="207" t="str">
        <f t="shared" ca="1" si="935"/>
        <v>SIN VACUNAR</v>
      </c>
      <c r="NY213" s="43">
        <f>ROW(Tabla1[[#This Row],['# DE TAMIZAJES SIFILIS TOMADOS ]])</f>
        <v>213</v>
      </c>
      <c r="NZ213" s="43" t="str">
        <f t="shared" si="738"/>
        <v>Menor</v>
      </c>
      <c r="OA213" s="43" t="str">
        <f t="shared" si="739"/>
        <v>NORMAL</v>
      </c>
      <c r="OB213" s="43" t="str">
        <f t="shared" si="740"/>
        <v/>
      </c>
      <c r="OC213" s="43" t="str">
        <f t="shared" si="741"/>
        <v/>
      </c>
      <c r="OD213" s="43" t="str">
        <f t="shared" si="742"/>
        <v/>
      </c>
      <c r="OE213" s="43" t="str">
        <f t="shared" si="743"/>
        <v/>
      </c>
      <c r="OF213" s="43" t="str">
        <f t="shared" si="744"/>
        <v/>
      </c>
      <c r="OG213" s="43" t="str">
        <f t="shared" si="745"/>
        <v/>
      </c>
      <c r="OH213" s="43" t="str">
        <f t="shared" si="746"/>
        <v/>
      </c>
      <c r="OI213" s="43" t="str">
        <f t="shared" si="747"/>
        <v/>
      </c>
      <c r="OJ213" s="43" t="str">
        <f t="shared" si="748"/>
        <v/>
      </c>
      <c r="OK213" s="43" t="str">
        <f t="shared" si="749"/>
        <v/>
      </c>
      <c r="OL213" s="43" t="str">
        <f t="shared" si="750"/>
        <v/>
      </c>
      <c r="OM213" s="43" t="str">
        <f t="shared" si="751"/>
        <v/>
      </c>
      <c r="ON213" s="43" t="str">
        <f t="shared" si="752"/>
        <v/>
      </c>
      <c r="OO213" s="43" t="str">
        <f t="shared" si="753"/>
        <v/>
      </c>
      <c r="OP213" s="43" t="str">
        <f t="shared" si="754"/>
        <v/>
      </c>
      <c r="OQ213" s="43" t="str">
        <f t="shared" si="755"/>
        <v/>
      </c>
      <c r="OR213" s="43" t="str">
        <f t="shared" si="756"/>
        <v/>
      </c>
      <c r="OS213" s="43" t="str">
        <f t="shared" si="757"/>
        <v/>
      </c>
      <c r="OT213" s="43" t="str">
        <f t="shared" si="758"/>
        <v/>
      </c>
      <c r="OU213" s="43" t="str">
        <f t="shared" si="759"/>
        <v/>
      </c>
      <c r="OV213" s="110" t="str">
        <f t="shared" si="760"/>
        <v/>
      </c>
      <c r="OW213" s="43" t="str">
        <f t="shared" si="761"/>
        <v/>
      </c>
      <c r="OX213" s="43" t="str">
        <f t="shared" si="762"/>
        <v/>
      </c>
      <c r="OY213" s="43" t="str">
        <f t="shared" si="763"/>
        <v/>
      </c>
      <c r="OZ213" s="43" t="str">
        <f t="shared" si="764"/>
        <v/>
      </c>
      <c r="PA213" s="43" t="str">
        <f t="shared" si="765"/>
        <v/>
      </c>
      <c r="PB213" s="43" t="str">
        <f t="shared" si="766"/>
        <v/>
      </c>
      <c r="PC213" s="43" t="str">
        <f t="shared" si="767"/>
        <v/>
      </c>
      <c r="PD213" s="43" t="str">
        <f t="shared" si="768"/>
        <v/>
      </c>
      <c r="PE213" s="43" t="str">
        <f t="shared" si="769"/>
        <v/>
      </c>
      <c r="PF213" s="43" t="str">
        <f t="shared" si="770"/>
        <v/>
      </c>
      <c r="PG213" s="43" t="str">
        <f t="shared" si="771"/>
        <v/>
      </c>
      <c r="PH213" s="43" t="str">
        <f t="shared" si="772"/>
        <v/>
      </c>
      <c r="PI213" s="43">
        <f t="shared" si="773"/>
        <v>18</v>
      </c>
      <c r="PJ213" s="43" t="str">
        <f t="shared" si="774"/>
        <v/>
      </c>
      <c r="PK213" s="43" t="str">
        <f t="shared" si="775"/>
        <v/>
      </c>
      <c r="PL213" s="43" t="str">
        <f t="shared" si="776"/>
        <v/>
      </c>
      <c r="PM213" s="43" t="str">
        <f t="shared" si="777"/>
        <v/>
      </c>
      <c r="PN213" s="43" t="str">
        <f t="shared" si="778"/>
        <v/>
      </c>
      <c r="PO213" s="43" t="str">
        <f t="shared" si="779"/>
        <v/>
      </c>
      <c r="PP213" s="43" t="str">
        <f t="shared" si="780"/>
        <v/>
      </c>
      <c r="PQ213" s="43" t="str">
        <f t="shared" si="781"/>
        <v/>
      </c>
      <c r="PR213" s="43" t="str">
        <f t="shared" si="782"/>
        <v/>
      </c>
      <c r="PS213" s="43" t="str">
        <f t="shared" si="783"/>
        <v>NORMAL</v>
      </c>
      <c r="PT213" s="43" t="str">
        <f t="shared" si="784"/>
        <v/>
      </c>
      <c r="PU213" s="43" t="str">
        <f t="shared" si="785"/>
        <v/>
      </c>
      <c r="PV213" s="43" t="str">
        <f t="shared" si="786"/>
        <v/>
      </c>
      <c r="PW213" s="43" t="str">
        <f t="shared" si="787"/>
        <v/>
      </c>
      <c r="PX213" s="43" t="str">
        <f t="shared" si="788"/>
        <v/>
      </c>
      <c r="PY213" s="43" t="str">
        <f t="shared" si="789"/>
        <v/>
      </c>
      <c r="PZ213" s="43" t="str">
        <f t="shared" si="790"/>
        <v/>
      </c>
      <c r="QA213" s="43" t="str">
        <f t="shared" si="791"/>
        <v/>
      </c>
      <c r="QB213" s="43" t="str">
        <f t="shared" si="792"/>
        <v/>
      </c>
      <c r="QC213" s="43" t="str">
        <f t="shared" si="793"/>
        <v/>
      </c>
      <c r="QD213" s="43" t="str">
        <f t="shared" si="794"/>
        <v/>
      </c>
      <c r="QE213" s="43" t="str">
        <f t="shared" si="795"/>
        <v/>
      </c>
      <c r="QF213" s="43" t="str">
        <f t="shared" si="796"/>
        <v/>
      </c>
      <c r="QG213" s="43" t="str">
        <f t="shared" si="797"/>
        <v/>
      </c>
      <c r="QH213" s="43" t="str">
        <f t="shared" si="798"/>
        <v/>
      </c>
      <c r="QI213" s="43" t="str">
        <f t="shared" si="799"/>
        <v/>
      </c>
      <c r="QJ213" s="43" t="str">
        <f t="shared" si="800"/>
        <v/>
      </c>
      <c r="QK213" s="43" t="str">
        <f t="shared" si="801"/>
        <v/>
      </c>
      <c r="QL213" s="43" t="str">
        <f t="shared" si="802"/>
        <v/>
      </c>
      <c r="QM213" s="43" t="str">
        <f t="shared" si="803"/>
        <v/>
      </c>
      <c r="QN213" s="43" t="str">
        <f t="shared" si="804"/>
        <v/>
      </c>
      <c r="QO213" s="43" t="str">
        <f t="shared" si="805"/>
        <v/>
      </c>
      <c r="QP213" s="43" t="str">
        <f t="shared" si="806"/>
        <v/>
      </c>
      <c r="QQ213" s="43" t="str">
        <f t="shared" si="807"/>
        <v/>
      </c>
      <c r="QR213" s="43">
        <f t="shared" si="837"/>
        <v>18</v>
      </c>
      <c r="QS213" s="43"/>
      <c r="QT213" s="21" t="str">
        <f t="shared" si="808"/>
        <v/>
      </c>
      <c r="QU213" s="21" t="str">
        <f t="shared" si="809"/>
        <v/>
      </c>
      <c r="QV213" s="21" t="str">
        <f t="shared" si="810"/>
        <v/>
      </c>
      <c r="QW213" s="21" t="str">
        <f t="shared" si="811"/>
        <v/>
      </c>
      <c r="QX213" s="21" t="str">
        <f t="shared" si="812"/>
        <v/>
      </c>
      <c r="QY213" s="21" t="str">
        <f t="shared" si="813"/>
        <v>ALTO PARA EDAD GESTACIONAL</v>
      </c>
      <c r="QZ213" s="21" t="str">
        <f t="shared" si="814"/>
        <v/>
      </c>
      <c r="RA213" s="21" t="str">
        <f t="shared" si="815"/>
        <v/>
      </c>
      <c r="RB213" s="21" t="str">
        <f t="shared" si="816"/>
        <v/>
      </c>
      <c r="RC213" s="21" t="str">
        <f t="shared" si="817"/>
        <v/>
      </c>
      <c r="RD213" s="21" t="str">
        <f t="shared" si="818"/>
        <v/>
      </c>
      <c r="RE213" s="21" t="str">
        <f t="shared" si="819"/>
        <v/>
      </c>
      <c r="RF213" s="21" t="str">
        <f t="shared" si="820"/>
        <v/>
      </c>
      <c r="RG213" s="21" t="str">
        <f t="shared" si="821"/>
        <v/>
      </c>
      <c r="RH213" s="21" t="str">
        <f t="shared" si="822"/>
        <v/>
      </c>
      <c r="RI213" s="21" t="str">
        <f t="shared" si="823"/>
        <v/>
      </c>
      <c r="RJ213" s="21" t="str">
        <f t="shared" si="824"/>
        <v/>
      </c>
      <c r="RK213" s="21" t="str">
        <f t="shared" si="825"/>
        <v/>
      </c>
      <c r="RL213" s="21" t="str">
        <f t="shared" si="826"/>
        <v/>
      </c>
      <c r="RM213" s="21" t="str">
        <f t="shared" si="827"/>
        <v/>
      </c>
      <c r="RN213" s="21" t="str">
        <f t="shared" si="828"/>
        <v/>
      </c>
      <c r="RO213" s="21" t="str">
        <f t="shared" si="829"/>
        <v/>
      </c>
      <c r="RP213" s="21" t="str">
        <f t="shared" si="830"/>
        <v/>
      </c>
      <c r="RQ213" s="21" t="str">
        <f t="shared" si="831"/>
        <v/>
      </c>
      <c r="RR213" s="21" t="str">
        <f t="shared" si="832"/>
        <v/>
      </c>
      <c r="RS213" s="21" t="str">
        <f t="shared" si="833"/>
        <v/>
      </c>
      <c r="RT213" s="21" t="str">
        <f t="shared" si="834"/>
        <v/>
      </c>
      <c r="RU213" s="21" t="str">
        <f t="shared" si="835"/>
        <v/>
      </c>
      <c r="RV213" s="21">
        <f t="shared" si="836"/>
        <v>-1</v>
      </c>
      <c r="RW213" s="284">
        <f>IF(OR(Tabla1[[#This Row],[FUM FORMULA CONFIABLE]]="",Tabla1[[#This Row],[FUM FORMULA CONFIABLE]]="SD"),"",IF(Tabla1[[#This Row],[FUM FORMULA CONFIABLE]]="CORREGIDA",Tabla1[[#This Row],[FUM X ECO 1]],Tabla1[[#This Row],[FUM x AMENORREA]]))</f>
        <v>45013.3</v>
      </c>
      <c r="RX213" s="21">
        <f>IF(AND(Tabla1[[#This Row],[FUM X ECO 1]]="",Tabla1[[#This Row],[FUM x AMENORREA]]=""),"",IF(AND(Tabla1[[#This Row],[FUM X ECO 1]]="",Tabla1[[#This Row],[FUM x AMENORREA]]&lt;&gt;""),"X",SUM(Tabla1[[#This Row],[FUM X ECO 1]]-Tabla1[[#This Row],[FUM x AMENORREA]])))</f>
        <v>10.30000000000291</v>
      </c>
      <c r="RY213" s="21">
        <f t="shared" si="838"/>
        <v>1</v>
      </c>
    </row>
    <row r="214" spans="1:493" ht="45" customHeight="1" x14ac:dyDescent="0.25">
      <c r="A214" s="109"/>
      <c r="B214" s="43"/>
      <c r="C214" s="43" t="s">
        <v>845</v>
      </c>
      <c r="D214" s="124"/>
      <c r="E214" s="43" t="s">
        <v>914</v>
      </c>
      <c r="F214" s="43" t="s">
        <v>943</v>
      </c>
      <c r="G214" s="43" t="s">
        <v>1575</v>
      </c>
      <c r="H214" s="43"/>
      <c r="I214" s="109" t="s">
        <v>851</v>
      </c>
      <c r="J214" s="289" t="s">
        <v>1574</v>
      </c>
      <c r="K214" s="43" t="s">
        <v>852</v>
      </c>
      <c r="L214" s="175" t="s">
        <v>1509</v>
      </c>
      <c r="M214" s="22">
        <v>34882</v>
      </c>
      <c r="N214" s="213">
        <f t="shared" ca="1" si="839"/>
        <v>28.358904109589041</v>
      </c>
      <c r="O214" s="22">
        <v>45118</v>
      </c>
      <c r="P214" s="214" t="str">
        <f t="shared" si="916"/>
        <v>SI</v>
      </c>
      <c r="Q214" s="26" t="s">
        <v>855</v>
      </c>
      <c r="R214" s="22">
        <v>45118</v>
      </c>
      <c r="S214" s="21" t="s">
        <v>856</v>
      </c>
      <c r="T214" s="24" t="s">
        <v>690</v>
      </c>
      <c r="U214" s="21" t="s">
        <v>857</v>
      </c>
      <c r="V214" s="21" t="s">
        <v>858</v>
      </c>
      <c r="W214" s="21"/>
      <c r="X214" s="21"/>
      <c r="Y214" s="21"/>
      <c r="Z214" s="21" t="s">
        <v>894</v>
      </c>
      <c r="AA214" s="21" t="s">
        <v>860</v>
      </c>
      <c r="AB214" s="27" t="s">
        <v>861</v>
      </c>
      <c r="AC214" s="26" t="s">
        <v>862</v>
      </c>
      <c r="AD214" s="38" t="s">
        <v>1546</v>
      </c>
      <c r="AE214" s="26" t="s">
        <v>854</v>
      </c>
      <c r="AF214" s="26" t="s">
        <v>854</v>
      </c>
      <c r="AG214" s="23" t="s">
        <v>864</v>
      </c>
      <c r="AH214" s="23" t="s">
        <v>864</v>
      </c>
      <c r="AI214" s="24" t="s">
        <v>863</v>
      </c>
      <c r="AJ214" s="23" t="s">
        <v>864</v>
      </c>
      <c r="AK214" s="220" t="str">
        <f>IF(AND(AD214="",AE214="",AF214="",AG214="",AH214="",AI214="",AJ214=""),"",IF(OR(Tabla1[[#This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EVALUACIÓN",IF(AND(O214="",R214=""),"",IF(AND(OR(O214&gt;0,R214&gt;0),NG214&gt;=0,NG214&lt;2),"SIN RIESGO",IF(AND(OR(O214&gt;0,R214&gt;0),NG214&gt;=2),"CON RIESGO","ASD")))))</f>
        <v>SIN RIESGO</v>
      </c>
      <c r="AL214" s="23" t="s">
        <v>864</v>
      </c>
      <c r="AM214" s="23" t="s">
        <v>864</v>
      </c>
      <c r="AN214" s="23" t="s">
        <v>864</v>
      </c>
      <c r="AO214" s="23" t="s">
        <v>864</v>
      </c>
      <c r="AP214" s="23" t="s">
        <v>864</v>
      </c>
      <c r="AQ214" s="23" t="s">
        <v>864</v>
      </c>
      <c r="AR214" s="23" t="s">
        <v>864</v>
      </c>
      <c r="AS214" s="21">
        <v>2</v>
      </c>
      <c r="AT214" s="21">
        <v>2</v>
      </c>
      <c r="AU214" s="21">
        <v>0</v>
      </c>
      <c r="AV214" s="26" t="s">
        <v>864</v>
      </c>
      <c r="AW214" s="21">
        <v>0</v>
      </c>
      <c r="AX214" s="26" t="s">
        <v>864</v>
      </c>
      <c r="AY214" s="26" t="s">
        <v>864</v>
      </c>
      <c r="AZ214" s="26" t="s">
        <v>864</v>
      </c>
      <c r="BA214" s="26" t="s">
        <v>864</v>
      </c>
      <c r="BB214" s="26" t="s">
        <v>864</v>
      </c>
      <c r="BC214" s="26" t="s">
        <v>864</v>
      </c>
      <c r="BD214" s="26" t="s">
        <v>864</v>
      </c>
      <c r="BE214" s="26" t="s">
        <v>864</v>
      </c>
      <c r="BF214" s="26" t="s">
        <v>864</v>
      </c>
      <c r="BG214" s="26" t="s">
        <v>864</v>
      </c>
      <c r="BH214" s="26" t="s">
        <v>864</v>
      </c>
      <c r="BI214" s="26" t="s">
        <v>864</v>
      </c>
      <c r="BJ214" s="26" t="s">
        <v>864</v>
      </c>
      <c r="BK214" s="26" t="s">
        <v>864</v>
      </c>
      <c r="BL214" s="26" t="s">
        <v>864</v>
      </c>
      <c r="BM214" s="26" t="s">
        <v>864</v>
      </c>
      <c r="BN214" s="22">
        <v>43218</v>
      </c>
      <c r="BO214" s="22">
        <v>44875</v>
      </c>
      <c r="BP214" s="21" t="s">
        <v>854</v>
      </c>
      <c r="BQ214" s="222">
        <f t="shared" si="840"/>
        <v>55.233333333333334</v>
      </c>
      <c r="BR214" s="223" t="str">
        <f t="shared" si="841"/>
        <v/>
      </c>
      <c r="BS214" s="224">
        <f t="shared" si="842"/>
        <v>34.714285714285715</v>
      </c>
      <c r="BT214" s="216" t="str">
        <f t="shared" si="843"/>
        <v>III TRIM</v>
      </c>
      <c r="BU214" s="214" t="str">
        <f t="shared" ca="1" si="925"/>
        <v/>
      </c>
      <c r="BV214" s="25"/>
      <c r="BW214" s="22"/>
      <c r="BX214" s="28"/>
      <c r="BY214" s="28"/>
      <c r="BZ214" s="22"/>
      <c r="CA214" s="21"/>
      <c r="CB214" s="26"/>
      <c r="CC214" s="26"/>
      <c r="CD214" s="26"/>
      <c r="CE214" s="26"/>
      <c r="CF214" s="22" t="s">
        <v>1517</v>
      </c>
      <c r="CG214" s="21">
        <v>1.53</v>
      </c>
      <c r="CH214" s="21">
        <v>67</v>
      </c>
      <c r="CI214" s="214">
        <f t="shared" si="845"/>
        <v>28.621470374642232</v>
      </c>
      <c r="CJ214" s="225" t="e">
        <f>IF(AND(CI214&lt;10,CH214="SD"),"SIN DATO PESO PREGESTACION O I TRIM",IF(AND(OR(R214&gt;0,O214&gt;0),CI214="X"),"INGRESAR DATO DE PESO",IF(CI214="SD","INGRESAR DATO DE TALLA Y PESO",IF(AND(OR(Tabla1[[#This Row],[MOMENTO EN QUE SE REALIZA EL PESO AL INGRESO A CPN]]="PREGESTACIÓN",NZ214="Menor"),CI214&lt;18.5),"BAJO PESO",IF(AND(OR(Tabla1[[#This Row],[MOMENTO EN QUE SE REALIZA EL PESO AL INGRESO A CPN]]="PREGESTACIÓN",NZ214="Menor"),CI214&lt;25),"NORMAL",IF(AND(OR(Tabla1[[#This Row],[MOMENTO EN QUE SE REALIZA EL PESO AL INGRESO A CPN]]="PREGESTACIÓN",NZ214="Menor"),CI214&lt;30),"SOBREPESO",IF(AND(OR(Tabla1[[#This Row],[MOMENTO EN QUE SE REALIZA EL PESO AL INGRESO A CPN]]="PREGESTACIÓN",NZ214="Menor"),CI214&gt;=30,CI214&lt;50),"OBESIDAD",IF(AND(BS214&gt;0,Tabla1[[#This Row],[MOMENTO EN QUE SE REALIZA EL PESO AL INGRESO A CPN]]="GESTACIÓN"),HLOOKUP(NZ214,$OA$2:PH214,NY214),""))))))))</f>
        <v>#REF!</v>
      </c>
      <c r="CK214" s="212">
        <f t="shared" si="846"/>
        <v>45118</v>
      </c>
      <c r="CL214" s="21">
        <v>67</v>
      </c>
      <c r="CM214" s="214">
        <f t="shared" si="847"/>
        <v>28.621470374642232</v>
      </c>
      <c r="CN214" s="216">
        <f t="shared" si="848"/>
        <v>34</v>
      </c>
      <c r="CO214" s="216" t="e">
        <f>IF(PI214="","",IF(PI214&gt;0,HLOOKUP(PI214,$PJ$2:QQ214,NY214),""))</f>
        <v>#REF!</v>
      </c>
      <c r="CP214" s="21">
        <v>32</v>
      </c>
      <c r="CQ214" s="216" t="e">
        <f>IF(QR214="Menor","NO APLICA-MENOR 13 SEM",IF(AND(CC214="SI",CN214&gt;23),"NO APLICA- GEMELAR",IF(QR214="","",IF(QR214&gt;0,HLOOKUP(QR214,$QS$2:RU214,NY214),""))))</f>
        <v>#REF!</v>
      </c>
      <c r="CR214" s="21"/>
      <c r="CS214" s="21"/>
      <c r="CT214" s="217" t="str">
        <f>IF(R214="","",IF(AND(BS214&gt;1,BS214&lt;12,Tabla1[[#This Row],[T.A. SISTOLICA - ANTES DE SEMANA 12]]="",Tabla1[[#This Row],[T.A. DIASTOLICA - ANTES DE SEMANA 12]]=""),"REGISTRE DATO TA ANTES SEMANA 12",IF(AND(BS214&gt;11,BS214&lt;43,Tabla1[[#This Row],[T.A. SISTOLICA - ANTES DE SEMANA 12]]="",Tabla1[[#This Row],[T.A. DIASTOLICA - ANTES DE SEMANA 12]]=""),"NO APLICA REGISTRO TA-INGRESO TARDIO",IF(AND(OR(O214&gt;0,R214&gt;0),OR(CR214&gt;=140,CS214&gt;=90)),"DEFINIR ESTADIO HTA",IF(AND(OR(O214&gt;0,R214&gt;0),AND(CR214&gt;120,CR214&lt;=139)),"PRE HTA SEGUIMIENTO",IF(AND(OR(O214&gt;0,R214&gt;0),AND(CS214&gt;80,CS214&lt;=89)),"PRE HTA SEGUIMIENTO",IF(AND(OR(O214&gt;0,R214&gt;0),AND(CR214&gt;=80,CR214&lt;=120)),"APARENTEMENTE NORMAL",IF(AND(OR(O214&gt;0,R214&gt;0),AND(CS214&gt;=50,CS214&lt;=80)),"APARENTEMENTE NORMAL",IF(AND(OR(O214&gt;0,R214&gt;0),AND(CR214&gt;1,CR214&lt;=70),AND(CS214&gt;1,CS214&lt;=40)),"HIPOTENSIÓN","")))))))))</f>
        <v>NO APLICA REGISTRO TA-INGRESO TARDIO</v>
      </c>
      <c r="CU214" s="21"/>
      <c r="CV214" s="21"/>
      <c r="CW214" s="217" t="str">
        <f ca="1">IF(R214="","",IF(AND(CN214&gt;19,CN214&lt;27,Tabla1[[#This Row],[T.A. SISTOLICA (Entre semana 20 y 26)]]="",Tabla1[[#This Row],[T.A. DIATOLICA (Entre semana 20 y 26)]]=""),"ACUDE A CONTROL SEM 20 A 26 REGISTRE TA AHORA",IF(AND(BS214&gt;1,BS214&lt;27,BU214&gt;19,Tabla1[[#This Row],[T.A. SISTOLICA (Entre semana 20 y 26)]]="",Tabla1[[#This Row],[T.A. DIATOLICA (Entre semana 20 y 26)]]=""),"COMPLETE REGISTRO TA CONTROL SEM 20 A26 ",IF(AND(BS214&gt;26,BS214&lt;43,Tabla1[[#This Row],[T.A. SISTOLICA (Entre semana 20 y 26)]]="",Tabla1[[#This Row],[T.A. DIATOLICA (Entre semana 20 y 26)]]=""),"NO APLICA REGISTRO TA-INGRESO TARDIO",IF(AND(OR(O214&gt;0,R214&gt;0),OR(CU214&gt;=140,CV214&gt;=90)),"ALTO RIESGO PREECLAMPSIA,DEFINIR ESTADIO HTA",IF(AND(OR(O214&gt;0,R214&gt;0),AND(CU214&gt;120,CU214&lt;=139)),"PRE HTA SEGUIMIENTO,RIESGO HIPERTENSION INDUCIDA POR EL EMBARAZO",IF(AND(OR(O214&gt;0,R214&gt;0),AND(CV214&gt;80,CV214&lt;=89)),"PRE HTA SEGUIMIENTO, RIESGO HIPERTENSION INDUCIDA POR EL EMBARAZO",IF(AND(OR(O214&lt;&gt;"",R214&lt;&gt;""),CS214&lt;&gt;"",CV214&lt;&gt;"",CS214&lt;=CV214),"VIGILAR CIFRAS PRESION ARTERIAL",IF(AND(OR(O214&gt;0,R214&gt;0),AND(CU214&gt;120,CU214&lt;=139)),"PRE HTA SEGUIMIENTO",IF(AND(OR(O214&gt;0,R214&gt;0),AND(CU214&gt;1,CU214&lt;=70),AND(CV214&gt;1,CV214&lt;=40)),"HIPOTENSIÓN",IF(AND(OR(O214&lt;&gt;"",R214&lt;&gt;""),CS214&lt;&gt;"",CV214&lt;&gt;"",CS214&gt;CV214),"APARENTEMENTE NORMAL",IF(AND(OR(O214&gt;0,R214&gt;0),AND(CU214&gt;=80,CU214&lt;=120)),"APARENTEMENTE NORMAL",IF(AND(OR(O214&gt;0,R214&gt;0),AND(CV214&gt;=50,CV214&lt;=80)),"APARENTEMENTE NORMAL","")))))))))))))</f>
        <v>NO APLICA REGISTRO TA-INGRESO TARDIO</v>
      </c>
      <c r="CX214" s="21">
        <v>100</v>
      </c>
      <c r="CY214" s="21">
        <v>60</v>
      </c>
      <c r="CZ214" s="216" t="e">
        <f>IF(R214="","",IF(AND(CN214&gt;31,CN214&lt;35,CX214="",CY214=""),"ACUDE A CONTROL SEM 30 A 34- REGISTRE AHORA",IF(AND(BS214&gt;34,BS214&lt;43,#REF!="",#REF!=""),"NO APLICA-INGRESO TARDIO",IF(AND(OR(O214&gt;0,R214&gt;0),OR(CX214&gt;=140,CY214&gt;=90)),"ESTUDIO INMEDIATO HTA PARA DESCARTAR PREECLAMSIA",IF(AND(OR(O214&gt;0,R214&gt;0),AND(CX214&gt;=130,CX214&lt;=139)),"PRE HTA,RIESGO ALTO PREECLAMPSIA",IF(AND(OR(O214&gt;0,R214&gt;0),AND(CY214&gt;80,CY214&lt;=89)),"PRE HTA,RIESGO ALTO PREECLAMPSIA",IF(AND(OR(O214&gt;0,R214&gt;0),AND(CX214&gt;120,CX214&lt;=129)),"RANGO PREHIPERTENSIVO SEGUIMIENTO HTA",IF(AND(OR(O214&lt;&gt;"",R214&lt;&gt;""),CS214&lt;&gt;"",CY214&lt;&gt;"",CS214&lt;CY214),"VIGILAR CIFRAS PRESION ARTERIAL",IF(AND(OR(O214&lt;&gt;"",R214&lt;&gt;""),CS214&lt;&gt;"",CY214&lt;&gt;"",CS214=CY214),"APARENTEMENTE NORMAL",IF(AND(OR(O214&gt;0,R214&gt;0),CX214&gt;=80,CX214&lt;=120),"APARENTEMENTE NORMAL",IF(AND(OR(O214&gt;0,R214&gt;0),CY214&gt;=50,CY214&lt;=80),"APARENTEMENTE NORMAL","")))))))))))</f>
        <v>#REF!</v>
      </c>
      <c r="DA214" s="21">
        <v>100</v>
      </c>
      <c r="DB214" s="21">
        <v>60</v>
      </c>
      <c r="DC214" s="217" t="str">
        <f t="shared" si="849"/>
        <v>APARENTEMENTE NORMAL</v>
      </c>
      <c r="DD214" s="22">
        <v>45118</v>
      </c>
      <c r="DE214" s="22">
        <v>45118</v>
      </c>
      <c r="DF214" s="22"/>
      <c r="DG214" s="22"/>
      <c r="DH214" s="22"/>
      <c r="DI214" s="22"/>
      <c r="DJ214" s="22"/>
      <c r="DK214" s="22"/>
      <c r="DL214" s="22"/>
      <c r="DM214" s="22"/>
      <c r="DN214" s="22"/>
      <c r="DO214" s="22"/>
      <c r="DP214" s="22"/>
      <c r="DQ214" s="22"/>
      <c r="DR214" s="28"/>
      <c r="DS214" s="22"/>
      <c r="DT214" s="22"/>
      <c r="DU214" s="216" t="str">
        <f t="shared" ca="1" si="917"/>
        <v>CONCERTAR PLAN DE PARTO INMEDIATO</v>
      </c>
      <c r="DV214" s="226" t="str">
        <f t="shared" si="918"/>
        <v>ACTIVA INGRESO A CPN</v>
      </c>
      <c r="DW21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4" s="216" t="e">
        <f t="shared" ca="1" si="850"/>
        <v>#REF!</v>
      </c>
      <c r="DY214" s="212">
        <f>IF(R214="","",IF(R214&gt;0,MAX(Tabla1[[#This Row],[FECHA C2]:[FECHA C13]],Tabla1[[#This Row],[FECHA CONSULTA PRIMERA VEZ PROGRAMA CPN ]])))</f>
        <v>45118</v>
      </c>
      <c r="DZ214" s="216">
        <f t="shared" si="851"/>
        <v>34</v>
      </c>
      <c r="EA214" s="222">
        <f>IF(R214&gt;0,SUM(COUNTA(DF214:DQ214)+COUNTA(Tabla1[[#This Row],[FECHA CONSULTA PRIMERA VEZ PROGRAMA CPN ]])),"")</f>
        <v>1</v>
      </c>
      <c r="EB214" s="222" t="str">
        <f t="shared" si="852"/>
        <v>NO</v>
      </c>
      <c r="EC214" s="214">
        <f t="shared" si="853"/>
        <v>3</v>
      </c>
      <c r="ED214" s="227">
        <f t="shared" si="854"/>
        <v>0.33333333333333331</v>
      </c>
      <c r="EE214" s="22">
        <v>45118</v>
      </c>
      <c r="EF214" s="22"/>
      <c r="EG214" s="22">
        <v>45118</v>
      </c>
      <c r="EH214" s="22"/>
      <c r="EI214" s="22">
        <v>45118</v>
      </c>
      <c r="EJ214" s="22"/>
      <c r="EK214" s="22"/>
      <c r="EL214" s="21"/>
      <c r="EM214" s="21"/>
      <c r="EN214" s="22"/>
      <c r="EO214" s="222" t="str">
        <f t="shared" si="855"/>
        <v>TOMAR EXAMEN</v>
      </c>
      <c r="EP214" s="214" t="str">
        <f t="shared" si="856"/>
        <v/>
      </c>
      <c r="EQ214" s="216" t="str">
        <f t="shared" si="857"/>
        <v>POR DEFINIR</v>
      </c>
      <c r="ER214" s="24"/>
      <c r="ES214" s="22"/>
      <c r="ET214" s="29" t="str">
        <f t="shared" ca="1" si="919"/>
        <v>TOMA DE HEMOGLOBINA TARDÍA</v>
      </c>
      <c r="EU214" s="25" t="str">
        <f t="shared" si="858"/>
        <v/>
      </c>
      <c r="EV214" s="24"/>
      <c r="EW214" s="24"/>
      <c r="EX214" s="22"/>
      <c r="EY214" s="29" t="str">
        <f t="shared" si="691"/>
        <v>TOMAR EXAMEN</v>
      </c>
      <c r="EZ214" s="25" t="str">
        <f t="shared" ca="1" si="692"/>
        <v/>
      </c>
      <c r="FA214" s="21"/>
      <c r="FB214" s="22"/>
      <c r="FC214" s="29" t="str">
        <f t="shared" si="859"/>
        <v>PIERDE TOMA TAMIZAJE- INGRESO TARDIO</v>
      </c>
      <c r="FD214" s="29"/>
      <c r="FE214" s="29"/>
      <c r="FF214" s="29"/>
      <c r="FG214" s="21" t="str">
        <f t="shared" ca="1" si="860"/>
        <v/>
      </c>
      <c r="FH214" s="31"/>
      <c r="FI214" s="29" t="str">
        <f t="shared" si="861"/>
        <v>TOMAR EXAMEN</v>
      </c>
      <c r="FJ214" s="22"/>
      <c r="FK214" s="22"/>
      <c r="FL214" s="29" t="str">
        <f t="shared" ca="1" si="862"/>
        <v>NO APLICA-INGRESO TARDIO</v>
      </c>
      <c r="FM214" s="22"/>
      <c r="FN214" s="32"/>
      <c r="FO214" s="29" t="str">
        <f t="shared" ca="1" si="920"/>
        <v>NO APLICA-INGRESO TARDIO</v>
      </c>
      <c r="FP214" s="22"/>
      <c r="FQ214" s="32"/>
      <c r="FR214" s="29" t="str">
        <f t="shared" ca="1" si="921"/>
        <v>TOMA INMEDIATA DE TAMIZAJE</v>
      </c>
      <c r="FS214" s="22"/>
      <c r="FT214" s="32"/>
      <c r="FU214" s="29" t="str">
        <f>IF(AND(FJ214="",FM214="",FP214="",FS214=""),"",IF(OR(OR(Tabla1[[#This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4" s="28"/>
      <c r="FW214" s="22"/>
      <c r="FX214" s="29" t="str">
        <f t="shared" si="863"/>
        <v>TOMAR EXAMEN</v>
      </c>
      <c r="FY214" s="22"/>
      <c r="FZ214" s="22"/>
      <c r="GA214" s="29" t="str">
        <f t="shared" ca="1" si="936"/>
        <v>NO APLICA-INGRESO TARDIO</v>
      </c>
      <c r="GB214" s="22"/>
      <c r="GC214" s="22"/>
      <c r="GD214" s="29" t="str">
        <f t="shared" ca="1" si="937"/>
        <v>NO APLICA-INGRESO TARDIO</v>
      </c>
      <c r="GE214" s="22"/>
      <c r="GF214" s="22"/>
      <c r="GG214" s="29" t="str">
        <f t="shared" ca="1" si="923"/>
        <v>TOMA INMEDIATA DE TAMIZAJE</v>
      </c>
      <c r="GH214" s="22"/>
      <c r="GI214" s="29"/>
      <c r="GJ214" s="22"/>
      <c r="GK214" s="22"/>
      <c r="GL214" s="22"/>
      <c r="GM214" s="22"/>
      <c r="GN214" s="28"/>
      <c r="GO214" s="22"/>
      <c r="GP214" s="29" t="str">
        <f t="shared" si="864"/>
        <v>TOMAR EXAMEN</v>
      </c>
      <c r="GQ214" s="28"/>
      <c r="GR214" s="28"/>
      <c r="GS214" s="22" t="str">
        <f t="shared" si="726"/>
        <v/>
      </c>
      <c r="GT214" s="22"/>
      <c r="GU214" s="29" t="str">
        <f t="shared" si="865"/>
        <v>TOMAR EXAMEN</v>
      </c>
      <c r="GV214" s="21" t="str">
        <f t="shared" si="866"/>
        <v>POR DEFINIR</v>
      </c>
      <c r="GW214" s="28"/>
      <c r="GX214" s="30"/>
      <c r="GY214" s="21"/>
      <c r="GZ214" s="21"/>
      <c r="HA214" s="21"/>
      <c r="HB214" s="21"/>
      <c r="HC214" s="21"/>
      <c r="HD214" s="21"/>
      <c r="HE214" s="21"/>
      <c r="HF214" s="22"/>
      <c r="HG214" s="22" t="str">
        <f>IF(OR(O214&gt;0,R214&gt;0),CONCATENATE(IF(Tabla1[[#This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4" s="22" t="e">
        <f t="shared" si="867"/>
        <v>#REF!</v>
      </c>
      <c r="HI214" s="22" t="e">
        <f t="shared" ca="1" si="868"/>
        <v>#REF!</v>
      </c>
      <c r="HJ214" s="21"/>
      <c r="HK214" s="21" t="str">
        <f t="shared" si="869"/>
        <v>SIN ANTECEDENTES DE RIESGO</v>
      </c>
      <c r="HL214" s="24" t="str">
        <f t="shared" si="870"/>
        <v>APARENTEMENTE NORMAL</v>
      </c>
      <c r="HM214" s="21" t="e">
        <f t="shared" ca="1" si="871"/>
        <v>#REF!</v>
      </c>
      <c r="HN214" s="30" t="str">
        <f t="shared" si="924"/>
        <v>ACTIVA INGRESO A CPN</v>
      </c>
      <c r="HO214" s="21"/>
      <c r="HP214" s="21"/>
      <c r="HQ214" s="21"/>
      <c r="HR214" s="21" t="str">
        <f>IF(R214="","",IF(Tabla1[[#This Row],[ALARMA FACTORES DE RIESGO COMPLICACIONES HIPERTENSIVAS3]]="SIN ANTECEDENTES DE RIESGO","No Aplica para suministro de ASA",IF(AND(Tabla1[[#This Row],[FECHA INICIO DE SUMINISTRO DE ASA]]&gt;0,RV214&lt;12),"Inicia ASA ANTES de Sem 12",IF(AND(RV214&gt;11,RV214&lt;17,OR(HK214="RIESGO ALTO DE COMPLICACIONES HIPERTENSIVAS VER MANEJO GUIA SUMINISTRO ASA Y CALCIO",HK214="RIESGO MODERADO (2 O MAS CRITERIOS) VER MANEJO GUIA SUMINISTRO ASA Y CALCIO")),"Inicio oportuno de ASA",IF(AND(RV214&gt;12,OR(HK214="RIESGO ALTO DE COMPLICACIONES HIPERTENSIVAS VER MANEJO GUIA SUMINISTRO ASA Y CALCIO",HK214="RIESGO MODERADO (2 O MAS CRITERIOS) VER MANEJO GUIA SUMINISTRO ASA Y CALCIO")),"Inicio no oportuno mayor a 16 semanas",IF(AND(BU214&lt;12,OR(HK214="RIESGO ALTO DE COMPLICACIONES HIPERTENSIVAS VER MANEJO GUIA SUMINISTRO ASA Y CALCIO",HK214="RIESGO MODERADO (2 O MAS CRITERIOS) VER MANEJO GUIA SUMINISTRO ASA Y CALCIO")),"Pendiente Inicio de ASA a la semana 12",IF(AND(BU214&gt;11,BU214&lt;17,OR(HK214="RIESGO ALTO DE COMPLICACIONES HIPERTENSIVAS VER MANEJO GUIA SUMINISTRO ASA Y CALCIO",HK214="RIESGO MODERADO (2 O MAS CRITERIOS) VER MANEJO GUIA SUMINISTRO ASA Y CALCIO")),"Iniciar de inmediato ASA",IF(AND(BU214&gt;16,OR(HK214="RIESGO ALTO DE COMPLICACIONES HIPERTENSIVAS VER MANEJO GUIA SUMINISTRO ASA Y CALCIO",HK214="RIESGO MODERADO (2 O MAS CRITERIOS) VER MANEJO GUIA SUMINISTRO ASA Y CALCIO")),"Pierde Oportunidad, Inicio tardío de ASA","XXXXX"))))))))</f>
        <v>No Aplica para suministro de ASA</v>
      </c>
      <c r="HS214" s="22"/>
      <c r="HT214" s="22"/>
      <c r="HU214" s="22"/>
      <c r="HV214" s="22"/>
      <c r="HW214" s="22"/>
      <c r="HX214" s="22"/>
      <c r="HY214" s="22"/>
      <c r="HZ214" s="28" t="str">
        <f t="shared" si="872"/>
        <v>PENDIENTE CONSULTA</v>
      </c>
      <c r="IA214" s="26"/>
      <c r="IB214" s="26"/>
      <c r="IC214" s="111"/>
      <c r="ID214" s="22"/>
      <c r="IE214" s="22" t="str">
        <f t="shared" ca="1" si="873"/>
        <v/>
      </c>
      <c r="IF214" s="22"/>
      <c r="IG214" s="22">
        <f t="shared" si="874"/>
        <v>45155</v>
      </c>
      <c r="IH214" s="29">
        <f t="shared" ca="1" si="875"/>
        <v>-78</v>
      </c>
      <c r="II214" s="22" t="str">
        <f t="shared" ca="1" si="876"/>
        <v>POSIBLEMENTE NACIO</v>
      </c>
      <c r="IJ214" s="22"/>
      <c r="IK214" s="21"/>
      <c r="IL214" s="21"/>
      <c r="IM214" s="34"/>
      <c r="IN214" s="349"/>
      <c r="IO214" s="21"/>
      <c r="IP214" s="29" t="str">
        <f t="shared" si="877"/>
        <v/>
      </c>
      <c r="IQ214" s="35"/>
      <c r="IR214" s="21"/>
      <c r="IS214" s="21"/>
      <c r="IT214" s="21"/>
      <c r="IU214" s="21"/>
      <c r="IV214" s="21"/>
      <c r="IW214" s="21"/>
      <c r="IX214" s="21"/>
      <c r="IY214" s="21"/>
      <c r="IZ214" s="21"/>
      <c r="JA214" s="21"/>
      <c r="JB214" s="30"/>
      <c r="JC214" s="21"/>
      <c r="JD214" s="36"/>
      <c r="JE214" s="21" t="str">
        <f t="shared" si="878"/>
        <v/>
      </c>
      <c r="JF214" s="30"/>
      <c r="JG214" s="21"/>
      <c r="JH214" s="21"/>
      <c r="JI214" s="21"/>
      <c r="JJ214" s="30"/>
      <c r="JK214" s="22"/>
      <c r="JL214" s="22"/>
      <c r="JM214" s="21"/>
      <c r="JN214" s="36"/>
      <c r="JO214" s="21" t="str">
        <f t="shared" si="879"/>
        <v/>
      </c>
      <c r="JP214" s="22"/>
      <c r="JQ214" s="21"/>
      <c r="JR214" s="21"/>
      <c r="JS214" s="21"/>
      <c r="JT214" s="30"/>
      <c r="JU214" s="22"/>
      <c r="JV214" s="22"/>
      <c r="JW214" s="33"/>
      <c r="JX214" s="28" t="str">
        <f t="shared" si="880"/>
        <v/>
      </c>
      <c r="JY214" s="33"/>
      <c r="JZ214" s="28" t="str">
        <f t="shared" si="881"/>
        <v/>
      </c>
      <c r="KA214" s="21"/>
      <c r="KB214" s="21"/>
      <c r="KC214" s="21"/>
      <c r="KD214" s="37"/>
      <c r="KE214" s="28"/>
      <c r="KF214" s="28"/>
      <c r="KG214" s="28"/>
      <c r="KH214" s="39"/>
      <c r="KI214" s="39"/>
      <c r="KJ214" s="66"/>
      <c r="KK214" s="39"/>
      <c r="KL214" s="39"/>
      <c r="KM214" s="66"/>
      <c r="KN214" s="39"/>
      <c r="KO214" s="39"/>
      <c r="KP214" s="39"/>
      <c r="KQ214" s="39"/>
      <c r="KR214" s="39"/>
      <c r="KS214" s="39"/>
      <c r="KT214" s="39"/>
      <c r="KU214" s="38"/>
      <c r="KV214" s="38"/>
      <c r="KW214" s="38"/>
      <c r="KX214" s="38"/>
      <c r="KY214" s="38"/>
      <c r="KZ214" s="38"/>
      <c r="LA214" s="38"/>
      <c r="LB214" s="38"/>
      <c r="LC214" s="38"/>
      <c r="LD214" s="38"/>
      <c r="LE214" s="38"/>
      <c r="LF214" s="38"/>
      <c r="LG214" s="38"/>
      <c r="LH214" s="38"/>
      <c r="LI214" s="38"/>
      <c r="LJ214" s="38"/>
      <c r="LK214" s="38"/>
      <c r="LL214" s="38"/>
      <c r="LM214" s="38"/>
      <c r="LN214" s="38"/>
      <c r="LO214" s="38"/>
      <c r="LP214" s="38"/>
      <c r="LQ214" s="38"/>
      <c r="LR214" s="38"/>
      <c r="LS214" s="38"/>
      <c r="LT214" s="38"/>
      <c r="LU214" s="38"/>
      <c r="LV214" s="38"/>
      <c r="LW214" s="38"/>
      <c r="LX214" s="38"/>
      <c r="LY214" s="38"/>
      <c r="LZ214" s="38"/>
      <c r="MA214" s="38"/>
      <c r="MB214" s="38"/>
      <c r="MC214" s="38"/>
      <c r="MD214" s="38"/>
      <c r="ME214" s="38"/>
      <c r="MF214" s="38"/>
      <c r="MG214" s="38"/>
      <c r="MH214" s="43">
        <f t="shared" si="882"/>
        <v>0</v>
      </c>
      <c r="MI214" s="43" t="str">
        <f t="shared" si="926"/>
        <v/>
      </c>
      <c r="MJ214" s="43" t="str">
        <f t="shared" si="884"/>
        <v/>
      </c>
      <c r="MK214" s="43">
        <f t="shared" si="885"/>
        <v>0</v>
      </c>
      <c r="ML21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4" s="43">
        <f t="shared" si="927"/>
        <v>34.714285714285715</v>
      </c>
      <c r="MN214" s="43">
        <f t="shared" si="928"/>
        <v>7</v>
      </c>
      <c r="MO214" s="43">
        <f t="shared" si="929"/>
        <v>2023</v>
      </c>
      <c r="MP214" s="43" t="str">
        <f t="shared" si="889"/>
        <v>III TRIMESTRE AÑO</v>
      </c>
      <c r="MQ214" s="43">
        <f t="shared" si="930"/>
        <v>27.619908015768726</v>
      </c>
      <c r="MR214" s="43">
        <f t="shared" si="891"/>
        <v>0</v>
      </c>
      <c r="MS214" s="43" t="str">
        <f t="shared" si="892"/>
        <v xml:space="preserve"> DE 25 A 29 AÑOS</v>
      </c>
      <c r="MT214" s="43">
        <f t="shared" si="893"/>
        <v>0</v>
      </c>
      <c r="MU214" s="43">
        <f t="shared" si="894"/>
        <v>0</v>
      </c>
      <c r="MV214" s="43">
        <f t="shared" si="895"/>
        <v>0</v>
      </c>
      <c r="MW214" s="43">
        <f t="shared" si="896"/>
        <v>0</v>
      </c>
      <c r="MX214" s="43" t="str">
        <f t="shared" si="897"/>
        <v/>
      </c>
      <c r="MY214" s="43" t="str">
        <f t="shared" ca="1" si="898"/>
        <v/>
      </c>
      <c r="MZ214" s="43" t="str">
        <f t="shared" si="899"/>
        <v/>
      </c>
      <c r="NA214" s="43" t="str">
        <f t="shared" si="900"/>
        <v/>
      </c>
      <c r="NB214" s="43" t="str">
        <f t="shared" si="901"/>
        <v/>
      </c>
      <c r="NC214" s="43" t="str">
        <f t="shared" si="902"/>
        <v/>
      </c>
      <c r="ND214" s="43">
        <f t="shared" ca="1" si="931"/>
        <v>0</v>
      </c>
      <c r="NE214" s="43">
        <f>IF(OR(O214&gt;0,R214&gt;0),SUM(COUNTIF(Tabla1[[#This Row],[AÑOS AL INICIO5 CPN]],"&gt;=40"),COUNTIF(AS214,"0"),COUNTIF(AR214,"SI"),COUNTIF(CC214,"SI"),COUNTIF(BQ214,"&gt;119"),COUNTIF(CI214,"&gt;=35")),"")</f>
        <v>0</v>
      </c>
      <c r="NF214" s="43" t="str">
        <f t="shared" si="932"/>
        <v/>
      </c>
      <c r="NG214" s="43">
        <f t="shared" si="905"/>
        <v>0</v>
      </c>
      <c r="NH214" s="43" t="str">
        <f t="shared" si="906"/>
        <v/>
      </c>
      <c r="NI21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CPN",P214="NO"),"Z",IF(AND(Tabla1[[#This Row],[CITA PROXIMO CONTROL]]="CITA MANUAL",Tabla1[[#This Row],[GESTANTES ACTUALES]]="ACTIVA INGRESO A CPN"),"W",IF(AND(Tabla1[[#This Row],[GESTANTES ACTUALES]]="SALIO PROGRAMA",IN214=""),"S",IF(AND(Tabla1[[#This Row],[CITA PROXIMO CONTROL]]&gt;0,IN214=""),(Tabla1[[#This Row],[CITA PROXIMO CONTROL]]-TODAY()),"SD"))))))))</f>
        <v>#REF!</v>
      </c>
      <c r="NJ214" s="43">
        <f>MONTH(Tabla1[[#This Row],[FECHA DE SALIDA  DEL PROGRAMA]])</f>
        <v>1</v>
      </c>
      <c r="NK214" s="43">
        <f>YEAR(Tabla1[[#This Row],[FECHA DE SALIDA  DEL PROGRAMA]])</f>
        <v>1900</v>
      </c>
      <c r="NL214" s="43" t="str">
        <f t="shared" si="933"/>
        <v>X</v>
      </c>
      <c r="NM214" s="43" t="str">
        <f t="shared" si="938"/>
        <v>NO</v>
      </c>
      <c r="NN214" s="43" t="str">
        <f ca="1">IF(AND(O214&gt;0,R214=""),"NO CPN",IF(AND(O214="",R214=""),"",IF(AND(R214&gt;0,Tabla1[[#This Row],[SEMANAS DE GESTACION ACTUALIZADAS]]&lt;=12),"NO APLICA",IF(AND(FH214&lt;&gt;"",FN214&lt;&gt;""),"SI","NO"))))</f>
        <v>NO</v>
      </c>
      <c r="NO214" s="43" t="str">
        <f ca="1">IF(AND(O214&gt;0,R214=""),"NO CPN",IF(AND(O214="",R214=""),"",IF(AND(R214&gt;0,Tabla1[[#This Row],[SEMANAS DE GESTACION ACTUALIZADAS]]&lt;=27),"NO APLICA",IF(AND(ES214&lt;&gt;"",FQ214&lt;&gt;"",GF214&lt;&gt;""),"SI","NO"))))</f>
        <v>NO</v>
      </c>
      <c r="NP214" s="204" t="str">
        <f t="shared" si="909"/>
        <v>III TRIM</v>
      </c>
      <c r="NQ214"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4" s="21">
        <f t="shared" si="934"/>
        <v>1</v>
      </c>
      <c r="NS214" s="205">
        <f t="shared" ca="1" si="911"/>
        <v>0</v>
      </c>
      <c r="NT214" s="21">
        <f t="shared" ca="1" si="912"/>
        <v>0</v>
      </c>
      <c r="NU214" s="21" t="str">
        <f t="shared" ca="1" si="913"/>
        <v>INCOMPLETO</v>
      </c>
      <c r="NV214" s="21" t="str">
        <f t="shared" ca="1" si="914"/>
        <v>INCOMPLETO</v>
      </c>
      <c r="NW214" s="206" t="str">
        <f>IF(AND(O214="",R214=""),"",IF(OR(AND(Tabla1[[#This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4" s="207" t="str">
        <f t="shared" ca="1" si="935"/>
        <v>SIN VACUNAR</v>
      </c>
      <c r="NY214" s="43">
        <f>ROW(Tabla1[[#This Row],['# DE TAMIZAJES SIFILIS TOMADOS ]])</f>
        <v>214</v>
      </c>
      <c r="NZ214" s="43">
        <f t="shared" si="738"/>
        <v>34</v>
      </c>
      <c r="OA214" s="43" t="str">
        <f t="shared" si="739"/>
        <v/>
      </c>
      <c r="OB214" s="43" t="str">
        <f t="shared" si="740"/>
        <v/>
      </c>
      <c r="OC214" s="43" t="str">
        <f t="shared" si="741"/>
        <v/>
      </c>
      <c r="OD214" s="43" t="str">
        <f t="shared" si="742"/>
        <v/>
      </c>
      <c r="OE214" s="43" t="str">
        <f t="shared" si="743"/>
        <v/>
      </c>
      <c r="OF214" s="43" t="str">
        <f t="shared" si="744"/>
        <v/>
      </c>
      <c r="OG214" s="43" t="str">
        <f t="shared" si="745"/>
        <v/>
      </c>
      <c r="OH214" s="43" t="str">
        <f t="shared" si="746"/>
        <v/>
      </c>
      <c r="OI214" s="43" t="str">
        <f t="shared" si="747"/>
        <v/>
      </c>
      <c r="OJ214" s="43" t="str">
        <f t="shared" si="748"/>
        <v/>
      </c>
      <c r="OK214" s="43" t="str">
        <f t="shared" si="749"/>
        <v/>
      </c>
      <c r="OL214" s="43" t="str">
        <f t="shared" si="750"/>
        <v/>
      </c>
      <c r="OM214" s="43" t="str">
        <f t="shared" si="751"/>
        <v/>
      </c>
      <c r="ON214" s="43" t="str">
        <f t="shared" si="752"/>
        <v/>
      </c>
      <c r="OO214" s="43" t="str">
        <f t="shared" si="753"/>
        <v/>
      </c>
      <c r="OP214" s="43" t="str">
        <f t="shared" si="754"/>
        <v/>
      </c>
      <c r="OQ214" s="43" t="str">
        <f t="shared" si="755"/>
        <v/>
      </c>
      <c r="OR214" s="43" t="str">
        <f t="shared" si="756"/>
        <v/>
      </c>
      <c r="OS214" s="43" t="str">
        <f t="shared" si="757"/>
        <v/>
      </c>
      <c r="OT214" s="43" t="str">
        <f t="shared" si="758"/>
        <v/>
      </c>
      <c r="OU214" s="43" t="str">
        <f t="shared" si="759"/>
        <v/>
      </c>
      <c r="OV214" s="110" t="str">
        <f t="shared" si="760"/>
        <v/>
      </c>
      <c r="OW214" s="43" t="str">
        <f t="shared" si="761"/>
        <v/>
      </c>
      <c r="OX214" s="43" t="str">
        <f t="shared" si="762"/>
        <v/>
      </c>
      <c r="OY214" s="43" t="str">
        <f t="shared" si="763"/>
        <v/>
      </c>
      <c r="OZ214" s="43" t="str">
        <f t="shared" si="764"/>
        <v>SOBREPESO</v>
      </c>
      <c r="PA214" s="43" t="str">
        <f t="shared" si="765"/>
        <v/>
      </c>
      <c r="PB214" s="43" t="str">
        <f t="shared" si="766"/>
        <v/>
      </c>
      <c r="PC214" s="43" t="str">
        <f t="shared" si="767"/>
        <v/>
      </c>
      <c r="PD214" s="43" t="str">
        <f t="shared" si="768"/>
        <v/>
      </c>
      <c r="PE214" s="43" t="str">
        <f t="shared" si="769"/>
        <v/>
      </c>
      <c r="PF214" s="43" t="str">
        <f t="shared" si="770"/>
        <v/>
      </c>
      <c r="PG214" s="43" t="str">
        <f t="shared" si="771"/>
        <v/>
      </c>
      <c r="PH214" s="43" t="str">
        <f t="shared" si="772"/>
        <v/>
      </c>
      <c r="PI214" s="43">
        <f t="shared" si="773"/>
        <v>34</v>
      </c>
      <c r="PJ214" s="43" t="str">
        <f t="shared" si="774"/>
        <v/>
      </c>
      <c r="PK214" s="43" t="str">
        <f t="shared" si="775"/>
        <v/>
      </c>
      <c r="PL214" s="43" t="str">
        <f t="shared" si="776"/>
        <v/>
      </c>
      <c r="PM214" s="43" t="str">
        <f t="shared" si="777"/>
        <v/>
      </c>
      <c r="PN214" s="43" t="str">
        <f t="shared" si="778"/>
        <v/>
      </c>
      <c r="PO214" s="43" t="str">
        <f t="shared" si="779"/>
        <v/>
      </c>
      <c r="PP214" s="43" t="str">
        <f t="shared" si="780"/>
        <v/>
      </c>
      <c r="PQ214" s="43" t="str">
        <f t="shared" si="781"/>
        <v/>
      </c>
      <c r="PR214" s="43" t="str">
        <f t="shared" si="782"/>
        <v/>
      </c>
      <c r="PS214" s="43" t="str">
        <f t="shared" si="783"/>
        <v/>
      </c>
      <c r="PT214" s="43" t="str">
        <f t="shared" si="784"/>
        <v/>
      </c>
      <c r="PU214" s="43" t="str">
        <f t="shared" si="785"/>
        <v/>
      </c>
      <c r="PV214" s="43" t="str">
        <f t="shared" si="786"/>
        <v/>
      </c>
      <c r="PW214" s="43" t="str">
        <f t="shared" si="787"/>
        <v/>
      </c>
      <c r="PX214" s="43" t="str">
        <f t="shared" si="788"/>
        <v/>
      </c>
      <c r="PY214" s="43" t="str">
        <f t="shared" si="789"/>
        <v/>
      </c>
      <c r="PZ214" s="43" t="str">
        <f t="shared" si="790"/>
        <v/>
      </c>
      <c r="QA214" s="43" t="str">
        <f t="shared" si="791"/>
        <v/>
      </c>
      <c r="QB214" s="43" t="str">
        <f t="shared" si="792"/>
        <v/>
      </c>
      <c r="QC214" s="43" t="str">
        <f t="shared" si="793"/>
        <v/>
      </c>
      <c r="QD214" s="43" t="str">
        <f t="shared" si="794"/>
        <v/>
      </c>
      <c r="QE214" s="43" t="str">
        <f t="shared" si="795"/>
        <v/>
      </c>
      <c r="QF214" s="43" t="str">
        <f t="shared" si="796"/>
        <v/>
      </c>
      <c r="QG214" s="43" t="str">
        <f t="shared" si="797"/>
        <v/>
      </c>
      <c r="QH214" s="43" t="str">
        <f t="shared" si="798"/>
        <v/>
      </c>
      <c r="QI214" s="43" t="str">
        <f t="shared" si="799"/>
        <v>SOBREPESO</v>
      </c>
      <c r="QJ214" s="43" t="str">
        <f t="shared" si="800"/>
        <v/>
      </c>
      <c r="QK214" s="43" t="str">
        <f t="shared" si="801"/>
        <v/>
      </c>
      <c r="QL214" s="43" t="str">
        <f t="shared" si="802"/>
        <v/>
      </c>
      <c r="QM214" s="43" t="str">
        <f t="shared" si="803"/>
        <v/>
      </c>
      <c r="QN214" s="43" t="str">
        <f t="shared" si="804"/>
        <v/>
      </c>
      <c r="QO214" s="43" t="str">
        <f t="shared" si="805"/>
        <v/>
      </c>
      <c r="QP214" s="43" t="str">
        <f t="shared" si="806"/>
        <v/>
      </c>
      <c r="QQ214" s="43" t="str">
        <f t="shared" si="807"/>
        <v/>
      </c>
      <c r="QR214" s="43">
        <f t="shared" si="837"/>
        <v>34</v>
      </c>
      <c r="QS214" s="43"/>
      <c r="QT214" s="21" t="str">
        <f t="shared" si="808"/>
        <v/>
      </c>
      <c r="QU214" s="21" t="str">
        <f t="shared" si="809"/>
        <v/>
      </c>
      <c r="QV214" s="21" t="str">
        <f t="shared" si="810"/>
        <v/>
      </c>
      <c r="QW214" s="21" t="str">
        <f t="shared" si="811"/>
        <v/>
      </c>
      <c r="QX214" s="21" t="str">
        <f t="shared" si="812"/>
        <v/>
      </c>
      <c r="QY214" s="21" t="str">
        <f t="shared" si="813"/>
        <v/>
      </c>
      <c r="QZ214" s="21" t="str">
        <f t="shared" si="814"/>
        <v/>
      </c>
      <c r="RA214" s="21" t="str">
        <f t="shared" si="815"/>
        <v/>
      </c>
      <c r="RB214" s="21" t="str">
        <f t="shared" si="816"/>
        <v/>
      </c>
      <c r="RC214" s="21" t="str">
        <f t="shared" si="817"/>
        <v/>
      </c>
      <c r="RD214" s="21" t="str">
        <f t="shared" si="818"/>
        <v/>
      </c>
      <c r="RE214" s="21" t="str">
        <f t="shared" si="819"/>
        <v/>
      </c>
      <c r="RF214" s="21" t="str">
        <f t="shared" si="820"/>
        <v/>
      </c>
      <c r="RG214" s="21" t="str">
        <f t="shared" si="821"/>
        <v/>
      </c>
      <c r="RH214" s="21" t="str">
        <f t="shared" si="822"/>
        <v/>
      </c>
      <c r="RI214" s="21" t="str">
        <f t="shared" si="823"/>
        <v/>
      </c>
      <c r="RJ214" s="21" t="str">
        <f t="shared" si="824"/>
        <v/>
      </c>
      <c r="RK214" s="21" t="str">
        <f t="shared" si="825"/>
        <v/>
      </c>
      <c r="RL214" s="21" t="str">
        <f t="shared" si="826"/>
        <v/>
      </c>
      <c r="RM214" s="21" t="str">
        <f t="shared" si="827"/>
        <v/>
      </c>
      <c r="RN214" s="21" t="str">
        <f t="shared" si="828"/>
        <v/>
      </c>
      <c r="RO214" s="21" t="str">
        <f t="shared" si="829"/>
        <v>ADECUADO PARA EDAD GESTACIONAL</v>
      </c>
      <c r="RP214" s="21" t="str">
        <f t="shared" si="830"/>
        <v/>
      </c>
      <c r="RQ214" s="21" t="str">
        <f t="shared" si="831"/>
        <v/>
      </c>
      <c r="RR214" s="21" t="str">
        <f t="shared" si="832"/>
        <v/>
      </c>
      <c r="RS214" s="21" t="str">
        <f t="shared" si="833"/>
        <v/>
      </c>
      <c r="RT214" s="21" t="str">
        <f t="shared" si="834"/>
        <v/>
      </c>
      <c r="RU214" s="21" t="str">
        <f t="shared" si="835"/>
        <v/>
      </c>
      <c r="RV214" s="21">
        <f t="shared" si="836"/>
        <v>-1</v>
      </c>
      <c r="RW214" s="284">
        <f>IF(OR(Tabla1[[#This Row],[FUM FORMULA CONFIABLE]]="",Tabla1[[#This Row],[FUM FORMULA CONFIABLE]]="SD"),"",IF(Tabla1[[#This Row],[FUM FORMULA CONFIABLE]]="CORREGIDA",Tabla1[[#This Row],[FUM X ECO 1]],Tabla1[[#This Row],[FUM x AMENORREA]]))</f>
        <v>44875</v>
      </c>
      <c r="RX214" s="21" t="str">
        <f>IF(AND(Tabla1[[#This Row],[FUM X ECO 1]]="",Tabla1[[#This Row],[FUM x AMENORREA]]=""),"",IF(AND(Tabla1[[#This Row],[FUM X ECO 1]]="",Tabla1[[#This Row],[FUM x AMENORREA]]&lt;&gt;""),"X",SUM(Tabla1[[#This Row],[FUM X ECO 1]]-Tabla1[[#This Row],[FUM x AMENORREA]])))</f>
        <v>X</v>
      </c>
      <c r="RY214" s="21" t="str">
        <f t="shared" si="838"/>
        <v>x</v>
      </c>
    </row>
    <row r="215" spans="1:493" ht="45" customHeight="1" x14ac:dyDescent="0.25">
      <c r="A215" s="109"/>
      <c r="B215" s="43"/>
      <c r="C215" s="43" t="s">
        <v>845</v>
      </c>
      <c r="D215" s="124"/>
      <c r="E215" s="43" t="s">
        <v>1068</v>
      </c>
      <c r="F215" s="43" t="s">
        <v>1577</v>
      </c>
      <c r="G215" s="43" t="s">
        <v>1468</v>
      </c>
      <c r="H215" s="43" t="s">
        <v>1281</v>
      </c>
      <c r="I215" s="109" t="s">
        <v>851</v>
      </c>
      <c r="J215" s="289" t="s">
        <v>1576</v>
      </c>
      <c r="K215" s="43" t="s">
        <v>852</v>
      </c>
      <c r="L215" s="175" t="s">
        <v>1509</v>
      </c>
      <c r="M215" s="22">
        <v>35789</v>
      </c>
      <c r="N215" s="213">
        <f t="shared" ca="1" si="839"/>
        <v>25.873972602739727</v>
      </c>
      <c r="O215" s="22">
        <v>45121</v>
      </c>
      <c r="P215" s="214" t="str">
        <f t="shared" si="916"/>
        <v>SI</v>
      </c>
      <c r="Q215" s="26" t="s">
        <v>855</v>
      </c>
      <c r="R215" s="22">
        <v>45121</v>
      </c>
      <c r="S215" s="21" t="s">
        <v>856</v>
      </c>
      <c r="T215" s="24" t="s">
        <v>690</v>
      </c>
      <c r="U215" s="21" t="s">
        <v>857</v>
      </c>
      <c r="V215" s="21" t="s">
        <v>858</v>
      </c>
      <c r="W215" s="21" t="s">
        <v>1477</v>
      </c>
      <c r="X215" s="21"/>
      <c r="Y215" s="21"/>
      <c r="Z215" s="21" t="s">
        <v>894</v>
      </c>
      <c r="AA215" s="21" t="s">
        <v>860</v>
      </c>
      <c r="AB215" s="27" t="s">
        <v>861</v>
      </c>
      <c r="AC215" s="26" t="s">
        <v>888</v>
      </c>
      <c r="AD215" s="38" t="s">
        <v>1546</v>
      </c>
      <c r="AE215" s="26" t="s">
        <v>854</v>
      </c>
      <c r="AF215" s="26" t="s">
        <v>854</v>
      </c>
      <c r="AG215" s="23" t="s">
        <v>864</v>
      </c>
      <c r="AH215" s="23" t="s">
        <v>864</v>
      </c>
      <c r="AI215" s="24" t="s">
        <v>863</v>
      </c>
      <c r="AJ215" s="23" t="s">
        <v>864</v>
      </c>
      <c r="AK215" s="220" t="str">
        <f>IF(AND(AD215="",AE215="",AF215="",AG215="",AH215="",AI215="",AJ215=""),"",IF(OR(Tabla1[[#This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EVALUACIÓN",IF(AND(O215="",R215=""),"",IF(AND(OR(O215&gt;0,R215&gt;0),NG215&gt;=0,NG215&lt;2),"SIN RIESGO",IF(AND(OR(O215&gt;0,R215&gt;0),NG215&gt;=2),"CON RIESGO","ASD")))))</f>
        <v>SIN RIESGO</v>
      </c>
      <c r="AL215" s="23" t="s">
        <v>864</v>
      </c>
      <c r="AM215" s="23" t="s">
        <v>864</v>
      </c>
      <c r="AN215" s="23" t="s">
        <v>864</v>
      </c>
      <c r="AO215" s="23" t="s">
        <v>864</v>
      </c>
      <c r="AP215" s="23" t="s">
        <v>864</v>
      </c>
      <c r="AQ215" s="23" t="s">
        <v>864</v>
      </c>
      <c r="AR215" s="23" t="s">
        <v>864</v>
      </c>
      <c r="AS215" s="21">
        <v>1</v>
      </c>
      <c r="AT215" s="21">
        <v>0</v>
      </c>
      <c r="AU215" s="21">
        <v>0</v>
      </c>
      <c r="AV215" s="26" t="s">
        <v>864</v>
      </c>
      <c r="AW215" s="21">
        <v>0</v>
      </c>
      <c r="AX215" s="26" t="s">
        <v>864</v>
      </c>
      <c r="AY215" s="26" t="s">
        <v>864</v>
      </c>
      <c r="AZ215" s="26" t="s">
        <v>864</v>
      </c>
      <c r="BA215" s="26" t="s">
        <v>864</v>
      </c>
      <c r="BB215" s="26" t="s">
        <v>864</v>
      </c>
      <c r="BC215" s="26" t="s">
        <v>864</v>
      </c>
      <c r="BD215" s="26" t="s">
        <v>864</v>
      </c>
      <c r="BE215" s="26" t="s">
        <v>864</v>
      </c>
      <c r="BF215" s="26" t="s">
        <v>864</v>
      </c>
      <c r="BG215" s="26" t="s">
        <v>864</v>
      </c>
      <c r="BH215" s="26" t="s">
        <v>864</v>
      </c>
      <c r="BI215" s="26" t="s">
        <v>864</v>
      </c>
      <c r="BJ215" s="26" t="s">
        <v>864</v>
      </c>
      <c r="BK215" s="26" t="s">
        <v>864</v>
      </c>
      <c r="BL215" s="26" t="s">
        <v>864</v>
      </c>
      <c r="BM215" s="26" t="s">
        <v>864</v>
      </c>
      <c r="BN215" s="22"/>
      <c r="BO215" s="22">
        <v>44847</v>
      </c>
      <c r="BP215" s="21" t="s">
        <v>854</v>
      </c>
      <c r="BQ215" s="222">
        <f t="shared" si="840"/>
        <v>0</v>
      </c>
      <c r="BR215" s="223" t="str">
        <f t="shared" si="841"/>
        <v/>
      </c>
      <c r="BS215" s="224">
        <f t="shared" si="842"/>
        <v>39.142857142857146</v>
      </c>
      <c r="BT215" s="216" t="str">
        <f t="shared" si="843"/>
        <v>III TRIM</v>
      </c>
      <c r="BU215" s="214" t="str">
        <f t="shared" ca="1" si="925"/>
        <v/>
      </c>
      <c r="BV215" s="25"/>
      <c r="BW215" s="22"/>
      <c r="BX215" s="28"/>
      <c r="BY215" s="28"/>
      <c r="BZ215" s="22"/>
      <c r="CA215" s="21"/>
      <c r="CB215" s="26"/>
      <c r="CC215" s="26"/>
      <c r="CD215" s="26"/>
      <c r="CE215" s="26"/>
      <c r="CF215" s="22" t="s">
        <v>1517</v>
      </c>
      <c r="CG215" s="21">
        <v>1.52</v>
      </c>
      <c r="CH215" s="21">
        <v>45.6</v>
      </c>
      <c r="CI215" s="214">
        <f t="shared" si="845"/>
        <v>19.736842105263158</v>
      </c>
      <c r="CJ215" s="225" t="e">
        <f>IF(AND(CI215&lt;10,CH215="SD"),"SIN DATO PESO PREGESTACION O I TRIM",IF(AND(OR(R215&gt;0,O215&gt;0),CI215="X"),"INGRESAR DATO DE PESO",IF(CI215="SD","INGRESAR DATO DE TALLA Y PESO",IF(AND(OR(Tabla1[[#This Row],[MOMENTO EN QUE SE REALIZA EL PESO AL INGRESO A CPN]]="PREGESTACIÓN",NZ215="Menor"),CI215&lt;18.5),"BAJO PESO",IF(AND(OR(Tabla1[[#This Row],[MOMENTO EN QUE SE REALIZA EL PESO AL INGRESO A CPN]]="PREGESTACIÓN",NZ215="Menor"),CI215&lt;25),"NORMAL",IF(AND(OR(Tabla1[[#This Row],[MOMENTO EN QUE SE REALIZA EL PESO AL INGRESO A CPN]]="PREGESTACIÓN",NZ215="Menor"),CI215&lt;30),"SOBREPESO",IF(AND(OR(Tabla1[[#This Row],[MOMENTO EN QUE SE REALIZA EL PESO AL INGRESO A CPN]]="PREGESTACIÓN",NZ215="Menor"),CI215&gt;=30,CI215&lt;50),"OBESIDAD",IF(AND(BS215&gt;0,Tabla1[[#This Row],[MOMENTO EN QUE SE REALIZA EL PESO AL INGRESO A CPN]]="GESTACIÓN"),HLOOKUP(NZ215,$OA$2:PH215,NY215),""))))))))</f>
        <v>#REF!</v>
      </c>
      <c r="CK215" s="212">
        <f t="shared" si="846"/>
        <v>45121</v>
      </c>
      <c r="CL215" s="21">
        <v>45.6</v>
      </c>
      <c r="CM215" s="214">
        <f t="shared" si="847"/>
        <v>19.736842105263158</v>
      </c>
      <c r="CN215" s="216">
        <f t="shared" si="848"/>
        <v>39</v>
      </c>
      <c r="CO215" s="216" t="e">
        <f>IF(PI215="","",IF(PI215&gt;0,HLOOKUP(PI215,$PJ$2:QQ215,NY215),""))</f>
        <v>#REF!</v>
      </c>
      <c r="CP215" s="21"/>
      <c r="CQ215" s="216" t="e">
        <f>IF(QR215="Menor","NO APLICA-MENOR 13 SEM",IF(AND(CC215="SI",CN215&gt;23),"NO APLICA- GEMELAR",IF(QR215="","",IF(QR215&gt;0,HLOOKUP(QR215,$QS$2:RU215,NY215),""))))</f>
        <v>#REF!</v>
      </c>
      <c r="CR215" s="21">
        <v>100</v>
      </c>
      <c r="CS215" s="21">
        <v>60</v>
      </c>
      <c r="CT215" s="217" t="str">
        <f>IF(R215="","",IF(AND(BS215&gt;1,BS215&lt;12,Tabla1[[#This Row],[T.A. SISTOLICA - ANTES DE SEMANA 12]]="",Tabla1[[#This Row],[T.A. DIASTOLICA - ANTES DE SEMANA 12]]=""),"REGISTRE DATO TA ANTES SEMANA 12",IF(AND(BS215&gt;11,BS215&lt;43,Tabla1[[#This Row],[T.A. SISTOLICA - ANTES DE SEMANA 12]]="",Tabla1[[#This Row],[T.A. DIASTOLICA - ANTES DE SEMANA 12]]=""),"NO APLICA REGISTRO TA-INGRESO TARDIO",IF(AND(OR(O215&gt;0,R215&gt;0),OR(CR215&gt;=140,CS215&gt;=90)),"DEFINIR ESTADIO HTA",IF(AND(OR(O215&gt;0,R215&gt;0),AND(CR215&gt;120,CR215&lt;=139)),"PRE HTA SEGUIMIENTO",IF(AND(OR(O215&gt;0,R215&gt;0),AND(CS215&gt;80,CS215&lt;=89)),"PRE HTA SEGUIMIENTO",IF(AND(OR(O215&gt;0,R215&gt;0),AND(CR215&gt;=80,CR215&lt;=120)),"APARENTEMENTE NORMAL",IF(AND(OR(O215&gt;0,R215&gt;0),AND(CS215&gt;=50,CS215&lt;=80)),"APARENTEMENTE NORMAL",IF(AND(OR(O215&gt;0,R215&gt;0),AND(CR215&gt;1,CR215&lt;=70),AND(CS215&gt;1,CS215&lt;=40)),"HIPOTENSIÓN","")))))))))</f>
        <v>APARENTEMENTE NORMAL</v>
      </c>
      <c r="CU215" s="21"/>
      <c r="CV215" s="21"/>
      <c r="CW215" s="217" t="str">
        <f ca="1">IF(R215="","",IF(AND(CN215&gt;19,CN215&lt;27,Tabla1[[#This Row],[T.A. SISTOLICA (Entre semana 20 y 26)]]="",Tabla1[[#This Row],[T.A. DIATOLICA (Entre semana 20 y 26)]]=""),"ACUDE A CONTROL SEM 20 A 26 REGISTRE TA AHORA",IF(AND(BS215&gt;1,BS215&lt;27,BU215&gt;19,Tabla1[[#This Row],[T.A. SISTOLICA (Entre semana 20 y 26)]]="",Tabla1[[#This Row],[T.A. DIATOLICA (Entre semana 20 y 26)]]=""),"COMPLETE REGISTRO TA CONTROL SEM 20 A26 ",IF(AND(BS215&gt;26,BS215&lt;43,Tabla1[[#This Row],[T.A. SISTOLICA (Entre semana 20 y 26)]]="",Tabla1[[#This Row],[T.A. DIATOLICA (Entre semana 20 y 26)]]=""),"NO APLICA REGISTRO TA-INGRESO TARDIO",IF(AND(OR(O215&gt;0,R215&gt;0),OR(CU215&gt;=140,CV215&gt;=90)),"ALTO RIESGO PREECLAMPSIA,DEFINIR ESTADIO HTA",IF(AND(OR(O215&gt;0,R215&gt;0),AND(CU215&gt;120,CU215&lt;=139)),"PRE HTA SEGUIMIENTO,RIESGO HIPERTENSION INDUCIDA POR EL EMBARAZO",IF(AND(OR(O215&gt;0,R215&gt;0),AND(CV215&gt;80,CV215&lt;=89)),"PRE HTA SEGUIMIENTO, RIESGO HIPERTENSION INDUCIDA POR EL EMBARAZO",IF(AND(OR(O215&lt;&gt;"",R215&lt;&gt;""),CS215&lt;&gt;"",CV215&lt;&gt;"",CS215&lt;=CV215),"VIGILAR CIFRAS PRESION ARTERIAL",IF(AND(OR(O215&gt;0,R215&gt;0),AND(CU215&gt;120,CU215&lt;=139)),"PRE HTA SEGUIMIENTO",IF(AND(OR(O215&gt;0,R215&gt;0),AND(CU215&gt;1,CU215&lt;=70),AND(CV215&gt;1,CV215&lt;=40)),"HIPOTENSIÓN",IF(AND(OR(O215&lt;&gt;"",R215&lt;&gt;""),CS215&lt;&gt;"",CV215&lt;&gt;"",CS215&gt;CV215),"APARENTEMENTE NORMAL",IF(AND(OR(O215&gt;0,R215&gt;0),AND(CU215&gt;=80,CU215&lt;=120)),"APARENTEMENTE NORMAL",IF(AND(OR(O215&gt;0,R215&gt;0),AND(CV215&gt;=50,CV215&lt;=80)),"APARENTEMENTE NORMAL","")))))))))))))</f>
        <v>NO APLICA REGISTRO TA-INGRESO TARDIO</v>
      </c>
      <c r="CX215" s="21"/>
      <c r="CY215" s="21"/>
      <c r="CZ215" s="216" t="e">
        <f>IF(R215="","",IF(AND(CN215&gt;31,CN215&lt;35,CX215="",CY215=""),"ACUDE A CONTROL SEM 30 A 34- REGISTRE AHORA",IF(AND(BS215&gt;34,BS215&lt;43,#REF!="",#REF!=""),"NO APLICA-INGRESO TARDIO",IF(AND(OR(O215&gt;0,R215&gt;0),OR(CX215&gt;=140,CY215&gt;=90)),"ESTUDIO INMEDIATO HTA PARA DESCARTAR PREECLAMSIA",IF(AND(OR(O215&gt;0,R215&gt;0),AND(CX215&gt;=130,CX215&lt;=139)),"PRE HTA,RIESGO ALTO PREECLAMPSIA",IF(AND(OR(O215&gt;0,R215&gt;0),AND(CY215&gt;80,CY215&lt;=89)),"PRE HTA,RIESGO ALTO PREECLAMPSIA",IF(AND(OR(O215&gt;0,R215&gt;0),AND(CX215&gt;120,CX215&lt;=129)),"RANGO PREHIPERTENSIVO SEGUIMIENTO HTA",IF(AND(OR(O215&lt;&gt;"",R215&lt;&gt;""),CS215&lt;&gt;"",CY215&lt;&gt;"",CS215&lt;CY215),"VIGILAR CIFRAS PRESION ARTERIAL",IF(AND(OR(O215&lt;&gt;"",R215&lt;&gt;""),CS215&lt;&gt;"",CY215&lt;&gt;"",CS215=CY215),"APARENTEMENTE NORMAL",IF(AND(OR(O215&gt;0,R215&gt;0),CX215&gt;=80,CX215&lt;=120),"APARENTEMENTE NORMAL",IF(AND(OR(O215&gt;0,R215&gt;0),CY215&gt;=50,CY215&lt;=80),"APARENTEMENTE NORMAL","")))))))))))</f>
        <v>#REF!</v>
      </c>
      <c r="DA215" s="21">
        <v>100</v>
      </c>
      <c r="DB215" s="21">
        <v>60</v>
      </c>
      <c r="DC215" s="217" t="str">
        <f t="shared" si="849"/>
        <v>APARENTEMENTE NORMAL</v>
      </c>
      <c r="DD215" s="22">
        <v>45121</v>
      </c>
      <c r="DE215" s="22">
        <v>45121</v>
      </c>
      <c r="DF215" s="22"/>
      <c r="DG215" s="22"/>
      <c r="DH215" s="22"/>
      <c r="DI215" s="22"/>
      <c r="DJ215" s="22"/>
      <c r="DK215" s="22"/>
      <c r="DL215" s="22"/>
      <c r="DM215" s="22"/>
      <c r="DN215" s="22"/>
      <c r="DO215" s="22"/>
      <c r="DP215" s="22"/>
      <c r="DQ215" s="22"/>
      <c r="DR215" s="28"/>
      <c r="DS215" s="22"/>
      <c r="DT215" s="22"/>
      <c r="DU215" s="216" t="str">
        <f t="shared" ca="1" si="917"/>
        <v>CONCERTAR PLAN DE PARTO INMEDIATO</v>
      </c>
      <c r="DV215" s="226" t="str">
        <f t="shared" si="918"/>
        <v>ACTIVA INGRESO A CPN</v>
      </c>
      <c r="DW21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5" s="216" t="e">
        <f t="shared" ca="1" si="850"/>
        <v>#REF!</v>
      </c>
      <c r="DY215" s="212">
        <f>IF(R215="","",IF(R215&gt;0,MAX(Tabla1[[#This Row],[FECHA C2]:[FECHA C13]],Tabla1[[#This Row],[FECHA CONSULTA PRIMERA VEZ PROGRAMA CPN ]])))</f>
        <v>45121</v>
      </c>
      <c r="DZ215" s="216">
        <f t="shared" si="851"/>
        <v>39</v>
      </c>
      <c r="EA215" s="222">
        <f>IF(R215&gt;0,SUM(COUNTA(DF215:DQ215)+COUNTA(Tabla1[[#This Row],[FECHA CONSULTA PRIMERA VEZ PROGRAMA CPN ]])),"")</f>
        <v>1</v>
      </c>
      <c r="EB215" s="222" t="str">
        <f t="shared" si="852"/>
        <v>NO</v>
      </c>
      <c r="EC215" s="214">
        <f t="shared" si="853"/>
        <v>2</v>
      </c>
      <c r="ED215" s="227">
        <f t="shared" si="854"/>
        <v>0.5</v>
      </c>
      <c r="EE215" s="22">
        <v>45121</v>
      </c>
      <c r="EF215" s="22"/>
      <c r="EG215" s="22">
        <v>45121</v>
      </c>
      <c r="EH215" s="22"/>
      <c r="EI215" s="22">
        <v>45121</v>
      </c>
      <c r="EJ215" s="22"/>
      <c r="EK215" s="22"/>
      <c r="EL215" s="21"/>
      <c r="EM215" s="21">
        <v>14.7</v>
      </c>
      <c r="EN215" s="22">
        <v>45124</v>
      </c>
      <c r="EO215" s="222">
        <f t="shared" si="855"/>
        <v>39.571428571428569</v>
      </c>
      <c r="EP215" s="214" t="str">
        <f t="shared" si="856"/>
        <v>NO DAR SULFATO FERROSO</v>
      </c>
      <c r="EQ215" s="216" t="str">
        <f t="shared" si="857"/>
        <v>III TRIM</v>
      </c>
      <c r="ER215" s="24"/>
      <c r="ES215" s="22"/>
      <c r="ET215" s="29" t="str">
        <f t="shared" ca="1" si="919"/>
        <v>TOMA DE HEMOGLOBINA TARDÍA</v>
      </c>
      <c r="EU215" s="25" t="str">
        <f t="shared" si="858"/>
        <v/>
      </c>
      <c r="EV215" s="24" t="s">
        <v>1510</v>
      </c>
      <c r="EW215" s="32">
        <v>45121</v>
      </c>
      <c r="EX215" s="22"/>
      <c r="EY215" s="29">
        <f t="shared" si="691"/>
        <v>39.142857142857146</v>
      </c>
      <c r="EZ215" s="25" t="str">
        <f t="shared" si="692"/>
        <v>SIN RIESGO DE ISOINMUNIZACIÓN</v>
      </c>
      <c r="FA215" s="21">
        <v>83</v>
      </c>
      <c r="FB215" s="32">
        <v>45121</v>
      </c>
      <c r="FC215" s="29" t="str">
        <f t="shared" si="859"/>
        <v>NO APLICA &gt; 23 SEM -TOMAR PTOG</v>
      </c>
      <c r="FD215" s="29"/>
      <c r="FE215" s="29"/>
      <c r="FF215" s="29"/>
      <c r="FG215" s="21" t="str">
        <f t="shared" ca="1" si="860"/>
        <v/>
      </c>
      <c r="FH215" s="31"/>
      <c r="FI215" s="29" t="str">
        <f t="shared" si="861"/>
        <v>TOMAR EXAMEN</v>
      </c>
      <c r="FJ215" s="22" t="s">
        <v>867</v>
      </c>
      <c r="FK215" s="22">
        <v>45121</v>
      </c>
      <c r="FL215" s="29" t="str">
        <f t="shared" si="862"/>
        <v>REGISTRAR EN III TRIMESTRE</v>
      </c>
      <c r="FM215" s="22"/>
      <c r="FN215" s="32"/>
      <c r="FO215" s="29" t="str">
        <f t="shared" ca="1" si="920"/>
        <v>NO APLICA-INGRESO TARDIO</v>
      </c>
      <c r="FP215" s="22"/>
      <c r="FQ215" s="32"/>
      <c r="FR215" s="29" t="str">
        <f t="shared" ca="1" si="921"/>
        <v>TOMA INMEDIATA DE TAMIZAJE</v>
      </c>
      <c r="FS215" s="22"/>
      <c r="FT215" s="32"/>
      <c r="FU215" s="29" t="str">
        <f>IF(AND(FJ215="",FM215="",FP215="",FS215=""),"",IF(OR(OR(Tabla1[[#This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5" s="28"/>
      <c r="FW215" s="22"/>
      <c r="FX215" s="29" t="str">
        <f t="shared" si="863"/>
        <v>TOMAR EXAMEN</v>
      </c>
      <c r="FY215" s="22"/>
      <c r="FZ215" s="22"/>
      <c r="GA215" s="29" t="str">
        <f t="shared" ca="1" si="936"/>
        <v>NO APLICA-INGRESO TARDIO</v>
      </c>
      <c r="GB215" s="22"/>
      <c r="GC215" s="22"/>
      <c r="GD215" s="29" t="str">
        <f t="shared" ca="1" si="937"/>
        <v>NO APLICA-INGRESO TARDIO</v>
      </c>
      <c r="GE215" s="22"/>
      <c r="GF215" s="22"/>
      <c r="GG215" s="29" t="str">
        <f t="shared" ca="1" si="923"/>
        <v>TOMA INMEDIATA DE TAMIZAJE</v>
      </c>
      <c r="GH215" s="22"/>
      <c r="GI215" s="29"/>
      <c r="GJ215" s="22"/>
      <c r="GK215" s="22"/>
      <c r="GL215" s="22"/>
      <c r="GM215" s="22"/>
      <c r="GN215" s="28" t="s">
        <v>869</v>
      </c>
      <c r="GO215" s="22">
        <v>45121</v>
      </c>
      <c r="GP215" s="29">
        <f t="shared" si="864"/>
        <v>39.142857142857146</v>
      </c>
      <c r="GQ215" s="28" t="s">
        <v>880</v>
      </c>
      <c r="GR215" s="28" t="s">
        <v>869</v>
      </c>
      <c r="GS215" s="22" t="str">
        <f t="shared" si="726"/>
        <v>SE EXCLUYE INFECCION</v>
      </c>
      <c r="GT215" s="22">
        <v>45121</v>
      </c>
      <c r="GU215" s="29">
        <f t="shared" si="865"/>
        <v>39.142857142857146</v>
      </c>
      <c r="GV215" s="21" t="str">
        <f t="shared" si="866"/>
        <v>III TRIM</v>
      </c>
      <c r="GW215" s="28"/>
      <c r="GX215" s="30"/>
      <c r="GY215" s="21"/>
      <c r="GZ215" s="21"/>
      <c r="HA215" s="21"/>
      <c r="HB215" s="21"/>
      <c r="HC215" s="21"/>
      <c r="HD215" s="21"/>
      <c r="HE215" s="21"/>
      <c r="HF215" s="22"/>
      <c r="HG215" s="22" t="str">
        <f>IF(OR(O215&gt;0,R215&gt;0),CONCATENATE(IF(Tabla1[[#This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5" s="22" t="e">
        <f t="shared" si="867"/>
        <v>#REF!</v>
      </c>
      <c r="HI215" s="22" t="e">
        <f t="shared" ca="1" si="868"/>
        <v>#REF!</v>
      </c>
      <c r="HJ215" s="21"/>
      <c r="HK215" s="21" t="str">
        <f t="shared" si="869"/>
        <v>SIN ANTECEDENTES DE RIESGO</v>
      </c>
      <c r="HL215" s="24" t="str">
        <f t="shared" si="870"/>
        <v>APARENTEMENTE NORMAL</v>
      </c>
      <c r="HM215" s="21" t="e">
        <f t="shared" ca="1" si="871"/>
        <v>#REF!</v>
      </c>
      <c r="HN215" s="30" t="str">
        <f t="shared" si="924"/>
        <v>ACTIVA INGRESO A CPN</v>
      </c>
      <c r="HO215" s="21"/>
      <c r="HP215" s="21"/>
      <c r="HQ215" s="21"/>
      <c r="HR215" s="21" t="str">
        <f>IF(R215="","",IF(Tabla1[[#This Row],[ALARMA FACTORES DE RIESGO COMPLICACIONES HIPERTENSIVAS3]]="SIN ANTECEDENTES DE RIESGO","No Aplica para suministro de ASA",IF(AND(Tabla1[[#This Row],[FECHA INICIO DE SUMINISTRO DE ASA]]&gt;0,RV215&lt;12),"Inicia ASA ANTES de Sem 12",IF(AND(RV215&gt;11,RV215&lt;17,OR(HK215="RIESGO ALTO DE COMPLICACIONES HIPERTENSIVAS VER MANEJO GUIA SUMINISTRO ASA Y CALCIO",HK215="RIESGO MODERADO (2 O MAS CRITERIOS) VER MANEJO GUIA SUMINISTRO ASA Y CALCIO")),"Inicio oportuno de ASA",IF(AND(RV215&gt;12,OR(HK215="RIESGO ALTO DE COMPLICACIONES HIPERTENSIVAS VER MANEJO GUIA SUMINISTRO ASA Y CALCIO",HK215="RIESGO MODERADO (2 O MAS CRITERIOS) VER MANEJO GUIA SUMINISTRO ASA Y CALCIO")),"Inicio no oportuno mayor a 16 semanas",IF(AND(BU215&lt;12,OR(HK215="RIESGO ALTO DE COMPLICACIONES HIPERTENSIVAS VER MANEJO GUIA SUMINISTRO ASA Y CALCIO",HK215="RIESGO MODERADO (2 O MAS CRITERIOS) VER MANEJO GUIA SUMINISTRO ASA Y CALCIO")),"Pendiente Inicio de ASA a la semana 12",IF(AND(BU215&gt;11,BU215&lt;17,OR(HK215="RIESGO ALTO DE COMPLICACIONES HIPERTENSIVAS VER MANEJO GUIA SUMINISTRO ASA Y CALCIO",HK215="RIESGO MODERADO (2 O MAS CRITERIOS) VER MANEJO GUIA SUMINISTRO ASA Y CALCIO")),"Iniciar de inmediato ASA",IF(AND(BU215&gt;16,OR(HK215="RIESGO ALTO DE COMPLICACIONES HIPERTENSIVAS VER MANEJO GUIA SUMINISTRO ASA Y CALCIO",HK215="RIESGO MODERADO (2 O MAS CRITERIOS) VER MANEJO GUIA SUMINISTRO ASA Y CALCIO")),"Pierde Oportunidad, Inicio tardío de ASA","XXXXX"))))))))</f>
        <v>No Aplica para suministro de ASA</v>
      </c>
      <c r="HS215" s="22">
        <v>45121</v>
      </c>
      <c r="HT215" s="22" t="s">
        <v>1518</v>
      </c>
      <c r="HU215" s="22">
        <v>45121</v>
      </c>
      <c r="HV215" s="22" t="s">
        <v>1544</v>
      </c>
      <c r="HW215" s="22">
        <v>45121</v>
      </c>
      <c r="HX215" s="22" t="s">
        <v>1511</v>
      </c>
      <c r="HY215" s="22">
        <v>45121</v>
      </c>
      <c r="HZ215" s="28">
        <f t="shared" si="872"/>
        <v>39.142857142857146</v>
      </c>
      <c r="IA215" s="26"/>
      <c r="IB215" s="26"/>
      <c r="IC215" s="111"/>
      <c r="ID215" s="22"/>
      <c r="IE215" s="22" t="str">
        <f t="shared" ca="1" si="873"/>
        <v/>
      </c>
      <c r="IF215" s="22"/>
      <c r="IG215" s="22">
        <f t="shared" si="874"/>
        <v>45127</v>
      </c>
      <c r="IH215" s="29">
        <f t="shared" ca="1" si="875"/>
        <v>-106</v>
      </c>
      <c r="II215" s="22" t="str">
        <f t="shared" ca="1" si="876"/>
        <v>POSIBLEMENTE NACIO</v>
      </c>
      <c r="IJ215" s="22"/>
      <c r="IK215" s="21"/>
      <c r="IL215" s="21"/>
      <c r="IM215" s="34"/>
      <c r="IN215" s="349"/>
      <c r="IO215" s="21"/>
      <c r="IP215" s="29" t="str">
        <f t="shared" si="877"/>
        <v/>
      </c>
      <c r="IQ215" s="35"/>
      <c r="IR215" s="21"/>
      <c r="IS215" s="21"/>
      <c r="IT215" s="21"/>
      <c r="IU215" s="21"/>
      <c r="IV215" s="21"/>
      <c r="IW215" s="21"/>
      <c r="IX215" s="21"/>
      <c r="IY215" s="21"/>
      <c r="IZ215" s="21"/>
      <c r="JA215" s="21"/>
      <c r="JB215" s="30"/>
      <c r="JC215" s="21"/>
      <c r="JD215" s="36"/>
      <c r="JE215" s="21" t="str">
        <f t="shared" si="878"/>
        <v/>
      </c>
      <c r="JF215" s="30"/>
      <c r="JG215" s="21"/>
      <c r="JH215" s="21"/>
      <c r="JI215" s="21"/>
      <c r="JJ215" s="30"/>
      <c r="JK215" s="22"/>
      <c r="JL215" s="22"/>
      <c r="JM215" s="21"/>
      <c r="JN215" s="36"/>
      <c r="JO215" s="21" t="str">
        <f t="shared" si="879"/>
        <v/>
      </c>
      <c r="JP215" s="22"/>
      <c r="JQ215" s="21"/>
      <c r="JR215" s="21"/>
      <c r="JS215" s="21"/>
      <c r="JT215" s="30"/>
      <c r="JU215" s="22"/>
      <c r="JV215" s="22"/>
      <c r="JW215" s="33"/>
      <c r="JX215" s="28" t="str">
        <f t="shared" si="880"/>
        <v/>
      </c>
      <c r="JY215" s="33"/>
      <c r="JZ215" s="28" t="str">
        <f t="shared" si="881"/>
        <v/>
      </c>
      <c r="KA215" s="21"/>
      <c r="KB215" s="21"/>
      <c r="KC215" s="21"/>
      <c r="KD215" s="37"/>
      <c r="KE215" s="28"/>
      <c r="KF215" s="28"/>
      <c r="KG215" s="28"/>
      <c r="KH215" s="39"/>
      <c r="KI215" s="39"/>
      <c r="KJ215" s="66"/>
      <c r="KK215" s="39"/>
      <c r="KL215" s="39"/>
      <c r="KM215" s="66"/>
      <c r="KN215" s="39"/>
      <c r="KO215" s="39"/>
      <c r="KP215" s="39"/>
      <c r="KQ215" s="39"/>
      <c r="KR215" s="39"/>
      <c r="KS215" s="39"/>
      <c r="KT215" s="39"/>
      <c r="KU215" s="38"/>
      <c r="KV215" s="38"/>
      <c r="KW215" s="38"/>
      <c r="KX215" s="38"/>
      <c r="KY215" s="38"/>
      <c r="KZ215" s="38"/>
      <c r="LA215" s="38"/>
      <c r="LB215" s="38"/>
      <c r="LC215" s="38"/>
      <c r="LD215" s="38"/>
      <c r="LE215" s="38"/>
      <c r="LF215" s="38"/>
      <c r="LG215" s="38"/>
      <c r="LH215" s="38"/>
      <c r="LI215" s="38"/>
      <c r="LJ215" s="38"/>
      <c r="LK215" s="38"/>
      <c r="LL215" s="38"/>
      <c r="LM215" s="38"/>
      <c r="LN215" s="38"/>
      <c r="LO215" s="38"/>
      <c r="LP215" s="38"/>
      <c r="LQ215" s="38"/>
      <c r="LR215" s="38"/>
      <c r="LS215" s="38"/>
      <c r="LT215" s="38"/>
      <c r="LU215" s="38"/>
      <c r="LV215" s="38"/>
      <c r="LW215" s="38"/>
      <c r="LX215" s="38"/>
      <c r="LY215" s="38"/>
      <c r="LZ215" s="38"/>
      <c r="MA215" s="38"/>
      <c r="MB215" s="38"/>
      <c r="MC215" s="38"/>
      <c r="MD215" s="38"/>
      <c r="ME215" s="38"/>
      <c r="MF215" s="38"/>
      <c r="MG215" s="38"/>
      <c r="MH215" s="43">
        <f t="shared" si="882"/>
        <v>0</v>
      </c>
      <c r="MI215" s="43" t="str">
        <f t="shared" si="926"/>
        <v/>
      </c>
      <c r="MJ215" s="43" t="str">
        <f t="shared" si="884"/>
        <v/>
      </c>
      <c r="MK215" s="43">
        <f t="shared" si="885"/>
        <v>0</v>
      </c>
      <c r="ML21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5" s="43">
        <f t="shared" si="927"/>
        <v>39.142857142857146</v>
      </c>
      <c r="MN215" s="43">
        <f t="shared" si="928"/>
        <v>7</v>
      </c>
      <c r="MO215" s="43">
        <f t="shared" si="929"/>
        <v>2023</v>
      </c>
      <c r="MP215" s="43" t="str">
        <f t="shared" si="889"/>
        <v>III TRIMESTRE AÑO</v>
      </c>
      <c r="MQ215" s="43">
        <f t="shared" si="930"/>
        <v>25.18342093736312</v>
      </c>
      <c r="MR215" s="43">
        <f t="shared" si="891"/>
        <v>0</v>
      </c>
      <c r="MS215" s="43" t="str">
        <f t="shared" si="892"/>
        <v xml:space="preserve"> DE 25 A 29 AÑOS</v>
      </c>
      <c r="MT215" s="43">
        <f t="shared" si="893"/>
        <v>0</v>
      </c>
      <c r="MU215" s="43">
        <f t="shared" si="894"/>
        <v>1</v>
      </c>
      <c r="MV215" s="43">
        <f t="shared" si="895"/>
        <v>0</v>
      </c>
      <c r="MW215" s="43">
        <f t="shared" si="896"/>
        <v>0</v>
      </c>
      <c r="MX215" s="43" t="str">
        <f t="shared" si="897"/>
        <v/>
      </c>
      <c r="MY215" s="43" t="str">
        <f t="shared" ca="1" si="898"/>
        <v/>
      </c>
      <c r="MZ215" s="43" t="str">
        <f t="shared" si="899"/>
        <v/>
      </c>
      <c r="NA215" s="43" t="str">
        <f t="shared" si="900"/>
        <v/>
      </c>
      <c r="NB215" s="43" t="str">
        <f t="shared" si="901"/>
        <v/>
      </c>
      <c r="NC215" s="43" t="str">
        <f t="shared" si="902"/>
        <v/>
      </c>
      <c r="ND215" s="43">
        <f t="shared" ca="1" si="931"/>
        <v>1</v>
      </c>
      <c r="NE215" s="43">
        <f>IF(OR(O215&gt;0,R215&gt;0),SUM(COUNTIF(Tabla1[[#This Row],[AÑOS AL INICIO5 CPN]],"&gt;=40"),COUNTIF(AS215,"0"),COUNTIF(AR215,"SI"),COUNTIF(CC215,"SI"),COUNTIF(BQ215,"&gt;119"),COUNTIF(CI215,"&gt;=35")),"")</f>
        <v>0</v>
      </c>
      <c r="NF215" s="43" t="str">
        <f t="shared" si="932"/>
        <v/>
      </c>
      <c r="NG215" s="43">
        <f t="shared" si="905"/>
        <v>0</v>
      </c>
      <c r="NH215" s="43" t="str">
        <f t="shared" si="906"/>
        <v/>
      </c>
      <c r="NI21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CPN",P215="NO"),"Z",IF(AND(Tabla1[[#This Row],[CITA PROXIMO CONTROL]]="CITA MANUAL",Tabla1[[#This Row],[GESTANTES ACTUALES]]="ACTIVA INGRESO A CPN"),"W",IF(AND(Tabla1[[#This Row],[GESTANTES ACTUALES]]="SALIO PROGRAMA",IN215=""),"S",IF(AND(Tabla1[[#This Row],[CITA PROXIMO CONTROL]]&gt;0,IN215=""),(Tabla1[[#This Row],[CITA PROXIMO CONTROL]]-TODAY()),"SD"))))))))</f>
        <v>#REF!</v>
      </c>
      <c r="NJ215" s="43">
        <f>MONTH(Tabla1[[#This Row],[FECHA DE SALIDA  DEL PROGRAMA]])</f>
        <v>1</v>
      </c>
      <c r="NK215" s="43">
        <f>YEAR(Tabla1[[#This Row],[FECHA DE SALIDA  DEL PROGRAMA]])</f>
        <v>1900</v>
      </c>
      <c r="NL215" s="43" t="str">
        <f t="shared" si="933"/>
        <v>X</v>
      </c>
      <c r="NM215" s="43" t="str">
        <f t="shared" si="938"/>
        <v>NO</v>
      </c>
      <c r="NN215" s="43" t="str">
        <f ca="1">IF(AND(O215&gt;0,R215=""),"NO CPN",IF(AND(O215="",R215=""),"",IF(AND(R215&gt;0,Tabla1[[#This Row],[SEMANAS DE GESTACION ACTUALIZADAS]]&lt;=12),"NO APLICA",IF(AND(FH215&lt;&gt;"",FN215&lt;&gt;""),"SI","NO"))))</f>
        <v>NO</v>
      </c>
      <c r="NO215" s="43" t="str">
        <f ca="1">IF(AND(O215&gt;0,R215=""),"NO CPN",IF(AND(O215="",R215=""),"",IF(AND(R215&gt;0,Tabla1[[#This Row],[SEMANAS DE GESTACION ACTUALIZADAS]]&lt;=27),"NO APLICA",IF(AND(ES215&lt;&gt;"",FQ215&lt;&gt;"",GF215&lt;&gt;""),"SI","NO"))))</f>
        <v>NO</v>
      </c>
      <c r="NP215" s="204" t="str">
        <f t="shared" si="909"/>
        <v>III TRIM</v>
      </c>
      <c r="NQ215"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5" s="21">
        <f t="shared" si="934"/>
        <v>1</v>
      </c>
      <c r="NS215" s="205">
        <f t="shared" ca="1" si="911"/>
        <v>0</v>
      </c>
      <c r="NT215" s="21">
        <f t="shared" ca="1" si="912"/>
        <v>0</v>
      </c>
      <c r="NU215" s="21" t="str">
        <f t="shared" ca="1" si="913"/>
        <v>INCOMPLETO</v>
      </c>
      <c r="NV215" s="21" t="str">
        <f t="shared" ca="1" si="914"/>
        <v>INCOMPLETO</v>
      </c>
      <c r="NW215" s="206" t="str">
        <f>IF(AND(O215="",R215=""),"",IF(OR(AND(Tabla1[[#This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5" s="207" t="str">
        <f t="shared" ca="1" si="935"/>
        <v>SIN VACUNAR</v>
      </c>
      <c r="NY215" s="43">
        <f>ROW(Tabla1[[#This Row],['# DE TAMIZAJES SIFILIS TOMADOS ]])</f>
        <v>215</v>
      </c>
      <c r="NZ215" s="43">
        <f t="shared" si="738"/>
        <v>39</v>
      </c>
      <c r="OA215" s="43" t="str">
        <f t="shared" si="739"/>
        <v/>
      </c>
      <c r="OB215" s="43" t="str">
        <f t="shared" si="740"/>
        <v/>
      </c>
      <c r="OC215" s="43" t="str">
        <f t="shared" si="741"/>
        <v/>
      </c>
      <c r="OD215" s="43" t="str">
        <f t="shared" si="742"/>
        <v/>
      </c>
      <c r="OE215" s="43" t="str">
        <f t="shared" si="743"/>
        <v/>
      </c>
      <c r="OF215" s="43" t="str">
        <f t="shared" si="744"/>
        <v/>
      </c>
      <c r="OG215" s="43" t="str">
        <f t="shared" si="745"/>
        <v/>
      </c>
      <c r="OH215" s="43" t="str">
        <f t="shared" si="746"/>
        <v/>
      </c>
      <c r="OI215" s="43" t="str">
        <f t="shared" si="747"/>
        <v/>
      </c>
      <c r="OJ215" s="43" t="str">
        <f t="shared" si="748"/>
        <v/>
      </c>
      <c r="OK215" s="43" t="str">
        <f t="shared" si="749"/>
        <v/>
      </c>
      <c r="OL215" s="43" t="str">
        <f t="shared" si="750"/>
        <v/>
      </c>
      <c r="OM215" s="43" t="str">
        <f t="shared" si="751"/>
        <v/>
      </c>
      <c r="ON215" s="43" t="str">
        <f t="shared" si="752"/>
        <v/>
      </c>
      <c r="OO215" s="43" t="str">
        <f t="shared" si="753"/>
        <v/>
      </c>
      <c r="OP215" s="43" t="str">
        <f t="shared" si="754"/>
        <v/>
      </c>
      <c r="OQ215" s="43" t="str">
        <f t="shared" si="755"/>
        <v/>
      </c>
      <c r="OR215" s="43" t="str">
        <f t="shared" si="756"/>
        <v/>
      </c>
      <c r="OS215" s="43" t="str">
        <f t="shared" si="757"/>
        <v/>
      </c>
      <c r="OT215" s="43" t="str">
        <f t="shared" si="758"/>
        <v/>
      </c>
      <c r="OU215" s="43" t="str">
        <f t="shared" si="759"/>
        <v/>
      </c>
      <c r="OV215" s="110" t="str">
        <f t="shared" si="760"/>
        <v/>
      </c>
      <c r="OW215" s="43" t="str">
        <f t="shared" si="761"/>
        <v/>
      </c>
      <c r="OX215" s="43" t="str">
        <f t="shared" si="762"/>
        <v/>
      </c>
      <c r="OY215" s="43" t="str">
        <f t="shared" si="763"/>
        <v/>
      </c>
      <c r="OZ215" s="43" t="str">
        <f t="shared" si="764"/>
        <v/>
      </c>
      <c r="PA215" s="43" t="str">
        <f t="shared" si="765"/>
        <v/>
      </c>
      <c r="PB215" s="43" t="str">
        <f t="shared" si="766"/>
        <v/>
      </c>
      <c r="PC215" s="43" t="str">
        <f t="shared" si="767"/>
        <v/>
      </c>
      <c r="PD215" s="43" t="str">
        <f t="shared" si="768"/>
        <v/>
      </c>
      <c r="PE215" s="43" t="str">
        <f t="shared" si="769"/>
        <v>BAJO PESO</v>
      </c>
      <c r="PF215" s="43" t="str">
        <f t="shared" si="770"/>
        <v/>
      </c>
      <c r="PG215" s="43" t="str">
        <f t="shared" si="771"/>
        <v/>
      </c>
      <c r="PH215" s="43" t="str">
        <f t="shared" si="772"/>
        <v/>
      </c>
      <c r="PI215" s="43">
        <f t="shared" si="773"/>
        <v>39</v>
      </c>
      <c r="PJ215" s="43" t="str">
        <f t="shared" si="774"/>
        <v/>
      </c>
      <c r="PK215" s="43" t="str">
        <f t="shared" si="775"/>
        <v/>
      </c>
      <c r="PL215" s="43" t="str">
        <f t="shared" si="776"/>
        <v/>
      </c>
      <c r="PM215" s="43" t="str">
        <f t="shared" si="777"/>
        <v/>
      </c>
      <c r="PN215" s="43" t="str">
        <f t="shared" si="778"/>
        <v/>
      </c>
      <c r="PO215" s="43" t="str">
        <f t="shared" si="779"/>
        <v/>
      </c>
      <c r="PP215" s="43" t="str">
        <f t="shared" si="780"/>
        <v/>
      </c>
      <c r="PQ215" s="43" t="str">
        <f t="shared" si="781"/>
        <v/>
      </c>
      <c r="PR215" s="43" t="str">
        <f t="shared" si="782"/>
        <v/>
      </c>
      <c r="PS215" s="43" t="str">
        <f t="shared" si="783"/>
        <v/>
      </c>
      <c r="PT215" s="43" t="str">
        <f t="shared" si="784"/>
        <v/>
      </c>
      <c r="PU215" s="43" t="str">
        <f t="shared" si="785"/>
        <v/>
      </c>
      <c r="PV215" s="43" t="str">
        <f t="shared" si="786"/>
        <v/>
      </c>
      <c r="PW215" s="43" t="str">
        <f t="shared" si="787"/>
        <v/>
      </c>
      <c r="PX215" s="43" t="str">
        <f t="shared" si="788"/>
        <v/>
      </c>
      <c r="PY215" s="43" t="str">
        <f t="shared" si="789"/>
        <v/>
      </c>
      <c r="PZ215" s="43" t="str">
        <f t="shared" si="790"/>
        <v/>
      </c>
      <c r="QA215" s="43" t="str">
        <f t="shared" si="791"/>
        <v/>
      </c>
      <c r="QB215" s="43" t="str">
        <f t="shared" si="792"/>
        <v/>
      </c>
      <c r="QC215" s="43" t="str">
        <f t="shared" si="793"/>
        <v/>
      </c>
      <c r="QD215" s="43" t="str">
        <f t="shared" si="794"/>
        <v/>
      </c>
      <c r="QE215" s="43" t="str">
        <f t="shared" si="795"/>
        <v/>
      </c>
      <c r="QF215" s="43" t="str">
        <f t="shared" si="796"/>
        <v/>
      </c>
      <c r="QG215" s="43" t="str">
        <f t="shared" si="797"/>
        <v/>
      </c>
      <c r="QH215" s="43" t="str">
        <f t="shared" si="798"/>
        <v/>
      </c>
      <c r="QI215" s="43" t="str">
        <f t="shared" si="799"/>
        <v/>
      </c>
      <c r="QJ215" s="43" t="str">
        <f t="shared" si="800"/>
        <v/>
      </c>
      <c r="QK215" s="43" t="str">
        <f t="shared" si="801"/>
        <v/>
      </c>
      <c r="QL215" s="43" t="str">
        <f t="shared" si="802"/>
        <v/>
      </c>
      <c r="QM215" s="43" t="str">
        <f t="shared" si="803"/>
        <v/>
      </c>
      <c r="QN215" s="43" t="str">
        <f t="shared" si="804"/>
        <v>BAJO PESO</v>
      </c>
      <c r="QO215" s="43" t="str">
        <f t="shared" si="805"/>
        <v/>
      </c>
      <c r="QP215" s="43" t="str">
        <f t="shared" si="806"/>
        <v/>
      </c>
      <c r="QQ215" s="43" t="str">
        <f t="shared" si="807"/>
        <v/>
      </c>
      <c r="QR215" s="43">
        <f t="shared" si="837"/>
        <v>39</v>
      </c>
      <c r="QS215" s="43"/>
      <c r="QT215" s="21" t="str">
        <f t="shared" si="808"/>
        <v/>
      </c>
      <c r="QU215" s="21" t="str">
        <f t="shared" si="809"/>
        <v/>
      </c>
      <c r="QV215" s="21" t="str">
        <f t="shared" si="810"/>
        <v/>
      </c>
      <c r="QW215" s="21" t="str">
        <f t="shared" si="811"/>
        <v/>
      </c>
      <c r="QX215" s="21" t="str">
        <f t="shared" si="812"/>
        <v/>
      </c>
      <c r="QY215" s="21" t="str">
        <f t="shared" si="813"/>
        <v/>
      </c>
      <c r="QZ215" s="21" t="str">
        <f t="shared" si="814"/>
        <v/>
      </c>
      <c r="RA215" s="21" t="str">
        <f t="shared" si="815"/>
        <v/>
      </c>
      <c r="RB215" s="21" t="str">
        <f t="shared" si="816"/>
        <v/>
      </c>
      <c r="RC215" s="21" t="str">
        <f t="shared" si="817"/>
        <v/>
      </c>
      <c r="RD215" s="21" t="str">
        <f t="shared" si="818"/>
        <v/>
      </c>
      <c r="RE215" s="21" t="str">
        <f t="shared" si="819"/>
        <v/>
      </c>
      <c r="RF215" s="21" t="str">
        <f t="shared" si="820"/>
        <v/>
      </c>
      <c r="RG215" s="21" t="str">
        <f t="shared" si="821"/>
        <v/>
      </c>
      <c r="RH215" s="21" t="str">
        <f t="shared" si="822"/>
        <v/>
      </c>
      <c r="RI215" s="21" t="str">
        <f t="shared" si="823"/>
        <v/>
      </c>
      <c r="RJ215" s="21" t="str">
        <f t="shared" si="824"/>
        <v/>
      </c>
      <c r="RK215" s="21" t="str">
        <f t="shared" si="825"/>
        <v/>
      </c>
      <c r="RL215" s="21" t="str">
        <f t="shared" si="826"/>
        <v/>
      </c>
      <c r="RM215" s="21" t="str">
        <f t="shared" si="827"/>
        <v/>
      </c>
      <c r="RN215" s="21" t="str">
        <f t="shared" si="828"/>
        <v/>
      </c>
      <c r="RO215" s="21" t="str">
        <f t="shared" si="829"/>
        <v/>
      </c>
      <c r="RP215" s="21" t="str">
        <f t="shared" si="830"/>
        <v/>
      </c>
      <c r="RQ215" s="21" t="str">
        <f t="shared" si="831"/>
        <v/>
      </c>
      <c r="RR215" s="21" t="str">
        <f t="shared" si="832"/>
        <v/>
      </c>
      <c r="RS215" s="21" t="str">
        <f t="shared" si="833"/>
        <v/>
      </c>
      <c r="RT215" s="21" t="str">
        <f t="shared" si="834"/>
        <v/>
      </c>
      <c r="RU215" s="21" t="str">
        <f t="shared" si="835"/>
        <v/>
      </c>
      <c r="RV215" s="21">
        <f t="shared" si="836"/>
        <v>-1</v>
      </c>
      <c r="RW215" s="284">
        <f>IF(OR(Tabla1[[#This Row],[FUM FORMULA CONFIABLE]]="",Tabla1[[#This Row],[FUM FORMULA CONFIABLE]]="SD"),"",IF(Tabla1[[#This Row],[FUM FORMULA CONFIABLE]]="CORREGIDA",Tabla1[[#This Row],[FUM X ECO 1]],Tabla1[[#This Row],[FUM x AMENORREA]]))</f>
        <v>44847</v>
      </c>
      <c r="RX215" s="21" t="str">
        <f>IF(AND(Tabla1[[#This Row],[FUM X ECO 1]]="",Tabla1[[#This Row],[FUM x AMENORREA]]=""),"",IF(AND(Tabla1[[#This Row],[FUM X ECO 1]]="",Tabla1[[#This Row],[FUM x AMENORREA]]&lt;&gt;""),"X",SUM(Tabla1[[#This Row],[FUM X ECO 1]]-Tabla1[[#This Row],[FUM x AMENORREA]])))</f>
        <v>X</v>
      </c>
      <c r="RY215" s="21" t="str">
        <f t="shared" si="838"/>
        <v>x</v>
      </c>
    </row>
    <row r="216" spans="1:493" ht="45" customHeight="1" x14ac:dyDescent="0.25">
      <c r="A216" s="109"/>
      <c r="B216" s="43"/>
      <c r="C216" s="43" t="s">
        <v>845</v>
      </c>
      <c r="D216" s="124"/>
      <c r="E216" s="43" t="s">
        <v>953</v>
      </c>
      <c r="F216" s="43" t="s">
        <v>1286</v>
      </c>
      <c r="G216" s="43" t="s">
        <v>1463</v>
      </c>
      <c r="H216" s="43" t="s">
        <v>1579</v>
      </c>
      <c r="I216" s="109" t="s">
        <v>851</v>
      </c>
      <c r="J216" s="289" t="s">
        <v>1578</v>
      </c>
      <c r="K216" s="43" t="s">
        <v>852</v>
      </c>
      <c r="L216" s="175" t="s">
        <v>1509</v>
      </c>
      <c r="M216" s="22">
        <v>37843</v>
      </c>
      <c r="N216" s="213">
        <f t="shared" ca="1" si="839"/>
        <v>20.246575342465754</v>
      </c>
      <c r="O216" s="22">
        <v>45121</v>
      </c>
      <c r="P216" s="214" t="str">
        <f t="shared" si="916"/>
        <v>SI</v>
      </c>
      <c r="Q216" s="26" t="s">
        <v>855</v>
      </c>
      <c r="R216" s="22">
        <v>45121</v>
      </c>
      <c r="S216" s="21" t="s">
        <v>856</v>
      </c>
      <c r="T216" s="24" t="s">
        <v>690</v>
      </c>
      <c r="U216" s="21" t="s">
        <v>857</v>
      </c>
      <c r="V216" s="21" t="s">
        <v>858</v>
      </c>
      <c r="W216" s="21" t="s">
        <v>1288</v>
      </c>
      <c r="X216" s="21"/>
      <c r="Y216" s="21" t="s">
        <v>859</v>
      </c>
      <c r="Z216" s="21" t="s">
        <v>894</v>
      </c>
      <c r="AA216" s="21" t="s">
        <v>860</v>
      </c>
      <c r="AB216" s="27" t="s">
        <v>861</v>
      </c>
      <c r="AC216" s="26" t="s">
        <v>862</v>
      </c>
      <c r="AD216" s="38" t="s">
        <v>1546</v>
      </c>
      <c r="AE216" s="26" t="s">
        <v>854</v>
      </c>
      <c r="AF216" s="26" t="s">
        <v>854</v>
      </c>
      <c r="AG216" s="23" t="s">
        <v>864</v>
      </c>
      <c r="AH216" s="23" t="s">
        <v>864</v>
      </c>
      <c r="AI216" s="24" t="s">
        <v>863</v>
      </c>
      <c r="AJ216" s="23" t="s">
        <v>864</v>
      </c>
      <c r="AK216" s="220" t="str">
        <f>IF(AND(AD216="",AE216="",AF216="",AG216="",AH216="",AI216="",AJ216=""),"",IF(OR(Tabla1[[#This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EVALUACIÓN",IF(AND(O216="",R216=""),"",IF(AND(OR(O216&gt;0,R216&gt;0),NG216&gt;=0,NG216&lt;2),"SIN RIESGO",IF(AND(OR(O216&gt;0,R216&gt;0),NG216&gt;=2),"CON RIESGO","ASD")))))</f>
        <v>SIN RIESGO</v>
      </c>
      <c r="AL216" s="23" t="s">
        <v>864</v>
      </c>
      <c r="AM216" s="23" t="s">
        <v>864</v>
      </c>
      <c r="AN216" s="23" t="s">
        <v>864</v>
      </c>
      <c r="AO216" s="23" t="s">
        <v>864</v>
      </c>
      <c r="AP216" s="23" t="s">
        <v>864</v>
      </c>
      <c r="AQ216" s="23" t="s">
        <v>864</v>
      </c>
      <c r="AR216" s="23" t="s">
        <v>864</v>
      </c>
      <c r="AS216" s="21">
        <v>2</v>
      </c>
      <c r="AT216" s="21">
        <v>2</v>
      </c>
      <c r="AU216" s="21">
        <v>0</v>
      </c>
      <c r="AV216" s="26" t="s">
        <v>864</v>
      </c>
      <c r="AW216" s="21">
        <v>0</v>
      </c>
      <c r="AX216" s="26" t="s">
        <v>864</v>
      </c>
      <c r="AY216" s="26" t="s">
        <v>864</v>
      </c>
      <c r="AZ216" s="26" t="s">
        <v>864</v>
      </c>
      <c r="BA216" s="26" t="s">
        <v>864</v>
      </c>
      <c r="BB216" s="26" t="s">
        <v>864</v>
      </c>
      <c r="BC216" s="26" t="s">
        <v>864</v>
      </c>
      <c r="BD216" s="26" t="s">
        <v>864</v>
      </c>
      <c r="BE216" s="26" t="s">
        <v>864</v>
      </c>
      <c r="BF216" s="26" t="s">
        <v>864</v>
      </c>
      <c r="BG216" s="26" t="s">
        <v>864</v>
      </c>
      <c r="BH216" s="26" t="s">
        <v>864</v>
      </c>
      <c r="BI216" s="26" t="s">
        <v>864</v>
      </c>
      <c r="BJ216" s="26" t="s">
        <v>864</v>
      </c>
      <c r="BK216" s="26" t="s">
        <v>864</v>
      </c>
      <c r="BL216" s="26" t="s">
        <v>864</v>
      </c>
      <c r="BM216" s="26" t="s">
        <v>864</v>
      </c>
      <c r="BN216" s="22">
        <v>43901</v>
      </c>
      <c r="BO216" s="22">
        <v>44954</v>
      </c>
      <c r="BP216" s="21" t="s">
        <v>854</v>
      </c>
      <c r="BQ216" s="222">
        <f t="shared" si="840"/>
        <v>35.1</v>
      </c>
      <c r="BR216" s="223" t="str">
        <f t="shared" si="841"/>
        <v/>
      </c>
      <c r="BS216" s="224">
        <f t="shared" si="842"/>
        <v>23.857142857142858</v>
      </c>
      <c r="BT216" s="216" t="str">
        <f t="shared" si="843"/>
        <v>II TRIM</v>
      </c>
      <c r="BU216" s="214">
        <f t="shared" ca="1" si="925"/>
        <v>39.857142857142854</v>
      </c>
      <c r="BV216" s="25"/>
      <c r="BW216" s="22"/>
      <c r="BX216" s="28"/>
      <c r="BY216" s="28"/>
      <c r="BZ216" s="22"/>
      <c r="CA216" s="21"/>
      <c r="CB216" s="26"/>
      <c r="CC216" s="26"/>
      <c r="CD216" s="26"/>
      <c r="CE216" s="26"/>
      <c r="CF216" s="22" t="s">
        <v>1517</v>
      </c>
      <c r="CG216" s="21">
        <v>1.44</v>
      </c>
      <c r="CH216" s="21">
        <v>56</v>
      </c>
      <c r="CI216" s="214">
        <f t="shared" si="845"/>
        <v>27.006172839506174</v>
      </c>
      <c r="CJ216" s="225" t="e">
        <f>IF(AND(CI216&lt;10,CH216="SD"),"SIN DATO PESO PREGESTACION O I TRIM",IF(AND(OR(R216&gt;0,O216&gt;0),CI216="X"),"INGRESAR DATO DE PESO",IF(CI216="SD","INGRESAR DATO DE TALLA Y PESO",IF(AND(OR(Tabla1[[#This Row],[MOMENTO EN QUE SE REALIZA EL PESO AL INGRESO A CPN]]="PREGESTACIÓN",NZ216="Menor"),CI216&lt;18.5),"BAJO PESO",IF(AND(OR(Tabla1[[#This Row],[MOMENTO EN QUE SE REALIZA EL PESO AL INGRESO A CPN]]="PREGESTACIÓN",NZ216="Menor"),CI216&lt;25),"NORMAL",IF(AND(OR(Tabla1[[#This Row],[MOMENTO EN QUE SE REALIZA EL PESO AL INGRESO A CPN]]="PREGESTACIÓN",NZ216="Menor"),CI216&lt;30),"SOBREPESO",IF(AND(OR(Tabla1[[#This Row],[MOMENTO EN QUE SE REALIZA EL PESO AL INGRESO A CPN]]="PREGESTACIÓN",NZ216="Menor"),CI216&gt;=30,CI216&lt;50),"OBESIDAD",IF(AND(BS216&gt;0,Tabla1[[#This Row],[MOMENTO EN QUE SE REALIZA EL PESO AL INGRESO A CPN]]="GESTACIÓN"),HLOOKUP(NZ216,$OA$2:PH216,NY216),""))))))))</f>
        <v>#REF!</v>
      </c>
      <c r="CK216" s="212">
        <f t="shared" si="846"/>
        <v>45121</v>
      </c>
      <c r="CL216" s="21">
        <v>56</v>
      </c>
      <c r="CM216" s="214">
        <f t="shared" si="847"/>
        <v>27.006172839506174</v>
      </c>
      <c r="CN216" s="216">
        <f t="shared" si="848"/>
        <v>23</v>
      </c>
      <c r="CO216" s="216" t="e">
        <f>IF(PI216="","",IF(PI216&gt;0,HLOOKUP(PI216,$PJ$2:QQ216,NY216),""))</f>
        <v>#REF!</v>
      </c>
      <c r="CP216" s="21">
        <v>23</v>
      </c>
      <c r="CQ216" s="216" t="e">
        <f>IF(QR216="Menor","NO APLICA-MENOR 13 SEM",IF(AND(CC216="SI",CN216&gt;23),"NO APLICA- GEMELAR",IF(QR216="","",IF(QR216&gt;0,HLOOKUP(QR216,$QS$2:RU216,NY216),""))))</f>
        <v>#REF!</v>
      </c>
      <c r="CR216" s="21"/>
      <c r="CS216" s="21"/>
      <c r="CT216" s="217" t="str">
        <f>IF(R216="","",IF(AND(BS216&gt;1,BS216&lt;12,Tabla1[[#This Row],[T.A. SISTOLICA - ANTES DE SEMANA 12]]="",Tabla1[[#This Row],[T.A. DIASTOLICA - ANTES DE SEMANA 12]]=""),"REGISTRE DATO TA ANTES SEMANA 12",IF(AND(BS216&gt;11,BS216&lt;43,Tabla1[[#This Row],[T.A. SISTOLICA - ANTES DE SEMANA 12]]="",Tabla1[[#This Row],[T.A. DIASTOLICA - ANTES DE SEMANA 12]]=""),"NO APLICA REGISTRO TA-INGRESO TARDIO",IF(AND(OR(O216&gt;0,R216&gt;0),OR(CR216&gt;=140,CS216&gt;=90)),"DEFINIR ESTADIO HTA",IF(AND(OR(O216&gt;0,R216&gt;0),AND(CR216&gt;120,CR216&lt;=139)),"PRE HTA SEGUIMIENTO",IF(AND(OR(O216&gt;0,R216&gt;0),AND(CS216&gt;80,CS216&lt;=89)),"PRE HTA SEGUIMIENTO",IF(AND(OR(O216&gt;0,R216&gt;0),AND(CR216&gt;=80,CR216&lt;=120)),"APARENTEMENTE NORMAL",IF(AND(OR(O216&gt;0,R216&gt;0),AND(CS216&gt;=50,CS216&lt;=80)),"APARENTEMENTE NORMAL",IF(AND(OR(O216&gt;0,R216&gt;0),AND(CR216&gt;1,CR216&lt;=70),AND(CS216&gt;1,CS216&lt;=40)),"HIPOTENSIÓN","")))))))))</f>
        <v>NO APLICA REGISTRO TA-INGRESO TARDIO</v>
      </c>
      <c r="CU216" s="21">
        <v>100</v>
      </c>
      <c r="CV216" s="21">
        <v>60</v>
      </c>
      <c r="CW216" s="217" t="str">
        <f ca="1">IF(R216="","",IF(AND(CN216&gt;19,CN216&lt;27,Tabla1[[#This Row],[T.A. SISTOLICA (Entre semana 20 y 26)]]="",Tabla1[[#This Row],[T.A. DIATOLICA (Entre semana 20 y 26)]]=""),"ACUDE A CONTROL SEM 20 A 26 REGISTRE TA AHORA",IF(AND(BS216&gt;1,BS216&lt;27,BU216&gt;19,Tabla1[[#This Row],[T.A. SISTOLICA (Entre semana 20 y 26)]]="",Tabla1[[#This Row],[T.A. DIATOLICA (Entre semana 20 y 26)]]=""),"COMPLETE REGISTRO TA CONTROL SEM 20 A26 ",IF(AND(BS216&gt;26,BS216&lt;43,Tabla1[[#This Row],[T.A. SISTOLICA (Entre semana 20 y 26)]]="",Tabla1[[#This Row],[T.A. DIATOLICA (Entre semana 20 y 26)]]=""),"NO APLICA REGISTRO TA-INGRESO TARDIO",IF(AND(OR(O216&gt;0,R216&gt;0),OR(CU216&gt;=140,CV216&gt;=90)),"ALTO RIESGO PREECLAMPSIA,DEFINIR ESTADIO HTA",IF(AND(OR(O216&gt;0,R216&gt;0),AND(CU216&gt;120,CU216&lt;=139)),"PRE HTA SEGUIMIENTO,RIESGO HIPERTENSION INDUCIDA POR EL EMBARAZO",IF(AND(OR(O216&gt;0,R216&gt;0),AND(CV216&gt;80,CV216&lt;=89)),"PRE HTA SEGUIMIENTO, RIESGO HIPERTENSION INDUCIDA POR EL EMBARAZO",IF(AND(OR(O216&lt;&gt;"",R216&lt;&gt;""),CS216&lt;&gt;"",CV216&lt;&gt;"",CS216&lt;=CV216),"VIGILAR CIFRAS PRESION ARTERIAL",IF(AND(OR(O216&gt;0,R216&gt;0),AND(CU216&gt;120,CU216&lt;=139)),"PRE HTA SEGUIMIENTO",IF(AND(OR(O216&gt;0,R216&gt;0),AND(CU216&gt;1,CU216&lt;=70),AND(CV216&gt;1,CV216&lt;=40)),"HIPOTENSIÓN",IF(AND(OR(O216&lt;&gt;"",R216&lt;&gt;""),CS216&lt;&gt;"",CV216&lt;&gt;"",CS216&gt;CV216),"APARENTEMENTE NORMAL",IF(AND(OR(O216&gt;0,R216&gt;0),AND(CU216&gt;=80,CU216&lt;=120)),"APARENTEMENTE NORMAL",IF(AND(OR(O216&gt;0,R216&gt;0),AND(CV216&gt;=50,CV216&lt;=80)),"APARENTEMENTE NORMAL","")))))))))))))</f>
        <v>APARENTEMENTE NORMAL</v>
      </c>
      <c r="CX216" s="21"/>
      <c r="CY216" s="21"/>
      <c r="CZ216" s="216" t="str">
        <f>IF(R216="","",IF(AND(CN216&gt;31,CN216&lt;35,CX216="",CY216=""),"ACUDE A CONTROL SEM 30 A 34- REGISTRE AHORA",IF(AND(BS216&gt;34,BS216&lt;43,CX217="",CY217=""),"NO APLICA-INGRESO TARDIO",IF(AND(OR(O216&gt;0,R216&gt;0),OR(CX216&gt;=140,CY216&gt;=90)),"ESTUDIO INMEDIATO HTA PARA DESCARTAR PREECLAMSIA",IF(AND(OR(O216&gt;0,R216&gt;0),AND(CX216&gt;=130,CX216&lt;=139)),"PRE HTA,RIESGO ALTO PREECLAMPSIA",IF(AND(OR(O216&gt;0,R216&gt;0),AND(CY216&gt;80,CY216&lt;=89)),"PRE HTA,RIESGO ALTO PREECLAMPSIA",IF(AND(OR(O216&gt;0,R216&gt;0),AND(CX216&gt;120,CX216&lt;=129)),"RANGO PREHIPERTENSIVO SEGUIMIENTO HTA",IF(AND(OR(O216&lt;&gt;"",R216&lt;&gt;""),CS216&lt;&gt;"",CY216&lt;&gt;"",CS216&lt;CY216),"VIGILAR CIFRAS PRESION ARTERIAL",IF(AND(OR(O216&lt;&gt;"",R216&lt;&gt;""),CS216&lt;&gt;"",CY216&lt;&gt;"",CS216=CY216),"APARENTEMENTE NORMAL",IF(AND(OR(O216&gt;0,R216&gt;0),CX216&gt;=80,CX216&lt;=120),"APARENTEMENTE NORMAL",IF(AND(OR(O216&gt;0,R216&gt;0),CY216&gt;=50,CY216&lt;=80),"APARENTEMENTE NORMAL","")))))))))))</f>
        <v/>
      </c>
      <c r="DA216" s="21">
        <v>100</v>
      </c>
      <c r="DB216" s="21">
        <v>60</v>
      </c>
      <c r="DC216" s="217" t="str">
        <f t="shared" si="849"/>
        <v>APARENTEMENTE NORMAL</v>
      </c>
      <c r="DD216" s="22">
        <v>45121</v>
      </c>
      <c r="DE216" s="22">
        <v>45121</v>
      </c>
      <c r="DF216" s="22"/>
      <c r="DG216" s="22"/>
      <c r="DH216" s="22"/>
      <c r="DI216" s="22"/>
      <c r="DJ216" s="22"/>
      <c r="DK216" s="22"/>
      <c r="DL216" s="22"/>
      <c r="DM216" s="22"/>
      <c r="DN216" s="22"/>
      <c r="DO216" s="22"/>
      <c r="DP216" s="22"/>
      <c r="DQ216" s="22"/>
      <c r="DR216" s="28"/>
      <c r="DS216" s="22"/>
      <c r="DT216" s="22"/>
      <c r="DU216" s="216" t="str">
        <f t="shared" ca="1" si="917"/>
        <v>CONCERTAR PLAN DE PARTO INMEDIATO</v>
      </c>
      <c r="DV216" s="226" t="str">
        <f t="shared" si="918"/>
        <v>ACTIVA INGRESO A CPN</v>
      </c>
      <c r="DW21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6" s="216" t="e">
        <f t="shared" ca="1" si="850"/>
        <v>#REF!</v>
      </c>
      <c r="DY216" s="212">
        <f>IF(R216="","",IF(R216&gt;0,MAX(Tabla1[[#This Row],[FECHA C2]:[FECHA C13]],Tabla1[[#This Row],[FECHA CONSULTA PRIMERA VEZ PROGRAMA CPN ]])))</f>
        <v>45121</v>
      </c>
      <c r="DZ216" s="216">
        <f t="shared" si="851"/>
        <v>23</v>
      </c>
      <c r="EA216" s="222">
        <f>IF(R216&gt;0,SUM(COUNTA(DF216:DQ216)+COUNTA(Tabla1[[#This Row],[FECHA CONSULTA PRIMERA VEZ PROGRAMA CPN ]])),"")</f>
        <v>1</v>
      </c>
      <c r="EB216" s="222" t="str">
        <f t="shared" si="852"/>
        <v>NO</v>
      </c>
      <c r="EC216" s="214">
        <f t="shared" si="853"/>
        <v>6</v>
      </c>
      <c r="ED216" s="227">
        <f t="shared" si="854"/>
        <v>0.16666666666666666</v>
      </c>
      <c r="EE216" s="22">
        <v>45121</v>
      </c>
      <c r="EF216" s="22"/>
      <c r="EG216" s="22">
        <v>45121</v>
      </c>
      <c r="EH216" s="22"/>
      <c r="EI216" s="22">
        <v>45121</v>
      </c>
      <c r="EJ216" s="22"/>
      <c r="EK216" s="22"/>
      <c r="EL216" s="21"/>
      <c r="EM216" s="21">
        <v>12</v>
      </c>
      <c r="EN216" s="22">
        <v>45124</v>
      </c>
      <c r="EO216" s="222">
        <f t="shared" si="855"/>
        <v>24.285714285714285</v>
      </c>
      <c r="EP216" s="214" t="str">
        <f t="shared" si="856"/>
        <v>NORMAL- SUMINISTRAR SULFATO FERROSO</v>
      </c>
      <c r="EQ216" s="216" t="str">
        <f t="shared" si="857"/>
        <v>II TRIM</v>
      </c>
      <c r="ER216" s="24"/>
      <c r="ES216" s="22"/>
      <c r="ET216" s="29" t="str">
        <f t="shared" ca="1" si="919"/>
        <v>TOMA DE HEMOGLOBINA TARDÍA</v>
      </c>
      <c r="EU216" s="25" t="str">
        <f t="shared" si="858"/>
        <v/>
      </c>
      <c r="EV216" s="24" t="s">
        <v>1510</v>
      </c>
      <c r="EW216" s="22">
        <v>45124</v>
      </c>
      <c r="EX216" s="22"/>
      <c r="EY216" s="29">
        <f t="shared" si="691"/>
        <v>24.285714285714285</v>
      </c>
      <c r="EZ216" s="25" t="str">
        <f t="shared" si="692"/>
        <v>SIN RIESGO DE ISOINMUNIZACIÓN</v>
      </c>
      <c r="FA216" s="21">
        <v>74</v>
      </c>
      <c r="FB216" s="22">
        <v>45124</v>
      </c>
      <c r="FC216" s="29" t="str">
        <f t="shared" si="859"/>
        <v>NO APLICA &gt; 23 SEM -TOMAR PTOG</v>
      </c>
      <c r="FD216" s="29"/>
      <c r="FE216" s="29"/>
      <c r="FF216" s="29"/>
      <c r="FG216" s="21" t="str">
        <f t="shared" ca="1" si="860"/>
        <v>TOMAR PTOG</v>
      </c>
      <c r="FH216" s="31"/>
      <c r="FI216" s="29" t="str">
        <f t="shared" si="861"/>
        <v>TOMAR EXAMEN</v>
      </c>
      <c r="FJ216" s="22"/>
      <c r="FK216" s="22"/>
      <c r="FL216" s="29" t="str">
        <f t="shared" ca="1" si="862"/>
        <v>NO APLICA-INGRESO TARDIO</v>
      </c>
      <c r="FM216" s="22" t="s">
        <v>867</v>
      </c>
      <c r="FN216" s="22">
        <v>45124</v>
      </c>
      <c r="FO216" s="29">
        <f t="shared" ca="1" si="920"/>
        <v>24.285714285714285</v>
      </c>
      <c r="FP216" s="22"/>
      <c r="FQ216" s="32"/>
      <c r="FR216" s="29" t="str">
        <f t="shared" ca="1" si="921"/>
        <v>TOMA INMEDIATA DE TAMIZAJE</v>
      </c>
      <c r="FS216" s="22"/>
      <c r="FT216" s="32"/>
      <c r="FU216" s="29" t="str">
        <f>IF(AND(FJ216="",FM216="",FP216="",FS216=""),"",IF(OR(OR(Tabla1[[#This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6" s="28"/>
      <c r="FW216" s="22"/>
      <c r="FX216" s="29" t="str">
        <f t="shared" si="863"/>
        <v>TOMAR EXAMEN</v>
      </c>
      <c r="FY216" s="22"/>
      <c r="FZ216" s="22"/>
      <c r="GA216" s="29" t="str">
        <f t="shared" ca="1" si="936"/>
        <v>NO APLICA-INGRESO TARDIO</v>
      </c>
      <c r="GB216" s="22" t="s">
        <v>868</v>
      </c>
      <c r="GC216" s="22">
        <v>45124</v>
      </c>
      <c r="GD216" s="29">
        <f t="shared" ca="1" si="937"/>
        <v>24.285714285714285</v>
      </c>
      <c r="GE216" s="22"/>
      <c r="GF216" s="22"/>
      <c r="GG216" s="29" t="str">
        <f t="shared" ca="1" si="923"/>
        <v>TOMA INMEDIATA DE TAMIZAJE</v>
      </c>
      <c r="GH216" s="22"/>
      <c r="GI216" s="29"/>
      <c r="GJ216" s="22"/>
      <c r="GK216" s="22"/>
      <c r="GL216" s="22"/>
      <c r="GM216" s="22"/>
      <c r="GN216" s="28" t="s">
        <v>869</v>
      </c>
      <c r="GO216" s="22">
        <v>45124</v>
      </c>
      <c r="GP216" s="29">
        <f t="shared" si="864"/>
        <v>24.285714285714285</v>
      </c>
      <c r="GQ216" s="28" t="s">
        <v>846</v>
      </c>
      <c r="GR216" s="28" t="s">
        <v>869</v>
      </c>
      <c r="GS216" s="22" t="str">
        <f t="shared" si="726"/>
        <v/>
      </c>
      <c r="GT216" s="22">
        <v>45124</v>
      </c>
      <c r="GU216" s="29">
        <f t="shared" si="865"/>
        <v>24.285714285714285</v>
      </c>
      <c r="GV216" s="21" t="str">
        <f t="shared" si="866"/>
        <v>II TRIM</v>
      </c>
      <c r="GW216" s="28"/>
      <c r="GX216" s="30"/>
      <c r="GY216" s="21"/>
      <c r="GZ216" s="21"/>
      <c r="HA216" s="21"/>
      <c r="HB216" s="21"/>
      <c r="HC216" s="21"/>
      <c r="HD216" s="21"/>
      <c r="HE216" s="21"/>
      <c r="HF216" s="22"/>
      <c r="HG216" s="22" t="str">
        <f>IF(OR(O216&gt;0,R216&gt;0),CONCATENATE(IF(Tabla1[[#This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6" s="22" t="e">
        <f t="shared" si="867"/>
        <v>#REF!</v>
      </c>
      <c r="HI216" s="22" t="e">
        <f t="shared" ca="1" si="868"/>
        <v>#REF!</v>
      </c>
      <c r="HJ216" s="21"/>
      <c r="HK216" s="21" t="str">
        <f t="shared" si="869"/>
        <v>SIN ANTECEDENTES DE RIESGO</v>
      </c>
      <c r="HL216" s="24" t="str">
        <f t="shared" si="870"/>
        <v>APARENTEMENTE NORMAL</v>
      </c>
      <c r="HM216" s="21" t="e">
        <f t="shared" ca="1" si="871"/>
        <v>#REF!</v>
      </c>
      <c r="HN216" s="30" t="str">
        <f t="shared" si="924"/>
        <v>ACTIVA INGRESO A CPN</v>
      </c>
      <c r="HO216" s="21"/>
      <c r="HP216" s="21"/>
      <c r="HQ216" s="349"/>
      <c r="HR216" s="21" t="str">
        <f>IF(R216="","",IF(Tabla1[[#This Row],[ALARMA FACTORES DE RIESGO COMPLICACIONES HIPERTENSIVAS3]]="SIN ANTECEDENTES DE RIESGO","No Aplica para suministro de ASA",IF(AND(Tabla1[[#This Row],[FECHA INICIO DE SUMINISTRO DE ASA]]&gt;0,RV216&lt;12),"Inicia ASA ANTES de Sem 12",IF(AND(RV216&gt;11,RV216&lt;17,OR(HK216="RIESGO ALTO DE COMPLICACIONES HIPERTENSIVAS VER MANEJO GUIA SUMINISTRO ASA Y CALCIO",HK216="RIESGO MODERADO (2 O MAS CRITERIOS) VER MANEJO GUIA SUMINISTRO ASA Y CALCIO")),"Inicio oportuno de ASA",IF(AND(RV216&gt;12,OR(HK216="RIESGO ALTO DE COMPLICACIONES HIPERTENSIVAS VER MANEJO GUIA SUMINISTRO ASA Y CALCIO",HK216="RIESGO MODERADO (2 O MAS CRITERIOS) VER MANEJO GUIA SUMINISTRO ASA Y CALCIO")),"Inicio no oportuno mayor a 16 semanas",IF(AND(BU216&lt;12,OR(HK216="RIESGO ALTO DE COMPLICACIONES HIPERTENSIVAS VER MANEJO GUIA SUMINISTRO ASA Y CALCIO",HK216="RIESGO MODERADO (2 O MAS CRITERIOS) VER MANEJO GUIA SUMINISTRO ASA Y CALCIO")),"Pendiente Inicio de ASA a la semana 12",IF(AND(BU216&gt;11,BU216&lt;17,OR(HK216="RIESGO ALTO DE COMPLICACIONES HIPERTENSIVAS VER MANEJO GUIA SUMINISTRO ASA Y CALCIO",HK216="RIESGO MODERADO (2 O MAS CRITERIOS) VER MANEJO GUIA SUMINISTRO ASA Y CALCIO")),"Iniciar de inmediato ASA",IF(AND(BU216&gt;16,OR(HK216="RIESGO ALTO DE COMPLICACIONES HIPERTENSIVAS VER MANEJO GUIA SUMINISTRO ASA Y CALCIO",HK216="RIESGO MODERADO (2 O MAS CRITERIOS) VER MANEJO GUIA SUMINISTRO ASA Y CALCIO")),"Pierde Oportunidad, Inicio tardío de ASA","XXXXX"))))))))</f>
        <v>No Aplica para suministro de ASA</v>
      </c>
      <c r="HS216" s="22">
        <v>45124</v>
      </c>
      <c r="HT216" s="22" t="s">
        <v>1518</v>
      </c>
      <c r="HU216" s="22">
        <v>45124</v>
      </c>
      <c r="HV216" s="22" t="s">
        <v>1544</v>
      </c>
      <c r="HW216" s="22">
        <v>45124</v>
      </c>
      <c r="HX216" s="22" t="s">
        <v>1511</v>
      </c>
      <c r="HY216" s="22">
        <v>45121</v>
      </c>
      <c r="HZ216" s="28">
        <f t="shared" si="872"/>
        <v>23.857142857142858</v>
      </c>
      <c r="IA216" s="26" t="s">
        <v>864</v>
      </c>
      <c r="IB216" s="26"/>
      <c r="IC216" s="111"/>
      <c r="ID216" s="22"/>
      <c r="IE216" s="22" t="str">
        <f t="shared" ca="1" si="873"/>
        <v>INASISTENTE</v>
      </c>
      <c r="IF216" s="22"/>
      <c r="IG216" s="22">
        <f t="shared" si="874"/>
        <v>45234</v>
      </c>
      <c r="IH216" s="29">
        <f t="shared" ca="1" si="875"/>
        <v>1</v>
      </c>
      <c r="II216" s="22" t="str">
        <f t="shared" ca="1" si="876"/>
        <v>SEMANA DE PARTO</v>
      </c>
      <c r="IJ216" s="22"/>
      <c r="IK216" s="21"/>
      <c r="IL216" s="21"/>
      <c r="IM216" s="34"/>
      <c r="IN216" s="22"/>
      <c r="IO216" s="21"/>
      <c r="IP216" s="29" t="str">
        <f t="shared" si="877"/>
        <v/>
      </c>
      <c r="IQ216" s="35"/>
      <c r="IR216" s="21"/>
      <c r="IS216" s="21"/>
      <c r="IT216" s="21"/>
      <c r="IU216" s="21"/>
      <c r="IV216" s="21"/>
      <c r="IW216" s="21"/>
      <c r="IX216" s="21"/>
      <c r="IY216" s="21"/>
      <c r="IZ216" s="21"/>
      <c r="JA216" s="21"/>
      <c r="JB216" s="30"/>
      <c r="JC216" s="21"/>
      <c r="JD216" s="36"/>
      <c r="JE216" s="21" t="str">
        <f t="shared" si="878"/>
        <v/>
      </c>
      <c r="JF216" s="30"/>
      <c r="JG216" s="21"/>
      <c r="JH216" s="21"/>
      <c r="JI216" s="21"/>
      <c r="JJ216" s="30"/>
      <c r="JK216" s="22"/>
      <c r="JL216" s="22"/>
      <c r="JM216" s="21"/>
      <c r="JN216" s="36"/>
      <c r="JO216" s="21" t="str">
        <f t="shared" si="879"/>
        <v/>
      </c>
      <c r="JP216" s="22"/>
      <c r="JQ216" s="21"/>
      <c r="JR216" s="21"/>
      <c r="JS216" s="21"/>
      <c r="JT216" s="30"/>
      <c r="JU216" s="22"/>
      <c r="JV216" s="22"/>
      <c r="JW216" s="33"/>
      <c r="JX216" s="28" t="str">
        <f t="shared" si="880"/>
        <v/>
      </c>
      <c r="JY216" s="33"/>
      <c r="JZ216" s="28" t="str">
        <f t="shared" si="881"/>
        <v/>
      </c>
      <c r="KA216" s="21"/>
      <c r="KB216" s="21"/>
      <c r="KC216" s="21"/>
      <c r="KD216" s="37"/>
      <c r="KE216" s="28"/>
      <c r="KF216" s="28"/>
      <c r="KG216" s="28"/>
      <c r="KH216" s="39"/>
      <c r="KI216" s="39"/>
      <c r="KJ216" s="66"/>
      <c r="KK216" s="39"/>
      <c r="KL216" s="39"/>
      <c r="KM216" s="66"/>
      <c r="KN216" s="39"/>
      <c r="KO216" s="39"/>
      <c r="KP216" s="39"/>
      <c r="KQ216" s="39"/>
      <c r="KR216" s="39"/>
      <c r="KS216" s="39"/>
      <c r="KT216" s="39"/>
      <c r="KU216" s="38"/>
      <c r="KV216" s="38"/>
      <c r="KW216" s="38"/>
      <c r="KX216" s="38"/>
      <c r="KY216" s="38"/>
      <c r="KZ216" s="38"/>
      <c r="LA216" s="38"/>
      <c r="LB216" s="38"/>
      <c r="LC216" s="38"/>
      <c r="LD216" s="38"/>
      <c r="LE216" s="38"/>
      <c r="LF216" s="38"/>
      <c r="LG216" s="38"/>
      <c r="LH216" s="38"/>
      <c r="LI216" s="38"/>
      <c r="LJ216" s="38"/>
      <c r="LK216" s="38"/>
      <c r="LL216" s="38"/>
      <c r="LM216" s="38"/>
      <c r="LN216" s="38"/>
      <c r="LO216" s="38"/>
      <c r="LP216" s="38"/>
      <c r="LQ216" s="38"/>
      <c r="LR216" s="38"/>
      <c r="LS216" s="38"/>
      <c r="LT216" s="38"/>
      <c r="LU216" s="38"/>
      <c r="LV216" s="38"/>
      <c r="LW216" s="38"/>
      <c r="LX216" s="38"/>
      <c r="LY216" s="38"/>
      <c r="LZ216" s="38"/>
      <c r="MA216" s="38"/>
      <c r="MB216" s="38"/>
      <c r="MC216" s="38"/>
      <c r="MD216" s="38"/>
      <c r="ME216" s="38"/>
      <c r="MF216" s="38"/>
      <c r="MG216" s="38"/>
      <c r="MH216" s="43">
        <f t="shared" si="882"/>
        <v>0</v>
      </c>
      <c r="MI216" s="43" t="str">
        <f t="shared" si="926"/>
        <v/>
      </c>
      <c r="MJ216" s="43" t="str">
        <f t="shared" si="884"/>
        <v/>
      </c>
      <c r="MK216" s="43">
        <f t="shared" si="885"/>
        <v>0</v>
      </c>
      <c r="ML21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6" s="43">
        <f t="shared" si="927"/>
        <v>23.857142857142858</v>
      </c>
      <c r="MN216" s="43">
        <f t="shared" si="928"/>
        <v>7</v>
      </c>
      <c r="MO216" s="43">
        <f t="shared" si="929"/>
        <v>2023</v>
      </c>
      <c r="MP216" s="43" t="str">
        <f t="shared" si="889"/>
        <v>III TRIMESTRE AÑO</v>
      </c>
      <c r="MQ216" s="43">
        <f t="shared" si="930"/>
        <v>19.639728427507666</v>
      </c>
      <c r="MR216" s="43">
        <f t="shared" si="891"/>
        <v>0</v>
      </c>
      <c r="MS216" s="43" t="str">
        <f t="shared" si="892"/>
        <v>DE 14 A 19AÑOS</v>
      </c>
      <c r="MT216" s="43">
        <f t="shared" si="893"/>
        <v>0</v>
      </c>
      <c r="MU216" s="43">
        <f t="shared" si="894"/>
        <v>0</v>
      </c>
      <c r="MV216" s="43">
        <f t="shared" si="895"/>
        <v>0</v>
      </c>
      <c r="MW216" s="43">
        <f t="shared" si="896"/>
        <v>0</v>
      </c>
      <c r="MX216" s="43" t="str">
        <f t="shared" si="897"/>
        <v/>
      </c>
      <c r="MY216" s="43" t="str">
        <f t="shared" ca="1" si="898"/>
        <v/>
      </c>
      <c r="MZ216" s="43" t="str">
        <f t="shared" si="899"/>
        <v/>
      </c>
      <c r="NA216" s="43" t="str">
        <f t="shared" si="900"/>
        <v/>
      </c>
      <c r="NB216" s="43" t="str">
        <f t="shared" si="901"/>
        <v/>
      </c>
      <c r="NC216" s="43" t="str">
        <f t="shared" si="902"/>
        <v/>
      </c>
      <c r="ND216" s="43">
        <f t="shared" ca="1" si="931"/>
        <v>0</v>
      </c>
      <c r="NE216" s="43">
        <f>IF(OR(O216&gt;0,R216&gt;0),SUM(COUNTIF(Tabla1[[#This Row],[AÑOS AL INICIO5 CPN]],"&gt;=40"),COUNTIF(AS216,"0"),COUNTIF(AR216,"SI"),COUNTIF(CC216,"SI"),COUNTIF(BQ216,"&gt;119"),COUNTIF(CI216,"&gt;=35")),"")</f>
        <v>0</v>
      </c>
      <c r="NF216" s="43" t="str">
        <f t="shared" si="932"/>
        <v/>
      </c>
      <c r="NG216" s="43">
        <f t="shared" si="905"/>
        <v>0</v>
      </c>
      <c r="NH216" s="43" t="str">
        <f t="shared" si="906"/>
        <v/>
      </c>
      <c r="NI21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CPN",P216="NO"),"Z",IF(AND(Tabla1[[#This Row],[CITA PROXIMO CONTROL]]="CITA MANUAL",Tabla1[[#This Row],[GESTANTES ACTUALES]]="ACTIVA INGRESO A CPN"),"W",IF(AND(Tabla1[[#This Row],[GESTANTES ACTUALES]]="SALIO PROGRAMA",IN216=""),"S",IF(AND(Tabla1[[#This Row],[CITA PROXIMO CONTROL]]&gt;0,IN216=""),(Tabla1[[#This Row],[CITA PROXIMO CONTROL]]-TODAY()),"SD"))))))))</f>
        <v>#REF!</v>
      </c>
      <c r="NJ216" s="43">
        <f>MONTH(Tabla1[[#This Row],[FECHA DE SALIDA  DEL PROGRAMA]])</f>
        <v>1</v>
      </c>
      <c r="NK216" s="43">
        <f>YEAR(Tabla1[[#This Row],[FECHA DE SALIDA  DEL PROGRAMA]])</f>
        <v>1900</v>
      </c>
      <c r="NL216" s="43" t="str">
        <f t="shared" si="933"/>
        <v>X</v>
      </c>
      <c r="NM216" s="43" t="str">
        <f t="shared" si="938"/>
        <v>NO</v>
      </c>
      <c r="NN216" s="43" t="str">
        <f ca="1">IF(AND(O216&gt;0,R216=""),"NO CPN",IF(AND(O216="",R216=""),"",IF(AND(R216&gt;0,Tabla1[[#This Row],[SEMANAS DE GESTACION ACTUALIZADAS]]&lt;=12),"NO APLICA",IF(AND(FH216&lt;&gt;"",FN216&lt;&gt;""),"SI","NO"))))</f>
        <v>NO</v>
      </c>
      <c r="NO216" s="43" t="str">
        <f ca="1">IF(AND(O216&gt;0,R216=""),"NO CPN",IF(AND(O216="",R216=""),"",IF(AND(R216&gt;0,Tabla1[[#This Row],[SEMANAS DE GESTACION ACTUALIZADAS]]&lt;=27),"NO APLICA",IF(AND(ES216&lt;&gt;"",FQ216&lt;&gt;"",GF216&lt;&gt;""),"SI","NO"))))</f>
        <v>NO</v>
      </c>
      <c r="NP216" s="204" t="str">
        <f t="shared" si="909"/>
        <v>II TRIM</v>
      </c>
      <c r="NQ216" s="21" t="str">
        <f>IF(AND(IP217&gt;0,IP217&lt;37),10,IF(OR(CD217="Transversa",CD217="Oblicua"),9,IF(CC217="SI",8,IF(AND(AT217=0,AW217=0,CC217="NO",CD217="Cefálica",IP217&gt;=37,IT217="INICIO ESPONTÁNEO"),1,IF(AND(AND(AT217=0,AW217=0,CC217="NO",CD217="Cefálica",IP217&gt;=37),OR(IT217="LE HACEN INDUCCIÓN",IT217="LE HACEN CESÁREA SIN INICIO TRABAJO DE PARTO")),2,IF(AND(AT217&gt;=1,AW217=0,CC217="NO",CD217="Cefálica",IP217&gt;=37,IT217="INICIO ESPONTÁNEO"),3,IF(AND(AND(AT217&gt;=1,AW217=0,CC217="NO",CD217="Cefálica",IP217&gt;=37),OR(IT217="LE HACEN INDUCCIÓN",IT217="LE HACEN CESÁREA SIN INICIO TRABAJO DE PARTO")),4,IF(AND(AND(AT217&gt;=1,AW217&gt;=1,CC217="NO",CD217="Cefálica",IP217&gt;=37),OR(IT217="LE HACEN INDUCCIÓN",IT217="LE HACEN CESÁREA SIN INICIO TRABAJO DE PARTO",IT217="INICIO ESPONTÁNEO")),5,IF(AND(AND(AT217=0,AW217=0,CC217="NO",CD217="Podálica",IP217&gt;=1),OR(IT217="LE HACEN INDUCCIÓN",IT217="LE HACEN CESÁREA SIN INICIO TRABAJO DE PARTO",IT217="INICIO ESPONTÁNEO")),6,IF(AND(AND(AT217&gt;=1,CC217="NO",CD217="Podálica",IP217&gt;=1),OR(IT217="LE HACEN INDUCCIÓN",IT217="LE HACEN CESÁREA SIN INICIO TRABAJO DE PARTO",IT217="INICIO ESPONTÁNEO"),OR(AW217=0,AW217&gt;=1)),7,""))))))))))</f>
        <v/>
      </c>
      <c r="NR216" s="21">
        <f t="shared" ca="1" si="934"/>
        <v>2</v>
      </c>
      <c r="NS216" s="205">
        <f t="shared" ca="1" si="911"/>
        <v>1</v>
      </c>
      <c r="NT216" s="21">
        <f t="shared" ca="1" si="912"/>
        <v>1</v>
      </c>
      <c r="NU216" s="21" t="str">
        <f t="shared" ca="1" si="913"/>
        <v>INCOMPLETO</v>
      </c>
      <c r="NV216" s="21" t="str">
        <f t="shared" ca="1" si="914"/>
        <v>INCOMPLETO</v>
      </c>
      <c r="NW216" s="206" t="str">
        <f>IF(AND(O216="",R216=""),"",IF(OR(AND(Tabla1[[#This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6" s="207" t="str">
        <f t="shared" ca="1" si="935"/>
        <v>SIN VACUNAR</v>
      </c>
      <c r="NY216" s="43">
        <f>ROW(Tabla1[[#This Row],['# DE TAMIZAJES SIFILIS TOMADOS ]])</f>
        <v>216</v>
      </c>
      <c r="NZ216" s="43">
        <f t="shared" si="738"/>
        <v>23</v>
      </c>
      <c r="OA216" s="43" t="str">
        <f t="shared" si="739"/>
        <v/>
      </c>
      <c r="OB216" s="43" t="str">
        <f t="shared" si="740"/>
        <v/>
      </c>
      <c r="OC216" s="43" t="str">
        <f t="shared" si="741"/>
        <v/>
      </c>
      <c r="OD216" s="43" t="str">
        <f t="shared" si="742"/>
        <v/>
      </c>
      <c r="OE216" s="43" t="str">
        <f t="shared" si="743"/>
        <v/>
      </c>
      <c r="OF216" s="43" t="str">
        <f t="shared" si="744"/>
        <v/>
      </c>
      <c r="OG216" s="43" t="str">
        <f t="shared" si="745"/>
        <v/>
      </c>
      <c r="OH216" s="43" t="str">
        <f t="shared" si="746"/>
        <v/>
      </c>
      <c r="OI216" s="43" t="str">
        <f t="shared" si="747"/>
        <v/>
      </c>
      <c r="OJ216" s="43" t="str">
        <f t="shared" si="748"/>
        <v/>
      </c>
      <c r="OK216" s="43" t="str">
        <f t="shared" si="749"/>
        <v/>
      </c>
      <c r="OL216" s="43" t="str">
        <f t="shared" si="750"/>
        <v/>
      </c>
      <c r="OM216" s="43" t="str">
        <f t="shared" si="751"/>
        <v/>
      </c>
      <c r="ON216" s="43" t="str">
        <f t="shared" si="752"/>
        <v/>
      </c>
      <c r="OO216" s="43" t="str">
        <f t="shared" si="753"/>
        <v>SOBREPESO</v>
      </c>
      <c r="OP216" s="43" t="str">
        <f t="shared" si="754"/>
        <v/>
      </c>
      <c r="OQ216" s="43" t="str">
        <f t="shared" si="755"/>
        <v/>
      </c>
      <c r="OR216" s="43" t="str">
        <f t="shared" si="756"/>
        <v/>
      </c>
      <c r="OS216" s="43" t="str">
        <f t="shared" si="757"/>
        <v/>
      </c>
      <c r="OT216" s="43" t="str">
        <f t="shared" si="758"/>
        <v/>
      </c>
      <c r="OU216" s="43" t="str">
        <f t="shared" si="759"/>
        <v/>
      </c>
      <c r="OV216" s="110" t="str">
        <f t="shared" si="760"/>
        <v/>
      </c>
      <c r="OW216" s="43" t="str">
        <f t="shared" si="761"/>
        <v/>
      </c>
      <c r="OX216" s="43" t="str">
        <f t="shared" si="762"/>
        <v/>
      </c>
      <c r="OY216" s="43" t="str">
        <f t="shared" si="763"/>
        <v/>
      </c>
      <c r="OZ216" s="43" t="str">
        <f t="shared" si="764"/>
        <v/>
      </c>
      <c r="PA216" s="43" t="str">
        <f t="shared" si="765"/>
        <v/>
      </c>
      <c r="PB216" s="43" t="str">
        <f t="shared" si="766"/>
        <v/>
      </c>
      <c r="PC216" s="43" t="str">
        <f t="shared" si="767"/>
        <v/>
      </c>
      <c r="PD216" s="43" t="str">
        <f t="shared" si="768"/>
        <v/>
      </c>
      <c r="PE216" s="43" t="str">
        <f t="shared" si="769"/>
        <v/>
      </c>
      <c r="PF216" s="43" t="str">
        <f t="shared" si="770"/>
        <v/>
      </c>
      <c r="PG216" s="43" t="str">
        <f t="shared" si="771"/>
        <v/>
      </c>
      <c r="PH216" s="43" t="str">
        <f t="shared" si="772"/>
        <v/>
      </c>
      <c r="PI216" s="43">
        <f t="shared" si="773"/>
        <v>23</v>
      </c>
      <c r="PJ216" s="43" t="str">
        <f t="shared" si="774"/>
        <v/>
      </c>
      <c r="PK216" s="43" t="str">
        <f t="shared" si="775"/>
        <v/>
      </c>
      <c r="PL216" s="43" t="str">
        <f t="shared" si="776"/>
        <v/>
      </c>
      <c r="PM216" s="43" t="str">
        <f t="shared" si="777"/>
        <v/>
      </c>
      <c r="PN216" s="43" t="str">
        <f t="shared" si="778"/>
        <v/>
      </c>
      <c r="PO216" s="43" t="str">
        <f t="shared" si="779"/>
        <v/>
      </c>
      <c r="PP216" s="43" t="str">
        <f t="shared" si="780"/>
        <v/>
      </c>
      <c r="PQ216" s="43" t="str">
        <f t="shared" si="781"/>
        <v/>
      </c>
      <c r="PR216" s="43" t="str">
        <f t="shared" si="782"/>
        <v/>
      </c>
      <c r="PS216" s="43" t="str">
        <f t="shared" si="783"/>
        <v/>
      </c>
      <c r="PT216" s="43" t="str">
        <f t="shared" si="784"/>
        <v/>
      </c>
      <c r="PU216" s="43" t="str">
        <f t="shared" si="785"/>
        <v/>
      </c>
      <c r="PV216" s="43" t="str">
        <f t="shared" si="786"/>
        <v/>
      </c>
      <c r="PW216" s="43" t="str">
        <f t="shared" si="787"/>
        <v/>
      </c>
      <c r="PX216" s="43" t="str">
        <f t="shared" si="788"/>
        <v>SOBREPESO</v>
      </c>
      <c r="PY216" s="43" t="str">
        <f t="shared" si="789"/>
        <v/>
      </c>
      <c r="PZ216" s="43" t="str">
        <f t="shared" si="790"/>
        <v/>
      </c>
      <c r="QA216" s="43" t="str">
        <f t="shared" si="791"/>
        <v/>
      </c>
      <c r="QB216" s="43" t="str">
        <f t="shared" si="792"/>
        <v/>
      </c>
      <c r="QC216" s="43" t="str">
        <f t="shared" si="793"/>
        <v/>
      </c>
      <c r="QD216" s="43" t="str">
        <f t="shared" si="794"/>
        <v/>
      </c>
      <c r="QE216" s="43" t="str">
        <f t="shared" si="795"/>
        <v/>
      </c>
      <c r="QF216" s="43" t="str">
        <f t="shared" si="796"/>
        <v/>
      </c>
      <c r="QG216" s="43" t="str">
        <f t="shared" si="797"/>
        <v/>
      </c>
      <c r="QH216" s="43" t="str">
        <f t="shared" si="798"/>
        <v/>
      </c>
      <c r="QI216" s="43" t="str">
        <f t="shared" si="799"/>
        <v/>
      </c>
      <c r="QJ216" s="43" t="str">
        <f t="shared" si="800"/>
        <v/>
      </c>
      <c r="QK216" s="43" t="str">
        <f t="shared" si="801"/>
        <v/>
      </c>
      <c r="QL216" s="43" t="str">
        <f t="shared" si="802"/>
        <v/>
      </c>
      <c r="QM216" s="43" t="str">
        <f t="shared" si="803"/>
        <v/>
      </c>
      <c r="QN216" s="43" t="str">
        <f t="shared" si="804"/>
        <v/>
      </c>
      <c r="QO216" s="43" t="str">
        <f t="shared" si="805"/>
        <v/>
      </c>
      <c r="QP216" s="43" t="str">
        <f t="shared" si="806"/>
        <v/>
      </c>
      <c r="QQ216" s="43" t="str">
        <f t="shared" si="807"/>
        <v/>
      </c>
      <c r="QR216" s="43">
        <f t="shared" si="837"/>
        <v>23</v>
      </c>
      <c r="QS216" s="43"/>
      <c r="QT216" s="21" t="str">
        <f t="shared" si="808"/>
        <v/>
      </c>
      <c r="QU216" s="21" t="str">
        <f t="shared" si="809"/>
        <v/>
      </c>
      <c r="QV216" s="21" t="str">
        <f t="shared" si="810"/>
        <v/>
      </c>
      <c r="QW216" s="21" t="str">
        <f t="shared" si="811"/>
        <v/>
      </c>
      <c r="QX216" s="21" t="str">
        <f t="shared" si="812"/>
        <v/>
      </c>
      <c r="QY216" s="21" t="str">
        <f t="shared" si="813"/>
        <v/>
      </c>
      <c r="QZ216" s="21" t="str">
        <f t="shared" si="814"/>
        <v/>
      </c>
      <c r="RA216" s="21" t="str">
        <f t="shared" si="815"/>
        <v/>
      </c>
      <c r="RB216" s="21" t="str">
        <f t="shared" si="816"/>
        <v/>
      </c>
      <c r="RC216" s="21" t="str">
        <f t="shared" si="817"/>
        <v/>
      </c>
      <c r="RD216" s="21" t="str">
        <f t="shared" si="818"/>
        <v>ADECUADO PARA EDAD GESTACIONAL</v>
      </c>
      <c r="RE216" s="21" t="str">
        <f t="shared" si="819"/>
        <v/>
      </c>
      <c r="RF216" s="21" t="str">
        <f t="shared" si="820"/>
        <v/>
      </c>
      <c r="RG216" s="21" t="str">
        <f t="shared" si="821"/>
        <v/>
      </c>
      <c r="RH216" s="21" t="str">
        <f t="shared" si="822"/>
        <v/>
      </c>
      <c r="RI216" s="21" t="str">
        <f t="shared" si="823"/>
        <v/>
      </c>
      <c r="RJ216" s="21" t="str">
        <f t="shared" si="824"/>
        <v/>
      </c>
      <c r="RK216" s="21" t="str">
        <f t="shared" si="825"/>
        <v/>
      </c>
      <c r="RL216" s="21" t="str">
        <f t="shared" si="826"/>
        <v/>
      </c>
      <c r="RM216" s="21" t="str">
        <f t="shared" si="827"/>
        <v/>
      </c>
      <c r="RN216" s="21" t="str">
        <f t="shared" si="828"/>
        <v/>
      </c>
      <c r="RO216" s="21" t="str">
        <f t="shared" si="829"/>
        <v/>
      </c>
      <c r="RP216" s="21" t="str">
        <f t="shared" si="830"/>
        <v/>
      </c>
      <c r="RQ216" s="21" t="str">
        <f t="shared" si="831"/>
        <v/>
      </c>
      <c r="RR216" s="21" t="str">
        <f t="shared" si="832"/>
        <v/>
      </c>
      <c r="RS216" s="21" t="str">
        <f t="shared" si="833"/>
        <v/>
      </c>
      <c r="RT216" s="21" t="str">
        <f t="shared" si="834"/>
        <v/>
      </c>
      <c r="RU216" s="21" t="str">
        <f t="shared" si="835"/>
        <v/>
      </c>
      <c r="RV216" s="21">
        <f t="shared" si="836"/>
        <v>-1</v>
      </c>
      <c r="RW216" s="284">
        <f>IF(OR(Tabla1[[#This Row],[FUM FORMULA CONFIABLE]]="",Tabla1[[#This Row],[FUM FORMULA CONFIABLE]]="SD"),"",IF(Tabla1[[#This Row],[FUM FORMULA CONFIABLE]]="CORREGIDA",Tabla1[[#This Row],[FUM X ECO 1]],Tabla1[[#This Row],[FUM x AMENORREA]]))</f>
        <v>44954</v>
      </c>
      <c r="RX216" s="21" t="str">
        <f>IF(AND(Tabla1[[#This Row],[FUM X ECO 1]]="",Tabla1[[#This Row],[FUM x AMENORREA]]=""),"",IF(AND(Tabla1[[#This Row],[FUM X ECO 1]]="",Tabla1[[#This Row],[FUM x AMENORREA]]&lt;&gt;""),"X",SUM(Tabla1[[#This Row],[FUM X ECO 1]]-Tabla1[[#This Row],[FUM x AMENORREA]])))</f>
        <v>X</v>
      </c>
      <c r="RY216" s="21" t="str">
        <f t="shared" si="838"/>
        <v>x</v>
      </c>
    </row>
    <row r="217" spans="1:493" ht="45" customHeight="1" x14ac:dyDescent="0.25">
      <c r="A217" s="109"/>
      <c r="B217" s="43"/>
      <c r="C217" s="43" t="s">
        <v>845</v>
      </c>
      <c r="D217" s="124"/>
      <c r="E217" s="43" t="s">
        <v>1580</v>
      </c>
      <c r="F217" s="43" t="s">
        <v>914</v>
      </c>
      <c r="G217" s="43" t="s">
        <v>1581</v>
      </c>
      <c r="H217" s="43" t="s">
        <v>1464</v>
      </c>
      <c r="I217" s="109" t="s">
        <v>851</v>
      </c>
      <c r="J217" s="289">
        <v>1002846447</v>
      </c>
      <c r="K217" s="43" t="s">
        <v>852</v>
      </c>
      <c r="L217" s="175" t="s">
        <v>1509</v>
      </c>
      <c r="M217" s="22">
        <v>33909</v>
      </c>
      <c r="N217" s="213">
        <f t="shared" ca="1" si="839"/>
        <v>31.024657534246575</v>
      </c>
      <c r="O217" s="22">
        <v>45121</v>
      </c>
      <c r="P217" s="214" t="str">
        <f t="shared" si="916"/>
        <v>SI</v>
      </c>
      <c r="Q217" s="26" t="s">
        <v>855</v>
      </c>
      <c r="R217" s="22">
        <v>45121</v>
      </c>
      <c r="S217" s="21" t="s">
        <v>856</v>
      </c>
      <c r="T217" s="24" t="s">
        <v>690</v>
      </c>
      <c r="U217" s="21" t="s">
        <v>857</v>
      </c>
      <c r="V217" s="21" t="s">
        <v>858</v>
      </c>
      <c r="W217" s="21" t="s">
        <v>893</v>
      </c>
      <c r="X217" s="21"/>
      <c r="Y217" s="21" t="s">
        <v>859</v>
      </c>
      <c r="Z217" s="21" t="s">
        <v>894</v>
      </c>
      <c r="AA217" s="21" t="s">
        <v>860</v>
      </c>
      <c r="AB217" s="27" t="s">
        <v>861</v>
      </c>
      <c r="AC217" s="26" t="s">
        <v>1434</v>
      </c>
      <c r="AD217" s="38" t="s">
        <v>1546</v>
      </c>
      <c r="AE217" s="26" t="s">
        <v>854</v>
      </c>
      <c r="AF217" s="26" t="s">
        <v>854</v>
      </c>
      <c r="AG217" s="23" t="s">
        <v>864</v>
      </c>
      <c r="AH217" s="23" t="s">
        <v>864</v>
      </c>
      <c r="AI217" s="24" t="s">
        <v>863</v>
      </c>
      <c r="AJ217" s="23" t="s">
        <v>864</v>
      </c>
      <c r="AK217" s="220" t="str">
        <f>IF(AND(AD217="",AE217="",AF217="",AG217="",AH217="",AI217="",AJ217=""),"",IF(OR(Tabla1[[#This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EVALUACIÓN",IF(AND(O217="",R217=""),"",IF(AND(OR(O217&gt;0,R217&gt;0),NG217&gt;=0,NG217&lt;2),"SIN RIESGO",IF(AND(OR(O217&gt;0,R217&gt;0),NG217&gt;=2),"CON RIESGO","ASD")))))</f>
        <v>SIN RIESGO</v>
      </c>
      <c r="AL217" s="23" t="s">
        <v>864</v>
      </c>
      <c r="AM217" s="26" t="s">
        <v>864</v>
      </c>
      <c r="AN217" s="26" t="s">
        <v>864</v>
      </c>
      <c r="AO217" s="26" t="s">
        <v>864</v>
      </c>
      <c r="AP217" s="26" t="s">
        <v>864</v>
      </c>
      <c r="AQ217" s="26" t="s">
        <v>864</v>
      </c>
      <c r="AR217" s="26" t="s">
        <v>864</v>
      </c>
      <c r="AS217" s="21">
        <v>2</v>
      </c>
      <c r="AT217" s="21">
        <v>2</v>
      </c>
      <c r="AU217" s="21">
        <v>0</v>
      </c>
      <c r="AV217" s="26" t="s">
        <v>864</v>
      </c>
      <c r="AW217" s="21">
        <v>0</v>
      </c>
      <c r="AX217" s="26" t="s">
        <v>864</v>
      </c>
      <c r="AY217" s="26" t="s">
        <v>864</v>
      </c>
      <c r="AZ217" s="26" t="s">
        <v>864</v>
      </c>
      <c r="BA217" s="26" t="s">
        <v>864</v>
      </c>
      <c r="BB217" s="26" t="s">
        <v>864</v>
      </c>
      <c r="BC217" s="26" t="s">
        <v>864</v>
      </c>
      <c r="BD217" s="26" t="s">
        <v>864</v>
      </c>
      <c r="BE217" s="26" t="s">
        <v>864</v>
      </c>
      <c r="BF217" s="26" t="s">
        <v>864</v>
      </c>
      <c r="BG217" s="26" t="s">
        <v>864</v>
      </c>
      <c r="BH217" s="26" t="s">
        <v>864</v>
      </c>
      <c r="BI217" s="26" t="s">
        <v>864</v>
      </c>
      <c r="BJ217" s="26" t="s">
        <v>864</v>
      </c>
      <c r="BK217" s="26" t="s">
        <v>864</v>
      </c>
      <c r="BL217" s="26" t="s">
        <v>864</v>
      </c>
      <c r="BM217" s="26" t="s">
        <v>864</v>
      </c>
      <c r="BN217" s="22">
        <v>41896</v>
      </c>
      <c r="BO217" s="22">
        <v>44997</v>
      </c>
      <c r="BP217" s="21" t="s">
        <v>854</v>
      </c>
      <c r="BQ217" s="222">
        <f t="shared" si="840"/>
        <v>103.36666666666666</v>
      </c>
      <c r="BR217" s="223" t="str">
        <f t="shared" si="841"/>
        <v/>
      </c>
      <c r="BS217" s="224">
        <f t="shared" si="842"/>
        <v>17.714285714285715</v>
      </c>
      <c r="BT217" s="216" t="str">
        <f t="shared" si="843"/>
        <v>II TRIM</v>
      </c>
      <c r="BU217" s="214">
        <f t="shared" ca="1" si="925"/>
        <v>33.714285714285715</v>
      </c>
      <c r="BV217" s="25"/>
      <c r="BW217" s="22"/>
      <c r="BX217" s="28"/>
      <c r="BY217" s="28"/>
      <c r="BZ217" s="22"/>
      <c r="CA217" s="21"/>
      <c r="CB217" s="26"/>
      <c r="CC217" s="26"/>
      <c r="CD217" s="26"/>
      <c r="CE217" s="26"/>
      <c r="CF217" s="22" t="s">
        <v>1517</v>
      </c>
      <c r="CG217" s="21">
        <v>1.38</v>
      </c>
      <c r="CH217" s="21">
        <v>56</v>
      </c>
      <c r="CI217" s="214">
        <f t="shared" si="845"/>
        <v>29.405587061541699</v>
      </c>
      <c r="CJ217" s="225" t="e">
        <f>IF(AND(CI217&lt;10,CH217="SD"),"SIN DATO PESO PREGESTACION O I TRIM",IF(AND(OR(R217&gt;0,O217&gt;0),CI217="X"),"INGRESAR DATO DE PESO",IF(CI217="SD","INGRESAR DATO DE TALLA Y PESO",IF(AND(OR(Tabla1[[#This Row],[MOMENTO EN QUE SE REALIZA EL PESO AL INGRESO A CPN]]="PREGESTACIÓN",NZ217="Menor"),CI217&lt;18.5),"BAJO PESO",IF(AND(OR(Tabla1[[#This Row],[MOMENTO EN QUE SE REALIZA EL PESO AL INGRESO A CPN]]="PREGESTACIÓN",NZ217="Menor"),CI217&lt;25),"NORMAL",IF(AND(OR(Tabla1[[#This Row],[MOMENTO EN QUE SE REALIZA EL PESO AL INGRESO A CPN]]="PREGESTACIÓN",NZ217="Menor"),CI217&lt;30),"SOBREPESO",IF(AND(OR(Tabla1[[#This Row],[MOMENTO EN QUE SE REALIZA EL PESO AL INGRESO A CPN]]="PREGESTACIÓN",NZ217="Menor"),CI217&gt;=30,CI217&lt;50),"OBESIDAD",IF(AND(BS217&gt;0,Tabla1[[#This Row],[MOMENTO EN QUE SE REALIZA EL PESO AL INGRESO A CPN]]="GESTACIÓN"),HLOOKUP(NZ217,$OA$2:PH217,NY217),""))))))))</f>
        <v>#REF!</v>
      </c>
      <c r="CK217" s="212">
        <f t="shared" si="846"/>
        <v>45121</v>
      </c>
      <c r="CL217" s="21">
        <v>56</v>
      </c>
      <c r="CM217" s="214">
        <f t="shared" si="847"/>
        <v>29.405587061541699</v>
      </c>
      <c r="CN217" s="216">
        <f t="shared" si="848"/>
        <v>17</v>
      </c>
      <c r="CO217" s="216" t="e">
        <f>IF(PI217="","",IF(PI217&gt;0,HLOOKUP(PI217,$PJ$2:QQ217,NY217),""))</f>
        <v>#REF!</v>
      </c>
      <c r="CP217" s="21">
        <v>16</v>
      </c>
      <c r="CQ217" s="216" t="e">
        <f>IF(QR217="Menor","NO APLICA-MENOR 13 SEM",IF(AND(CC217="SI",CN217&gt;23),"NO APLICA- GEMELAR",IF(QR217="","",IF(QR217&gt;0,HLOOKUP(QR217,$QS$2:RU217,NY217),""))))</f>
        <v>#REF!</v>
      </c>
      <c r="CR217" s="21"/>
      <c r="CS217" s="21"/>
      <c r="CT217" s="217" t="str">
        <f>IF(R217="","",IF(AND(BS217&gt;1,BS217&lt;12,Tabla1[[#This Row],[T.A. SISTOLICA - ANTES DE SEMANA 12]]="",Tabla1[[#This Row],[T.A. DIASTOLICA - ANTES DE SEMANA 12]]=""),"REGISTRE DATO TA ANTES SEMANA 12",IF(AND(BS217&gt;11,BS217&lt;43,Tabla1[[#This Row],[T.A. SISTOLICA - ANTES DE SEMANA 12]]="",Tabla1[[#This Row],[T.A. DIASTOLICA - ANTES DE SEMANA 12]]=""),"NO APLICA REGISTRO TA-INGRESO TARDIO",IF(AND(OR(O217&gt;0,R217&gt;0),OR(CR217&gt;=140,CS217&gt;=90)),"DEFINIR ESTADIO HTA",IF(AND(OR(O217&gt;0,R217&gt;0),AND(CR217&gt;120,CR217&lt;=139)),"PRE HTA SEGUIMIENTO",IF(AND(OR(O217&gt;0,R217&gt;0),AND(CS217&gt;80,CS217&lt;=89)),"PRE HTA SEGUIMIENTO",IF(AND(OR(O217&gt;0,R217&gt;0),AND(CR217&gt;=80,CR217&lt;=120)),"APARENTEMENTE NORMAL",IF(AND(OR(O217&gt;0,R217&gt;0),AND(CS217&gt;=50,CS217&lt;=80)),"APARENTEMENTE NORMAL",IF(AND(OR(O217&gt;0,R217&gt;0),AND(CR217&gt;1,CR217&lt;=70),AND(CS217&gt;1,CS217&lt;=40)),"HIPOTENSIÓN","")))))))))</f>
        <v>NO APLICA REGISTRO TA-INGRESO TARDIO</v>
      </c>
      <c r="CU217" s="21"/>
      <c r="CV217" s="21"/>
      <c r="CW217" s="217" t="str">
        <f ca="1">IF(R217="","",IF(AND(CN217&gt;19,CN217&lt;27,Tabla1[[#This Row],[T.A. SISTOLICA (Entre semana 20 y 26)]]="",Tabla1[[#This Row],[T.A. DIATOLICA (Entre semana 20 y 26)]]=""),"ACUDE A CONTROL SEM 20 A 26 REGISTRE TA AHORA",IF(AND(BS217&gt;1,BS217&lt;27,BU217&gt;19,Tabla1[[#This Row],[T.A. SISTOLICA (Entre semana 20 y 26)]]="",Tabla1[[#This Row],[T.A. DIATOLICA (Entre semana 20 y 26)]]=""),"COMPLETE REGISTRO TA CONTROL SEM 20 A26 ",IF(AND(BS217&gt;26,BS217&lt;43,Tabla1[[#This Row],[T.A. SISTOLICA (Entre semana 20 y 26)]]="",Tabla1[[#This Row],[T.A. DIATOLICA (Entre semana 20 y 26)]]=""),"NO APLICA REGISTRO TA-INGRESO TARDIO",IF(AND(OR(O217&gt;0,R217&gt;0),OR(CU217&gt;=140,CV217&gt;=90)),"ALTO RIESGO PREECLAMPSIA,DEFINIR ESTADIO HTA",IF(AND(OR(O217&gt;0,R217&gt;0),AND(CU217&gt;120,CU217&lt;=139)),"PRE HTA SEGUIMIENTO,RIESGO HIPERTENSION INDUCIDA POR EL EMBARAZO",IF(AND(OR(O217&gt;0,R217&gt;0),AND(CV217&gt;80,CV217&lt;=89)),"PRE HTA SEGUIMIENTO, RIESGO HIPERTENSION INDUCIDA POR EL EMBARAZO",IF(AND(OR(O217&lt;&gt;"",R217&lt;&gt;""),CS217&lt;&gt;"",CV217&lt;&gt;"",CS217&lt;=CV217),"VIGILAR CIFRAS PRESION ARTERIAL",IF(AND(OR(O217&gt;0,R217&gt;0),AND(CU217&gt;120,CU217&lt;=139)),"PRE HTA SEGUIMIENTO",IF(AND(OR(O217&gt;0,R217&gt;0),AND(CU217&gt;1,CU217&lt;=70),AND(CV217&gt;1,CV217&lt;=40)),"HIPOTENSIÓN",IF(AND(OR(O217&lt;&gt;"",R217&lt;&gt;""),CS217&lt;&gt;"",CV217&lt;&gt;"",CS217&gt;CV217),"APARENTEMENTE NORMAL",IF(AND(OR(O217&gt;0,R217&gt;0),AND(CU217&gt;=80,CU217&lt;=120)),"APARENTEMENTE NORMAL",IF(AND(OR(O217&gt;0,R217&gt;0),AND(CV217&gt;=50,CV217&lt;=80)),"APARENTEMENTE NORMAL","")))))))))))))</f>
        <v xml:space="preserve">COMPLETE REGISTRO TA CONTROL SEM 20 A26 </v>
      </c>
      <c r="CX217" s="21"/>
      <c r="CY217" s="21"/>
      <c r="CZ217" s="216" t="str">
        <f>IF(R217="","",IF(AND(CN217&gt;31,CN217&lt;35,CX217="",CY217=""),"ACUDE A CONTROL SEM 30 A 34- REGISTRE AHORA",IF(AND(BS217&gt;34,BS217&lt;43,CX218="",CY218=""),"NO APLICA-INGRESO TARDIO",IF(AND(OR(O217&gt;0,R217&gt;0),OR(CX217&gt;=140,CY217&gt;=90)),"ESTUDIO INMEDIATO HTA PARA DESCARTAR PREECLAMSIA",IF(AND(OR(O217&gt;0,R217&gt;0),AND(CX217&gt;=130,CX217&lt;=139)),"PRE HTA,RIESGO ALTO PREECLAMPSIA",IF(AND(OR(O217&gt;0,R217&gt;0),AND(CY217&gt;80,CY217&lt;=89)),"PRE HTA,RIESGO ALTO PREECLAMPSIA",IF(AND(OR(O217&gt;0,R217&gt;0),AND(CX217&gt;120,CX217&lt;=129)),"RANGO PREHIPERTENSIVO SEGUIMIENTO HTA",IF(AND(OR(O217&lt;&gt;"",R217&lt;&gt;""),CS217&lt;&gt;"",CY217&lt;&gt;"",CS217&lt;CY217),"VIGILAR CIFRAS PRESION ARTERIAL",IF(AND(OR(O217&lt;&gt;"",R217&lt;&gt;""),CS217&lt;&gt;"",CY217&lt;&gt;"",CS217=CY217),"APARENTEMENTE NORMAL",IF(AND(OR(O217&gt;0,R217&gt;0),CX217&gt;=80,CX217&lt;=120),"APARENTEMENTE NORMAL",IF(AND(OR(O217&gt;0,R217&gt;0),CY217&gt;=50,CY217&lt;=80),"APARENTEMENTE NORMAL","")))))))))))</f>
        <v/>
      </c>
      <c r="DA217" s="21">
        <v>90</v>
      </c>
      <c r="DB217" s="21">
        <v>60</v>
      </c>
      <c r="DC217" s="217" t="str">
        <f t="shared" si="849"/>
        <v>APARENTEMENTE NORMAL</v>
      </c>
      <c r="DD217" s="22">
        <v>45121</v>
      </c>
      <c r="DE217" s="22">
        <v>45121</v>
      </c>
      <c r="DF217" s="22"/>
      <c r="DG217" s="22"/>
      <c r="DH217" s="22"/>
      <c r="DI217" s="22"/>
      <c r="DJ217" s="22"/>
      <c r="DK217" s="22"/>
      <c r="DL217" s="22"/>
      <c r="DM217" s="22"/>
      <c r="DN217" s="22"/>
      <c r="DO217" s="22"/>
      <c r="DP217" s="22"/>
      <c r="DQ217" s="22"/>
      <c r="DR217" s="28"/>
      <c r="DS217" s="22"/>
      <c r="DT217" s="22"/>
      <c r="DU217" s="216" t="str">
        <f t="shared" ca="1" si="917"/>
        <v>PLANEAR PLAN DE PARTO</v>
      </c>
      <c r="DV217" s="226" t="str">
        <f t="shared" si="918"/>
        <v>ACTIVA INGRESO A CPN</v>
      </c>
      <c r="DW21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7" s="216" t="e">
        <f t="shared" ca="1" si="850"/>
        <v>#REF!</v>
      </c>
      <c r="DY217" s="212">
        <f>IF(R217="","",IF(R217&gt;0,MAX(Tabla1[[#This Row],[FECHA C2]:[FECHA C13]],Tabla1[[#This Row],[FECHA CONSULTA PRIMERA VEZ PROGRAMA CPN ]])))</f>
        <v>45121</v>
      </c>
      <c r="DZ217" s="216">
        <f t="shared" si="851"/>
        <v>17</v>
      </c>
      <c r="EA217" s="222">
        <f>IF(R217&gt;0,SUM(COUNTA(DF217:DQ217)+COUNTA(Tabla1[[#This Row],[FECHA CONSULTA PRIMERA VEZ PROGRAMA CPN ]])),"")</f>
        <v>1</v>
      </c>
      <c r="EB217" s="222" t="str">
        <f t="shared" si="852"/>
        <v>NO</v>
      </c>
      <c r="EC217" s="214">
        <f t="shared" si="853"/>
        <v>7</v>
      </c>
      <c r="ED217" s="227">
        <f t="shared" si="854"/>
        <v>0.14285714285714285</v>
      </c>
      <c r="EE217" s="22">
        <v>45121</v>
      </c>
      <c r="EF217" s="22">
        <v>45121</v>
      </c>
      <c r="EG217" s="22">
        <v>45121</v>
      </c>
      <c r="EH217" s="22"/>
      <c r="EI217" s="22">
        <v>45121</v>
      </c>
      <c r="EJ217" s="22"/>
      <c r="EK217" s="22"/>
      <c r="EL217" s="21"/>
      <c r="EM217" s="21"/>
      <c r="EN217" s="22"/>
      <c r="EO217" s="222" t="str">
        <f t="shared" si="855"/>
        <v>TOMAR EXAMEN</v>
      </c>
      <c r="EP217" s="214" t="str">
        <f t="shared" si="856"/>
        <v/>
      </c>
      <c r="EQ217" s="216" t="str">
        <f t="shared" si="857"/>
        <v>POR DEFINIR</v>
      </c>
      <c r="ER217" s="24"/>
      <c r="ES217" s="22"/>
      <c r="ET217" s="29" t="str">
        <f t="shared" ca="1" si="919"/>
        <v>TOMA DE HEMOGLOBINA TARDÍA</v>
      </c>
      <c r="EU217" s="25" t="str">
        <f t="shared" si="858"/>
        <v/>
      </c>
      <c r="EV217" s="24"/>
      <c r="EW217" s="24"/>
      <c r="EX217" s="22"/>
      <c r="EY217" s="29" t="str">
        <f t="shared" si="691"/>
        <v>TOMAR EXAMEN</v>
      </c>
      <c r="EZ217" s="25" t="str">
        <f t="shared" ca="1" si="692"/>
        <v/>
      </c>
      <c r="FA217" s="21"/>
      <c r="FB217" s="22"/>
      <c r="FC217" s="29" t="str">
        <f t="shared" si="859"/>
        <v>TOMAR EXAMEN</v>
      </c>
      <c r="FD217" s="29"/>
      <c r="FE217" s="29"/>
      <c r="FF217" s="29"/>
      <c r="FG217" s="21" t="str">
        <f t="shared" ca="1" si="860"/>
        <v>TOMAR PTOG</v>
      </c>
      <c r="FH217" s="31"/>
      <c r="FI217" s="29" t="str">
        <f t="shared" si="861"/>
        <v>TOMAR EXAMEN</v>
      </c>
      <c r="FJ217" s="22"/>
      <c r="FK217" s="22"/>
      <c r="FL217" s="29" t="str">
        <f t="shared" ca="1" si="862"/>
        <v>NO APLICA-INGRESO TARDIO</v>
      </c>
      <c r="FM217" s="22"/>
      <c r="FN217" s="32"/>
      <c r="FO217" s="29" t="str">
        <f t="shared" ca="1" si="920"/>
        <v>PIERDE TOMA DE TAMIZAJE</v>
      </c>
      <c r="FP217" s="22"/>
      <c r="FQ217" s="32"/>
      <c r="FR217" s="29" t="str">
        <f t="shared" ca="1" si="921"/>
        <v>EN RANGO PARA TOMAR EXAMEN</v>
      </c>
      <c r="FS217" s="22"/>
      <c r="FT217" s="32"/>
      <c r="FU217" s="29" t="str">
        <f>IF(AND(FJ217="",FM217="",FP217="",FS217=""),"",IF(OR(OR(Tabla1[[#This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7" s="28"/>
      <c r="FW217" s="22"/>
      <c r="FX217" s="29" t="str">
        <f t="shared" si="863"/>
        <v>TOMAR EXAMEN</v>
      </c>
      <c r="FY217" s="22"/>
      <c r="FZ217" s="22"/>
      <c r="GA217" s="29" t="str">
        <f t="shared" ca="1" si="936"/>
        <v>NO APLICA-INGRESO TARDIO</v>
      </c>
      <c r="GB217" s="22"/>
      <c r="GC217" s="22"/>
      <c r="GD217" s="29" t="str">
        <f t="shared" ca="1" si="937"/>
        <v>PIERDE TOMA DE TAMIZAJE</v>
      </c>
      <c r="GE217" s="22"/>
      <c r="GF217" s="22"/>
      <c r="GG217" s="29" t="str">
        <f t="shared" ca="1" si="923"/>
        <v>EN RANGO PARA TOMAR EXAMEN</v>
      </c>
      <c r="GH217" s="22"/>
      <c r="GI217" s="29"/>
      <c r="GJ217" s="22"/>
      <c r="GK217" s="22"/>
      <c r="GL217" s="22"/>
      <c r="GM217" s="22"/>
      <c r="GN217" s="28"/>
      <c r="GO217" s="22"/>
      <c r="GP217" s="29" t="str">
        <f t="shared" si="864"/>
        <v>TOMAR EXAMEN</v>
      </c>
      <c r="GQ217" s="28"/>
      <c r="GR217" s="28"/>
      <c r="GS217" s="22" t="str">
        <f t="shared" si="726"/>
        <v/>
      </c>
      <c r="GT217" s="22"/>
      <c r="GU217" s="29" t="str">
        <f t="shared" si="865"/>
        <v>TOMAR EXAMEN</v>
      </c>
      <c r="GV217" s="21" t="str">
        <f t="shared" si="866"/>
        <v>POR DEFINIR</v>
      </c>
      <c r="GW217" s="28"/>
      <c r="GX217" s="30"/>
      <c r="GY217" s="21"/>
      <c r="GZ217" s="21"/>
      <c r="HA217" s="21"/>
      <c r="HB217" s="21"/>
      <c r="HC217" s="21"/>
      <c r="HD217" s="21"/>
      <c r="HE217" s="21"/>
      <c r="HF217" s="22"/>
      <c r="HG217" s="22" t="str">
        <f>IF(OR(O217&gt;0,R217&gt;0),CONCATENATE(IF(Tabla1[[#This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7" s="22" t="e">
        <f t="shared" si="867"/>
        <v>#REF!</v>
      </c>
      <c r="HI217" s="22" t="e">
        <f t="shared" ca="1" si="868"/>
        <v>#REF!</v>
      </c>
      <c r="HJ217" s="21"/>
      <c r="HK217" s="21" t="str">
        <f t="shared" si="869"/>
        <v>SIN ANTECEDENTES DE RIESGO</v>
      </c>
      <c r="HL217" s="24" t="str">
        <f t="shared" si="870"/>
        <v>APARENTEMENTE NORMAL</v>
      </c>
      <c r="HM217" s="21" t="e">
        <f t="shared" ca="1" si="871"/>
        <v>#REF!</v>
      </c>
      <c r="HN217" s="30" t="str">
        <f t="shared" si="924"/>
        <v>ACTIVA INGRESO A CPN</v>
      </c>
      <c r="HO217" s="21"/>
      <c r="HP217" s="21"/>
      <c r="HQ217" s="349"/>
      <c r="HR217" s="21" t="str">
        <f>IF(R217="","",IF(Tabla1[[#This Row],[ALARMA FACTORES DE RIESGO COMPLICACIONES HIPERTENSIVAS3]]="SIN ANTECEDENTES DE RIESGO","No Aplica para suministro de ASA",IF(AND(Tabla1[[#This Row],[FECHA INICIO DE SUMINISTRO DE ASA]]&gt;0,RV217&lt;12),"Inicia ASA ANTES de Sem 12",IF(AND(RV217&gt;11,RV217&lt;17,OR(HK217="RIESGO ALTO DE COMPLICACIONES HIPERTENSIVAS VER MANEJO GUIA SUMINISTRO ASA Y CALCIO",HK217="RIESGO MODERADO (2 O MAS CRITERIOS) VER MANEJO GUIA SUMINISTRO ASA Y CALCIO")),"Inicio oportuno de ASA",IF(AND(RV217&gt;12,OR(HK217="RIESGO ALTO DE COMPLICACIONES HIPERTENSIVAS VER MANEJO GUIA SUMINISTRO ASA Y CALCIO",HK217="RIESGO MODERADO (2 O MAS CRITERIOS) VER MANEJO GUIA SUMINISTRO ASA Y CALCIO")),"Inicio no oportuno mayor a 16 semanas",IF(AND(BU217&lt;12,OR(HK217="RIESGO ALTO DE COMPLICACIONES HIPERTENSIVAS VER MANEJO GUIA SUMINISTRO ASA Y CALCIO",HK217="RIESGO MODERADO (2 O MAS CRITERIOS) VER MANEJO GUIA SUMINISTRO ASA Y CALCIO")),"Pendiente Inicio de ASA a la semana 12",IF(AND(BU217&gt;11,BU217&lt;17,OR(HK217="RIESGO ALTO DE COMPLICACIONES HIPERTENSIVAS VER MANEJO GUIA SUMINISTRO ASA Y CALCIO",HK217="RIESGO MODERADO (2 O MAS CRITERIOS) VER MANEJO GUIA SUMINISTRO ASA Y CALCIO")),"Iniciar de inmediato ASA",IF(AND(BU217&gt;16,OR(HK217="RIESGO ALTO DE COMPLICACIONES HIPERTENSIVAS VER MANEJO GUIA SUMINISTRO ASA Y CALCIO",HK217="RIESGO MODERADO (2 O MAS CRITERIOS) VER MANEJO GUIA SUMINISTRO ASA Y CALCIO")),"Pierde Oportunidad, Inicio tardío de ASA","XXXXX"))))))))</f>
        <v>No Aplica para suministro de ASA</v>
      </c>
      <c r="HS217" s="22">
        <v>45121</v>
      </c>
      <c r="HT217" s="22" t="s">
        <v>1518</v>
      </c>
      <c r="HU217" s="22">
        <v>45121</v>
      </c>
      <c r="HV217" s="22" t="s">
        <v>1544</v>
      </c>
      <c r="HW217" s="22">
        <v>45121</v>
      </c>
      <c r="HX217" s="22" t="s">
        <v>1511</v>
      </c>
      <c r="HY217" s="22"/>
      <c r="HZ217" s="28" t="str">
        <f t="shared" si="872"/>
        <v>PENDIENTE CONSULTA</v>
      </c>
      <c r="IA217" s="26"/>
      <c r="IB217" s="26"/>
      <c r="IC217" s="111"/>
      <c r="ID217" s="22"/>
      <c r="IE217" s="22" t="str">
        <f t="shared" ca="1" si="873"/>
        <v>INASISTENTE</v>
      </c>
      <c r="IF217" s="22"/>
      <c r="IG217" s="22">
        <f t="shared" si="874"/>
        <v>45277</v>
      </c>
      <c r="IH217" s="29">
        <f t="shared" ca="1" si="875"/>
        <v>44</v>
      </c>
      <c r="II217" s="22" t="str">
        <f t="shared" ca="1" si="876"/>
        <v>PENDIENTE</v>
      </c>
      <c r="IJ217" s="22"/>
      <c r="IK217" s="21"/>
      <c r="IL217" s="21"/>
      <c r="IM217" s="34"/>
      <c r="IN217" s="22"/>
      <c r="IO217" s="21"/>
      <c r="IP217" s="29" t="str">
        <f t="shared" si="877"/>
        <v/>
      </c>
      <c r="IQ217" s="35"/>
      <c r="IR217" s="21"/>
      <c r="IS217" s="21"/>
      <c r="IT217" s="21"/>
      <c r="IU217" s="21"/>
      <c r="IV217" s="21"/>
      <c r="IW217" s="21"/>
      <c r="IX217" s="21"/>
      <c r="IY217" s="21"/>
      <c r="IZ217" s="21"/>
      <c r="JA217" s="21"/>
      <c r="JB217" s="30"/>
      <c r="JC217" s="21"/>
      <c r="JD217" s="36"/>
      <c r="JE217" s="21" t="str">
        <f t="shared" si="878"/>
        <v/>
      </c>
      <c r="JF217" s="30"/>
      <c r="JG217" s="21"/>
      <c r="JH217" s="21"/>
      <c r="JI217" s="21"/>
      <c r="JJ217" s="30"/>
      <c r="JK217" s="22"/>
      <c r="JL217" s="22"/>
      <c r="JM217" s="21"/>
      <c r="JN217" s="36"/>
      <c r="JO217" s="21" t="str">
        <f t="shared" si="879"/>
        <v/>
      </c>
      <c r="JP217" s="22"/>
      <c r="JQ217" s="21"/>
      <c r="JR217" s="21"/>
      <c r="JS217" s="21"/>
      <c r="JT217" s="30"/>
      <c r="JU217" s="22"/>
      <c r="JV217" s="22"/>
      <c r="JW217" s="33"/>
      <c r="JX217" s="28" t="str">
        <f t="shared" si="880"/>
        <v/>
      </c>
      <c r="JY217" s="33"/>
      <c r="JZ217" s="28" t="str">
        <f t="shared" si="881"/>
        <v/>
      </c>
      <c r="KA217" s="21"/>
      <c r="KB217" s="21"/>
      <c r="KC217" s="21"/>
      <c r="KD217" s="37"/>
      <c r="KE217" s="28"/>
      <c r="KF217" s="28"/>
      <c r="KG217" s="28"/>
      <c r="KH217" s="39"/>
      <c r="KI217" s="39"/>
      <c r="KJ217" s="66"/>
      <c r="KK217" s="39"/>
      <c r="KL217" s="39"/>
      <c r="KM217" s="66"/>
      <c r="KN217" s="39"/>
      <c r="KO217" s="39"/>
      <c r="KP217" s="39"/>
      <c r="KQ217" s="39"/>
      <c r="KR217" s="39"/>
      <c r="KS217" s="39"/>
      <c r="KT217" s="39"/>
      <c r="KU217" s="38"/>
      <c r="KV217" s="38"/>
      <c r="KW217" s="38"/>
      <c r="KX217" s="38"/>
      <c r="KY217" s="38"/>
      <c r="KZ217" s="38"/>
      <c r="LA217" s="38"/>
      <c r="LB217" s="38"/>
      <c r="LC217" s="38"/>
      <c r="LD217" s="38"/>
      <c r="LE217" s="38"/>
      <c r="LF217" s="38"/>
      <c r="LG217" s="38"/>
      <c r="LH217" s="38"/>
      <c r="LI217" s="38"/>
      <c r="LJ217" s="38"/>
      <c r="LK217" s="38"/>
      <c r="LL217" s="38"/>
      <c r="LM217" s="38"/>
      <c r="LN217" s="38"/>
      <c r="LO217" s="38"/>
      <c r="LP217" s="38"/>
      <c r="LQ217" s="38"/>
      <c r="LR217" s="38"/>
      <c r="LS217" s="38"/>
      <c r="LT217" s="38"/>
      <c r="LU217" s="38"/>
      <c r="LV217" s="38"/>
      <c r="LW217" s="38"/>
      <c r="LX217" s="38"/>
      <c r="LY217" s="38"/>
      <c r="LZ217" s="38"/>
      <c r="MA217" s="38"/>
      <c r="MB217" s="38"/>
      <c r="MC217" s="38"/>
      <c r="MD217" s="38"/>
      <c r="ME217" s="38"/>
      <c r="MF217" s="38"/>
      <c r="MG217" s="38"/>
      <c r="MH217" s="43">
        <f t="shared" si="882"/>
        <v>0</v>
      </c>
      <c r="MI217" s="43" t="str">
        <f t="shared" si="926"/>
        <v/>
      </c>
      <c r="MJ217" s="43" t="str">
        <f t="shared" si="884"/>
        <v/>
      </c>
      <c r="MK217" s="43">
        <f t="shared" si="885"/>
        <v>0</v>
      </c>
      <c r="ML21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7" s="43">
        <f t="shared" si="927"/>
        <v>17.714285714285715</v>
      </c>
      <c r="MN217" s="43">
        <f t="shared" si="928"/>
        <v>7</v>
      </c>
      <c r="MO217" s="43">
        <f t="shared" si="929"/>
        <v>2023</v>
      </c>
      <c r="MP217" s="43" t="str">
        <f t="shared" si="889"/>
        <v>III TRIMESTRE AÑO</v>
      </c>
      <c r="MQ217" s="43">
        <f t="shared" si="930"/>
        <v>30.258979413052998</v>
      </c>
      <c r="MR217" s="43">
        <f t="shared" si="891"/>
        <v>0</v>
      </c>
      <c r="MS217" s="43" t="str">
        <f t="shared" si="892"/>
        <v xml:space="preserve"> DE 30 A 34 AÑOS</v>
      </c>
      <c r="MT217" s="43">
        <f t="shared" si="893"/>
        <v>0</v>
      </c>
      <c r="MU217" s="43">
        <f t="shared" si="894"/>
        <v>0</v>
      </c>
      <c r="MV217" s="43">
        <f t="shared" si="895"/>
        <v>0</v>
      </c>
      <c r="MW217" s="43">
        <f t="shared" si="896"/>
        <v>0</v>
      </c>
      <c r="MX217" s="43" t="str">
        <f t="shared" si="897"/>
        <v/>
      </c>
      <c r="MY217" s="43" t="str">
        <f t="shared" ca="1" si="898"/>
        <v/>
      </c>
      <c r="MZ217" s="43" t="str">
        <f t="shared" si="899"/>
        <v/>
      </c>
      <c r="NA217" s="43" t="str">
        <f t="shared" si="900"/>
        <v/>
      </c>
      <c r="NB217" s="43" t="str">
        <f t="shared" si="901"/>
        <v/>
      </c>
      <c r="NC217" s="43" t="str">
        <f t="shared" si="902"/>
        <v/>
      </c>
      <c r="ND217" s="43">
        <f t="shared" ca="1" si="931"/>
        <v>0</v>
      </c>
      <c r="NE217" s="43">
        <f>IF(OR(O217&gt;0,R217&gt;0),SUM(COUNTIF(Tabla1[[#This Row],[AÑOS AL INICIO5 CPN]],"&gt;=40"),COUNTIF(AS217,"0"),COUNTIF(AR217,"SI"),COUNTIF(CC217,"SI"),COUNTIF(BQ217,"&gt;119"),COUNTIF(CI217,"&gt;=35")),"")</f>
        <v>0</v>
      </c>
      <c r="NF217" s="43" t="str">
        <f t="shared" si="932"/>
        <v/>
      </c>
      <c r="NG217" s="43">
        <f t="shared" si="905"/>
        <v>0</v>
      </c>
      <c r="NH217" s="43" t="str">
        <f t="shared" si="906"/>
        <v/>
      </c>
      <c r="NI21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CPN",P217="NO"),"Z",IF(AND(Tabla1[[#This Row],[CITA PROXIMO CONTROL]]="CITA MANUAL",Tabla1[[#This Row],[GESTANTES ACTUALES]]="ACTIVA INGRESO A CPN"),"W",IF(AND(Tabla1[[#This Row],[GESTANTES ACTUALES]]="SALIO PROGRAMA",IN217=""),"S",IF(AND(Tabla1[[#This Row],[CITA PROXIMO CONTROL]]&gt;0,IN217=""),(Tabla1[[#This Row],[CITA PROXIMO CONTROL]]-TODAY()),"SD"))))))))</f>
        <v>#REF!</v>
      </c>
      <c r="NJ217" s="43">
        <f>MONTH(Tabla1[[#This Row],[FECHA DE SALIDA  DEL PROGRAMA]])</f>
        <v>1</v>
      </c>
      <c r="NK217" s="43">
        <f>YEAR(Tabla1[[#This Row],[FECHA DE SALIDA  DEL PROGRAMA]])</f>
        <v>1900</v>
      </c>
      <c r="NL217" s="43" t="str">
        <f t="shared" si="933"/>
        <v>X</v>
      </c>
      <c r="NM217" s="43" t="str">
        <f t="shared" si="938"/>
        <v>NO</v>
      </c>
      <c r="NN217" s="43" t="str">
        <f ca="1">IF(AND(O217&gt;0,R217=""),"NO CPN",IF(AND(O217="",R217=""),"",IF(AND(R217&gt;0,Tabla1[[#This Row],[SEMANAS DE GESTACION ACTUALIZADAS]]&lt;=12),"NO APLICA",IF(AND(FH217&lt;&gt;"",FN217&lt;&gt;""),"SI","NO"))))</f>
        <v>NO</v>
      </c>
      <c r="NO217" s="43" t="str">
        <f ca="1">IF(AND(O217&gt;0,R217=""),"NO CPN",IF(AND(O217="",R217=""),"",IF(AND(R217&gt;0,Tabla1[[#This Row],[SEMANAS DE GESTACION ACTUALIZADAS]]&lt;=27),"NO APLICA",IF(AND(ES217&lt;&gt;"",FQ217&lt;&gt;"",GF217&lt;&gt;""),"SI","NO"))))</f>
        <v>NO</v>
      </c>
      <c r="NP217" s="204" t="str">
        <f t="shared" si="909"/>
        <v>II TRIM</v>
      </c>
      <c r="NQ217" s="21">
        <f>IF(AND(IP218&gt;0,IP218&lt;37),10,IF(OR(CD218="Transversa",CD218="Oblicua"),9,IF(CC218="SI",8,IF(AND(AT218=0,AW218=0,CC218="NO",CD218="Cefálica",IP218&gt;=37,IT218="INICIO ESPONTÁNEO"),1,IF(AND(AND(AT218=0,AW218=0,CC218="NO",CD218="Cefálica",IP218&gt;=37),OR(IT218="LE HACEN INDUCCIÓN",IT218="LE HACEN CESÁREA SIN INICIO TRABAJO DE PARTO")),2,IF(AND(AT218&gt;=1,AW218=0,CC218="NO",CD218="Cefálica",IP218&gt;=37,IT218="INICIO ESPONTÁNEO"),3,IF(AND(AND(AT218&gt;=1,AW218=0,CC218="NO",CD218="Cefálica",IP218&gt;=37),OR(IT218="LE HACEN INDUCCIÓN",IT218="LE HACEN CESÁREA SIN INICIO TRABAJO DE PARTO")),4,IF(AND(AND(AT218&gt;=1,AW218&gt;=1,CC218="NO",CD218="Cefálica",IP218&gt;=37),OR(IT218="LE HACEN INDUCCIÓN",IT218="LE HACEN CESÁREA SIN INICIO TRABAJO DE PARTO",IT218="INICIO ESPONTÁNEO")),5,IF(AND(AND(AT218=0,AW218=0,CC218="NO",CD218="Podálica",IP218&gt;=1),OR(IT218="LE HACEN INDUCCIÓN",IT218="LE HACEN CESÁREA SIN INICIO TRABAJO DE PARTO",IT218="INICIO ESPONTÁNEO")),6,IF(AND(AND(AT218&gt;=1,CC218="NO",CD218="Podálica",IP218&gt;=1),OR(IT218="LE HACEN INDUCCIÓN",IT218="LE HACEN CESÁREA SIN INICIO TRABAJO DE PARTO",IT218="INICIO ESPONTÁNEO"),OR(AW218=0,AW218&gt;=1)),7,""))))))))))</f>
        <v>8</v>
      </c>
      <c r="NR217" s="21">
        <f t="shared" ca="1" si="934"/>
        <v>2</v>
      </c>
      <c r="NS217" s="205">
        <f t="shared" ca="1" si="911"/>
        <v>0</v>
      </c>
      <c r="NT217" s="21">
        <f t="shared" ca="1" si="912"/>
        <v>0</v>
      </c>
      <c r="NU217" s="21" t="str">
        <f t="shared" ca="1" si="913"/>
        <v>INCOMPLETO</v>
      </c>
      <c r="NV217" s="21" t="str">
        <f t="shared" ca="1" si="914"/>
        <v>INCOMPLETO</v>
      </c>
      <c r="NW217" s="206" t="str">
        <f>IF(AND(O217="",R217=""),"",IF(OR(AND(Tabla1[[#This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7" s="207" t="str">
        <f t="shared" ca="1" si="935"/>
        <v>SIN VACUNAR</v>
      </c>
      <c r="NY217" s="43">
        <f>ROW(Tabla1[[#This Row],['# DE TAMIZAJES SIFILIS TOMADOS ]])</f>
        <v>217</v>
      </c>
      <c r="NZ217" s="43">
        <f t="shared" si="738"/>
        <v>17</v>
      </c>
      <c r="OA217" s="43" t="str">
        <f t="shared" si="739"/>
        <v/>
      </c>
      <c r="OB217" s="43" t="str">
        <f t="shared" si="740"/>
        <v/>
      </c>
      <c r="OC217" s="43" t="str">
        <f t="shared" si="741"/>
        <v/>
      </c>
      <c r="OD217" s="43" t="str">
        <f t="shared" si="742"/>
        <v/>
      </c>
      <c r="OE217" s="43" t="str">
        <f t="shared" si="743"/>
        <v/>
      </c>
      <c r="OF217" s="43" t="str">
        <f t="shared" si="744"/>
        <v/>
      </c>
      <c r="OG217" s="43" t="str">
        <f t="shared" si="745"/>
        <v/>
      </c>
      <c r="OH217" s="43" t="str">
        <f t="shared" si="746"/>
        <v/>
      </c>
      <c r="OI217" s="43" t="str">
        <f t="shared" si="747"/>
        <v>SOBREPESO</v>
      </c>
      <c r="OJ217" s="43" t="str">
        <f t="shared" si="748"/>
        <v/>
      </c>
      <c r="OK217" s="43" t="str">
        <f t="shared" si="749"/>
        <v/>
      </c>
      <c r="OL217" s="43" t="str">
        <f t="shared" si="750"/>
        <v/>
      </c>
      <c r="OM217" s="43" t="str">
        <f t="shared" si="751"/>
        <v/>
      </c>
      <c r="ON217" s="43" t="str">
        <f t="shared" si="752"/>
        <v/>
      </c>
      <c r="OO217" s="43" t="str">
        <f t="shared" si="753"/>
        <v/>
      </c>
      <c r="OP217" s="43" t="str">
        <f t="shared" si="754"/>
        <v/>
      </c>
      <c r="OQ217" s="43" t="str">
        <f t="shared" si="755"/>
        <v/>
      </c>
      <c r="OR217" s="43" t="str">
        <f t="shared" si="756"/>
        <v/>
      </c>
      <c r="OS217" s="43" t="str">
        <f t="shared" si="757"/>
        <v/>
      </c>
      <c r="OT217" s="43" t="str">
        <f t="shared" si="758"/>
        <v/>
      </c>
      <c r="OU217" s="43" t="str">
        <f t="shared" si="759"/>
        <v/>
      </c>
      <c r="OV217" s="110" t="str">
        <f t="shared" si="760"/>
        <v/>
      </c>
      <c r="OW217" s="43" t="str">
        <f t="shared" si="761"/>
        <v/>
      </c>
      <c r="OX217" s="43" t="str">
        <f t="shared" si="762"/>
        <v/>
      </c>
      <c r="OY217" s="43" t="str">
        <f t="shared" si="763"/>
        <v/>
      </c>
      <c r="OZ217" s="43" t="str">
        <f t="shared" si="764"/>
        <v/>
      </c>
      <c r="PA217" s="43" t="str">
        <f t="shared" si="765"/>
        <v/>
      </c>
      <c r="PB217" s="43" t="str">
        <f t="shared" si="766"/>
        <v/>
      </c>
      <c r="PC217" s="43" t="str">
        <f t="shared" si="767"/>
        <v/>
      </c>
      <c r="PD217" s="43" t="str">
        <f t="shared" si="768"/>
        <v/>
      </c>
      <c r="PE217" s="43" t="str">
        <f t="shared" si="769"/>
        <v/>
      </c>
      <c r="PF217" s="43" t="str">
        <f t="shared" si="770"/>
        <v/>
      </c>
      <c r="PG217" s="43" t="str">
        <f t="shared" si="771"/>
        <v/>
      </c>
      <c r="PH217" s="43" t="str">
        <f t="shared" si="772"/>
        <v/>
      </c>
      <c r="PI217" s="43">
        <f t="shared" si="773"/>
        <v>17</v>
      </c>
      <c r="PJ217" s="43" t="str">
        <f t="shared" si="774"/>
        <v/>
      </c>
      <c r="PK217" s="43" t="str">
        <f t="shared" si="775"/>
        <v/>
      </c>
      <c r="PL217" s="43" t="str">
        <f t="shared" si="776"/>
        <v/>
      </c>
      <c r="PM217" s="43" t="str">
        <f t="shared" si="777"/>
        <v/>
      </c>
      <c r="PN217" s="43" t="str">
        <f t="shared" si="778"/>
        <v/>
      </c>
      <c r="PO217" s="43" t="str">
        <f t="shared" si="779"/>
        <v/>
      </c>
      <c r="PP217" s="43" t="str">
        <f t="shared" si="780"/>
        <v/>
      </c>
      <c r="PQ217" s="43" t="str">
        <f t="shared" si="781"/>
        <v/>
      </c>
      <c r="PR217" s="43" t="str">
        <f t="shared" si="782"/>
        <v>SOBREPESO</v>
      </c>
      <c r="PS217" s="43" t="str">
        <f t="shared" si="783"/>
        <v/>
      </c>
      <c r="PT217" s="43" t="str">
        <f t="shared" si="784"/>
        <v/>
      </c>
      <c r="PU217" s="43" t="str">
        <f t="shared" si="785"/>
        <v/>
      </c>
      <c r="PV217" s="43" t="str">
        <f t="shared" si="786"/>
        <v/>
      </c>
      <c r="PW217" s="43" t="str">
        <f t="shared" si="787"/>
        <v/>
      </c>
      <c r="PX217" s="43" t="str">
        <f t="shared" si="788"/>
        <v/>
      </c>
      <c r="PY217" s="43" t="str">
        <f t="shared" si="789"/>
        <v/>
      </c>
      <c r="PZ217" s="43" t="str">
        <f t="shared" si="790"/>
        <v/>
      </c>
      <c r="QA217" s="43" t="str">
        <f t="shared" si="791"/>
        <v/>
      </c>
      <c r="QB217" s="43" t="str">
        <f t="shared" si="792"/>
        <v/>
      </c>
      <c r="QC217" s="43" t="str">
        <f t="shared" si="793"/>
        <v/>
      </c>
      <c r="QD217" s="43" t="str">
        <f t="shared" si="794"/>
        <v/>
      </c>
      <c r="QE217" s="43" t="str">
        <f t="shared" si="795"/>
        <v/>
      </c>
      <c r="QF217" s="43" t="str">
        <f t="shared" si="796"/>
        <v/>
      </c>
      <c r="QG217" s="43" t="str">
        <f t="shared" si="797"/>
        <v/>
      </c>
      <c r="QH217" s="43" t="str">
        <f t="shared" si="798"/>
        <v/>
      </c>
      <c r="QI217" s="43" t="str">
        <f t="shared" si="799"/>
        <v/>
      </c>
      <c r="QJ217" s="43" t="str">
        <f t="shared" si="800"/>
        <v/>
      </c>
      <c r="QK217" s="43" t="str">
        <f t="shared" si="801"/>
        <v/>
      </c>
      <c r="QL217" s="43" t="str">
        <f t="shared" si="802"/>
        <v/>
      </c>
      <c r="QM217" s="43" t="str">
        <f t="shared" si="803"/>
        <v/>
      </c>
      <c r="QN217" s="43" t="str">
        <f t="shared" si="804"/>
        <v/>
      </c>
      <c r="QO217" s="43" t="str">
        <f t="shared" si="805"/>
        <v/>
      </c>
      <c r="QP217" s="43" t="str">
        <f t="shared" si="806"/>
        <v/>
      </c>
      <c r="QQ217" s="43" t="str">
        <f t="shared" si="807"/>
        <v/>
      </c>
      <c r="QR217" s="43">
        <f t="shared" si="837"/>
        <v>17</v>
      </c>
      <c r="QS217" s="43"/>
      <c r="QT217" s="21" t="str">
        <f t="shared" si="808"/>
        <v/>
      </c>
      <c r="QU217" s="21" t="str">
        <f t="shared" si="809"/>
        <v/>
      </c>
      <c r="QV217" s="21" t="str">
        <f t="shared" si="810"/>
        <v/>
      </c>
      <c r="QW217" s="21" t="str">
        <f t="shared" si="811"/>
        <v/>
      </c>
      <c r="QX217" s="21" t="str">
        <f t="shared" si="812"/>
        <v>ADECUADO PARA EDAD GESTACIONAL</v>
      </c>
      <c r="QY217" s="21" t="str">
        <f t="shared" si="813"/>
        <v/>
      </c>
      <c r="QZ217" s="21" t="str">
        <f t="shared" si="814"/>
        <v/>
      </c>
      <c r="RA217" s="21" t="str">
        <f t="shared" si="815"/>
        <v/>
      </c>
      <c r="RB217" s="21" t="str">
        <f t="shared" si="816"/>
        <v/>
      </c>
      <c r="RC217" s="21" t="str">
        <f t="shared" si="817"/>
        <v/>
      </c>
      <c r="RD217" s="21" t="str">
        <f t="shared" si="818"/>
        <v/>
      </c>
      <c r="RE217" s="21" t="str">
        <f t="shared" si="819"/>
        <v/>
      </c>
      <c r="RF217" s="21" t="str">
        <f t="shared" si="820"/>
        <v/>
      </c>
      <c r="RG217" s="21" t="str">
        <f t="shared" si="821"/>
        <v/>
      </c>
      <c r="RH217" s="21" t="str">
        <f t="shared" si="822"/>
        <v/>
      </c>
      <c r="RI217" s="21" t="str">
        <f t="shared" si="823"/>
        <v/>
      </c>
      <c r="RJ217" s="21" t="str">
        <f t="shared" si="824"/>
        <v/>
      </c>
      <c r="RK217" s="21" t="str">
        <f t="shared" si="825"/>
        <v/>
      </c>
      <c r="RL217" s="21" t="str">
        <f t="shared" si="826"/>
        <v/>
      </c>
      <c r="RM217" s="21" t="str">
        <f t="shared" si="827"/>
        <v/>
      </c>
      <c r="RN217" s="21" t="str">
        <f t="shared" si="828"/>
        <v/>
      </c>
      <c r="RO217" s="21" t="str">
        <f t="shared" si="829"/>
        <v/>
      </c>
      <c r="RP217" s="21" t="str">
        <f t="shared" si="830"/>
        <v/>
      </c>
      <c r="RQ217" s="21" t="str">
        <f t="shared" si="831"/>
        <v/>
      </c>
      <c r="RR217" s="21" t="str">
        <f t="shared" si="832"/>
        <v/>
      </c>
      <c r="RS217" s="21" t="str">
        <f t="shared" si="833"/>
        <v/>
      </c>
      <c r="RT217" s="21" t="str">
        <f t="shared" si="834"/>
        <v/>
      </c>
      <c r="RU217" s="21" t="str">
        <f t="shared" si="835"/>
        <v/>
      </c>
      <c r="RV217" s="21">
        <f t="shared" si="836"/>
        <v>-1</v>
      </c>
      <c r="RW217" s="284">
        <f>IF(OR(Tabla1[[#This Row],[FUM FORMULA CONFIABLE]]="",Tabla1[[#This Row],[FUM FORMULA CONFIABLE]]="SD"),"",IF(Tabla1[[#This Row],[FUM FORMULA CONFIABLE]]="CORREGIDA",Tabla1[[#This Row],[FUM X ECO 1]],Tabla1[[#This Row],[FUM x AMENORREA]]))</f>
        <v>44997</v>
      </c>
      <c r="RX217" s="21" t="str">
        <f>IF(AND(Tabla1[[#This Row],[FUM X ECO 1]]="",Tabla1[[#This Row],[FUM x AMENORREA]]=""),"",IF(AND(Tabla1[[#This Row],[FUM X ECO 1]]="",Tabla1[[#This Row],[FUM x AMENORREA]]&lt;&gt;""),"X",SUM(Tabla1[[#This Row],[FUM X ECO 1]]-Tabla1[[#This Row],[FUM x AMENORREA]])))</f>
        <v>X</v>
      </c>
      <c r="RY217" s="21" t="str">
        <f t="shared" si="838"/>
        <v>x</v>
      </c>
    </row>
    <row r="218" spans="1:493" ht="45" customHeight="1" x14ac:dyDescent="0.25">
      <c r="A218" s="109"/>
      <c r="B218" s="43"/>
      <c r="C218" s="43" t="s">
        <v>845</v>
      </c>
      <c r="D218" s="124"/>
      <c r="E218" s="43" t="s">
        <v>1583</v>
      </c>
      <c r="F218" s="43" t="s">
        <v>873</v>
      </c>
      <c r="G218" s="43" t="s">
        <v>1584</v>
      </c>
      <c r="H218" s="43"/>
      <c r="I218" s="109" t="s">
        <v>851</v>
      </c>
      <c r="J218" s="289" t="s">
        <v>1582</v>
      </c>
      <c r="K218" s="43" t="s">
        <v>852</v>
      </c>
      <c r="L218" s="175" t="s">
        <v>1509</v>
      </c>
      <c r="M218" s="22">
        <v>36893</v>
      </c>
      <c r="N218" s="213">
        <f t="shared" ca="1" si="839"/>
        <v>22.849315068493151</v>
      </c>
      <c r="O218" s="22">
        <v>45122</v>
      </c>
      <c r="P218" s="214" t="str">
        <f t="shared" si="916"/>
        <v>SI</v>
      </c>
      <c r="Q218" s="26" t="s">
        <v>855</v>
      </c>
      <c r="R218" s="22">
        <v>45122</v>
      </c>
      <c r="S218" s="21" t="s">
        <v>856</v>
      </c>
      <c r="T218" s="24" t="s">
        <v>690</v>
      </c>
      <c r="U218" s="21" t="s">
        <v>857</v>
      </c>
      <c r="V218" s="21" t="s">
        <v>858</v>
      </c>
      <c r="W218" s="21" t="s">
        <v>1605</v>
      </c>
      <c r="X218" s="21"/>
      <c r="Y218" s="21"/>
      <c r="Z218" s="21">
        <v>3216748453</v>
      </c>
      <c r="AA218" s="21" t="s">
        <v>860</v>
      </c>
      <c r="AB218" s="27" t="s">
        <v>1606</v>
      </c>
      <c r="AC218" s="26" t="s">
        <v>1434</v>
      </c>
      <c r="AD218" s="38" t="s">
        <v>1546</v>
      </c>
      <c r="AE218" s="26" t="s">
        <v>854</v>
      </c>
      <c r="AF218" s="26" t="s">
        <v>854</v>
      </c>
      <c r="AG218" s="23" t="s">
        <v>864</v>
      </c>
      <c r="AH218" s="23" t="s">
        <v>864</v>
      </c>
      <c r="AI218" s="24" t="s">
        <v>863</v>
      </c>
      <c r="AJ218" s="23" t="s">
        <v>864</v>
      </c>
      <c r="AK218" s="220" t="str">
        <f>IF(AND(AD218="",AE218="",AF218="",AG218="",AH218="",AI218="",AJ218=""),"",IF(OR(Tabla1[[#This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EVALUACIÓN",IF(AND(O218="",R218=""),"",IF(AND(OR(O218&gt;0,R218&gt;0),NG218&gt;=0,NG218&lt;2),"SIN RIESGO",IF(AND(OR(O218&gt;0,R218&gt;0),NG218&gt;=2),"CON RIESGO","ASD")))))</f>
        <v>SIN RIESGO</v>
      </c>
      <c r="AL218" s="23" t="s">
        <v>864</v>
      </c>
      <c r="AM218" s="23" t="s">
        <v>864</v>
      </c>
      <c r="AN218" s="23" t="s">
        <v>864</v>
      </c>
      <c r="AO218" s="23" t="s">
        <v>864</v>
      </c>
      <c r="AP218" s="23" t="s">
        <v>864</v>
      </c>
      <c r="AQ218" s="23" t="s">
        <v>864</v>
      </c>
      <c r="AR218" s="23" t="s">
        <v>864</v>
      </c>
      <c r="AS218" s="21">
        <v>1</v>
      </c>
      <c r="AT218" s="21">
        <v>1</v>
      </c>
      <c r="AU218" s="21">
        <v>0</v>
      </c>
      <c r="AV218" s="26" t="s">
        <v>864</v>
      </c>
      <c r="AW218" s="21">
        <v>0</v>
      </c>
      <c r="AX218" s="26" t="s">
        <v>864</v>
      </c>
      <c r="AY218" s="26" t="s">
        <v>864</v>
      </c>
      <c r="AZ218" s="26" t="s">
        <v>864</v>
      </c>
      <c r="BA218" s="26" t="s">
        <v>864</v>
      </c>
      <c r="BB218" s="26" t="s">
        <v>864</v>
      </c>
      <c r="BC218" s="26" t="s">
        <v>864</v>
      </c>
      <c r="BD218" s="26" t="s">
        <v>864</v>
      </c>
      <c r="BE218" s="26" t="s">
        <v>864</v>
      </c>
      <c r="BF218" s="26" t="s">
        <v>864</v>
      </c>
      <c r="BG218" s="26" t="s">
        <v>864</v>
      </c>
      <c r="BH218" s="26" t="s">
        <v>864</v>
      </c>
      <c r="BI218" s="26" t="s">
        <v>864</v>
      </c>
      <c r="BJ218" s="26" t="s">
        <v>864</v>
      </c>
      <c r="BK218" s="26" t="s">
        <v>864</v>
      </c>
      <c r="BL218" s="26" t="s">
        <v>864</v>
      </c>
      <c r="BM218" s="26" t="s">
        <v>864</v>
      </c>
      <c r="BN218" s="22">
        <v>42886</v>
      </c>
      <c r="BO218" s="22">
        <v>45033</v>
      </c>
      <c r="BP218" s="21" t="s">
        <v>854</v>
      </c>
      <c r="BQ218" s="222">
        <f t="shared" si="840"/>
        <v>71.566666666666663</v>
      </c>
      <c r="BR218" s="223" t="str">
        <f t="shared" si="841"/>
        <v/>
      </c>
      <c r="BS218" s="224">
        <f t="shared" si="842"/>
        <v>12.714285714285714</v>
      </c>
      <c r="BT218" s="216" t="str">
        <f t="shared" si="843"/>
        <v>II TRIM</v>
      </c>
      <c r="BU218" s="214">
        <f t="shared" ca="1" si="925"/>
        <v>28.571428571428573</v>
      </c>
      <c r="BV218" s="25" t="s">
        <v>988</v>
      </c>
      <c r="BW218" s="22">
        <v>45149</v>
      </c>
      <c r="BX218" s="28"/>
      <c r="BY218" s="28"/>
      <c r="BZ218" s="22"/>
      <c r="CA218" s="21"/>
      <c r="CB218" s="26" t="s">
        <v>864</v>
      </c>
      <c r="CC218" s="26" t="s">
        <v>854</v>
      </c>
      <c r="CD218" s="26" t="s">
        <v>865</v>
      </c>
      <c r="CE218" s="26" t="s">
        <v>864</v>
      </c>
      <c r="CF218" s="22" t="s">
        <v>1517</v>
      </c>
      <c r="CG218" s="21">
        <v>1.5</v>
      </c>
      <c r="CH218" s="21">
        <v>54</v>
      </c>
      <c r="CI218" s="214">
        <f t="shared" si="845"/>
        <v>24</v>
      </c>
      <c r="CJ218" s="225" t="e">
        <f>IF(AND(CI218&lt;10,CH218="SD"),"SIN DATO PESO PREGESTACION O I TRIM",IF(AND(OR(R218&gt;0,O218&gt;0),CI218="X"),"INGRESAR DATO DE PESO",IF(CI218="SD","INGRESAR DATO DE TALLA Y PESO",IF(AND(OR(Tabla1[[#This Row],[MOMENTO EN QUE SE REALIZA EL PESO AL INGRESO A CPN]]="PREGESTACIÓN",NZ218="Menor"),CI218&lt;18.5),"BAJO PESO",IF(AND(OR(Tabla1[[#This Row],[MOMENTO EN QUE SE REALIZA EL PESO AL INGRESO A CPN]]="PREGESTACIÓN",NZ218="Menor"),CI218&lt;25),"NORMAL",IF(AND(OR(Tabla1[[#This Row],[MOMENTO EN QUE SE REALIZA EL PESO AL INGRESO A CPN]]="PREGESTACIÓN",NZ218="Menor"),CI218&lt;30),"SOBREPESO",IF(AND(OR(Tabla1[[#This Row],[MOMENTO EN QUE SE REALIZA EL PESO AL INGRESO A CPN]]="PREGESTACIÓN",NZ218="Menor"),CI218&gt;=30,CI218&lt;50),"OBESIDAD",IF(AND(BS218&gt;0,Tabla1[[#This Row],[MOMENTO EN QUE SE REALIZA EL PESO AL INGRESO A CPN]]="GESTACIÓN"),HLOOKUP(NZ218,$OA$2:PH218,NY218),""))))))))</f>
        <v>#REF!</v>
      </c>
      <c r="CK218" s="212">
        <f t="shared" si="846"/>
        <v>45122</v>
      </c>
      <c r="CL218" s="21">
        <v>54</v>
      </c>
      <c r="CM218" s="214">
        <f t="shared" si="847"/>
        <v>24</v>
      </c>
      <c r="CN218" s="216">
        <f t="shared" si="848"/>
        <v>12</v>
      </c>
      <c r="CO218" s="216" t="e">
        <f>IF(PI218="","",IF(PI218&gt;0,HLOOKUP(PI218,$PJ$2:QQ218,NY218),""))</f>
        <v>#REF!</v>
      </c>
      <c r="CP218" s="21">
        <v>12</v>
      </c>
      <c r="CQ218" s="216" t="str">
        <f>IF(QR218="Menor","NO APLICA-MENOR 13 SEM",IF(AND(CC218="SI",CN218&gt;23),"NO APLICA- GEMELAR",IF(QR218="","",IF(QR218&gt;0,HLOOKUP(QR218,$QS$2:RU218,NY218),""))))</f>
        <v>NO APLICA-MENOR 13 SEM</v>
      </c>
      <c r="CR218" s="21"/>
      <c r="CS218" s="21"/>
      <c r="CT218" s="217" t="str">
        <f>IF(R218="","",IF(AND(BS218&gt;1,BS218&lt;12,Tabla1[[#This Row],[T.A. SISTOLICA - ANTES DE SEMANA 12]]="",Tabla1[[#This Row],[T.A. DIASTOLICA - ANTES DE SEMANA 12]]=""),"REGISTRE DATO TA ANTES SEMANA 12",IF(AND(BS218&gt;11,BS218&lt;43,Tabla1[[#This Row],[T.A. SISTOLICA - ANTES DE SEMANA 12]]="",Tabla1[[#This Row],[T.A. DIASTOLICA - ANTES DE SEMANA 12]]=""),"NO APLICA REGISTRO TA-INGRESO TARDIO",IF(AND(OR(O218&gt;0,R218&gt;0),OR(CR218&gt;=140,CS218&gt;=90)),"DEFINIR ESTADIO HTA",IF(AND(OR(O218&gt;0,R218&gt;0),AND(CR218&gt;120,CR218&lt;=139)),"PRE HTA SEGUIMIENTO",IF(AND(OR(O218&gt;0,R218&gt;0),AND(CS218&gt;80,CS218&lt;=89)),"PRE HTA SEGUIMIENTO",IF(AND(OR(O218&gt;0,R218&gt;0),AND(CR218&gt;=80,CR218&lt;=120)),"APARENTEMENTE NORMAL",IF(AND(OR(O218&gt;0,R218&gt;0),AND(CS218&gt;=50,CS218&lt;=80)),"APARENTEMENTE NORMAL",IF(AND(OR(O218&gt;0,R218&gt;0),AND(CR218&gt;1,CR218&lt;=70),AND(CS218&gt;1,CS218&lt;=40)),"HIPOTENSIÓN","")))))))))</f>
        <v>NO APLICA REGISTRO TA-INGRESO TARDIO</v>
      </c>
      <c r="CU218" s="21"/>
      <c r="CV218" s="21"/>
      <c r="CW218" s="217" t="str">
        <f ca="1">IF(R218="","",IF(AND(CN218&gt;19,CN218&lt;27,Tabla1[[#This Row],[T.A. SISTOLICA (Entre semana 20 y 26)]]="",Tabla1[[#This Row],[T.A. DIATOLICA (Entre semana 20 y 26)]]=""),"ACUDE A CONTROL SEM 20 A 26 REGISTRE TA AHORA",IF(AND(BS218&gt;1,BS218&lt;27,BU218&gt;19,Tabla1[[#This Row],[T.A. SISTOLICA (Entre semana 20 y 26)]]="",Tabla1[[#This Row],[T.A. DIATOLICA (Entre semana 20 y 26)]]=""),"COMPLETE REGISTRO TA CONTROL SEM 20 A26 ",IF(AND(BS218&gt;26,BS218&lt;43,Tabla1[[#This Row],[T.A. SISTOLICA (Entre semana 20 y 26)]]="",Tabla1[[#This Row],[T.A. DIATOLICA (Entre semana 20 y 26)]]=""),"NO APLICA REGISTRO TA-INGRESO TARDIO",IF(AND(OR(O218&gt;0,R218&gt;0),OR(CU218&gt;=140,CV218&gt;=90)),"ALTO RIESGO PREECLAMPSIA,DEFINIR ESTADIO HTA",IF(AND(OR(O218&gt;0,R218&gt;0),AND(CU218&gt;120,CU218&lt;=139)),"PRE HTA SEGUIMIENTO,RIESGO HIPERTENSION INDUCIDA POR EL EMBARAZO",IF(AND(OR(O218&gt;0,R218&gt;0),AND(CV218&gt;80,CV218&lt;=89)),"PRE HTA SEGUIMIENTO, RIESGO HIPERTENSION INDUCIDA POR EL EMBARAZO",IF(AND(OR(O218&lt;&gt;"",R218&lt;&gt;""),CS218&lt;&gt;"",CV218&lt;&gt;"",CS218&lt;=CV218),"VIGILAR CIFRAS PRESION ARTERIAL",IF(AND(OR(O218&gt;0,R218&gt;0),AND(CU218&gt;120,CU218&lt;=139)),"PRE HTA SEGUIMIENTO",IF(AND(OR(O218&gt;0,R218&gt;0),AND(CU218&gt;1,CU218&lt;=70),AND(CV218&gt;1,CV218&lt;=40)),"HIPOTENSIÓN",IF(AND(OR(O218&lt;&gt;"",R218&lt;&gt;""),CS218&lt;&gt;"",CV218&lt;&gt;"",CS218&gt;CV218),"APARENTEMENTE NORMAL",IF(AND(OR(O218&gt;0,R218&gt;0),AND(CU218&gt;=80,CU218&lt;=120)),"APARENTEMENTE NORMAL",IF(AND(OR(O218&gt;0,R218&gt;0),AND(CV218&gt;=50,CV218&lt;=80)),"APARENTEMENTE NORMAL","")))))))))))))</f>
        <v xml:space="preserve">COMPLETE REGISTRO TA CONTROL SEM 20 A26 </v>
      </c>
      <c r="CX218" s="21"/>
      <c r="CY218" s="21"/>
      <c r="CZ218" s="216" t="e">
        <f>IF(R218="","",IF(AND(CN218&gt;31,CN218&lt;35,CX218="",CY218=""),"ACUDE A CONTROL SEM 30 A 34- REGISTRE AHORA",IF(AND(BS218&gt;34,BS218&lt;43,#REF!="",#REF!=""),"NO APLICA-INGRESO TARDIO",IF(AND(OR(O218&gt;0,R218&gt;0),OR(CX218&gt;=140,CY218&gt;=90)),"ESTUDIO INMEDIATO HTA PARA DESCARTAR PREECLAMSIA",IF(AND(OR(O218&gt;0,R218&gt;0),AND(CX218&gt;=130,CX218&lt;=139)),"PRE HTA,RIESGO ALTO PREECLAMPSIA",IF(AND(OR(O218&gt;0,R218&gt;0),AND(CY218&gt;80,CY218&lt;=89)),"PRE HTA,RIESGO ALTO PREECLAMPSIA",IF(AND(OR(O218&gt;0,R218&gt;0),AND(CX218&gt;120,CX218&lt;=129)),"RANGO PREHIPERTENSIVO SEGUIMIENTO HTA",IF(AND(OR(O218&lt;&gt;"",R218&lt;&gt;""),CS218&lt;&gt;"",CY218&lt;&gt;"",CS218&lt;CY218),"VIGILAR CIFRAS PRESION ARTERIAL",IF(AND(OR(O218&lt;&gt;"",R218&lt;&gt;""),CS218&lt;&gt;"",CY218&lt;&gt;"",CS218=CY218),"APARENTEMENTE NORMAL",IF(AND(OR(O218&gt;0,R218&gt;0),CX218&gt;=80,CX218&lt;=120),"APARENTEMENTE NORMAL",IF(AND(OR(O218&gt;0,R218&gt;0),CY218&gt;=50,CY218&lt;=80),"APARENTEMENTE NORMAL","")))))))))))</f>
        <v>#REF!</v>
      </c>
      <c r="DA218" s="21">
        <v>90</v>
      </c>
      <c r="DB218" s="21">
        <v>70</v>
      </c>
      <c r="DC218" s="217" t="str">
        <f t="shared" si="849"/>
        <v>APARENTEMENTE NORMAL</v>
      </c>
      <c r="DD218" s="22">
        <v>45122</v>
      </c>
      <c r="DE218" s="22">
        <v>45122</v>
      </c>
      <c r="DF218" s="22"/>
      <c r="DG218" s="22"/>
      <c r="DH218" s="22"/>
      <c r="DI218" s="22"/>
      <c r="DJ218" s="22"/>
      <c r="DK218" s="22"/>
      <c r="DL218" s="22"/>
      <c r="DM218" s="22"/>
      <c r="DN218" s="22"/>
      <c r="DO218" s="22"/>
      <c r="DP218" s="22"/>
      <c r="DQ218" s="22"/>
      <c r="DR218" s="28"/>
      <c r="DS218" s="22"/>
      <c r="DT218" s="22"/>
      <c r="DU218" s="216" t="str">
        <f t="shared" ca="1" si="917"/>
        <v>PLANEAR PLAN DE PARTO</v>
      </c>
      <c r="DV218" s="226" t="str">
        <f t="shared" si="918"/>
        <v>ACTIVA INGRESO A CPN</v>
      </c>
      <c r="DW21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8" s="216" t="e">
        <f t="shared" ca="1" si="850"/>
        <v>#REF!</v>
      </c>
      <c r="DY218" s="212">
        <f>IF(R218="","",IF(R218&gt;0,MAX(Tabla1[[#This Row],[FECHA C2]:[FECHA C13]],Tabla1[[#This Row],[FECHA CONSULTA PRIMERA VEZ PROGRAMA CPN ]])))</f>
        <v>45122</v>
      </c>
      <c r="DZ218" s="216">
        <f t="shared" si="851"/>
        <v>12</v>
      </c>
      <c r="EA218" s="222">
        <f>IF(R218&gt;0,SUM(COUNTA(DF218:DQ218)+COUNTA(Tabla1[[#This Row],[FECHA CONSULTA PRIMERA VEZ PROGRAMA CPN ]])),"")</f>
        <v>1</v>
      </c>
      <c r="EB218" s="222" t="str">
        <f t="shared" si="852"/>
        <v>NO</v>
      </c>
      <c r="EC218" s="214">
        <f t="shared" si="853"/>
        <v>8</v>
      </c>
      <c r="ED218" s="227">
        <f t="shared" si="854"/>
        <v>0.125</v>
      </c>
      <c r="EE218" s="22">
        <v>45122</v>
      </c>
      <c r="EF218" s="22">
        <v>45122</v>
      </c>
      <c r="EG218" s="22">
        <v>45122</v>
      </c>
      <c r="EH218" s="22"/>
      <c r="EI218" s="22">
        <v>45122</v>
      </c>
      <c r="EJ218" s="22"/>
      <c r="EK218" s="22"/>
      <c r="EL218" s="21"/>
      <c r="EM218" s="21"/>
      <c r="EN218" s="22"/>
      <c r="EO218" s="222" t="str">
        <f t="shared" si="855"/>
        <v>TOMAR EXAMEN</v>
      </c>
      <c r="EP218" s="214" t="str">
        <f t="shared" si="856"/>
        <v/>
      </c>
      <c r="EQ218" s="216" t="str">
        <f t="shared" si="857"/>
        <v>POR DEFINIR</v>
      </c>
      <c r="ER218" s="24"/>
      <c r="ES218" s="22"/>
      <c r="ET218" s="29" t="str">
        <f t="shared" ca="1" si="919"/>
        <v>EN SEMANA 28 TOMA INMEDIATA DE EXAMEN</v>
      </c>
      <c r="EU218" s="25" t="str">
        <f t="shared" si="858"/>
        <v/>
      </c>
      <c r="EV218" s="24" t="s">
        <v>1510</v>
      </c>
      <c r="EW218" s="22">
        <v>45122</v>
      </c>
      <c r="EX218" s="22"/>
      <c r="EY218" s="29">
        <f t="shared" si="691"/>
        <v>12.714285714285714</v>
      </c>
      <c r="EZ218" s="25" t="str">
        <f t="shared" si="692"/>
        <v>SIN RIESGO DE ISOINMUNIZACIÓN</v>
      </c>
      <c r="FA218" s="21">
        <v>64</v>
      </c>
      <c r="FB218" s="22">
        <v>45122</v>
      </c>
      <c r="FC218" s="29">
        <f t="shared" si="859"/>
        <v>12.714285714285714</v>
      </c>
      <c r="FD218" s="29"/>
      <c r="FE218" s="29"/>
      <c r="FF218" s="29"/>
      <c r="FG218" s="21" t="str">
        <f t="shared" ca="1" si="860"/>
        <v>TOMAR PTOG</v>
      </c>
      <c r="FH218" s="31"/>
      <c r="FI218" s="29" t="str">
        <f t="shared" si="861"/>
        <v>TOMAR EXAMEN</v>
      </c>
      <c r="FJ218" s="22" t="s">
        <v>867</v>
      </c>
      <c r="FK218" s="22">
        <v>45122</v>
      </c>
      <c r="FL218" s="29">
        <f t="shared" ca="1" si="862"/>
        <v>12.714285714285714</v>
      </c>
      <c r="FM218" s="22"/>
      <c r="FN218" s="32"/>
      <c r="FO218" s="29" t="str">
        <f t="shared" ca="1" si="920"/>
        <v>PIERDE TOMA DE TAMIZAJE</v>
      </c>
      <c r="FP218" s="22"/>
      <c r="FQ218" s="32"/>
      <c r="FR218" s="29" t="str">
        <f t="shared" ca="1" si="921"/>
        <v>EN RANGO PARA TOMAR EXAMEN</v>
      </c>
      <c r="FS218" s="22"/>
      <c r="FT218" s="32"/>
      <c r="FU218" s="29" t="str">
        <f>IF(AND(FJ218="",FM218="",FP218="",FS218=""),"",IF(OR(OR(Tabla1[[#This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8" s="28"/>
      <c r="FW218" s="22"/>
      <c r="FX218" s="29" t="str">
        <f t="shared" si="863"/>
        <v>TOMAR EXAMEN</v>
      </c>
      <c r="FY218" s="22" t="s">
        <v>868</v>
      </c>
      <c r="FZ218" s="22">
        <v>45122</v>
      </c>
      <c r="GA218" s="29">
        <f t="shared" ca="1" si="936"/>
        <v>12.714285714285714</v>
      </c>
      <c r="GB218" s="22"/>
      <c r="GC218" s="22"/>
      <c r="GD218" s="29" t="str">
        <f t="shared" ca="1" si="937"/>
        <v>PIERDE TOMA DE TAMIZAJE</v>
      </c>
      <c r="GE218" s="22"/>
      <c r="GF218" s="22"/>
      <c r="GG218" s="29" t="str">
        <f t="shared" ca="1" si="923"/>
        <v>EN RANGO PARA TOMAR EXAMEN</v>
      </c>
      <c r="GH218" s="22"/>
      <c r="GI218" s="29"/>
      <c r="GJ218" s="22"/>
      <c r="GK218" s="22"/>
      <c r="GL218" s="22"/>
      <c r="GM218" s="22"/>
      <c r="GN218" s="28" t="s">
        <v>869</v>
      </c>
      <c r="GO218" s="22">
        <v>45122</v>
      </c>
      <c r="GP218" s="29">
        <f t="shared" si="864"/>
        <v>12.714285714285714</v>
      </c>
      <c r="GQ218" s="28" t="s">
        <v>869</v>
      </c>
      <c r="GR218" s="28"/>
      <c r="GS218" s="22" t="str">
        <f t="shared" si="726"/>
        <v>CONTROL Igm</v>
      </c>
      <c r="GT218" s="22">
        <v>45122</v>
      </c>
      <c r="GU218" s="29">
        <f t="shared" si="865"/>
        <v>12.714285714285714</v>
      </c>
      <c r="GV218" s="21" t="str">
        <f t="shared" si="866"/>
        <v>I TRIM</v>
      </c>
      <c r="GW218" s="28"/>
      <c r="GX218" s="30"/>
      <c r="GY218" s="21"/>
      <c r="GZ218" s="21"/>
      <c r="HA218" s="21"/>
      <c r="HB218" s="21"/>
      <c r="HC218" s="21"/>
      <c r="HD218" s="21"/>
      <c r="HE218" s="21"/>
      <c r="HF218" s="22"/>
      <c r="HG218" s="22" t="str">
        <f>IF(OR(O218&gt;0,R218&gt;0),CONCATENATE(IF(Tabla1[[#This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8" s="22" t="e">
        <f t="shared" si="867"/>
        <v>#REF!</v>
      </c>
      <c r="HI218" s="22" t="e">
        <f t="shared" ca="1" si="868"/>
        <v>#REF!</v>
      </c>
      <c r="HJ218" s="21"/>
      <c r="HK218" s="21" t="str">
        <f t="shared" si="869"/>
        <v>SIN ANTECEDENTES DE RIESGO</v>
      </c>
      <c r="HL218" s="24" t="str">
        <f t="shared" si="870"/>
        <v>APARENTEMENTE NORMAL</v>
      </c>
      <c r="HM218" s="21" t="e">
        <f t="shared" ca="1" si="871"/>
        <v>#REF!</v>
      </c>
      <c r="HN218" s="30" t="str">
        <f t="shared" si="924"/>
        <v>ACTIVA INGRESO A CPN</v>
      </c>
      <c r="HO218" s="21"/>
      <c r="HP218" s="21"/>
      <c r="HQ218" s="349"/>
      <c r="HR218" s="21" t="str">
        <f>IF(R218="","",IF(Tabla1[[#This Row],[ALARMA FACTORES DE RIESGO COMPLICACIONES HIPERTENSIVAS3]]="SIN ANTECEDENTES DE RIESGO","No Aplica para suministro de ASA",IF(AND(Tabla1[[#This Row],[FECHA INICIO DE SUMINISTRO DE ASA]]&gt;0,RV218&lt;12),"Inicia ASA ANTES de Sem 12",IF(AND(RV218&gt;11,RV218&lt;17,OR(HK218="RIESGO ALTO DE COMPLICACIONES HIPERTENSIVAS VER MANEJO GUIA SUMINISTRO ASA Y CALCIO",HK218="RIESGO MODERADO (2 O MAS CRITERIOS) VER MANEJO GUIA SUMINISTRO ASA Y CALCIO")),"Inicio oportuno de ASA",IF(AND(RV218&gt;12,OR(HK218="RIESGO ALTO DE COMPLICACIONES HIPERTENSIVAS VER MANEJO GUIA SUMINISTRO ASA Y CALCIO",HK218="RIESGO MODERADO (2 O MAS CRITERIOS) VER MANEJO GUIA SUMINISTRO ASA Y CALCIO")),"Inicio no oportuno mayor a 16 semanas",IF(AND(BU218&lt;12,OR(HK218="RIESGO ALTO DE COMPLICACIONES HIPERTENSIVAS VER MANEJO GUIA SUMINISTRO ASA Y CALCIO",HK218="RIESGO MODERADO (2 O MAS CRITERIOS) VER MANEJO GUIA SUMINISTRO ASA Y CALCIO")),"Pendiente Inicio de ASA a la semana 12",IF(AND(BU218&gt;11,BU218&lt;17,OR(HK218="RIESGO ALTO DE COMPLICACIONES HIPERTENSIVAS VER MANEJO GUIA SUMINISTRO ASA Y CALCIO",HK218="RIESGO MODERADO (2 O MAS CRITERIOS) VER MANEJO GUIA SUMINISTRO ASA Y CALCIO")),"Iniciar de inmediato ASA",IF(AND(BU218&gt;16,OR(HK218="RIESGO ALTO DE COMPLICACIONES HIPERTENSIVAS VER MANEJO GUIA SUMINISTRO ASA Y CALCIO",HK218="RIESGO MODERADO (2 O MAS CRITERIOS) VER MANEJO GUIA SUMINISTRO ASA Y CALCIO")),"Pierde Oportunidad, Inicio tardío de ASA","XXXXX"))))))))</f>
        <v>No Aplica para suministro de ASA</v>
      </c>
      <c r="HS218" s="22"/>
      <c r="HT218" s="22"/>
      <c r="HU218" s="22">
        <v>45122</v>
      </c>
      <c r="HV218" s="22" t="s">
        <v>1544</v>
      </c>
      <c r="HW218" s="22">
        <v>45122</v>
      </c>
      <c r="HX218" s="22" t="s">
        <v>1511</v>
      </c>
      <c r="HY218" s="22"/>
      <c r="HZ218" s="28" t="str">
        <f t="shared" si="872"/>
        <v>PENDIENTE CONSULTA</v>
      </c>
      <c r="IA218" s="26"/>
      <c r="IB218" s="26"/>
      <c r="IC218" s="111"/>
      <c r="ID218" s="22"/>
      <c r="IE218" s="22" t="str">
        <f t="shared" ca="1" si="873"/>
        <v>INASISTENTE</v>
      </c>
      <c r="IF218" s="22"/>
      <c r="IG218" s="22">
        <f t="shared" si="874"/>
        <v>45313</v>
      </c>
      <c r="IH218" s="29">
        <f t="shared" ca="1" si="875"/>
        <v>80</v>
      </c>
      <c r="II218" s="22" t="str">
        <f t="shared" ca="1" si="876"/>
        <v>PENDIENTE</v>
      </c>
      <c r="IJ218" s="22"/>
      <c r="IK218" s="21"/>
      <c r="IL218" s="21"/>
      <c r="IM218" s="34"/>
      <c r="IN218" s="22"/>
      <c r="IO218" s="21"/>
      <c r="IP218" s="29" t="str">
        <f t="shared" si="877"/>
        <v/>
      </c>
      <c r="IQ218" s="35"/>
      <c r="IR218" s="21"/>
      <c r="IS218" s="21"/>
      <c r="IT218" s="21"/>
      <c r="IU218" s="21"/>
      <c r="IV218" s="21"/>
      <c r="IW218" s="21"/>
      <c r="IX218" s="21"/>
      <c r="IY218" s="21"/>
      <c r="IZ218" s="21"/>
      <c r="JA218" s="21"/>
      <c r="JB218" s="30"/>
      <c r="JC218" s="21"/>
      <c r="JD218" s="36"/>
      <c r="JE218" s="21" t="str">
        <f t="shared" si="878"/>
        <v/>
      </c>
      <c r="JF218" s="30"/>
      <c r="JG218" s="21"/>
      <c r="JH218" s="21"/>
      <c r="JI218" s="21"/>
      <c r="JJ218" s="30"/>
      <c r="JK218" s="22"/>
      <c r="JL218" s="22"/>
      <c r="JM218" s="21"/>
      <c r="JN218" s="36"/>
      <c r="JO218" s="21" t="str">
        <f t="shared" si="879"/>
        <v/>
      </c>
      <c r="JP218" s="22"/>
      <c r="JQ218" s="21"/>
      <c r="JR218" s="21"/>
      <c r="JS218" s="21"/>
      <c r="JT218" s="30"/>
      <c r="JU218" s="22"/>
      <c r="JV218" s="22"/>
      <c r="JW218" s="33"/>
      <c r="JX218" s="28" t="str">
        <f t="shared" si="880"/>
        <v/>
      </c>
      <c r="JY218" s="33"/>
      <c r="JZ218" s="28" t="str">
        <f t="shared" si="881"/>
        <v/>
      </c>
      <c r="KA218" s="21"/>
      <c r="KB218" s="21"/>
      <c r="KC218" s="21"/>
      <c r="KD218" s="37"/>
      <c r="KE218" s="28"/>
      <c r="KF218" s="28"/>
      <c r="KG218" s="28"/>
      <c r="KH218" s="39"/>
      <c r="KI218" s="39"/>
      <c r="KJ218" s="66"/>
      <c r="KK218" s="39"/>
      <c r="KL218" s="39"/>
      <c r="KM218" s="66"/>
      <c r="KN218" s="39"/>
      <c r="KO218" s="39"/>
      <c r="KP218" s="39"/>
      <c r="KQ218" s="39"/>
      <c r="KR218" s="39"/>
      <c r="KS218" s="39"/>
      <c r="KT218" s="39"/>
      <c r="KU218" s="38"/>
      <c r="KV218" s="38"/>
      <c r="KW218" s="38"/>
      <c r="KX218" s="38"/>
      <c r="KY218" s="38"/>
      <c r="KZ218" s="38"/>
      <c r="LA218" s="38"/>
      <c r="LB218" s="38"/>
      <c r="LC218" s="38"/>
      <c r="LD218" s="38"/>
      <c r="LE218" s="38"/>
      <c r="LF218" s="38"/>
      <c r="LG218" s="38"/>
      <c r="LH218" s="38"/>
      <c r="LI218" s="38"/>
      <c r="LJ218" s="38"/>
      <c r="LK218" s="38"/>
      <c r="LL218" s="38"/>
      <c r="LM218" s="38"/>
      <c r="LN218" s="38"/>
      <c r="LO218" s="38"/>
      <c r="LP218" s="38"/>
      <c r="LQ218" s="38"/>
      <c r="LR218" s="38"/>
      <c r="LS218" s="38"/>
      <c r="LT218" s="38"/>
      <c r="LU218" s="38"/>
      <c r="LV218" s="38"/>
      <c r="LW218" s="38"/>
      <c r="LX218" s="38"/>
      <c r="LY218" s="38"/>
      <c r="LZ218" s="38"/>
      <c r="MA218" s="38"/>
      <c r="MB218" s="38"/>
      <c r="MC218" s="38"/>
      <c r="MD218" s="38"/>
      <c r="ME218" s="38"/>
      <c r="MF218" s="38"/>
      <c r="MG218" s="38"/>
      <c r="MH218" s="43">
        <f t="shared" si="882"/>
        <v>0</v>
      </c>
      <c r="MI218" s="43" t="str">
        <f t="shared" si="926"/>
        <v/>
      </c>
      <c r="MJ218" s="43" t="str">
        <f t="shared" si="884"/>
        <v/>
      </c>
      <c r="MK218" s="43">
        <f t="shared" si="885"/>
        <v>0</v>
      </c>
      <c r="ML21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8" s="43">
        <f t="shared" si="927"/>
        <v>12.714285714285714</v>
      </c>
      <c r="MN218" s="43">
        <f t="shared" si="928"/>
        <v>7</v>
      </c>
      <c r="MO218" s="43">
        <f t="shared" si="929"/>
        <v>2023</v>
      </c>
      <c r="MP218" s="43" t="str">
        <f t="shared" si="889"/>
        <v>III TRIMESTRE AÑO</v>
      </c>
      <c r="MQ218" s="43">
        <f t="shared" si="930"/>
        <v>22.210359176522118</v>
      </c>
      <c r="MR218" s="43">
        <f t="shared" si="891"/>
        <v>0</v>
      </c>
      <c r="MS218" s="43" t="str">
        <f t="shared" si="892"/>
        <v xml:space="preserve"> DE 20 A 24 AÑOS</v>
      </c>
      <c r="MT218" s="43">
        <f t="shared" si="893"/>
        <v>0</v>
      </c>
      <c r="MU218" s="43">
        <f t="shared" si="894"/>
        <v>0</v>
      </c>
      <c r="MV218" s="43">
        <f t="shared" si="895"/>
        <v>0</v>
      </c>
      <c r="MW218" s="43">
        <f t="shared" si="896"/>
        <v>0</v>
      </c>
      <c r="MX218" s="43" t="str">
        <f t="shared" si="897"/>
        <v/>
      </c>
      <c r="MY218" s="43" t="str">
        <f t="shared" ca="1" si="898"/>
        <v/>
      </c>
      <c r="MZ218" s="43" t="str">
        <f t="shared" si="899"/>
        <v/>
      </c>
      <c r="NA218" s="43">
        <f t="shared" si="900"/>
        <v>0</v>
      </c>
      <c r="NB218" s="43" t="str">
        <f t="shared" si="901"/>
        <v/>
      </c>
      <c r="NC218" s="43" t="str">
        <f t="shared" si="902"/>
        <v/>
      </c>
      <c r="ND218" s="43">
        <f t="shared" ca="1" si="931"/>
        <v>3</v>
      </c>
      <c r="NE218" s="43">
        <f>IF(OR(O218&gt;0,R218&gt;0),SUM(COUNTIF(Tabla1[[#This Row],[AÑOS AL INICIO5 CPN]],"&gt;=40"),COUNTIF(AS218,"0"),COUNTIF(AR218,"SI"),COUNTIF(CC218,"SI"),COUNTIF(BQ218,"&gt;119"),COUNTIF(CI218,"&gt;=35")),"")</f>
        <v>1</v>
      </c>
      <c r="NF218" s="43" t="str">
        <f t="shared" si="932"/>
        <v/>
      </c>
      <c r="NG218" s="43">
        <f t="shared" si="905"/>
        <v>0</v>
      </c>
      <c r="NH218" s="43" t="str">
        <f t="shared" si="906"/>
        <v/>
      </c>
      <c r="NI21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CPN",P218="NO"),"Z",IF(AND(Tabla1[[#This Row],[CITA PROXIMO CONTROL]]="CITA MANUAL",Tabla1[[#This Row],[GESTANTES ACTUALES]]="ACTIVA INGRESO A CPN"),"W",IF(AND(Tabla1[[#This Row],[GESTANTES ACTUALES]]="SALIO PROGRAMA",IN218=""),"S",IF(AND(Tabla1[[#This Row],[CITA PROXIMO CONTROL]]&gt;0,IN218=""),(Tabla1[[#This Row],[CITA PROXIMO CONTROL]]-TODAY()),"SD"))))))))</f>
        <v>#REF!</v>
      </c>
      <c r="NJ218" s="43">
        <f>MONTH(Tabla1[[#This Row],[FECHA DE SALIDA  DEL PROGRAMA]])</f>
        <v>1</v>
      </c>
      <c r="NK218" s="43">
        <f>YEAR(Tabla1[[#This Row],[FECHA DE SALIDA  DEL PROGRAMA]])</f>
        <v>1900</v>
      </c>
      <c r="NL218" s="43" t="str">
        <f t="shared" si="933"/>
        <v>X</v>
      </c>
      <c r="NM218" s="43" t="str">
        <f t="shared" si="938"/>
        <v>NO</v>
      </c>
      <c r="NN218" s="43" t="str">
        <f ca="1">IF(AND(O218&gt;0,R218=""),"NO CPN",IF(AND(O218="",R218=""),"",IF(AND(R218&gt;0,Tabla1[[#This Row],[SEMANAS DE GESTACION ACTUALIZADAS]]&lt;=12),"NO APLICA",IF(AND(FH218&lt;&gt;"",FN218&lt;&gt;""),"SI","NO"))))</f>
        <v>NO</v>
      </c>
      <c r="NO218" s="43" t="str">
        <f ca="1">IF(AND(O218&gt;0,R218=""),"NO CPN",IF(AND(O218="",R218=""),"",IF(AND(R218&gt;0,Tabla1[[#This Row],[SEMANAS DE GESTACION ACTUALIZADAS]]&lt;=27),"NO APLICA",IF(AND(ES218&lt;&gt;"",FQ218&lt;&gt;"",GF218&lt;&gt;""),"SI","NO"))))</f>
        <v>NO</v>
      </c>
      <c r="NP218" s="204" t="str">
        <f t="shared" si="909"/>
        <v>II TRIM</v>
      </c>
      <c r="NQ218"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18" s="21">
        <f t="shared" ca="1" si="934"/>
        <v>2</v>
      </c>
      <c r="NS218" s="205">
        <f t="shared" ca="1" si="911"/>
        <v>1</v>
      </c>
      <c r="NT218" s="21">
        <f t="shared" ca="1" si="912"/>
        <v>1</v>
      </c>
      <c r="NU218" s="21" t="str">
        <f t="shared" ca="1" si="913"/>
        <v>INCOMPLETO</v>
      </c>
      <c r="NV218" s="21" t="str">
        <f t="shared" ca="1" si="914"/>
        <v>INCOMPLETO</v>
      </c>
      <c r="NW218" s="206" t="str">
        <f>IF(AND(O218="",R218=""),"",IF(OR(AND(Tabla1[[#This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8" s="207" t="str">
        <f t="shared" ca="1" si="935"/>
        <v>SIN VACUNAR</v>
      </c>
      <c r="NY218" s="43">
        <f>ROW(Tabla1[[#This Row],['# DE TAMIZAJES SIFILIS TOMADOS ]])</f>
        <v>218</v>
      </c>
      <c r="NZ218" s="43">
        <f t="shared" si="738"/>
        <v>12</v>
      </c>
      <c r="OA218" s="43" t="str">
        <f t="shared" si="739"/>
        <v/>
      </c>
      <c r="OB218" s="43" t="str">
        <f t="shared" si="740"/>
        <v/>
      </c>
      <c r="OC218" s="43" t="str">
        <f t="shared" si="741"/>
        <v/>
      </c>
      <c r="OD218" s="43" t="str">
        <f t="shared" si="742"/>
        <v>NORMAL</v>
      </c>
      <c r="OE218" s="43" t="str">
        <f t="shared" si="743"/>
        <v/>
      </c>
      <c r="OF218" s="43" t="str">
        <f t="shared" si="744"/>
        <v/>
      </c>
      <c r="OG218" s="43" t="str">
        <f t="shared" si="745"/>
        <v/>
      </c>
      <c r="OH218" s="43" t="str">
        <f t="shared" si="746"/>
        <v/>
      </c>
      <c r="OI218" s="43" t="str">
        <f t="shared" si="747"/>
        <v/>
      </c>
      <c r="OJ218" s="43" t="str">
        <f t="shared" si="748"/>
        <v/>
      </c>
      <c r="OK218" s="43" t="str">
        <f t="shared" si="749"/>
        <v/>
      </c>
      <c r="OL218" s="43" t="str">
        <f t="shared" si="750"/>
        <v/>
      </c>
      <c r="OM218" s="43" t="str">
        <f t="shared" si="751"/>
        <v/>
      </c>
      <c r="ON218" s="43" t="str">
        <f t="shared" si="752"/>
        <v/>
      </c>
      <c r="OO218" s="43" t="str">
        <f t="shared" si="753"/>
        <v/>
      </c>
      <c r="OP218" s="43" t="str">
        <f t="shared" si="754"/>
        <v/>
      </c>
      <c r="OQ218" s="43" t="str">
        <f t="shared" si="755"/>
        <v/>
      </c>
      <c r="OR218" s="43" t="str">
        <f t="shared" si="756"/>
        <v/>
      </c>
      <c r="OS218" s="43" t="str">
        <f t="shared" si="757"/>
        <v/>
      </c>
      <c r="OT218" s="43" t="str">
        <f t="shared" si="758"/>
        <v/>
      </c>
      <c r="OU218" s="43" t="str">
        <f t="shared" si="759"/>
        <v/>
      </c>
      <c r="OV218" s="110" t="str">
        <f t="shared" si="760"/>
        <v/>
      </c>
      <c r="OW218" s="43" t="str">
        <f t="shared" si="761"/>
        <v/>
      </c>
      <c r="OX218" s="43" t="str">
        <f t="shared" si="762"/>
        <v/>
      </c>
      <c r="OY218" s="43" t="str">
        <f t="shared" si="763"/>
        <v/>
      </c>
      <c r="OZ218" s="43" t="str">
        <f t="shared" si="764"/>
        <v/>
      </c>
      <c r="PA218" s="43" t="str">
        <f t="shared" si="765"/>
        <v/>
      </c>
      <c r="PB218" s="43" t="str">
        <f t="shared" si="766"/>
        <v/>
      </c>
      <c r="PC218" s="43" t="str">
        <f t="shared" si="767"/>
        <v/>
      </c>
      <c r="PD218" s="43" t="str">
        <f t="shared" si="768"/>
        <v/>
      </c>
      <c r="PE218" s="43" t="str">
        <f t="shared" si="769"/>
        <v/>
      </c>
      <c r="PF218" s="43" t="str">
        <f t="shared" si="770"/>
        <v/>
      </c>
      <c r="PG218" s="43" t="str">
        <f t="shared" si="771"/>
        <v/>
      </c>
      <c r="PH218" s="43" t="str">
        <f t="shared" si="772"/>
        <v/>
      </c>
      <c r="PI218" s="43">
        <f t="shared" si="773"/>
        <v>12</v>
      </c>
      <c r="PJ218" s="43" t="str">
        <f t="shared" si="774"/>
        <v/>
      </c>
      <c r="PK218" s="43" t="str">
        <f t="shared" si="775"/>
        <v/>
      </c>
      <c r="PL218" s="43" t="str">
        <f t="shared" si="776"/>
        <v/>
      </c>
      <c r="PM218" s="43" t="str">
        <f t="shared" si="777"/>
        <v>NORMAL</v>
      </c>
      <c r="PN218" s="43" t="str">
        <f t="shared" si="778"/>
        <v/>
      </c>
      <c r="PO218" s="43" t="str">
        <f t="shared" si="779"/>
        <v/>
      </c>
      <c r="PP218" s="43" t="str">
        <f t="shared" si="780"/>
        <v/>
      </c>
      <c r="PQ218" s="43" t="str">
        <f t="shared" si="781"/>
        <v/>
      </c>
      <c r="PR218" s="43" t="str">
        <f t="shared" si="782"/>
        <v/>
      </c>
      <c r="PS218" s="43" t="str">
        <f t="shared" si="783"/>
        <v/>
      </c>
      <c r="PT218" s="43" t="str">
        <f t="shared" si="784"/>
        <v/>
      </c>
      <c r="PU218" s="43" t="str">
        <f t="shared" si="785"/>
        <v/>
      </c>
      <c r="PV218" s="43" t="str">
        <f t="shared" si="786"/>
        <v/>
      </c>
      <c r="PW218" s="43" t="str">
        <f t="shared" si="787"/>
        <v/>
      </c>
      <c r="PX218" s="43" t="str">
        <f t="shared" si="788"/>
        <v/>
      </c>
      <c r="PY218" s="43" t="str">
        <f t="shared" si="789"/>
        <v/>
      </c>
      <c r="PZ218" s="43" t="str">
        <f t="shared" si="790"/>
        <v/>
      </c>
      <c r="QA218" s="43" t="str">
        <f t="shared" si="791"/>
        <v/>
      </c>
      <c r="QB218" s="43" t="str">
        <f t="shared" si="792"/>
        <v/>
      </c>
      <c r="QC218" s="43" t="str">
        <f t="shared" si="793"/>
        <v/>
      </c>
      <c r="QD218" s="43" t="str">
        <f t="shared" si="794"/>
        <v/>
      </c>
      <c r="QE218" s="43" t="str">
        <f t="shared" si="795"/>
        <v/>
      </c>
      <c r="QF218" s="43" t="str">
        <f t="shared" si="796"/>
        <v/>
      </c>
      <c r="QG218" s="43" t="str">
        <f t="shared" si="797"/>
        <v/>
      </c>
      <c r="QH218" s="43" t="str">
        <f t="shared" si="798"/>
        <v/>
      </c>
      <c r="QI218" s="43" t="str">
        <f t="shared" si="799"/>
        <v/>
      </c>
      <c r="QJ218" s="43" t="str">
        <f t="shared" si="800"/>
        <v/>
      </c>
      <c r="QK218" s="43" t="str">
        <f t="shared" si="801"/>
        <v/>
      </c>
      <c r="QL218" s="43" t="str">
        <f t="shared" si="802"/>
        <v/>
      </c>
      <c r="QM218" s="43" t="str">
        <f t="shared" si="803"/>
        <v/>
      </c>
      <c r="QN218" s="43" t="str">
        <f t="shared" si="804"/>
        <v/>
      </c>
      <c r="QO218" s="43" t="str">
        <f t="shared" si="805"/>
        <v/>
      </c>
      <c r="QP218" s="43" t="str">
        <f t="shared" si="806"/>
        <v/>
      </c>
      <c r="QQ218" s="43" t="str">
        <f t="shared" si="807"/>
        <v/>
      </c>
      <c r="QR218" s="43" t="str">
        <f t="shared" si="837"/>
        <v>Menor</v>
      </c>
      <c r="QS218" s="43"/>
      <c r="QT218" s="21" t="str">
        <f t="shared" si="808"/>
        <v/>
      </c>
      <c r="QU218" s="21" t="str">
        <f t="shared" si="809"/>
        <v/>
      </c>
      <c r="QV218" s="21" t="str">
        <f t="shared" si="810"/>
        <v/>
      </c>
      <c r="QW218" s="21" t="str">
        <f t="shared" si="811"/>
        <v/>
      </c>
      <c r="QX218" s="21" t="str">
        <f t="shared" si="812"/>
        <v/>
      </c>
      <c r="QY218" s="21" t="str">
        <f t="shared" si="813"/>
        <v/>
      </c>
      <c r="QZ218" s="21" t="str">
        <f t="shared" si="814"/>
        <v/>
      </c>
      <c r="RA218" s="21" t="str">
        <f t="shared" si="815"/>
        <v/>
      </c>
      <c r="RB218" s="21" t="str">
        <f t="shared" si="816"/>
        <v/>
      </c>
      <c r="RC218" s="21" t="str">
        <f t="shared" si="817"/>
        <v/>
      </c>
      <c r="RD218" s="21" t="str">
        <f t="shared" si="818"/>
        <v/>
      </c>
      <c r="RE218" s="21" t="str">
        <f t="shared" si="819"/>
        <v/>
      </c>
      <c r="RF218" s="21" t="str">
        <f t="shared" si="820"/>
        <v/>
      </c>
      <c r="RG218" s="21" t="str">
        <f t="shared" si="821"/>
        <v/>
      </c>
      <c r="RH218" s="21" t="str">
        <f t="shared" si="822"/>
        <v/>
      </c>
      <c r="RI218" s="21" t="str">
        <f t="shared" si="823"/>
        <v/>
      </c>
      <c r="RJ218" s="21" t="str">
        <f t="shared" si="824"/>
        <v/>
      </c>
      <c r="RK218" s="21" t="str">
        <f t="shared" si="825"/>
        <v/>
      </c>
      <c r="RL218" s="21" t="str">
        <f t="shared" si="826"/>
        <v/>
      </c>
      <c r="RM218" s="21" t="str">
        <f t="shared" si="827"/>
        <v/>
      </c>
      <c r="RN218" s="21" t="str">
        <f t="shared" si="828"/>
        <v/>
      </c>
      <c r="RO218" s="21" t="str">
        <f t="shared" si="829"/>
        <v/>
      </c>
      <c r="RP218" s="21" t="str">
        <f t="shared" si="830"/>
        <v/>
      </c>
      <c r="RQ218" s="21" t="str">
        <f t="shared" si="831"/>
        <v/>
      </c>
      <c r="RR218" s="21" t="str">
        <f t="shared" si="832"/>
        <v/>
      </c>
      <c r="RS218" s="21" t="str">
        <f t="shared" si="833"/>
        <v/>
      </c>
      <c r="RT218" s="21" t="str">
        <f t="shared" si="834"/>
        <v/>
      </c>
      <c r="RU218" s="21" t="str">
        <f t="shared" si="835"/>
        <v/>
      </c>
      <c r="RV218" s="21">
        <f t="shared" si="836"/>
        <v>-1</v>
      </c>
      <c r="RW218" s="284">
        <f>IF(OR(Tabla1[[#This Row],[FUM FORMULA CONFIABLE]]="",Tabla1[[#This Row],[FUM FORMULA CONFIABLE]]="SD"),"",IF(Tabla1[[#This Row],[FUM FORMULA CONFIABLE]]="CORREGIDA",Tabla1[[#This Row],[FUM X ECO 1]],Tabla1[[#This Row],[FUM x AMENORREA]]))</f>
        <v>45033</v>
      </c>
      <c r="RX218" s="21" t="str">
        <f>IF(AND(Tabla1[[#This Row],[FUM X ECO 1]]="",Tabla1[[#This Row],[FUM x AMENORREA]]=""),"",IF(AND(Tabla1[[#This Row],[FUM X ECO 1]]="",Tabla1[[#This Row],[FUM x AMENORREA]]&lt;&gt;""),"X",SUM(Tabla1[[#This Row],[FUM X ECO 1]]-Tabla1[[#This Row],[FUM x AMENORREA]])))</f>
        <v>X</v>
      </c>
      <c r="RY218" s="21" t="str">
        <f t="shared" si="838"/>
        <v>x</v>
      </c>
    </row>
    <row r="219" spans="1:493" ht="45" customHeight="1" x14ac:dyDescent="0.25">
      <c r="A219" s="109"/>
      <c r="B219" s="43"/>
      <c r="C219" s="43" t="s">
        <v>845</v>
      </c>
      <c r="D219" s="124"/>
      <c r="E219" s="43" t="s">
        <v>1322</v>
      </c>
      <c r="F219" s="43" t="s">
        <v>1378</v>
      </c>
      <c r="G219" s="43" t="s">
        <v>1587</v>
      </c>
      <c r="H219" s="43"/>
      <c r="I219" s="109" t="s">
        <v>851</v>
      </c>
      <c r="J219" s="289" t="s">
        <v>1586</v>
      </c>
      <c r="K219" s="43" t="s">
        <v>852</v>
      </c>
      <c r="L219" s="175" t="s">
        <v>1509</v>
      </c>
      <c r="M219" s="22">
        <v>32396</v>
      </c>
      <c r="N219" s="213">
        <f t="shared" ca="1" si="839"/>
        <v>35.169863013698631</v>
      </c>
      <c r="O219" s="22">
        <v>45132</v>
      </c>
      <c r="P219" s="214" t="str">
        <f t="shared" si="916"/>
        <v>SI</v>
      </c>
      <c r="Q219" s="26" t="s">
        <v>855</v>
      </c>
      <c r="R219" s="22">
        <v>45132</v>
      </c>
      <c r="S219" s="21" t="s">
        <v>856</v>
      </c>
      <c r="T219" s="24" t="s">
        <v>690</v>
      </c>
      <c r="U219" s="21" t="s">
        <v>857</v>
      </c>
      <c r="V219" s="21" t="s">
        <v>858</v>
      </c>
      <c r="W219" s="21" t="s">
        <v>1588</v>
      </c>
      <c r="X219" s="21"/>
      <c r="Y219" s="21"/>
      <c r="Z219" s="21">
        <v>3128222765</v>
      </c>
      <c r="AA219" s="21" t="s">
        <v>860</v>
      </c>
      <c r="AB219" s="27" t="s">
        <v>861</v>
      </c>
      <c r="AC219" s="26" t="s">
        <v>888</v>
      </c>
      <c r="AD219" s="38" t="s">
        <v>1546</v>
      </c>
      <c r="AE219" s="26" t="s">
        <v>854</v>
      </c>
      <c r="AF219" s="26" t="s">
        <v>854</v>
      </c>
      <c r="AG219" s="23" t="s">
        <v>864</v>
      </c>
      <c r="AH219" s="23" t="s">
        <v>864</v>
      </c>
      <c r="AI219" s="24" t="s">
        <v>863</v>
      </c>
      <c r="AJ219" s="23" t="s">
        <v>864</v>
      </c>
      <c r="AK219" s="220" t="str">
        <f>IF(AND(AD219="",AE219="",AF219="",AG219="",AH219="",AI219="",AJ219=""),"",IF(OR(Tabla1[[#This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EVALUACIÓN",IF(AND(O219="",R219=""),"",IF(AND(OR(O219&gt;0,R219&gt;0),NG219&gt;=0,NG219&lt;2),"SIN RIESGO",IF(AND(OR(O219&gt;0,R219&gt;0),NG219&gt;=2),"CON RIESGO","ASD")))))</f>
        <v>SIN RIESGO</v>
      </c>
      <c r="AL219" s="26" t="s">
        <v>864</v>
      </c>
      <c r="AM219" s="26" t="s">
        <v>864</v>
      </c>
      <c r="AN219" s="26" t="s">
        <v>864</v>
      </c>
      <c r="AO219" s="26" t="s">
        <v>864</v>
      </c>
      <c r="AP219" s="26" t="s">
        <v>864</v>
      </c>
      <c r="AQ219" s="26" t="s">
        <v>864</v>
      </c>
      <c r="AR219" s="26" t="s">
        <v>864</v>
      </c>
      <c r="AS219" s="21">
        <v>2</v>
      </c>
      <c r="AT219" s="21">
        <v>2</v>
      </c>
      <c r="AU219" s="21">
        <v>0</v>
      </c>
      <c r="AV219" s="26" t="s">
        <v>864</v>
      </c>
      <c r="AW219" s="21">
        <v>0</v>
      </c>
      <c r="AX219" s="26" t="s">
        <v>864</v>
      </c>
      <c r="AY219" s="26" t="s">
        <v>864</v>
      </c>
      <c r="AZ219" s="26" t="s">
        <v>864</v>
      </c>
      <c r="BA219" s="26" t="s">
        <v>864</v>
      </c>
      <c r="BB219" s="26" t="s">
        <v>864</v>
      </c>
      <c r="BC219" s="26" t="s">
        <v>864</v>
      </c>
      <c r="BD219" s="26" t="s">
        <v>864</v>
      </c>
      <c r="BE219" s="26" t="s">
        <v>864</v>
      </c>
      <c r="BF219" s="26" t="s">
        <v>864</v>
      </c>
      <c r="BG219" s="26" t="s">
        <v>864</v>
      </c>
      <c r="BH219" s="26" t="s">
        <v>864</v>
      </c>
      <c r="BI219" s="26" t="s">
        <v>864</v>
      </c>
      <c r="BJ219" s="26" t="s">
        <v>864</v>
      </c>
      <c r="BK219" s="26" t="s">
        <v>864</v>
      </c>
      <c r="BL219" s="26" t="s">
        <v>864</v>
      </c>
      <c r="BM219" s="26" t="s">
        <v>864</v>
      </c>
      <c r="BN219" s="22">
        <v>42247</v>
      </c>
      <c r="BO219" s="22">
        <v>45069</v>
      </c>
      <c r="BP219" s="21" t="s">
        <v>854</v>
      </c>
      <c r="BQ219" s="222">
        <f t="shared" si="840"/>
        <v>94.066666666666663</v>
      </c>
      <c r="BR219" s="223">
        <f t="shared" si="841"/>
        <v>45070.6</v>
      </c>
      <c r="BS219" s="224">
        <f t="shared" si="842"/>
        <v>9</v>
      </c>
      <c r="BT219" s="216" t="str">
        <f t="shared" si="843"/>
        <v>I TRIM</v>
      </c>
      <c r="BU219" s="214">
        <f t="shared" ca="1" si="925"/>
        <v>23.428571428571427</v>
      </c>
      <c r="BV219" s="25" t="s">
        <v>988</v>
      </c>
      <c r="BW219" s="22">
        <v>45149</v>
      </c>
      <c r="BX219" s="28">
        <v>11.2</v>
      </c>
      <c r="BY219" s="28"/>
      <c r="BZ219" s="22"/>
      <c r="CA219" s="21"/>
      <c r="CB219" s="26" t="s">
        <v>864</v>
      </c>
      <c r="CC219" s="26" t="s">
        <v>864</v>
      </c>
      <c r="CD219" s="26" t="s">
        <v>865</v>
      </c>
      <c r="CE219" s="26" t="s">
        <v>864</v>
      </c>
      <c r="CF219" s="22" t="s">
        <v>1517</v>
      </c>
      <c r="CG219" s="21">
        <v>1.54</v>
      </c>
      <c r="CH219" s="21">
        <v>56</v>
      </c>
      <c r="CI219" s="214">
        <f t="shared" si="845"/>
        <v>23.61275088547816</v>
      </c>
      <c r="CJ219" s="225" t="str">
        <f>IF(AND(CI219&lt;10,CH219="SD"),"SIN DATO PESO PREGESTACION O I TRIM",IF(AND(OR(R219&gt;0,O219&gt;0),CI219="X"),"INGRESAR DATO DE PESO",IF(CI219="SD","INGRESAR DATO DE TALLA Y PESO",IF(AND(OR(Tabla1[[#This Row],[MOMENTO EN QUE SE REALIZA EL PESO AL INGRESO A CPN]]="PREGESTACIÓN",NZ219="Menor"),CI219&lt;18.5),"BAJO PESO",IF(AND(OR(Tabla1[[#This Row],[MOMENTO EN QUE SE REALIZA EL PESO AL INGRESO A CPN]]="PREGESTACIÓN",NZ219="Menor"),CI219&lt;25),"NORMAL",IF(AND(OR(Tabla1[[#This Row],[MOMENTO EN QUE SE REALIZA EL PESO AL INGRESO A CPN]]="PREGESTACIÓN",NZ219="Menor"),CI219&lt;30),"SOBREPESO",IF(AND(OR(Tabla1[[#This Row],[MOMENTO EN QUE SE REALIZA EL PESO AL INGRESO A CPN]]="PREGESTACIÓN",NZ219="Menor"),CI219&gt;=30,CI219&lt;50),"OBESIDAD",IF(AND(BS219&gt;0,Tabla1[[#This Row],[MOMENTO EN QUE SE REALIZA EL PESO AL INGRESO A CPN]]="GESTACIÓN"),HLOOKUP(NZ219,$OA$2:PH219,NY219),""))))))))</f>
        <v>NORMAL</v>
      </c>
      <c r="CK219" s="212">
        <f t="shared" si="846"/>
        <v>45164</v>
      </c>
      <c r="CL219" s="21">
        <v>50</v>
      </c>
      <c r="CM219" s="214">
        <f t="shared" si="847"/>
        <v>21.0828132906055</v>
      </c>
      <c r="CN219" s="216">
        <f t="shared" si="848"/>
        <v>13</v>
      </c>
      <c r="CO219" s="216" t="e">
        <f>IF(PI219="","",IF(PI219&gt;0,HLOOKUP(PI219,$PJ$2:QQ219,NY219),""))</f>
        <v>#REF!</v>
      </c>
      <c r="CP219" s="21"/>
      <c r="CQ219" s="216" t="e">
        <f>IF(QR219="Menor","NO APLICA-MENOR 13 SEM",IF(AND(CC219="SI",CN219&gt;23),"NO APLICA- GEMELAR",IF(QR219="","",IF(QR219&gt;0,HLOOKUP(QR219,$QS$2:RU219,NY219),""))))</f>
        <v>#REF!</v>
      </c>
      <c r="CR219" s="21">
        <v>100</v>
      </c>
      <c r="CS219" s="21">
        <v>60</v>
      </c>
      <c r="CT219" s="217" t="str">
        <f>IF(R219="","",IF(AND(BS219&gt;1,BS219&lt;12,Tabla1[[#This Row],[T.A. SISTOLICA - ANTES DE SEMANA 12]]="",Tabla1[[#This Row],[T.A. DIASTOLICA - ANTES DE SEMANA 12]]=""),"REGISTRE DATO TA ANTES SEMANA 12",IF(AND(BS219&gt;11,BS219&lt;43,Tabla1[[#This Row],[T.A. SISTOLICA - ANTES DE SEMANA 12]]="",Tabla1[[#This Row],[T.A. DIASTOLICA - ANTES DE SEMANA 12]]=""),"NO APLICA REGISTRO TA-INGRESO TARDIO",IF(AND(OR(O219&gt;0,R219&gt;0),OR(CR219&gt;=140,CS219&gt;=90)),"DEFINIR ESTADIO HTA",IF(AND(OR(O219&gt;0,R219&gt;0),AND(CR219&gt;120,CR219&lt;=139)),"PRE HTA SEGUIMIENTO",IF(AND(OR(O219&gt;0,R219&gt;0),AND(CS219&gt;80,CS219&lt;=89)),"PRE HTA SEGUIMIENTO",IF(AND(OR(O219&gt;0,R219&gt;0),AND(CR219&gt;=80,CR219&lt;=120)),"APARENTEMENTE NORMAL",IF(AND(OR(O219&gt;0,R219&gt;0),AND(CS219&gt;=50,CS219&lt;=80)),"APARENTEMENTE NORMAL",IF(AND(OR(O219&gt;0,R219&gt;0),AND(CR219&gt;1,CR219&lt;=70),AND(CS219&gt;1,CS219&lt;=40)),"HIPOTENSIÓN","")))))))))</f>
        <v>APARENTEMENTE NORMAL</v>
      </c>
      <c r="CU219" s="21"/>
      <c r="CV219" s="21"/>
      <c r="CW219" s="217" t="str">
        <f ca="1">IF(R219="","",IF(AND(CN219&gt;19,CN219&lt;27,Tabla1[[#This Row],[T.A. SISTOLICA (Entre semana 20 y 26)]]="",Tabla1[[#This Row],[T.A. DIATOLICA (Entre semana 20 y 26)]]=""),"ACUDE A CONTROL SEM 20 A 26 REGISTRE TA AHORA",IF(AND(BS219&gt;1,BS219&lt;27,BU219&gt;19,Tabla1[[#This Row],[T.A. SISTOLICA (Entre semana 20 y 26)]]="",Tabla1[[#This Row],[T.A. DIATOLICA (Entre semana 20 y 26)]]=""),"COMPLETE REGISTRO TA CONTROL SEM 20 A26 ",IF(AND(BS219&gt;26,BS219&lt;43,Tabla1[[#This Row],[T.A. SISTOLICA (Entre semana 20 y 26)]]="",Tabla1[[#This Row],[T.A. DIATOLICA (Entre semana 20 y 26)]]=""),"NO APLICA REGISTRO TA-INGRESO TARDIO",IF(AND(OR(O219&gt;0,R219&gt;0),OR(CU219&gt;=140,CV219&gt;=90)),"ALTO RIESGO PREECLAMPSIA,DEFINIR ESTADIO HTA",IF(AND(OR(O219&gt;0,R219&gt;0),AND(CU219&gt;120,CU219&lt;=139)),"PRE HTA SEGUIMIENTO,RIESGO HIPERTENSION INDUCIDA POR EL EMBARAZO",IF(AND(OR(O219&gt;0,R219&gt;0),AND(CV219&gt;80,CV219&lt;=89)),"PRE HTA SEGUIMIENTO, RIESGO HIPERTENSION INDUCIDA POR EL EMBARAZO",IF(AND(OR(O219&lt;&gt;"",R219&lt;&gt;""),CS219&lt;&gt;"",CV219&lt;&gt;"",CS219&lt;=CV219),"VIGILAR CIFRAS PRESION ARTERIAL",IF(AND(OR(O219&gt;0,R219&gt;0),AND(CU219&gt;120,CU219&lt;=139)),"PRE HTA SEGUIMIENTO",IF(AND(OR(O219&gt;0,R219&gt;0),AND(CU219&gt;1,CU219&lt;=70),AND(CV219&gt;1,CV219&lt;=40)),"HIPOTENSIÓN",IF(AND(OR(O219&lt;&gt;"",R219&lt;&gt;""),CS219&lt;&gt;"",CV219&lt;&gt;"",CS219&gt;CV219),"APARENTEMENTE NORMAL",IF(AND(OR(O219&gt;0,R219&gt;0),AND(CU219&gt;=80,CU219&lt;=120)),"APARENTEMENTE NORMAL",IF(AND(OR(O219&gt;0,R219&gt;0),AND(CV219&gt;=50,CV219&lt;=80)),"APARENTEMENTE NORMAL","")))))))))))))</f>
        <v xml:space="preserve">COMPLETE REGISTRO TA CONTROL SEM 20 A26 </v>
      </c>
      <c r="CX219" s="21"/>
      <c r="CY219" s="21"/>
      <c r="CZ219" s="216" t="str">
        <f>IF(R219="","",IF(AND(CN219&gt;31,CN219&lt;35,CX219="",CY219=""),"ACUDE A CONTROL SEM 30 A 34- REGISTRE AHORA",IF(AND(BS219&gt;34,BS219&lt;43,CX220="",CY220=""),"NO APLICA-INGRESO TARDIO",IF(AND(OR(O219&gt;0,R219&gt;0),OR(CX219&gt;=140,CY219&gt;=90)),"ESTUDIO INMEDIATO HTA PARA DESCARTAR PREECLAMSIA",IF(AND(OR(O219&gt;0,R219&gt;0),AND(CX219&gt;=130,CX219&lt;=139)),"PRE HTA,RIESGO ALTO PREECLAMPSIA",IF(AND(OR(O219&gt;0,R219&gt;0),AND(CY219&gt;80,CY219&lt;=89)),"PRE HTA,RIESGO ALTO PREECLAMPSIA",IF(AND(OR(O219&gt;0,R219&gt;0),AND(CX219&gt;120,CX219&lt;=129)),"RANGO PREHIPERTENSIVO SEGUIMIENTO HTA",IF(AND(OR(O219&lt;&gt;"",R219&lt;&gt;""),CS219&lt;&gt;"",CY219&lt;&gt;"",CS219&lt;CY219),"VIGILAR CIFRAS PRESION ARTERIAL",IF(AND(OR(O219&lt;&gt;"",R219&lt;&gt;""),CS219&lt;&gt;"",CY219&lt;&gt;"",CS219=CY219),"APARENTEMENTE NORMAL",IF(AND(OR(O219&gt;0,R219&gt;0),CX219&gt;=80,CX219&lt;=120),"APARENTEMENTE NORMAL",IF(AND(OR(O219&gt;0,R219&gt;0),CY219&gt;=50,CY219&lt;=80),"APARENTEMENTE NORMAL","")))))))))))</f>
        <v/>
      </c>
      <c r="DA219" s="21">
        <v>90</v>
      </c>
      <c r="DB219" s="21">
        <v>60</v>
      </c>
      <c r="DC219" s="217" t="str">
        <f t="shared" si="849"/>
        <v>APARENTEMENTE NORMAL</v>
      </c>
      <c r="DD219" s="22">
        <v>45132</v>
      </c>
      <c r="DE219" s="22">
        <v>45132</v>
      </c>
      <c r="DF219" s="22">
        <v>45164</v>
      </c>
      <c r="DG219" s="22"/>
      <c r="DH219" s="22"/>
      <c r="DI219" s="22"/>
      <c r="DJ219" s="22"/>
      <c r="DK219" s="22"/>
      <c r="DL219" s="22"/>
      <c r="DM219" s="22"/>
      <c r="DN219" s="22"/>
      <c r="DO219" s="22"/>
      <c r="DP219" s="22"/>
      <c r="DQ219" s="22"/>
      <c r="DR219" s="28"/>
      <c r="DS219" s="22"/>
      <c r="DT219" s="22"/>
      <c r="DU219" s="216" t="str">
        <f t="shared" ca="1" si="917"/>
        <v>EN ESPERA</v>
      </c>
      <c r="DV219" s="226" t="str">
        <f t="shared" si="918"/>
        <v>ACTIVA INGRESO A CPN</v>
      </c>
      <c r="DW21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19" s="216" t="e">
        <f t="shared" ca="1" si="850"/>
        <v>#REF!</v>
      </c>
      <c r="DY219" s="212">
        <f>IF(R219="","",IF(R219&gt;0,MAX(Tabla1[[#This Row],[FECHA C2]:[FECHA C13]],Tabla1[[#This Row],[FECHA CONSULTA PRIMERA VEZ PROGRAMA CPN ]])))</f>
        <v>45164</v>
      </c>
      <c r="DZ219" s="216">
        <f t="shared" si="851"/>
        <v>13</v>
      </c>
      <c r="EA219" s="222">
        <f>IF(R219&gt;0,SUM(COUNTA(DF219:DQ219)+COUNTA(Tabla1[[#This Row],[FECHA CONSULTA PRIMERA VEZ PROGRAMA CPN ]])),"")</f>
        <v>2</v>
      </c>
      <c r="EB219" s="222" t="str">
        <f t="shared" si="852"/>
        <v>NO</v>
      </c>
      <c r="EC219" s="214">
        <f t="shared" si="853"/>
        <v>9</v>
      </c>
      <c r="ED219" s="227">
        <f t="shared" si="854"/>
        <v>0.22222222222222221</v>
      </c>
      <c r="EE219" s="22">
        <v>45132</v>
      </c>
      <c r="EF219" s="22">
        <v>45164</v>
      </c>
      <c r="EG219" s="22">
        <v>45132</v>
      </c>
      <c r="EH219" s="22"/>
      <c r="EI219" s="22">
        <v>45132</v>
      </c>
      <c r="EJ219" s="22"/>
      <c r="EK219" s="22"/>
      <c r="EL219" s="21"/>
      <c r="EM219" s="21">
        <v>14.6</v>
      </c>
      <c r="EN219" s="22">
        <v>45146</v>
      </c>
      <c r="EO219" s="222">
        <f t="shared" si="855"/>
        <v>11</v>
      </c>
      <c r="EP219" s="214" t="str">
        <f t="shared" si="856"/>
        <v>NO DAR SULFATO FERROSO</v>
      </c>
      <c r="EQ219" s="216" t="str">
        <f t="shared" si="857"/>
        <v>I TRIM</v>
      </c>
      <c r="ER219" s="24"/>
      <c r="ES219" s="22"/>
      <c r="ET219" s="29" t="str">
        <f t="shared" ca="1" si="919"/>
        <v>PROGRAMAR TOMA HEMOGLOBINA A SEM 28</v>
      </c>
      <c r="EU219" s="25" t="str">
        <f t="shared" si="858"/>
        <v/>
      </c>
      <c r="EV219" s="24" t="s">
        <v>1510</v>
      </c>
      <c r="EW219" s="32">
        <v>45146</v>
      </c>
      <c r="EX219" s="22"/>
      <c r="EY219" s="29">
        <f t="shared" si="691"/>
        <v>11</v>
      </c>
      <c r="EZ219" s="25" t="str">
        <f t="shared" si="692"/>
        <v>SIN RIESGO DE ISOINMUNIZACIÓN</v>
      </c>
      <c r="FA219" s="21">
        <v>79</v>
      </c>
      <c r="FB219" s="32">
        <v>45146</v>
      </c>
      <c r="FC219" s="29">
        <f t="shared" si="859"/>
        <v>11</v>
      </c>
      <c r="FD219" s="29"/>
      <c r="FE219" s="29"/>
      <c r="FF219" s="29"/>
      <c r="FG219" s="21" t="str">
        <f t="shared" ca="1" si="860"/>
        <v>PROGRAMAR TOMA PTOG SIGUIENTE CONTROL</v>
      </c>
      <c r="FH219" s="31"/>
      <c r="FI219" s="29" t="str">
        <f t="shared" si="861"/>
        <v>TOMAR EXAMEN</v>
      </c>
      <c r="FJ219" s="22" t="s">
        <v>867</v>
      </c>
      <c r="FK219" s="22">
        <v>45146</v>
      </c>
      <c r="FL219" s="29">
        <f t="shared" ca="1" si="862"/>
        <v>11</v>
      </c>
      <c r="FM219" s="22"/>
      <c r="FN219" s="32"/>
      <c r="FO219" s="29" t="str">
        <f t="shared" ca="1" si="920"/>
        <v>EN RANGO PARA TOMAR EXAMEN</v>
      </c>
      <c r="FP219" s="22"/>
      <c r="FQ219" s="32"/>
      <c r="FR219" s="29" t="str">
        <f t="shared" ca="1" si="921"/>
        <v>EN ESPERA-ESTÁ I TRIM O II TRIM</v>
      </c>
      <c r="FS219" s="22"/>
      <c r="FT219" s="32"/>
      <c r="FU219" s="29" t="str">
        <f>IF(AND(FJ219="",FM219="",FP219="",FS219=""),"",IF(OR(OR(Tabla1[[#This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19" s="28"/>
      <c r="FW219" s="22"/>
      <c r="FX219" s="29" t="str">
        <f t="shared" si="863"/>
        <v>TOMAR EXAMEN</v>
      </c>
      <c r="FY219" s="22" t="s">
        <v>868</v>
      </c>
      <c r="FZ219" s="22">
        <v>45146</v>
      </c>
      <c r="GA219" s="29">
        <f t="shared" ca="1" si="936"/>
        <v>11</v>
      </c>
      <c r="GB219" s="22"/>
      <c r="GC219" s="22"/>
      <c r="GD219" s="29" t="str">
        <f t="shared" ca="1" si="937"/>
        <v>EN RANGO PARA TOMAR EXAMEN</v>
      </c>
      <c r="GE219" s="22"/>
      <c r="GF219" s="22"/>
      <c r="GG219" s="29" t="str">
        <f t="shared" ca="1" si="923"/>
        <v>EN ESPERA-ESTÁ I TRIM O II TRIM</v>
      </c>
      <c r="GH219" s="22"/>
      <c r="GI219" s="29"/>
      <c r="GJ219" s="22"/>
      <c r="GK219" s="22"/>
      <c r="GL219" s="22"/>
      <c r="GM219" s="22"/>
      <c r="GN219" s="28" t="s">
        <v>869</v>
      </c>
      <c r="GO219" s="22">
        <v>45146</v>
      </c>
      <c r="GP219" s="29">
        <f t="shared" si="864"/>
        <v>11</v>
      </c>
      <c r="GQ219" s="28" t="s">
        <v>869</v>
      </c>
      <c r="GR219" s="28"/>
      <c r="GS219" s="22" t="str">
        <f t="shared" si="726"/>
        <v>CONTROL Igm</v>
      </c>
      <c r="GT219" s="22">
        <v>45146</v>
      </c>
      <c r="GU219" s="29">
        <f t="shared" si="865"/>
        <v>11</v>
      </c>
      <c r="GV219" s="21" t="str">
        <f t="shared" si="866"/>
        <v>I TRIM</v>
      </c>
      <c r="GW219" s="28"/>
      <c r="GX219" s="30"/>
      <c r="GY219" s="21"/>
      <c r="GZ219" s="21"/>
      <c r="HA219" s="21"/>
      <c r="HB219" s="21"/>
      <c r="HC219" s="21"/>
      <c r="HD219" s="21"/>
      <c r="HE219" s="21"/>
      <c r="HF219" s="22"/>
      <c r="HG219" s="22" t="str">
        <f>IF(OR(O219&gt;0,R219&gt;0),CONCATENATE(IF(Tabla1[[#This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19" s="22" t="e">
        <f t="shared" si="867"/>
        <v>#REF!</v>
      </c>
      <c r="HI219" s="22" t="e">
        <f t="shared" ca="1" si="868"/>
        <v>#REF!</v>
      </c>
      <c r="HJ219" s="21"/>
      <c r="HK219" s="21" t="str">
        <f t="shared" si="869"/>
        <v>SIN ANTECEDENTES DE RIESGO</v>
      </c>
      <c r="HL219" s="24" t="str">
        <f t="shared" si="870"/>
        <v>APARENTEMENTE NORMAL</v>
      </c>
      <c r="HM219" s="21" t="e">
        <f t="shared" ca="1" si="871"/>
        <v>#REF!</v>
      </c>
      <c r="HN219" s="30" t="str">
        <f t="shared" si="924"/>
        <v>ACTIVA INGRESO A CPN</v>
      </c>
      <c r="HO219" s="21"/>
      <c r="HP219" s="21"/>
      <c r="HQ219" s="349"/>
      <c r="HR219" s="21" t="str">
        <f>IF(R219="","",IF(Tabla1[[#This Row],[ALARMA FACTORES DE RIESGO COMPLICACIONES HIPERTENSIVAS3]]="SIN ANTECEDENTES DE RIESGO","No Aplica para suministro de ASA",IF(AND(Tabla1[[#This Row],[FECHA INICIO DE SUMINISTRO DE ASA]]&gt;0,RV219&lt;12),"Inicia ASA ANTES de Sem 12",IF(AND(RV219&gt;11,RV219&lt;17,OR(HK219="RIESGO ALTO DE COMPLICACIONES HIPERTENSIVAS VER MANEJO GUIA SUMINISTRO ASA Y CALCIO",HK219="RIESGO MODERADO (2 O MAS CRITERIOS) VER MANEJO GUIA SUMINISTRO ASA Y CALCIO")),"Inicio oportuno de ASA",IF(AND(RV219&gt;12,OR(HK219="RIESGO ALTO DE COMPLICACIONES HIPERTENSIVAS VER MANEJO GUIA SUMINISTRO ASA Y CALCIO",HK219="RIESGO MODERADO (2 O MAS CRITERIOS) VER MANEJO GUIA SUMINISTRO ASA Y CALCIO")),"Inicio no oportuno mayor a 16 semanas",IF(AND(BU219&lt;12,OR(HK219="RIESGO ALTO DE COMPLICACIONES HIPERTENSIVAS VER MANEJO GUIA SUMINISTRO ASA Y CALCIO",HK219="RIESGO MODERADO (2 O MAS CRITERIOS) VER MANEJO GUIA SUMINISTRO ASA Y CALCIO")),"Pendiente Inicio de ASA a la semana 12",IF(AND(BU219&gt;11,BU219&lt;17,OR(HK219="RIESGO ALTO DE COMPLICACIONES HIPERTENSIVAS VER MANEJO GUIA SUMINISTRO ASA Y CALCIO",HK219="RIESGO MODERADO (2 O MAS CRITERIOS) VER MANEJO GUIA SUMINISTRO ASA Y CALCIO")),"Iniciar de inmediato ASA",IF(AND(BU219&gt;16,OR(HK219="RIESGO ALTO DE COMPLICACIONES HIPERTENSIVAS VER MANEJO GUIA SUMINISTRO ASA Y CALCIO",HK219="RIESGO MODERADO (2 O MAS CRITERIOS) VER MANEJO GUIA SUMINISTRO ASA Y CALCIO")),"Pierde Oportunidad, Inicio tardío de ASA","XXXXX"))))))))</f>
        <v>No Aplica para suministro de ASA</v>
      </c>
      <c r="HS219" s="22">
        <v>45132</v>
      </c>
      <c r="HT219" s="22" t="s">
        <v>935</v>
      </c>
      <c r="HU219" s="22">
        <v>45132</v>
      </c>
      <c r="HV219" s="22" t="s">
        <v>1544</v>
      </c>
      <c r="HW219" s="22">
        <v>45132</v>
      </c>
      <c r="HX219" s="22" t="s">
        <v>1511</v>
      </c>
      <c r="HY219" s="22">
        <v>45164</v>
      </c>
      <c r="HZ219" s="28">
        <f t="shared" si="872"/>
        <v>13.571428571428571</v>
      </c>
      <c r="IA219" s="26"/>
      <c r="IB219" s="26"/>
      <c r="IC219" s="111"/>
      <c r="ID219" s="22"/>
      <c r="IE219" s="22" t="str">
        <f t="shared" ca="1" si="873"/>
        <v>PROGRAMAR APLICACION DE VACUNA</v>
      </c>
      <c r="IF219" s="22"/>
      <c r="IG219" s="22">
        <f t="shared" si="874"/>
        <v>45349</v>
      </c>
      <c r="IH219" s="29">
        <f t="shared" ca="1" si="875"/>
        <v>116</v>
      </c>
      <c r="II219" s="22" t="str">
        <f t="shared" ca="1" si="876"/>
        <v>PENDIENTE</v>
      </c>
      <c r="IJ219" s="22"/>
      <c r="IK219" s="21"/>
      <c r="IL219" s="21"/>
      <c r="IM219" s="34"/>
      <c r="IN219" s="22"/>
      <c r="IO219" s="21"/>
      <c r="IP219" s="29" t="str">
        <f t="shared" si="877"/>
        <v/>
      </c>
      <c r="IQ219" s="35"/>
      <c r="IR219" s="21"/>
      <c r="IS219" s="21"/>
      <c r="IT219" s="21"/>
      <c r="IU219" s="21"/>
      <c r="IV219" s="21"/>
      <c r="IW219" s="21"/>
      <c r="IX219" s="21"/>
      <c r="IY219" s="21"/>
      <c r="IZ219" s="21"/>
      <c r="JA219" s="21"/>
      <c r="JB219" s="30"/>
      <c r="JC219" s="21"/>
      <c r="JD219" s="36"/>
      <c r="JE219" s="21" t="str">
        <f t="shared" si="878"/>
        <v/>
      </c>
      <c r="JF219" s="30"/>
      <c r="JG219" s="21"/>
      <c r="JH219" s="21"/>
      <c r="JI219" s="21"/>
      <c r="JJ219" s="30"/>
      <c r="JK219" s="22"/>
      <c r="JL219" s="22"/>
      <c r="JM219" s="21"/>
      <c r="JN219" s="36"/>
      <c r="JO219" s="21" t="str">
        <f t="shared" si="879"/>
        <v/>
      </c>
      <c r="JP219" s="22"/>
      <c r="JQ219" s="21"/>
      <c r="JR219" s="21"/>
      <c r="JS219" s="21"/>
      <c r="JT219" s="30"/>
      <c r="JU219" s="22"/>
      <c r="JV219" s="22"/>
      <c r="JW219" s="33"/>
      <c r="JX219" s="28" t="str">
        <f t="shared" si="880"/>
        <v/>
      </c>
      <c r="JY219" s="33"/>
      <c r="JZ219" s="28" t="str">
        <f t="shared" si="881"/>
        <v/>
      </c>
      <c r="KA219" s="21"/>
      <c r="KB219" s="21"/>
      <c r="KC219" s="21"/>
      <c r="KD219" s="37"/>
      <c r="KE219" s="28"/>
      <c r="KF219" s="28"/>
      <c r="KG219" s="28"/>
      <c r="KH219" s="39"/>
      <c r="KI219" s="39"/>
      <c r="KJ219" s="66"/>
      <c r="KK219" s="39"/>
      <c r="KL219" s="39"/>
      <c r="KM219" s="66"/>
      <c r="KN219" s="39"/>
      <c r="KO219" s="39"/>
      <c r="KP219" s="39"/>
      <c r="KQ219" s="39"/>
      <c r="KR219" s="39"/>
      <c r="KS219" s="39"/>
      <c r="KT219" s="39"/>
      <c r="KU219" s="38"/>
      <c r="KV219" s="38"/>
      <c r="KW219" s="38"/>
      <c r="KX219" s="38"/>
      <c r="KY219" s="38"/>
      <c r="KZ219" s="38"/>
      <c r="LA219" s="38"/>
      <c r="LB219" s="38"/>
      <c r="LC219" s="38"/>
      <c r="LD219" s="38"/>
      <c r="LE219" s="38"/>
      <c r="LF219" s="38"/>
      <c r="LG219" s="38"/>
      <c r="LH219" s="38"/>
      <c r="LI219" s="38"/>
      <c r="LJ219" s="38"/>
      <c r="LK219" s="38"/>
      <c r="LL219" s="38"/>
      <c r="LM219" s="38"/>
      <c r="LN219" s="38"/>
      <c r="LO219" s="38"/>
      <c r="LP219" s="38"/>
      <c r="LQ219" s="38"/>
      <c r="LR219" s="38"/>
      <c r="LS219" s="38"/>
      <c r="LT219" s="38"/>
      <c r="LU219" s="38"/>
      <c r="LV219" s="38"/>
      <c r="LW219" s="38"/>
      <c r="LX219" s="38"/>
      <c r="LY219" s="38"/>
      <c r="LZ219" s="38"/>
      <c r="MA219" s="38"/>
      <c r="MB219" s="38"/>
      <c r="MC219" s="38"/>
      <c r="MD219" s="38"/>
      <c r="ME219" s="38"/>
      <c r="MF219" s="38"/>
      <c r="MG219" s="38"/>
      <c r="MH219" s="43">
        <f t="shared" si="882"/>
        <v>0</v>
      </c>
      <c r="MI219" s="43" t="str">
        <f t="shared" si="926"/>
        <v/>
      </c>
      <c r="MJ219" s="43" t="str">
        <f t="shared" si="884"/>
        <v/>
      </c>
      <c r="MK219" s="43">
        <f t="shared" si="885"/>
        <v>0</v>
      </c>
      <c r="ML21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19" s="43">
        <f t="shared" si="927"/>
        <v>9</v>
      </c>
      <c r="MN219" s="43">
        <f t="shared" si="928"/>
        <v>7</v>
      </c>
      <c r="MO219" s="43">
        <f t="shared" si="929"/>
        <v>2023</v>
      </c>
      <c r="MP219" s="43" t="str">
        <f t="shared" si="889"/>
        <v>III TRIMESTRE AÑO</v>
      </c>
      <c r="MQ219" s="43">
        <f t="shared" si="930"/>
        <v>34.370893561103806</v>
      </c>
      <c r="MR219" s="43">
        <f t="shared" si="891"/>
        <v>0</v>
      </c>
      <c r="MS219" s="43" t="str">
        <f t="shared" si="892"/>
        <v xml:space="preserve"> DE 30 A 34 AÑOS</v>
      </c>
      <c r="MT219" s="43">
        <f t="shared" si="893"/>
        <v>0</v>
      </c>
      <c r="MU219" s="43">
        <f t="shared" si="894"/>
        <v>0</v>
      </c>
      <c r="MV219" s="43">
        <f t="shared" si="895"/>
        <v>0</v>
      </c>
      <c r="MW219" s="43">
        <f t="shared" si="896"/>
        <v>0</v>
      </c>
      <c r="MX219" s="43" t="str">
        <f t="shared" si="897"/>
        <v/>
      </c>
      <c r="MY219" s="43" t="str">
        <f t="shared" ca="1" si="898"/>
        <v/>
      </c>
      <c r="MZ219" s="43" t="str">
        <f t="shared" si="899"/>
        <v/>
      </c>
      <c r="NA219" s="43">
        <f t="shared" si="900"/>
        <v>0</v>
      </c>
      <c r="NB219" s="43" t="str">
        <f t="shared" si="901"/>
        <v/>
      </c>
      <c r="NC219" s="43" t="str">
        <f t="shared" si="902"/>
        <v/>
      </c>
      <c r="ND219" s="43">
        <f t="shared" ca="1" si="931"/>
        <v>0</v>
      </c>
      <c r="NE219" s="43">
        <f>IF(OR(O219&gt;0,R219&gt;0),SUM(COUNTIF(Tabla1[[#This Row],[AÑOS AL INICIO5 CPN]],"&gt;=40"),COUNTIF(AS219,"0"),COUNTIF(AR219,"SI"),COUNTIF(CC219,"SI"),COUNTIF(BQ219,"&gt;119"),COUNTIF(CI219,"&gt;=35")),"")</f>
        <v>0</v>
      </c>
      <c r="NF219" s="43" t="str">
        <f t="shared" si="932"/>
        <v/>
      </c>
      <c r="NG219" s="43">
        <f t="shared" si="905"/>
        <v>0</v>
      </c>
      <c r="NH219" s="43">
        <f t="shared" si="906"/>
        <v>78.399999999999991</v>
      </c>
      <c r="NI21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CPN",P219="NO"),"Z",IF(AND(Tabla1[[#This Row],[CITA PROXIMO CONTROL]]="CITA MANUAL",Tabla1[[#This Row],[GESTANTES ACTUALES]]="ACTIVA INGRESO A CPN"),"W",IF(AND(Tabla1[[#This Row],[GESTANTES ACTUALES]]="SALIO PROGRAMA",IN219=""),"S",IF(AND(Tabla1[[#This Row],[CITA PROXIMO CONTROL]]&gt;0,IN219=""),(Tabla1[[#This Row],[CITA PROXIMO CONTROL]]-TODAY()),"SD"))))))))</f>
        <v>#REF!</v>
      </c>
      <c r="NJ219" s="43">
        <f>MONTH(Tabla1[[#This Row],[FECHA DE SALIDA  DEL PROGRAMA]])</f>
        <v>1</v>
      </c>
      <c r="NK219" s="43">
        <f>YEAR(Tabla1[[#This Row],[FECHA DE SALIDA  DEL PROGRAMA]])</f>
        <v>1900</v>
      </c>
      <c r="NL219" s="43" t="str">
        <f t="shared" si="933"/>
        <v>X</v>
      </c>
      <c r="NM219" s="43" t="str">
        <f t="shared" si="938"/>
        <v>NO</v>
      </c>
      <c r="NN219" s="43" t="str">
        <f ca="1">IF(AND(O219&gt;0,R219=""),"NO CPN",IF(AND(O219="",R219=""),"",IF(AND(R219&gt;0,Tabla1[[#This Row],[SEMANAS DE GESTACION ACTUALIZADAS]]&lt;=12),"NO APLICA",IF(AND(FH219&lt;&gt;"",FN219&lt;&gt;""),"SI","NO"))))</f>
        <v>NO</v>
      </c>
      <c r="NO219" s="43" t="str">
        <f ca="1">IF(AND(O219&gt;0,R219=""),"NO CPN",IF(AND(O219="",R219=""),"",IF(AND(R219&gt;0,Tabla1[[#This Row],[SEMANAS DE GESTACION ACTUALIZADAS]]&lt;=27),"NO APLICA",IF(AND(ES219&lt;&gt;"",FQ219&lt;&gt;"",GF219&lt;&gt;""),"SI","NO"))))</f>
        <v>NO APLICA</v>
      </c>
      <c r="NP219" s="204" t="str">
        <f t="shared" si="909"/>
        <v>I TRIM</v>
      </c>
      <c r="NQ219" s="21" t="str">
        <f>IF(AND(IP220&gt;0,IP220&lt;37),10,IF(OR(CD220="Transversa",CD220="Oblicua"),9,IF(CC220="SI",8,IF(AND(AT220=0,AW220=0,CC220="NO",CD220="Cefálica",IP220&gt;=37,IT220="INICIO ESPONTÁNEO"),1,IF(AND(AND(AT220=0,AW220=0,CC220="NO",CD220="Cefálica",IP220&gt;=37),OR(IT220="LE HACEN INDUCCIÓN",IT220="LE HACEN CESÁREA SIN INICIO TRABAJO DE PARTO")),2,IF(AND(AT220&gt;=1,AW220=0,CC220="NO",CD220="Cefálica",IP220&gt;=37,IT220="INICIO ESPONTÁNEO"),3,IF(AND(AND(AT220&gt;=1,AW220=0,CC220="NO",CD220="Cefálica",IP220&gt;=37),OR(IT220="LE HACEN INDUCCIÓN",IT220="LE HACEN CESÁREA SIN INICIO TRABAJO DE PARTO")),4,IF(AND(AND(AT220&gt;=1,AW220&gt;=1,CC220="NO",CD220="Cefálica",IP220&gt;=37),OR(IT220="LE HACEN INDUCCIÓN",IT220="LE HACEN CESÁREA SIN INICIO TRABAJO DE PARTO",IT220="INICIO ESPONTÁNEO")),5,IF(AND(AND(AT220=0,AW220=0,CC220="NO",CD220="Podálica",IP220&gt;=1),OR(IT220="LE HACEN INDUCCIÓN",IT220="LE HACEN CESÁREA SIN INICIO TRABAJO DE PARTO",IT220="INICIO ESPONTÁNEO")),6,IF(AND(AND(AT220&gt;=1,CC220="NO",CD220="Podálica",IP220&gt;=1),OR(IT220="LE HACEN INDUCCIÓN",IT220="LE HACEN CESÁREA SIN INICIO TRABAJO DE PARTO",IT220="INICIO ESPONTÁNEO"),OR(AW220=0,AW220&gt;=1)),7,""))))))))))</f>
        <v/>
      </c>
      <c r="NR219" s="21">
        <f t="shared" ca="1" si="934"/>
        <v>2</v>
      </c>
      <c r="NS219" s="205">
        <f t="shared" ca="1" si="911"/>
        <v>1</v>
      </c>
      <c r="NT219" s="21">
        <f t="shared" ca="1" si="912"/>
        <v>1</v>
      </c>
      <c r="NU219" s="21" t="str">
        <f t="shared" ca="1" si="913"/>
        <v>INCOMPLETO</v>
      </c>
      <c r="NV219" s="21" t="str">
        <f t="shared" ca="1" si="914"/>
        <v>INCOMPLETO</v>
      </c>
      <c r="NW219" s="206" t="str">
        <f>IF(AND(O219="",R219=""),"",IF(OR(AND(Tabla1[[#This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19" s="207" t="str">
        <f t="shared" ca="1" si="935"/>
        <v>SIN VACUNAR</v>
      </c>
      <c r="NY219" s="43">
        <f>ROW(Tabla1[[#This Row],['# DE TAMIZAJES SIFILIS TOMADOS ]])</f>
        <v>219</v>
      </c>
      <c r="NZ219" s="43" t="str">
        <f t="shared" ref="NZ219:NZ248" si="939">IF(BS219="","",IF(BS219&lt;10,"Menor",INT(BS219)))</f>
        <v>Menor</v>
      </c>
      <c r="OA219" s="43" t="str">
        <f t="shared" ref="OA219:OA248" si="940">IF(AND(NZ219=$OA$2,CI219&gt;10,CI219&lt;18.5),"BAJO PESO",IF(AND(NZ219=$OA$2,CI219&gt;18.4,CI219&lt;25),"NORMAL",IF(AND(NZ219=$OA$2,CI219&gt;24,CI219&lt;30),"SOBREPESO",IF(AND(NZ219=$OA$2,CI219&gt;29,CI219&lt;50),"OBESIDAD",""))))</f>
        <v>NORMAL</v>
      </c>
      <c r="OB219" s="43" t="str">
        <f t="shared" ref="OB219:OB248" si="941">IF(AND(NZ219=$OB$2,CI219&gt;10,CI219&lt;20.3),"BAJO PESO",IF(AND(NZ219=$OB$2,CI219&gt;20.2,CI219&lt;25.3),"NORMAL",IF(AND(NZ219=$OB$2,CI219&gt;25.2,CI219&lt;30.3),"SOBREPESO",IF(AND(NZ219=$OB$2,CI219&gt;30.2,CI219&lt;50),"OBESIDAD",""))))</f>
        <v/>
      </c>
      <c r="OC219" s="43" t="str">
        <f t="shared" ref="OC219:OC248" si="942">IF(AND(NZ219=$OC$2,CI219&gt;10,CI219&lt;20.4),"BAJO PESO",IF(AND(NZ219=$OC$2,CI219&gt;20.3,CI219&lt;25.4),"NORMAL",IF(AND(NZ219=$OC$2,CI219&gt;25.3,CI219&lt;30.4),"SOBREPESO",IF(AND(NZ219=$OC$2,CI219&gt;30.3,CI219&lt;50),"OBESIDAD",""))))</f>
        <v/>
      </c>
      <c r="OD219" s="43" t="str">
        <f t="shared" ref="OD219:OD248" si="943">IF(AND(NZ219=$OD$2,CI219&gt;10,CI219&lt;20.5),"BAJO PESO",IF(AND(NZ219=$OD$2,CI219&gt;20.4,CI219&lt;25.5),"NORMAL",IF(AND(NZ219=$OD$2,CI219&gt;25.4,CI219&lt;30.4),"SOBREPESO",IF(AND(NZ219=$OD$2,CI219&gt;30.3,CI219&lt;50),"OBESIDAD",""))))</f>
        <v/>
      </c>
      <c r="OE219" s="43" t="str">
        <f t="shared" ref="OE219:OE248" si="944">IF(AND(NZ219=$OE$2,CI219&gt;10,CI219&lt;20.7),"BAJO PESO",IF(AND(NZ219=$OE$2,CI219&gt;20.6,CI219&lt;25.7),"NORMAL",IF(AND(NZ219=$OE$2,CI219&gt;25.7,CI219&lt;30.5),"SOBREPESO",IF(AND(NZ219=$OE$2,CI219&gt;30.4,CI219&lt;50),"OBESIDAD",""))))</f>
        <v/>
      </c>
      <c r="OF219" s="43" t="str">
        <f t="shared" ref="OF219:OF248" si="945">IF(AND(NZ219=$OF$2,CI219&gt;10,CI219&lt;20.8),"BAJO PESO",IF(AND(NZ219=$OF$2,CI219&gt;20.7,CI219&lt;25.8),"NORMAL",IF(AND(NZ219=$OF$2,CI219&gt;25.7,CI219&lt;30.6),"SOBREPESO",IF(AND(NZ219=$OF$2,CI219&gt;30.5,CI219&lt;50),"OBESIDAD",""))))</f>
        <v/>
      </c>
      <c r="OG219" s="43" t="str">
        <f t="shared" ref="OG219:OG248" si="946">IF(AND(NZ219=$OG$2,CI219&gt;10,CI219&lt;20.9),"BAJO PESO",IF(AND(NZ219=$OG$2,CI219&gt;20.8,CI219&lt;25.9),"NORMAL",IF(AND(NZ219=$OG$2,CI219&gt;25.8,CI219&lt;30.7),"SOBREPESO",IF(AND(NZ219=$OG$2,CI219&gt;30.6,CI219&lt;50),"OBESIDAD",""))))</f>
        <v/>
      </c>
      <c r="OH219" s="43" t="str">
        <f t="shared" ref="OH219:OH248" si="947">IF(AND(NZ219=$OH$2,CI219&gt;10,CI219&lt;21.1),"BAJO PESO",IF(AND(NZ219=$OH$2,CI219&gt;21,CI219&lt;26),"NORMAL",IF(AND(NZ219=$OH$2,CI219&gt;25.9,CI219&lt;30.8),"SOBREPESO",IF(AND(NZ219=$OH$2,CI219&gt;30.7,CI219&lt;50),"OBESIDAD",""))))</f>
        <v/>
      </c>
      <c r="OI219" s="43" t="str">
        <f t="shared" ref="OI219:OI248" si="948">IF(AND(NZ219=$OI$2,CI219&gt;10,CI219&lt;21.2),"BAJO PESO",IF(AND(NZ219=$OI$2,CI219&gt;21.1,CI219&lt;26.1),"NORMAL",IF(AND(NZ219=$OI$2,CI219&gt;26,CI219&lt;31.9),"SOBREPESO",IF(AND(NZ219=$OI$2,CI219&gt;30.8,CI219&lt;50),"OBESIDAD",""))))</f>
        <v/>
      </c>
      <c r="OJ219" s="43" t="str">
        <f t="shared" ref="OJ219:OJ248" si="949">IF(AND(NZ219=$OJ$2,CI219&gt;10,CI219&lt;21.3),"BAJO PESO",IF(AND(NZ219=$OJ$2,CI219&gt;21.2,CI219&lt;26.2),"NORMAL",IF(AND(NZ219=$OJ$2,CI219&gt;26.1,CI219&lt;31),"SOBREPESO",IF(AND(NZ219=$OJ$2,CI219&gt;30.9,CI219&lt;50),"OBESIDAD",""))))</f>
        <v/>
      </c>
      <c r="OK219" s="43" t="str">
        <f t="shared" ref="OK219:OK248" si="950">IF(AND(NZ219=$OK$2,CI219&gt;10,CI219&lt;21.5),"BAJO PESO",IF(AND(NZ219=$OK$2,CI219&gt;21.4,CI219&lt;26.3),"NORMAL",IF(AND(NZ219=$OK$2,CI219&gt;26.2,CI219&lt;31),"SOBREPESO",IF(AND(NZ219=$OK$2,CI219&gt;30.9,CI219&lt;50),"OBESIDAD",""))))</f>
        <v/>
      </c>
      <c r="OL219" s="43" t="str">
        <f t="shared" ref="OL219:OL248" si="951">IF(AND(NZ219=$OL$2,CI219&gt;10,CI219&lt;21.6),"BAJO PESO",IF(AND(NZ219=$OL$2,CI219&gt;21.5,CI219&lt;26.4),"NORMAL",IF(AND(NZ219=$OL$2,CI219&gt;26.3,CI219&lt;31.1),"SOBREPESO",IF(AND(NZ219=$OL$2,CI219&gt;31,CI219&lt;50),"OBESIDAD",""))))</f>
        <v/>
      </c>
      <c r="OM219" s="43" t="str">
        <f t="shared" ref="OM219:OM248" si="952">IF(AND(NZ219=$OM$2,CI219&gt;10,CI219&lt;21.8),"BAJO PESO",IF(AND(NZ219=$OM$2,CI219&gt;21.7,CI219&lt;26.5),"NORMAL",IF(AND(NZ219=$OM$2,CI219&gt;26.4,CI219&lt;31.2),"SOBREPESO",IF(AND(NZ219=$OM$2,CI219&gt;31.1,CI219&lt;50),"OBESIDAD",""))))</f>
        <v/>
      </c>
      <c r="ON219" s="43" t="str">
        <f t="shared" ref="ON219:ON248" si="953">IF(AND(NZ219=$ON$2,CI219&gt;10,CI219&lt;21.9),"BAJO PESO",IF(AND(NZ219=$ON$2,CI219&gt;21.8,CI219&lt;26.7),"NORMAL",IF(AND(NZ219=$ON$2,CI219&gt;26.6,CI219&lt;31.3),"SOBREPESO",IF(AND(NZ219=$ON$2,CI219&gt;31.2,CI219&lt;50),"OBESIDAD",""))))</f>
        <v/>
      </c>
      <c r="OO219" s="43" t="str">
        <f t="shared" ref="OO219:OO248" si="954">IF(AND(NZ219=$OO$2,CI219&gt;10,CI219&lt;22.1),"BAJO PESO",IF(AND(NZ219=$OO$2,CI219&gt;22,CI219&lt;26.8),"NORMAL",IF(AND(NZ219=$OO$2,CI219&gt;26.7,CI219&lt;31.4),"SOBREPESO",IF(AND(NZ219=$OO$2,CI219&gt;31.3,CI219&lt;50),"OBESIDAD",""))))</f>
        <v/>
      </c>
      <c r="OP219" s="43" t="str">
        <f t="shared" ref="OP219:OP248" si="955">IF(AND(NZ219=$OP$2,CI219&gt;10,CI219&lt;22.3),"BAJO PESO",IF(AND(NZ219=$OP$2,CI219&gt;22.2,CI219&lt;27),"NORMAL",IF(AND(NZ219=$OP$2,CI219&gt;26.9,CI219&lt;31.6),"SOBREPESO",IF(AND(NZ219=$OP$2,CI219&gt;31.5,CI219&lt;50),"OBESIDAD",""))))</f>
        <v/>
      </c>
      <c r="OQ219" s="43" t="str">
        <f t="shared" ref="OQ219:OQ248" si="956">IF(AND(NZ219=$OQ$2,$CI219&gt;10,CI219&lt;22.5),"BAJO PESO",IF(AND(NZ219=$OQ$2,CI219&gt;22.4,CI219&lt;27.1),"NORMAL",IF(AND(NZ219=$OQ$2,CI219&gt;27,CI219&lt;31.7),"SOBREPESO",IF(AND(NZ219=$OQ$2,CI219&gt;31.6,CI219&lt;50),"OBESIDAD",""))))</f>
        <v/>
      </c>
      <c r="OR219" s="43" t="str">
        <f t="shared" ref="OR219:OR248" si="957">IF(AND(NZ219=$OR$2,CI219&gt;10,CI219&lt;22.7),"BAJO PESO",IF(AND(NZ219=$OR$2,CI219&gt;22.6,CI219&lt;27.3),"NORMAL",IF(AND(NZ219=$OR$2,CI219&gt;27.1,CI219&lt;31.8),"SOBREPESO",IF(AND(NZ219=$OR$2,CI219&gt;31.7,CI219&lt;50),"OBESIDAD",""))))</f>
        <v/>
      </c>
      <c r="OS219" s="43" t="str">
        <f t="shared" ref="OS219:OS248" si="958">IF(AND(NZ219=$OS$2,CI219&gt;10,CI219&lt;22.8),"BAJO PESO",IF(AND(NZ219=$OS$2,CI219&gt;22.7,CI219&lt;27.4),"NORMAL",IF(AND(NZ219=$OS$2,CI219&gt;27.3,CI219&lt;31.9),"SOBREPESO",IF(AND(NZ219=$OS$2,CI219&gt;31.8,CI219&lt;50),"OBESIDAD",""))))</f>
        <v/>
      </c>
      <c r="OT219" s="43" t="str">
        <f t="shared" ref="OT219:OT248" si="959">IF(AND(NZ219=$OT$2,CI219&gt;10,CI219&lt;23),"BAJO PESO",IF(AND(NZ219=$OT$2,CI219&gt;22.9,CI219&lt;27.6),"NORMAL",IF(AND(NZ219=$OT$2,CI219&gt;27.5,CI219&lt;32),"SOBREPESO",IF(AND(NZ219=$OT$2,CI219&gt;31.9,CI219&lt;50),"OBESIDAD",""))))</f>
        <v/>
      </c>
      <c r="OU219" s="43" t="str">
        <f t="shared" ref="OU219:OU248" si="960">IF(AND(NZ219=$OU$2,CI219&gt;10,CI219&lt;23.2),"BAJO PESO",IF(AND(NZ219=$OU$2,CI219&gt;23.1,CI219&lt;27.7),"NORMAL",IF(AND(NZ219=$OU$2,CI219&gt;27.6,CI219&lt;32.1),"SOBREPESO",IF(AND(NZ219=$OU$2,CI219&gt;32,CI219&lt;50),"OBESIDAD",""))))</f>
        <v/>
      </c>
      <c r="OV219" s="110" t="str">
        <f t="shared" ref="OV219:OV248" si="961">IF(AND(NZ219=$OV$2,CI219&gt;10,CI219&lt;23.4),"BAJO PESO",IF(AND(NZ219=$OV$2,CI219&gt;23.3,CI219&lt;27.9),"NORMAL",IF(AND(NZ219=$OV$2,CI219&gt;27.8,CI219&lt;32.2),"SOBREPESO",IF(AND(NZ219=$OV$2,CI219&gt;32.1,CI219&lt;50),"OBESIDAD",""))))</f>
        <v/>
      </c>
      <c r="OW219" s="43" t="str">
        <f t="shared" ref="OW219:OW248" si="962">IF(AND(NZ219=$OW$2,CI219&gt;10,CI219&lt;23.5),"BAJO PESO",IF(AND(NZ219=$OW$2,CI219&gt;23.4,CI219&lt;28),"NORMAL",IF(AND(NZ219=$OW$2,CI219&gt;27.9,CI219&lt;32.1),"SOBREPESO",IF(AND(NZ219=$OW$2,CI219&gt;32.2,CI219&lt;50),"OBESIDAD",""))))</f>
        <v/>
      </c>
      <c r="OX219" s="43" t="str">
        <f t="shared" ref="OX219:OX248" si="963">IF(AND(NZ219=$OX$2,CI219&gt;10,CI219&lt;23.7),"BAJO PESO",IF(AND(NZ219=$OX$2,CI219&gt;23.6,CI219&lt;28.1),"NORMAL",IF(AND(NZ219=$OX$2,CI219&gt;28,CI219&lt;33.4),"SOBREPESO",IF(AND(NZ219=$OX$2,CI219&gt;33.3,CI219&lt;50),"OBESIDAD",""))))</f>
        <v/>
      </c>
      <c r="OY219" s="43" t="str">
        <f t="shared" ref="OY219:OY248" si="964">IF(AND(NZ219=$OY$2,CI219&gt;10,CI219&lt;23.9),"BAJO PESO",IF(AND(NZ219=$OY$2,CI219&gt;23.8,CI219&lt;28.2),"NORMAL",IF(AND(NZ219=$OY$2,CI219&gt;28.1,CI219&lt;33.5),"SOBREPESO",IF(AND(NZ219=$OY$2,CI219&gt;33.4,CI219&lt;50),"OBESIDAD",""))))</f>
        <v/>
      </c>
      <c r="OZ219" s="43" t="str">
        <f t="shared" ref="OZ219:OZ248" si="965">IF(AND(NZ219=$OZ$2,CI219&gt;10,CI219&lt;24),"BAJO PESO",IF(AND(NZ219=$OZ$2,CI219&gt;23.9,CI219&lt;28.4),"NORMAL",IF(AND(NZ219=$OZ$2,CI219&gt;28.3,CI219&lt;33.6),"SOBREPESO",IF(AND(NZ219=$OZ$2,CI219&gt;33.5,CI219&lt;50),"OBESIDAD",""))))</f>
        <v/>
      </c>
      <c r="PA219" s="43" t="str">
        <f t="shared" ref="PA219:PA248" si="966">IF(AND(NZ219=$PA$2,CI219&gt;10,CI219&lt;24.2),"BAJO PESO",IF(AND(NZ219=$PA$2,CI219&gt;24.1,CI219&lt;28.5),"NORMAL",IF(AND(NZ219=$PA$2,CI219&gt;28.4,CI219&lt;33.7),"SOBREPESO",IF(AND(NZ219=$PA$2,CI219&gt;33.6,CI219&lt;50),"OBESIDAD",""))))</f>
        <v/>
      </c>
      <c r="PB219" s="43" t="str">
        <f t="shared" ref="PB219:PB248" si="967">IF(AND(NZ219=$PB$2,CI219&gt;10,CI219&lt;24.3),"BAJO PESO",IF(AND(NZ219=$PB$2,CI219&gt;24.2,CI219&lt;28.6),"NORMAL",IF(AND(NZ219=$PB$2,CI219&gt;28.5,CI219&lt;33.8),"SOBREPESO",IF(AND(NZ219=$PB$2,CI219&gt;33.7,CI219&lt;50),"OBESIDAD",""))))</f>
        <v/>
      </c>
      <c r="PC219" s="43" t="str">
        <f t="shared" ref="PC219:PC248" si="968">IF(AND(NZ219=$PC$2,CI219&gt;10,CI219&lt;24.5),"BAJO PESO",IF(AND(NZ219=$PC$2,CI219&gt;24.4,CI219&lt;28.8),"NORMAL",IF(AND(NZ219=$PC$2,CI219&gt;28.7,CI219&lt;32.9),"SOBREPESO",IF(AND(NZ219=$PC$2,CI219&gt;32.8,CI219&lt;50),"OBESIDAD",""))))</f>
        <v/>
      </c>
      <c r="PD219" s="43" t="str">
        <f t="shared" ref="PD219:PD248" si="969">IF(AND(NZ219=$PD$2,CI219&gt;10,CI219&lt;24.6),"BAJO PESO",IF(AND(NZ219=$PD$2,CI219&gt;24.5,CI219&lt;28.9),"NORMAL",IF(AND(NZ219=$PD$2,CI219&gt;28.8,CI219&lt;33),"SOBREPESO",IF(AND(NZ219=$PD$2,CI219&gt;32.9,CI219&lt;50),"OBESIDAD",""))))</f>
        <v/>
      </c>
      <c r="PE219" s="43" t="str">
        <f t="shared" ref="PE219:PE248" si="970">IF(AND(NZ219=$PE$2,CI219&gt;10,CI219&lt;24.8),"BAJO PESO",IF(AND(NZ219=$PE$2,CI219&gt;24.7,CI219&lt;29),"NORMAL",IF(AND(NZ219=$PE$2,CI219&gt;28.9,CI219&lt;33.1),"SOBREPESO",IF(AND(NZ219=$PE$2,CI219&gt;33,CI219&lt;50),"OBESIDAD",""))))</f>
        <v/>
      </c>
      <c r="PF219" s="43" t="str">
        <f t="shared" ref="PF219:PF248" si="971">IF(AND(NZ219=$PF$2,CI219&gt;10,CI219&lt;25),"BAJO PESO",IF(AND(NZ219=$PF$2,CI219&gt;24.9,CI219&lt;29.2),"NORMAL",IF(AND(NZ219=$PF$2,CI219&gt;29.1,CI219&lt;33.2),"SOBREPESO",IF(AND(NZ219=$PF$2,CI219&gt;33.1,CI219&lt;50),"OBESIDAD",""))))</f>
        <v/>
      </c>
      <c r="PG219" s="43" t="str">
        <f t="shared" ref="PG219:PG248" si="972">IF(AND(NZ219=$PG$2,CI219&gt;10,CI219&lt;25.1),"BAJO PESO",IF(AND(NZ219=$PG$2,CI219&gt;25,CI219&lt;29.3),"NORMAL",IF(AND(NZ219=$PG$2,CI219&gt;29.2,CI219&lt;33.3),"SOBREPESO",IF(AND(NZ219=$PG$2,CI219&gt;33.2,CI219&lt;50),"OBESIDAD",""))))</f>
        <v/>
      </c>
      <c r="PH219" s="43" t="str">
        <f t="shared" ref="PH219:PH248" si="973">IF(AND(NZ219=$PH$2,CI219&gt;10,CI219&lt;25.1),"BAJO PESO",IF(AND(NZ219=$PH$2,CI219&gt;25,CI219&lt;29.4),"NORMAL",IF(AND(NZ219=$PH$2,CI219&gt;29.3,CI219&lt;33.3),"SOBREPESO",IF(AND(NZ219=$PH$2,CI219&gt;33.2,CI219&lt;50),"OBESIDAD",""))))</f>
        <v/>
      </c>
      <c r="PI219" s="43">
        <f t="shared" ref="PI219:PI248" si="974">IF(DZ219="","",IF(DZ219&lt;10,"Menor",DZ219))</f>
        <v>13</v>
      </c>
      <c r="PJ219" s="43" t="str">
        <f t="shared" ref="PJ219:PJ248" si="975">IF(AND(PI219=$PJ$2,CM219&gt;10,CM219&lt;18.5),"BAJO PESO",IF(AND(PI219=$PJ$2,CM219&gt;18.4,CM219&lt;25),"NORMAL",IF(AND(PI219=$PJ$2,CM219&gt;24,CM219&lt;30),"SOBREPESO",IF(AND(PI219=$PJ$2,CM219&gt;29,CM219&lt;50),"OBESIDAD",""))))</f>
        <v/>
      </c>
      <c r="PK219" s="43" t="str">
        <f t="shared" ref="PK219:PK248" si="976">IF(AND(PI219=$PK$2,CM219&gt;10,CM219&lt;20.3),"BAJO PESO",IF(AND(PI219=$PK$2,CM219&gt;20.2,CM219&lt;25.3),"NORMAL",IF(AND(PI219=$PK$2,CM219&gt;25.2,CM219&lt;30.3),"SOBREPESO",IF(AND(PI219=$PK$2,CM219&gt;30.2,CM219&lt;50),"OBESIDAD",""))))</f>
        <v/>
      </c>
      <c r="PL219" s="43" t="str">
        <f t="shared" ref="PL219:PL248" si="977">IF(AND(PI219=$PL$2,CM219&gt;10,CM219&lt;20.4),"BAJO PESO",IF(AND(PI219=$PL$2,CM219&gt;20.3,CM219&lt;25.4),"NORMAL",IF(AND(PI219=$PL$2,CM219&gt;25.3,CM219&lt;30.4),"SOBREPESO",IF(AND(PI219=$PL$2,CM219&gt;30.3,CM219&lt;50),"OBESIDAD",""))))</f>
        <v/>
      </c>
      <c r="PM219" s="43" t="str">
        <f t="shared" ref="PM219:PM248" si="978">IF(AND(PI219=$PM$2,CM219&gt;10,CM219&lt;20.5),"BAJO PESO",IF(AND(PI219=$PM$2,CM219&gt;20.4,CM219&lt;25.5),"NORMAL",IF(AND(PI219=$PM$2,CM219&gt;25.4,CM219&lt;30.4),"SOBREPESO",IF(AND(PI219=$PM$2,CM219&gt;30.3,CM219&lt;50),"OBESIDAD",""))))</f>
        <v/>
      </c>
      <c r="PN219" s="43" t="str">
        <f t="shared" ref="PN219:PN248" si="979">IF(AND(PI219=$PN$2,CM219&gt;10,CM219&lt;20.7),"BAJO PESO",IF(AND(PI219=$PN$2,CM219&gt;20.6,CM219&lt;25.7),"NORMAL",IF(AND(PI219=$PN$2,CM219&gt;25.7,CM219&lt;30.5),"SOBREPESO",IF(AND(PI219=$PN$2,CM219&gt;30.4,CM219&lt;50),"OBESIDAD",""))))</f>
        <v>NORMAL</v>
      </c>
      <c r="PO219" s="43" t="str">
        <f t="shared" ref="PO219:PO248" si="980">IF(AND(PI219=$PO$2,CM219&gt;10,CM219&lt;20.8),"BAJO PESO",IF(AND(PI219=$PO$2,CM219&gt;20.7,CM219&lt;25.8),"NORMAL",IF(AND(PI219=$PO$2,CM219&gt;25.7,CM219&lt;30.6),"SOBREPESO",IF(AND(PI219=$PO$2,CM219&gt;30.5,CM219&lt;50),"OBESIDAD",""))))</f>
        <v/>
      </c>
      <c r="PP219" s="43" t="str">
        <f t="shared" ref="PP219:PP248" si="981">IF(AND(PI219=$PP$2,CM219&gt;10,CM219&lt;20.9),"BAJO PESO",IF(AND(PI219=$PP$2,CM219&gt;20.8,CM219&lt;25.9),"NORMAL",IF(AND(PI219=$PP$2,CM219&gt;25.8,CM219&lt;30.7),"SOBREPESO",IF(AND(PI219=$PP$2,CM219&gt;30.6,CM219&lt;50),"OBESIDAD",""))))</f>
        <v/>
      </c>
      <c r="PQ219" s="43" t="str">
        <f t="shared" ref="PQ219:PQ248" si="982">IF(AND(PI219=$PQ$2,CM219&gt;10,CM219&lt;21.1),"BAJO PESO",IF(AND(PI219=$PQ$2,CM219&gt;21,CM219&lt;26),"NORMAL",IF(AND(PI219=$PQ$2,CM219&gt;25.9,CM219&lt;30.8),"SOBREPESO",IF(AND(PI219=$PQ$2,CM219&gt;30.7,CM219&lt;50),"OBESIDAD",""))))</f>
        <v/>
      </c>
      <c r="PR219" s="43" t="str">
        <f t="shared" ref="PR219:PR248" si="983">IF(AND(PI219=$PR$2,CM219&gt;10,CM219&lt;21.2),"BAJO PESO",IF(AND(PI219=$PR$2,CM219&gt;21.1,CM219&lt;26.1),"NORMAL",IF(AND(PI219=$PR$2,CM219&gt;26,CM219&lt;31.9),"SOBREPESO",IF(AND(PI219=$PR$2,CM219&gt;30.8,CM219&lt;50),"OBESIDAD",""))))</f>
        <v/>
      </c>
      <c r="PS219" s="43" t="str">
        <f t="shared" ref="PS219:PS248" si="984">IF(AND(PI219=$PS$2,CM219&gt;10,CM219&lt;21.3),"BAJO PESO",IF(AND(PI219=$PS$2,CM219&gt;21.2,CM219&lt;26.2),"NORMAL",IF(AND(PI219=$PS$2,CM219&gt;26.1,CM219&lt;31),"SOBREPESO",IF(AND(PI219=$PS$2,CM219&gt;30.9,CM219&lt;50),"OBESIDAD",""))))</f>
        <v/>
      </c>
      <c r="PT219" s="43" t="str">
        <f t="shared" ref="PT219:PT248" si="985">IF(AND(PI219=$PT$2,CM219&gt;10,CM219&lt;21.5),"BAJO PESO",IF(AND(PI219=$PT$2,CM219&gt;21.4,CM219&lt;26.3),"NORMAL",IF(AND(PI219=$PT$2,CM219&gt;26.2,CM219&lt;31),"SOBREPESO",IF(AND(PI219=$PT$2,CM219&gt;30.9,CM219&lt;50),"OBESIDAD",""))))</f>
        <v/>
      </c>
      <c r="PU219" s="43" t="str">
        <f t="shared" ref="PU219:PU248" si="986">IF(AND(PI219=$PU$2,CM219&gt;10,CM219&lt;21.6),"BAJO PESO",IF(AND(PI219=$PU$2,CM219&gt;21.5,CM219&lt;26.4),"NORMAL",IF(AND(PI219=$PU$2,CM219&gt;26.3,CM219&lt;31.1),"SOBREPESO",IF(AND(PI219=$PU$2,CM219&gt;31,CM219&lt;50),"OBESIDAD",""))))</f>
        <v/>
      </c>
      <c r="PV219" s="43" t="str">
        <f t="shared" ref="PV219:PV248" si="987">IF(AND(PI219=$PV$2,CM219&gt;10,CM219&lt;21.8),"BAJO PESO",IF(AND(PI219=$PV$2,CM219&gt;21.7,CM219&lt;26.5),"NORMAL",IF(AND(PI219=$PV$2,CM219&gt;26.4,CM219&lt;31.2),"SOBREPESO",IF(AND(PI219=$PV$2,CM219&gt;31.1,CM219&lt;50),"OBESIDAD",""))))</f>
        <v/>
      </c>
      <c r="PW219" s="43" t="str">
        <f t="shared" ref="PW219:PW248" si="988">IF(AND(PI219=$PW$2,CM219&gt;10,CM219&lt;21.9),"BAJO PESO",IF(AND(PI219=$PW$2,CM219&gt;21.8,CM219&lt;26.7),"NORMAL",IF(AND(PI219=$PW$2,CM219&gt;26.6,CM219&lt;31.3),"SOBREPESO",IF(AND(PI219=$PW$2,CM219&gt;31.2,CM219&lt;50),"OBESIDAD",""))))</f>
        <v/>
      </c>
      <c r="PX219" s="43" t="str">
        <f t="shared" ref="PX219:PX248" si="989">IF(AND(PI219=$PX$2,CM219&gt;10,CM219&lt;22.1),"BAJO PESO",IF(AND(PI219=$PX$2,CM219&gt;22,CM219&lt;26.8),"NORMAL",IF(AND(PI219=$PX$2,CM219&gt;26.7,CM219&lt;31.4),"SOBREPESO",IF(AND(PI219=$PX$2,CM219&gt;31.3,CM219&lt;50),"OBESIDAD",""))))</f>
        <v/>
      </c>
      <c r="PY219" s="43" t="str">
        <f t="shared" ref="PY219:PY248" si="990">IF(AND(PI219=$PY$2,CM219&gt;10,CM219&lt;22.3),"BAJO PESO",IF(AND(PI219=$PY$2,CM219&gt;22.2,CM219&lt;27),"NORMAL",IF(AND(PI219=$PY$2,CM219&gt;26.9,CM219&lt;31.6),"SOBREPESO",IF(AND(PI219=$PY$2,CM219&gt;31.5,CM219&lt;50),"OBESIDAD",""))))</f>
        <v/>
      </c>
      <c r="PZ219" s="43" t="str">
        <f t="shared" ref="PZ219:PZ248" si="991">IF(AND(PI219=$PZ$2,$CM219&gt;10,CM219&lt;22.5),"BAJO PESO",IF(AND(PI219=$PZ$2,CM219&gt;22.4,CM219&lt;27.1),"NORMAL",IF(AND(PI219=$PZ$2,CM219&gt;27,CM219&lt;31.7),"SOBREPESO",IF(AND(PI219=$PZ$2,CM219&gt;31.6,CM219&lt;50),"OBESIDAD",""))))</f>
        <v/>
      </c>
      <c r="QA219" s="43" t="str">
        <f t="shared" ref="QA219:QA248" si="992">IF(AND(PI219=$QA$2,CM219&gt;10,CM219&lt;22.7),"BAJO PESO",IF(AND(PI219=$QA$2,CM219&gt;22.6,CM219&lt;27.3),"NORMAL",IF(AND(PI219=$QA$2,CM219&gt;27.1,CM219&lt;31.8),"SOBREPESO",IF(AND(PI219=$QA$2,CM219&gt;31.7,CM219&lt;50),"OBESIDAD",""))))</f>
        <v/>
      </c>
      <c r="QB219" s="43" t="str">
        <f t="shared" ref="QB219:QB248" si="993">IF(AND(PI219=$QB$2,CM219&gt;10,CM219&lt;22.8),"BAJO PESO",IF(AND(PI219=$QB$2,CM219&gt;22.7,CM219&lt;27.4),"NORMAL",IF(AND(PI219=$QB$2,CM219&gt;27.3,CM219&lt;31.9),"SOBREPESO",IF(AND(PI219=$QB$2,CM219&gt;31.8,CM219&lt;50),"OBESIDAD",""))))</f>
        <v/>
      </c>
      <c r="QC219" s="43" t="str">
        <f t="shared" ref="QC219:QC248" si="994">IF(AND(PI219=$QC$2,CM219&gt;10,CM219&lt;23),"BAJO PESO",IF(AND(PI219=$QC$2,CM219&gt;22.9,CM219&lt;27.6),"NORMAL",IF(AND(PI219=$QC$2,CM219&gt;27.5,CM219&lt;32),"SOBREPESO",IF(AND(PI219=$QC$2,CM219&gt;31.9,CM219&lt;50),"OBESIDAD",""))))</f>
        <v/>
      </c>
      <c r="QD219" s="43" t="str">
        <f t="shared" ref="QD219:QD248" si="995">IF(AND(PI219=$QD$2,CM219&gt;10,CM219&lt;23.2),"BAJO PESO",IF(AND(PI219=$QD$2,CM219&gt;23.1,CM219&lt;27.7),"NORMAL",IF(AND(PI219=$QD$2,CM219&gt;27.6,CM219&lt;32.1),"SOBREPESO",IF(AND(PI219=$QD$2,CM219&gt;32,CM219&lt;50),"OBESIDAD",""))))</f>
        <v/>
      </c>
      <c r="QE219" s="43" t="str">
        <f t="shared" ref="QE219:QE248" si="996">IF(AND(PI219=$QE$2,CM219&gt;10,CM219&lt;23.4),"BAJO PESO",IF(AND(PI219=$QE$2,CM219&gt;23.3,CM219&lt;27.9),"NORMAL",IF(AND(PI219=$QE$2,CM219&gt;27.8,CM219&lt;32.2),"SOBREPESO",IF(AND(PI219=$QE$2,CM219&gt;32.1,CM219&lt;50),"OBESIDAD",""))))</f>
        <v/>
      </c>
      <c r="QF219" s="43" t="str">
        <f t="shared" ref="QF219:QF248" si="997">IF(AND(PI219=$QF$2,CM219&gt;10,CM219&lt;23.5),"BAJO PESO",IF(AND(PI219=$QF$2,CM219&gt;23.4,CM219&lt;28),"NORMAL",IF(AND(PI219=$QF$2,CM219&gt;27.9,CM219&lt;32.1),"SOBREPESO",IF(AND(PI219=$QF$2,CM219&gt;32.2,CM219&lt;50),"OBESIDAD",""))))</f>
        <v/>
      </c>
      <c r="QG219" s="43" t="str">
        <f t="shared" ref="QG219:QG248" si="998">IF(AND(PI219=$QG$2,CM219&gt;10,CM219&lt;23.7),"BAJO PESO",IF(AND(PI219=$QG$2,CM219&gt;23.6,CM219&lt;28.1),"NORMAL",IF(AND(PI219=$QG$2,CM219&gt;28,CM219&lt;33.4),"SOBREPESO",IF(AND(PI219=$QG$2,CM219&gt;33.3,CM219&lt;50),"OBESIDAD",""))))</f>
        <v/>
      </c>
      <c r="QH219" s="43" t="str">
        <f t="shared" ref="QH219:QH248" si="999">IF(AND(PI219=$QH$2,CM219&gt;10,CM219&lt;23.9),"BAJO PESO",IF(AND(PI219=$QH$2,CM219&gt;23.8,CM219&lt;28.2),"NORMAL",IF(AND(PI219=$QH$2,CM219&gt;28.1,CM219&lt;33.5),"SOBREPESO",IF(AND(PI219=$QH$2,CM219&gt;33.4,CM219&lt;50),"OBESIDAD",""))))</f>
        <v/>
      </c>
      <c r="QI219" s="43" t="str">
        <f t="shared" ref="QI219:QI248" si="1000">IF(AND(PI219=$QI$2,CM219&gt;10,CM219&lt;24),"BAJO PESO",IF(AND(PI219=$QI$2,CM219&gt;23.9,CM219&lt;28.4),"NORMAL",IF(AND(PI219=$QI$2,CM219&gt;28.3,CM219&lt;33.6),"SOBREPESO",IF(AND(PI219=$QI$2,CM219&gt;33.5,CM219&lt;50),"OBESIDAD",""))))</f>
        <v/>
      </c>
      <c r="QJ219" s="43" t="str">
        <f t="shared" ref="QJ219:QJ248" si="1001">IF(AND(PI219=$QJ$2,CM219&gt;10,CM219&lt;24.2),"BAJO PESO",IF(AND(PI219=$QJ$2,CM219&gt;24.1,CM219&lt;28.5),"NORMAL",IF(AND(PI219=$QJ$2,CM219&gt;28.4,CM219&lt;33.7),"SOBREPESO",IF(AND(PI219=$QJ$2,CM219&gt;33.6,CM219&lt;50),"OBESIDAD",""))))</f>
        <v/>
      </c>
      <c r="QK219" s="43" t="str">
        <f t="shared" ref="QK219:QK248" si="1002">IF(AND(PI219=$QK$2,CM219&gt;10,CM219&lt;24.3),"BAJO PESO",IF(AND(PI219=$QK$2,CM219&gt;24.2,CM219&lt;28.6),"NORMAL",IF(AND(PI219=$QK$2,CM219&gt;28.5,CM219&lt;33.8),"SOBREPESO",IF(AND(PI219=$QK$2,CM219&gt;33.7,CM219&lt;50),"OBESIDAD",""))))</f>
        <v/>
      </c>
      <c r="QL219" s="43" t="str">
        <f t="shared" ref="QL219:QL248" si="1003">IF(AND(PI219=$QL$2,CM219&gt;10,CM219&lt;24.5),"BAJO PESO",IF(AND(PI219=$QL$2,CM219&gt;24.4,CM219&lt;28.8),"NORMAL",IF(AND(PI219=$QL$2,CM219&gt;28.7,CM219&lt;32.9),"SOBREPESO",IF(AND(PI219=$QL$2,CM219&gt;32.8,CM219&lt;50),"OBESIDAD",""))))</f>
        <v/>
      </c>
      <c r="QM219" s="43" t="str">
        <f t="shared" ref="QM219:QM248" si="1004">IF(AND(PI219=$QM$2,CM219&gt;10,CM219&lt;24.6),"BAJO PESO",IF(AND(PI219=$QM$2,CM219&gt;24.5,CM219&lt;28.9),"NORMAL",IF(AND(PI219=$QM$2,CM219&gt;28.8,CM219&lt;33),"SOBREPESO",IF(AND(PI219=$QM$2,CM219&gt;32.9,CM219&lt;50),"OBESIDAD",""))))</f>
        <v/>
      </c>
      <c r="QN219" s="43" t="str">
        <f t="shared" ref="QN219:QN248" si="1005">IF(AND(PI219=$QN$2,CM219&gt;10,CM219&lt;24.8),"BAJO PESO",IF(AND(PI219=$QN$2,CM219&gt;24.7,CM219&lt;29),"NORMAL",IF(AND(PI219=$QN$2,CM219&gt;28.9,CM219&lt;33.1),"SOBREPESO",IF(AND(PI219=$QN$2,CM219&gt;33,CM219&lt;50),"OBESIDAD",""))))</f>
        <v/>
      </c>
      <c r="QO219" s="43" t="str">
        <f t="shared" ref="QO219:QO248" si="1006">IF(AND(PI219=$QO$2,CM219&gt;10,CM219&lt;25),"BAJO PESO",IF(AND(PI219=$QO$2,CM219&gt;24.9,CM219&lt;29.2),"NORMAL",IF(AND(PI219=$QO$2,CM219&gt;29.1,CM219&lt;33.2),"SOBREPESO",IF(AND(PI219=$QO$2,CM219&gt;33.1,CM219&lt;50),"OBESIDAD",""))))</f>
        <v/>
      </c>
      <c r="QP219" s="43" t="str">
        <f t="shared" ref="QP219:QP248" si="1007">IF(AND(PI219=$QP$2,CM219&gt;10,CM219&lt;25.1),"BAJO PESO",IF(AND(PI219=$QP$2,CM219&gt;25,CM219&lt;29.3),"NORMAL",IF(AND(PI219=$QP$2,CM219&gt;29.2,CM219&lt;33.3),"SOBREPESO",IF(AND(PI219=$QP$2,CM219&gt;33.2,CM219&lt;50),"OBESIDAD",""))))</f>
        <v/>
      </c>
      <c r="QQ219" s="43" t="str">
        <f t="shared" ref="QQ219:QQ248" si="1008">IF(AND(PI219=$QQ$2,CM219&gt;10,CM219&lt;25.1),"BAJO PESO",IF(AND(PI219=$QQ$2,CM219&gt;25,CM219&lt;29.4),"NORMAL",IF(AND(PI219=$QQ$2,CM219&gt;29.3,CM219&lt;33.3),"SOBREPESO",IF(AND(PI219=$QQ$2,CM219&gt;33.2,CM219&lt;50),"OBESIDAD",""))))</f>
        <v/>
      </c>
      <c r="QR219" s="43">
        <f t="shared" ref="QR219:QR248" si="1009">IF(DZ219="","",IF(DZ219&lt;13,"Menor",IF(DZ219&gt;40,"Mayor",DZ219)))</f>
        <v>13</v>
      </c>
      <c r="QS219" s="43"/>
      <c r="QT219" s="21" t="str">
        <f t="shared" ref="QT219:QT248" si="1010">IF(AND(QR219=$QT$2,CP219&gt;1,CP219&lt;8),"BAJO PARA EDAD GESTACIONAL",IF(AND(QR219=$QT$2,CP219&gt;=8,CP219&lt;=12),"ADECUADO PARA EDAD GESTACIONAL",IF(AND(QR219=$QT$2,CP219&gt;12,CP219&lt;38),"ALTO PARA EDAD GESTACIONAL","")))</f>
        <v/>
      </c>
      <c r="QU219" s="21" t="str">
        <f t="shared" ref="QU219:QU248" si="1011">IF(AND(QR219=$QU$2,CP219&gt;1,CP219&lt;8.5),"BAJO PARA EDAD GESTACIONAL",IF(AND(QR219=$QU$2,CP219&gt;=8.5,CP219&lt;=14.5),"ADECUADO PARA EDAD GESTACIONAL",IF(AND(QR219=$QU$2,CP219&gt;14.5,CP219&lt;38),"ALTO PARA EDAD GESTACIONAL","")))</f>
        <v/>
      </c>
      <c r="QV219" s="21" t="str">
        <f t="shared" ref="QV219:QV248" si="1012">IF(AND(QR219=$QV$2,CP219&gt;1,CP219&lt;9.5),"BAJO PARA EDAD GESTACIONAL",IF(AND(QR219=$QV$2,CP219&gt;=9.5,CP219&lt;=15),"ADECUADO PARA EDAD GESTACIONAL",IF(AND(QR219=$QV$2,CP219&gt;15,CP219&lt;38),"ALTO PARA EDAD GESTACIONAL","")))</f>
        <v/>
      </c>
      <c r="QW219" s="21" t="str">
        <f t="shared" ref="QW219:QW248" si="1013">IF(AND(QR219=$QW$2,CP219&gt;1,CP219&lt;11.5),"BAJO PARA EDAD GESTACIONAL",IF(AND(QR219=$QW$2,CP219&gt;=11.5,CP219&lt;=18),"ADECUADO PARA EDAD GESTACIONAL",IF(AND(QR219=$QW$2,CP219&gt;18,CP219&lt;38),"ALTO PARA EDAD GESTACIONAL","")))</f>
        <v/>
      </c>
      <c r="QX219" s="21" t="str">
        <f t="shared" ref="QX219:QX248" si="1014">IF(AND(QR219=$QX$2,CP219&gt;1,CP219&lt;12.5),"BAJO PARA EDAD GESTACIONAL",IF(AND(QR219=$QX$2,CP219&gt;=12.5,CP219&lt;=18),"ADECUADO PARA EDAD GESTACIONAL",IF(AND(QR219=$QX$2,CP219&gt;18,CP219&lt;38),"ALTO PARA EDAD GESTACIONAL","")))</f>
        <v/>
      </c>
      <c r="QY219" s="21" t="str">
        <f t="shared" ref="QY219:QY248" si="1015">IF(AND(QR219=$QY$2,CP219&gt;1,CP219&lt;13.5),"BAJO PARA EDAD GESTACIONAL",IF(AND(QR219=$QY$2,CP219&gt;=13.5,CP219&lt;=19),"ADECUADO PARA EDAD GESTACIONAL",IF(AND(QR219=$QY$2,CP219&gt;19,CP219&lt;38),"ALTO PARA EDAD GESTACIONAL","")))</f>
        <v/>
      </c>
      <c r="QZ219" s="21" t="str">
        <f t="shared" ref="QZ219:QZ248" si="1016">IF(AND(QR219=$QZ$2,CP219&gt;1,CP219&lt;14),"BAJO PARA EDAD GESTACIONAL",IF(AND(QR219=$QZ$2,CP219&gt;=14,CP219&lt;=19.5),"ADECUADO PARA EDAD GESTACIONAL",IF(AND(QR219=$QZ$2,CP219&gt;19.5,CP219&lt;38),"ALTO PARA EDAD GESTACIONAL","")))</f>
        <v/>
      </c>
      <c r="RA219" s="21" t="str">
        <f t="shared" ref="RA219:RA248" si="1017">IF(AND(QR219=$RA$2,CP219&gt;1,CP219&lt;15),"BAJO PARA EDAD GESTACIONAL",IF(AND(QR219=$RA$2,CP219&gt;=15,CP219&lt;=21),"ADECUADO PARA EDAD GESTACIONAL",IF(AND(QR219=$RA$2,CP219&gt;21,CP219&lt;38),"ALTO PARA EDAD GESTACIONAL","")))</f>
        <v/>
      </c>
      <c r="RB219" s="21" t="str">
        <f t="shared" ref="RB219:RB248" si="1018">IF(AND(QR219=$RB$2,CP219&gt;1,CP219&lt;15.5),"BAJO PARA EDAD GESTACIONAL",IF(AND(QR219=$RB$2,CP219&gt;=15.5,CP219&lt;=21.5),"ADECUADO PARA EDAD GESTACIONAL",IF(AND(QR219=$RB$2,CP219&gt;21.5,CP219&lt;38),"ALTO PARA EDAD GESTACIONAL","")))</f>
        <v/>
      </c>
      <c r="RC219" s="21" t="str">
        <f t="shared" ref="RC219:RC248" si="1019">IF(AND(QR219=$RC$2,CP219&gt;1,CP219&lt;16.5),"BAJO PARA EDAD GESTACIONAL",IF(AND(QR219=$RC$2,CP219&gt;=16.5,CP219&lt;=22.5),"ADECUADO PARA EDAD GESTACIONAL",IF(AND(QR219=$RC$2,CP219&gt;22.5,CP219&lt;38),"ALTO PARA EDAD GESTACIONAL","")))</f>
        <v/>
      </c>
      <c r="RD219" s="21" t="str">
        <f t="shared" ref="RD219:RD248" si="1020">IF(AND(QR219=$RD$2,CP219&gt;1,CP219&lt;17.5),"BAJO PARA EDAD GESTACIONAL",IF(AND(QR219=$RD$2,CP219&gt;=17.5,CP219&lt;=23),"ADECUADO PARA EDAD GESTACIONAL",IF(AND(QR219=$RD$2,CP219&gt;23,CP219&lt;38),"ALTO PARA EDAD GESTACIONAL","")))</f>
        <v/>
      </c>
      <c r="RE219" s="21" t="str">
        <f t="shared" ref="RE219:RE248" si="1021">IF(AND(QR219=$RE$2,CP219&gt;1,CP219&lt;18.5),"BAJO PARA EDAD GESTACIONAL",IF(AND(QR219=$RE$2,CP219&gt;=18.5,CP219&lt;=24),"ADECUADO PARA EDAD GESTACIONAL",IF(AND(QR219=$RE$2,CP219&gt;24,CP219&lt;38),"ALTO PARA EDAD GESTACIONAL","")))</f>
        <v/>
      </c>
      <c r="RF219" s="21" t="str">
        <f t="shared" ref="RF219:RF248" si="1022">IF(AND(QR219=$RF$2,CP219&gt;1,CP219&lt;19.5),"BAJO PARA EDAD GESTACIONAL",IF(AND(QR219=$RF$2,CP219&gt;=19.5,CP219&lt;=25),"ADECUADO PARA EDAD GESTACIONAL",IF(AND(QR219=$RF$2,CP219&gt;25,CP219&lt;38),"ALTO PARA EDAD GESTACIONAL","")))</f>
        <v/>
      </c>
      <c r="RG219" s="21" t="str">
        <f t="shared" ref="RG219:RG248" si="1023">IF(AND(QR219=$RG$2,CP219&gt;1,CP219&lt;20),"BAJO PARA EDAD GESTACIONAL",IF(AND(QR219=$RG$2,CP219&gt;=20,CP219&lt;=25.5),"ADECUADO PARA EDAD GESTACIONAL",IF(AND(QR219=$RG$2,CP219&gt;25.5,CP219&lt;38),"ALTO PARA EDAD GESTACIONAL","")))</f>
        <v/>
      </c>
      <c r="RH219" s="21" t="str">
        <f t="shared" ref="RH219:RH248" si="1024">IF(AND(QR219=$RH$2,CP219&gt;1,CP219&lt;20.5),"BAJO PARA EDAD GESTACIONAL",IF(AND(QR219=$RH$2,CP219&gt;=20.5,CP219&lt;=26.5),"ADECUADO PARA EDAD GESTACIONAL",IF(AND(QR219=$RH$2,CP219&gt;26.5,CP219&lt;38),"ALTO PARA EDAD GESTACIONAL","")))</f>
        <v/>
      </c>
      <c r="RI219" s="21" t="str">
        <f t="shared" ref="RI219:RI248" si="1025">IF(AND(QR219=$RI$2,CP219&gt;1,CP219&lt;21),"BAJO PARA EDAD GESTACIONAL",IF(AND(QR219=$RI$2,CP219&gt;=21,CP219&lt;=27),"ADECUADO PARA EDAD GESTACIONAL",IF(AND(QR219=$RI$2,CP219&gt;27,CP219&lt;38),"ALTO PARA EDAD GESTACIONAL","")))</f>
        <v/>
      </c>
      <c r="RJ219" s="21" t="str">
        <f t="shared" ref="RJ219:RJ248" si="1026">IF(AND(QR219=$RJ$2,CP219&gt;1,CP219&lt;22.5),"BAJO PARA EDAD GESTACIONAL",IF(AND(QR219=$RJ$2,CP219&gt;=22.5,CP219&lt;=28),"ADECUADO PARA EDAD GESTACIONAL",IF(AND(QR219=$RJ$2,CP219&gt;28,CP219&lt;38),"ALTO PARA EDAD GESTACIONAL","")))</f>
        <v/>
      </c>
      <c r="RK219" s="21" t="str">
        <f t="shared" ref="RK219:RK248" si="1027">IF(AND(QR219=$RK$2,CP219&gt;1,CP219&lt;23.5),"BAJO PARA EDAD GESTACIONAL",IF(AND(QR219=$RK$2,CP219&gt;=23.5,CP219&lt;=29),"ADECUADO PARA EDAD GESTACIONAL",IF(AND(QR219=$RK$2,CP219&gt;29,CP219&lt;38),"ALTO PARA EDAD GESTACIONAL","")))</f>
        <v/>
      </c>
      <c r="RL219" s="21" t="str">
        <f t="shared" ref="RL219:RL248" si="1028">IF(AND(QR219=$RL$2,CP219&gt;1,CP219&lt;24),"BAJO PARA EDAD GESTACIONAL",IF(AND(QR219=$RL$2,CP219&gt;=24,CP219&lt;=29.5),"ADECUADO PARA EDAD GESTACIONAL",IF(AND(QR219=$RL$2,CP219&gt;29.5,CP219&lt;38),"ALTO PARA EDAD GESTACIONAL","")))</f>
        <v/>
      </c>
      <c r="RM219" s="21" t="str">
        <f t="shared" ref="RM219:RM248" si="1029">IF(AND(QR219=$RM$2,CP219&gt;1,CP219&lt;25),"BAJO PARA EDAD GESTACIONAL",IF(AND(QR219=$RM$2,CP219&gt;=25,CP219&lt;=30),"ADECUADO PARA EDAD GESTACIONAL",IF(AND(QR219=$RM$2,CP219&gt;30,CP219&lt;38),"ALTO PARA EDAD GESTACIONAL","")))</f>
        <v/>
      </c>
      <c r="RN219" s="21" t="str">
        <f t="shared" ref="RN219:RN248" si="1030">IF(AND(QR219=$RN$2,CP219&gt;1,CP219&lt;25.5),"BAJO PARA EDAD GESTACIONAL",IF(AND(QR219=$RN$2,CP219&gt;=25.5,CP219&lt;=31),"ADECUADO PARA EDAD GESTACIONAL",IF(AND(QR219=$RN$2,CP219&gt;31,CP219&lt;38),"ALTO PARA EDAD GESTACIONAL","")))</f>
        <v/>
      </c>
      <c r="RO219" s="21" t="str">
        <f t="shared" ref="RO219:RO248" si="1031">IF(AND(QR219=$RO$2,CP219&gt;1,CP219&lt;26),"BAJO PARA EDAD GESTACIONAL",IF(AND(QR219=$RO$2,CP219&gt;=26,CP219&lt;=32),"ADECUADO PARA EDAD GESTACIONAL",IF(AND(QR219=$RO$2,CP219&gt;32,CP219&lt;38),"ALTO PARA EDAD GESTACIONAL","")))</f>
        <v/>
      </c>
      <c r="RP219" s="21" t="str">
        <f t="shared" ref="RP219:RP248" si="1032">IF(AND(QR219=$RP$2,CP219&gt;1,CP219&lt;26.5),"BAJO PARA EDAD GESTACIONAL",IF(AND(QR219=$RP$2,CP219&gt;=26.5,CP219&lt;=33),"ADECUADO PARA EDAD GESTACIONAL",IF(AND(QR219=$RP$2,CP219&gt;33,CP219&lt;38),"ALTO PARA EDAD GESTACIONAL","")))</f>
        <v/>
      </c>
      <c r="RQ219" s="21" t="str">
        <f t="shared" ref="RQ219:RQ248" si="1033">IF(AND(QR219=$RQ$2,CP219&gt;1,CP219&lt;28),"BAJO PARA EDAD GESTACIONAL",IF(AND(QR219=$RQ$2,CP219&gt;=28,CP219&lt;=33),"ADECUADO PARA EDAD GESTACIONAL",IF(AND(QR219=$RQ$2,CP219&gt;33,CP219&lt;38),"ALTO PARA EDAD GESTACIONAL","")))</f>
        <v/>
      </c>
      <c r="RR219" s="21" t="str">
        <f t="shared" ref="RR219:RR248" si="1034">IF(AND(QR219=$RR$2,CP219&gt;1,CP219&lt;28.5),"BAJO PARA EDAD GESTACIONAL",IF(AND(QR219=$RR$2,CP219&gt;=28.5,CP219&lt;=34),"ADECUADO PARA EDAD GESTACIONAL",IF(AND(QR219=$RR$2,CP219&gt;34,CP219&lt;38),"ALTO PARA EDAD GESTACIONAL","")))</f>
        <v/>
      </c>
      <c r="RS219" s="21" t="str">
        <f t="shared" ref="RS219:RS248" si="1035">IF(AND(QR219=$RS$2,CP219&gt;1,CP219&lt;29.5),"BAJO PARA EDAD GESTACIONAL",IF(AND(QR219=$RS$2,CP219&gt;=29.5,CP219&lt;=34),"ADECUADO PARA EDAD GESTACIONAL",IF(AND(QR219=$RS$2,CP219&gt;34,CP219&lt;38),"ALTO PARA EDAD GESTACIONAL","")))</f>
        <v/>
      </c>
      <c r="RT219" s="21" t="str">
        <f t="shared" ref="RT219:RT248" si="1036">IF(AND(QR219=$RT$2,CP219&gt;1,CP219&lt;30.5),"BAJO PARA EDAD GESTACIONAL",IF(AND(QR219=$RT$2,CP219&gt;=30.5,CP219&lt;=34),"ADECUADO PARA EDAD GESTACIONAL",IF(AND(QR219=$RT$2,CP219&gt;34,CP219&lt;38),"ALTO PARA EDAD GESTACIONAL","")))</f>
        <v/>
      </c>
      <c r="RU219" s="21" t="str">
        <f t="shared" ref="RU219:RU248" si="1037">IF(AND(QR219=$RU$2,CP219&gt;1,CP219&lt;31),"BAJO PARA EDAD GESTACIONAL",IF(AND(QR219=$RU$2,CP219&gt;=31,CP219&lt;=34.5),"ADECUADO PARA EDAD GESTACIONAL",IF(AND(QR219=$RU$2,CP219&gt;34.5,CP219&lt;38),"ALTO PARA EDAD GESTACIONAL","")))</f>
        <v/>
      </c>
      <c r="RV219" s="21">
        <f t="shared" ref="RV219:RV248" si="1038">IF(AND(R219="",HQ219=""),"",IF(SUM((HQ219-RW219)/7)&gt;43.1,"",IF(SUM((HQ219-RW219)/7)&lt;0,-1,SUM((HQ219-RW219)/7))))</f>
        <v>-1</v>
      </c>
      <c r="RW219" s="284">
        <f>IF(OR(Tabla1[[#This Row],[FUM FORMULA CONFIABLE]]="",Tabla1[[#This Row],[FUM FORMULA CONFIABLE]]="SD"),"",IF(Tabla1[[#This Row],[FUM FORMULA CONFIABLE]]="CORREGIDA",Tabla1[[#This Row],[FUM X ECO 1]],Tabla1[[#This Row],[FUM x AMENORREA]]))</f>
        <v>45069</v>
      </c>
      <c r="RX219" s="21">
        <f>IF(AND(Tabla1[[#This Row],[FUM X ECO 1]]="",Tabla1[[#This Row],[FUM x AMENORREA]]=""),"",IF(AND(Tabla1[[#This Row],[FUM X ECO 1]]="",Tabla1[[#This Row],[FUM x AMENORREA]]&lt;&gt;""),"X",SUM(Tabla1[[#This Row],[FUM X ECO 1]]-Tabla1[[#This Row],[FUM x AMENORREA]])))</f>
        <v>1.5999999999985448</v>
      </c>
      <c r="RY219" s="21">
        <f t="shared" ref="RY219:RY248" si="1039">IF(RX219="","",IF(RX219="x","x",IF(OR(RX219&gt;6,RX219&lt;-7),1,0)))</f>
        <v>0</v>
      </c>
    </row>
    <row r="220" spans="1:493" ht="45" customHeight="1" x14ac:dyDescent="0.25">
      <c r="A220" s="109"/>
      <c r="B220" s="43"/>
      <c r="C220" s="43" t="s">
        <v>845</v>
      </c>
      <c r="D220" s="124"/>
      <c r="E220" s="43" t="s">
        <v>1590</v>
      </c>
      <c r="F220" s="43" t="s">
        <v>874</v>
      </c>
      <c r="G220" s="43" t="s">
        <v>1591</v>
      </c>
      <c r="H220" s="43"/>
      <c r="I220" s="109" t="s">
        <v>851</v>
      </c>
      <c r="J220" s="289" t="s">
        <v>1589</v>
      </c>
      <c r="K220" s="43" t="s">
        <v>852</v>
      </c>
      <c r="L220" s="175" t="s">
        <v>1509</v>
      </c>
      <c r="M220" s="22">
        <v>31563</v>
      </c>
      <c r="N220" s="213">
        <f t="shared" ca="1" si="839"/>
        <v>37.452054794520549</v>
      </c>
      <c r="O220" s="22">
        <v>45132</v>
      </c>
      <c r="P220" s="214" t="str">
        <f t="shared" si="916"/>
        <v>SI</v>
      </c>
      <c r="Q220" s="26" t="s">
        <v>855</v>
      </c>
      <c r="R220" s="22">
        <v>45132</v>
      </c>
      <c r="S220" s="21" t="s">
        <v>856</v>
      </c>
      <c r="T220" s="24" t="s">
        <v>690</v>
      </c>
      <c r="U220" s="21" t="s">
        <v>857</v>
      </c>
      <c r="V220" s="21" t="s">
        <v>858</v>
      </c>
      <c r="W220" s="21" t="s">
        <v>1592</v>
      </c>
      <c r="X220" s="21"/>
      <c r="Y220" s="21"/>
      <c r="Z220" s="21">
        <v>3103148016</v>
      </c>
      <c r="AA220" s="21" t="s">
        <v>860</v>
      </c>
      <c r="AB220" s="27" t="s">
        <v>861</v>
      </c>
      <c r="AC220" s="26" t="s">
        <v>877</v>
      </c>
      <c r="AD220" s="38" t="s">
        <v>1546</v>
      </c>
      <c r="AE220" s="26" t="s">
        <v>854</v>
      </c>
      <c r="AF220" s="26" t="s">
        <v>854</v>
      </c>
      <c r="AG220" s="23" t="s">
        <v>864</v>
      </c>
      <c r="AH220" s="23" t="s">
        <v>864</v>
      </c>
      <c r="AI220" s="24" t="s">
        <v>863</v>
      </c>
      <c r="AJ220" s="23" t="s">
        <v>864</v>
      </c>
      <c r="AK220" s="220" t="str">
        <f>IF(AND(AD220="",AE220="",AF220="",AG220="",AH220="",AI220="",AJ220=""),"",IF(OR(Tabla1[[#This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EVALUACIÓN",IF(AND(O220="",R220=""),"",IF(AND(OR(O220&gt;0,R220&gt;0),NG220&gt;=0,NG220&lt;2),"SIN RIESGO",IF(AND(OR(O220&gt;0,R220&gt;0),NG220&gt;=2),"CON RIESGO","ASD")))))</f>
        <v>SIN RIESGO</v>
      </c>
      <c r="AL220" s="23" t="s">
        <v>864</v>
      </c>
      <c r="AM220" s="23" t="s">
        <v>864</v>
      </c>
      <c r="AN220" s="23" t="s">
        <v>864</v>
      </c>
      <c r="AO220" s="23" t="s">
        <v>864</v>
      </c>
      <c r="AP220" s="23" t="s">
        <v>864</v>
      </c>
      <c r="AQ220" s="23" t="s">
        <v>864</v>
      </c>
      <c r="AR220" s="23" t="s">
        <v>864</v>
      </c>
      <c r="AS220" s="21">
        <v>4</v>
      </c>
      <c r="AT220" s="21">
        <v>3</v>
      </c>
      <c r="AU220" s="21">
        <v>1</v>
      </c>
      <c r="AV220" s="26" t="s">
        <v>864</v>
      </c>
      <c r="AW220" s="21">
        <v>0</v>
      </c>
      <c r="AX220" s="26" t="s">
        <v>864</v>
      </c>
      <c r="AY220" s="26" t="s">
        <v>864</v>
      </c>
      <c r="AZ220" s="26" t="s">
        <v>864</v>
      </c>
      <c r="BA220" s="26" t="s">
        <v>864</v>
      </c>
      <c r="BB220" s="26" t="s">
        <v>864</v>
      </c>
      <c r="BC220" s="26" t="s">
        <v>864</v>
      </c>
      <c r="BD220" s="26" t="s">
        <v>864</v>
      </c>
      <c r="BE220" s="26" t="s">
        <v>864</v>
      </c>
      <c r="BF220" s="26" t="s">
        <v>864</v>
      </c>
      <c r="BG220" s="26" t="s">
        <v>864</v>
      </c>
      <c r="BH220" s="26" t="s">
        <v>864</v>
      </c>
      <c r="BI220" s="26" t="s">
        <v>864</v>
      </c>
      <c r="BJ220" s="26" t="s">
        <v>864</v>
      </c>
      <c r="BK220" s="26" t="s">
        <v>864</v>
      </c>
      <c r="BL220" s="26" t="s">
        <v>864</v>
      </c>
      <c r="BM220" s="26" t="s">
        <v>864</v>
      </c>
      <c r="BN220" s="22">
        <v>42526</v>
      </c>
      <c r="BO220" s="22">
        <v>45087</v>
      </c>
      <c r="BP220" s="21" t="s">
        <v>854</v>
      </c>
      <c r="BQ220" s="222">
        <f t="shared" si="840"/>
        <v>85.36666666666666</v>
      </c>
      <c r="BR220" s="223" t="str">
        <f t="shared" si="841"/>
        <v/>
      </c>
      <c r="BS220" s="224">
        <f t="shared" si="842"/>
        <v>6.4285714285714288</v>
      </c>
      <c r="BT220" s="216" t="str">
        <f t="shared" si="843"/>
        <v>I TRIM</v>
      </c>
      <c r="BU220" s="214">
        <f t="shared" ca="1" si="925"/>
        <v>20.857142857142858</v>
      </c>
      <c r="BV220" s="25"/>
      <c r="BW220" s="22"/>
      <c r="BX220" s="28"/>
      <c r="BY220" s="28"/>
      <c r="BZ220" s="22"/>
      <c r="CA220" s="21"/>
      <c r="CB220" s="26"/>
      <c r="CC220" s="26"/>
      <c r="CD220" s="26"/>
      <c r="CE220" s="26"/>
      <c r="CF220" s="22" t="s">
        <v>1517</v>
      </c>
      <c r="CG220" s="21">
        <v>1.51</v>
      </c>
      <c r="CH220" s="21">
        <v>65.900000000000006</v>
      </c>
      <c r="CI220" s="214">
        <f t="shared" si="845"/>
        <v>28.902241129775014</v>
      </c>
      <c r="CJ220" s="225" t="str">
        <f>IF(AND(CI220&lt;10,CH220="SD"),"SIN DATO PESO PREGESTACION O I TRIM",IF(AND(OR(R220&gt;0,O220&gt;0),CI220="X"),"INGRESAR DATO DE PESO",IF(CI220="SD","INGRESAR DATO DE TALLA Y PESO",IF(AND(OR(Tabla1[[#This Row],[MOMENTO EN QUE SE REALIZA EL PESO AL INGRESO A CPN]]="PREGESTACIÓN",NZ220="Menor"),CI220&lt;18.5),"BAJO PESO",IF(AND(OR(Tabla1[[#This Row],[MOMENTO EN QUE SE REALIZA EL PESO AL INGRESO A CPN]]="PREGESTACIÓN",NZ220="Menor"),CI220&lt;25),"NORMAL",IF(AND(OR(Tabla1[[#This Row],[MOMENTO EN QUE SE REALIZA EL PESO AL INGRESO A CPN]]="PREGESTACIÓN",NZ220="Menor"),CI220&lt;30),"SOBREPESO",IF(AND(OR(Tabla1[[#This Row],[MOMENTO EN QUE SE REALIZA EL PESO AL INGRESO A CPN]]="PREGESTACIÓN",NZ220="Menor"),CI220&gt;=30,CI220&lt;50),"OBESIDAD",IF(AND(BS220&gt;0,Tabla1[[#This Row],[MOMENTO EN QUE SE REALIZA EL PESO AL INGRESO A CPN]]="GESTACIÓN"),HLOOKUP(NZ220,$OA$2:PH220,NY220),""))))))))</f>
        <v>SOBREPESO</v>
      </c>
      <c r="CK220" s="212">
        <f t="shared" si="846"/>
        <v>45169</v>
      </c>
      <c r="CL220" s="21">
        <v>65.900000000000006</v>
      </c>
      <c r="CM220" s="214">
        <f t="shared" si="847"/>
        <v>28.902241129775014</v>
      </c>
      <c r="CN220" s="216">
        <f t="shared" si="848"/>
        <v>11</v>
      </c>
      <c r="CO220" s="216" t="e">
        <f>IF(PI220="","",IF(PI220&gt;0,HLOOKUP(PI220,$PJ$2:QQ220,NY220),""))</f>
        <v>#REF!</v>
      </c>
      <c r="CP220" s="21"/>
      <c r="CQ220" s="216" t="str">
        <f>IF(QR220="Menor","NO APLICA-MENOR 13 SEM",IF(AND(CC220="SI",CN220&gt;23),"NO APLICA- GEMELAR",IF(QR220="","",IF(QR220&gt;0,HLOOKUP(QR220,$QS$2:RU220,NY220),""))))</f>
        <v>NO APLICA-MENOR 13 SEM</v>
      </c>
      <c r="CR220" s="21">
        <v>100</v>
      </c>
      <c r="CS220" s="21">
        <v>60</v>
      </c>
      <c r="CT220" s="217" t="str">
        <f>IF(R220="","",IF(AND(BS220&gt;1,BS220&lt;12,Tabla1[[#This Row],[T.A. SISTOLICA - ANTES DE SEMANA 12]]="",Tabla1[[#This Row],[T.A. DIASTOLICA - ANTES DE SEMANA 12]]=""),"REGISTRE DATO TA ANTES SEMANA 12",IF(AND(BS220&gt;11,BS220&lt;43,Tabla1[[#This Row],[T.A. SISTOLICA - ANTES DE SEMANA 12]]="",Tabla1[[#This Row],[T.A. DIASTOLICA - ANTES DE SEMANA 12]]=""),"NO APLICA REGISTRO TA-INGRESO TARDIO",IF(AND(OR(O220&gt;0,R220&gt;0),OR(CR220&gt;=140,CS220&gt;=90)),"DEFINIR ESTADIO HTA",IF(AND(OR(O220&gt;0,R220&gt;0),AND(CR220&gt;120,CR220&lt;=139)),"PRE HTA SEGUIMIENTO",IF(AND(OR(O220&gt;0,R220&gt;0),AND(CS220&gt;80,CS220&lt;=89)),"PRE HTA SEGUIMIENTO",IF(AND(OR(O220&gt;0,R220&gt;0),AND(CR220&gt;=80,CR220&lt;=120)),"APARENTEMENTE NORMAL",IF(AND(OR(O220&gt;0,R220&gt;0),AND(CS220&gt;=50,CS220&lt;=80)),"APARENTEMENTE NORMAL",IF(AND(OR(O220&gt;0,R220&gt;0),AND(CR220&gt;1,CR220&lt;=70),AND(CS220&gt;1,CS220&lt;=40)),"HIPOTENSIÓN","")))))))))</f>
        <v>APARENTEMENTE NORMAL</v>
      </c>
      <c r="CU220" s="21"/>
      <c r="CV220" s="21"/>
      <c r="CW220" s="217" t="str">
        <f ca="1">IF(R220="","",IF(AND(CN220&gt;19,CN220&lt;27,Tabla1[[#This Row],[T.A. SISTOLICA (Entre semana 20 y 26)]]="",Tabla1[[#This Row],[T.A. DIATOLICA (Entre semana 20 y 26)]]=""),"ACUDE A CONTROL SEM 20 A 26 REGISTRE TA AHORA",IF(AND(BS220&gt;1,BS220&lt;27,BU220&gt;19,Tabla1[[#This Row],[T.A. SISTOLICA (Entre semana 20 y 26)]]="",Tabla1[[#This Row],[T.A. DIATOLICA (Entre semana 20 y 26)]]=""),"COMPLETE REGISTRO TA CONTROL SEM 20 A26 ",IF(AND(BS220&gt;26,BS220&lt;43,Tabla1[[#This Row],[T.A. SISTOLICA (Entre semana 20 y 26)]]="",Tabla1[[#This Row],[T.A. DIATOLICA (Entre semana 20 y 26)]]=""),"NO APLICA REGISTRO TA-INGRESO TARDIO",IF(AND(OR(O220&gt;0,R220&gt;0),OR(CU220&gt;=140,CV220&gt;=90)),"ALTO RIESGO PREECLAMPSIA,DEFINIR ESTADIO HTA",IF(AND(OR(O220&gt;0,R220&gt;0),AND(CU220&gt;120,CU220&lt;=139)),"PRE HTA SEGUIMIENTO,RIESGO HIPERTENSION INDUCIDA POR EL EMBARAZO",IF(AND(OR(O220&gt;0,R220&gt;0),AND(CV220&gt;80,CV220&lt;=89)),"PRE HTA SEGUIMIENTO, RIESGO HIPERTENSION INDUCIDA POR EL EMBARAZO",IF(AND(OR(O220&lt;&gt;"",R220&lt;&gt;""),CS220&lt;&gt;"",CV220&lt;&gt;"",CS220&lt;=CV220),"VIGILAR CIFRAS PRESION ARTERIAL",IF(AND(OR(O220&gt;0,R220&gt;0),AND(CU220&gt;120,CU220&lt;=139)),"PRE HTA SEGUIMIENTO",IF(AND(OR(O220&gt;0,R220&gt;0),AND(CU220&gt;1,CU220&lt;=70),AND(CV220&gt;1,CV220&lt;=40)),"HIPOTENSIÓN",IF(AND(OR(O220&lt;&gt;"",R220&lt;&gt;""),CS220&lt;&gt;"",CV220&lt;&gt;"",CS220&gt;CV220),"APARENTEMENTE NORMAL",IF(AND(OR(O220&gt;0,R220&gt;0),AND(CU220&gt;=80,CU220&lt;=120)),"APARENTEMENTE NORMAL",IF(AND(OR(O220&gt;0,R220&gt;0),AND(CV220&gt;=50,CV220&lt;=80)),"APARENTEMENTE NORMAL","")))))))))))))</f>
        <v xml:space="preserve">COMPLETE REGISTRO TA CONTROL SEM 20 A26 </v>
      </c>
      <c r="CX220" s="21"/>
      <c r="CY220" s="21"/>
      <c r="CZ220" s="216" t="str">
        <f>IF(R220="","",IF(AND(CN220&gt;31,CN220&lt;35,CX220="",CY220=""),"ACUDE A CONTROL SEM 30 A 34- REGISTRE AHORA",IF(AND(BS220&gt;34,BS220&lt;43,CX221="",CY221=""),"NO APLICA-INGRESO TARDIO",IF(AND(OR(O220&gt;0,R220&gt;0),OR(CX220&gt;=140,CY220&gt;=90)),"ESTUDIO INMEDIATO HTA PARA DESCARTAR PREECLAMSIA",IF(AND(OR(O220&gt;0,R220&gt;0),AND(CX220&gt;=130,CX220&lt;=139)),"PRE HTA,RIESGO ALTO PREECLAMPSIA",IF(AND(OR(O220&gt;0,R220&gt;0),AND(CY220&gt;80,CY220&lt;=89)),"PRE HTA,RIESGO ALTO PREECLAMPSIA",IF(AND(OR(O220&gt;0,R220&gt;0),AND(CX220&gt;120,CX220&lt;=129)),"RANGO PREHIPERTENSIVO SEGUIMIENTO HTA",IF(AND(OR(O220&lt;&gt;"",R220&lt;&gt;""),CS220&lt;&gt;"",CY220&lt;&gt;"",CS220&lt;CY220),"VIGILAR CIFRAS PRESION ARTERIAL",IF(AND(OR(O220&lt;&gt;"",R220&lt;&gt;""),CS220&lt;&gt;"",CY220&lt;&gt;"",CS220=CY220),"APARENTEMENTE NORMAL",IF(AND(OR(O220&gt;0,R220&gt;0),CX220&gt;=80,CX220&lt;=120),"APARENTEMENTE NORMAL",IF(AND(OR(O220&gt;0,R220&gt;0),CY220&gt;=50,CY220&lt;=80),"APARENTEMENTE NORMAL","")))))))))))</f>
        <v/>
      </c>
      <c r="DA220" s="21">
        <v>100</v>
      </c>
      <c r="DB220" s="21">
        <v>60</v>
      </c>
      <c r="DC220" s="217" t="str">
        <f t="shared" si="849"/>
        <v>APARENTEMENTE NORMAL</v>
      </c>
      <c r="DD220" s="22">
        <v>45132</v>
      </c>
      <c r="DE220" s="22">
        <v>45132</v>
      </c>
      <c r="DF220" s="22">
        <v>45169</v>
      </c>
      <c r="DG220" s="22"/>
      <c r="DH220" s="22"/>
      <c r="DI220" s="22"/>
      <c r="DJ220" s="22"/>
      <c r="DK220" s="22"/>
      <c r="DL220" s="22"/>
      <c r="DM220" s="22"/>
      <c r="DN220" s="22"/>
      <c r="DO220" s="22"/>
      <c r="DP220" s="22"/>
      <c r="DQ220" s="22"/>
      <c r="DR220" s="28"/>
      <c r="DS220" s="22"/>
      <c r="DT220" s="22"/>
      <c r="DU220" s="216" t="str">
        <f t="shared" ca="1" si="917"/>
        <v>EN ESPERA</v>
      </c>
      <c r="DV220" s="226" t="str">
        <f t="shared" si="918"/>
        <v>ACTIVA INGRESO A CPN</v>
      </c>
      <c r="DW22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0" s="216" t="e">
        <f t="shared" ca="1" si="850"/>
        <v>#REF!</v>
      </c>
      <c r="DY220" s="212">
        <f>IF(R220="","",IF(R220&gt;0,MAX(Tabla1[[#This Row],[FECHA C2]:[FECHA C13]],Tabla1[[#This Row],[FECHA CONSULTA PRIMERA VEZ PROGRAMA CPN ]])))</f>
        <v>45169</v>
      </c>
      <c r="DZ220" s="216">
        <f t="shared" si="851"/>
        <v>11</v>
      </c>
      <c r="EA220" s="222">
        <f>IF(R220&gt;0,SUM(COUNTA(DF220:DQ220)+COUNTA(Tabla1[[#This Row],[FECHA CONSULTA PRIMERA VEZ PROGRAMA CPN ]])),"")</f>
        <v>2</v>
      </c>
      <c r="EB220" s="222" t="str">
        <f t="shared" si="852"/>
        <v>NO</v>
      </c>
      <c r="EC220" s="214">
        <f t="shared" si="853"/>
        <v>10</v>
      </c>
      <c r="ED220" s="227">
        <f t="shared" si="854"/>
        <v>0.2</v>
      </c>
      <c r="EE220" s="22">
        <v>45132</v>
      </c>
      <c r="EF220" s="22"/>
      <c r="EG220" s="22">
        <v>45132</v>
      </c>
      <c r="EH220" s="22"/>
      <c r="EI220" s="22">
        <v>45132</v>
      </c>
      <c r="EJ220" s="22"/>
      <c r="EK220" s="22"/>
      <c r="EL220" s="21"/>
      <c r="EM220" s="21">
        <v>13.5</v>
      </c>
      <c r="EN220" s="22">
        <v>45092</v>
      </c>
      <c r="EO220" s="222">
        <f t="shared" si="855"/>
        <v>0.7142857142857143</v>
      </c>
      <c r="EP220" s="214" t="str">
        <f t="shared" si="856"/>
        <v>NORMAL- SUMINISTRAR SULFATO FERROSO</v>
      </c>
      <c r="EQ220" s="216" t="str">
        <f t="shared" si="857"/>
        <v>I TRIM</v>
      </c>
      <c r="ER220" s="24"/>
      <c r="ES220" s="22"/>
      <c r="ET220" s="29" t="str">
        <f t="shared" ca="1" si="919"/>
        <v>EN ESPERA PARA TOMA EXAMEN</v>
      </c>
      <c r="EU220" s="25" t="str">
        <f t="shared" si="858"/>
        <v/>
      </c>
      <c r="EV220" s="24"/>
      <c r="EW220" s="24"/>
      <c r="EX220" s="22"/>
      <c r="EY220" s="29" t="str">
        <f t="shared" ref="EY220:EY248" si="1040">IF(AND(BT220="ERROR FUM O INGRESO",EW220&gt;0),"ERROR FUM O INGRESO",IF(AND(EW220="",R220="",O220=""),"",IF(OR(AND(EW220&lt;&gt;"",EW220&lt;RW220),AND(EW220&lt;&gt;"",SUM((EW220-RW220)/7)&gt;40)),"CORREGIR FECHA RESULTADO",IF(AND(EW220="",OR(O220&gt;0,R220&gt;0)),"TOMAR EXAMEN",IF(EW220&gt;0,SUM(EW220-RW220)/7,"")))))</f>
        <v>TOMAR EXAMEN</v>
      </c>
      <c r="EZ220" s="25" t="str">
        <f t="shared" ref="EZ220:EZ248" ca="1" si="1041">IF(EV220="RH POSITIVO","SIN RIESGO DE ISOINMUNIZACIÓN",IF(AND(EV220="RH NEGATIVO CON COOMBS NEGATIVO",EX220="",BU220&lt;=24),"COOMBS C/MES Y APLICAR RHESUMAN SEM 28",IF(AND(EV220="RH NEGATIVO CON COOMBS NEGATIVO",EX220="",AND(BU220&gt;24,BU220&lt;27)),"FALTAN DE 4 A 2 SEMANAS PARA APLICAR RHESUMAN A SEM 28",IF(AND(EV220="RH NEGATIVO CON COOMBS NEGATIVO",EX220="",AND(BU220&gt;26.99,BU220&lt;27.99)),"FALTAN 1 SEMANAS PARA APLICAR RHESUMAN A SEM 28",IF(AND(EV220="RH NEGATIVO CON COOMBS NEGATIVO",EX220="",AND(BU220&gt;27.99,BU220&lt;29)),"SEMANA 28 APLICAR DE INMEDIATO RHESUMAN",IF(AND(EV220="RH NEGATIVO CON COOMBS NEGATIVO",EX220="",AND(BU220&gt;28.99,BU220&lt;42)),"DEBE APLICAR RHESUMAN, ES NO OPORTUNO &gt; 28 SEMANAS",IF(AND(EV220="RH NEGATIVO CON COOMBS NEGATIVO",EX220&gt;0),SUM(EX220-RW220)/7,IF(EV220="RH NEGATIVO SIN COOMBS","TOMAR COOMBS INMEDIATO PARA DEFINIR MANEJO",IF(EV220="RH NEGATIVO CON COOMBS POSITIVO","TOMAR COOMBS CUANTITATIVO Y REMISIÓN","")))))))))</f>
        <v/>
      </c>
      <c r="FA220" s="21"/>
      <c r="FB220" s="22"/>
      <c r="FC220" s="29" t="str">
        <f t="shared" si="859"/>
        <v>TOMAR EXAMEN</v>
      </c>
      <c r="FD220" s="29"/>
      <c r="FE220" s="29"/>
      <c r="FF220" s="29"/>
      <c r="FG220" s="21" t="str">
        <f t="shared" ca="1" si="860"/>
        <v>PROGRAMAR TOMA PTOG SIGUIENTE CONTROL</v>
      </c>
      <c r="FH220" s="31"/>
      <c r="FI220" s="29" t="str">
        <f t="shared" si="861"/>
        <v>TOMAR EXAMEN</v>
      </c>
      <c r="FJ220" s="22"/>
      <c r="FK220" s="22"/>
      <c r="FL220" s="29" t="str">
        <f t="shared" ca="1" si="862"/>
        <v>PIERDE TOMA DE TAMIZAJE</v>
      </c>
      <c r="FM220" s="22"/>
      <c r="FN220" s="32"/>
      <c r="FO220" s="29" t="str">
        <f t="shared" ca="1" si="920"/>
        <v>EN RANGO PARA TOMAR EXAMEN</v>
      </c>
      <c r="FP220" s="22"/>
      <c r="FQ220" s="32"/>
      <c r="FR220" s="29" t="str">
        <f t="shared" ca="1" si="921"/>
        <v>EN ESPERA-ESTÁ I TRIM O II TRIM</v>
      </c>
      <c r="FS220" s="22"/>
      <c r="FT220" s="32"/>
      <c r="FU220" s="29" t="str">
        <f>IF(AND(FJ220="",FM220="",FP220="",FS220=""),"",IF(OR(OR(Tabla1[[#This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0" s="28"/>
      <c r="FW220" s="22"/>
      <c r="FX220" s="29" t="str">
        <f t="shared" si="863"/>
        <v>TOMAR EXAMEN</v>
      </c>
      <c r="FY220" s="22"/>
      <c r="FZ220" s="22"/>
      <c r="GA220" s="29" t="str">
        <f t="shared" ca="1" si="936"/>
        <v>PIERDE TOMA DE TAMIZAJE</v>
      </c>
      <c r="GB220" s="22"/>
      <c r="GC220" s="22"/>
      <c r="GD220" s="29" t="str">
        <f t="shared" ca="1" si="937"/>
        <v>EN RANGO PARA TOMAR EXAMEN</v>
      </c>
      <c r="GE220" s="22"/>
      <c r="GF220" s="22"/>
      <c r="GG220" s="29" t="str">
        <f t="shared" ca="1" si="923"/>
        <v>EN ESPERA-ESTÁ I TRIM O II TRIM</v>
      </c>
      <c r="GH220" s="22"/>
      <c r="GI220" s="29"/>
      <c r="GJ220" s="22"/>
      <c r="GK220" s="22"/>
      <c r="GL220" s="22"/>
      <c r="GM220" s="22"/>
      <c r="GN220" s="28"/>
      <c r="GO220" s="22"/>
      <c r="GP220" s="29" t="str">
        <f t="shared" si="864"/>
        <v>TOMAR EXAMEN</v>
      </c>
      <c r="GQ220" s="28"/>
      <c r="GR220" s="28"/>
      <c r="GS220" s="22" t="str">
        <f t="shared" si="726"/>
        <v/>
      </c>
      <c r="GT220" s="22"/>
      <c r="GU220" s="29" t="str">
        <f t="shared" si="865"/>
        <v>TOMAR EXAMEN</v>
      </c>
      <c r="GV220" s="21" t="str">
        <f t="shared" si="866"/>
        <v>POR DEFINIR</v>
      </c>
      <c r="GW220" s="28"/>
      <c r="GX220" s="30"/>
      <c r="GY220" s="21"/>
      <c r="GZ220" s="21"/>
      <c r="HA220" s="21"/>
      <c r="HB220" s="21"/>
      <c r="HC220" s="21"/>
      <c r="HD220" s="21"/>
      <c r="HE220" s="21"/>
      <c r="HF220" s="22"/>
      <c r="HG220" s="22" t="str">
        <f>IF(OR(O220&gt;0,R220&gt;0),CONCATENATE(IF(Tabla1[[#This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0" s="22" t="e">
        <f t="shared" si="867"/>
        <v>#REF!</v>
      </c>
      <c r="HI220" s="22" t="e">
        <f t="shared" ca="1" si="868"/>
        <v>#REF!</v>
      </c>
      <c r="HJ220" s="21"/>
      <c r="HK220" s="21" t="str">
        <f t="shared" si="869"/>
        <v>SIN ANTECEDENTES DE RIESGO</v>
      </c>
      <c r="HL220" s="24" t="str">
        <f t="shared" si="870"/>
        <v>APARENTEMENTE NORMAL</v>
      </c>
      <c r="HM220" s="21" t="e">
        <f t="shared" ca="1" si="871"/>
        <v>#REF!</v>
      </c>
      <c r="HN220" s="30" t="str">
        <f t="shared" si="924"/>
        <v>ACTIVA INGRESO A CPN</v>
      </c>
      <c r="HO220" s="21"/>
      <c r="HP220" s="21"/>
      <c r="HQ220" s="349"/>
      <c r="HR220" s="21" t="str">
        <f>IF(R220="","",IF(Tabla1[[#This Row],[ALARMA FACTORES DE RIESGO COMPLICACIONES HIPERTENSIVAS3]]="SIN ANTECEDENTES DE RIESGO","No Aplica para suministro de ASA",IF(AND(Tabla1[[#This Row],[FECHA INICIO DE SUMINISTRO DE ASA]]&gt;0,RV220&lt;12),"Inicia ASA ANTES de Sem 12",IF(AND(RV220&gt;11,RV220&lt;17,OR(HK220="RIESGO ALTO DE COMPLICACIONES HIPERTENSIVAS VER MANEJO GUIA SUMINISTRO ASA Y CALCIO",HK220="RIESGO MODERADO (2 O MAS CRITERIOS) VER MANEJO GUIA SUMINISTRO ASA Y CALCIO")),"Inicio oportuno de ASA",IF(AND(RV220&gt;12,OR(HK220="RIESGO ALTO DE COMPLICACIONES HIPERTENSIVAS VER MANEJO GUIA SUMINISTRO ASA Y CALCIO",HK220="RIESGO MODERADO (2 O MAS CRITERIOS) VER MANEJO GUIA SUMINISTRO ASA Y CALCIO")),"Inicio no oportuno mayor a 16 semanas",IF(AND(BU220&lt;12,OR(HK220="RIESGO ALTO DE COMPLICACIONES HIPERTENSIVAS VER MANEJO GUIA SUMINISTRO ASA Y CALCIO",HK220="RIESGO MODERADO (2 O MAS CRITERIOS) VER MANEJO GUIA SUMINISTRO ASA Y CALCIO")),"Pendiente Inicio de ASA a la semana 12",IF(AND(BU220&gt;11,BU220&lt;17,OR(HK220="RIESGO ALTO DE COMPLICACIONES HIPERTENSIVAS VER MANEJO GUIA SUMINISTRO ASA Y CALCIO",HK220="RIESGO MODERADO (2 O MAS CRITERIOS) VER MANEJO GUIA SUMINISTRO ASA Y CALCIO")),"Iniciar de inmediato ASA",IF(AND(BU220&gt;16,OR(HK220="RIESGO ALTO DE COMPLICACIONES HIPERTENSIVAS VER MANEJO GUIA SUMINISTRO ASA Y CALCIO",HK220="RIESGO MODERADO (2 O MAS CRITERIOS) VER MANEJO GUIA SUMINISTRO ASA Y CALCIO")),"Pierde Oportunidad, Inicio tardío de ASA","XXXXX"))))))))</f>
        <v>No Aplica para suministro de ASA</v>
      </c>
      <c r="HS220" s="22"/>
      <c r="HT220" s="22"/>
      <c r="HU220" s="22"/>
      <c r="HV220" s="22"/>
      <c r="HW220" s="22"/>
      <c r="HX220" s="22"/>
      <c r="HY220" s="22"/>
      <c r="HZ220" s="28" t="str">
        <f t="shared" si="872"/>
        <v>PENDIENTE CONSULTA</v>
      </c>
      <c r="IA220" s="26"/>
      <c r="IB220" s="26"/>
      <c r="IC220" s="111"/>
      <c r="ID220" s="22"/>
      <c r="IE220" s="22" t="str">
        <f t="shared" ca="1" si="873"/>
        <v>PROGRAMAR APLICACION DE VACUNA</v>
      </c>
      <c r="IF220" s="22"/>
      <c r="IG220" s="22">
        <f t="shared" si="874"/>
        <v>45367</v>
      </c>
      <c r="IH220" s="29">
        <f t="shared" ca="1" si="875"/>
        <v>134</v>
      </c>
      <c r="II220" s="22" t="str">
        <f t="shared" ca="1" si="876"/>
        <v>PENDIENTE</v>
      </c>
      <c r="IJ220" s="22"/>
      <c r="IK220" s="21"/>
      <c r="IL220" s="21"/>
      <c r="IM220" s="34"/>
      <c r="IN220" s="22"/>
      <c r="IO220" s="21"/>
      <c r="IP220" s="29" t="str">
        <f t="shared" si="877"/>
        <v/>
      </c>
      <c r="IQ220" s="35"/>
      <c r="IR220" s="21"/>
      <c r="IS220" s="21"/>
      <c r="IT220" s="21"/>
      <c r="IU220" s="21"/>
      <c r="IV220" s="21"/>
      <c r="IW220" s="21"/>
      <c r="IX220" s="21"/>
      <c r="IY220" s="21"/>
      <c r="IZ220" s="21"/>
      <c r="JA220" s="21"/>
      <c r="JB220" s="30"/>
      <c r="JC220" s="21"/>
      <c r="JD220" s="36"/>
      <c r="JE220" s="21" t="str">
        <f t="shared" si="878"/>
        <v/>
      </c>
      <c r="JF220" s="30"/>
      <c r="JG220" s="21"/>
      <c r="JH220" s="21"/>
      <c r="JI220" s="21"/>
      <c r="JJ220" s="30"/>
      <c r="JK220" s="22"/>
      <c r="JL220" s="22"/>
      <c r="JM220" s="21"/>
      <c r="JN220" s="36"/>
      <c r="JO220" s="21" t="str">
        <f t="shared" si="879"/>
        <v/>
      </c>
      <c r="JP220" s="22"/>
      <c r="JQ220" s="21"/>
      <c r="JR220" s="21"/>
      <c r="JS220" s="21"/>
      <c r="JT220" s="30"/>
      <c r="JU220" s="22"/>
      <c r="JV220" s="22"/>
      <c r="JW220" s="33"/>
      <c r="JX220" s="28" t="str">
        <f t="shared" si="880"/>
        <v/>
      </c>
      <c r="JY220" s="33"/>
      <c r="JZ220" s="28" t="str">
        <f t="shared" si="881"/>
        <v/>
      </c>
      <c r="KA220" s="21"/>
      <c r="KB220" s="21"/>
      <c r="KC220" s="21"/>
      <c r="KD220" s="37"/>
      <c r="KE220" s="28"/>
      <c r="KF220" s="28"/>
      <c r="KG220" s="28"/>
      <c r="KH220" s="39"/>
      <c r="KI220" s="39"/>
      <c r="KJ220" s="66"/>
      <c r="KK220" s="39"/>
      <c r="KL220" s="39"/>
      <c r="KM220" s="66"/>
      <c r="KN220" s="39"/>
      <c r="KO220" s="39"/>
      <c r="KP220" s="39"/>
      <c r="KQ220" s="39"/>
      <c r="KR220" s="39"/>
      <c r="KS220" s="39"/>
      <c r="KT220" s="39"/>
      <c r="KU220" s="38"/>
      <c r="KV220" s="38"/>
      <c r="KW220" s="38"/>
      <c r="KX220" s="38"/>
      <c r="KY220" s="38"/>
      <c r="KZ220" s="38"/>
      <c r="LA220" s="38"/>
      <c r="LB220" s="38"/>
      <c r="LC220" s="38"/>
      <c r="LD220" s="38"/>
      <c r="LE220" s="38"/>
      <c r="LF220" s="38"/>
      <c r="LG220" s="38"/>
      <c r="LH220" s="38"/>
      <c r="LI220" s="38"/>
      <c r="LJ220" s="38"/>
      <c r="LK220" s="38"/>
      <c r="LL220" s="38"/>
      <c r="LM220" s="38"/>
      <c r="LN220" s="38"/>
      <c r="LO220" s="38"/>
      <c r="LP220" s="38"/>
      <c r="LQ220" s="38"/>
      <c r="LR220" s="38"/>
      <c r="LS220" s="38"/>
      <c r="LT220" s="38"/>
      <c r="LU220" s="38"/>
      <c r="LV220" s="38"/>
      <c r="LW220" s="38"/>
      <c r="LX220" s="38"/>
      <c r="LY220" s="38"/>
      <c r="LZ220" s="38"/>
      <c r="MA220" s="38"/>
      <c r="MB220" s="38"/>
      <c r="MC220" s="38"/>
      <c r="MD220" s="38"/>
      <c r="ME220" s="38"/>
      <c r="MF220" s="38"/>
      <c r="MG220" s="38"/>
      <c r="MH220" s="43">
        <f t="shared" si="882"/>
        <v>0</v>
      </c>
      <c r="MI220" s="43" t="str">
        <f t="shared" si="926"/>
        <v/>
      </c>
      <c r="MJ220" s="43" t="str">
        <f t="shared" si="884"/>
        <v/>
      </c>
      <c r="MK220" s="43">
        <f t="shared" si="885"/>
        <v>0</v>
      </c>
      <c r="ML22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0" s="43">
        <f t="shared" si="927"/>
        <v>6.4285714285714288</v>
      </c>
      <c r="MN220" s="43">
        <f t="shared" si="928"/>
        <v>7</v>
      </c>
      <c r="MO220" s="43">
        <f t="shared" si="929"/>
        <v>2023</v>
      </c>
      <c r="MP220" s="43" t="str">
        <f t="shared" si="889"/>
        <v>III TRIMESTRE AÑO</v>
      </c>
      <c r="MQ220" s="43">
        <f t="shared" si="930"/>
        <v>36.61574682435392</v>
      </c>
      <c r="MR220" s="43">
        <f t="shared" si="891"/>
        <v>2</v>
      </c>
      <c r="MS220" s="43" t="str">
        <f t="shared" si="892"/>
        <v xml:space="preserve"> DE 35 A 39 AÑOS</v>
      </c>
      <c r="MT220" s="43">
        <f t="shared" si="893"/>
        <v>0</v>
      </c>
      <c r="MU220" s="43">
        <f t="shared" si="894"/>
        <v>0</v>
      </c>
      <c r="MV220" s="43">
        <f t="shared" si="895"/>
        <v>0</v>
      </c>
      <c r="MW220" s="43">
        <f t="shared" si="896"/>
        <v>0</v>
      </c>
      <c r="MX220" s="43" t="str">
        <f t="shared" si="897"/>
        <v/>
      </c>
      <c r="MY220" s="43" t="str">
        <f t="shared" ca="1" si="898"/>
        <v/>
      </c>
      <c r="MZ220" s="43" t="str">
        <f t="shared" si="899"/>
        <v/>
      </c>
      <c r="NA220" s="43" t="str">
        <f t="shared" si="900"/>
        <v/>
      </c>
      <c r="NB220" s="43" t="str">
        <f t="shared" si="901"/>
        <v/>
      </c>
      <c r="NC220" s="43" t="str">
        <f t="shared" si="902"/>
        <v/>
      </c>
      <c r="ND220" s="43">
        <f t="shared" ca="1" si="931"/>
        <v>2</v>
      </c>
      <c r="NE220" s="43">
        <f>IF(OR(O220&gt;0,R220&gt;0),SUM(COUNTIF(Tabla1[[#This Row],[AÑOS AL INICIO5 CPN]],"&gt;=40"),COUNTIF(AS220,"0"),COUNTIF(AR220,"SI"),COUNTIF(CC220,"SI"),COUNTIF(BQ220,"&gt;119"),COUNTIF(CI220,"&gt;=35")),"")</f>
        <v>0</v>
      </c>
      <c r="NF220" s="43" t="str">
        <f t="shared" si="932"/>
        <v/>
      </c>
      <c r="NG220" s="43">
        <f t="shared" si="905"/>
        <v>0</v>
      </c>
      <c r="NH220" s="43" t="str">
        <f t="shared" si="906"/>
        <v/>
      </c>
      <c r="NI22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CPN",P220="NO"),"Z",IF(AND(Tabla1[[#This Row],[CITA PROXIMO CONTROL]]="CITA MANUAL",Tabla1[[#This Row],[GESTANTES ACTUALES]]="ACTIVA INGRESO A CPN"),"W",IF(AND(Tabla1[[#This Row],[GESTANTES ACTUALES]]="SALIO PROGRAMA",IN220=""),"S",IF(AND(Tabla1[[#This Row],[CITA PROXIMO CONTROL]]&gt;0,IN220=""),(Tabla1[[#This Row],[CITA PROXIMO CONTROL]]-TODAY()),"SD"))))))))</f>
        <v>#REF!</v>
      </c>
      <c r="NJ220" s="43">
        <f>MONTH(Tabla1[[#This Row],[FECHA DE SALIDA  DEL PROGRAMA]])</f>
        <v>1</v>
      </c>
      <c r="NK220" s="43">
        <f>YEAR(Tabla1[[#This Row],[FECHA DE SALIDA  DEL PROGRAMA]])</f>
        <v>1900</v>
      </c>
      <c r="NL220" s="43" t="str">
        <f t="shared" si="933"/>
        <v>X</v>
      </c>
      <c r="NM220" s="43" t="str">
        <f t="shared" si="938"/>
        <v>NO</v>
      </c>
      <c r="NN220" s="43" t="str">
        <f ca="1">IF(AND(O220&gt;0,R220=""),"NO CPN",IF(AND(O220="",R220=""),"",IF(AND(R220&gt;0,Tabla1[[#This Row],[SEMANAS DE GESTACION ACTUALIZADAS]]&lt;=12),"NO APLICA",IF(AND(FH220&lt;&gt;"",FN220&lt;&gt;""),"SI","NO"))))</f>
        <v>NO</v>
      </c>
      <c r="NO220" s="43" t="str">
        <f ca="1">IF(AND(O220&gt;0,R220=""),"NO CPN",IF(AND(O220="",R220=""),"",IF(AND(R220&gt;0,Tabla1[[#This Row],[SEMANAS DE GESTACION ACTUALIZADAS]]&lt;=27),"NO APLICA",IF(AND(ES220&lt;&gt;"",FQ220&lt;&gt;"",GF220&lt;&gt;""),"SI","NO"))))</f>
        <v>NO APLICA</v>
      </c>
      <c r="NP220" s="204" t="str">
        <f t="shared" si="909"/>
        <v>I TRIM</v>
      </c>
      <c r="NQ220" s="21" t="str">
        <f>IF(AND(IP221&gt;0,IP221&lt;37),10,IF(OR(CD221="Transversa",CD221="Oblicua"),9,IF(CC221="SI",8,IF(AND(AT221=0,AW221=0,CC221="NO",CD221="Cefálica",IP221&gt;=37,IT221="INICIO ESPONTÁNEO"),1,IF(AND(AND(AT221=0,AW221=0,CC221="NO",CD221="Cefálica",IP221&gt;=37),OR(IT221="LE HACEN INDUCCIÓN",IT221="LE HACEN CESÁREA SIN INICIO TRABAJO DE PARTO")),2,IF(AND(AT221&gt;=1,AW221=0,CC221="NO",CD221="Cefálica",IP221&gt;=37,IT221="INICIO ESPONTÁNEO"),3,IF(AND(AND(AT221&gt;=1,AW221=0,CC221="NO",CD221="Cefálica",IP221&gt;=37),OR(IT221="LE HACEN INDUCCIÓN",IT221="LE HACEN CESÁREA SIN INICIO TRABAJO DE PARTO")),4,IF(AND(AND(AT221&gt;=1,AW221&gt;=1,CC221="NO",CD221="Cefálica",IP221&gt;=37),OR(IT221="LE HACEN INDUCCIÓN",IT221="LE HACEN CESÁREA SIN INICIO TRABAJO DE PARTO",IT221="INICIO ESPONTÁNEO")),5,IF(AND(AND(AT221=0,AW221=0,CC221="NO",CD221="Podálica",IP221&gt;=1),OR(IT221="LE HACEN INDUCCIÓN",IT221="LE HACEN CESÁREA SIN INICIO TRABAJO DE PARTO",IT221="INICIO ESPONTÁNEO")),6,IF(AND(AND(AT221&gt;=1,CC221="NO",CD221="Podálica",IP221&gt;=1),OR(IT221="LE HACEN INDUCCIÓN",IT221="LE HACEN CESÁREA SIN INICIO TRABAJO DE PARTO",IT221="INICIO ESPONTÁNEO"),OR(AW221=0,AW221&gt;=1)),7,""))))))))))</f>
        <v/>
      </c>
      <c r="NR220" s="21">
        <f t="shared" ca="1" si="934"/>
        <v>2</v>
      </c>
      <c r="NS220" s="205">
        <f t="shared" ca="1" si="911"/>
        <v>0</v>
      </c>
      <c r="NT220" s="21">
        <f t="shared" ca="1" si="912"/>
        <v>0</v>
      </c>
      <c r="NU220" s="21" t="str">
        <f t="shared" ca="1" si="913"/>
        <v>INCOMPLETO</v>
      </c>
      <c r="NV220" s="21" t="str">
        <f t="shared" ca="1" si="914"/>
        <v>INCOMPLETO</v>
      </c>
      <c r="NW220" s="206" t="str">
        <f>IF(AND(O220="",R220=""),"",IF(OR(AND(Tabla1[[#This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0" s="207" t="str">
        <f t="shared" ca="1" si="935"/>
        <v>SIN VACUNAR</v>
      </c>
      <c r="NY220" s="43">
        <f>ROW(Tabla1[[#This Row],['# DE TAMIZAJES SIFILIS TOMADOS ]])</f>
        <v>220</v>
      </c>
      <c r="NZ220" s="43" t="str">
        <f t="shared" si="939"/>
        <v>Menor</v>
      </c>
      <c r="OA220" s="43" t="str">
        <f t="shared" si="940"/>
        <v>SOBREPESO</v>
      </c>
      <c r="OB220" s="43" t="str">
        <f t="shared" si="941"/>
        <v/>
      </c>
      <c r="OC220" s="43" t="str">
        <f t="shared" si="942"/>
        <v/>
      </c>
      <c r="OD220" s="43" t="str">
        <f t="shared" si="943"/>
        <v/>
      </c>
      <c r="OE220" s="43" t="str">
        <f t="shared" si="944"/>
        <v/>
      </c>
      <c r="OF220" s="43" t="str">
        <f t="shared" si="945"/>
        <v/>
      </c>
      <c r="OG220" s="43" t="str">
        <f t="shared" si="946"/>
        <v/>
      </c>
      <c r="OH220" s="43" t="str">
        <f t="shared" si="947"/>
        <v/>
      </c>
      <c r="OI220" s="43" t="str">
        <f t="shared" si="948"/>
        <v/>
      </c>
      <c r="OJ220" s="43" t="str">
        <f t="shared" si="949"/>
        <v/>
      </c>
      <c r="OK220" s="43" t="str">
        <f t="shared" si="950"/>
        <v/>
      </c>
      <c r="OL220" s="43" t="str">
        <f t="shared" si="951"/>
        <v/>
      </c>
      <c r="OM220" s="43" t="str">
        <f t="shared" si="952"/>
        <v/>
      </c>
      <c r="ON220" s="43" t="str">
        <f t="shared" si="953"/>
        <v/>
      </c>
      <c r="OO220" s="43" t="str">
        <f t="shared" si="954"/>
        <v/>
      </c>
      <c r="OP220" s="43" t="str">
        <f t="shared" si="955"/>
        <v/>
      </c>
      <c r="OQ220" s="43" t="str">
        <f t="shared" si="956"/>
        <v/>
      </c>
      <c r="OR220" s="43" t="str">
        <f t="shared" si="957"/>
        <v/>
      </c>
      <c r="OS220" s="43" t="str">
        <f t="shared" si="958"/>
        <v/>
      </c>
      <c r="OT220" s="43" t="str">
        <f t="shared" si="959"/>
        <v/>
      </c>
      <c r="OU220" s="43" t="str">
        <f t="shared" si="960"/>
        <v/>
      </c>
      <c r="OV220" s="110" t="str">
        <f t="shared" si="961"/>
        <v/>
      </c>
      <c r="OW220" s="43" t="str">
        <f t="shared" si="962"/>
        <v/>
      </c>
      <c r="OX220" s="43" t="str">
        <f t="shared" si="963"/>
        <v/>
      </c>
      <c r="OY220" s="43" t="str">
        <f t="shared" si="964"/>
        <v/>
      </c>
      <c r="OZ220" s="43" t="str">
        <f t="shared" si="965"/>
        <v/>
      </c>
      <c r="PA220" s="43" t="str">
        <f t="shared" si="966"/>
        <v/>
      </c>
      <c r="PB220" s="43" t="str">
        <f t="shared" si="967"/>
        <v/>
      </c>
      <c r="PC220" s="43" t="str">
        <f t="shared" si="968"/>
        <v/>
      </c>
      <c r="PD220" s="43" t="str">
        <f t="shared" si="969"/>
        <v/>
      </c>
      <c r="PE220" s="43" t="str">
        <f t="shared" si="970"/>
        <v/>
      </c>
      <c r="PF220" s="43" t="str">
        <f t="shared" si="971"/>
        <v/>
      </c>
      <c r="PG220" s="43" t="str">
        <f t="shared" si="972"/>
        <v/>
      </c>
      <c r="PH220" s="43" t="str">
        <f t="shared" si="973"/>
        <v/>
      </c>
      <c r="PI220" s="43">
        <f t="shared" si="974"/>
        <v>11</v>
      </c>
      <c r="PJ220" s="43" t="str">
        <f t="shared" si="975"/>
        <v/>
      </c>
      <c r="PK220" s="43" t="str">
        <f t="shared" si="976"/>
        <v/>
      </c>
      <c r="PL220" s="43" t="str">
        <f t="shared" si="977"/>
        <v>SOBREPESO</v>
      </c>
      <c r="PM220" s="43" t="str">
        <f t="shared" si="978"/>
        <v/>
      </c>
      <c r="PN220" s="43" t="str">
        <f t="shared" si="979"/>
        <v/>
      </c>
      <c r="PO220" s="43" t="str">
        <f t="shared" si="980"/>
        <v/>
      </c>
      <c r="PP220" s="43" t="str">
        <f t="shared" si="981"/>
        <v/>
      </c>
      <c r="PQ220" s="43" t="str">
        <f t="shared" si="982"/>
        <v/>
      </c>
      <c r="PR220" s="43" t="str">
        <f t="shared" si="983"/>
        <v/>
      </c>
      <c r="PS220" s="43" t="str">
        <f t="shared" si="984"/>
        <v/>
      </c>
      <c r="PT220" s="43" t="str">
        <f t="shared" si="985"/>
        <v/>
      </c>
      <c r="PU220" s="43" t="str">
        <f t="shared" si="986"/>
        <v/>
      </c>
      <c r="PV220" s="43" t="str">
        <f t="shared" si="987"/>
        <v/>
      </c>
      <c r="PW220" s="43" t="str">
        <f t="shared" si="988"/>
        <v/>
      </c>
      <c r="PX220" s="43" t="str">
        <f t="shared" si="989"/>
        <v/>
      </c>
      <c r="PY220" s="43" t="str">
        <f t="shared" si="990"/>
        <v/>
      </c>
      <c r="PZ220" s="43" t="str">
        <f t="shared" si="991"/>
        <v/>
      </c>
      <c r="QA220" s="43" t="str">
        <f t="shared" si="992"/>
        <v/>
      </c>
      <c r="QB220" s="43" t="str">
        <f t="shared" si="993"/>
        <v/>
      </c>
      <c r="QC220" s="43" t="str">
        <f t="shared" si="994"/>
        <v/>
      </c>
      <c r="QD220" s="43" t="str">
        <f t="shared" si="995"/>
        <v/>
      </c>
      <c r="QE220" s="43" t="str">
        <f t="shared" si="996"/>
        <v/>
      </c>
      <c r="QF220" s="43" t="str">
        <f t="shared" si="997"/>
        <v/>
      </c>
      <c r="QG220" s="43" t="str">
        <f t="shared" si="998"/>
        <v/>
      </c>
      <c r="QH220" s="43" t="str">
        <f t="shared" si="999"/>
        <v/>
      </c>
      <c r="QI220" s="43" t="str">
        <f t="shared" si="1000"/>
        <v/>
      </c>
      <c r="QJ220" s="43" t="str">
        <f t="shared" si="1001"/>
        <v/>
      </c>
      <c r="QK220" s="43" t="str">
        <f t="shared" si="1002"/>
        <v/>
      </c>
      <c r="QL220" s="43" t="str">
        <f t="shared" si="1003"/>
        <v/>
      </c>
      <c r="QM220" s="43" t="str">
        <f t="shared" si="1004"/>
        <v/>
      </c>
      <c r="QN220" s="43" t="str">
        <f t="shared" si="1005"/>
        <v/>
      </c>
      <c r="QO220" s="43" t="str">
        <f t="shared" si="1006"/>
        <v/>
      </c>
      <c r="QP220" s="43" t="str">
        <f t="shared" si="1007"/>
        <v/>
      </c>
      <c r="QQ220" s="43" t="str">
        <f t="shared" si="1008"/>
        <v/>
      </c>
      <c r="QR220" s="43" t="str">
        <f t="shared" si="1009"/>
        <v>Menor</v>
      </c>
      <c r="QS220" s="43"/>
      <c r="QT220" s="21" t="str">
        <f t="shared" si="1010"/>
        <v/>
      </c>
      <c r="QU220" s="21" t="str">
        <f t="shared" si="1011"/>
        <v/>
      </c>
      <c r="QV220" s="21" t="str">
        <f t="shared" si="1012"/>
        <v/>
      </c>
      <c r="QW220" s="21" t="str">
        <f t="shared" si="1013"/>
        <v/>
      </c>
      <c r="QX220" s="21" t="str">
        <f t="shared" si="1014"/>
        <v/>
      </c>
      <c r="QY220" s="21" t="str">
        <f t="shared" si="1015"/>
        <v/>
      </c>
      <c r="QZ220" s="21" t="str">
        <f t="shared" si="1016"/>
        <v/>
      </c>
      <c r="RA220" s="21" t="str">
        <f t="shared" si="1017"/>
        <v/>
      </c>
      <c r="RB220" s="21" t="str">
        <f t="shared" si="1018"/>
        <v/>
      </c>
      <c r="RC220" s="21" t="str">
        <f t="shared" si="1019"/>
        <v/>
      </c>
      <c r="RD220" s="21" t="str">
        <f t="shared" si="1020"/>
        <v/>
      </c>
      <c r="RE220" s="21" t="str">
        <f t="shared" si="1021"/>
        <v/>
      </c>
      <c r="RF220" s="21" t="str">
        <f t="shared" si="1022"/>
        <v/>
      </c>
      <c r="RG220" s="21" t="str">
        <f t="shared" si="1023"/>
        <v/>
      </c>
      <c r="RH220" s="21" t="str">
        <f t="shared" si="1024"/>
        <v/>
      </c>
      <c r="RI220" s="21" t="str">
        <f t="shared" si="1025"/>
        <v/>
      </c>
      <c r="RJ220" s="21" t="str">
        <f t="shared" si="1026"/>
        <v/>
      </c>
      <c r="RK220" s="21" t="str">
        <f t="shared" si="1027"/>
        <v/>
      </c>
      <c r="RL220" s="21" t="str">
        <f t="shared" si="1028"/>
        <v/>
      </c>
      <c r="RM220" s="21" t="str">
        <f t="shared" si="1029"/>
        <v/>
      </c>
      <c r="RN220" s="21" t="str">
        <f t="shared" si="1030"/>
        <v/>
      </c>
      <c r="RO220" s="21" t="str">
        <f t="shared" si="1031"/>
        <v/>
      </c>
      <c r="RP220" s="21" t="str">
        <f t="shared" si="1032"/>
        <v/>
      </c>
      <c r="RQ220" s="21" t="str">
        <f t="shared" si="1033"/>
        <v/>
      </c>
      <c r="RR220" s="21" t="str">
        <f t="shared" si="1034"/>
        <v/>
      </c>
      <c r="RS220" s="21" t="str">
        <f t="shared" si="1035"/>
        <v/>
      </c>
      <c r="RT220" s="21" t="str">
        <f t="shared" si="1036"/>
        <v/>
      </c>
      <c r="RU220" s="21" t="str">
        <f t="shared" si="1037"/>
        <v/>
      </c>
      <c r="RV220" s="21">
        <f t="shared" si="1038"/>
        <v>-1</v>
      </c>
      <c r="RW220" s="284">
        <f>IF(OR(Tabla1[[#This Row],[FUM FORMULA CONFIABLE]]="",Tabla1[[#This Row],[FUM FORMULA CONFIABLE]]="SD"),"",IF(Tabla1[[#This Row],[FUM FORMULA CONFIABLE]]="CORREGIDA",Tabla1[[#This Row],[FUM X ECO 1]],Tabla1[[#This Row],[FUM x AMENORREA]]))</f>
        <v>45087</v>
      </c>
      <c r="RX220" s="21" t="str">
        <f>IF(AND(Tabla1[[#This Row],[FUM X ECO 1]]="",Tabla1[[#This Row],[FUM x AMENORREA]]=""),"",IF(AND(Tabla1[[#This Row],[FUM X ECO 1]]="",Tabla1[[#This Row],[FUM x AMENORREA]]&lt;&gt;""),"X",SUM(Tabla1[[#This Row],[FUM X ECO 1]]-Tabla1[[#This Row],[FUM x AMENORREA]])))</f>
        <v>X</v>
      </c>
      <c r="RY220" s="21" t="str">
        <f t="shared" si="1039"/>
        <v>x</v>
      </c>
    </row>
    <row r="221" spans="1:493" ht="45" customHeight="1" x14ac:dyDescent="0.25">
      <c r="A221" s="109"/>
      <c r="B221" s="43"/>
      <c r="C221" s="43" t="s">
        <v>845</v>
      </c>
      <c r="D221" s="124"/>
      <c r="E221" s="43" t="s">
        <v>1286</v>
      </c>
      <c r="F221" s="43" t="s">
        <v>1594</v>
      </c>
      <c r="G221" s="43" t="s">
        <v>1420</v>
      </c>
      <c r="H221" s="43"/>
      <c r="I221" s="109" t="s">
        <v>1094</v>
      </c>
      <c r="J221" s="289" t="s">
        <v>1593</v>
      </c>
      <c r="K221" s="43" t="s">
        <v>852</v>
      </c>
      <c r="L221" s="175" t="s">
        <v>1509</v>
      </c>
      <c r="M221" s="22">
        <v>38580</v>
      </c>
      <c r="N221" s="213">
        <f t="shared" ca="1" si="839"/>
        <v>18.227397260273971</v>
      </c>
      <c r="O221" s="22">
        <v>45134</v>
      </c>
      <c r="P221" s="214" t="str">
        <f t="shared" si="916"/>
        <v>SI</v>
      </c>
      <c r="Q221" s="26" t="s">
        <v>855</v>
      </c>
      <c r="R221" s="22">
        <v>45134</v>
      </c>
      <c r="S221" s="21" t="s">
        <v>856</v>
      </c>
      <c r="T221" s="24" t="s">
        <v>690</v>
      </c>
      <c r="U221" s="21" t="s">
        <v>857</v>
      </c>
      <c r="V221" s="21" t="s">
        <v>858</v>
      </c>
      <c r="W221" s="21"/>
      <c r="X221" s="21"/>
      <c r="Y221" s="21"/>
      <c r="Z221" s="21" t="s">
        <v>894</v>
      </c>
      <c r="AA221" s="21" t="s">
        <v>860</v>
      </c>
      <c r="AB221" s="27" t="s">
        <v>861</v>
      </c>
      <c r="AC221" s="26" t="s">
        <v>862</v>
      </c>
      <c r="AD221" s="38" t="s">
        <v>1546</v>
      </c>
      <c r="AE221" s="26" t="s">
        <v>854</v>
      </c>
      <c r="AF221" s="26" t="s">
        <v>854</v>
      </c>
      <c r="AG221" s="23" t="s">
        <v>864</v>
      </c>
      <c r="AH221" s="23" t="s">
        <v>864</v>
      </c>
      <c r="AI221" s="24" t="s">
        <v>863</v>
      </c>
      <c r="AJ221" s="23" t="s">
        <v>864</v>
      </c>
      <c r="AK221" s="220" t="str">
        <f>IF(AND(AD221="",AE221="",AF221="",AG221="",AH221="",AI221="",AJ221=""),"",IF(OR(Tabla1[[#This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EVALUACIÓN",IF(AND(O221="",R221=""),"",IF(AND(OR(O221&gt;0,R221&gt;0),NG221&gt;=0,NG221&lt;2),"SIN RIESGO",IF(AND(OR(O221&gt;0,R221&gt;0),NG221&gt;=2),"CON RIESGO","ASD")))))</f>
        <v>SIN RIESGO</v>
      </c>
      <c r="AL221" s="23" t="s">
        <v>864</v>
      </c>
      <c r="AM221" s="26" t="s">
        <v>864</v>
      </c>
      <c r="AN221" s="26" t="s">
        <v>864</v>
      </c>
      <c r="AO221" s="26" t="s">
        <v>864</v>
      </c>
      <c r="AP221" s="26" t="s">
        <v>864</v>
      </c>
      <c r="AQ221" s="26" t="s">
        <v>864</v>
      </c>
      <c r="AR221" s="26" t="s">
        <v>864</v>
      </c>
      <c r="AS221" s="21">
        <v>1</v>
      </c>
      <c r="AT221" s="21">
        <v>1</v>
      </c>
      <c r="AU221" s="21">
        <v>0</v>
      </c>
      <c r="AV221" s="26" t="s">
        <v>864</v>
      </c>
      <c r="AW221" s="21">
        <v>0</v>
      </c>
      <c r="AX221" s="26" t="s">
        <v>864</v>
      </c>
      <c r="AY221" s="26" t="s">
        <v>864</v>
      </c>
      <c r="AZ221" s="26" t="s">
        <v>864</v>
      </c>
      <c r="BA221" s="26" t="s">
        <v>864</v>
      </c>
      <c r="BB221" s="26" t="s">
        <v>864</v>
      </c>
      <c r="BC221" s="26" t="s">
        <v>864</v>
      </c>
      <c r="BD221" s="26" t="s">
        <v>864</v>
      </c>
      <c r="BE221" s="26" t="s">
        <v>864</v>
      </c>
      <c r="BF221" s="26" t="s">
        <v>864</v>
      </c>
      <c r="BG221" s="26" t="s">
        <v>864</v>
      </c>
      <c r="BH221" s="26" t="s">
        <v>864</v>
      </c>
      <c r="BI221" s="26" t="s">
        <v>864</v>
      </c>
      <c r="BJ221" s="26" t="s">
        <v>864</v>
      </c>
      <c r="BK221" s="26" t="s">
        <v>864</v>
      </c>
      <c r="BL221" s="26" t="s">
        <v>864</v>
      </c>
      <c r="BM221" s="26" t="s">
        <v>864</v>
      </c>
      <c r="BN221" s="22"/>
      <c r="BO221" s="22">
        <v>45063</v>
      </c>
      <c r="BP221" s="21" t="s">
        <v>854</v>
      </c>
      <c r="BQ221" s="222">
        <f t="shared" si="840"/>
        <v>0</v>
      </c>
      <c r="BR221" s="223" t="str">
        <f t="shared" si="841"/>
        <v/>
      </c>
      <c r="BS221" s="224">
        <f t="shared" si="842"/>
        <v>10.142857142857142</v>
      </c>
      <c r="BT221" s="216" t="str">
        <f t="shared" si="843"/>
        <v>II TRIM</v>
      </c>
      <c r="BU221" s="214">
        <f t="shared" ca="1" si="925"/>
        <v>24.285714285714285</v>
      </c>
      <c r="BV221" s="25"/>
      <c r="BW221" s="22"/>
      <c r="BX221" s="28"/>
      <c r="BY221" s="28"/>
      <c r="BZ221" s="22"/>
      <c r="CA221" s="21"/>
      <c r="CB221" s="26"/>
      <c r="CC221" s="26"/>
      <c r="CD221" s="26"/>
      <c r="CE221" s="26"/>
      <c r="CF221" s="22" t="s">
        <v>1517</v>
      </c>
      <c r="CG221" s="21">
        <v>1.39</v>
      </c>
      <c r="CH221" s="21">
        <v>51</v>
      </c>
      <c r="CI221" s="214">
        <f t="shared" si="845"/>
        <v>26.396149267636254</v>
      </c>
      <c r="CJ221" s="225" t="e">
        <f>IF(AND(CI221&lt;10,CH221="SD"),"SIN DATO PESO PREGESTACION O I TRIM",IF(AND(OR(R221&gt;0,O221&gt;0),CI221="X"),"INGRESAR DATO DE PESO",IF(CI221="SD","INGRESAR DATO DE TALLA Y PESO",IF(AND(OR(Tabla1[[#This Row],[MOMENTO EN QUE SE REALIZA EL PESO AL INGRESO A CPN]]="PREGESTACIÓN",NZ221="Menor"),CI221&lt;18.5),"BAJO PESO",IF(AND(OR(Tabla1[[#This Row],[MOMENTO EN QUE SE REALIZA EL PESO AL INGRESO A CPN]]="PREGESTACIÓN",NZ221="Menor"),CI221&lt;25),"NORMAL",IF(AND(OR(Tabla1[[#This Row],[MOMENTO EN QUE SE REALIZA EL PESO AL INGRESO A CPN]]="PREGESTACIÓN",NZ221="Menor"),CI221&lt;30),"SOBREPESO",IF(AND(OR(Tabla1[[#This Row],[MOMENTO EN QUE SE REALIZA EL PESO AL INGRESO A CPN]]="PREGESTACIÓN",NZ221="Menor"),CI221&gt;=30,CI221&lt;50),"OBESIDAD",IF(AND(BS221&gt;0,Tabla1[[#This Row],[MOMENTO EN QUE SE REALIZA EL PESO AL INGRESO A CPN]]="GESTACIÓN"),HLOOKUP(NZ221,$OA$2:PH221,NY221),""))))))))</f>
        <v>#REF!</v>
      </c>
      <c r="CK221" s="212">
        <f t="shared" si="846"/>
        <v>45134</v>
      </c>
      <c r="CL221" s="21">
        <v>51</v>
      </c>
      <c r="CM221" s="214">
        <f t="shared" si="847"/>
        <v>26.396149267636254</v>
      </c>
      <c r="CN221" s="216">
        <f t="shared" si="848"/>
        <v>10</v>
      </c>
      <c r="CO221" s="216" t="e">
        <f>IF(PI221="","",IF(PI221&gt;0,HLOOKUP(PI221,$PJ$2:QQ221,NY221),""))</f>
        <v>#REF!</v>
      </c>
      <c r="CP221" s="21"/>
      <c r="CQ221" s="216" t="str">
        <f>IF(QR221="Menor","NO APLICA-MENOR 13 SEM",IF(AND(CC221="SI",CN221&gt;23),"NO APLICA- GEMELAR",IF(QR221="","",IF(QR221&gt;0,HLOOKUP(QR221,$QS$2:RU221,NY221),""))))</f>
        <v>NO APLICA-MENOR 13 SEM</v>
      </c>
      <c r="CR221" s="21">
        <v>90</v>
      </c>
      <c r="CS221" s="21">
        <v>60</v>
      </c>
      <c r="CT221" s="217" t="str">
        <f>IF(R221="","",IF(AND(BS221&gt;1,BS221&lt;12,Tabla1[[#This Row],[T.A. SISTOLICA - ANTES DE SEMANA 12]]="",Tabla1[[#This Row],[T.A. DIASTOLICA - ANTES DE SEMANA 12]]=""),"REGISTRE DATO TA ANTES SEMANA 12",IF(AND(BS221&gt;11,BS221&lt;43,Tabla1[[#This Row],[T.A. SISTOLICA - ANTES DE SEMANA 12]]="",Tabla1[[#This Row],[T.A. DIASTOLICA - ANTES DE SEMANA 12]]=""),"NO APLICA REGISTRO TA-INGRESO TARDIO",IF(AND(OR(O221&gt;0,R221&gt;0),OR(CR221&gt;=140,CS221&gt;=90)),"DEFINIR ESTADIO HTA",IF(AND(OR(O221&gt;0,R221&gt;0),AND(CR221&gt;120,CR221&lt;=139)),"PRE HTA SEGUIMIENTO",IF(AND(OR(O221&gt;0,R221&gt;0),AND(CS221&gt;80,CS221&lt;=89)),"PRE HTA SEGUIMIENTO",IF(AND(OR(O221&gt;0,R221&gt;0),AND(CR221&gt;=80,CR221&lt;=120)),"APARENTEMENTE NORMAL",IF(AND(OR(O221&gt;0,R221&gt;0),AND(CS221&gt;=50,CS221&lt;=80)),"APARENTEMENTE NORMAL",IF(AND(OR(O221&gt;0,R221&gt;0),AND(CR221&gt;1,CR221&lt;=70),AND(CS221&gt;1,CS221&lt;=40)),"HIPOTENSIÓN","")))))))))</f>
        <v>APARENTEMENTE NORMAL</v>
      </c>
      <c r="CU221" s="21"/>
      <c r="CV221" s="21"/>
      <c r="CW221" s="217" t="str">
        <f ca="1">IF(R221="","",IF(AND(CN221&gt;19,CN221&lt;27,Tabla1[[#This Row],[T.A. SISTOLICA (Entre semana 20 y 26)]]="",Tabla1[[#This Row],[T.A. DIATOLICA (Entre semana 20 y 26)]]=""),"ACUDE A CONTROL SEM 20 A 26 REGISTRE TA AHORA",IF(AND(BS221&gt;1,BS221&lt;27,BU221&gt;19,Tabla1[[#This Row],[T.A. SISTOLICA (Entre semana 20 y 26)]]="",Tabla1[[#This Row],[T.A. DIATOLICA (Entre semana 20 y 26)]]=""),"COMPLETE REGISTRO TA CONTROL SEM 20 A26 ",IF(AND(BS221&gt;26,BS221&lt;43,Tabla1[[#This Row],[T.A. SISTOLICA (Entre semana 20 y 26)]]="",Tabla1[[#This Row],[T.A. DIATOLICA (Entre semana 20 y 26)]]=""),"NO APLICA REGISTRO TA-INGRESO TARDIO",IF(AND(OR(O221&gt;0,R221&gt;0),OR(CU221&gt;=140,CV221&gt;=90)),"ALTO RIESGO PREECLAMPSIA,DEFINIR ESTADIO HTA",IF(AND(OR(O221&gt;0,R221&gt;0),AND(CU221&gt;120,CU221&lt;=139)),"PRE HTA SEGUIMIENTO,RIESGO HIPERTENSION INDUCIDA POR EL EMBARAZO",IF(AND(OR(O221&gt;0,R221&gt;0),AND(CV221&gt;80,CV221&lt;=89)),"PRE HTA SEGUIMIENTO, RIESGO HIPERTENSION INDUCIDA POR EL EMBARAZO",IF(AND(OR(O221&lt;&gt;"",R221&lt;&gt;""),CS221&lt;&gt;"",CV221&lt;&gt;"",CS221&lt;=CV221),"VIGILAR CIFRAS PRESION ARTERIAL",IF(AND(OR(O221&gt;0,R221&gt;0),AND(CU221&gt;120,CU221&lt;=139)),"PRE HTA SEGUIMIENTO",IF(AND(OR(O221&gt;0,R221&gt;0),AND(CU221&gt;1,CU221&lt;=70),AND(CV221&gt;1,CV221&lt;=40)),"HIPOTENSIÓN",IF(AND(OR(O221&lt;&gt;"",R221&lt;&gt;""),CS221&lt;&gt;"",CV221&lt;&gt;"",CS221&gt;CV221),"APARENTEMENTE NORMAL",IF(AND(OR(O221&gt;0,R221&gt;0),AND(CU221&gt;=80,CU221&lt;=120)),"APARENTEMENTE NORMAL",IF(AND(OR(O221&gt;0,R221&gt;0),AND(CV221&gt;=50,CV221&lt;=80)),"APARENTEMENTE NORMAL","")))))))))))))</f>
        <v xml:space="preserve">COMPLETE REGISTRO TA CONTROL SEM 20 A26 </v>
      </c>
      <c r="CX221" s="21"/>
      <c r="CY221" s="21"/>
      <c r="CZ221" s="216" t="e">
        <f>IF(R221="","",IF(AND(CN221&gt;31,CN221&lt;35,CX221="",CY221=""),"ACUDE A CONTROL SEM 30 A 34- REGISTRE AHORA",IF(AND(BS221&gt;34,BS221&lt;43,#REF!="",#REF!=""),"NO APLICA-INGRESO TARDIO",IF(AND(OR(O221&gt;0,R221&gt;0),OR(CX221&gt;=140,CY221&gt;=90)),"ESTUDIO INMEDIATO HTA PARA DESCARTAR PREECLAMSIA",IF(AND(OR(O221&gt;0,R221&gt;0),AND(CX221&gt;=130,CX221&lt;=139)),"PRE HTA,RIESGO ALTO PREECLAMPSIA",IF(AND(OR(O221&gt;0,R221&gt;0),AND(CY221&gt;80,CY221&lt;=89)),"PRE HTA,RIESGO ALTO PREECLAMPSIA",IF(AND(OR(O221&gt;0,R221&gt;0),AND(CX221&gt;120,CX221&lt;=129)),"RANGO PREHIPERTENSIVO SEGUIMIENTO HTA",IF(AND(OR(O221&lt;&gt;"",R221&lt;&gt;""),CS221&lt;&gt;"",CY221&lt;&gt;"",CS221&lt;CY221),"VIGILAR CIFRAS PRESION ARTERIAL",IF(AND(OR(O221&lt;&gt;"",R221&lt;&gt;""),CS221&lt;&gt;"",CY221&lt;&gt;"",CS221=CY221),"APARENTEMENTE NORMAL",IF(AND(OR(O221&gt;0,R221&gt;0),CX221&gt;=80,CX221&lt;=120),"APARENTEMENTE NORMAL",IF(AND(OR(O221&gt;0,R221&gt;0),CY221&gt;=50,CY221&lt;=80),"APARENTEMENTE NORMAL","")))))))))))</f>
        <v>#REF!</v>
      </c>
      <c r="DA221" s="21">
        <v>90</v>
      </c>
      <c r="DB221" s="21">
        <v>60</v>
      </c>
      <c r="DC221" s="217" t="str">
        <f t="shared" si="849"/>
        <v>APARENTEMENTE NORMAL</v>
      </c>
      <c r="DD221" s="22">
        <v>45098</v>
      </c>
      <c r="DE221" s="22">
        <v>45098</v>
      </c>
      <c r="DF221" s="22">
        <v>45132</v>
      </c>
      <c r="DG221" s="22"/>
      <c r="DH221" s="22"/>
      <c r="DI221" s="22"/>
      <c r="DJ221" s="22"/>
      <c r="DK221" s="22"/>
      <c r="DL221" s="22"/>
      <c r="DM221" s="22"/>
      <c r="DN221" s="22"/>
      <c r="DO221" s="22"/>
      <c r="DP221" s="22"/>
      <c r="DQ221" s="22"/>
      <c r="DR221" s="28"/>
      <c r="DS221" s="22"/>
      <c r="DT221" s="22"/>
      <c r="DU221" s="216" t="str">
        <f t="shared" ca="1" si="917"/>
        <v>EN ESPERA</v>
      </c>
      <c r="DV221" s="226" t="str">
        <f t="shared" si="918"/>
        <v>ACTIVA INGRESO A CPN</v>
      </c>
      <c r="DW22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1" s="216" t="e">
        <f t="shared" ca="1" si="850"/>
        <v>#REF!</v>
      </c>
      <c r="DY221" s="212">
        <f>IF(R221="","",IF(R221&gt;0,MAX(Tabla1[[#This Row],[FECHA C2]:[FECHA C13]],Tabla1[[#This Row],[FECHA CONSULTA PRIMERA VEZ PROGRAMA CPN ]])))</f>
        <v>45134</v>
      </c>
      <c r="DZ221" s="216">
        <f t="shared" si="851"/>
        <v>10</v>
      </c>
      <c r="EA221" s="222">
        <f>IF(R221&gt;0,SUM(COUNTA(DF221:DQ221)+COUNTA(Tabla1[[#This Row],[FECHA CONSULTA PRIMERA VEZ PROGRAMA CPN ]])),"")</f>
        <v>2</v>
      </c>
      <c r="EB221" s="222" t="str">
        <f t="shared" si="852"/>
        <v>NO</v>
      </c>
      <c r="EC221" s="214">
        <f t="shared" si="853"/>
        <v>9</v>
      </c>
      <c r="ED221" s="227">
        <f t="shared" si="854"/>
        <v>0.22222222222222221</v>
      </c>
      <c r="EE221" s="22">
        <v>45136</v>
      </c>
      <c r="EF221" s="22"/>
      <c r="EG221" s="22">
        <v>45136</v>
      </c>
      <c r="EH221" s="22"/>
      <c r="EI221" s="22">
        <v>45136</v>
      </c>
      <c r="EJ221" s="22"/>
      <c r="EK221" s="22"/>
      <c r="EL221" s="21"/>
      <c r="EM221" s="21">
        <v>15.5</v>
      </c>
      <c r="EN221" s="22">
        <v>45031</v>
      </c>
      <c r="EO221" s="222" t="str">
        <f t="shared" si="855"/>
        <v>CORREGIR FECHA RESULTADO</v>
      </c>
      <c r="EP221" s="214" t="str">
        <f t="shared" si="856"/>
        <v>NO DAR SULFATO FERROSO</v>
      </c>
      <c r="EQ221" s="216" t="str">
        <f t="shared" si="857"/>
        <v>POR DEFINIR</v>
      </c>
      <c r="ER221" s="24"/>
      <c r="ES221" s="22"/>
      <c r="ET221" s="29" t="str">
        <f t="shared" ca="1" si="919"/>
        <v>PROGRAMAR TOMA HEMOGLOBINA A SEM 28</v>
      </c>
      <c r="EU221" s="25" t="str">
        <f t="shared" si="858"/>
        <v/>
      </c>
      <c r="EV221" s="24" t="s">
        <v>1510</v>
      </c>
      <c r="EW221" s="32">
        <v>45136</v>
      </c>
      <c r="EX221" s="22"/>
      <c r="EY221" s="29">
        <f t="shared" si="1040"/>
        <v>10.428571428571429</v>
      </c>
      <c r="EZ221" s="25" t="str">
        <f t="shared" si="1041"/>
        <v>SIN RIESGO DE ISOINMUNIZACIÓN</v>
      </c>
      <c r="FA221" s="21">
        <v>76</v>
      </c>
      <c r="FB221" s="22">
        <v>45136</v>
      </c>
      <c r="FC221" s="29">
        <f t="shared" si="859"/>
        <v>10.428571428571429</v>
      </c>
      <c r="FD221" s="29"/>
      <c r="FE221" s="29"/>
      <c r="FF221" s="29"/>
      <c r="FG221" s="21" t="str">
        <f t="shared" ca="1" si="860"/>
        <v>TOMAR PTOG</v>
      </c>
      <c r="FH221" s="31"/>
      <c r="FI221" s="29" t="str">
        <f t="shared" si="861"/>
        <v>TOMAR EXAMEN</v>
      </c>
      <c r="FJ221" s="22" t="s">
        <v>867</v>
      </c>
      <c r="FK221" s="22">
        <v>45136</v>
      </c>
      <c r="FL221" s="29">
        <f t="shared" ca="1" si="862"/>
        <v>10.428571428571429</v>
      </c>
      <c r="FM221" s="22"/>
      <c r="FN221" s="32"/>
      <c r="FO221" s="29" t="str">
        <f t="shared" ca="1" si="920"/>
        <v>PIERDE TOMA DE TAMIZAJE</v>
      </c>
      <c r="FP221" s="22"/>
      <c r="FQ221" s="32"/>
      <c r="FR221" s="29" t="str">
        <f t="shared" ca="1" si="921"/>
        <v>EN ESPERA-ESTÁ I TRIM O II TRIM</v>
      </c>
      <c r="FS221" s="22"/>
      <c r="FT221" s="32"/>
      <c r="FU221" s="29" t="str">
        <f>IF(AND(FJ221="",FM221="",FP221="",FS221=""),"",IF(OR(OR(Tabla1[[#This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1" s="28"/>
      <c r="FW221" s="22"/>
      <c r="FX221" s="29" t="str">
        <f t="shared" si="863"/>
        <v>TOMAR EXAMEN</v>
      </c>
      <c r="FY221" s="22" t="s">
        <v>868</v>
      </c>
      <c r="FZ221" s="22">
        <v>45136</v>
      </c>
      <c r="GA221" s="29">
        <f t="shared" ca="1" si="936"/>
        <v>10.428571428571429</v>
      </c>
      <c r="GB221" s="22"/>
      <c r="GC221" s="22"/>
      <c r="GD221" s="29" t="str">
        <f t="shared" ca="1" si="937"/>
        <v>EN RANGO PARA TOMAR EXAMEN</v>
      </c>
      <c r="GE221" s="22"/>
      <c r="GF221" s="22"/>
      <c r="GG221" s="29" t="str">
        <f t="shared" ca="1" si="923"/>
        <v>EN ESPERA-ESTÁ I TRIM O II TRIM</v>
      </c>
      <c r="GH221" s="22"/>
      <c r="GI221" s="29"/>
      <c r="GJ221" s="22"/>
      <c r="GK221" s="22"/>
      <c r="GL221" s="22"/>
      <c r="GM221" s="22"/>
      <c r="GN221" s="28" t="s">
        <v>869</v>
      </c>
      <c r="GO221" s="22">
        <v>45136</v>
      </c>
      <c r="GP221" s="29">
        <f t="shared" si="864"/>
        <v>10.428571428571429</v>
      </c>
      <c r="GQ221" s="28"/>
      <c r="GR221" s="28"/>
      <c r="GS221" s="22" t="str">
        <f t="shared" si="726"/>
        <v/>
      </c>
      <c r="GT221" s="22"/>
      <c r="GU221" s="29" t="str">
        <f t="shared" si="865"/>
        <v>TOMAR EXAMEN</v>
      </c>
      <c r="GV221" s="21" t="str">
        <f t="shared" si="866"/>
        <v>POR DEFINIR</v>
      </c>
      <c r="GW221" s="28"/>
      <c r="GX221" s="30"/>
      <c r="GY221" s="21"/>
      <c r="GZ221" s="21"/>
      <c r="HA221" s="21"/>
      <c r="HB221" s="21"/>
      <c r="HC221" s="21"/>
      <c r="HD221" s="21"/>
      <c r="HE221" s="21"/>
      <c r="HF221" s="22"/>
      <c r="HG221" s="22" t="str">
        <f>IF(OR(O221&gt;0,R221&gt;0),CONCATENATE(IF(Tabla1[[#This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1" s="22" t="e">
        <f t="shared" si="867"/>
        <v>#REF!</v>
      </c>
      <c r="HI221" s="22" t="e">
        <f t="shared" ca="1" si="868"/>
        <v>#REF!</v>
      </c>
      <c r="HJ221" s="21"/>
      <c r="HK221" s="21" t="str">
        <f t="shared" si="869"/>
        <v>SIN ANTECEDENTES DE RIESGO</v>
      </c>
      <c r="HL221" s="24" t="str">
        <f t="shared" si="870"/>
        <v>APARENTEMENTE NORMAL</v>
      </c>
      <c r="HM221" s="21" t="e">
        <f t="shared" ca="1" si="871"/>
        <v>#REF!</v>
      </c>
      <c r="HN221" s="30" t="str">
        <f t="shared" si="924"/>
        <v>ACTIVA INGRESO A CPN</v>
      </c>
      <c r="HO221" s="21"/>
      <c r="HP221" s="21"/>
      <c r="HQ221" s="349"/>
      <c r="HR221" s="21" t="str">
        <f>IF(R221="","",IF(Tabla1[[#This Row],[ALARMA FACTORES DE RIESGO COMPLICACIONES HIPERTENSIVAS3]]="SIN ANTECEDENTES DE RIESGO","No Aplica para suministro de ASA",IF(AND(Tabla1[[#This Row],[FECHA INICIO DE SUMINISTRO DE ASA]]&gt;0,RV221&lt;12),"Inicia ASA ANTES de Sem 12",IF(AND(RV221&gt;11,RV221&lt;17,OR(HK221="RIESGO ALTO DE COMPLICACIONES HIPERTENSIVAS VER MANEJO GUIA SUMINISTRO ASA Y CALCIO",HK221="RIESGO MODERADO (2 O MAS CRITERIOS) VER MANEJO GUIA SUMINISTRO ASA Y CALCIO")),"Inicio oportuno de ASA",IF(AND(RV221&gt;12,OR(HK221="RIESGO ALTO DE COMPLICACIONES HIPERTENSIVAS VER MANEJO GUIA SUMINISTRO ASA Y CALCIO",HK221="RIESGO MODERADO (2 O MAS CRITERIOS) VER MANEJO GUIA SUMINISTRO ASA Y CALCIO")),"Inicio no oportuno mayor a 16 semanas",IF(AND(BU221&lt;12,OR(HK221="RIESGO ALTO DE COMPLICACIONES HIPERTENSIVAS VER MANEJO GUIA SUMINISTRO ASA Y CALCIO",HK221="RIESGO MODERADO (2 O MAS CRITERIOS) VER MANEJO GUIA SUMINISTRO ASA Y CALCIO")),"Pendiente Inicio de ASA a la semana 12",IF(AND(BU221&gt;11,BU221&lt;17,OR(HK221="RIESGO ALTO DE COMPLICACIONES HIPERTENSIVAS VER MANEJO GUIA SUMINISTRO ASA Y CALCIO",HK221="RIESGO MODERADO (2 O MAS CRITERIOS) VER MANEJO GUIA SUMINISTRO ASA Y CALCIO")),"Iniciar de inmediato ASA",IF(AND(BU221&gt;16,OR(HK221="RIESGO ALTO DE COMPLICACIONES HIPERTENSIVAS VER MANEJO GUIA SUMINISTRO ASA Y CALCIO",HK221="RIESGO MODERADO (2 O MAS CRITERIOS) VER MANEJO GUIA SUMINISTRO ASA Y CALCIO")),"Pierde Oportunidad, Inicio tardío de ASA","XXXXX"))))))))</f>
        <v>No Aplica para suministro de ASA</v>
      </c>
      <c r="HS221" s="22">
        <v>45136</v>
      </c>
      <c r="HT221" s="22" t="s">
        <v>1518</v>
      </c>
      <c r="HU221" s="22">
        <v>45136</v>
      </c>
      <c r="HV221" s="22" t="s">
        <v>1544</v>
      </c>
      <c r="HW221" s="22">
        <v>45136</v>
      </c>
      <c r="HX221" s="22" t="s">
        <v>1511</v>
      </c>
      <c r="HY221" s="22">
        <v>45105</v>
      </c>
      <c r="HZ221" s="28">
        <f t="shared" si="872"/>
        <v>6</v>
      </c>
      <c r="IA221" s="26"/>
      <c r="IB221" s="26"/>
      <c r="IC221" s="111"/>
      <c r="ID221" s="22"/>
      <c r="IE221" s="22" t="str">
        <f t="shared" ca="1" si="873"/>
        <v>PROGRAMAR APLICACION DE VACUNA</v>
      </c>
      <c r="IF221" s="22"/>
      <c r="IG221" s="22">
        <f t="shared" si="874"/>
        <v>45343</v>
      </c>
      <c r="IH221" s="29">
        <f t="shared" ca="1" si="875"/>
        <v>110</v>
      </c>
      <c r="II221" s="22" t="str">
        <f t="shared" ca="1" si="876"/>
        <v>PENDIENTE</v>
      </c>
      <c r="IJ221" s="22"/>
      <c r="IK221" s="21"/>
      <c r="IL221" s="21"/>
      <c r="IM221" s="34"/>
      <c r="IN221" s="22"/>
      <c r="IO221" s="21"/>
      <c r="IP221" s="29" t="str">
        <f t="shared" si="877"/>
        <v/>
      </c>
      <c r="IQ221" s="35"/>
      <c r="IR221" s="21"/>
      <c r="IS221" s="21"/>
      <c r="IT221" s="21"/>
      <c r="IU221" s="21"/>
      <c r="IV221" s="21"/>
      <c r="IW221" s="21"/>
      <c r="IX221" s="21"/>
      <c r="IY221" s="21"/>
      <c r="IZ221" s="21"/>
      <c r="JA221" s="21"/>
      <c r="JB221" s="30"/>
      <c r="JC221" s="21"/>
      <c r="JD221" s="36"/>
      <c r="JE221" s="21" t="str">
        <f t="shared" si="878"/>
        <v/>
      </c>
      <c r="JF221" s="30"/>
      <c r="JG221" s="21"/>
      <c r="JH221" s="21"/>
      <c r="JI221" s="21"/>
      <c r="JJ221" s="30"/>
      <c r="JK221" s="22"/>
      <c r="JL221" s="22"/>
      <c r="JM221" s="21"/>
      <c r="JN221" s="36"/>
      <c r="JO221" s="21" t="str">
        <f t="shared" si="879"/>
        <v/>
      </c>
      <c r="JP221" s="22"/>
      <c r="JQ221" s="21"/>
      <c r="JR221" s="21"/>
      <c r="JS221" s="21"/>
      <c r="JT221" s="30"/>
      <c r="JU221" s="22"/>
      <c r="JV221" s="22"/>
      <c r="JW221" s="33"/>
      <c r="JX221" s="28" t="str">
        <f t="shared" si="880"/>
        <v/>
      </c>
      <c r="JY221" s="33"/>
      <c r="JZ221" s="28" t="str">
        <f t="shared" si="881"/>
        <v/>
      </c>
      <c r="KA221" s="21"/>
      <c r="KB221" s="21"/>
      <c r="KC221" s="21"/>
      <c r="KD221" s="37"/>
      <c r="KE221" s="28"/>
      <c r="KF221" s="28"/>
      <c r="KG221" s="28"/>
      <c r="KH221" s="39"/>
      <c r="KI221" s="39"/>
      <c r="KJ221" s="66"/>
      <c r="KK221" s="39"/>
      <c r="KL221" s="39"/>
      <c r="KM221" s="66"/>
      <c r="KN221" s="39"/>
      <c r="KO221" s="39"/>
      <c r="KP221" s="39"/>
      <c r="KQ221" s="39"/>
      <c r="KR221" s="39"/>
      <c r="KS221" s="39"/>
      <c r="KT221" s="39"/>
      <c r="KU221" s="38"/>
      <c r="KV221" s="38"/>
      <c r="KW221" s="38"/>
      <c r="KX221" s="38"/>
      <c r="KY221" s="38"/>
      <c r="KZ221" s="38"/>
      <c r="LA221" s="38"/>
      <c r="LB221" s="38"/>
      <c r="LC221" s="38"/>
      <c r="LD221" s="38"/>
      <c r="LE221" s="38"/>
      <c r="LF221" s="38"/>
      <c r="LG221" s="38"/>
      <c r="LH221" s="38"/>
      <c r="LI221" s="38"/>
      <c r="LJ221" s="38"/>
      <c r="LK221" s="38"/>
      <c r="LL221" s="38"/>
      <c r="LM221" s="38"/>
      <c r="LN221" s="38"/>
      <c r="LO221" s="38"/>
      <c r="LP221" s="38"/>
      <c r="LQ221" s="38"/>
      <c r="LR221" s="38"/>
      <c r="LS221" s="38"/>
      <c r="LT221" s="38"/>
      <c r="LU221" s="38"/>
      <c r="LV221" s="38"/>
      <c r="LW221" s="38"/>
      <c r="LX221" s="38"/>
      <c r="LY221" s="38"/>
      <c r="LZ221" s="38"/>
      <c r="MA221" s="38"/>
      <c r="MB221" s="38"/>
      <c r="MC221" s="38"/>
      <c r="MD221" s="38"/>
      <c r="ME221" s="38"/>
      <c r="MF221" s="38"/>
      <c r="MG221" s="38"/>
      <c r="MH221" s="43">
        <f t="shared" si="882"/>
        <v>0</v>
      </c>
      <c r="MI221" s="43" t="str">
        <f t="shared" si="926"/>
        <v/>
      </c>
      <c r="MJ221" s="43" t="str">
        <f t="shared" si="884"/>
        <v/>
      </c>
      <c r="MK221" s="43">
        <f t="shared" si="885"/>
        <v>0</v>
      </c>
      <c r="ML22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1" s="43">
        <f t="shared" si="927"/>
        <v>10.142857142857142</v>
      </c>
      <c r="MN221" s="43">
        <f t="shared" si="928"/>
        <v>7</v>
      </c>
      <c r="MO221" s="43">
        <f t="shared" si="929"/>
        <v>2023</v>
      </c>
      <c r="MP221" s="43" t="str">
        <f t="shared" si="889"/>
        <v>III TRIMESTRE AÑO</v>
      </c>
      <c r="MQ221" s="43">
        <f t="shared" si="930"/>
        <v>17.687801138852386</v>
      </c>
      <c r="MR221" s="43">
        <f t="shared" si="891"/>
        <v>0</v>
      </c>
      <c r="MS221" s="43" t="str">
        <f t="shared" si="892"/>
        <v>DE 14 A 19AÑOS</v>
      </c>
      <c r="MT221" s="43">
        <f t="shared" si="893"/>
        <v>0</v>
      </c>
      <c r="MU221" s="43">
        <f t="shared" si="894"/>
        <v>0</v>
      </c>
      <c r="MV221" s="43">
        <f t="shared" si="895"/>
        <v>0</v>
      </c>
      <c r="MW221" s="43">
        <f t="shared" si="896"/>
        <v>0</v>
      </c>
      <c r="MX221" s="43" t="str">
        <f t="shared" si="897"/>
        <v/>
      </c>
      <c r="MY221" s="43" t="str">
        <f t="shared" ca="1" si="898"/>
        <v/>
      </c>
      <c r="MZ221" s="43" t="str">
        <f t="shared" si="899"/>
        <v/>
      </c>
      <c r="NA221" s="43" t="str">
        <f t="shared" si="900"/>
        <v/>
      </c>
      <c r="NB221" s="43" t="str">
        <f t="shared" si="901"/>
        <v/>
      </c>
      <c r="NC221" s="43" t="str">
        <f t="shared" si="902"/>
        <v/>
      </c>
      <c r="ND221" s="43">
        <f t="shared" ca="1" si="931"/>
        <v>0</v>
      </c>
      <c r="NE221" s="43">
        <f>IF(OR(O221&gt;0,R221&gt;0),SUM(COUNTIF(Tabla1[[#This Row],[AÑOS AL INICIO5 CPN]],"&gt;=40"),COUNTIF(AS221,"0"),COUNTIF(AR221,"SI"),COUNTIF(CC221,"SI"),COUNTIF(BQ221,"&gt;119"),COUNTIF(CI221,"&gt;=35")),"")</f>
        <v>0</v>
      </c>
      <c r="NF221" s="43" t="str">
        <f t="shared" si="932"/>
        <v/>
      </c>
      <c r="NG221" s="43">
        <f t="shared" si="905"/>
        <v>0</v>
      </c>
      <c r="NH221" s="43" t="str">
        <f t="shared" si="906"/>
        <v/>
      </c>
      <c r="NI22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CPN",P221="NO"),"Z",IF(AND(Tabla1[[#This Row],[CITA PROXIMO CONTROL]]="CITA MANUAL",Tabla1[[#This Row],[GESTANTES ACTUALES]]="ACTIVA INGRESO A CPN"),"W",IF(AND(Tabla1[[#This Row],[GESTANTES ACTUALES]]="SALIO PROGRAMA",IN221=""),"S",IF(AND(Tabla1[[#This Row],[CITA PROXIMO CONTROL]]&gt;0,IN221=""),(Tabla1[[#This Row],[CITA PROXIMO CONTROL]]-TODAY()),"SD"))))))))</f>
        <v>#REF!</v>
      </c>
      <c r="NJ221" s="43">
        <f>MONTH(Tabla1[[#This Row],[FECHA DE SALIDA  DEL PROGRAMA]])</f>
        <v>1</v>
      </c>
      <c r="NK221" s="43">
        <f>YEAR(Tabla1[[#This Row],[FECHA DE SALIDA  DEL PROGRAMA]])</f>
        <v>1900</v>
      </c>
      <c r="NL221" s="43" t="str">
        <f t="shared" si="933"/>
        <v>X</v>
      </c>
      <c r="NM221" s="43" t="str">
        <f t="shared" si="938"/>
        <v>NO</v>
      </c>
      <c r="NN221" s="43" t="str">
        <f ca="1">IF(AND(O221&gt;0,R221=""),"NO CPN",IF(AND(O221="",R221=""),"",IF(AND(R221&gt;0,Tabla1[[#This Row],[SEMANAS DE GESTACION ACTUALIZADAS]]&lt;=12),"NO APLICA",IF(AND(FH221&lt;&gt;"",FN221&lt;&gt;""),"SI","NO"))))</f>
        <v>NO</v>
      </c>
      <c r="NO221" s="43" t="str">
        <f ca="1">IF(AND(O221&gt;0,R221=""),"NO CPN",IF(AND(O221="",R221=""),"",IF(AND(R221&gt;0,Tabla1[[#This Row],[SEMANAS DE GESTACION ACTUALIZADAS]]&lt;=27),"NO APLICA",IF(AND(ES221&lt;&gt;"",FQ221&lt;&gt;"",GF221&lt;&gt;""),"SI","NO"))))</f>
        <v>NO APLICA</v>
      </c>
      <c r="NP221" s="204" t="str">
        <f t="shared" si="909"/>
        <v>I TRIM</v>
      </c>
      <c r="NQ221"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21" s="21">
        <f t="shared" ca="1" si="934"/>
        <v>2</v>
      </c>
      <c r="NS221" s="205">
        <f t="shared" ca="1" si="911"/>
        <v>1</v>
      </c>
      <c r="NT221" s="21">
        <f t="shared" ca="1" si="912"/>
        <v>1</v>
      </c>
      <c r="NU221" s="21" t="str">
        <f t="shared" ca="1" si="913"/>
        <v>INCOMPLETO</v>
      </c>
      <c r="NV221" s="21" t="str">
        <f t="shared" ca="1" si="914"/>
        <v>INCOMPLETO</v>
      </c>
      <c r="NW221" s="206" t="str">
        <f>IF(AND(O221="",R221=""),"",IF(OR(AND(Tabla1[[#This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1" s="207" t="str">
        <f t="shared" ca="1" si="935"/>
        <v>SIN VACUNAR</v>
      </c>
      <c r="NY221" s="43">
        <f>ROW(Tabla1[[#This Row],['# DE TAMIZAJES SIFILIS TOMADOS ]])</f>
        <v>221</v>
      </c>
      <c r="NZ221" s="43">
        <f t="shared" si="939"/>
        <v>10</v>
      </c>
      <c r="OA221" s="43" t="str">
        <f t="shared" si="940"/>
        <v/>
      </c>
      <c r="OB221" s="43" t="str">
        <f t="shared" si="941"/>
        <v>SOBREPESO</v>
      </c>
      <c r="OC221" s="43" t="str">
        <f t="shared" si="942"/>
        <v/>
      </c>
      <c r="OD221" s="43" t="str">
        <f t="shared" si="943"/>
        <v/>
      </c>
      <c r="OE221" s="43" t="str">
        <f t="shared" si="944"/>
        <v/>
      </c>
      <c r="OF221" s="43" t="str">
        <f t="shared" si="945"/>
        <v/>
      </c>
      <c r="OG221" s="43" t="str">
        <f t="shared" si="946"/>
        <v/>
      </c>
      <c r="OH221" s="43" t="str">
        <f t="shared" si="947"/>
        <v/>
      </c>
      <c r="OI221" s="43" t="str">
        <f t="shared" si="948"/>
        <v/>
      </c>
      <c r="OJ221" s="43" t="str">
        <f t="shared" si="949"/>
        <v/>
      </c>
      <c r="OK221" s="43" t="str">
        <f t="shared" si="950"/>
        <v/>
      </c>
      <c r="OL221" s="43" t="str">
        <f t="shared" si="951"/>
        <v/>
      </c>
      <c r="OM221" s="43" t="str">
        <f t="shared" si="952"/>
        <v/>
      </c>
      <c r="ON221" s="43" t="str">
        <f t="shared" si="953"/>
        <v/>
      </c>
      <c r="OO221" s="43" t="str">
        <f t="shared" si="954"/>
        <v/>
      </c>
      <c r="OP221" s="43" t="str">
        <f t="shared" si="955"/>
        <v/>
      </c>
      <c r="OQ221" s="43" t="str">
        <f t="shared" si="956"/>
        <v/>
      </c>
      <c r="OR221" s="43" t="str">
        <f t="shared" si="957"/>
        <v/>
      </c>
      <c r="OS221" s="43" t="str">
        <f t="shared" si="958"/>
        <v/>
      </c>
      <c r="OT221" s="43" t="str">
        <f t="shared" si="959"/>
        <v/>
      </c>
      <c r="OU221" s="43" t="str">
        <f t="shared" si="960"/>
        <v/>
      </c>
      <c r="OV221" s="110" t="str">
        <f t="shared" si="961"/>
        <v/>
      </c>
      <c r="OW221" s="43" t="str">
        <f t="shared" si="962"/>
        <v/>
      </c>
      <c r="OX221" s="43" t="str">
        <f t="shared" si="963"/>
        <v/>
      </c>
      <c r="OY221" s="43" t="str">
        <f t="shared" si="964"/>
        <v/>
      </c>
      <c r="OZ221" s="43" t="str">
        <f t="shared" si="965"/>
        <v/>
      </c>
      <c r="PA221" s="43" t="str">
        <f t="shared" si="966"/>
        <v/>
      </c>
      <c r="PB221" s="43" t="str">
        <f t="shared" si="967"/>
        <v/>
      </c>
      <c r="PC221" s="43" t="str">
        <f t="shared" si="968"/>
        <v/>
      </c>
      <c r="PD221" s="43" t="str">
        <f t="shared" si="969"/>
        <v/>
      </c>
      <c r="PE221" s="43" t="str">
        <f t="shared" si="970"/>
        <v/>
      </c>
      <c r="PF221" s="43" t="str">
        <f t="shared" si="971"/>
        <v/>
      </c>
      <c r="PG221" s="43" t="str">
        <f t="shared" si="972"/>
        <v/>
      </c>
      <c r="PH221" s="43" t="str">
        <f t="shared" si="973"/>
        <v/>
      </c>
      <c r="PI221" s="43">
        <f t="shared" si="974"/>
        <v>10</v>
      </c>
      <c r="PJ221" s="43" t="str">
        <f t="shared" si="975"/>
        <v/>
      </c>
      <c r="PK221" s="43" t="str">
        <f t="shared" si="976"/>
        <v>SOBREPESO</v>
      </c>
      <c r="PL221" s="43" t="str">
        <f t="shared" si="977"/>
        <v/>
      </c>
      <c r="PM221" s="43" t="str">
        <f t="shared" si="978"/>
        <v/>
      </c>
      <c r="PN221" s="43" t="str">
        <f t="shared" si="979"/>
        <v/>
      </c>
      <c r="PO221" s="43" t="str">
        <f t="shared" si="980"/>
        <v/>
      </c>
      <c r="PP221" s="43" t="str">
        <f t="shared" si="981"/>
        <v/>
      </c>
      <c r="PQ221" s="43" t="str">
        <f t="shared" si="982"/>
        <v/>
      </c>
      <c r="PR221" s="43" t="str">
        <f t="shared" si="983"/>
        <v/>
      </c>
      <c r="PS221" s="43" t="str">
        <f t="shared" si="984"/>
        <v/>
      </c>
      <c r="PT221" s="43" t="str">
        <f t="shared" si="985"/>
        <v/>
      </c>
      <c r="PU221" s="43" t="str">
        <f t="shared" si="986"/>
        <v/>
      </c>
      <c r="PV221" s="43" t="str">
        <f t="shared" si="987"/>
        <v/>
      </c>
      <c r="PW221" s="43" t="str">
        <f t="shared" si="988"/>
        <v/>
      </c>
      <c r="PX221" s="43" t="str">
        <f t="shared" si="989"/>
        <v/>
      </c>
      <c r="PY221" s="43" t="str">
        <f t="shared" si="990"/>
        <v/>
      </c>
      <c r="PZ221" s="43" t="str">
        <f t="shared" si="991"/>
        <v/>
      </c>
      <c r="QA221" s="43" t="str">
        <f t="shared" si="992"/>
        <v/>
      </c>
      <c r="QB221" s="43" t="str">
        <f t="shared" si="993"/>
        <v/>
      </c>
      <c r="QC221" s="43" t="str">
        <f t="shared" si="994"/>
        <v/>
      </c>
      <c r="QD221" s="43" t="str">
        <f t="shared" si="995"/>
        <v/>
      </c>
      <c r="QE221" s="43" t="str">
        <f t="shared" si="996"/>
        <v/>
      </c>
      <c r="QF221" s="43" t="str">
        <f t="shared" si="997"/>
        <v/>
      </c>
      <c r="QG221" s="43" t="str">
        <f t="shared" si="998"/>
        <v/>
      </c>
      <c r="QH221" s="43" t="str">
        <f t="shared" si="999"/>
        <v/>
      </c>
      <c r="QI221" s="43" t="str">
        <f t="shared" si="1000"/>
        <v/>
      </c>
      <c r="QJ221" s="43" t="str">
        <f t="shared" si="1001"/>
        <v/>
      </c>
      <c r="QK221" s="43" t="str">
        <f t="shared" si="1002"/>
        <v/>
      </c>
      <c r="QL221" s="43" t="str">
        <f t="shared" si="1003"/>
        <v/>
      </c>
      <c r="QM221" s="43" t="str">
        <f t="shared" si="1004"/>
        <v/>
      </c>
      <c r="QN221" s="43" t="str">
        <f t="shared" si="1005"/>
        <v/>
      </c>
      <c r="QO221" s="43" t="str">
        <f t="shared" si="1006"/>
        <v/>
      </c>
      <c r="QP221" s="43" t="str">
        <f t="shared" si="1007"/>
        <v/>
      </c>
      <c r="QQ221" s="43" t="str">
        <f t="shared" si="1008"/>
        <v/>
      </c>
      <c r="QR221" s="43" t="str">
        <f t="shared" si="1009"/>
        <v>Menor</v>
      </c>
      <c r="QS221" s="43"/>
      <c r="QT221" s="21" t="str">
        <f t="shared" si="1010"/>
        <v/>
      </c>
      <c r="QU221" s="21" t="str">
        <f t="shared" si="1011"/>
        <v/>
      </c>
      <c r="QV221" s="21" t="str">
        <f t="shared" si="1012"/>
        <v/>
      </c>
      <c r="QW221" s="21" t="str">
        <f t="shared" si="1013"/>
        <v/>
      </c>
      <c r="QX221" s="21" t="str">
        <f t="shared" si="1014"/>
        <v/>
      </c>
      <c r="QY221" s="21" t="str">
        <f t="shared" si="1015"/>
        <v/>
      </c>
      <c r="QZ221" s="21" t="str">
        <f t="shared" si="1016"/>
        <v/>
      </c>
      <c r="RA221" s="21" t="str">
        <f t="shared" si="1017"/>
        <v/>
      </c>
      <c r="RB221" s="21" t="str">
        <f t="shared" si="1018"/>
        <v/>
      </c>
      <c r="RC221" s="21" t="str">
        <f t="shared" si="1019"/>
        <v/>
      </c>
      <c r="RD221" s="21" t="str">
        <f t="shared" si="1020"/>
        <v/>
      </c>
      <c r="RE221" s="21" t="str">
        <f t="shared" si="1021"/>
        <v/>
      </c>
      <c r="RF221" s="21" t="str">
        <f t="shared" si="1022"/>
        <v/>
      </c>
      <c r="RG221" s="21" t="str">
        <f t="shared" si="1023"/>
        <v/>
      </c>
      <c r="RH221" s="21" t="str">
        <f t="shared" si="1024"/>
        <v/>
      </c>
      <c r="RI221" s="21" t="str">
        <f t="shared" si="1025"/>
        <v/>
      </c>
      <c r="RJ221" s="21" t="str">
        <f t="shared" si="1026"/>
        <v/>
      </c>
      <c r="RK221" s="21" t="str">
        <f t="shared" si="1027"/>
        <v/>
      </c>
      <c r="RL221" s="21" t="str">
        <f t="shared" si="1028"/>
        <v/>
      </c>
      <c r="RM221" s="21" t="str">
        <f t="shared" si="1029"/>
        <v/>
      </c>
      <c r="RN221" s="21" t="str">
        <f t="shared" si="1030"/>
        <v/>
      </c>
      <c r="RO221" s="21" t="str">
        <f t="shared" si="1031"/>
        <v/>
      </c>
      <c r="RP221" s="21" t="str">
        <f t="shared" si="1032"/>
        <v/>
      </c>
      <c r="RQ221" s="21" t="str">
        <f t="shared" si="1033"/>
        <v/>
      </c>
      <c r="RR221" s="21" t="str">
        <f t="shared" si="1034"/>
        <v/>
      </c>
      <c r="RS221" s="21" t="str">
        <f t="shared" si="1035"/>
        <v/>
      </c>
      <c r="RT221" s="21" t="str">
        <f t="shared" si="1036"/>
        <v/>
      </c>
      <c r="RU221" s="21" t="str">
        <f t="shared" si="1037"/>
        <v/>
      </c>
      <c r="RV221" s="21">
        <f t="shared" si="1038"/>
        <v>-1</v>
      </c>
      <c r="RW221" s="284">
        <f>IF(OR(Tabla1[[#This Row],[FUM FORMULA CONFIABLE]]="",Tabla1[[#This Row],[FUM FORMULA CONFIABLE]]="SD"),"",IF(Tabla1[[#This Row],[FUM FORMULA CONFIABLE]]="CORREGIDA",Tabla1[[#This Row],[FUM X ECO 1]],Tabla1[[#This Row],[FUM x AMENORREA]]))</f>
        <v>45063</v>
      </c>
      <c r="RX221" s="21" t="str">
        <f>IF(AND(Tabla1[[#This Row],[FUM X ECO 1]]="",Tabla1[[#This Row],[FUM x AMENORREA]]=""),"",IF(AND(Tabla1[[#This Row],[FUM X ECO 1]]="",Tabla1[[#This Row],[FUM x AMENORREA]]&lt;&gt;""),"X",SUM(Tabla1[[#This Row],[FUM X ECO 1]]-Tabla1[[#This Row],[FUM x AMENORREA]])))</f>
        <v>X</v>
      </c>
      <c r="RY221" s="21" t="str">
        <f t="shared" si="1039"/>
        <v>x</v>
      </c>
    </row>
    <row r="222" spans="1:493" ht="45" customHeight="1" x14ac:dyDescent="0.25">
      <c r="A222" s="109"/>
      <c r="B222" s="43"/>
      <c r="C222" s="299" t="s">
        <v>845</v>
      </c>
      <c r="D222" s="124"/>
      <c r="E222" s="43" t="s">
        <v>1598</v>
      </c>
      <c r="F222" s="43" t="s">
        <v>1599</v>
      </c>
      <c r="G222" s="43" t="s">
        <v>1597</v>
      </c>
      <c r="H222" s="43"/>
      <c r="I222" s="109" t="s">
        <v>851</v>
      </c>
      <c r="J222" s="110">
        <v>1002846452</v>
      </c>
      <c r="K222" s="43" t="s">
        <v>852</v>
      </c>
      <c r="L222" s="175" t="s">
        <v>1509</v>
      </c>
      <c r="M222" s="22">
        <v>35871</v>
      </c>
      <c r="N222" s="213">
        <f t="shared" ca="1" si="839"/>
        <v>25.649315068493152</v>
      </c>
      <c r="O222" s="22">
        <v>45148</v>
      </c>
      <c r="P222" s="214" t="str">
        <f t="shared" si="916"/>
        <v>SI</v>
      </c>
      <c r="Q222" s="26" t="s">
        <v>855</v>
      </c>
      <c r="R222" s="22">
        <v>45148</v>
      </c>
      <c r="S222" s="21" t="s">
        <v>856</v>
      </c>
      <c r="T222" s="24" t="s">
        <v>690</v>
      </c>
      <c r="U222" s="21" t="s">
        <v>857</v>
      </c>
      <c r="V222" s="21" t="s">
        <v>858</v>
      </c>
      <c r="W222" s="21" t="s">
        <v>1600</v>
      </c>
      <c r="X222" s="21"/>
      <c r="Y222" s="21" t="s">
        <v>1600</v>
      </c>
      <c r="Z222" s="21">
        <v>3167008713</v>
      </c>
      <c r="AA222" s="21" t="s">
        <v>860</v>
      </c>
      <c r="AB222" s="27" t="s">
        <v>861</v>
      </c>
      <c r="AC222" s="26" t="s">
        <v>877</v>
      </c>
      <c r="AD222" s="38" t="s">
        <v>1546</v>
      </c>
      <c r="AE222" s="26" t="s">
        <v>854</v>
      </c>
      <c r="AF222" s="26" t="s">
        <v>854</v>
      </c>
      <c r="AG222" s="23" t="s">
        <v>864</v>
      </c>
      <c r="AH222" s="23" t="s">
        <v>864</v>
      </c>
      <c r="AI222" s="24" t="s">
        <v>863</v>
      </c>
      <c r="AJ222" s="23" t="s">
        <v>864</v>
      </c>
      <c r="AK222" s="220" t="str">
        <f>IF(AND(AD222="",AE222="",AF222="",AG222="",AH222="",AI222="",AJ222=""),"",IF(OR(Tabla1[[#This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EVALUACIÓN",IF(AND(O222="",R222=""),"",IF(AND(OR(O222&gt;0,R222&gt;0),NG222&gt;=0,NG222&lt;2),"SIN RIESGO",IF(AND(OR(O222&gt;0,R222&gt;0),NG222&gt;=2),"CON RIESGO","ASD")))))</f>
        <v>SIN RIESGO</v>
      </c>
      <c r="AL222" s="26" t="s">
        <v>864</v>
      </c>
      <c r="AM222" s="26" t="s">
        <v>864</v>
      </c>
      <c r="AN222" s="26" t="s">
        <v>864</v>
      </c>
      <c r="AO222" s="26" t="s">
        <v>864</v>
      </c>
      <c r="AP222" s="26" t="s">
        <v>864</v>
      </c>
      <c r="AQ222" s="26" t="s">
        <v>864</v>
      </c>
      <c r="AR222" s="26" t="s">
        <v>864</v>
      </c>
      <c r="AS222" s="21">
        <v>1</v>
      </c>
      <c r="AT222" s="21">
        <v>1</v>
      </c>
      <c r="AU222" s="21">
        <v>0</v>
      </c>
      <c r="AV222" s="26" t="s">
        <v>864</v>
      </c>
      <c r="AW222" s="21">
        <v>0</v>
      </c>
      <c r="AX222" s="26" t="s">
        <v>864</v>
      </c>
      <c r="AY222" s="26" t="s">
        <v>864</v>
      </c>
      <c r="AZ222" s="26" t="s">
        <v>864</v>
      </c>
      <c r="BA222" s="26" t="s">
        <v>864</v>
      </c>
      <c r="BB222" s="26" t="s">
        <v>864</v>
      </c>
      <c r="BC222" s="26" t="s">
        <v>864</v>
      </c>
      <c r="BD222" s="26" t="s">
        <v>864</v>
      </c>
      <c r="BE222" s="26" t="s">
        <v>864</v>
      </c>
      <c r="BF222" s="26" t="s">
        <v>864</v>
      </c>
      <c r="BG222" s="26" t="s">
        <v>864</v>
      </c>
      <c r="BH222" s="26" t="s">
        <v>864</v>
      </c>
      <c r="BI222" s="26" t="s">
        <v>864</v>
      </c>
      <c r="BJ222" s="26" t="s">
        <v>864</v>
      </c>
      <c r="BK222" s="26" t="s">
        <v>864</v>
      </c>
      <c r="BL222" s="26" t="s">
        <v>864</v>
      </c>
      <c r="BM222" s="26" t="s">
        <v>864</v>
      </c>
      <c r="BN222" s="22">
        <v>42505</v>
      </c>
      <c r="BO222" s="22">
        <v>45023</v>
      </c>
      <c r="BP222" s="21" t="s">
        <v>854</v>
      </c>
      <c r="BQ222" s="222">
        <f t="shared" si="840"/>
        <v>83.933333333333337</v>
      </c>
      <c r="BR222" s="223">
        <f t="shared" si="841"/>
        <v>45023</v>
      </c>
      <c r="BS222" s="224">
        <f t="shared" si="842"/>
        <v>17.857142857142858</v>
      </c>
      <c r="BT222" s="216" t="str">
        <f t="shared" si="843"/>
        <v>II TRIM</v>
      </c>
      <c r="BU222" s="214">
        <f t="shared" ca="1" si="925"/>
        <v>30</v>
      </c>
      <c r="BV222" s="25" t="s">
        <v>988</v>
      </c>
      <c r="BW222" s="22">
        <v>45149</v>
      </c>
      <c r="BX222" s="28">
        <v>18</v>
      </c>
      <c r="BY222" s="28"/>
      <c r="BZ222" s="22"/>
      <c r="CA222" s="21"/>
      <c r="CB222" s="26"/>
      <c r="CC222" s="26" t="s">
        <v>864</v>
      </c>
      <c r="CD222" s="26" t="s">
        <v>865</v>
      </c>
      <c r="CE222" s="26" t="s">
        <v>864</v>
      </c>
      <c r="CF222" s="22" t="s">
        <v>1517</v>
      </c>
      <c r="CG222" s="21">
        <v>1.54</v>
      </c>
      <c r="CH222" s="21">
        <v>64</v>
      </c>
      <c r="CI222" s="214">
        <f t="shared" si="845"/>
        <v>26.986001011975038</v>
      </c>
      <c r="CJ222" s="225" t="e">
        <f>IF(AND(CI222&lt;10,CH222="SD"),"SIN DATO PESO PREGESTACION O I TRIM",IF(AND(OR(R222&gt;0,O222&gt;0),CI222="X"),"INGRESAR DATO DE PESO",IF(CI222="SD","INGRESAR DATO DE TALLA Y PESO",IF(AND(OR(Tabla1[[#This Row],[MOMENTO EN QUE SE REALIZA EL PESO AL INGRESO A CPN]]="PREGESTACIÓN",NZ222="Menor"),CI222&lt;18.5),"BAJO PESO",IF(AND(OR(Tabla1[[#This Row],[MOMENTO EN QUE SE REALIZA EL PESO AL INGRESO A CPN]]="PREGESTACIÓN",NZ222="Menor"),CI222&lt;25),"NORMAL",IF(AND(OR(Tabla1[[#This Row],[MOMENTO EN QUE SE REALIZA EL PESO AL INGRESO A CPN]]="PREGESTACIÓN",NZ222="Menor"),CI222&lt;30),"SOBREPESO",IF(AND(OR(Tabla1[[#This Row],[MOMENTO EN QUE SE REALIZA EL PESO AL INGRESO A CPN]]="PREGESTACIÓN",NZ222="Menor"),CI222&gt;=30,CI222&lt;50),"OBESIDAD",IF(AND(BS222&gt;0,Tabla1[[#This Row],[MOMENTO EN QUE SE REALIZA EL PESO AL INGRESO A CPN]]="GESTACIÓN"),HLOOKUP(NZ222,$OA$2:PH222,NY222),""))))))))</f>
        <v>#REF!</v>
      </c>
      <c r="CK222" s="212">
        <f t="shared" si="846"/>
        <v>45148</v>
      </c>
      <c r="CL222" s="21">
        <v>64</v>
      </c>
      <c r="CM222" s="214">
        <f t="shared" si="847"/>
        <v>26.986001011975038</v>
      </c>
      <c r="CN222" s="216">
        <f t="shared" si="848"/>
        <v>17</v>
      </c>
      <c r="CO222" s="216" t="e">
        <f>IF(PI222="","",IF(PI222&gt;0,HLOOKUP(PI222,$PJ$2:QQ222,NY222),""))</f>
        <v>#REF!</v>
      </c>
      <c r="CP222" s="21"/>
      <c r="CQ222" s="216" t="e">
        <f>IF(QR222="Menor","NO APLICA-MENOR 13 SEM",IF(AND(CC222="SI",CN222&gt;23),"NO APLICA- GEMELAR",IF(QR222="","",IF(QR222&gt;0,HLOOKUP(QR222,$QS$2:RU222,NY222),""))))</f>
        <v>#REF!</v>
      </c>
      <c r="CR222" s="21"/>
      <c r="CS222" s="21"/>
      <c r="CT222" s="217" t="str">
        <f>IF(R222="","",IF(AND(BS222&gt;1,BS222&lt;12,Tabla1[[#This Row],[T.A. SISTOLICA - ANTES DE SEMANA 12]]="",Tabla1[[#This Row],[T.A. DIASTOLICA - ANTES DE SEMANA 12]]=""),"REGISTRE DATO TA ANTES SEMANA 12",IF(AND(BS222&gt;11,BS222&lt;43,Tabla1[[#This Row],[T.A. SISTOLICA - ANTES DE SEMANA 12]]="",Tabla1[[#This Row],[T.A. DIASTOLICA - ANTES DE SEMANA 12]]=""),"NO APLICA REGISTRO TA-INGRESO TARDIO",IF(AND(OR(O222&gt;0,R222&gt;0),OR(CR222&gt;=140,CS222&gt;=90)),"DEFINIR ESTADIO HTA",IF(AND(OR(O222&gt;0,R222&gt;0),AND(CR222&gt;120,CR222&lt;=139)),"PRE HTA SEGUIMIENTO",IF(AND(OR(O222&gt;0,R222&gt;0),AND(CS222&gt;80,CS222&lt;=89)),"PRE HTA SEGUIMIENTO",IF(AND(OR(O222&gt;0,R222&gt;0),AND(CR222&gt;=80,CR222&lt;=120)),"APARENTEMENTE NORMAL",IF(AND(OR(O222&gt;0,R222&gt;0),AND(CS222&gt;=50,CS222&lt;=80)),"APARENTEMENTE NORMAL",IF(AND(OR(O222&gt;0,R222&gt;0),AND(CR222&gt;1,CR222&lt;=70),AND(CS222&gt;1,CS222&lt;=40)),"HIPOTENSIÓN","")))))))))</f>
        <v>NO APLICA REGISTRO TA-INGRESO TARDIO</v>
      </c>
      <c r="CU222" s="21"/>
      <c r="CV222" s="21"/>
      <c r="CW222" s="217" t="str">
        <f ca="1">IF(R222="","",IF(AND(CN222&gt;19,CN222&lt;27,Tabla1[[#This Row],[T.A. SISTOLICA (Entre semana 20 y 26)]]="",Tabla1[[#This Row],[T.A. DIATOLICA (Entre semana 20 y 26)]]=""),"ACUDE A CONTROL SEM 20 A 26 REGISTRE TA AHORA",IF(AND(BS222&gt;1,BS222&lt;27,BU222&gt;19,Tabla1[[#This Row],[T.A. SISTOLICA (Entre semana 20 y 26)]]="",Tabla1[[#This Row],[T.A. DIATOLICA (Entre semana 20 y 26)]]=""),"COMPLETE REGISTRO TA CONTROL SEM 20 A26 ",IF(AND(BS222&gt;26,BS222&lt;43,Tabla1[[#This Row],[T.A. SISTOLICA (Entre semana 20 y 26)]]="",Tabla1[[#This Row],[T.A. DIATOLICA (Entre semana 20 y 26)]]=""),"NO APLICA REGISTRO TA-INGRESO TARDIO",IF(AND(OR(O222&gt;0,R222&gt;0),OR(CU222&gt;=140,CV222&gt;=90)),"ALTO RIESGO PREECLAMPSIA,DEFINIR ESTADIO HTA",IF(AND(OR(O222&gt;0,R222&gt;0),AND(CU222&gt;120,CU222&lt;=139)),"PRE HTA SEGUIMIENTO,RIESGO HIPERTENSION INDUCIDA POR EL EMBARAZO",IF(AND(OR(O222&gt;0,R222&gt;0),AND(CV222&gt;80,CV222&lt;=89)),"PRE HTA SEGUIMIENTO, RIESGO HIPERTENSION INDUCIDA POR EL EMBARAZO",IF(AND(OR(O222&lt;&gt;"",R222&lt;&gt;""),CS222&lt;&gt;"",CV222&lt;&gt;"",CS222&lt;=CV222),"VIGILAR CIFRAS PRESION ARTERIAL",IF(AND(OR(O222&gt;0,R222&gt;0),AND(CU222&gt;120,CU222&lt;=139)),"PRE HTA SEGUIMIENTO",IF(AND(OR(O222&gt;0,R222&gt;0),AND(CU222&gt;1,CU222&lt;=70),AND(CV222&gt;1,CV222&lt;=40)),"HIPOTENSIÓN",IF(AND(OR(O222&lt;&gt;"",R222&lt;&gt;""),CS222&lt;&gt;"",CV222&lt;&gt;"",CS222&gt;CV222),"APARENTEMENTE NORMAL",IF(AND(OR(O222&gt;0,R222&gt;0),AND(CU222&gt;=80,CU222&lt;=120)),"APARENTEMENTE NORMAL",IF(AND(OR(O222&gt;0,R222&gt;0),AND(CV222&gt;=50,CV222&lt;=80)),"APARENTEMENTE NORMAL","")))))))))))))</f>
        <v xml:space="preserve">COMPLETE REGISTRO TA CONTROL SEM 20 A26 </v>
      </c>
      <c r="CX222" s="21"/>
      <c r="CY222" s="21"/>
      <c r="CZ222" s="216" t="str">
        <f t="shared" ref="CZ222:CZ247" si="1042">IF(R222="","",IF(AND(CN222&gt;31,CN222&lt;35,CX222="",CY222=""),"ACUDE A CONTROL SEM 30 A 34- REGISTRE AHORA",IF(AND(BS222&gt;34,BS222&lt;43,CX223="",CY223=""),"NO APLICA-INGRESO TARDIO",IF(AND(OR(O222&gt;0,R222&gt;0),OR(CX222&gt;=140,CY222&gt;=90)),"ESTUDIO INMEDIATO HTA PARA DESCARTAR PREECLAMSIA",IF(AND(OR(O222&gt;0,R222&gt;0),AND(CX222&gt;=130,CX222&lt;=139)),"PRE HTA,RIESGO ALTO PREECLAMPSIA",IF(AND(OR(O222&gt;0,R222&gt;0),AND(CY222&gt;80,CY222&lt;=89)),"PRE HTA,RIESGO ALTO PREECLAMPSIA",IF(AND(OR(O222&gt;0,R222&gt;0),AND(CX222&gt;120,CX222&lt;=129)),"RANGO PREHIPERTENSIVO SEGUIMIENTO HTA",IF(AND(OR(O222&lt;&gt;"",R222&lt;&gt;""),CS222&lt;&gt;"",CY222&lt;&gt;"",CS222&lt;CY222),"VIGILAR CIFRAS PRESION ARTERIAL",IF(AND(OR(O222&lt;&gt;"",R222&lt;&gt;""),CS222&lt;&gt;"",CY222&lt;&gt;"",CS222=CY222),"APARENTEMENTE NORMAL",IF(AND(OR(O222&gt;0,R222&gt;0),CX222&gt;=80,CX222&lt;=120),"APARENTEMENTE NORMAL",IF(AND(OR(O222&gt;0,R222&gt;0),CY222&gt;=50,CY222&lt;=80),"APARENTEMENTE NORMAL","")))))))))))</f>
        <v/>
      </c>
      <c r="DA222" s="21">
        <v>100</v>
      </c>
      <c r="DB222" s="21">
        <v>60</v>
      </c>
      <c r="DC222" s="217" t="str">
        <f t="shared" si="849"/>
        <v>APARENTEMENTE NORMAL</v>
      </c>
      <c r="DD222" s="22">
        <v>45148</v>
      </c>
      <c r="DE222" s="22">
        <v>45148</v>
      </c>
      <c r="DF222" s="22"/>
      <c r="DG222" s="22"/>
      <c r="DH222" s="22"/>
      <c r="DI222" s="22"/>
      <c r="DJ222" s="22"/>
      <c r="DK222" s="22"/>
      <c r="DL222" s="22"/>
      <c r="DM222" s="22"/>
      <c r="DN222" s="22"/>
      <c r="DO222" s="22"/>
      <c r="DP222" s="22"/>
      <c r="DQ222" s="22"/>
      <c r="DR222" s="28">
        <v>1</v>
      </c>
      <c r="DS222" s="22"/>
      <c r="DT222" s="22"/>
      <c r="DU222" s="216" t="str">
        <f t="shared" ca="1" si="917"/>
        <v>PLANEAR PLAN DE PARTO</v>
      </c>
      <c r="DV222" s="226" t="str">
        <f t="shared" si="918"/>
        <v>ACTIVA INGRESO A CPN</v>
      </c>
      <c r="DW22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2" s="216" t="e">
        <f t="shared" ca="1" si="850"/>
        <v>#REF!</v>
      </c>
      <c r="DY222" s="212">
        <f>IF(R222="","",IF(R222&gt;0,MAX(Tabla1[[#This Row],[FECHA C2]:[FECHA C13]],Tabla1[[#This Row],[FECHA CONSULTA PRIMERA VEZ PROGRAMA CPN ]])))</f>
        <v>45148</v>
      </c>
      <c r="DZ222" s="216">
        <f t="shared" si="851"/>
        <v>17</v>
      </c>
      <c r="EA222" s="222">
        <f>IF(R222&gt;0,SUM(COUNTA(DF222:DQ222)+COUNTA(Tabla1[[#This Row],[FECHA CONSULTA PRIMERA VEZ PROGRAMA CPN ]])),"")</f>
        <v>1</v>
      </c>
      <c r="EB222" s="222" t="str">
        <f t="shared" si="852"/>
        <v>NO</v>
      </c>
      <c r="EC222" s="214">
        <f t="shared" si="853"/>
        <v>7</v>
      </c>
      <c r="ED222" s="227">
        <f t="shared" si="854"/>
        <v>0.14285714285714285</v>
      </c>
      <c r="EE222" s="22">
        <v>45148</v>
      </c>
      <c r="EF222" s="22">
        <v>45148</v>
      </c>
      <c r="EG222" s="22">
        <v>45148</v>
      </c>
      <c r="EH222" s="22"/>
      <c r="EI222" s="22">
        <v>45148</v>
      </c>
      <c r="EJ222" s="22"/>
      <c r="EK222" s="22"/>
      <c r="EL222" s="21"/>
      <c r="EM222" s="21">
        <v>13.3</v>
      </c>
      <c r="EN222" s="22">
        <v>45149</v>
      </c>
      <c r="EO222" s="222">
        <f t="shared" si="855"/>
        <v>18</v>
      </c>
      <c r="EP222" s="214" t="str">
        <f t="shared" si="856"/>
        <v>NORMAL- SUMINISTRAR SULFATO FERROSO</v>
      </c>
      <c r="EQ222" s="216" t="str">
        <f t="shared" si="857"/>
        <v>II TRIM</v>
      </c>
      <c r="ER222" s="24"/>
      <c r="ES222" s="22"/>
      <c r="ET222" s="29" t="str">
        <f t="shared" ca="1" si="919"/>
        <v>EN SEMANA 28 TOMA INMEDIATA DE EXAMEN</v>
      </c>
      <c r="EU222" s="25" t="str">
        <f t="shared" si="858"/>
        <v/>
      </c>
      <c r="EV222" s="24" t="s">
        <v>1510</v>
      </c>
      <c r="EW222" s="32">
        <v>45149</v>
      </c>
      <c r="EX222" s="22"/>
      <c r="EY222" s="29">
        <f t="shared" si="1040"/>
        <v>18</v>
      </c>
      <c r="EZ222" s="25" t="str">
        <f t="shared" si="1041"/>
        <v>SIN RIESGO DE ISOINMUNIZACIÓN</v>
      </c>
      <c r="FA222" s="21">
        <v>51</v>
      </c>
      <c r="FB222" s="22">
        <v>45149</v>
      </c>
      <c r="FC222" s="29">
        <f t="shared" si="859"/>
        <v>18</v>
      </c>
      <c r="FD222" s="29"/>
      <c r="FE222" s="29"/>
      <c r="FF222" s="29"/>
      <c r="FG222" s="21" t="str">
        <f t="shared" ca="1" si="860"/>
        <v>TOMAR PTOG</v>
      </c>
      <c r="FH222" s="31"/>
      <c r="FI222" s="29" t="str">
        <f t="shared" si="861"/>
        <v>TOMAR EXAMEN</v>
      </c>
      <c r="FJ222" s="22"/>
      <c r="FK222" s="22"/>
      <c r="FL222" s="29" t="str">
        <f t="shared" ca="1" si="862"/>
        <v>NO APLICA-INGRESO TARDIO</v>
      </c>
      <c r="FM222" s="22" t="s">
        <v>867</v>
      </c>
      <c r="FN222" s="32">
        <v>45149</v>
      </c>
      <c r="FO222" s="29">
        <f t="shared" ca="1" si="920"/>
        <v>18</v>
      </c>
      <c r="FP222" s="22"/>
      <c r="FQ222" s="32"/>
      <c r="FR222" s="29" t="str">
        <f t="shared" ca="1" si="921"/>
        <v>EN RANGO PARA TOMAR EXAMEN</v>
      </c>
      <c r="FS222" s="22"/>
      <c r="FT222" s="32"/>
      <c r="FU222" s="29" t="str">
        <f>IF(AND(FJ222="",FM222="",FP222="",FS222=""),"",IF(OR(OR(Tabla1[[#This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2" s="28"/>
      <c r="FW222" s="22"/>
      <c r="FX222" s="29" t="str">
        <f t="shared" si="863"/>
        <v>TOMAR EXAMEN</v>
      </c>
      <c r="FY222" s="22"/>
      <c r="FZ222" s="22"/>
      <c r="GA222" s="29" t="str">
        <f t="shared" ca="1" si="936"/>
        <v>NO APLICA-INGRESO TARDIO</v>
      </c>
      <c r="GB222" s="22" t="s">
        <v>868</v>
      </c>
      <c r="GC222" s="22">
        <v>45149</v>
      </c>
      <c r="GD222" s="29">
        <f t="shared" ca="1" si="937"/>
        <v>18</v>
      </c>
      <c r="GE222" s="22"/>
      <c r="GF222" s="22"/>
      <c r="GG222" s="29" t="str">
        <f t="shared" ca="1" si="923"/>
        <v>EN RANGO PARA TOMAR EXAMEN</v>
      </c>
      <c r="GH222" s="22"/>
      <c r="GI222" s="29"/>
      <c r="GJ222" s="22"/>
      <c r="GK222" s="22"/>
      <c r="GL222" s="22"/>
      <c r="GM222" s="22"/>
      <c r="GN222" s="28" t="s">
        <v>869</v>
      </c>
      <c r="GO222" s="22">
        <v>45149</v>
      </c>
      <c r="GP222" s="29">
        <f t="shared" si="864"/>
        <v>18</v>
      </c>
      <c r="GQ222" s="28" t="s">
        <v>880</v>
      </c>
      <c r="GR222" s="28" t="s">
        <v>869</v>
      </c>
      <c r="GS222" s="22" t="str">
        <f t="shared" si="726"/>
        <v>SE EXCLUYE INFECCION</v>
      </c>
      <c r="GT222" s="22">
        <v>45149</v>
      </c>
      <c r="GU222" s="29">
        <f t="shared" si="865"/>
        <v>18</v>
      </c>
      <c r="GV222" s="21" t="str">
        <f t="shared" si="866"/>
        <v>II TRIM</v>
      </c>
      <c r="GW222" s="28"/>
      <c r="GX222" s="30"/>
      <c r="GY222" s="21"/>
      <c r="GZ222" s="21"/>
      <c r="HA222" s="21"/>
      <c r="HB222" s="21"/>
      <c r="HC222" s="21"/>
      <c r="HD222" s="21"/>
      <c r="HE222" s="21"/>
      <c r="HF222" s="22"/>
      <c r="HG222" s="22" t="str">
        <f>IF(OR(O222&gt;0,R222&gt;0),CONCATENATE(IF(Tabla1[[#This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2" s="22" t="e">
        <f t="shared" si="867"/>
        <v>#REF!</v>
      </c>
      <c r="HI222" s="22" t="e">
        <f t="shared" ca="1" si="868"/>
        <v>#REF!</v>
      </c>
      <c r="HJ222" s="21"/>
      <c r="HK222" s="21" t="str">
        <f t="shared" si="869"/>
        <v>SIN ANTECEDENTES DE RIESGO</v>
      </c>
      <c r="HL222" s="24" t="str">
        <f t="shared" si="870"/>
        <v>APARENTEMENTE NORMAL</v>
      </c>
      <c r="HM222" s="21" t="e">
        <f t="shared" ca="1" si="871"/>
        <v>#REF!</v>
      </c>
      <c r="HN222" s="30" t="str">
        <f t="shared" si="924"/>
        <v>ACTIVA INGRESO A CPN</v>
      </c>
      <c r="HO222" s="21"/>
      <c r="HP222" s="21"/>
      <c r="HQ222" s="349"/>
      <c r="HR222" s="21" t="str">
        <f>IF(R222="","",IF(Tabla1[[#This Row],[ALARMA FACTORES DE RIESGO COMPLICACIONES HIPERTENSIVAS3]]="SIN ANTECEDENTES DE RIESGO","No Aplica para suministro de ASA",IF(AND(Tabla1[[#This Row],[FECHA INICIO DE SUMINISTRO DE ASA]]&gt;0,RV222&lt;12),"Inicia ASA ANTES de Sem 12",IF(AND(RV222&gt;11,RV222&lt;17,OR(HK222="RIESGO ALTO DE COMPLICACIONES HIPERTENSIVAS VER MANEJO GUIA SUMINISTRO ASA Y CALCIO",HK222="RIESGO MODERADO (2 O MAS CRITERIOS) VER MANEJO GUIA SUMINISTRO ASA Y CALCIO")),"Inicio oportuno de ASA",IF(AND(RV222&gt;12,OR(HK222="RIESGO ALTO DE COMPLICACIONES HIPERTENSIVAS VER MANEJO GUIA SUMINISTRO ASA Y CALCIO",HK222="RIESGO MODERADO (2 O MAS CRITERIOS) VER MANEJO GUIA SUMINISTRO ASA Y CALCIO")),"Inicio no oportuno mayor a 16 semanas",IF(AND(BU222&lt;12,OR(HK222="RIESGO ALTO DE COMPLICACIONES HIPERTENSIVAS VER MANEJO GUIA SUMINISTRO ASA Y CALCIO",HK222="RIESGO MODERADO (2 O MAS CRITERIOS) VER MANEJO GUIA SUMINISTRO ASA Y CALCIO")),"Pendiente Inicio de ASA a la semana 12",IF(AND(BU222&gt;11,BU222&lt;17,OR(HK222="RIESGO ALTO DE COMPLICACIONES HIPERTENSIVAS VER MANEJO GUIA SUMINISTRO ASA Y CALCIO",HK222="RIESGO MODERADO (2 O MAS CRITERIOS) VER MANEJO GUIA SUMINISTRO ASA Y CALCIO")),"Iniciar de inmediato ASA",IF(AND(BU222&gt;16,OR(HK222="RIESGO ALTO DE COMPLICACIONES HIPERTENSIVAS VER MANEJO GUIA SUMINISTRO ASA Y CALCIO",HK222="RIESGO MODERADO (2 O MAS CRITERIOS) VER MANEJO GUIA SUMINISTRO ASA Y CALCIO")),"Pierde Oportunidad, Inicio tardío de ASA","XXXXX"))))))))</f>
        <v>No Aplica para suministro de ASA</v>
      </c>
      <c r="HS222" s="22">
        <v>45149</v>
      </c>
      <c r="HT222" s="22" t="s">
        <v>1518</v>
      </c>
      <c r="HU222" s="22"/>
      <c r="HV222" s="22"/>
      <c r="HW222" s="22">
        <v>45148</v>
      </c>
      <c r="HX222" s="22" t="s">
        <v>1511</v>
      </c>
      <c r="HY222" s="22"/>
      <c r="HZ222" s="28" t="str">
        <f t="shared" si="872"/>
        <v>PENDIENTE CONSULTA</v>
      </c>
      <c r="IA222" s="26"/>
      <c r="IB222" s="26"/>
      <c r="IC222" s="111"/>
      <c r="ID222" s="22"/>
      <c r="IE222" s="22" t="str">
        <f t="shared" ca="1" si="873"/>
        <v>INASISTENTE</v>
      </c>
      <c r="IF222" s="22"/>
      <c r="IG222" s="22">
        <f t="shared" si="874"/>
        <v>45303</v>
      </c>
      <c r="IH222" s="29">
        <f t="shared" ca="1" si="875"/>
        <v>70</v>
      </c>
      <c r="II222" s="22" t="str">
        <f t="shared" ca="1" si="876"/>
        <v>PENDIENTE</v>
      </c>
      <c r="IJ222" s="22"/>
      <c r="IK222" s="21"/>
      <c r="IL222" s="21"/>
      <c r="IM222" s="34"/>
      <c r="IN222" s="22"/>
      <c r="IO222" s="21"/>
      <c r="IP222" s="29" t="str">
        <f t="shared" si="877"/>
        <v/>
      </c>
      <c r="IQ222" s="35"/>
      <c r="IR222" s="21"/>
      <c r="IS222" s="21"/>
      <c r="IT222" s="21"/>
      <c r="IU222" s="21"/>
      <c r="IV222" s="21"/>
      <c r="IW222" s="21"/>
      <c r="IX222" s="21"/>
      <c r="IY222" s="21"/>
      <c r="IZ222" s="21"/>
      <c r="JA222" s="21"/>
      <c r="JB222" s="30"/>
      <c r="JC222" s="21"/>
      <c r="JD222" s="36"/>
      <c r="JE222" s="21" t="str">
        <f t="shared" si="878"/>
        <v/>
      </c>
      <c r="JF222" s="30"/>
      <c r="JG222" s="21"/>
      <c r="JH222" s="21"/>
      <c r="JI222" s="21"/>
      <c r="JJ222" s="30"/>
      <c r="JK222" s="22"/>
      <c r="JL222" s="22"/>
      <c r="JM222" s="21"/>
      <c r="JN222" s="36"/>
      <c r="JO222" s="21" t="str">
        <f t="shared" si="879"/>
        <v/>
      </c>
      <c r="JP222" s="22"/>
      <c r="JQ222" s="21"/>
      <c r="JR222" s="21"/>
      <c r="JS222" s="21"/>
      <c r="JT222" s="30"/>
      <c r="JU222" s="22"/>
      <c r="JV222" s="22"/>
      <c r="JW222" s="33"/>
      <c r="JX222" s="28" t="str">
        <f t="shared" si="880"/>
        <v/>
      </c>
      <c r="JY222" s="33"/>
      <c r="JZ222" s="28" t="str">
        <f t="shared" si="881"/>
        <v/>
      </c>
      <c r="KA222" s="21"/>
      <c r="KB222" s="21"/>
      <c r="KC222" s="21"/>
      <c r="KD222" s="37"/>
      <c r="KE222" s="28"/>
      <c r="KF222" s="28"/>
      <c r="KG222" s="28"/>
      <c r="KH222" s="39"/>
      <c r="KI222" s="39"/>
      <c r="KJ222" s="66"/>
      <c r="KK222" s="39"/>
      <c r="KL222" s="39"/>
      <c r="KM222" s="66"/>
      <c r="KN222" s="39"/>
      <c r="KO222" s="39"/>
      <c r="KP222" s="39"/>
      <c r="KQ222" s="39"/>
      <c r="KR222" s="39"/>
      <c r="KS222" s="39"/>
      <c r="KT222" s="39"/>
      <c r="KU222" s="38"/>
      <c r="KV222" s="38"/>
      <c r="KW222" s="38"/>
      <c r="KX222" s="38"/>
      <c r="KY222" s="38"/>
      <c r="KZ222" s="38"/>
      <c r="LA222" s="38"/>
      <c r="LB222" s="38"/>
      <c r="LC222" s="38"/>
      <c r="LD222" s="38"/>
      <c r="LE222" s="38"/>
      <c r="LF222" s="38"/>
      <c r="LG222" s="38"/>
      <c r="LH222" s="38"/>
      <c r="LI222" s="38"/>
      <c r="LJ222" s="38"/>
      <c r="LK222" s="38"/>
      <c r="LL222" s="38"/>
      <c r="LM222" s="38"/>
      <c r="LN222" s="38"/>
      <c r="LO222" s="38"/>
      <c r="LP222" s="38"/>
      <c r="LQ222" s="38"/>
      <c r="LR222" s="38"/>
      <c r="LS222" s="38"/>
      <c r="LT222" s="38"/>
      <c r="LU222" s="38"/>
      <c r="LV222" s="38"/>
      <c r="LW222" s="38"/>
      <c r="LX222" s="38"/>
      <c r="LY222" s="38"/>
      <c r="LZ222" s="38"/>
      <c r="MA222" s="38"/>
      <c r="MB222" s="38"/>
      <c r="MC222" s="38"/>
      <c r="MD222" s="38"/>
      <c r="ME222" s="38"/>
      <c r="MF222" s="38"/>
      <c r="MG222" s="38"/>
      <c r="MH222" s="43">
        <f t="shared" si="882"/>
        <v>0</v>
      </c>
      <c r="MI222" s="43" t="str">
        <f t="shared" si="926"/>
        <v/>
      </c>
      <c r="MJ222" s="43" t="str">
        <f t="shared" si="884"/>
        <v/>
      </c>
      <c r="MK222" s="43">
        <f t="shared" si="885"/>
        <v>0</v>
      </c>
      <c r="ML22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2" s="43">
        <f t="shared" si="927"/>
        <v>17.857142857142858</v>
      </c>
      <c r="MN222" s="43">
        <f t="shared" si="928"/>
        <v>8</v>
      </c>
      <c r="MO222" s="43">
        <f t="shared" si="929"/>
        <v>2023</v>
      </c>
      <c r="MP222" s="43" t="str">
        <f t="shared" si="889"/>
        <v>III TRIMESTRE AÑO</v>
      </c>
      <c r="MQ222" s="43">
        <f t="shared" si="930"/>
        <v>25.03011388523872</v>
      </c>
      <c r="MR222" s="43">
        <f t="shared" si="891"/>
        <v>0</v>
      </c>
      <c r="MS222" s="43" t="str">
        <f t="shared" si="892"/>
        <v xml:space="preserve"> DE 25 A 29 AÑOS</v>
      </c>
      <c r="MT222" s="43">
        <f t="shared" si="893"/>
        <v>0</v>
      </c>
      <c r="MU222" s="43">
        <f t="shared" si="894"/>
        <v>0</v>
      </c>
      <c r="MV222" s="43">
        <f t="shared" si="895"/>
        <v>0</v>
      </c>
      <c r="MW222" s="43">
        <f t="shared" si="896"/>
        <v>0</v>
      </c>
      <c r="MX222" s="43" t="str">
        <f t="shared" si="897"/>
        <v/>
      </c>
      <c r="MY222" s="43" t="str">
        <f t="shared" ca="1" si="898"/>
        <v/>
      </c>
      <c r="MZ222" s="43" t="str">
        <f t="shared" si="899"/>
        <v/>
      </c>
      <c r="NA222" s="43">
        <f t="shared" si="900"/>
        <v>0</v>
      </c>
      <c r="NB222" s="43" t="str">
        <f t="shared" si="901"/>
        <v/>
      </c>
      <c r="NC222" s="43" t="str">
        <f t="shared" si="902"/>
        <v/>
      </c>
      <c r="ND222" s="43">
        <f t="shared" ca="1" si="931"/>
        <v>0</v>
      </c>
      <c r="NE222" s="43">
        <f>IF(OR(O222&gt;0,R222&gt;0),SUM(COUNTIF(Tabla1[[#This Row],[AÑOS AL INICIO5 CPN]],"&gt;=40"),COUNTIF(AS222,"0"),COUNTIF(AR222,"SI"),COUNTIF(CC222,"SI"),COUNTIF(BQ222,"&gt;119"),COUNTIF(CI222,"&gt;=35")),"")</f>
        <v>0</v>
      </c>
      <c r="NF222" s="43" t="str">
        <f t="shared" si="932"/>
        <v/>
      </c>
      <c r="NG222" s="43">
        <f t="shared" si="905"/>
        <v>0</v>
      </c>
      <c r="NH222" s="43">
        <f t="shared" si="906"/>
        <v>126</v>
      </c>
      <c r="NI22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CPN",P222="NO"),"Z",IF(AND(Tabla1[[#This Row],[CITA PROXIMO CONTROL]]="CITA MANUAL",Tabla1[[#This Row],[GESTANTES ACTUALES]]="ACTIVA INGRESO A CPN"),"W",IF(AND(Tabla1[[#This Row],[GESTANTES ACTUALES]]="SALIO PROGRAMA",IN222=""),"S",IF(AND(Tabla1[[#This Row],[CITA PROXIMO CONTROL]]&gt;0,IN222=""),(Tabla1[[#This Row],[CITA PROXIMO CONTROL]]-TODAY()),"SD"))))))))</f>
        <v>#REF!</v>
      </c>
      <c r="NJ222" s="43">
        <f>MONTH(Tabla1[[#This Row],[FECHA DE SALIDA  DEL PROGRAMA]])</f>
        <v>1</v>
      </c>
      <c r="NK222" s="43">
        <f>YEAR(Tabla1[[#This Row],[FECHA DE SALIDA  DEL PROGRAMA]])</f>
        <v>1900</v>
      </c>
      <c r="NL222" s="43" t="str">
        <f t="shared" si="933"/>
        <v>X</v>
      </c>
      <c r="NM222" s="43" t="str">
        <f t="shared" si="938"/>
        <v>NO</v>
      </c>
      <c r="NN222" s="43" t="str">
        <f ca="1">IF(AND(O222&gt;0,R222=""),"NO CPN",IF(AND(O222="",R222=""),"",IF(AND(R222&gt;0,Tabla1[[#This Row],[SEMANAS DE GESTACION ACTUALIZADAS]]&lt;=12),"NO APLICA",IF(AND(FH222&lt;&gt;"",FN222&lt;&gt;""),"SI","NO"))))</f>
        <v>NO</v>
      </c>
      <c r="NO222" s="43" t="str">
        <f ca="1">IF(AND(O222&gt;0,R222=""),"NO CPN",IF(AND(O222="",R222=""),"",IF(AND(R222&gt;0,Tabla1[[#This Row],[SEMANAS DE GESTACION ACTUALIZADAS]]&lt;=27),"NO APLICA",IF(AND(ES222&lt;&gt;"",FQ222&lt;&gt;"",GF222&lt;&gt;""),"SI","NO"))))</f>
        <v>NO</v>
      </c>
      <c r="NP222" s="204" t="str">
        <f t="shared" si="909"/>
        <v>II TRIM</v>
      </c>
      <c r="NQ222" s="21" t="str">
        <f t="shared" ref="NQ222:NQ247" si="1043">IF(AND(IP223&gt;0,IP223&lt;37),10,IF(OR(CD223="Transversa",CD223="Oblicua"),9,IF(CC223="SI",8,IF(AND(AT223=0,AW223=0,CC223="NO",CD223="Cefálica",IP223&gt;=37,IT223="INICIO ESPONTÁNEO"),1,IF(AND(AND(AT223=0,AW223=0,CC223="NO",CD223="Cefálica",IP223&gt;=37),OR(IT223="LE HACEN INDUCCIÓN",IT223="LE HACEN CESÁREA SIN INICIO TRABAJO DE PARTO")),2,IF(AND(AT223&gt;=1,AW223=0,CC223="NO",CD223="Cefálica",IP223&gt;=37,IT223="INICIO ESPONTÁNEO"),3,IF(AND(AND(AT223&gt;=1,AW223=0,CC223="NO",CD223="Cefálica",IP223&gt;=37),OR(IT223="LE HACEN INDUCCIÓN",IT223="LE HACEN CESÁREA SIN INICIO TRABAJO DE PARTO")),4,IF(AND(AND(AT223&gt;=1,AW223&gt;=1,CC223="NO",CD223="Cefálica",IP223&gt;=37),OR(IT223="LE HACEN INDUCCIÓN",IT223="LE HACEN CESÁREA SIN INICIO TRABAJO DE PARTO",IT223="INICIO ESPONTÁNEO")),5,IF(AND(AND(AT223=0,AW223=0,CC223="NO",CD223="Podálica",IP223&gt;=1),OR(IT223="LE HACEN INDUCCIÓN",IT223="LE HACEN CESÁREA SIN INICIO TRABAJO DE PARTO",IT223="INICIO ESPONTÁNEO")),6,IF(AND(AND(AT223&gt;=1,CC223="NO",CD223="Podálica",IP223&gt;=1),OR(IT223="LE HACEN INDUCCIÓN",IT223="LE HACEN CESÁREA SIN INICIO TRABAJO DE PARTO",IT223="INICIO ESPONTÁNEO"),OR(AW223=0,AW223&gt;=1)),7,""))))))))))</f>
        <v/>
      </c>
      <c r="NR222" s="21">
        <f t="shared" ca="1" si="934"/>
        <v>2</v>
      </c>
      <c r="NS222" s="205">
        <f t="shared" ca="1" si="911"/>
        <v>1</v>
      </c>
      <c r="NT222" s="21">
        <f t="shared" ca="1" si="912"/>
        <v>1</v>
      </c>
      <c r="NU222" s="21" t="str">
        <f t="shared" ca="1" si="913"/>
        <v>INCOMPLETO</v>
      </c>
      <c r="NV222" s="21" t="str">
        <f t="shared" ca="1" si="914"/>
        <v>INCOMPLETO</v>
      </c>
      <c r="NW222" s="206" t="str">
        <f>IF(AND(O222="",R222=""),"",IF(OR(AND(Tabla1[[#This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2" s="207" t="str">
        <f t="shared" ca="1" si="935"/>
        <v>SIN VACUNAR</v>
      </c>
      <c r="NY222" s="43">
        <f>ROW(Tabla1[[#This Row],['# DE TAMIZAJES SIFILIS TOMADOS ]])</f>
        <v>222</v>
      </c>
      <c r="NZ222" s="43">
        <f t="shared" si="939"/>
        <v>17</v>
      </c>
      <c r="OA222" s="43" t="str">
        <f t="shared" si="940"/>
        <v/>
      </c>
      <c r="OB222" s="43" t="str">
        <f t="shared" si="941"/>
        <v/>
      </c>
      <c r="OC222" s="43" t="str">
        <f t="shared" si="942"/>
        <v/>
      </c>
      <c r="OD222" s="43" t="str">
        <f t="shared" si="943"/>
        <v/>
      </c>
      <c r="OE222" s="43" t="str">
        <f t="shared" si="944"/>
        <v/>
      </c>
      <c r="OF222" s="43" t="str">
        <f t="shared" si="945"/>
        <v/>
      </c>
      <c r="OG222" s="43" t="str">
        <f t="shared" si="946"/>
        <v/>
      </c>
      <c r="OH222" s="43" t="str">
        <f t="shared" si="947"/>
        <v/>
      </c>
      <c r="OI222" s="43" t="str">
        <f t="shared" si="948"/>
        <v>SOBREPESO</v>
      </c>
      <c r="OJ222" s="43" t="str">
        <f t="shared" si="949"/>
        <v/>
      </c>
      <c r="OK222" s="43" t="str">
        <f t="shared" si="950"/>
        <v/>
      </c>
      <c r="OL222" s="43" t="str">
        <f t="shared" si="951"/>
        <v/>
      </c>
      <c r="OM222" s="43" t="str">
        <f t="shared" si="952"/>
        <v/>
      </c>
      <c r="ON222" s="43" t="str">
        <f t="shared" si="953"/>
        <v/>
      </c>
      <c r="OO222" s="43" t="str">
        <f t="shared" si="954"/>
        <v/>
      </c>
      <c r="OP222" s="43" t="str">
        <f t="shared" si="955"/>
        <v/>
      </c>
      <c r="OQ222" s="43" t="str">
        <f t="shared" si="956"/>
        <v/>
      </c>
      <c r="OR222" s="43" t="str">
        <f t="shared" si="957"/>
        <v/>
      </c>
      <c r="OS222" s="43" t="str">
        <f t="shared" si="958"/>
        <v/>
      </c>
      <c r="OT222" s="43" t="str">
        <f t="shared" si="959"/>
        <v/>
      </c>
      <c r="OU222" s="43" t="str">
        <f t="shared" si="960"/>
        <v/>
      </c>
      <c r="OV222" s="110" t="str">
        <f t="shared" si="961"/>
        <v/>
      </c>
      <c r="OW222" s="43" t="str">
        <f t="shared" si="962"/>
        <v/>
      </c>
      <c r="OX222" s="43" t="str">
        <f t="shared" si="963"/>
        <v/>
      </c>
      <c r="OY222" s="43" t="str">
        <f t="shared" si="964"/>
        <v/>
      </c>
      <c r="OZ222" s="43" t="str">
        <f t="shared" si="965"/>
        <v/>
      </c>
      <c r="PA222" s="43" t="str">
        <f t="shared" si="966"/>
        <v/>
      </c>
      <c r="PB222" s="43" t="str">
        <f t="shared" si="967"/>
        <v/>
      </c>
      <c r="PC222" s="43" t="str">
        <f t="shared" si="968"/>
        <v/>
      </c>
      <c r="PD222" s="43" t="str">
        <f t="shared" si="969"/>
        <v/>
      </c>
      <c r="PE222" s="43" t="str">
        <f t="shared" si="970"/>
        <v/>
      </c>
      <c r="PF222" s="43" t="str">
        <f t="shared" si="971"/>
        <v/>
      </c>
      <c r="PG222" s="43" t="str">
        <f t="shared" si="972"/>
        <v/>
      </c>
      <c r="PH222" s="43" t="str">
        <f t="shared" si="973"/>
        <v/>
      </c>
      <c r="PI222" s="43">
        <f t="shared" si="974"/>
        <v>17</v>
      </c>
      <c r="PJ222" s="43" t="str">
        <f t="shared" si="975"/>
        <v/>
      </c>
      <c r="PK222" s="43" t="str">
        <f t="shared" si="976"/>
        <v/>
      </c>
      <c r="PL222" s="43" t="str">
        <f t="shared" si="977"/>
        <v/>
      </c>
      <c r="PM222" s="43" t="str">
        <f t="shared" si="978"/>
        <v/>
      </c>
      <c r="PN222" s="43" t="str">
        <f t="shared" si="979"/>
        <v/>
      </c>
      <c r="PO222" s="43" t="str">
        <f t="shared" si="980"/>
        <v/>
      </c>
      <c r="PP222" s="43" t="str">
        <f t="shared" si="981"/>
        <v/>
      </c>
      <c r="PQ222" s="43" t="str">
        <f t="shared" si="982"/>
        <v/>
      </c>
      <c r="PR222" s="43" t="str">
        <f t="shared" si="983"/>
        <v>SOBREPESO</v>
      </c>
      <c r="PS222" s="43" t="str">
        <f t="shared" si="984"/>
        <v/>
      </c>
      <c r="PT222" s="43" t="str">
        <f t="shared" si="985"/>
        <v/>
      </c>
      <c r="PU222" s="43" t="str">
        <f t="shared" si="986"/>
        <v/>
      </c>
      <c r="PV222" s="43" t="str">
        <f t="shared" si="987"/>
        <v/>
      </c>
      <c r="PW222" s="43" t="str">
        <f t="shared" si="988"/>
        <v/>
      </c>
      <c r="PX222" s="43" t="str">
        <f t="shared" si="989"/>
        <v/>
      </c>
      <c r="PY222" s="43" t="str">
        <f t="shared" si="990"/>
        <v/>
      </c>
      <c r="PZ222" s="43" t="str">
        <f t="shared" si="991"/>
        <v/>
      </c>
      <c r="QA222" s="43" t="str">
        <f t="shared" si="992"/>
        <v/>
      </c>
      <c r="QB222" s="43" t="str">
        <f t="shared" si="993"/>
        <v/>
      </c>
      <c r="QC222" s="43" t="str">
        <f t="shared" si="994"/>
        <v/>
      </c>
      <c r="QD222" s="43" t="str">
        <f t="shared" si="995"/>
        <v/>
      </c>
      <c r="QE222" s="43" t="str">
        <f t="shared" si="996"/>
        <v/>
      </c>
      <c r="QF222" s="43" t="str">
        <f t="shared" si="997"/>
        <v/>
      </c>
      <c r="QG222" s="43" t="str">
        <f t="shared" si="998"/>
        <v/>
      </c>
      <c r="QH222" s="43" t="str">
        <f t="shared" si="999"/>
        <v/>
      </c>
      <c r="QI222" s="43" t="str">
        <f t="shared" si="1000"/>
        <v/>
      </c>
      <c r="QJ222" s="43" t="str">
        <f t="shared" si="1001"/>
        <v/>
      </c>
      <c r="QK222" s="43" t="str">
        <f t="shared" si="1002"/>
        <v/>
      </c>
      <c r="QL222" s="43" t="str">
        <f t="shared" si="1003"/>
        <v/>
      </c>
      <c r="QM222" s="43" t="str">
        <f t="shared" si="1004"/>
        <v/>
      </c>
      <c r="QN222" s="43" t="str">
        <f t="shared" si="1005"/>
        <v/>
      </c>
      <c r="QO222" s="43" t="str">
        <f t="shared" si="1006"/>
        <v/>
      </c>
      <c r="QP222" s="43" t="str">
        <f t="shared" si="1007"/>
        <v/>
      </c>
      <c r="QQ222" s="43" t="str">
        <f t="shared" si="1008"/>
        <v/>
      </c>
      <c r="QR222" s="43">
        <f t="shared" si="1009"/>
        <v>17</v>
      </c>
      <c r="QS222" s="43"/>
      <c r="QT222" s="21" t="str">
        <f t="shared" si="1010"/>
        <v/>
      </c>
      <c r="QU222" s="21" t="str">
        <f t="shared" si="1011"/>
        <v/>
      </c>
      <c r="QV222" s="21" t="str">
        <f t="shared" si="1012"/>
        <v/>
      </c>
      <c r="QW222" s="21" t="str">
        <f t="shared" si="1013"/>
        <v/>
      </c>
      <c r="QX222" s="21" t="str">
        <f t="shared" si="1014"/>
        <v/>
      </c>
      <c r="QY222" s="21" t="str">
        <f t="shared" si="1015"/>
        <v/>
      </c>
      <c r="QZ222" s="21" t="str">
        <f t="shared" si="1016"/>
        <v/>
      </c>
      <c r="RA222" s="21" t="str">
        <f t="shared" si="1017"/>
        <v/>
      </c>
      <c r="RB222" s="21" t="str">
        <f t="shared" si="1018"/>
        <v/>
      </c>
      <c r="RC222" s="21" t="str">
        <f t="shared" si="1019"/>
        <v/>
      </c>
      <c r="RD222" s="21" t="str">
        <f t="shared" si="1020"/>
        <v/>
      </c>
      <c r="RE222" s="21" t="str">
        <f t="shared" si="1021"/>
        <v/>
      </c>
      <c r="RF222" s="21" t="str">
        <f t="shared" si="1022"/>
        <v/>
      </c>
      <c r="RG222" s="21" t="str">
        <f t="shared" si="1023"/>
        <v/>
      </c>
      <c r="RH222" s="21" t="str">
        <f t="shared" si="1024"/>
        <v/>
      </c>
      <c r="RI222" s="21" t="str">
        <f t="shared" si="1025"/>
        <v/>
      </c>
      <c r="RJ222" s="21" t="str">
        <f t="shared" si="1026"/>
        <v/>
      </c>
      <c r="RK222" s="21" t="str">
        <f t="shared" si="1027"/>
        <v/>
      </c>
      <c r="RL222" s="21" t="str">
        <f t="shared" si="1028"/>
        <v/>
      </c>
      <c r="RM222" s="21" t="str">
        <f t="shared" si="1029"/>
        <v/>
      </c>
      <c r="RN222" s="21" t="str">
        <f t="shared" si="1030"/>
        <v/>
      </c>
      <c r="RO222" s="21" t="str">
        <f t="shared" si="1031"/>
        <v/>
      </c>
      <c r="RP222" s="21" t="str">
        <f t="shared" si="1032"/>
        <v/>
      </c>
      <c r="RQ222" s="21" t="str">
        <f t="shared" si="1033"/>
        <v/>
      </c>
      <c r="RR222" s="21" t="str">
        <f t="shared" si="1034"/>
        <v/>
      </c>
      <c r="RS222" s="21" t="str">
        <f t="shared" si="1035"/>
        <v/>
      </c>
      <c r="RT222" s="21" t="str">
        <f t="shared" si="1036"/>
        <v/>
      </c>
      <c r="RU222" s="21" t="str">
        <f t="shared" si="1037"/>
        <v/>
      </c>
      <c r="RV222" s="21">
        <f t="shared" si="1038"/>
        <v>-1</v>
      </c>
      <c r="RW222" s="284">
        <f>IF(OR(Tabla1[[#This Row],[FUM FORMULA CONFIABLE]]="",Tabla1[[#This Row],[FUM FORMULA CONFIABLE]]="SD"),"",IF(Tabla1[[#This Row],[FUM FORMULA CONFIABLE]]="CORREGIDA",Tabla1[[#This Row],[FUM X ECO 1]],Tabla1[[#This Row],[FUM x AMENORREA]]))</f>
        <v>45023</v>
      </c>
      <c r="RX222" s="21">
        <f>IF(AND(Tabla1[[#This Row],[FUM X ECO 1]]="",Tabla1[[#This Row],[FUM x AMENORREA]]=""),"",IF(AND(Tabla1[[#This Row],[FUM X ECO 1]]="",Tabla1[[#This Row],[FUM x AMENORREA]]&lt;&gt;""),"X",SUM(Tabla1[[#This Row],[FUM X ECO 1]]-Tabla1[[#This Row],[FUM x AMENORREA]])))</f>
        <v>0</v>
      </c>
      <c r="RY222" s="21">
        <f t="shared" si="1039"/>
        <v>0</v>
      </c>
    </row>
    <row r="223" spans="1:493" ht="45" customHeight="1" x14ac:dyDescent="0.25">
      <c r="A223" s="109"/>
      <c r="B223" s="43"/>
      <c r="C223" s="299" t="s">
        <v>845</v>
      </c>
      <c r="D223" s="124"/>
      <c r="E223" s="43" t="s">
        <v>914</v>
      </c>
      <c r="F223" s="43" t="s">
        <v>1601</v>
      </c>
      <c r="G223" s="43" t="s">
        <v>1602</v>
      </c>
      <c r="H223" s="43"/>
      <c r="I223" s="109" t="s">
        <v>851</v>
      </c>
      <c r="J223" s="110">
        <v>1003370775</v>
      </c>
      <c r="K223" s="43" t="s">
        <v>852</v>
      </c>
      <c r="L223" s="175" t="s">
        <v>1509</v>
      </c>
      <c r="M223" s="22">
        <v>36712</v>
      </c>
      <c r="N223" s="213">
        <f t="shared" ca="1" si="839"/>
        <v>23.345205479452055</v>
      </c>
      <c r="O223" s="22">
        <v>45128</v>
      </c>
      <c r="P223" s="214" t="str">
        <f t="shared" si="916"/>
        <v>SI</v>
      </c>
      <c r="Q223" s="26" t="s">
        <v>1603</v>
      </c>
      <c r="R223" s="22">
        <v>45128</v>
      </c>
      <c r="S223" s="21" t="s">
        <v>856</v>
      </c>
      <c r="T223" s="24" t="s">
        <v>690</v>
      </c>
      <c r="U223" s="21" t="s">
        <v>857</v>
      </c>
      <c r="V223" s="21" t="s">
        <v>858</v>
      </c>
      <c r="W223" s="21" t="s">
        <v>1604</v>
      </c>
      <c r="X223" s="21"/>
      <c r="Y223" s="21" t="s">
        <v>1604</v>
      </c>
      <c r="Z223" s="21">
        <v>3107363019</v>
      </c>
      <c r="AA223" s="21" t="s">
        <v>860</v>
      </c>
      <c r="AB223" s="27" t="s">
        <v>861</v>
      </c>
      <c r="AC223" s="26" t="s">
        <v>888</v>
      </c>
      <c r="AD223" s="38" t="s">
        <v>1546</v>
      </c>
      <c r="AE223" s="26" t="s">
        <v>854</v>
      </c>
      <c r="AF223" s="26" t="s">
        <v>854</v>
      </c>
      <c r="AG223" s="23" t="s">
        <v>864</v>
      </c>
      <c r="AH223" s="23" t="s">
        <v>864</v>
      </c>
      <c r="AI223" s="24" t="s">
        <v>863</v>
      </c>
      <c r="AJ223" s="23" t="s">
        <v>864</v>
      </c>
      <c r="AK223" s="220" t="str">
        <f>IF(AND(AD223="",AE223="",AF223="",AG223="",AH223="",AI223="",AJ223=""),"",IF(OR(Tabla1[[#This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EVALUACIÓN",IF(AND(O223="",R223=""),"",IF(AND(OR(O223&gt;0,R223&gt;0),NG223&gt;=0,NG223&lt;2),"SIN RIESGO",IF(AND(OR(O223&gt;0,R223&gt;0),NG223&gt;=2),"CON RIESGO","ASD")))))</f>
        <v>SIN RIESGO</v>
      </c>
      <c r="AL223" s="26" t="s">
        <v>864</v>
      </c>
      <c r="AM223" s="26" t="s">
        <v>864</v>
      </c>
      <c r="AN223" s="26" t="s">
        <v>864</v>
      </c>
      <c r="AO223" s="26" t="s">
        <v>864</v>
      </c>
      <c r="AP223" s="26" t="s">
        <v>864</v>
      </c>
      <c r="AQ223" s="26" t="s">
        <v>864</v>
      </c>
      <c r="AR223" s="26" t="s">
        <v>864</v>
      </c>
      <c r="AS223" s="21">
        <v>0</v>
      </c>
      <c r="AT223" s="21">
        <v>0</v>
      </c>
      <c r="AU223" s="21">
        <v>0</v>
      </c>
      <c r="AV223" s="26" t="s">
        <v>864</v>
      </c>
      <c r="AW223" s="21">
        <v>0</v>
      </c>
      <c r="AX223" s="26" t="s">
        <v>864</v>
      </c>
      <c r="AY223" s="26" t="s">
        <v>864</v>
      </c>
      <c r="AZ223" s="26" t="s">
        <v>864</v>
      </c>
      <c r="BA223" s="26" t="s">
        <v>864</v>
      </c>
      <c r="BB223" s="26" t="s">
        <v>864</v>
      </c>
      <c r="BC223" s="26" t="s">
        <v>864</v>
      </c>
      <c r="BD223" s="26" t="s">
        <v>864</v>
      </c>
      <c r="BE223" s="26" t="s">
        <v>864</v>
      </c>
      <c r="BF223" s="26" t="s">
        <v>864</v>
      </c>
      <c r="BG223" s="26" t="s">
        <v>864</v>
      </c>
      <c r="BH223" s="26" t="s">
        <v>864</v>
      </c>
      <c r="BI223" s="26" t="s">
        <v>864</v>
      </c>
      <c r="BJ223" s="26" t="s">
        <v>864</v>
      </c>
      <c r="BK223" s="26" t="s">
        <v>864</v>
      </c>
      <c r="BL223" s="26" t="s">
        <v>864</v>
      </c>
      <c r="BM223" s="26" t="s">
        <v>864</v>
      </c>
      <c r="BN223" s="22"/>
      <c r="BO223" s="22">
        <v>45068</v>
      </c>
      <c r="BP223" s="21" t="s">
        <v>854</v>
      </c>
      <c r="BQ223" s="222">
        <f t="shared" si="840"/>
        <v>0</v>
      </c>
      <c r="BR223" s="223">
        <f t="shared" si="841"/>
        <v>45068.5</v>
      </c>
      <c r="BS223" s="224">
        <f t="shared" si="842"/>
        <v>8.5714285714285712</v>
      </c>
      <c r="BT223" s="216" t="str">
        <f t="shared" si="843"/>
        <v>I TRIM</v>
      </c>
      <c r="BU223" s="214">
        <f t="shared" ca="1" si="925"/>
        <v>23.571428571428573</v>
      </c>
      <c r="BV223" s="25" t="s">
        <v>988</v>
      </c>
      <c r="BW223" s="22">
        <v>45149</v>
      </c>
      <c r="BX223" s="28">
        <v>11.5</v>
      </c>
      <c r="BY223" s="28"/>
      <c r="BZ223" s="22"/>
      <c r="CA223" s="21"/>
      <c r="CB223" s="26"/>
      <c r="CC223" s="26" t="s">
        <v>864</v>
      </c>
      <c r="CD223" s="26" t="s">
        <v>865</v>
      </c>
      <c r="CE223" s="26" t="s">
        <v>864</v>
      </c>
      <c r="CF223" s="22" t="s">
        <v>1517</v>
      </c>
      <c r="CG223" s="21">
        <v>1.61</v>
      </c>
      <c r="CH223" s="21">
        <v>60</v>
      </c>
      <c r="CI223" s="214">
        <f t="shared" si="845"/>
        <v>23.147255121330193</v>
      </c>
      <c r="CJ223" s="225" t="str">
        <f>IF(AND(CI223&lt;10,CH223="SD"),"SIN DATO PESO PREGESTACION O I TRIM",IF(AND(OR(R223&gt;0,O223&gt;0),CI223="X"),"INGRESAR DATO DE PESO",IF(CI223="SD","INGRESAR DATO DE TALLA Y PESO",IF(AND(OR(Tabla1[[#This Row],[MOMENTO EN QUE SE REALIZA EL PESO AL INGRESO A CPN]]="PREGESTACIÓN",NZ223="Menor"),CI223&lt;18.5),"BAJO PESO",IF(AND(OR(Tabla1[[#This Row],[MOMENTO EN QUE SE REALIZA EL PESO AL INGRESO A CPN]]="PREGESTACIÓN",NZ223="Menor"),CI223&lt;25),"NORMAL",IF(AND(OR(Tabla1[[#This Row],[MOMENTO EN QUE SE REALIZA EL PESO AL INGRESO A CPN]]="PREGESTACIÓN",NZ223="Menor"),CI223&lt;30),"SOBREPESO",IF(AND(OR(Tabla1[[#This Row],[MOMENTO EN QUE SE REALIZA EL PESO AL INGRESO A CPN]]="PREGESTACIÓN",NZ223="Menor"),CI223&gt;=30,CI223&lt;50),"OBESIDAD",IF(AND(BS223&gt;0,Tabla1[[#This Row],[MOMENTO EN QUE SE REALIZA EL PESO AL INGRESO A CPN]]="GESTACIÓN"),HLOOKUP(NZ223,$OA$2:PH223,NY223),""))))))))</f>
        <v>NORMAL</v>
      </c>
      <c r="CK223" s="212">
        <f t="shared" si="846"/>
        <v>45128</v>
      </c>
      <c r="CL223" s="21">
        <v>60</v>
      </c>
      <c r="CM223" s="214">
        <f t="shared" si="847"/>
        <v>23.147255121330193</v>
      </c>
      <c r="CN223" s="216">
        <f t="shared" si="848"/>
        <v>8</v>
      </c>
      <c r="CO223" s="216" t="e">
        <f>IF(PI223="","",IF(PI223&gt;0,HLOOKUP(PI223,$PJ$2:QQ223,NY223),""))</f>
        <v>#REF!</v>
      </c>
      <c r="CP223" s="21"/>
      <c r="CQ223" s="216" t="str">
        <f>IF(QR223="Menor","NO APLICA-MENOR 13 SEM",IF(AND(CC223="SI",CN223&gt;23),"NO APLICA- GEMELAR",IF(QR223="","",IF(QR223&gt;0,HLOOKUP(QR223,$QS$2:RU223,NY223),""))))</f>
        <v>NO APLICA-MENOR 13 SEM</v>
      </c>
      <c r="CR223" s="21">
        <v>90</v>
      </c>
      <c r="CS223" s="21">
        <v>60</v>
      </c>
      <c r="CT223" s="217" t="str">
        <f>IF(R223="","",IF(AND(BS223&gt;1,BS223&lt;12,Tabla1[[#This Row],[T.A. SISTOLICA - ANTES DE SEMANA 12]]="",Tabla1[[#This Row],[T.A. DIASTOLICA - ANTES DE SEMANA 12]]=""),"REGISTRE DATO TA ANTES SEMANA 12",IF(AND(BS223&gt;11,BS223&lt;43,Tabla1[[#This Row],[T.A. SISTOLICA - ANTES DE SEMANA 12]]="",Tabla1[[#This Row],[T.A. DIASTOLICA - ANTES DE SEMANA 12]]=""),"NO APLICA REGISTRO TA-INGRESO TARDIO",IF(AND(OR(O223&gt;0,R223&gt;0),OR(CR223&gt;=140,CS223&gt;=90)),"DEFINIR ESTADIO HTA",IF(AND(OR(O223&gt;0,R223&gt;0),AND(CR223&gt;120,CR223&lt;=139)),"PRE HTA SEGUIMIENTO",IF(AND(OR(O223&gt;0,R223&gt;0),AND(CS223&gt;80,CS223&lt;=89)),"PRE HTA SEGUIMIENTO",IF(AND(OR(O223&gt;0,R223&gt;0),AND(CR223&gt;=80,CR223&lt;=120)),"APARENTEMENTE NORMAL",IF(AND(OR(O223&gt;0,R223&gt;0),AND(CS223&gt;=50,CS223&lt;=80)),"APARENTEMENTE NORMAL",IF(AND(OR(O223&gt;0,R223&gt;0),AND(CR223&gt;1,CR223&lt;=70),AND(CS223&gt;1,CS223&lt;=40)),"HIPOTENSIÓN","")))))))))</f>
        <v>APARENTEMENTE NORMAL</v>
      </c>
      <c r="CU223" s="21"/>
      <c r="CV223" s="21"/>
      <c r="CW223" s="217" t="str">
        <f ca="1">IF(R223="","",IF(AND(CN223&gt;19,CN223&lt;27,Tabla1[[#This Row],[T.A. SISTOLICA (Entre semana 20 y 26)]]="",Tabla1[[#This Row],[T.A. DIATOLICA (Entre semana 20 y 26)]]=""),"ACUDE A CONTROL SEM 20 A 26 REGISTRE TA AHORA",IF(AND(BS223&gt;1,BS223&lt;27,BU223&gt;19,Tabla1[[#This Row],[T.A. SISTOLICA (Entre semana 20 y 26)]]="",Tabla1[[#This Row],[T.A. DIATOLICA (Entre semana 20 y 26)]]=""),"COMPLETE REGISTRO TA CONTROL SEM 20 A26 ",IF(AND(BS223&gt;26,BS223&lt;43,Tabla1[[#This Row],[T.A. SISTOLICA (Entre semana 20 y 26)]]="",Tabla1[[#This Row],[T.A. DIATOLICA (Entre semana 20 y 26)]]=""),"NO APLICA REGISTRO TA-INGRESO TARDIO",IF(AND(OR(O223&gt;0,R223&gt;0),OR(CU223&gt;=140,CV223&gt;=90)),"ALTO RIESGO PREECLAMPSIA,DEFINIR ESTADIO HTA",IF(AND(OR(O223&gt;0,R223&gt;0),AND(CU223&gt;120,CU223&lt;=139)),"PRE HTA SEGUIMIENTO,RIESGO HIPERTENSION INDUCIDA POR EL EMBARAZO",IF(AND(OR(O223&gt;0,R223&gt;0),AND(CV223&gt;80,CV223&lt;=89)),"PRE HTA SEGUIMIENTO, RIESGO HIPERTENSION INDUCIDA POR EL EMBARAZO",IF(AND(OR(O223&lt;&gt;"",R223&lt;&gt;""),CS223&lt;&gt;"",CV223&lt;&gt;"",CS223&lt;=CV223),"VIGILAR CIFRAS PRESION ARTERIAL",IF(AND(OR(O223&gt;0,R223&gt;0),AND(CU223&gt;120,CU223&lt;=139)),"PRE HTA SEGUIMIENTO",IF(AND(OR(O223&gt;0,R223&gt;0),AND(CU223&gt;1,CU223&lt;=70),AND(CV223&gt;1,CV223&lt;=40)),"HIPOTENSIÓN",IF(AND(OR(O223&lt;&gt;"",R223&lt;&gt;""),CS223&lt;&gt;"",CV223&lt;&gt;"",CS223&gt;CV223),"APARENTEMENTE NORMAL",IF(AND(OR(O223&gt;0,R223&gt;0),AND(CU223&gt;=80,CU223&lt;=120)),"APARENTEMENTE NORMAL",IF(AND(OR(O223&gt;0,R223&gt;0),AND(CV223&gt;=50,CV223&lt;=80)),"APARENTEMENTE NORMAL","")))))))))))))</f>
        <v xml:space="preserve">COMPLETE REGISTRO TA CONTROL SEM 20 A26 </v>
      </c>
      <c r="CX223" s="21"/>
      <c r="CY223" s="21"/>
      <c r="CZ223" s="216" t="str">
        <f t="shared" si="1042"/>
        <v/>
      </c>
      <c r="DA223" s="21">
        <v>90</v>
      </c>
      <c r="DB223" s="21">
        <v>60</v>
      </c>
      <c r="DC223" s="217" t="str">
        <f t="shared" si="849"/>
        <v>APARENTEMENTE NORMAL</v>
      </c>
      <c r="DD223" s="22">
        <v>45128</v>
      </c>
      <c r="DE223" s="22">
        <v>45128</v>
      </c>
      <c r="DF223" s="22"/>
      <c r="DG223" s="22"/>
      <c r="DH223" s="22"/>
      <c r="DI223" s="22"/>
      <c r="DJ223" s="22"/>
      <c r="DK223" s="22"/>
      <c r="DL223" s="22"/>
      <c r="DM223" s="22"/>
      <c r="DN223" s="22"/>
      <c r="DO223" s="22"/>
      <c r="DP223" s="22"/>
      <c r="DQ223" s="22"/>
      <c r="DR223" s="28"/>
      <c r="DS223" s="22"/>
      <c r="DT223" s="22"/>
      <c r="DU223" s="216" t="str">
        <f t="shared" ca="1" si="917"/>
        <v>EN ESPERA</v>
      </c>
      <c r="DV223" s="226" t="str">
        <f t="shared" si="918"/>
        <v>ACTIVA INGRESO A CPN</v>
      </c>
      <c r="DW22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3" s="216" t="e">
        <f t="shared" ca="1" si="850"/>
        <v>#REF!</v>
      </c>
      <c r="DY223" s="212">
        <f>IF(R223="","",IF(R223&gt;0,MAX(Tabla1[[#This Row],[FECHA C2]:[FECHA C13]],Tabla1[[#This Row],[FECHA CONSULTA PRIMERA VEZ PROGRAMA CPN ]])))</f>
        <v>45128</v>
      </c>
      <c r="DZ223" s="216">
        <f t="shared" si="851"/>
        <v>8</v>
      </c>
      <c r="EA223" s="222">
        <f>IF(R223&gt;0,SUM(COUNTA(DF223:DQ223)+COUNTA(Tabla1[[#This Row],[FECHA CONSULTA PRIMERA VEZ PROGRAMA CPN ]])),"")</f>
        <v>1</v>
      </c>
      <c r="EB223" s="222" t="str">
        <f t="shared" si="852"/>
        <v>NO</v>
      </c>
      <c r="EC223" s="214">
        <f t="shared" si="853"/>
        <v>9</v>
      </c>
      <c r="ED223" s="227">
        <f t="shared" si="854"/>
        <v>0.1111111111111111</v>
      </c>
      <c r="EE223" s="22">
        <v>45128</v>
      </c>
      <c r="EF223" s="22">
        <v>45128</v>
      </c>
      <c r="EG223" s="22">
        <v>45128</v>
      </c>
      <c r="EH223" s="22"/>
      <c r="EI223" s="22">
        <v>45128</v>
      </c>
      <c r="EJ223" s="22"/>
      <c r="EK223" s="22"/>
      <c r="EL223" s="21"/>
      <c r="EM223" s="21">
        <v>13.7</v>
      </c>
      <c r="EN223" s="22">
        <v>45006</v>
      </c>
      <c r="EO223" s="222" t="str">
        <f t="shared" si="855"/>
        <v>CORREGIR FECHA RESULTADO</v>
      </c>
      <c r="EP223" s="214" t="str">
        <f t="shared" si="856"/>
        <v>NORMAL- SUMINISTRAR SULFATO FERROSO</v>
      </c>
      <c r="EQ223" s="216" t="str">
        <f t="shared" si="857"/>
        <v>POR DEFINIR</v>
      </c>
      <c r="ER223" s="24"/>
      <c r="ES223" s="22"/>
      <c r="ET223" s="29" t="str">
        <f t="shared" ca="1" si="919"/>
        <v>PROGRAMAR TOMA HEMOGLOBINA A SEM 28</v>
      </c>
      <c r="EU223" s="25" t="str">
        <f t="shared" si="858"/>
        <v/>
      </c>
      <c r="EV223" s="24" t="s">
        <v>1510</v>
      </c>
      <c r="EW223" s="32">
        <v>45128</v>
      </c>
      <c r="EX223" s="22"/>
      <c r="EY223" s="29">
        <f t="shared" si="1040"/>
        <v>8.5714285714285712</v>
      </c>
      <c r="EZ223" s="25" t="str">
        <f t="shared" si="1041"/>
        <v>SIN RIESGO DE ISOINMUNIZACIÓN</v>
      </c>
      <c r="FA223" s="21">
        <v>94</v>
      </c>
      <c r="FB223" s="32">
        <v>45128</v>
      </c>
      <c r="FC223" s="29">
        <f t="shared" si="859"/>
        <v>8.5714285714285712</v>
      </c>
      <c r="FD223" s="29"/>
      <c r="FE223" s="29"/>
      <c r="FF223" s="29"/>
      <c r="FG223" s="21" t="str">
        <f t="shared" ca="1" si="860"/>
        <v>PROGRAMAR TOMA PTOG SIGUIENTE CONTROL</v>
      </c>
      <c r="FH223" s="31"/>
      <c r="FI223" s="29" t="str">
        <f t="shared" si="861"/>
        <v>TOMAR EXAMEN</v>
      </c>
      <c r="FJ223" s="22" t="s">
        <v>867</v>
      </c>
      <c r="FK223" s="22">
        <v>45128</v>
      </c>
      <c r="FL223" s="29">
        <f t="shared" ca="1" si="862"/>
        <v>8.5714285714285712</v>
      </c>
      <c r="FM223" s="22"/>
      <c r="FN223" s="32"/>
      <c r="FO223" s="29" t="str">
        <f t="shared" ca="1" si="920"/>
        <v>EN RANGO PARA TOMAR EXAMEN</v>
      </c>
      <c r="FP223" s="22"/>
      <c r="FQ223" s="32"/>
      <c r="FR223" s="29" t="str">
        <f t="shared" ca="1" si="921"/>
        <v>EN ESPERA-ESTÁ I TRIM O II TRIM</v>
      </c>
      <c r="FS223" s="22"/>
      <c r="FT223" s="32"/>
      <c r="FU223" s="29" t="str">
        <f>IF(AND(FJ223="",FM223="",FP223="",FS223=""),"",IF(OR(OR(Tabla1[[#This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3" s="28"/>
      <c r="FW223" s="22"/>
      <c r="FX223" s="29" t="str">
        <f t="shared" si="863"/>
        <v>TOMAR EXAMEN</v>
      </c>
      <c r="FY223" s="22" t="s">
        <v>868</v>
      </c>
      <c r="FZ223" s="22">
        <v>45128</v>
      </c>
      <c r="GA223" s="29">
        <f t="shared" ca="1" si="936"/>
        <v>8.5714285714285712</v>
      </c>
      <c r="GB223" s="22"/>
      <c r="GC223" s="22"/>
      <c r="GD223" s="29" t="str">
        <f t="shared" ca="1" si="937"/>
        <v>EN RANGO PARA TOMAR EXAMEN</v>
      </c>
      <c r="GE223" s="22"/>
      <c r="GF223" s="22"/>
      <c r="GG223" s="29" t="str">
        <f t="shared" ca="1" si="923"/>
        <v>EN ESPERA-ESTÁ I TRIM O II TRIM</v>
      </c>
      <c r="GH223" s="22"/>
      <c r="GI223" s="29"/>
      <c r="GJ223" s="22"/>
      <c r="GK223" s="22"/>
      <c r="GL223" s="22"/>
      <c r="GM223" s="22"/>
      <c r="GN223" s="28" t="s">
        <v>869</v>
      </c>
      <c r="GO223" s="22">
        <v>45128</v>
      </c>
      <c r="GP223" s="29">
        <f t="shared" si="864"/>
        <v>8.5714285714285712</v>
      </c>
      <c r="GQ223" s="28" t="s">
        <v>869</v>
      </c>
      <c r="GR223" s="28" t="s">
        <v>869</v>
      </c>
      <c r="GS223" s="22" t="str">
        <f t="shared" si="726"/>
        <v>CONTROL Igm</v>
      </c>
      <c r="GT223" s="22">
        <v>45128</v>
      </c>
      <c r="GU223" s="29">
        <f t="shared" si="865"/>
        <v>8.5714285714285712</v>
      </c>
      <c r="GV223" s="21" t="str">
        <f t="shared" si="866"/>
        <v>I TRIM</v>
      </c>
      <c r="GW223" s="28"/>
      <c r="GX223" s="30"/>
      <c r="GY223" s="21"/>
      <c r="GZ223" s="21"/>
      <c r="HA223" s="21"/>
      <c r="HB223" s="21"/>
      <c r="HC223" s="21"/>
      <c r="HD223" s="21"/>
      <c r="HE223" s="21"/>
      <c r="HF223" s="22"/>
      <c r="HG223" s="22" t="str">
        <f>IF(OR(O223&gt;0,R223&gt;0),CONCATENATE(IF(Tabla1[[#This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3" s="22" t="e">
        <f t="shared" si="867"/>
        <v>#REF!</v>
      </c>
      <c r="HI223" s="22" t="e">
        <f t="shared" ca="1" si="868"/>
        <v>#REF!</v>
      </c>
      <c r="HJ223" s="21"/>
      <c r="HK223" s="21" t="str">
        <f t="shared" si="869"/>
        <v>SIN ANTECEDENTES DE RIESGO</v>
      </c>
      <c r="HL223" s="24" t="str">
        <f t="shared" si="870"/>
        <v>APARENTEMENTE NORMAL</v>
      </c>
      <c r="HM223" s="21" t="e">
        <f t="shared" ca="1" si="871"/>
        <v>#REF!</v>
      </c>
      <c r="HN223" s="30" t="str">
        <f t="shared" si="924"/>
        <v>ACTIVA INGRESO A CPN</v>
      </c>
      <c r="HO223" s="21"/>
      <c r="HP223" s="21"/>
      <c r="HQ223" s="349"/>
      <c r="HR223" s="21" t="str">
        <f>IF(R223="","",IF(Tabla1[[#This Row],[ALARMA FACTORES DE RIESGO COMPLICACIONES HIPERTENSIVAS3]]="SIN ANTECEDENTES DE RIESGO","No Aplica para suministro de ASA",IF(AND(Tabla1[[#This Row],[FECHA INICIO DE SUMINISTRO DE ASA]]&gt;0,RV223&lt;12),"Inicia ASA ANTES de Sem 12",IF(AND(RV223&gt;11,RV223&lt;17,OR(HK223="RIESGO ALTO DE COMPLICACIONES HIPERTENSIVAS VER MANEJO GUIA SUMINISTRO ASA Y CALCIO",HK223="RIESGO MODERADO (2 O MAS CRITERIOS) VER MANEJO GUIA SUMINISTRO ASA Y CALCIO")),"Inicio oportuno de ASA",IF(AND(RV223&gt;12,OR(HK223="RIESGO ALTO DE COMPLICACIONES HIPERTENSIVAS VER MANEJO GUIA SUMINISTRO ASA Y CALCIO",HK223="RIESGO MODERADO (2 O MAS CRITERIOS) VER MANEJO GUIA SUMINISTRO ASA Y CALCIO")),"Inicio no oportuno mayor a 16 semanas",IF(AND(BU223&lt;12,OR(HK223="RIESGO ALTO DE COMPLICACIONES HIPERTENSIVAS VER MANEJO GUIA SUMINISTRO ASA Y CALCIO",HK223="RIESGO MODERADO (2 O MAS CRITERIOS) VER MANEJO GUIA SUMINISTRO ASA Y CALCIO")),"Pendiente Inicio de ASA a la semana 12",IF(AND(BU223&gt;11,BU223&lt;17,OR(HK223="RIESGO ALTO DE COMPLICACIONES HIPERTENSIVAS VER MANEJO GUIA SUMINISTRO ASA Y CALCIO",HK223="RIESGO MODERADO (2 O MAS CRITERIOS) VER MANEJO GUIA SUMINISTRO ASA Y CALCIO")),"Iniciar de inmediato ASA",IF(AND(BU223&gt;16,OR(HK223="RIESGO ALTO DE COMPLICACIONES HIPERTENSIVAS VER MANEJO GUIA SUMINISTRO ASA Y CALCIO",HK223="RIESGO MODERADO (2 O MAS CRITERIOS) VER MANEJO GUIA SUMINISTRO ASA Y CALCIO")),"Pierde Oportunidad, Inicio tardío de ASA","XXXXX"))))))))</f>
        <v>No Aplica para suministro de ASA</v>
      </c>
      <c r="HS223" s="22"/>
      <c r="HT223" s="22"/>
      <c r="HU223" s="22"/>
      <c r="HV223" s="22"/>
      <c r="HW223" s="22"/>
      <c r="HX223" s="22"/>
      <c r="HY223" s="22"/>
      <c r="HZ223" s="28" t="str">
        <f t="shared" si="872"/>
        <v>PENDIENTE CONSULTA</v>
      </c>
      <c r="IA223" s="26"/>
      <c r="IB223" s="26"/>
      <c r="IC223" s="111"/>
      <c r="ID223" s="22"/>
      <c r="IE223" s="22" t="str">
        <f t="shared" ca="1" si="873"/>
        <v>PROGRAMAR APLICACION DE VACUNA</v>
      </c>
      <c r="IF223" s="22"/>
      <c r="IG223" s="22">
        <f t="shared" si="874"/>
        <v>45348</v>
      </c>
      <c r="IH223" s="29">
        <f t="shared" ca="1" si="875"/>
        <v>115</v>
      </c>
      <c r="II223" s="22" t="str">
        <f t="shared" ca="1" si="876"/>
        <v>PENDIENTE</v>
      </c>
      <c r="IJ223" s="22"/>
      <c r="IK223" s="21"/>
      <c r="IL223" s="21"/>
      <c r="IM223" s="34"/>
      <c r="IN223" s="22"/>
      <c r="IO223" s="21"/>
      <c r="IP223" s="29" t="str">
        <f t="shared" si="877"/>
        <v/>
      </c>
      <c r="IQ223" s="35"/>
      <c r="IR223" s="21"/>
      <c r="IS223" s="21"/>
      <c r="IT223" s="21"/>
      <c r="IU223" s="21"/>
      <c r="IV223" s="21"/>
      <c r="IW223" s="21"/>
      <c r="IX223" s="21"/>
      <c r="IY223" s="21"/>
      <c r="IZ223" s="21"/>
      <c r="JA223" s="21"/>
      <c r="JB223" s="30"/>
      <c r="JC223" s="21"/>
      <c r="JD223" s="36"/>
      <c r="JE223" s="21" t="str">
        <f t="shared" si="878"/>
        <v/>
      </c>
      <c r="JF223" s="30"/>
      <c r="JG223" s="21"/>
      <c r="JH223" s="21"/>
      <c r="JI223" s="21"/>
      <c r="JJ223" s="30"/>
      <c r="JK223" s="22"/>
      <c r="JL223" s="22"/>
      <c r="JM223" s="21"/>
      <c r="JN223" s="36"/>
      <c r="JO223" s="21" t="str">
        <f t="shared" si="879"/>
        <v/>
      </c>
      <c r="JP223" s="22"/>
      <c r="JQ223" s="21"/>
      <c r="JR223" s="21"/>
      <c r="JS223" s="21"/>
      <c r="JT223" s="30"/>
      <c r="JU223" s="22"/>
      <c r="JV223" s="22"/>
      <c r="JW223" s="33"/>
      <c r="JX223" s="28" t="str">
        <f t="shared" si="880"/>
        <v/>
      </c>
      <c r="JY223" s="33"/>
      <c r="JZ223" s="28" t="str">
        <f t="shared" si="881"/>
        <v/>
      </c>
      <c r="KA223" s="21"/>
      <c r="KB223" s="21"/>
      <c r="KC223" s="21"/>
      <c r="KD223" s="37"/>
      <c r="KE223" s="28"/>
      <c r="KF223" s="28"/>
      <c r="KG223" s="28"/>
      <c r="KH223" s="39"/>
      <c r="KI223" s="39"/>
      <c r="KJ223" s="66"/>
      <c r="KK223" s="39"/>
      <c r="KL223" s="39"/>
      <c r="KM223" s="66"/>
      <c r="KN223" s="39"/>
      <c r="KO223" s="39"/>
      <c r="KP223" s="39"/>
      <c r="KQ223" s="39"/>
      <c r="KR223" s="39"/>
      <c r="KS223" s="39"/>
      <c r="KT223" s="39"/>
      <c r="KU223" s="38"/>
      <c r="KV223" s="38"/>
      <c r="KW223" s="38"/>
      <c r="KX223" s="38"/>
      <c r="KY223" s="38"/>
      <c r="KZ223" s="38"/>
      <c r="LA223" s="38"/>
      <c r="LB223" s="38"/>
      <c r="LC223" s="38"/>
      <c r="LD223" s="38"/>
      <c r="LE223" s="38"/>
      <c r="LF223" s="38"/>
      <c r="LG223" s="38"/>
      <c r="LH223" s="38"/>
      <c r="LI223" s="38"/>
      <c r="LJ223" s="38"/>
      <c r="LK223" s="38"/>
      <c r="LL223" s="38"/>
      <c r="LM223" s="38"/>
      <c r="LN223" s="38"/>
      <c r="LO223" s="38"/>
      <c r="LP223" s="38"/>
      <c r="LQ223" s="38"/>
      <c r="LR223" s="38"/>
      <c r="LS223" s="38"/>
      <c r="LT223" s="38"/>
      <c r="LU223" s="38"/>
      <c r="LV223" s="38"/>
      <c r="LW223" s="38"/>
      <c r="LX223" s="38"/>
      <c r="LY223" s="38"/>
      <c r="LZ223" s="38"/>
      <c r="MA223" s="38"/>
      <c r="MB223" s="38"/>
      <c r="MC223" s="38"/>
      <c r="MD223" s="38"/>
      <c r="ME223" s="38"/>
      <c r="MF223" s="38"/>
      <c r="MG223" s="38"/>
      <c r="MH223" s="43">
        <f t="shared" si="882"/>
        <v>0</v>
      </c>
      <c r="MI223" s="43" t="str">
        <f t="shared" si="926"/>
        <v/>
      </c>
      <c r="MJ223" s="43" t="str">
        <f t="shared" si="884"/>
        <v/>
      </c>
      <c r="MK223" s="43">
        <f t="shared" si="885"/>
        <v>0</v>
      </c>
      <c r="ML22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3" s="43">
        <f t="shared" si="927"/>
        <v>8.5714285714285712</v>
      </c>
      <c r="MN223" s="43">
        <f t="shared" si="928"/>
        <v>7</v>
      </c>
      <c r="MO223" s="43">
        <f t="shared" si="929"/>
        <v>2023</v>
      </c>
      <c r="MP223" s="43" t="str">
        <f t="shared" si="889"/>
        <v>III TRIMESTRE AÑO</v>
      </c>
      <c r="MQ223" s="43">
        <f t="shared" si="930"/>
        <v>22.711344721857206</v>
      </c>
      <c r="MR223" s="43">
        <f t="shared" si="891"/>
        <v>0</v>
      </c>
      <c r="MS223" s="43" t="str">
        <f t="shared" si="892"/>
        <v xml:space="preserve"> DE 20 A 24 AÑOS</v>
      </c>
      <c r="MT223" s="43">
        <f t="shared" si="893"/>
        <v>0</v>
      </c>
      <c r="MU223" s="43">
        <f t="shared" si="894"/>
        <v>1</v>
      </c>
      <c r="MV223" s="43">
        <f t="shared" si="895"/>
        <v>0</v>
      </c>
      <c r="MW223" s="43">
        <f t="shared" si="896"/>
        <v>0</v>
      </c>
      <c r="MX223" s="43" t="str">
        <f t="shared" si="897"/>
        <v/>
      </c>
      <c r="MY223" s="43" t="str">
        <f t="shared" ca="1" si="898"/>
        <v/>
      </c>
      <c r="MZ223" s="43" t="str">
        <f t="shared" si="899"/>
        <v/>
      </c>
      <c r="NA223" s="43">
        <f t="shared" si="900"/>
        <v>0</v>
      </c>
      <c r="NB223" s="43" t="str">
        <f t="shared" si="901"/>
        <v/>
      </c>
      <c r="NC223" s="43" t="str">
        <f t="shared" si="902"/>
        <v/>
      </c>
      <c r="ND223" s="43">
        <f t="shared" ca="1" si="931"/>
        <v>1</v>
      </c>
      <c r="NE223" s="43">
        <f>IF(OR(O223&gt;0,R223&gt;0),SUM(COUNTIF(Tabla1[[#This Row],[AÑOS AL INICIO5 CPN]],"&gt;=40"),COUNTIF(AS223,"0"),COUNTIF(AR223,"SI"),COUNTIF(CC223,"SI"),COUNTIF(BQ223,"&gt;119"),COUNTIF(CI223,"&gt;=35")),"")</f>
        <v>1</v>
      </c>
      <c r="NF223" s="43" t="str">
        <f t="shared" si="932"/>
        <v/>
      </c>
      <c r="NG223" s="43">
        <f t="shared" si="905"/>
        <v>0</v>
      </c>
      <c r="NH223" s="43">
        <f t="shared" si="906"/>
        <v>80.5</v>
      </c>
      <c r="NI22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CPN",P223="NO"),"Z",IF(AND(Tabla1[[#This Row],[CITA PROXIMO CONTROL]]="CITA MANUAL",Tabla1[[#This Row],[GESTANTES ACTUALES]]="ACTIVA INGRESO A CPN"),"W",IF(AND(Tabla1[[#This Row],[GESTANTES ACTUALES]]="SALIO PROGRAMA",IN223=""),"S",IF(AND(Tabla1[[#This Row],[CITA PROXIMO CONTROL]]&gt;0,IN223=""),(Tabla1[[#This Row],[CITA PROXIMO CONTROL]]-TODAY()),"SD"))))))))</f>
        <v>#REF!</v>
      </c>
      <c r="NJ223" s="43">
        <f>MONTH(Tabla1[[#This Row],[FECHA DE SALIDA  DEL PROGRAMA]])</f>
        <v>1</v>
      </c>
      <c r="NK223" s="43">
        <f>YEAR(Tabla1[[#This Row],[FECHA DE SALIDA  DEL PROGRAMA]])</f>
        <v>1900</v>
      </c>
      <c r="NL223" s="43" t="str">
        <f t="shared" si="933"/>
        <v>X</v>
      </c>
      <c r="NM223" s="43" t="str">
        <f t="shared" si="938"/>
        <v>NO</v>
      </c>
      <c r="NN223" s="43" t="str">
        <f ca="1">IF(AND(O223&gt;0,R223=""),"NO CPN",IF(AND(O223="",R223=""),"",IF(AND(R223&gt;0,Tabla1[[#This Row],[SEMANAS DE GESTACION ACTUALIZADAS]]&lt;=12),"NO APLICA",IF(AND(FH223&lt;&gt;"",FN223&lt;&gt;""),"SI","NO"))))</f>
        <v>NO</v>
      </c>
      <c r="NO223" s="43" t="str">
        <f ca="1">IF(AND(O223&gt;0,R223=""),"NO CPN",IF(AND(O223="",R223=""),"",IF(AND(R223&gt;0,Tabla1[[#This Row],[SEMANAS DE GESTACION ACTUALIZADAS]]&lt;=27),"NO APLICA",IF(AND(ES223&lt;&gt;"",FQ223&lt;&gt;"",GF223&lt;&gt;""),"SI","NO"))))</f>
        <v>NO APLICA</v>
      </c>
      <c r="NP223" s="204" t="str">
        <f t="shared" si="909"/>
        <v>I TRIM</v>
      </c>
      <c r="NQ223" s="21" t="str">
        <f t="shared" si="1043"/>
        <v/>
      </c>
      <c r="NR223" s="21">
        <f t="shared" ca="1" si="934"/>
        <v>2</v>
      </c>
      <c r="NS223" s="205">
        <f t="shared" ca="1" si="911"/>
        <v>1</v>
      </c>
      <c r="NT223" s="21">
        <f t="shared" ca="1" si="912"/>
        <v>1</v>
      </c>
      <c r="NU223" s="21" t="str">
        <f t="shared" ca="1" si="913"/>
        <v>INCOMPLETO</v>
      </c>
      <c r="NV223" s="21" t="str">
        <f t="shared" ca="1" si="914"/>
        <v>INCOMPLETO</v>
      </c>
      <c r="NW223" s="206" t="str">
        <f>IF(AND(O223="",R223=""),"",IF(OR(AND(Tabla1[[#This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3" s="207" t="str">
        <f t="shared" ca="1" si="935"/>
        <v>SIN VACUNAR</v>
      </c>
      <c r="NY223" s="43">
        <f>ROW(Tabla1[[#This Row],['# DE TAMIZAJES SIFILIS TOMADOS ]])</f>
        <v>223</v>
      </c>
      <c r="NZ223" s="43" t="str">
        <f t="shared" si="939"/>
        <v>Menor</v>
      </c>
      <c r="OA223" s="43" t="str">
        <f t="shared" si="940"/>
        <v>NORMAL</v>
      </c>
      <c r="OB223" s="43" t="str">
        <f t="shared" si="941"/>
        <v/>
      </c>
      <c r="OC223" s="43" t="str">
        <f t="shared" si="942"/>
        <v/>
      </c>
      <c r="OD223" s="43" t="str">
        <f t="shared" si="943"/>
        <v/>
      </c>
      <c r="OE223" s="43" t="str">
        <f t="shared" si="944"/>
        <v/>
      </c>
      <c r="OF223" s="43" t="str">
        <f t="shared" si="945"/>
        <v/>
      </c>
      <c r="OG223" s="43" t="str">
        <f t="shared" si="946"/>
        <v/>
      </c>
      <c r="OH223" s="43" t="str">
        <f t="shared" si="947"/>
        <v/>
      </c>
      <c r="OI223" s="43" t="str">
        <f t="shared" si="948"/>
        <v/>
      </c>
      <c r="OJ223" s="43" t="str">
        <f t="shared" si="949"/>
        <v/>
      </c>
      <c r="OK223" s="43" t="str">
        <f t="shared" si="950"/>
        <v/>
      </c>
      <c r="OL223" s="43" t="str">
        <f t="shared" si="951"/>
        <v/>
      </c>
      <c r="OM223" s="43" t="str">
        <f t="shared" si="952"/>
        <v/>
      </c>
      <c r="ON223" s="43" t="str">
        <f t="shared" si="953"/>
        <v/>
      </c>
      <c r="OO223" s="43" t="str">
        <f t="shared" si="954"/>
        <v/>
      </c>
      <c r="OP223" s="43" t="str">
        <f t="shared" si="955"/>
        <v/>
      </c>
      <c r="OQ223" s="43" t="str">
        <f t="shared" si="956"/>
        <v/>
      </c>
      <c r="OR223" s="43" t="str">
        <f t="shared" si="957"/>
        <v/>
      </c>
      <c r="OS223" s="43" t="str">
        <f t="shared" si="958"/>
        <v/>
      </c>
      <c r="OT223" s="43" t="str">
        <f t="shared" si="959"/>
        <v/>
      </c>
      <c r="OU223" s="43" t="str">
        <f t="shared" si="960"/>
        <v/>
      </c>
      <c r="OV223" s="110" t="str">
        <f t="shared" si="961"/>
        <v/>
      </c>
      <c r="OW223" s="43" t="str">
        <f t="shared" si="962"/>
        <v/>
      </c>
      <c r="OX223" s="43" t="str">
        <f t="shared" si="963"/>
        <v/>
      </c>
      <c r="OY223" s="43" t="str">
        <f t="shared" si="964"/>
        <v/>
      </c>
      <c r="OZ223" s="43" t="str">
        <f t="shared" si="965"/>
        <v/>
      </c>
      <c r="PA223" s="43" t="str">
        <f t="shared" si="966"/>
        <v/>
      </c>
      <c r="PB223" s="43" t="str">
        <f t="shared" si="967"/>
        <v/>
      </c>
      <c r="PC223" s="43" t="str">
        <f t="shared" si="968"/>
        <v/>
      </c>
      <c r="PD223" s="43" t="str">
        <f t="shared" si="969"/>
        <v/>
      </c>
      <c r="PE223" s="43" t="str">
        <f t="shared" si="970"/>
        <v/>
      </c>
      <c r="PF223" s="43" t="str">
        <f t="shared" si="971"/>
        <v/>
      </c>
      <c r="PG223" s="43" t="str">
        <f t="shared" si="972"/>
        <v/>
      </c>
      <c r="PH223" s="43" t="str">
        <f t="shared" si="973"/>
        <v/>
      </c>
      <c r="PI223" s="43" t="str">
        <f t="shared" si="974"/>
        <v>Menor</v>
      </c>
      <c r="PJ223" s="43" t="str">
        <f t="shared" si="975"/>
        <v>NORMAL</v>
      </c>
      <c r="PK223" s="43" t="str">
        <f t="shared" si="976"/>
        <v/>
      </c>
      <c r="PL223" s="43" t="str">
        <f t="shared" si="977"/>
        <v/>
      </c>
      <c r="PM223" s="43" t="str">
        <f t="shared" si="978"/>
        <v/>
      </c>
      <c r="PN223" s="43" t="str">
        <f t="shared" si="979"/>
        <v/>
      </c>
      <c r="PO223" s="43" t="str">
        <f t="shared" si="980"/>
        <v/>
      </c>
      <c r="PP223" s="43" t="str">
        <f t="shared" si="981"/>
        <v/>
      </c>
      <c r="PQ223" s="43" t="str">
        <f t="shared" si="982"/>
        <v/>
      </c>
      <c r="PR223" s="43" t="str">
        <f t="shared" si="983"/>
        <v/>
      </c>
      <c r="PS223" s="43" t="str">
        <f t="shared" si="984"/>
        <v/>
      </c>
      <c r="PT223" s="43" t="str">
        <f t="shared" si="985"/>
        <v/>
      </c>
      <c r="PU223" s="43" t="str">
        <f t="shared" si="986"/>
        <v/>
      </c>
      <c r="PV223" s="43" t="str">
        <f t="shared" si="987"/>
        <v/>
      </c>
      <c r="PW223" s="43" t="str">
        <f t="shared" si="988"/>
        <v/>
      </c>
      <c r="PX223" s="43" t="str">
        <f t="shared" si="989"/>
        <v/>
      </c>
      <c r="PY223" s="43" t="str">
        <f t="shared" si="990"/>
        <v/>
      </c>
      <c r="PZ223" s="43" t="str">
        <f t="shared" si="991"/>
        <v/>
      </c>
      <c r="QA223" s="43" t="str">
        <f t="shared" si="992"/>
        <v/>
      </c>
      <c r="QB223" s="43" t="str">
        <f t="shared" si="993"/>
        <v/>
      </c>
      <c r="QC223" s="43" t="str">
        <f t="shared" si="994"/>
        <v/>
      </c>
      <c r="QD223" s="43" t="str">
        <f t="shared" si="995"/>
        <v/>
      </c>
      <c r="QE223" s="43" t="str">
        <f t="shared" si="996"/>
        <v/>
      </c>
      <c r="QF223" s="43" t="str">
        <f t="shared" si="997"/>
        <v/>
      </c>
      <c r="QG223" s="43" t="str">
        <f t="shared" si="998"/>
        <v/>
      </c>
      <c r="QH223" s="43" t="str">
        <f t="shared" si="999"/>
        <v/>
      </c>
      <c r="QI223" s="43" t="str">
        <f t="shared" si="1000"/>
        <v/>
      </c>
      <c r="QJ223" s="43" t="str">
        <f t="shared" si="1001"/>
        <v/>
      </c>
      <c r="QK223" s="43" t="str">
        <f t="shared" si="1002"/>
        <v/>
      </c>
      <c r="QL223" s="43" t="str">
        <f t="shared" si="1003"/>
        <v/>
      </c>
      <c r="QM223" s="43" t="str">
        <f t="shared" si="1004"/>
        <v/>
      </c>
      <c r="QN223" s="43" t="str">
        <f t="shared" si="1005"/>
        <v/>
      </c>
      <c r="QO223" s="43" t="str">
        <f t="shared" si="1006"/>
        <v/>
      </c>
      <c r="QP223" s="43" t="str">
        <f t="shared" si="1007"/>
        <v/>
      </c>
      <c r="QQ223" s="43" t="str">
        <f t="shared" si="1008"/>
        <v/>
      </c>
      <c r="QR223" s="43" t="str">
        <f t="shared" si="1009"/>
        <v>Menor</v>
      </c>
      <c r="QS223" s="43"/>
      <c r="QT223" s="21" t="str">
        <f t="shared" si="1010"/>
        <v/>
      </c>
      <c r="QU223" s="21" t="str">
        <f t="shared" si="1011"/>
        <v/>
      </c>
      <c r="QV223" s="21" t="str">
        <f t="shared" si="1012"/>
        <v/>
      </c>
      <c r="QW223" s="21" t="str">
        <f t="shared" si="1013"/>
        <v/>
      </c>
      <c r="QX223" s="21" t="str">
        <f t="shared" si="1014"/>
        <v/>
      </c>
      <c r="QY223" s="21" t="str">
        <f t="shared" si="1015"/>
        <v/>
      </c>
      <c r="QZ223" s="21" t="str">
        <f t="shared" si="1016"/>
        <v/>
      </c>
      <c r="RA223" s="21" t="str">
        <f t="shared" si="1017"/>
        <v/>
      </c>
      <c r="RB223" s="21" t="str">
        <f t="shared" si="1018"/>
        <v/>
      </c>
      <c r="RC223" s="21" t="str">
        <f t="shared" si="1019"/>
        <v/>
      </c>
      <c r="RD223" s="21" t="str">
        <f t="shared" si="1020"/>
        <v/>
      </c>
      <c r="RE223" s="21" t="str">
        <f t="shared" si="1021"/>
        <v/>
      </c>
      <c r="RF223" s="21" t="str">
        <f t="shared" si="1022"/>
        <v/>
      </c>
      <c r="RG223" s="21" t="str">
        <f t="shared" si="1023"/>
        <v/>
      </c>
      <c r="RH223" s="21" t="str">
        <f t="shared" si="1024"/>
        <v/>
      </c>
      <c r="RI223" s="21" t="str">
        <f t="shared" si="1025"/>
        <v/>
      </c>
      <c r="RJ223" s="21" t="str">
        <f t="shared" si="1026"/>
        <v/>
      </c>
      <c r="RK223" s="21" t="str">
        <f t="shared" si="1027"/>
        <v/>
      </c>
      <c r="RL223" s="21" t="str">
        <f t="shared" si="1028"/>
        <v/>
      </c>
      <c r="RM223" s="21" t="str">
        <f t="shared" si="1029"/>
        <v/>
      </c>
      <c r="RN223" s="21" t="str">
        <f t="shared" si="1030"/>
        <v/>
      </c>
      <c r="RO223" s="21" t="str">
        <f t="shared" si="1031"/>
        <v/>
      </c>
      <c r="RP223" s="21" t="str">
        <f t="shared" si="1032"/>
        <v/>
      </c>
      <c r="RQ223" s="21" t="str">
        <f t="shared" si="1033"/>
        <v/>
      </c>
      <c r="RR223" s="21" t="str">
        <f t="shared" si="1034"/>
        <v/>
      </c>
      <c r="RS223" s="21" t="str">
        <f t="shared" si="1035"/>
        <v/>
      </c>
      <c r="RT223" s="21" t="str">
        <f t="shared" si="1036"/>
        <v/>
      </c>
      <c r="RU223" s="21" t="str">
        <f t="shared" si="1037"/>
        <v/>
      </c>
      <c r="RV223" s="21">
        <f t="shared" si="1038"/>
        <v>-1</v>
      </c>
      <c r="RW223" s="284">
        <f>IF(OR(Tabla1[[#This Row],[FUM FORMULA CONFIABLE]]="",Tabla1[[#This Row],[FUM FORMULA CONFIABLE]]="SD"),"",IF(Tabla1[[#This Row],[FUM FORMULA CONFIABLE]]="CORREGIDA",Tabla1[[#This Row],[FUM X ECO 1]],Tabla1[[#This Row],[FUM x AMENORREA]]))</f>
        <v>45068</v>
      </c>
      <c r="RX223" s="21">
        <f>IF(AND(Tabla1[[#This Row],[FUM X ECO 1]]="",Tabla1[[#This Row],[FUM x AMENORREA]]=""),"",IF(AND(Tabla1[[#This Row],[FUM X ECO 1]]="",Tabla1[[#This Row],[FUM x AMENORREA]]&lt;&gt;""),"X",SUM(Tabla1[[#This Row],[FUM X ECO 1]]-Tabla1[[#This Row],[FUM x AMENORREA]])))</f>
        <v>0.5</v>
      </c>
      <c r="RY223" s="21">
        <f t="shared" si="1039"/>
        <v>0</v>
      </c>
    </row>
    <row r="224" spans="1:493" ht="45" customHeight="1" x14ac:dyDescent="0.25">
      <c r="A224" s="109"/>
      <c r="B224" s="43"/>
      <c r="C224" s="299" t="s">
        <v>845</v>
      </c>
      <c r="D224" s="124"/>
      <c r="E224" s="43" t="s">
        <v>896</v>
      </c>
      <c r="F224" s="43" t="s">
        <v>992</v>
      </c>
      <c r="G224" s="43" t="s">
        <v>1530</v>
      </c>
      <c r="H224" s="43" t="s">
        <v>1357</v>
      </c>
      <c r="I224" s="109" t="s">
        <v>851</v>
      </c>
      <c r="J224" s="110">
        <v>1002847645</v>
      </c>
      <c r="K224" s="43" t="s">
        <v>852</v>
      </c>
      <c r="L224" s="175" t="s">
        <v>1509</v>
      </c>
      <c r="M224" s="22">
        <v>37477</v>
      </c>
      <c r="N224" s="213">
        <f t="shared" ca="1" si="839"/>
        <v>21.24931506849315</v>
      </c>
      <c r="O224" s="22">
        <v>45113</v>
      </c>
      <c r="P224" s="214" t="str">
        <f t="shared" si="916"/>
        <v>SI</v>
      </c>
      <c r="Q224" s="26" t="s">
        <v>855</v>
      </c>
      <c r="R224" s="22">
        <v>45113</v>
      </c>
      <c r="S224" s="21" t="s">
        <v>856</v>
      </c>
      <c r="T224" s="24" t="s">
        <v>690</v>
      </c>
      <c r="U224" s="21" t="s">
        <v>857</v>
      </c>
      <c r="V224" s="21" t="s">
        <v>858</v>
      </c>
      <c r="W224" s="21" t="s">
        <v>955</v>
      </c>
      <c r="X224" s="21"/>
      <c r="Y224" s="21" t="s">
        <v>955</v>
      </c>
      <c r="Z224" s="21">
        <v>3131784746</v>
      </c>
      <c r="AA224" s="21" t="s">
        <v>860</v>
      </c>
      <c r="AB224" s="27" t="s">
        <v>861</v>
      </c>
      <c r="AC224" s="26" t="s">
        <v>897</v>
      </c>
      <c r="AD224" s="38" t="s">
        <v>1546</v>
      </c>
      <c r="AE224" s="26" t="s">
        <v>854</v>
      </c>
      <c r="AF224" s="26" t="s">
        <v>854</v>
      </c>
      <c r="AG224" s="23" t="s">
        <v>864</v>
      </c>
      <c r="AH224" s="23" t="s">
        <v>864</v>
      </c>
      <c r="AI224" s="24" t="s">
        <v>863</v>
      </c>
      <c r="AJ224" s="23" t="s">
        <v>864</v>
      </c>
      <c r="AK224" s="220" t="str">
        <f>IF(AND(AD224="",AE224="",AF224="",AG224="",AH224="",AI224="",AJ224=""),"",IF(OR(Tabla1[[#This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EVALUACIÓN",IF(AND(O224="",R224=""),"",IF(AND(OR(O224&gt;0,R224&gt;0),NG224&gt;=0,NG224&lt;2),"SIN RIESGO",IF(AND(OR(O224&gt;0,R224&gt;0),NG224&gt;=2),"CON RIESGO","ASD")))))</f>
        <v>SIN RIESGO</v>
      </c>
      <c r="AL224" s="26" t="s">
        <v>864</v>
      </c>
      <c r="AM224" s="26" t="s">
        <v>864</v>
      </c>
      <c r="AN224" s="26" t="s">
        <v>864</v>
      </c>
      <c r="AO224" s="26" t="s">
        <v>864</v>
      </c>
      <c r="AP224" s="26" t="s">
        <v>864</v>
      </c>
      <c r="AQ224" s="26" t="s">
        <v>864</v>
      </c>
      <c r="AR224" s="26" t="s">
        <v>864</v>
      </c>
      <c r="AS224" s="21">
        <v>2</v>
      </c>
      <c r="AT224" s="21">
        <v>2</v>
      </c>
      <c r="AU224" s="21">
        <v>0</v>
      </c>
      <c r="AV224" s="26" t="s">
        <v>864</v>
      </c>
      <c r="AW224" s="21">
        <v>0</v>
      </c>
      <c r="AX224" s="26" t="s">
        <v>864</v>
      </c>
      <c r="AY224" s="26" t="s">
        <v>864</v>
      </c>
      <c r="AZ224" s="26" t="s">
        <v>864</v>
      </c>
      <c r="BA224" s="26" t="s">
        <v>864</v>
      </c>
      <c r="BB224" s="26" t="s">
        <v>864</v>
      </c>
      <c r="BC224" s="26" t="s">
        <v>864</v>
      </c>
      <c r="BD224" s="26" t="s">
        <v>864</v>
      </c>
      <c r="BE224" s="26" t="s">
        <v>864</v>
      </c>
      <c r="BF224" s="26" t="s">
        <v>864</v>
      </c>
      <c r="BG224" s="26" t="s">
        <v>864</v>
      </c>
      <c r="BH224" s="26" t="s">
        <v>864</v>
      </c>
      <c r="BI224" s="26" t="s">
        <v>864</v>
      </c>
      <c r="BJ224" s="26" t="s">
        <v>864</v>
      </c>
      <c r="BK224" s="26" t="s">
        <v>864</v>
      </c>
      <c r="BL224" s="26" t="s">
        <v>864</v>
      </c>
      <c r="BM224" s="26" t="s">
        <v>864</v>
      </c>
      <c r="BN224" s="22">
        <v>44230</v>
      </c>
      <c r="BO224" s="22">
        <v>45012</v>
      </c>
      <c r="BP224" s="21" t="s">
        <v>854</v>
      </c>
      <c r="BQ224" s="222">
        <f t="shared" si="840"/>
        <v>26.066666666666666</v>
      </c>
      <c r="BR224" s="223">
        <f t="shared" si="841"/>
        <v>45012.5</v>
      </c>
      <c r="BS224" s="224">
        <f t="shared" si="842"/>
        <v>14.428571428571429</v>
      </c>
      <c r="BT224" s="216" t="str">
        <f t="shared" si="843"/>
        <v>II TRIM</v>
      </c>
      <c r="BU224" s="214">
        <f t="shared" ca="1" si="925"/>
        <v>31.571428571428573</v>
      </c>
      <c r="BV224" s="25" t="s">
        <v>988</v>
      </c>
      <c r="BW224" s="22">
        <v>45149</v>
      </c>
      <c r="BX224" s="28">
        <v>19.5</v>
      </c>
      <c r="BY224" s="28"/>
      <c r="BZ224" s="22"/>
      <c r="CA224" s="21"/>
      <c r="CB224" s="26"/>
      <c r="CC224" s="26" t="s">
        <v>864</v>
      </c>
      <c r="CD224" s="26" t="s">
        <v>865</v>
      </c>
      <c r="CE224" s="26" t="s">
        <v>864</v>
      </c>
      <c r="CF224" s="22" t="s">
        <v>1517</v>
      </c>
      <c r="CG224" s="21">
        <v>1.47</v>
      </c>
      <c r="CH224" s="21">
        <v>56.9</v>
      </c>
      <c r="CI224" s="214">
        <f t="shared" si="845"/>
        <v>26.331621083807676</v>
      </c>
      <c r="CJ224" s="225" t="e">
        <f>IF(AND(CI224&lt;10,CH224="SD"),"SIN DATO PESO PREGESTACION O I TRIM",IF(AND(OR(R224&gt;0,O224&gt;0),CI224="X"),"INGRESAR DATO DE PESO",IF(CI224="SD","INGRESAR DATO DE TALLA Y PESO",IF(AND(OR(Tabla1[[#This Row],[MOMENTO EN QUE SE REALIZA EL PESO AL INGRESO A CPN]]="PREGESTACIÓN",NZ224="Menor"),CI224&lt;18.5),"BAJO PESO",IF(AND(OR(Tabla1[[#This Row],[MOMENTO EN QUE SE REALIZA EL PESO AL INGRESO A CPN]]="PREGESTACIÓN",NZ224="Menor"),CI224&lt;25),"NORMAL",IF(AND(OR(Tabla1[[#This Row],[MOMENTO EN QUE SE REALIZA EL PESO AL INGRESO A CPN]]="PREGESTACIÓN",NZ224="Menor"),CI224&lt;30),"SOBREPESO",IF(AND(OR(Tabla1[[#This Row],[MOMENTO EN QUE SE REALIZA EL PESO AL INGRESO A CPN]]="PREGESTACIÓN",NZ224="Menor"),CI224&gt;=30,CI224&lt;50),"OBESIDAD",IF(AND(BS224&gt;0,Tabla1[[#This Row],[MOMENTO EN QUE SE REALIZA EL PESO AL INGRESO A CPN]]="GESTACIÓN"),HLOOKUP(NZ224,$OA$2:PH224,NY224),""))))))))</f>
        <v>#REF!</v>
      </c>
      <c r="CK224" s="212">
        <f t="shared" si="846"/>
        <v>45149</v>
      </c>
      <c r="CL224" s="21">
        <v>57</v>
      </c>
      <c r="CM224" s="214">
        <f t="shared" si="847"/>
        <v>26.377898098014718</v>
      </c>
      <c r="CN224" s="216">
        <f t="shared" si="848"/>
        <v>19</v>
      </c>
      <c r="CO224" s="216" t="e">
        <f>IF(PI224="","",IF(PI224&gt;0,HLOOKUP(PI224,$PJ$2:QQ224,NY224),""))</f>
        <v>#REF!</v>
      </c>
      <c r="CP224" s="21">
        <v>13</v>
      </c>
      <c r="CQ224" s="216" t="e">
        <f>IF(QR224="Menor","NO APLICA-MENOR 13 SEM",IF(AND(CC224="SI",CN224&gt;23),"NO APLICA- GEMELAR",IF(QR224="","",IF(QR224&gt;0,HLOOKUP(QR224,$QS$2:RU224,NY224),""))))</f>
        <v>#REF!</v>
      </c>
      <c r="CR224" s="21">
        <v>90</v>
      </c>
      <c r="CS224" s="21">
        <v>60</v>
      </c>
      <c r="CT224" s="217" t="str">
        <f>IF(R224="","",IF(AND(BS224&gt;1,BS224&lt;12,Tabla1[[#This Row],[T.A. SISTOLICA - ANTES DE SEMANA 12]]="",Tabla1[[#This Row],[T.A. DIASTOLICA - ANTES DE SEMANA 12]]=""),"REGISTRE DATO TA ANTES SEMANA 12",IF(AND(BS224&gt;11,BS224&lt;43,Tabla1[[#This Row],[T.A. SISTOLICA - ANTES DE SEMANA 12]]="",Tabla1[[#This Row],[T.A. DIASTOLICA - ANTES DE SEMANA 12]]=""),"NO APLICA REGISTRO TA-INGRESO TARDIO",IF(AND(OR(O224&gt;0,R224&gt;0),OR(CR224&gt;=140,CS224&gt;=90)),"DEFINIR ESTADIO HTA",IF(AND(OR(O224&gt;0,R224&gt;0),AND(CR224&gt;120,CR224&lt;=139)),"PRE HTA SEGUIMIENTO",IF(AND(OR(O224&gt;0,R224&gt;0),AND(CS224&gt;80,CS224&lt;=89)),"PRE HTA SEGUIMIENTO",IF(AND(OR(O224&gt;0,R224&gt;0),AND(CR224&gt;=80,CR224&lt;=120)),"APARENTEMENTE NORMAL",IF(AND(OR(O224&gt;0,R224&gt;0),AND(CS224&gt;=50,CS224&lt;=80)),"APARENTEMENTE NORMAL",IF(AND(OR(O224&gt;0,R224&gt;0),AND(CR224&gt;1,CR224&lt;=70),AND(CS224&gt;1,CS224&lt;=40)),"HIPOTENSIÓN","")))))))))</f>
        <v>APARENTEMENTE NORMAL</v>
      </c>
      <c r="CU224" s="21"/>
      <c r="CV224" s="21"/>
      <c r="CW224" s="217" t="str">
        <f ca="1">IF(R224="","",IF(AND(CN224&gt;19,CN224&lt;27,Tabla1[[#This Row],[T.A. SISTOLICA (Entre semana 20 y 26)]]="",Tabla1[[#This Row],[T.A. DIATOLICA (Entre semana 20 y 26)]]=""),"ACUDE A CONTROL SEM 20 A 26 REGISTRE TA AHORA",IF(AND(BS224&gt;1,BS224&lt;27,BU224&gt;19,Tabla1[[#This Row],[T.A. SISTOLICA (Entre semana 20 y 26)]]="",Tabla1[[#This Row],[T.A. DIATOLICA (Entre semana 20 y 26)]]=""),"COMPLETE REGISTRO TA CONTROL SEM 20 A26 ",IF(AND(BS224&gt;26,BS224&lt;43,Tabla1[[#This Row],[T.A. SISTOLICA (Entre semana 20 y 26)]]="",Tabla1[[#This Row],[T.A. DIATOLICA (Entre semana 20 y 26)]]=""),"NO APLICA REGISTRO TA-INGRESO TARDIO",IF(AND(OR(O224&gt;0,R224&gt;0),OR(CU224&gt;=140,CV224&gt;=90)),"ALTO RIESGO PREECLAMPSIA,DEFINIR ESTADIO HTA",IF(AND(OR(O224&gt;0,R224&gt;0),AND(CU224&gt;120,CU224&lt;=139)),"PRE HTA SEGUIMIENTO,RIESGO HIPERTENSION INDUCIDA POR EL EMBARAZO",IF(AND(OR(O224&gt;0,R224&gt;0),AND(CV224&gt;80,CV224&lt;=89)),"PRE HTA SEGUIMIENTO, RIESGO HIPERTENSION INDUCIDA POR EL EMBARAZO",IF(AND(OR(O224&lt;&gt;"",R224&lt;&gt;""),CS224&lt;&gt;"",CV224&lt;&gt;"",CS224&lt;=CV224),"VIGILAR CIFRAS PRESION ARTERIAL",IF(AND(OR(O224&gt;0,R224&gt;0),AND(CU224&gt;120,CU224&lt;=139)),"PRE HTA SEGUIMIENTO",IF(AND(OR(O224&gt;0,R224&gt;0),AND(CU224&gt;1,CU224&lt;=70),AND(CV224&gt;1,CV224&lt;=40)),"HIPOTENSIÓN",IF(AND(OR(O224&lt;&gt;"",R224&lt;&gt;""),CS224&lt;&gt;"",CV224&lt;&gt;"",CS224&gt;CV224),"APARENTEMENTE NORMAL",IF(AND(OR(O224&gt;0,R224&gt;0),AND(CU224&gt;=80,CU224&lt;=120)),"APARENTEMENTE NORMAL",IF(AND(OR(O224&gt;0,R224&gt;0),AND(CV224&gt;=50,CV224&lt;=80)),"APARENTEMENTE NORMAL","")))))))))))))</f>
        <v xml:space="preserve">COMPLETE REGISTRO TA CONTROL SEM 20 A26 </v>
      </c>
      <c r="CX224" s="21"/>
      <c r="CY224" s="21"/>
      <c r="CZ224" s="216" t="str">
        <f t="shared" si="1042"/>
        <v/>
      </c>
      <c r="DA224" s="21">
        <v>100</v>
      </c>
      <c r="DB224" s="21">
        <v>60</v>
      </c>
      <c r="DC224" s="217" t="str">
        <f t="shared" si="849"/>
        <v>APARENTEMENTE NORMAL</v>
      </c>
      <c r="DD224" s="22">
        <v>45113</v>
      </c>
      <c r="DE224" s="22">
        <v>45113</v>
      </c>
      <c r="DF224" s="22">
        <v>45149</v>
      </c>
      <c r="DG224" s="22"/>
      <c r="DH224" s="22"/>
      <c r="DI224" s="22"/>
      <c r="DJ224" s="22"/>
      <c r="DK224" s="22"/>
      <c r="DL224" s="22"/>
      <c r="DM224" s="22"/>
      <c r="DN224" s="22"/>
      <c r="DO224" s="22"/>
      <c r="DP224" s="22"/>
      <c r="DQ224" s="22"/>
      <c r="DR224" s="28"/>
      <c r="DS224" s="22"/>
      <c r="DT224" s="22"/>
      <c r="DU224" s="216" t="str">
        <f t="shared" ca="1" si="917"/>
        <v>PLANEAR PLAN DE PARTO</v>
      </c>
      <c r="DV224" s="226" t="str">
        <f t="shared" si="918"/>
        <v>ACTIVA INGRESO A CPN</v>
      </c>
      <c r="DW22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4" s="216" t="e">
        <f t="shared" ca="1" si="850"/>
        <v>#REF!</v>
      </c>
      <c r="DY224" s="212">
        <f>IF(R224="","",IF(R224&gt;0,MAX(Tabla1[[#This Row],[FECHA C2]:[FECHA C13]],Tabla1[[#This Row],[FECHA CONSULTA PRIMERA VEZ PROGRAMA CPN ]])))</f>
        <v>45149</v>
      </c>
      <c r="DZ224" s="216">
        <f t="shared" si="851"/>
        <v>19</v>
      </c>
      <c r="EA224" s="222">
        <f>IF(R224&gt;0,SUM(COUNTA(DF224:DQ224)+COUNTA(Tabla1[[#This Row],[FECHA CONSULTA PRIMERA VEZ PROGRAMA CPN ]])),"")</f>
        <v>2</v>
      </c>
      <c r="EB224" s="222" t="str">
        <f t="shared" si="852"/>
        <v>NO</v>
      </c>
      <c r="EC224" s="214">
        <f t="shared" si="853"/>
        <v>8</v>
      </c>
      <c r="ED224" s="227">
        <f t="shared" si="854"/>
        <v>0.25</v>
      </c>
      <c r="EE224" s="22">
        <v>45113</v>
      </c>
      <c r="EF224" s="22">
        <v>45149</v>
      </c>
      <c r="EG224" s="22">
        <v>45113</v>
      </c>
      <c r="EH224" s="22"/>
      <c r="EI224" s="22">
        <v>45113</v>
      </c>
      <c r="EJ224" s="22"/>
      <c r="EK224" s="22"/>
      <c r="EL224" s="21"/>
      <c r="EM224" s="21"/>
      <c r="EN224" s="22"/>
      <c r="EO224" s="222" t="str">
        <f t="shared" si="855"/>
        <v>TOMAR EXAMEN</v>
      </c>
      <c r="EP224" s="214" t="str">
        <f t="shared" si="856"/>
        <v/>
      </c>
      <c r="EQ224" s="216" t="str">
        <f t="shared" si="857"/>
        <v>POR DEFINIR</v>
      </c>
      <c r="ER224" s="24"/>
      <c r="ES224" s="22"/>
      <c r="ET224" s="29" t="str">
        <f t="shared" ca="1" si="919"/>
        <v>TOMA DE HEMOGLOBINA TARDÍA</v>
      </c>
      <c r="EU224" s="25" t="str">
        <f t="shared" si="858"/>
        <v/>
      </c>
      <c r="EV224" s="24"/>
      <c r="EW224" s="24"/>
      <c r="EX224" s="22"/>
      <c r="EY224" s="29" t="str">
        <f t="shared" si="1040"/>
        <v>TOMAR EXAMEN</v>
      </c>
      <c r="EZ224" s="25" t="str">
        <f t="shared" ca="1" si="1041"/>
        <v/>
      </c>
      <c r="FA224" s="21"/>
      <c r="FB224" s="22"/>
      <c r="FC224" s="29" t="str">
        <f t="shared" si="859"/>
        <v>TOMAR EXAMEN</v>
      </c>
      <c r="FD224" s="29"/>
      <c r="FE224" s="29"/>
      <c r="FF224" s="29"/>
      <c r="FG224" s="21" t="str">
        <f t="shared" ca="1" si="860"/>
        <v>TOMAR PTOG</v>
      </c>
      <c r="FH224" s="31"/>
      <c r="FI224" s="29" t="str">
        <f t="shared" si="861"/>
        <v>TOMAR EXAMEN</v>
      </c>
      <c r="FJ224" s="22"/>
      <c r="FK224" s="22"/>
      <c r="FL224" s="29" t="str">
        <f t="shared" ca="1" si="862"/>
        <v>NO APLICA-INGRESO TARDIO</v>
      </c>
      <c r="FM224" s="22"/>
      <c r="FN224" s="32"/>
      <c r="FO224" s="29" t="str">
        <f t="shared" ca="1" si="920"/>
        <v>PIERDE TOMA DE TAMIZAJE</v>
      </c>
      <c r="FP224" s="22"/>
      <c r="FQ224" s="32"/>
      <c r="FR224" s="29" t="str">
        <f t="shared" ca="1" si="921"/>
        <v>EN RANGO PARA TOMAR EXAMEN</v>
      </c>
      <c r="FS224" s="22"/>
      <c r="FT224" s="32"/>
      <c r="FU224" s="29" t="str">
        <f>IF(AND(FJ224="",FM224="",FP224="",FS224=""),"",IF(OR(OR(Tabla1[[#This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4" s="28"/>
      <c r="FW224" s="22"/>
      <c r="FX224" s="29" t="str">
        <f t="shared" si="863"/>
        <v>TOMAR EXAMEN</v>
      </c>
      <c r="FY224" s="22"/>
      <c r="FZ224" s="22"/>
      <c r="GA224" s="29" t="str">
        <f t="shared" ca="1" si="936"/>
        <v>NO APLICA-INGRESO TARDIO</v>
      </c>
      <c r="GB224" s="22"/>
      <c r="GC224" s="22"/>
      <c r="GD224" s="29" t="str">
        <f t="shared" ca="1" si="937"/>
        <v>PIERDE TOMA DE TAMIZAJE</v>
      </c>
      <c r="GE224" s="22"/>
      <c r="GF224" s="22"/>
      <c r="GG224" s="29" t="str">
        <f t="shared" ca="1" si="923"/>
        <v>EN RANGO PARA TOMAR EXAMEN</v>
      </c>
      <c r="GH224" s="22"/>
      <c r="GI224" s="29"/>
      <c r="GJ224" s="22"/>
      <c r="GK224" s="22"/>
      <c r="GL224" s="22"/>
      <c r="GM224" s="22"/>
      <c r="GN224" s="28"/>
      <c r="GO224" s="22"/>
      <c r="GP224" s="29" t="str">
        <f t="shared" si="864"/>
        <v>TOMAR EXAMEN</v>
      </c>
      <c r="GQ224" s="28"/>
      <c r="GR224" s="28"/>
      <c r="GS224" s="22" t="str">
        <f t="shared" si="726"/>
        <v/>
      </c>
      <c r="GT224" s="22"/>
      <c r="GU224" s="29" t="str">
        <f t="shared" si="865"/>
        <v>TOMAR EXAMEN</v>
      </c>
      <c r="GV224" s="21" t="str">
        <f t="shared" si="866"/>
        <v>POR DEFINIR</v>
      </c>
      <c r="GW224" s="28"/>
      <c r="GX224" s="30"/>
      <c r="GY224" s="21"/>
      <c r="GZ224" s="21"/>
      <c r="HA224" s="21"/>
      <c r="HB224" s="21"/>
      <c r="HC224" s="21"/>
      <c r="HD224" s="21"/>
      <c r="HE224" s="21"/>
      <c r="HF224" s="22"/>
      <c r="HG224" s="22" t="str">
        <f>IF(OR(O224&gt;0,R224&gt;0),CONCATENATE(IF(Tabla1[[#This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4" s="22" t="e">
        <f t="shared" si="867"/>
        <v>#REF!</v>
      </c>
      <c r="HI224" s="22" t="e">
        <f t="shared" ca="1" si="868"/>
        <v>#REF!</v>
      </c>
      <c r="HJ224" s="21"/>
      <c r="HK224" s="21" t="str">
        <f t="shared" si="869"/>
        <v>SIN ANTECEDENTES DE RIESGO</v>
      </c>
      <c r="HL224" s="24" t="str">
        <f t="shared" si="870"/>
        <v>APARENTEMENTE NORMAL</v>
      </c>
      <c r="HM224" s="21" t="e">
        <f t="shared" ca="1" si="871"/>
        <v>#REF!</v>
      </c>
      <c r="HN224" s="30" t="str">
        <f t="shared" si="924"/>
        <v>ACTIVA INGRESO A CPN</v>
      </c>
      <c r="HO224" s="21"/>
      <c r="HP224" s="21"/>
      <c r="HQ224" s="349"/>
      <c r="HR224" s="21" t="str">
        <f>IF(R224="","",IF(Tabla1[[#This Row],[ALARMA FACTORES DE RIESGO COMPLICACIONES HIPERTENSIVAS3]]="SIN ANTECEDENTES DE RIESGO","No Aplica para suministro de ASA",IF(AND(Tabla1[[#This Row],[FECHA INICIO DE SUMINISTRO DE ASA]]&gt;0,RV224&lt;12),"Inicia ASA ANTES de Sem 12",IF(AND(RV224&gt;11,RV224&lt;17,OR(HK224="RIESGO ALTO DE COMPLICACIONES HIPERTENSIVAS VER MANEJO GUIA SUMINISTRO ASA Y CALCIO",HK224="RIESGO MODERADO (2 O MAS CRITERIOS) VER MANEJO GUIA SUMINISTRO ASA Y CALCIO")),"Inicio oportuno de ASA",IF(AND(RV224&gt;12,OR(HK224="RIESGO ALTO DE COMPLICACIONES HIPERTENSIVAS VER MANEJO GUIA SUMINISTRO ASA Y CALCIO",HK224="RIESGO MODERADO (2 O MAS CRITERIOS) VER MANEJO GUIA SUMINISTRO ASA Y CALCIO")),"Inicio no oportuno mayor a 16 semanas",IF(AND(BU224&lt;12,OR(HK224="RIESGO ALTO DE COMPLICACIONES HIPERTENSIVAS VER MANEJO GUIA SUMINISTRO ASA Y CALCIO",HK224="RIESGO MODERADO (2 O MAS CRITERIOS) VER MANEJO GUIA SUMINISTRO ASA Y CALCIO")),"Pendiente Inicio de ASA a la semana 12",IF(AND(BU224&gt;11,BU224&lt;17,OR(HK224="RIESGO ALTO DE COMPLICACIONES HIPERTENSIVAS VER MANEJO GUIA SUMINISTRO ASA Y CALCIO",HK224="RIESGO MODERADO (2 O MAS CRITERIOS) VER MANEJO GUIA SUMINISTRO ASA Y CALCIO")),"Iniciar de inmediato ASA",IF(AND(BU224&gt;16,OR(HK224="RIESGO ALTO DE COMPLICACIONES HIPERTENSIVAS VER MANEJO GUIA SUMINISTRO ASA Y CALCIO",HK224="RIESGO MODERADO (2 O MAS CRITERIOS) VER MANEJO GUIA SUMINISTRO ASA Y CALCIO")),"Pierde Oportunidad, Inicio tardío de ASA","XXXXX"))))))))</f>
        <v>No Aplica para suministro de ASA</v>
      </c>
      <c r="HS224" s="22"/>
      <c r="HT224" s="22"/>
      <c r="HU224" s="22">
        <v>45113</v>
      </c>
      <c r="HV224" s="22" t="s">
        <v>1544</v>
      </c>
      <c r="HW224" s="22">
        <v>45113</v>
      </c>
      <c r="HX224" s="22" t="s">
        <v>1511</v>
      </c>
      <c r="HY224" s="22">
        <v>45113</v>
      </c>
      <c r="HZ224" s="28">
        <f t="shared" si="872"/>
        <v>14.428571428571429</v>
      </c>
      <c r="IA224" s="26" t="s">
        <v>864</v>
      </c>
      <c r="IB224" s="26"/>
      <c r="IC224" s="111"/>
      <c r="ID224" s="22"/>
      <c r="IE224" s="22" t="str">
        <f t="shared" ca="1" si="873"/>
        <v>INASISTENTE</v>
      </c>
      <c r="IF224" s="22"/>
      <c r="IG224" s="22">
        <f t="shared" si="874"/>
        <v>45292</v>
      </c>
      <c r="IH224" s="29">
        <f t="shared" ca="1" si="875"/>
        <v>59</v>
      </c>
      <c r="II224" s="22" t="str">
        <f t="shared" ca="1" si="876"/>
        <v>PENDIENTE</v>
      </c>
      <c r="IJ224" s="22"/>
      <c r="IK224" s="21"/>
      <c r="IL224" s="21"/>
      <c r="IM224" s="34"/>
      <c r="IN224" s="22"/>
      <c r="IO224" s="21"/>
      <c r="IP224" s="29" t="str">
        <f t="shared" si="877"/>
        <v/>
      </c>
      <c r="IQ224" s="35"/>
      <c r="IR224" s="21"/>
      <c r="IS224" s="21"/>
      <c r="IT224" s="21"/>
      <c r="IU224" s="21"/>
      <c r="IV224" s="21"/>
      <c r="IW224" s="21"/>
      <c r="IX224" s="21"/>
      <c r="IY224" s="21"/>
      <c r="IZ224" s="21"/>
      <c r="JA224" s="21"/>
      <c r="JB224" s="30"/>
      <c r="JC224" s="21"/>
      <c r="JD224" s="36"/>
      <c r="JE224" s="21" t="str">
        <f t="shared" si="878"/>
        <v/>
      </c>
      <c r="JF224" s="30"/>
      <c r="JG224" s="21"/>
      <c r="JH224" s="21"/>
      <c r="JI224" s="21"/>
      <c r="JJ224" s="30"/>
      <c r="JK224" s="22"/>
      <c r="JL224" s="22"/>
      <c r="JM224" s="21"/>
      <c r="JN224" s="36"/>
      <c r="JO224" s="21" t="str">
        <f t="shared" si="879"/>
        <v/>
      </c>
      <c r="JP224" s="22"/>
      <c r="JQ224" s="21"/>
      <c r="JR224" s="21"/>
      <c r="JS224" s="21"/>
      <c r="JT224" s="30"/>
      <c r="JU224" s="22"/>
      <c r="JV224" s="22"/>
      <c r="JW224" s="33"/>
      <c r="JX224" s="28" t="str">
        <f t="shared" si="880"/>
        <v/>
      </c>
      <c r="JY224" s="33"/>
      <c r="JZ224" s="28" t="str">
        <f t="shared" si="881"/>
        <v/>
      </c>
      <c r="KA224" s="21"/>
      <c r="KB224" s="21"/>
      <c r="KC224" s="21"/>
      <c r="KD224" s="37"/>
      <c r="KE224" s="28"/>
      <c r="KF224" s="28"/>
      <c r="KG224" s="28"/>
      <c r="KH224" s="39"/>
      <c r="KI224" s="39"/>
      <c r="KJ224" s="66"/>
      <c r="KK224" s="39"/>
      <c r="KL224" s="39"/>
      <c r="KM224" s="66"/>
      <c r="KN224" s="39"/>
      <c r="KO224" s="39"/>
      <c r="KP224" s="39"/>
      <c r="KQ224" s="39"/>
      <c r="KR224" s="39"/>
      <c r="KS224" s="39"/>
      <c r="KT224" s="39"/>
      <c r="KU224" s="38"/>
      <c r="KV224" s="38"/>
      <c r="KW224" s="38"/>
      <c r="KX224" s="38"/>
      <c r="KY224" s="38"/>
      <c r="KZ224" s="38"/>
      <c r="LA224" s="38"/>
      <c r="LB224" s="38"/>
      <c r="LC224" s="38"/>
      <c r="LD224" s="38"/>
      <c r="LE224" s="38"/>
      <c r="LF224" s="38"/>
      <c r="LG224" s="38"/>
      <c r="LH224" s="38"/>
      <c r="LI224" s="38"/>
      <c r="LJ224" s="38"/>
      <c r="LK224" s="38"/>
      <c r="LL224" s="38"/>
      <c r="LM224" s="38"/>
      <c r="LN224" s="38"/>
      <c r="LO224" s="38"/>
      <c r="LP224" s="38"/>
      <c r="LQ224" s="38"/>
      <c r="LR224" s="38"/>
      <c r="LS224" s="38"/>
      <c r="LT224" s="38"/>
      <c r="LU224" s="38"/>
      <c r="LV224" s="38"/>
      <c r="LW224" s="38"/>
      <c r="LX224" s="38"/>
      <c r="LY224" s="38"/>
      <c r="LZ224" s="38"/>
      <c r="MA224" s="38"/>
      <c r="MB224" s="38"/>
      <c r="MC224" s="38"/>
      <c r="MD224" s="38"/>
      <c r="ME224" s="38"/>
      <c r="MF224" s="38"/>
      <c r="MG224" s="38"/>
      <c r="MH224" s="43">
        <f t="shared" si="882"/>
        <v>0</v>
      </c>
      <c r="MI224" s="43" t="str">
        <f t="shared" si="926"/>
        <v/>
      </c>
      <c r="MJ224" s="43" t="str">
        <f t="shared" si="884"/>
        <v/>
      </c>
      <c r="MK224" s="43">
        <f t="shared" si="885"/>
        <v>0</v>
      </c>
      <c r="ML22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4" s="43">
        <f t="shared" si="927"/>
        <v>14.428571428571429</v>
      </c>
      <c r="MN224" s="43">
        <f t="shared" si="928"/>
        <v>7</v>
      </c>
      <c r="MO224" s="43">
        <f t="shared" si="929"/>
        <v>2023</v>
      </c>
      <c r="MP224" s="43" t="str">
        <f t="shared" si="889"/>
        <v>III TRIMESTRE AÑO</v>
      </c>
      <c r="MQ224" s="43">
        <f t="shared" si="930"/>
        <v>20.606110381077528</v>
      </c>
      <c r="MR224" s="43">
        <f t="shared" si="891"/>
        <v>0</v>
      </c>
      <c r="MS224" s="43" t="str">
        <f t="shared" si="892"/>
        <v xml:space="preserve"> DE 20 A 24 AÑOS</v>
      </c>
      <c r="MT224" s="43">
        <f t="shared" si="893"/>
        <v>0</v>
      </c>
      <c r="MU224" s="43">
        <f t="shared" si="894"/>
        <v>0</v>
      </c>
      <c r="MV224" s="43">
        <f t="shared" si="895"/>
        <v>0</v>
      </c>
      <c r="MW224" s="43">
        <f t="shared" si="896"/>
        <v>0</v>
      </c>
      <c r="MX224" s="43" t="str">
        <f t="shared" si="897"/>
        <v/>
      </c>
      <c r="MY224" s="43" t="str">
        <f t="shared" ca="1" si="898"/>
        <v/>
      </c>
      <c r="MZ224" s="43" t="str">
        <f t="shared" si="899"/>
        <v/>
      </c>
      <c r="NA224" s="43">
        <f t="shared" si="900"/>
        <v>0</v>
      </c>
      <c r="NB224" s="43" t="str">
        <f t="shared" si="901"/>
        <v/>
      </c>
      <c r="NC224" s="43" t="str">
        <f t="shared" si="902"/>
        <v/>
      </c>
      <c r="ND224" s="43">
        <f t="shared" ca="1" si="931"/>
        <v>0</v>
      </c>
      <c r="NE224" s="43">
        <f>IF(OR(O224&gt;0,R224&gt;0),SUM(COUNTIF(Tabla1[[#This Row],[AÑOS AL INICIO5 CPN]],"&gt;=40"),COUNTIF(AS224,"0"),COUNTIF(AR224,"SI"),COUNTIF(CC224,"SI"),COUNTIF(BQ224,"&gt;119"),COUNTIF(CI224,"&gt;=35")),"")</f>
        <v>0</v>
      </c>
      <c r="NF224" s="43" t="str">
        <f t="shared" si="932"/>
        <v/>
      </c>
      <c r="NG224" s="43">
        <f t="shared" si="905"/>
        <v>0</v>
      </c>
      <c r="NH224" s="43">
        <f t="shared" si="906"/>
        <v>136.5</v>
      </c>
      <c r="NI22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CPN",P224="NO"),"Z",IF(AND(Tabla1[[#This Row],[CITA PROXIMO CONTROL]]="CITA MANUAL",Tabla1[[#This Row],[GESTANTES ACTUALES]]="ACTIVA INGRESO A CPN"),"W",IF(AND(Tabla1[[#This Row],[GESTANTES ACTUALES]]="SALIO PROGRAMA",IN224=""),"S",IF(AND(Tabla1[[#This Row],[CITA PROXIMO CONTROL]]&gt;0,IN224=""),(Tabla1[[#This Row],[CITA PROXIMO CONTROL]]-TODAY()),"SD"))))))))</f>
        <v>#REF!</v>
      </c>
      <c r="NJ224" s="43">
        <f>MONTH(Tabla1[[#This Row],[FECHA DE SALIDA  DEL PROGRAMA]])</f>
        <v>1</v>
      </c>
      <c r="NK224" s="43">
        <f>YEAR(Tabla1[[#This Row],[FECHA DE SALIDA  DEL PROGRAMA]])</f>
        <v>1900</v>
      </c>
      <c r="NL224" s="43" t="str">
        <f t="shared" si="933"/>
        <v>X</v>
      </c>
      <c r="NM224" s="43" t="str">
        <f t="shared" si="938"/>
        <v>NO</v>
      </c>
      <c r="NN224" s="43" t="str">
        <f ca="1">IF(AND(O224&gt;0,R224=""),"NO CPN",IF(AND(O224="",R224=""),"",IF(AND(R224&gt;0,Tabla1[[#This Row],[SEMANAS DE GESTACION ACTUALIZADAS]]&lt;=12),"NO APLICA",IF(AND(FH224&lt;&gt;"",FN224&lt;&gt;""),"SI","NO"))))</f>
        <v>NO</v>
      </c>
      <c r="NO224" s="43" t="str">
        <f ca="1">IF(AND(O224&gt;0,R224=""),"NO CPN",IF(AND(O224="",R224=""),"",IF(AND(R224&gt;0,Tabla1[[#This Row],[SEMANAS DE GESTACION ACTUALIZADAS]]&lt;=27),"NO APLICA",IF(AND(ES224&lt;&gt;"",FQ224&lt;&gt;"",GF224&lt;&gt;""),"SI","NO"))))</f>
        <v>NO</v>
      </c>
      <c r="NP224" s="204" t="str">
        <f t="shared" si="909"/>
        <v>II TRIM</v>
      </c>
      <c r="NQ224" s="21" t="str">
        <f t="shared" si="1043"/>
        <v/>
      </c>
      <c r="NR224" s="21">
        <f t="shared" ca="1" si="934"/>
        <v>2</v>
      </c>
      <c r="NS224" s="205">
        <f t="shared" ca="1" si="911"/>
        <v>0</v>
      </c>
      <c r="NT224" s="21">
        <f t="shared" ca="1" si="912"/>
        <v>0</v>
      </c>
      <c r="NU224" s="21" t="str">
        <f t="shared" ca="1" si="913"/>
        <v>INCOMPLETO</v>
      </c>
      <c r="NV224" s="21" t="str">
        <f t="shared" ca="1" si="914"/>
        <v>INCOMPLETO</v>
      </c>
      <c r="NW224" s="206" t="str">
        <f>IF(AND(O224="",R224=""),"",IF(OR(AND(Tabla1[[#This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4" s="207" t="str">
        <f t="shared" ca="1" si="935"/>
        <v>SIN VACUNAR</v>
      </c>
      <c r="NY224" s="43">
        <f>ROW(Tabla1[[#This Row],['# DE TAMIZAJES SIFILIS TOMADOS ]])</f>
        <v>224</v>
      </c>
      <c r="NZ224" s="43">
        <f t="shared" si="939"/>
        <v>14</v>
      </c>
      <c r="OA224" s="43" t="str">
        <f t="shared" si="940"/>
        <v/>
      </c>
      <c r="OB224" s="43" t="str">
        <f t="shared" si="941"/>
        <v/>
      </c>
      <c r="OC224" s="43" t="str">
        <f t="shared" si="942"/>
        <v/>
      </c>
      <c r="OD224" s="43" t="str">
        <f t="shared" si="943"/>
        <v/>
      </c>
      <c r="OE224" s="43" t="str">
        <f t="shared" si="944"/>
        <v/>
      </c>
      <c r="OF224" s="43" t="str">
        <f t="shared" si="945"/>
        <v>SOBREPESO</v>
      </c>
      <c r="OG224" s="43" t="str">
        <f t="shared" si="946"/>
        <v/>
      </c>
      <c r="OH224" s="43" t="str">
        <f t="shared" si="947"/>
        <v/>
      </c>
      <c r="OI224" s="43" t="str">
        <f t="shared" si="948"/>
        <v/>
      </c>
      <c r="OJ224" s="43" t="str">
        <f t="shared" si="949"/>
        <v/>
      </c>
      <c r="OK224" s="43" t="str">
        <f t="shared" si="950"/>
        <v/>
      </c>
      <c r="OL224" s="43" t="str">
        <f t="shared" si="951"/>
        <v/>
      </c>
      <c r="OM224" s="43" t="str">
        <f t="shared" si="952"/>
        <v/>
      </c>
      <c r="ON224" s="43" t="str">
        <f t="shared" si="953"/>
        <v/>
      </c>
      <c r="OO224" s="43" t="str">
        <f t="shared" si="954"/>
        <v/>
      </c>
      <c r="OP224" s="43" t="str">
        <f t="shared" si="955"/>
        <v/>
      </c>
      <c r="OQ224" s="43" t="str">
        <f t="shared" si="956"/>
        <v/>
      </c>
      <c r="OR224" s="43" t="str">
        <f t="shared" si="957"/>
        <v/>
      </c>
      <c r="OS224" s="43" t="str">
        <f t="shared" si="958"/>
        <v/>
      </c>
      <c r="OT224" s="43" t="str">
        <f t="shared" si="959"/>
        <v/>
      </c>
      <c r="OU224" s="43" t="str">
        <f t="shared" si="960"/>
        <v/>
      </c>
      <c r="OV224" s="110" t="str">
        <f t="shared" si="961"/>
        <v/>
      </c>
      <c r="OW224" s="43" t="str">
        <f t="shared" si="962"/>
        <v/>
      </c>
      <c r="OX224" s="43" t="str">
        <f t="shared" si="963"/>
        <v/>
      </c>
      <c r="OY224" s="43" t="str">
        <f t="shared" si="964"/>
        <v/>
      </c>
      <c r="OZ224" s="43" t="str">
        <f t="shared" si="965"/>
        <v/>
      </c>
      <c r="PA224" s="43" t="str">
        <f t="shared" si="966"/>
        <v/>
      </c>
      <c r="PB224" s="43" t="str">
        <f t="shared" si="967"/>
        <v/>
      </c>
      <c r="PC224" s="43" t="str">
        <f t="shared" si="968"/>
        <v/>
      </c>
      <c r="PD224" s="43" t="str">
        <f t="shared" si="969"/>
        <v/>
      </c>
      <c r="PE224" s="43" t="str">
        <f t="shared" si="970"/>
        <v/>
      </c>
      <c r="PF224" s="43" t="str">
        <f t="shared" si="971"/>
        <v/>
      </c>
      <c r="PG224" s="43" t="str">
        <f t="shared" si="972"/>
        <v/>
      </c>
      <c r="PH224" s="43" t="str">
        <f t="shared" si="973"/>
        <v/>
      </c>
      <c r="PI224" s="43">
        <f t="shared" si="974"/>
        <v>19</v>
      </c>
      <c r="PJ224" s="43" t="str">
        <f t="shared" si="975"/>
        <v/>
      </c>
      <c r="PK224" s="43" t="str">
        <f t="shared" si="976"/>
        <v/>
      </c>
      <c r="PL224" s="43" t="str">
        <f t="shared" si="977"/>
        <v/>
      </c>
      <c r="PM224" s="43" t="str">
        <f t="shared" si="978"/>
        <v/>
      </c>
      <c r="PN224" s="43" t="str">
        <f t="shared" si="979"/>
        <v/>
      </c>
      <c r="PO224" s="43" t="str">
        <f t="shared" si="980"/>
        <v/>
      </c>
      <c r="PP224" s="43" t="str">
        <f t="shared" si="981"/>
        <v/>
      </c>
      <c r="PQ224" s="43" t="str">
        <f t="shared" si="982"/>
        <v/>
      </c>
      <c r="PR224" s="43" t="str">
        <f t="shared" si="983"/>
        <v/>
      </c>
      <c r="PS224" s="43" t="str">
        <f t="shared" si="984"/>
        <v/>
      </c>
      <c r="PT224" s="43" t="str">
        <f t="shared" si="985"/>
        <v>SOBREPESO</v>
      </c>
      <c r="PU224" s="43" t="str">
        <f t="shared" si="986"/>
        <v/>
      </c>
      <c r="PV224" s="43" t="str">
        <f t="shared" si="987"/>
        <v/>
      </c>
      <c r="PW224" s="43" t="str">
        <f t="shared" si="988"/>
        <v/>
      </c>
      <c r="PX224" s="43" t="str">
        <f t="shared" si="989"/>
        <v/>
      </c>
      <c r="PY224" s="43" t="str">
        <f t="shared" si="990"/>
        <v/>
      </c>
      <c r="PZ224" s="43" t="str">
        <f t="shared" si="991"/>
        <v/>
      </c>
      <c r="QA224" s="43" t="str">
        <f t="shared" si="992"/>
        <v/>
      </c>
      <c r="QB224" s="43" t="str">
        <f t="shared" si="993"/>
        <v/>
      </c>
      <c r="QC224" s="43" t="str">
        <f t="shared" si="994"/>
        <v/>
      </c>
      <c r="QD224" s="43" t="str">
        <f t="shared" si="995"/>
        <v/>
      </c>
      <c r="QE224" s="43" t="str">
        <f t="shared" si="996"/>
        <v/>
      </c>
      <c r="QF224" s="43" t="str">
        <f t="shared" si="997"/>
        <v/>
      </c>
      <c r="QG224" s="43" t="str">
        <f t="shared" si="998"/>
        <v/>
      </c>
      <c r="QH224" s="43" t="str">
        <f t="shared" si="999"/>
        <v/>
      </c>
      <c r="QI224" s="43" t="str">
        <f t="shared" si="1000"/>
        <v/>
      </c>
      <c r="QJ224" s="43" t="str">
        <f t="shared" si="1001"/>
        <v/>
      </c>
      <c r="QK224" s="43" t="str">
        <f t="shared" si="1002"/>
        <v/>
      </c>
      <c r="QL224" s="43" t="str">
        <f t="shared" si="1003"/>
        <v/>
      </c>
      <c r="QM224" s="43" t="str">
        <f t="shared" si="1004"/>
        <v/>
      </c>
      <c r="QN224" s="43" t="str">
        <f t="shared" si="1005"/>
        <v/>
      </c>
      <c r="QO224" s="43" t="str">
        <f t="shared" si="1006"/>
        <v/>
      </c>
      <c r="QP224" s="43" t="str">
        <f t="shared" si="1007"/>
        <v/>
      </c>
      <c r="QQ224" s="43" t="str">
        <f t="shared" si="1008"/>
        <v/>
      </c>
      <c r="QR224" s="43">
        <f t="shared" si="1009"/>
        <v>19</v>
      </c>
      <c r="QS224" s="43"/>
      <c r="QT224" s="21" t="str">
        <f t="shared" si="1010"/>
        <v/>
      </c>
      <c r="QU224" s="21" t="str">
        <f t="shared" si="1011"/>
        <v/>
      </c>
      <c r="QV224" s="21" t="str">
        <f t="shared" si="1012"/>
        <v/>
      </c>
      <c r="QW224" s="21" t="str">
        <f t="shared" si="1013"/>
        <v/>
      </c>
      <c r="QX224" s="21" t="str">
        <f t="shared" si="1014"/>
        <v/>
      </c>
      <c r="QY224" s="21" t="str">
        <f t="shared" si="1015"/>
        <v/>
      </c>
      <c r="QZ224" s="21" t="str">
        <f t="shared" si="1016"/>
        <v>BAJO PARA EDAD GESTACIONAL</v>
      </c>
      <c r="RA224" s="21" t="str">
        <f t="shared" si="1017"/>
        <v/>
      </c>
      <c r="RB224" s="21" t="str">
        <f t="shared" si="1018"/>
        <v/>
      </c>
      <c r="RC224" s="21" t="str">
        <f t="shared" si="1019"/>
        <v/>
      </c>
      <c r="RD224" s="21" t="str">
        <f t="shared" si="1020"/>
        <v/>
      </c>
      <c r="RE224" s="21" t="str">
        <f t="shared" si="1021"/>
        <v/>
      </c>
      <c r="RF224" s="21" t="str">
        <f t="shared" si="1022"/>
        <v/>
      </c>
      <c r="RG224" s="21" t="str">
        <f t="shared" si="1023"/>
        <v/>
      </c>
      <c r="RH224" s="21" t="str">
        <f t="shared" si="1024"/>
        <v/>
      </c>
      <c r="RI224" s="21" t="str">
        <f t="shared" si="1025"/>
        <v/>
      </c>
      <c r="RJ224" s="21" t="str">
        <f t="shared" si="1026"/>
        <v/>
      </c>
      <c r="RK224" s="21" t="str">
        <f t="shared" si="1027"/>
        <v/>
      </c>
      <c r="RL224" s="21" t="str">
        <f t="shared" si="1028"/>
        <v/>
      </c>
      <c r="RM224" s="21" t="str">
        <f t="shared" si="1029"/>
        <v/>
      </c>
      <c r="RN224" s="21" t="str">
        <f t="shared" si="1030"/>
        <v/>
      </c>
      <c r="RO224" s="21" t="str">
        <f t="shared" si="1031"/>
        <v/>
      </c>
      <c r="RP224" s="21" t="str">
        <f t="shared" si="1032"/>
        <v/>
      </c>
      <c r="RQ224" s="21" t="str">
        <f t="shared" si="1033"/>
        <v/>
      </c>
      <c r="RR224" s="21" t="str">
        <f t="shared" si="1034"/>
        <v/>
      </c>
      <c r="RS224" s="21" t="str">
        <f t="shared" si="1035"/>
        <v/>
      </c>
      <c r="RT224" s="21" t="str">
        <f t="shared" si="1036"/>
        <v/>
      </c>
      <c r="RU224" s="21" t="str">
        <f t="shared" si="1037"/>
        <v/>
      </c>
      <c r="RV224" s="21">
        <f t="shared" si="1038"/>
        <v>-1</v>
      </c>
      <c r="RW224" s="284">
        <f>IF(OR(Tabla1[[#This Row],[FUM FORMULA CONFIABLE]]="",Tabla1[[#This Row],[FUM FORMULA CONFIABLE]]="SD"),"",IF(Tabla1[[#This Row],[FUM FORMULA CONFIABLE]]="CORREGIDA",Tabla1[[#This Row],[FUM X ECO 1]],Tabla1[[#This Row],[FUM x AMENORREA]]))</f>
        <v>45012</v>
      </c>
      <c r="RX224" s="21">
        <f>IF(AND(Tabla1[[#This Row],[FUM X ECO 1]]="",Tabla1[[#This Row],[FUM x AMENORREA]]=""),"",IF(AND(Tabla1[[#This Row],[FUM X ECO 1]]="",Tabla1[[#This Row],[FUM x AMENORREA]]&lt;&gt;""),"X",SUM(Tabla1[[#This Row],[FUM X ECO 1]]-Tabla1[[#This Row],[FUM x AMENORREA]])))</f>
        <v>0.5</v>
      </c>
      <c r="RY224" s="21">
        <f t="shared" si="1039"/>
        <v>0</v>
      </c>
    </row>
    <row r="225" spans="1:493" ht="45" customHeight="1" x14ac:dyDescent="0.25">
      <c r="A225" s="109"/>
      <c r="B225" s="43"/>
      <c r="C225" s="299" t="s">
        <v>845</v>
      </c>
      <c r="D225" s="124"/>
      <c r="E225" s="43" t="s">
        <v>896</v>
      </c>
      <c r="F225" s="43" t="s">
        <v>1599</v>
      </c>
      <c r="G225" s="43" t="s">
        <v>1607</v>
      </c>
      <c r="H225" s="43" t="s">
        <v>1608</v>
      </c>
      <c r="I225" s="109" t="s">
        <v>851</v>
      </c>
      <c r="J225" s="110">
        <v>1060800773</v>
      </c>
      <c r="K225" s="43" t="s">
        <v>904</v>
      </c>
      <c r="L225" s="175" t="s">
        <v>1509</v>
      </c>
      <c r="M225" s="22">
        <v>33006</v>
      </c>
      <c r="N225" s="213">
        <f t="shared" ca="1" si="839"/>
        <v>33.4986301369863</v>
      </c>
      <c r="O225" s="22">
        <v>45141</v>
      </c>
      <c r="P225" s="214" t="str">
        <f t="shared" si="916"/>
        <v>SI</v>
      </c>
      <c r="Q225" s="26" t="s">
        <v>855</v>
      </c>
      <c r="R225" s="22">
        <v>45141</v>
      </c>
      <c r="S225" s="21" t="s">
        <v>856</v>
      </c>
      <c r="T225" s="24" t="s">
        <v>690</v>
      </c>
      <c r="U225" s="21" t="s">
        <v>857</v>
      </c>
      <c r="V225" s="21" t="s">
        <v>858</v>
      </c>
      <c r="W225" s="21" t="s">
        <v>920</v>
      </c>
      <c r="X225" s="21"/>
      <c r="Y225" s="21" t="s">
        <v>920</v>
      </c>
      <c r="Z225" s="21">
        <v>3106968874</v>
      </c>
      <c r="AA225" s="21" t="s">
        <v>860</v>
      </c>
      <c r="AB225" s="27" t="s">
        <v>861</v>
      </c>
      <c r="AC225" s="26" t="s">
        <v>888</v>
      </c>
      <c r="AD225" s="38" t="s">
        <v>1546</v>
      </c>
      <c r="AE225" s="26" t="s">
        <v>854</v>
      </c>
      <c r="AF225" s="26" t="s">
        <v>854</v>
      </c>
      <c r="AG225" s="23" t="s">
        <v>864</v>
      </c>
      <c r="AH225" s="23" t="s">
        <v>864</v>
      </c>
      <c r="AI225" s="24" t="s">
        <v>863</v>
      </c>
      <c r="AJ225" s="23" t="s">
        <v>864</v>
      </c>
      <c r="AK225" s="220" t="str">
        <f>IF(AND(AD225="",AE225="",AF225="",AG225="",AH225="",AI225="",AJ225=""),"",IF(OR(Tabla1[[#This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EVALUACIÓN",IF(AND(O225="",R225=""),"",IF(AND(OR(O225&gt;0,R225&gt;0),NG225&gt;=0,NG225&lt;2),"SIN RIESGO",IF(AND(OR(O225&gt;0,R225&gt;0),NG225&gt;=2),"CON RIESGO","ASD")))))</f>
        <v>SIN RIESGO</v>
      </c>
      <c r="AL225" s="26" t="s">
        <v>864</v>
      </c>
      <c r="AM225" s="26" t="s">
        <v>864</v>
      </c>
      <c r="AN225" s="26" t="s">
        <v>864</v>
      </c>
      <c r="AO225" s="26" t="s">
        <v>864</v>
      </c>
      <c r="AP225" s="26" t="s">
        <v>864</v>
      </c>
      <c r="AQ225" s="26" t="s">
        <v>864</v>
      </c>
      <c r="AR225" s="26" t="s">
        <v>864</v>
      </c>
      <c r="AS225" s="21">
        <v>3</v>
      </c>
      <c r="AT225" s="21">
        <v>3</v>
      </c>
      <c r="AU225" s="21">
        <v>0</v>
      </c>
      <c r="AV225" s="26" t="s">
        <v>864</v>
      </c>
      <c r="AW225" s="21">
        <v>0</v>
      </c>
      <c r="AX225" s="26" t="s">
        <v>864</v>
      </c>
      <c r="AY225" s="26" t="s">
        <v>864</v>
      </c>
      <c r="AZ225" s="26" t="s">
        <v>864</v>
      </c>
      <c r="BA225" s="26" t="s">
        <v>864</v>
      </c>
      <c r="BB225" s="26" t="s">
        <v>864</v>
      </c>
      <c r="BC225" s="26" t="s">
        <v>864</v>
      </c>
      <c r="BD225" s="26" t="s">
        <v>864</v>
      </c>
      <c r="BE225" s="26" t="s">
        <v>864</v>
      </c>
      <c r="BF225" s="26" t="s">
        <v>864</v>
      </c>
      <c r="BG225" s="26" t="s">
        <v>864</v>
      </c>
      <c r="BH225" s="26" t="s">
        <v>864</v>
      </c>
      <c r="BI225" s="26" t="s">
        <v>864</v>
      </c>
      <c r="BJ225" s="26" t="s">
        <v>864</v>
      </c>
      <c r="BK225" s="26" t="s">
        <v>864</v>
      </c>
      <c r="BL225" s="26" t="s">
        <v>864</v>
      </c>
      <c r="BM225" s="26" t="s">
        <v>864</v>
      </c>
      <c r="BN225" s="22">
        <v>41164</v>
      </c>
      <c r="BO225" s="22">
        <v>44944</v>
      </c>
      <c r="BP225" s="21" t="s">
        <v>854</v>
      </c>
      <c r="BQ225" s="222">
        <f t="shared" si="840"/>
        <v>126</v>
      </c>
      <c r="BR225" s="223">
        <f t="shared" si="841"/>
        <v>44944.6</v>
      </c>
      <c r="BS225" s="224">
        <f t="shared" si="842"/>
        <v>28.142857142857142</v>
      </c>
      <c r="BT225" s="216" t="str">
        <f t="shared" si="843"/>
        <v>III TRIM</v>
      </c>
      <c r="BU225" s="214">
        <f t="shared" ca="1" si="925"/>
        <v>41.285714285714285</v>
      </c>
      <c r="BV225" s="25" t="s">
        <v>988</v>
      </c>
      <c r="BW225" s="22">
        <v>45149</v>
      </c>
      <c r="BX225" s="28">
        <v>29.2</v>
      </c>
      <c r="BY225" s="28"/>
      <c r="BZ225" s="22"/>
      <c r="CA225" s="21"/>
      <c r="CB225" s="26" t="s">
        <v>864</v>
      </c>
      <c r="CC225" s="26" t="s">
        <v>864</v>
      </c>
      <c r="CD225" s="26" t="s">
        <v>1087</v>
      </c>
      <c r="CE225" s="26" t="s">
        <v>864</v>
      </c>
      <c r="CF225" s="22" t="s">
        <v>1517</v>
      </c>
      <c r="CG225" s="21">
        <v>1.43</v>
      </c>
      <c r="CH225" s="21">
        <v>57</v>
      </c>
      <c r="CI225" s="214">
        <f t="shared" si="845"/>
        <v>27.874223678419487</v>
      </c>
      <c r="CJ225" s="225" t="e">
        <f>IF(AND(CI225&lt;10,CH225="SD"),"SIN DATO PESO PREGESTACION O I TRIM",IF(AND(OR(R225&gt;0,O225&gt;0),CI225="X"),"INGRESAR DATO DE PESO",IF(CI225="SD","INGRESAR DATO DE TALLA Y PESO",IF(AND(OR(Tabla1[[#This Row],[MOMENTO EN QUE SE REALIZA EL PESO AL INGRESO A CPN]]="PREGESTACIÓN",NZ225="Menor"),CI225&lt;18.5),"BAJO PESO",IF(AND(OR(Tabla1[[#This Row],[MOMENTO EN QUE SE REALIZA EL PESO AL INGRESO A CPN]]="PREGESTACIÓN",NZ225="Menor"),CI225&lt;25),"NORMAL",IF(AND(OR(Tabla1[[#This Row],[MOMENTO EN QUE SE REALIZA EL PESO AL INGRESO A CPN]]="PREGESTACIÓN",NZ225="Menor"),CI225&lt;30),"SOBREPESO",IF(AND(OR(Tabla1[[#This Row],[MOMENTO EN QUE SE REALIZA EL PESO AL INGRESO A CPN]]="PREGESTACIÓN",NZ225="Menor"),CI225&gt;=30,CI225&lt;50),"OBESIDAD",IF(AND(BS225&gt;0,Tabla1[[#This Row],[MOMENTO EN QUE SE REALIZA EL PESO AL INGRESO A CPN]]="GESTACIÓN"),HLOOKUP(NZ225,$OA$2:PH225,NY225),""))))))))</f>
        <v>#REF!</v>
      </c>
      <c r="CK225" s="212">
        <f t="shared" si="846"/>
        <v>45141</v>
      </c>
      <c r="CL225" s="21">
        <v>57</v>
      </c>
      <c r="CM225" s="214">
        <f t="shared" si="847"/>
        <v>27.874223678419487</v>
      </c>
      <c r="CN225" s="216">
        <f t="shared" si="848"/>
        <v>28</v>
      </c>
      <c r="CO225" s="216" t="e">
        <f>IF(PI225="","",IF(PI225&gt;0,HLOOKUP(PI225,$PJ$2:QQ225,NY225),""))</f>
        <v>#REF!</v>
      </c>
      <c r="CP225" s="21"/>
      <c r="CQ225" s="216" t="e">
        <f>IF(QR225="Menor","NO APLICA-MENOR 13 SEM",IF(AND(CC225="SI",CN225&gt;23),"NO APLICA- GEMELAR",IF(QR225="","",IF(QR225&gt;0,HLOOKUP(QR225,$QS$2:RU225,NY225),""))))</f>
        <v>#REF!</v>
      </c>
      <c r="CR225" s="21"/>
      <c r="CS225" s="21"/>
      <c r="CT225" s="217" t="str">
        <f>IF(R225="","",IF(AND(BS225&gt;1,BS225&lt;12,Tabla1[[#This Row],[T.A. SISTOLICA - ANTES DE SEMANA 12]]="",Tabla1[[#This Row],[T.A. DIASTOLICA - ANTES DE SEMANA 12]]=""),"REGISTRE DATO TA ANTES SEMANA 12",IF(AND(BS225&gt;11,BS225&lt;43,Tabla1[[#This Row],[T.A. SISTOLICA - ANTES DE SEMANA 12]]="",Tabla1[[#This Row],[T.A. DIASTOLICA - ANTES DE SEMANA 12]]=""),"NO APLICA REGISTRO TA-INGRESO TARDIO",IF(AND(OR(O225&gt;0,R225&gt;0),OR(CR225&gt;=140,CS225&gt;=90)),"DEFINIR ESTADIO HTA",IF(AND(OR(O225&gt;0,R225&gt;0),AND(CR225&gt;120,CR225&lt;=139)),"PRE HTA SEGUIMIENTO",IF(AND(OR(O225&gt;0,R225&gt;0),AND(CS225&gt;80,CS225&lt;=89)),"PRE HTA SEGUIMIENTO",IF(AND(OR(O225&gt;0,R225&gt;0),AND(CR225&gt;=80,CR225&lt;=120)),"APARENTEMENTE NORMAL",IF(AND(OR(O225&gt;0,R225&gt;0),AND(CS225&gt;=50,CS225&lt;=80)),"APARENTEMENTE NORMAL",IF(AND(OR(O225&gt;0,R225&gt;0),AND(CR225&gt;1,CR225&lt;=70),AND(CS225&gt;1,CS225&lt;=40)),"HIPOTENSIÓN","")))))))))</f>
        <v>NO APLICA REGISTRO TA-INGRESO TARDIO</v>
      </c>
      <c r="CU225" s="21"/>
      <c r="CV225" s="21"/>
      <c r="CW225" s="217" t="str">
        <f ca="1">IF(R225="","",IF(AND(CN225&gt;19,CN225&lt;27,Tabla1[[#This Row],[T.A. SISTOLICA (Entre semana 20 y 26)]]="",Tabla1[[#This Row],[T.A. DIATOLICA (Entre semana 20 y 26)]]=""),"ACUDE A CONTROL SEM 20 A 26 REGISTRE TA AHORA",IF(AND(BS225&gt;1,BS225&lt;27,BU225&gt;19,Tabla1[[#This Row],[T.A. SISTOLICA (Entre semana 20 y 26)]]="",Tabla1[[#This Row],[T.A. DIATOLICA (Entre semana 20 y 26)]]=""),"COMPLETE REGISTRO TA CONTROL SEM 20 A26 ",IF(AND(BS225&gt;26,BS225&lt;43,Tabla1[[#This Row],[T.A. SISTOLICA (Entre semana 20 y 26)]]="",Tabla1[[#This Row],[T.A. DIATOLICA (Entre semana 20 y 26)]]=""),"NO APLICA REGISTRO TA-INGRESO TARDIO",IF(AND(OR(O225&gt;0,R225&gt;0),OR(CU225&gt;=140,CV225&gt;=90)),"ALTO RIESGO PREECLAMPSIA,DEFINIR ESTADIO HTA",IF(AND(OR(O225&gt;0,R225&gt;0),AND(CU225&gt;120,CU225&lt;=139)),"PRE HTA SEGUIMIENTO,RIESGO HIPERTENSION INDUCIDA POR EL EMBARAZO",IF(AND(OR(O225&gt;0,R225&gt;0),AND(CV225&gt;80,CV225&lt;=89)),"PRE HTA SEGUIMIENTO, RIESGO HIPERTENSION INDUCIDA POR EL EMBARAZO",IF(AND(OR(O225&lt;&gt;"",R225&lt;&gt;""),CS225&lt;&gt;"",CV225&lt;&gt;"",CS225&lt;=CV225),"VIGILAR CIFRAS PRESION ARTERIAL",IF(AND(OR(O225&gt;0,R225&gt;0),AND(CU225&gt;120,CU225&lt;=139)),"PRE HTA SEGUIMIENTO",IF(AND(OR(O225&gt;0,R225&gt;0),AND(CU225&gt;1,CU225&lt;=70),AND(CV225&gt;1,CV225&lt;=40)),"HIPOTENSIÓN",IF(AND(OR(O225&lt;&gt;"",R225&lt;&gt;""),CS225&lt;&gt;"",CV225&lt;&gt;"",CS225&gt;CV225),"APARENTEMENTE NORMAL",IF(AND(OR(O225&gt;0,R225&gt;0),AND(CU225&gt;=80,CU225&lt;=120)),"APARENTEMENTE NORMAL",IF(AND(OR(O225&gt;0,R225&gt;0),AND(CV225&gt;=50,CV225&lt;=80)),"APARENTEMENTE NORMAL","")))))))))))))</f>
        <v>NO APLICA REGISTRO TA-INGRESO TARDIO</v>
      </c>
      <c r="CX225" s="21"/>
      <c r="CY225" s="21"/>
      <c r="CZ225" s="216" t="str">
        <f t="shared" si="1042"/>
        <v/>
      </c>
      <c r="DA225" s="21">
        <v>90</v>
      </c>
      <c r="DB225" s="21">
        <v>60</v>
      </c>
      <c r="DC225" s="217" t="str">
        <f t="shared" si="849"/>
        <v>APARENTEMENTE NORMAL</v>
      </c>
      <c r="DD225" s="22">
        <v>45141</v>
      </c>
      <c r="DE225" s="22">
        <v>45141</v>
      </c>
      <c r="DF225" s="22"/>
      <c r="DG225" s="22"/>
      <c r="DH225" s="22"/>
      <c r="DI225" s="22"/>
      <c r="DJ225" s="22"/>
      <c r="DK225" s="22"/>
      <c r="DL225" s="22"/>
      <c r="DM225" s="22"/>
      <c r="DN225" s="22"/>
      <c r="DO225" s="22"/>
      <c r="DP225" s="22"/>
      <c r="DQ225" s="22"/>
      <c r="DR225" s="28">
        <v>1</v>
      </c>
      <c r="DS225" s="22"/>
      <c r="DT225" s="22"/>
      <c r="DU225" s="216" t="str">
        <f t="shared" ca="1" si="917"/>
        <v>CONCERTAR PLAN DE PARTO INMEDIATO</v>
      </c>
      <c r="DV225" s="226" t="str">
        <f t="shared" si="918"/>
        <v>ACTIVA INGRESO A CPN</v>
      </c>
      <c r="DW22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5" s="216" t="e">
        <f t="shared" ca="1" si="850"/>
        <v>#REF!</v>
      </c>
      <c r="DY225" s="212">
        <f>IF(R225="","",IF(R225&gt;0,MAX(Tabla1[[#This Row],[FECHA C2]:[FECHA C13]],Tabla1[[#This Row],[FECHA CONSULTA PRIMERA VEZ PROGRAMA CPN ]])))</f>
        <v>45141</v>
      </c>
      <c r="DZ225" s="216">
        <f t="shared" si="851"/>
        <v>28</v>
      </c>
      <c r="EA225" s="222">
        <f>IF(R225&gt;0,SUM(COUNTA(DF225:DQ225)+COUNTA(Tabla1[[#This Row],[FECHA CONSULTA PRIMERA VEZ PROGRAMA CPN ]])),"")</f>
        <v>1</v>
      </c>
      <c r="EB225" s="222" t="str">
        <f t="shared" si="852"/>
        <v>NO</v>
      </c>
      <c r="EC225" s="214">
        <f t="shared" si="853"/>
        <v>4</v>
      </c>
      <c r="ED225" s="227">
        <f t="shared" si="854"/>
        <v>0.25</v>
      </c>
      <c r="EE225" s="22">
        <v>45141</v>
      </c>
      <c r="EF225" s="22">
        <v>45141</v>
      </c>
      <c r="EG225" s="22">
        <v>45141</v>
      </c>
      <c r="EH225" s="22"/>
      <c r="EI225" s="22">
        <v>45141</v>
      </c>
      <c r="EJ225" s="22"/>
      <c r="EK225" s="22"/>
      <c r="EL225" s="21"/>
      <c r="EM225" s="21">
        <v>12</v>
      </c>
      <c r="EN225" s="22">
        <v>45149</v>
      </c>
      <c r="EO225" s="222">
        <f t="shared" si="855"/>
        <v>29.285714285714285</v>
      </c>
      <c r="EP225" s="214" t="str">
        <f t="shared" si="856"/>
        <v>NORMAL- SUMINISTRAR SULFATO FERROSO</v>
      </c>
      <c r="EQ225" s="216" t="str">
        <f t="shared" si="857"/>
        <v>III TRIM</v>
      </c>
      <c r="ER225" s="24"/>
      <c r="ES225" s="22"/>
      <c r="ET225" s="29" t="str">
        <f t="shared" ca="1" si="919"/>
        <v>TOMA DE HEMOGLOBINA TARDÍA</v>
      </c>
      <c r="EU225" s="25" t="str">
        <f t="shared" si="858"/>
        <v/>
      </c>
      <c r="EV225" s="24"/>
      <c r="EW225" s="22"/>
      <c r="EX225" s="22"/>
      <c r="EY225" s="29" t="str">
        <f t="shared" si="1040"/>
        <v>TOMAR EXAMEN</v>
      </c>
      <c r="EZ225" s="25" t="str">
        <f t="shared" ca="1" si="1041"/>
        <v/>
      </c>
      <c r="FA225" s="21"/>
      <c r="FB225" s="22"/>
      <c r="FC225" s="29" t="str">
        <f t="shared" si="859"/>
        <v>PIERDE TOMA TAMIZAJE- INGRESO TARDIO</v>
      </c>
      <c r="FD225" s="29">
        <v>65</v>
      </c>
      <c r="FE225" s="29">
        <v>94</v>
      </c>
      <c r="FF225" s="29">
        <v>109</v>
      </c>
      <c r="FG225" s="21" t="str">
        <f t="shared" ca="1" si="860"/>
        <v>NORMAL</v>
      </c>
      <c r="FH225" s="31">
        <v>45149</v>
      </c>
      <c r="FI225" s="29">
        <f t="shared" si="861"/>
        <v>29.285714285714285</v>
      </c>
      <c r="FJ225" s="22"/>
      <c r="FK225" s="22"/>
      <c r="FL225" s="29" t="str">
        <f t="shared" ca="1" si="862"/>
        <v>NO APLICA-INGRESO TARDIO</v>
      </c>
      <c r="FM225" s="22"/>
      <c r="FN225" s="32"/>
      <c r="FO225" s="29" t="str">
        <f t="shared" ca="1" si="920"/>
        <v>NO APLICA-INGRESO TARDIO</v>
      </c>
      <c r="FP225" s="22" t="s">
        <v>867</v>
      </c>
      <c r="FQ225" s="32">
        <v>45149</v>
      </c>
      <c r="FR225" s="29">
        <f t="shared" ca="1" si="921"/>
        <v>29.285714285714285</v>
      </c>
      <c r="FS225" s="22"/>
      <c r="FT225" s="32"/>
      <c r="FU225" s="29" t="str">
        <f>IF(AND(FJ225="",FM225="",FP225="",FS225=""),"",IF(OR(OR(Tabla1[[#This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5" s="28"/>
      <c r="FW225" s="22"/>
      <c r="FX225" s="29" t="str">
        <f t="shared" si="863"/>
        <v>TOMAR EXAMEN</v>
      </c>
      <c r="FY225" s="22"/>
      <c r="FZ225" s="22"/>
      <c r="GA225" s="29" t="str">
        <f t="shared" ca="1" si="936"/>
        <v>NO APLICA-INGRESO TARDIO</v>
      </c>
      <c r="GB225" s="22"/>
      <c r="GC225" s="22"/>
      <c r="GD225" s="29" t="str">
        <f t="shared" ca="1" si="937"/>
        <v>NO APLICA-INGRESO TARDIO</v>
      </c>
      <c r="GE225" s="22" t="s">
        <v>868</v>
      </c>
      <c r="GF225" s="22">
        <v>45149</v>
      </c>
      <c r="GG225" s="29">
        <f t="shared" ca="1" si="923"/>
        <v>29.285714285714285</v>
      </c>
      <c r="GH225" s="22"/>
      <c r="GI225" s="29"/>
      <c r="GJ225" s="22"/>
      <c r="GK225" s="22"/>
      <c r="GL225" s="22"/>
      <c r="GM225" s="22"/>
      <c r="GN225" s="28" t="s">
        <v>869</v>
      </c>
      <c r="GO225" s="22">
        <v>45149</v>
      </c>
      <c r="GP225" s="29">
        <f t="shared" si="864"/>
        <v>29.285714285714285</v>
      </c>
      <c r="GQ225" s="28" t="s">
        <v>880</v>
      </c>
      <c r="GR225" s="28" t="s">
        <v>869</v>
      </c>
      <c r="GS225" s="22" t="str">
        <f t="shared" ref="GS225:GS248" si="1044">IF(GQ225="NEGATIVO","CONTROL Igm",IF(AND(GQ225="POSITIVO",GR225="NEGATIVO"),"SE EXCLUYE INFECCION",IF(AND(GQ225="POSITIVO",GR225="POSITIVO"),"TOXOPLASMOSIS, REMITIR PARA MANEJO","")))</f>
        <v>SE EXCLUYE INFECCION</v>
      </c>
      <c r="GT225" s="22">
        <v>45149</v>
      </c>
      <c r="GU225" s="29">
        <f t="shared" si="865"/>
        <v>29.285714285714285</v>
      </c>
      <c r="GV225" s="21" t="str">
        <f t="shared" si="866"/>
        <v>III TRIM</v>
      </c>
      <c r="GW225" s="28"/>
      <c r="GX225" s="30"/>
      <c r="GY225" s="21"/>
      <c r="GZ225" s="21"/>
      <c r="HA225" s="21"/>
      <c r="HB225" s="21"/>
      <c r="HC225" s="21"/>
      <c r="HD225" s="21"/>
      <c r="HE225" s="21"/>
      <c r="HF225" s="22"/>
      <c r="HG225" s="22" t="str">
        <f>IF(OR(O225&gt;0,R225&gt;0),CONCATENATE(IF(Tabla1[[#This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5" s="22" t="e">
        <f t="shared" si="867"/>
        <v>#REF!</v>
      </c>
      <c r="HI225" s="22" t="e">
        <f t="shared" ca="1" si="868"/>
        <v>#REF!</v>
      </c>
      <c r="HJ225" s="21"/>
      <c r="HK225" s="21" t="str">
        <f t="shared" si="869"/>
        <v>SIN ANTECEDENTES DE RIESGO</v>
      </c>
      <c r="HL225" s="24" t="str">
        <f t="shared" si="870"/>
        <v>APARENTEMENTE NORMAL</v>
      </c>
      <c r="HM225" s="21" t="e">
        <f t="shared" ca="1" si="871"/>
        <v>#REF!</v>
      </c>
      <c r="HN225" s="30" t="str">
        <f t="shared" si="924"/>
        <v>ACTIVA INGRESO A CPN</v>
      </c>
      <c r="HO225" s="21"/>
      <c r="HP225" s="21"/>
      <c r="HQ225" s="349"/>
      <c r="HR225" s="21" t="str">
        <f>IF(R225="","",IF(Tabla1[[#This Row],[ALARMA FACTORES DE RIESGO COMPLICACIONES HIPERTENSIVAS3]]="SIN ANTECEDENTES DE RIESGO","No Aplica para suministro de ASA",IF(AND(Tabla1[[#This Row],[FECHA INICIO DE SUMINISTRO DE ASA]]&gt;0,RV225&lt;12),"Inicia ASA ANTES de Sem 12",IF(AND(RV225&gt;11,RV225&lt;17,OR(HK225="RIESGO ALTO DE COMPLICACIONES HIPERTENSIVAS VER MANEJO GUIA SUMINISTRO ASA Y CALCIO",HK225="RIESGO MODERADO (2 O MAS CRITERIOS) VER MANEJO GUIA SUMINISTRO ASA Y CALCIO")),"Inicio oportuno de ASA",IF(AND(RV225&gt;12,OR(HK225="RIESGO ALTO DE COMPLICACIONES HIPERTENSIVAS VER MANEJO GUIA SUMINISTRO ASA Y CALCIO",HK225="RIESGO MODERADO (2 O MAS CRITERIOS) VER MANEJO GUIA SUMINISTRO ASA Y CALCIO")),"Inicio no oportuno mayor a 16 semanas",IF(AND(BU225&lt;12,OR(HK225="RIESGO ALTO DE COMPLICACIONES HIPERTENSIVAS VER MANEJO GUIA SUMINISTRO ASA Y CALCIO",HK225="RIESGO MODERADO (2 O MAS CRITERIOS) VER MANEJO GUIA SUMINISTRO ASA Y CALCIO")),"Pendiente Inicio de ASA a la semana 12",IF(AND(BU225&gt;11,BU225&lt;17,OR(HK225="RIESGO ALTO DE COMPLICACIONES HIPERTENSIVAS VER MANEJO GUIA SUMINISTRO ASA Y CALCIO",HK225="RIESGO MODERADO (2 O MAS CRITERIOS) VER MANEJO GUIA SUMINISTRO ASA Y CALCIO")),"Iniciar de inmediato ASA",IF(AND(BU225&gt;16,OR(HK225="RIESGO ALTO DE COMPLICACIONES HIPERTENSIVAS VER MANEJO GUIA SUMINISTRO ASA Y CALCIO",HK225="RIESGO MODERADO (2 O MAS CRITERIOS) VER MANEJO GUIA SUMINISTRO ASA Y CALCIO")),"Pierde Oportunidad, Inicio tardío de ASA","XXXXX"))))))))</f>
        <v>No Aplica para suministro de ASA</v>
      </c>
      <c r="HS225" s="22">
        <v>45141</v>
      </c>
      <c r="HT225" s="22" t="s">
        <v>1518</v>
      </c>
      <c r="HU225" s="22">
        <v>45141</v>
      </c>
      <c r="HV225" s="22" t="s">
        <v>1544</v>
      </c>
      <c r="HW225" s="22">
        <v>45141</v>
      </c>
      <c r="HX225" s="22" t="s">
        <v>1511</v>
      </c>
      <c r="HY225" s="22"/>
      <c r="HZ225" s="28" t="str">
        <f t="shared" si="872"/>
        <v>PENDIENTE CONSULTA</v>
      </c>
      <c r="IA225" s="26"/>
      <c r="IB225" s="26"/>
      <c r="IC225" s="111"/>
      <c r="ID225" s="22"/>
      <c r="IE225" s="22" t="str">
        <f t="shared" ca="1" si="873"/>
        <v>INASISTENTE</v>
      </c>
      <c r="IF225" s="22"/>
      <c r="IG225" s="22">
        <f t="shared" si="874"/>
        <v>45224</v>
      </c>
      <c r="IH225" s="29">
        <f t="shared" ca="1" si="875"/>
        <v>-9</v>
      </c>
      <c r="II225" s="22" t="str">
        <f t="shared" ca="1" si="876"/>
        <v>POSIBLEMENTE NACIO</v>
      </c>
      <c r="IJ225" s="22"/>
      <c r="IK225" s="21"/>
      <c r="IL225" s="21"/>
      <c r="IM225" s="34"/>
      <c r="IN225" s="22"/>
      <c r="IO225" s="21"/>
      <c r="IP225" s="29" t="str">
        <f t="shared" si="877"/>
        <v/>
      </c>
      <c r="IQ225" s="35"/>
      <c r="IR225" s="21"/>
      <c r="IS225" s="21"/>
      <c r="IT225" s="21"/>
      <c r="IU225" s="21"/>
      <c r="IV225" s="21"/>
      <c r="IW225" s="21"/>
      <c r="IX225" s="21"/>
      <c r="IY225" s="21"/>
      <c r="IZ225" s="21"/>
      <c r="JA225" s="21"/>
      <c r="JB225" s="30"/>
      <c r="JC225" s="21"/>
      <c r="JD225" s="36"/>
      <c r="JE225" s="21" t="str">
        <f t="shared" si="878"/>
        <v/>
      </c>
      <c r="JF225" s="30"/>
      <c r="JG225" s="21"/>
      <c r="JH225" s="21"/>
      <c r="JI225" s="21"/>
      <c r="JJ225" s="30"/>
      <c r="JK225" s="22"/>
      <c r="JL225" s="22"/>
      <c r="JM225" s="21"/>
      <c r="JN225" s="36"/>
      <c r="JO225" s="21" t="str">
        <f t="shared" si="879"/>
        <v/>
      </c>
      <c r="JP225" s="22"/>
      <c r="JQ225" s="21"/>
      <c r="JR225" s="21"/>
      <c r="JS225" s="21"/>
      <c r="JT225" s="30"/>
      <c r="JU225" s="22"/>
      <c r="JV225" s="22"/>
      <c r="JW225" s="33"/>
      <c r="JX225" s="28" t="str">
        <f t="shared" si="880"/>
        <v/>
      </c>
      <c r="JY225" s="33"/>
      <c r="JZ225" s="28" t="str">
        <f t="shared" si="881"/>
        <v/>
      </c>
      <c r="KA225" s="21"/>
      <c r="KB225" s="21"/>
      <c r="KC225" s="21"/>
      <c r="KD225" s="37"/>
      <c r="KE225" s="28"/>
      <c r="KF225" s="28"/>
      <c r="KG225" s="28"/>
      <c r="KH225" s="39"/>
      <c r="KI225" s="39"/>
      <c r="KJ225" s="66"/>
      <c r="KK225" s="39"/>
      <c r="KL225" s="39"/>
      <c r="KM225" s="66"/>
      <c r="KN225" s="39"/>
      <c r="KO225" s="39"/>
      <c r="KP225" s="39"/>
      <c r="KQ225" s="39"/>
      <c r="KR225" s="39"/>
      <c r="KS225" s="39"/>
      <c r="KT225" s="39"/>
      <c r="KU225" s="38"/>
      <c r="KV225" s="38"/>
      <c r="KW225" s="38"/>
      <c r="KX225" s="38"/>
      <c r="KY225" s="38"/>
      <c r="KZ225" s="38"/>
      <c r="LA225" s="38"/>
      <c r="LB225" s="38"/>
      <c r="LC225" s="38"/>
      <c r="LD225" s="38"/>
      <c r="LE225" s="38"/>
      <c r="LF225" s="38"/>
      <c r="LG225" s="38"/>
      <c r="LH225" s="38"/>
      <c r="LI225" s="38"/>
      <c r="LJ225" s="38"/>
      <c r="LK225" s="38"/>
      <c r="LL225" s="38"/>
      <c r="LM225" s="38"/>
      <c r="LN225" s="38"/>
      <c r="LO225" s="38"/>
      <c r="LP225" s="38"/>
      <c r="LQ225" s="38"/>
      <c r="LR225" s="38"/>
      <c r="LS225" s="38"/>
      <c r="LT225" s="38"/>
      <c r="LU225" s="38"/>
      <c r="LV225" s="38"/>
      <c r="LW225" s="38"/>
      <c r="LX225" s="38"/>
      <c r="LY225" s="38"/>
      <c r="LZ225" s="38"/>
      <c r="MA225" s="38"/>
      <c r="MB225" s="38"/>
      <c r="MC225" s="38"/>
      <c r="MD225" s="38"/>
      <c r="ME225" s="38"/>
      <c r="MF225" s="38"/>
      <c r="MG225" s="38"/>
      <c r="MH225" s="43">
        <f t="shared" si="882"/>
        <v>0</v>
      </c>
      <c r="MI225" s="43" t="str">
        <f t="shared" si="926"/>
        <v/>
      </c>
      <c r="MJ225" s="43" t="str">
        <f t="shared" si="884"/>
        <v/>
      </c>
      <c r="MK225" s="43">
        <f t="shared" si="885"/>
        <v>0</v>
      </c>
      <c r="ML22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5" s="43">
        <f t="shared" si="927"/>
        <v>28.142857142857142</v>
      </c>
      <c r="MN225" s="43">
        <f t="shared" si="928"/>
        <v>8</v>
      </c>
      <c r="MO225" s="43">
        <f t="shared" si="929"/>
        <v>2023</v>
      </c>
      <c r="MP225" s="43" t="str">
        <f t="shared" si="889"/>
        <v>III TRIMESTRE AÑO</v>
      </c>
      <c r="MQ225" s="43">
        <f t="shared" si="930"/>
        <v>32.742006132282086</v>
      </c>
      <c r="MR225" s="43">
        <f t="shared" si="891"/>
        <v>0</v>
      </c>
      <c r="MS225" s="43" t="str">
        <f t="shared" si="892"/>
        <v xml:space="preserve"> DE 30 A 34 AÑOS</v>
      </c>
      <c r="MT225" s="43">
        <f t="shared" si="893"/>
        <v>0</v>
      </c>
      <c r="MU225" s="43">
        <f t="shared" si="894"/>
        <v>0</v>
      </c>
      <c r="MV225" s="43">
        <f t="shared" si="895"/>
        <v>0</v>
      </c>
      <c r="MW225" s="43">
        <f t="shared" si="896"/>
        <v>0</v>
      </c>
      <c r="MX225" s="43" t="str">
        <f t="shared" si="897"/>
        <v/>
      </c>
      <c r="MY225" s="43">
        <f t="shared" ca="1" si="898"/>
        <v>1</v>
      </c>
      <c r="MZ225" s="43" t="str">
        <f t="shared" si="899"/>
        <v/>
      </c>
      <c r="NA225" s="43">
        <f t="shared" si="900"/>
        <v>3</v>
      </c>
      <c r="NB225" s="43" t="str">
        <f t="shared" si="901"/>
        <v/>
      </c>
      <c r="NC225" s="43" t="str">
        <f t="shared" si="902"/>
        <v/>
      </c>
      <c r="ND225" s="43">
        <f t="shared" ca="1" si="931"/>
        <v>4</v>
      </c>
      <c r="NE225" s="43">
        <f>IF(OR(O225&gt;0,R225&gt;0),SUM(COUNTIF(Tabla1[[#This Row],[AÑOS AL INICIO5 CPN]],"&gt;=40"),COUNTIF(AS225,"0"),COUNTIF(AR225,"SI"),COUNTIF(CC225,"SI"),COUNTIF(BQ225,"&gt;119"),COUNTIF(CI225,"&gt;=35")),"")</f>
        <v>1</v>
      </c>
      <c r="NF225" s="43" t="str">
        <f t="shared" si="932"/>
        <v/>
      </c>
      <c r="NG225" s="43">
        <f t="shared" si="905"/>
        <v>0</v>
      </c>
      <c r="NH225" s="43">
        <f t="shared" si="906"/>
        <v>204.4</v>
      </c>
      <c r="NI22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CPN",P225="NO"),"Z",IF(AND(Tabla1[[#This Row],[CITA PROXIMO CONTROL]]="CITA MANUAL",Tabla1[[#This Row],[GESTANTES ACTUALES]]="ACTIVA INGRESO A CPN"),"W",IF(AND(Tabla1[[#This Row],[GESTANTES ACTUALES]]="SALIO PROGRAMA",IN225=""),"S",IF(AND(Tabla1[[#This Row],[CITA PROXIMO CONTROL]]&gt;0,IN225=""),(Tabla1[[#This Row],[CITA PROXIMO CONTROL]]-TODAY()),"SD"))))))))</f>
        <v>#REF!</v>
      </c>
      <c r="NJ225" s="43">
        <f>MONTH(Tabla1[[#This Row],[FECHA DE SALIDA  DEL PROGRAMA]])</f>
        <v>1</v>
      </c>
      <c r="NK225" s="43">
        <f>YEAR(Tabla1[[#This Row],[FECHA DE SALIDA  DEL PROGRAMA]])</f>
        <v>1900</v>
      </c>
      <c r="NL225" s="43" t="str">
        <f t="shared" si="933"/>
        <v>X</v>
      </c>
      <c r="NM225" s="43" t="str">
        <f t="shared" si="938"/>
        <v>NO</v>
      </c>
      <c r="NN225" s="43" t="str">
        <f ca="1">IF(AND(O225&gt;0,R225=""),"NO CPN",IF(AND(O225="",R225=""),"",IF(AND(R225&gt;0,Tabla1[[#This Row],[SEMANAS DE GESTACION ACTUALIZADAS]]&lt;=12),"NO APLICA",IF(AND(FH225&lt;&gt;"",FN225&lt;&gt;""),"SI","NO"))))</f>
        <v>NO</v>
      </c>
      <c r="NO225" s="43" t="str">
        <f ca="1">IF(AND(O225&gt;0,R225=""),"NO CPN",IF(AND(O225="",R225=""),"",IF(AND(R225&gt;0,Tabla1[[#This Row],[SEMANAS DE GESTACION ACTUALIZADAS]]&lt;=27),"NO APLICA",IF(AND(ES225&lt;&gt;"",FQ225&lt;&gt;"",GF225&lt;&gt;""),"SI","NO"))))</f>
        <v>NO</v>
      </c>
      <c r="NP225" s="204" t="str">
        <f t="shared" si="909"/>
        <v>III TRIM</v>
      </c>
      <c r="NQ225" s="21" t="str">
        <f t="shared" si="1043"/>
        <v/>
      </c>
      <c r="NR225" s="21">
        <f t="shared" si="934"/>
        <v>1</v>
      </c>
      <c r="NS225" s="205">
        <f t="shared" ca="1" si="911"/>
        <v>1</v>
      </c>
      <c r="NT225" s="21">
        <f t="shared" ca="1" si="912"/>
        <v>1</v>
      </c>
      <c r="NU225" s="21" t="str">
        <f t="shared" ca="1" si="913"/>
        <v>COMPLETO</v>
      </c>
      <c r="NV225" s="21" t="str">
        <f t="shared" ca="1" si="914"/>
        <v>COMPLETO</v>
      </c>
      <c r="NW225" s="206" t="str">
        <f>IF(AND(O225="",R225=""),"",IF(OR(AND(Tabla1[[#This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5" s="207" t="str">
        <f t="shared" ca="1" si="935"/>
        <v>SIN VACUNAR</v>
      </c>
      <c r="NY225" s="43">
        <f>ROW(Tabla1[[#This Row],['# DE TAMIZAJES SIFILIS TOMADOS ]])</f>
        <v>225</v>
      </c>
      <c r="NZ225" s="43">
        <f t="shared" si="939"/>
        <v>28</v>
      </c>
      <c r="OA225" s="43" t="str">
        <f t="shared" si="940"/>
        <v/>
      </c>
      <c r="OB225" s="43" t="str">
        <f t="shared" si="941"/>
        <v/>
      </c>
      <c r="OC225" s="43" t="str">
        <f t="shared" si="942"/>
        <v/>
      </c>
      <c r="OD225" s="43" t="str">
        <f t="shared" si="943"/>
        <v/>
      </c>
      <c r="OE225" s="43" t="str">
        <f t="shared" si="944"/>
        <v/>
      </c>
      <c r="OF225" s="43" t="str">
        <f t="shared" si="945"/>
        <v/>
      </c>
      <c r="OG225" s="43" t="str">
        <f t="shared" si="946"/>
        <v/>
      </c>
      <c r="OH225" s="43" t="str">
        <f t="shared" si="947"/>
        <v/>
      </c>
      <c r="OI225" s="43" t="str">
        <f t="shared" si="948"/>
        <v/>
      </c>
      <c r="OJ225" s="43" t="str">
        <f t="shared" si="949"/>
        <v/>
      </c>
      <c r="OK225" s="43" t="str">
        <f t="shared" si="950"/>
        <v/>
      </c>
      <c r="OL225" s="43" t="str">
        <f t="shared" si="951"/>
        <v/>
      </c>
      <c r="OM225" s="43" t="str">
        <f t="shared" si="952"/>
        <v/>
      </c>
      <c r="ON225" s="43" t="str">
        <f t="shared" si="953"/>
        <v/>
      </c>
      <c r="OO225" s="43" t="str">
        <f t="shared" si="954"/>
        <v/>
      </c>
      <c r="OP225" s="43" t="str">
        <f t="shared" si="955"/>
        <v/>
      </c>
      <c r="OQ225" s="43" t="str">
        <f t="shared" si="956"/>
        <v/>
      </c>
      <c r="OR225" s="43" t="str">
        <f t="shared" si="957"/>
        <v/>
      </c>
      <c r="OS225" s="43" t="str">
        <f t="shared" si="958"/>
        <v/>
      </c>
      <c r="OT225" s="43" t="str">
        <f t="shared" si="959"/>
        <v>SOBREPESO</v>
      </c>
      <c r="OU225" s="43" t="str">
        <f t="shared" si="960"/>
        <v/>
      </c>
      <c r="OV225" s="110" t="str">
        <f t="shared" si="961"/>
        <v/>
      </c>
      <c r="OW225" s="43" t="str">
        <f t="shared" si="962"/>
        <v/>
      </c>
      <c r="OX225" s="43" t="str">
        <f t="shared" si="963"/>
        <v/>
      </c>
      <c r="OY225" s="43" t="str">
        <f t="shared" si="964"/>
        <v/>
      </c>
      <c r="OZ225" s="43" t="str">
        <f t="shared" si="965"/>
        <v/>
      </c>
      <c r="PA225" s="43" t="str">
        <f t="shared" si="966"/>
        <v/>
      </c>
      <c r="PB225" s="43" t="str">
        <f t="shared" si="967"/>
        <v/>
      </c>
      <c r="PC225" s="43" t="str">
        <f t="shared" si="968"/>
        <v/>
      </c>
      <c r="PD225" s="43" t="str">
        <f t="shared" si="969"/>
        <v/>
      </c>
      <c r="PE225" s="43" t="str">
        <f t="shared" si="970"/>
        <v/>
      </c>
      <c r="PF225" s="43" t="str">
        <f t="shared" si="971"/>
        <v/>
      </c>
      <c r="PG225" s="43" t="str">
        <f t="shared" si="972"/>
        <v/>
      </c>
      <c r="PH225" s="43" t="str">
        <f t="shared" si="973"/>
        <v/>
      </c>
      <c r="PI225" s="43">
        <f t="shared" si="974"/>
        <v>28</v>
      </c>
      <c r="PJ225" s="43" t="str">
        <f t="shared" si="975"/>
        <v/>
      </c>
      <c r="PK225" s="43" t="str">
        <f t="shared" si="976"/>
        <v/>
      </c>
      <c r="PL225" s="43" t="str">
        <f t="shared" si="977"/>
        <v/>
      </c>
      <c r="PM225" s="43" t="str">
        <f t="shared" si="978"/>
        <v/>
      </c>
      <c r="PN225" s="43" t="str">
        <f t="shared" si="979"/>
        <v/>
      </c>
      <c r="PO225" s="43" t="str">
        <f t="shared" si="980"/>
        <v/>
      </c>
      <c r="PP225" s="43" t="str">
        <f t="shared" si="981"/>
        <v/>
      </c>
      <c r="PQ225" s="43" t="str">
        <f t="shared" si="982"/>
        <v/>
      </c>
      <c r="PR225" s="43" t="str">
        <f t="shared" si="983"/>
        <v/>
      </c>
      <c r="PS225" s="43" t="str">
        <f t="shared" si="984"/>
        <v/>
      </c>
      <c r="PT225" s="43" t="str">
        <f t="shared" si="985"/>
        <v/>
      </c>
      <c r="PU225" s="43" t="str">
        <f t="shared" si="986"/>
        <v/>
      </c>
      <c r="PV225" s="43" t="str">
        <f t="shared" si="987"/>
        <v/>
      </c>
      <c r="PW225" s="43" t="str">
        <f t="shared" si="988"/>
        <v/>
      </c>
      <c r="PX225" s="43" t="str">
        <f t="shared" si="989"/>
        <v/>
      </c>
      <c r="PY225" s="43" t="str">
        <f t="shared" si="990"/>
        <v/>
      </c>
      <c r="PZ225" s="43" t="str">
        <f t="shared" si="991"/>
        <v/>
      </c>
      <c r="QA225" s="43" t="str">
        <f t="shared" si="992"/>
        <v/>
      </c>
      <c r="QB225" s="43" t="str">
        <f t="shared" si="993"/>
        <v/>
      </c>
      <c r="QC225" s="43" t="str">
        <f t="shared" si="994"/>
        <v>SOBREPESO</v>
      </c>
      <c r="QD225" s="43" t="str">
        <f t="shared" si="995"/>
        <v/>
      </c>
      <c r="QE225" s="43" t="str">
        <f t="shared" si="996"/>
        <v/>
      </c>
      <c r="QF225" s="43" t="str">
        <f t="shared" si="997"/>
        <v/>
      </c>
      <c r="QG225" s="43" t="str">
        <f t="shared" si="998"/>
        <v/>
      </c>
      <c r="QH225" s="43" t="str">
        <f t="shared" si="999"/>
        <v/>
      </c>
      <c r="QI225" s="43" t="str">
        <f t="shared" si="1000"/>
        <v/>
      </c>
      <c r="QJ225" s="43" t="str">
        <f t="shared" si="1001"/>
        <v/>
      </c>
      <c r="QK225" s="43" t="str">
        <f t="shared" si="1002"/>
        <v/>
      </c>
      <c r="QL225" s="43" t="str">
        <f t="shared" si="1003"/>
        <v/>
      </c>
      <c r="QM225" s="43" t="str">
        <f t="shared" si="1004"/>
        <v/>
      </c>
      <c r="QN225" s="43" t="str">
        <f t="shared" si="1005"/>
        <v/>
      </c>
      <c r="QO225" s="43" t="str">
        <f t="shared" si="1006"/>
        <v/>
      </c>
      <c r="QP225" s="43" t="str">
        <f t="shared" si="1007"/>
        <v/>
      </c>
      <c r="QQ225" s="43" t="str">
        <f t="shared" si="1008"/>
        <v/>
      </c>
      <c r="QR225" s="43">
        <f t="shared" si="1009"/>
        <v>28</v>
      </c>
      <c r="QS225" s="43"/>
      <c r="QT225" s="21" t="str">
        <f t="shared" si="1010"/>
        <v/>
      </c>
      <c r="QU225" s="21" t="str">
        <f t="shared" si="1011"/>
        <v/>
      </c>
      <c r="QV225" s="21" t="str">
        <f t="shared" si="1012"/>
        <v/>
      </c>
      <c r="QW225" s="21" t="str">
        <f t="shared" si="1013"/>
        <v/>
      </c>
      <c r="QX225" s="21" t="str">
        <f t="shared" si="1014"/>
        <v/>
      </c>
      <c r="QY225" s="21" t="str">
        <f t="shared" si="1015"/>
        <v/>
      </c>
      <c r="QZ225" s="21" t="str">
        <f t="shared" si="1016"/>
        <v/>
      </c>
      <c r="RA225" s="21" t="str">
        <f t="shared" si="1017"/>
        <v/>
      </c>
      <c r="RB225" s="21" t="str">
        <f t="shared" si="1018"/>
        <v/>
      </c>
      <c r="RC225" s="21" t="str">
        <f t="shared" si="1019"/>
        <v/>
      </c>
      <c r="RD225" s="21" t="str">
        <f t="shared" si="1020"/>
        <v/>
      </c>
      <c r="RE225" s="21" t="str">
        <f t="shared" si="1021"/>
        <v/>
      </c>
      <c r="RF225" s="21" t="str">
        <f t="shared" si="1022"/>
        <v/>
      </c>
      <c r="RG225" s="21" t="str">
        <f t="shared" si="1023"/>
        <v/>
      </c>
      <c r="RH225" s="21" t="str">
        <f t="shared" si="1024"/>
        <v/>
      </c>
      <c r="RI225" s="21" t="str">
        <f t="shared" si="1025"/>
        <v/>
      </c>
      <c r="RJ225" s="21" t="str">
        <f t="shared" si="1026"/>
        <v/>
      </c>
      <c r="RK225" s="21" t="str">
        <f t="shared" si="1027"/>
        <v/>
      </c>
      <c r="RL225" s="21" t="str">
        <f t="shared" si="1028"/>
        <v/>
      </c>
      <c r="RM225" s="21" t="str">
        <f t="shared" si="1029"/>
        <v/>
      </c>
      <c r="RN225" s="21" t="str">
        <f t="shared" si="1030"/>
        <v/>
      </c>
      <c r="RO225" s="21" t="str">
        <f t="shared" si="1031"/>
        <v/>
      </c>
      <c r="RP225" s="21" t="str">
        <f t="shared" si="1032"/>
        <v/>
      </c>
      <c r="RQ225" s="21" t="str">
        <f t="shared" si="1033"/>
        <v/>
      </c>
      <c r="RR225" s="21" t="str">
        <f t="shared" si="1034"/>
        <v/>
      </c>
      <c r="RS225" s="21" t="str">
        <f t="shared" si="1035"/>
        <v/>
      </c>
      <c r="RT225" s="21" t="str">
        <f t="shared" si="1036"/>
        <v/>
      </c>
      <c r="RU225" s="21" t="str">
        <f t="shared" si="1037"/>
        <v/>
      </c>
      <c r="RV225" s="21">
        <f t="shared" si="1038"/>
        <v>-1</v>
      </c>
      <c r="RW225" s="284">
        <f>IF(OR(Tabla1[[#This Row],[FUM FORMULA CONFIABLE]]="",Tabla1[[#This Row],[FUM FORMULA CONFIABLE]]="SD"),"",IF(Tabla1[[#This Row],[FUM FORMULA CONFIABLE]]="CORREGIDA",Tabla1[[#This Row],[FUM X ECO 1]],Tabla1[[#This Row],[FUM x AMENORREA]]))</f>
        <v>44944</v>
      </c>
      <c r="RX225" s="21">
        <f>IF(AND(Tabla1[[#This Row],[FUM X ECO 1]]="",Tabla1[[#This Row],[FUM x AMENORREA]]=""),"",IF(AND(Tabla1[[#This Row],[FUM X ECO 1]]="",Tabla1[[#This Row],[FUM x AMENORREA]]&lt;&gt;""),"X",SUM(Tabla1[[#This Row],[FUM X ECO 1]]-Tabla1[[#This Row],[FUM x AMENORREA]])))</f>
        <v>0.59999999999854481</v>
      </c>
      <c r="RY225" s="21">
        <f t="shared" si="1039"/>
        <v>0</v>
      </c>
    </row>
    <row r="226" spans="1:493" ht="45" customHeight="1" x14ac:dyDescent="0.25">
      <c r="A226" s="109"/>
      <c r="B226" s="43" t="s">
        <v>1611</v>
      </c>
      <c r="C226" s="299" t="s">
        <v>845</v>
      </c>
      <c r="D226" s="124"/>
      <c r="E226" s="43" t="s">
        <v>914</v>
      </c>
      <c r="F226" s="43" t="s">
        <v>943</v>
      </c>
      <c r="G226" s="43" t="s">
        <v>1198</v>
      </c>
      <c r="H226" s="43"/>
      <c r="I226" s="109" t="s">
        <v>851</v>
      </c>
      <c r="J226" s="110">
        <v>1059605317</v>
      </c>
      <c r="K226" s="43" t="s">
        <v>852</v>
      </c>
      <c r="L226" s="175" t="s">
        <v>1509</v>
      </c>
      <c r="M226" s="22">
        <v>35788</v>
      </c>
      <c r="N226" s="213">
        <f t="shared" ca="1" si="839"/>
        <v>25.876712328767123</v>
      </c>
      <c r="O226" s="22">
        <v>45128</v>
      </c>
      <c r="P226" s="214" t="str">
        <f t="shared" si="916"/>
        <v>SI</v>
      </c>
      <c r="Q226" s="26" t="s">
        <v>855</v>
      </c>
      <c r="R226" s="22">
        <v>45128</v>
      </c>
      <c r="S226" s="21" t="s">
        <v>856</v>
      </c>
      <c r="T226" s="24" t="s">
        <v>690</v>
      </c>
      <c r="U226" s="21" t="s">
        <v>857</v>
      </c>
      <c r="V226" s="21" t="s">
        <v>858</v>
      </c>
      <c r="W226" s="21" t="s">
        <v>1610</v>
      </c>
      <c r="X226" s="21" t="s">
        <v>1610</v>
      </c>
      <c r="Y226" s="21" t="s">
        <v>1610</v>
      </c>
      <c r="Z226" s="21">
        <v>3155371946</v>
      </c>
      <c r="AA226" s="21" t="s">
        <v>860</v>
      </c>
      <c r="AB226" s="27" t="s">
        <v>861</v>
      </c>
      <c r="AC226" s="26" t="s">
        <v>888</v>
      </c>
      <c r="AD226" s="38" t="s">
        <v>1546</v>
      </c>
      <c r="AE226" s="26" t="s">
        <v>854</v>
      </c>
      <c r="AF226" s="26" t="s">
        <v>854</v>
      </c>
      <c r="AG226" s="23" t="s">
        <v>864</v>
      </c>
      <c r="AH226" s="23" t="s">
        <v>864</v>
      </c>
      <c r="AI226" s="24" t="s">
        <v>863</v>
      </c>
      <c r="AJ226" s="23" t="s">
        <v>864</v>
      </c>
      <c r="AK226" s="220" t="str">
        <f>IF(AND(AD226="",AE226="",AF226="",AG226="",AH226="",AI226="",AJ226=""),"",IF(OR(Tabla1[[#This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EVALUACIÓN",IF(AND(O226="",R226=""),"",IF(AND(OR(O226&gt;0,R226&gt;0),NG226&gt;=0,NG226&lt;2),"SIN RIESGO",IF(AND(OR(O226&gt;0,R226&gt;0),NG226&gt;=2),"CON RIESGO","ASD")))))</f>
        <v>SIN RIESGO</v>
      </c>
      <c r="AL226" s="26" t="s">
        <v>864</v>
      </c>
      <c r="AM226" s="26" t="s">
        <v>864</v>
      </c>
      <c r="AN226" s="26" t="s">
        <v>864</v>
      </c>
      <c r="AO226" s="26" t="s">
        <v>864</v>
      </c>
      <c r="AP226" s="26" t="s">
        <v>864</v>
      </c>
      <c r="AQ226" s="26" t="s">
        <v>864</v>
      </c>
      <c r="AR226" s="26" t="s">
        <v>864</v>
      </c>
      <c r="AS226" s="21">
        <v>1</v>
      </c>
      <c r="AT226" s="21">
        <v>1</v>
      </c>
      <c r="AU226" s="21">
        <v>0</v>
      </c>
      <c r="AV226" s="26" t="s">
        <v>864</v>
      </c>
      <c r="AW226" s="21">
        <v>0</v>
      </c>
      <c r="AX226" s="26" t="s">
        <v>864</v>
      </c>
      <c r="AY226" s="26" t="s">
        <v>864</v>
      </c>
      <c r="AZ226" s="26" t="s">
        <v>864</v>
      </c>
      <c r="BA226" s="26" t="s">
        <v>864</v>
      </c>
      <c r="BB226" s="26" t="s">
        <v>864</v>
      </c>
      <c r="BC226" s="26" t="s">
        <v>864</v>
      </c>
      <c r="BD226" s="26" t="s">
        <v>864</v>
      </c>
      <c r="BE226" s="26" t="s">
        <v>864</v>
      </c>
      <c r="BF226" s="26" t="s">
        <v>864</v>
      </c>
      <c r="BG226" s="26" t="s">
        <v>864</v>
      </c>
      <c r="BH226" s="26" t="s">
        <v>864</v>
      </c>
      <c r="BI226" s="26" t="s">
        <v>864</v>
      </c>
      <c r="BJ226" s="26" t="s">
        <v>864</v>
      </c>
      <c r="BK226" s="26" t="s">
        <v>864</v>
      </c>
      <c r="BL226" s="26" t="s">
        <v>864</v>
      </c>
      <c r="BM226" s="26" t="s">
        <v>864</v>
      </c>
      <c r="BN226" s="22">
        <v>43401</v>
      </c>
      <c r="BO226" s="22">
        <v>45055</v>
      </c>
      <c r="BP226" s="21" t="s">
        <v>854</v>
      </c>
      <c r="BQ226" s="222">
        <f t="shared" si="840"/>
        <v>55.133333333333333</v>
      </c>
      <c r="BR226" s="223">
        <f t="shared" si="841"/>
        <v>45055.9</v>
      </c>
      <c r="BS226" s="224">
        <f t="shared" si="842"/>
        <v>10.428571428571429</v>
      </c>
      <c r="BT226" s="216" t="str">
        <f t="shared" si="843"/>
        <v>II TRIM</v>
      </c>
      <c r="BU226" s="214">
        <f t="shared" ca="1" si="925"/>
        <v>25.428571428571427</v>
      </c>
      <c r="BV226" s="25" t="s">
        <v>988</v>
      </c>
      <c r="BW226" s="22">
        <v>45149</v>
      </c>
      <c r="BX226" s="28">
        <v>13.3</v>
      </c>
      <c r="BY226" s="28"/>
      <c r="BZ226" s="22"/>
      <c r="CA226" s="21"/>
      <c r="CB226" s="26" t="s">
        <v>864</v>
      </c>
      <c r="CC226" s="26" t="s">
        <v>864</v>
      </c>
      <c r="CD226" s="26" t="s">
        <v>865</v>
      </c>
      <c r="CE226" s="26" t="s">
        <v>864</v>
      </c>
      <c r="CF226" s="22" t="s">
        <v>1517</v>
      </c>
      <c r="CG226" s="21">
        <v>1.63</v>
      </c>
      <c r="CH226" s="21">
        <v>64.7</v>
      </c>
      <c r="CI226" s="214">
        <f t="shared" si="845"/>
        <v>24.351688057510636</v>
      </c>
      <c r="CJ226" s="225" t="e">
        <f>IF(AND(CI226&lt;10,CH226="SD"),"SIN DATO PESO PREGESTACION O I TRIM",IF(AND(OR(R226&gt;0,O226&gt;0),CI226="X"),"INGRESAR DATO DE PESO",IF(CI226="SD","INGRESAR DATO DE TALLA Y PESO",IF(AND(OR(Tabla1[[#This Row],[MOMENTO EN QUE SE REALIZA EL PESO AL INGRESO A CPN]]="PREGESTACIÓN",NZ226="Menor"),CI226&lt;18.5),"BAJO PESO",IF(AND(OR(Tabla1[[#This Row],[MOMENTO EN QUE SE REALIZA EL PESO AL INGRESO A CPN]]="PREGESTACIÓN",NZ226="Menor"),CI226&lt;25),"NORMAL",IF(AND(OR(Tabla1[[#This Row],[MOMENTO EN QUE SE REALIZA EL PESO AL INGRESO A CPN]]="PREGESTACIÓN",NZ226="Menor"),CI226&lt;30),"SOBREPESO",IF(AND(OR(Tabla1[[#This Row],[MOMENTO EN QUE SE REALIZA EL PESO AL INGRESO A CPN]]="PREGESTACIÓN",NZ226="Menor"),CI226&gt;=30,CI226&lt;50),"OBESIDAD",IF(AND(BS226&gt;0,Tabla1[[#This Row],[MOMENTO EN QUE SE REALIZA EL PESO AL INGRESO A CPN]]="GESTACIÓN"),HLOOKUP(NZ226,$OA$2:PH226,NY226),""))))))))</f>
        <v>#REF!</v>
      </c>
      <c r="CK226" s="212">
        <f t="shared" si="846"/>
        <v>45128</v>
      </c>
      <c r="CL226" s="21">
        <v>64.7</v>
      </c>
      <c r="CM226" s="214">
        <f t="shared" si="847"/>
        <v>24.351688057510636</v>
      </c>
      <c r="CN226" s="216">
        <f t="shared" si="848"/>
        <v>10</v>
      </c>
      <c r="CO226" s="216" t="e">
        <f>IF(PI226="","",IF(PI226&gt;0,HLOOKUP(PI226,$PJ$2:QQ226,NY226),""))</f>
        <v>#REF!</v>
      </c>
      <c r="CP226" s="21"/>
      <c r="CQ226" s="216" t="str">
        <f>IF(QR226="Menor","NO APLICA-MENOR 13 SEM",IF(AND(CC226="SI",CN226&gt;23),"NO APLICA- GEMELAR",IF(QR226="","",IF(QR226&gt;0,HLOOKUP(QR226,$QS$2:RU226,NY226),""))))</f>
        <v>NO APLICA-MENOR 13 SEM</v>
      </c>
      <c r="CR226" s="21">
        <v>90</v>
      </c>
      <c r="CS226" s="21">
        <v>60</v>
      </c>
      <c r="CT226" s="217" t="str">
        <f>IF(R226="","",IF(AND(BS226&gt;1,BS226&lt;12,Tabla1[[#This Row],[T.A. SISTOLICA - ANTES DE SEMANA 12]]="",Tabla1[[#This Row],[T.A. DIASTOLICA - ANTES DE SEMANA 12]]=""),"REGISTRE DATO TA ANTES SEMANA 12",IF(AND(BS226&gt;11,BS226&lt;43,Tabla1[[#This Row],[T.A. SISTOLICA - ANTES DE SEMANA 12]]="",Tabla1[[#This Row],[T.A. DIASTOLICA - ANTES DE SEMANA 12]]=""),"NO APLICA REGISTRO TA-INGRESO TARDIO",IF(AND(OR(O226&gt;0,R226&gt;0),OR(CR226&gt;=140,CS226&gt;=90)),"DEFINIR ESTADIO HTA",IF(AND(OR(O226&gt;0,R226&gt;0),AND(CR226&gt;120,CR226&lt;=139)),"PRE HTA SEGUIMIENTO",IF(AND(OR(O226&gt;0,R226&gt;0),AND(CS226&gt;80,CS226&lt;=89)),"PRE HTA SEGUIMIENTO",IF(AND(OR(O226&gt;0,R226&gt;0),AND(CR226&gt;=80,CR226&lt;=120)),"APARENTEMENTE NORMAL",IF(AND(OR(O226&gt;0,R226&gt;0),AND(CS226&gt;=50,CS226&lt;=80)),"APARENTEMENTE NORMAL",IF(AND(OR(O226&gt;0,R226&gt;0),AND(CR226&gt;1,CR226&lt;=70),AND(CS226&gt;1,CS226&lt;=40)),"HIPOTENSIÓN","")))))))))</f>
        <v>APARENTEMENTE NORMAL</v>
      </c>
      <c r="CU226" s="21"/>
      <c r="CV226" s="21"/>
      <c r="CW226" s="217" t="str">
        <f ca="1">IF(R226="","",IF(AND(CN226&gt;19,CN226&lt;27,Tabla1[[#This Row],[T.A. SISTOLICA (Entre semana 20 y 26)]]="",Tabla1[[#This Row],[T.A. DIATOLICA (Entre semana 20 y 26)]]=""),"ACUDE A CONTROL SEM 20 A 26 REGISTRE TA AHORA",IF(AND(BS226&gt;1,BS226&lt;27,BU226&gt;19,Tabla1[[#This Row],[T.A. SISTOLICA (Entre semana 20 y 26)]]="",Tabla1[[#This Row],[T.A. DIATOLICA (Entre semana 20 y 26)]]=""),"COMPLETE REGISTRO TA CONTROL SEM 20 A26 ",IF(AND(BS226&gt;26,BS226&lt;43,Tabla1[[#This Row],[T.A. SISTOLICA (Entre semana 20 y 26)]]="",Tabla1[[#This Row],[T.A. DIATOLICA (Entre semana 20 y 26)]]=""),"NO APLICA REGISTRO TA-INGRESO TARDIO",IF(AND(OR(O226&gt;0,R226&gt;0),OR(CU226&gt;=140,CV226&gt;=90)),"ALTO RIESGO PREECLAMPSIA,DEFINIR ESTADIO HTA",IF(AND(OR(O226&gt;0,R226&gt;0),AND(CU226&gt;120,CU226&lt;=139)),"PRE HTA SEGUIMIENTO,RIESGO HIPERTENSION INDUCIDA POR EL EMBARAZO",IF(AND(OR(O226&gt;0,R226&gt;0),AND(CV226&gt;80,CV226&lt;=89)),"PRE HTA SEGUIMIENTO, RIESGO HIPERTENSION INDUCIDA POR EL EMBARAZO",IF(AND(OR(O226&lt;&gt;"",R226&lt;&gt;""),CS226&lt;&gt;"",CV226&lt;&gt;"",CS226&lt;=CV226),"VIGILAR CIFRAS PRESION ARTERIAL",IF(AND(OR(O226&gt;0,R226&gt;0),AND(CU226&gt;120,CU226&lt;=139)),"PRE HTA SEGUIMIENTO",IF(AND(OR(O226&gt;0,R226&gt;0),AND(CU226&gt;1,CU226&lt;=70),AND(CV226&gt;1,CV226&lt;=40)),"HIPOTENSIÓN",IF(AND(OR(O226&lt;&gt;"",R226&lt;&gt;""),CS226&lt;&gt;"",CV226&lt;&gt;"",CS226&gt;CV226),"APARENTEMENTE NORMAL",IF(AND(OR(O226&gt;0,R226&gt;0),AND(CU226&gt;=80,CU226&lt;=120)),"APARENTEMENTE NORMAL",IF(AND(OR(O226&gt;0,R226&gt;0),AND(CV226&gt;=50,CV226&lt;=80)),"APARENTEMENTE NORMAL","")))))))))))))</f>
        <v xml:space="preserve">COMPLETE REGISTRO TA CONTROL SEM 20 A26 </v>
      </c>
      <c r="CX226" s="21"/>
      <c r="CY226" s="21"/>
      <c r="CZ226" s="216" t="str">
        <f t="shared" si="1042"/>
        <v/>
      </c>
      <c r="DA226" s="21">
        <v>90</v>
      </c>
      <c r="DB226" s="21">
        <v>60</v>
      </c>
      <c r="DC226" s="217" t="str">
        <f t="shared" si="849"/>
        <v>APARENTEMENTE NORMAL</v>
      </c>
      <c r="DD226" s="22">
        <v>45128</v>
      </c>
      <c r="DE226" s="22">
        <v>45128</v>
      </c>
      <c r="DF226" s="22"/>
      <c r="DG226" s="22"/>
      <c r="DH226" s="22"/>
      <c r="DI226" s="22"/>
      <c r="DJ226" s="22"/>
      <c r="DK226" s="22"/>
      <c r="DL226" s="22"/>
      <c r="DM226" s="22"/>
      <c r="DN226" s="22"/>
      <c r="DO226" s="22"/>
      <c r="DP226" s="22"/>
      <c r="DQ226" s="22"/>
      <c r="DR226" s="28"/>
      <c r="DS226" s="22"/>
      <c r="DT226" s="22"/>
      <c r="DU226" s="216" t="str">
        <f t="shared" ca="1" si="917"/>
        <v>EN ESPERA</v>
      </c>
      <c r="DV226" s="226" t="str">
        <f t="shared" si="918"/>
        <v>ACTIVA INGRESO A CPN</v>
      </c>
      <c r="DW22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6" s="216" t="e">
        <f t="shared" ca="1" si="850"/>
        <v>#REF!</v>
      </c>
      <c r="DY226" s="212">
        <f>IF(R226="","",IF(R226&gt;0,MAX(Tabla1[[#This Row],[FECHA C2]:[FECHA C13]],Tabla1[[#This Row],[FECHA CONSULTA PRIMERA VEZ PROGRAMA CPN ]])))</f>
        <v>45128</v>
      </c>
      <c r="DZ226" s="216">
        <f t="shared" si="851"/>
        <v>10</v>
      </c>
      <c r="EA226" s="222">
        <f>IF(R226&gt;0,SUM(COUNTA(DF226:DQ226)+COUNTA(Tabla1[[#This Row],[FECHA CONSULTA PRIMERA VEZ PROGRAMA CPN ]])),"")</f>
        <v>1</v>
      </c>
      <c r="EB226" s="222" t="str">
        <f t="shared" si="852"/>
        <v>NO</v>
      </c>
      <c r="EC226" s="214">
        <f t="shared" si="853"/>
        <v>9</v>
      </c>
      <c r="ED226" s="227">
        <f t="shared" si="854"/>
        <v>0.1111111111111111</v>
      </c>
      <c r="EE226" s="22">
        <v>45128</v>
      </c>
      <c r="EF226" s="22"/>
      <c r="EG226" s="22">
        <v>45128</v>
      </c>
      <c r="EH226" s="22"/>
      <c r="EI226" s="22">
        <v>45128</v>
      </c>
      <c r="EJ226" s="22"/>
      <c r="EK226" s="22"/>
      <c r="EL226" s="21"/>
      <c r="EM226" s="21">
        <v>13.2</v>
      </c>
      <c r="EN226" s="22">
        <v>45128</v>
      </c>
      <c r="EO226" s="222">
        <f t="shared" si="855"/>
        <v>10.428571428571429</v>
      </c>
      <c r="EP226" s="214" t="str">
        <f t="shared" si="856"/>
        <v>NORMAL- SUMINISTRAR SULFATO FERROSO</v>
      </c>
      <c r="EQ226" s="216" t="str">
        <f t="shared" si="857"/>
        <v>I TRIM</v>
      </c>
      <c r="ER226" s="24"/>
      <c r="ES226" s="22"/>
      <c r="ET226" s="29" t="str">
        <f t="shared" ca="1" si="919"/>
        <v>PROGRAMAR TOMA HEMOGLOBINA A SEM 28</v>
      </c>
      <c r="EU226" s="25" t="str">
        <f t="shared" si="858"/>
        <v/>
      </c>
      <c r="EV226" s="24" t="s">
        <v>1510</v>
      </c>
      <c r="EW226" s="22">
        <v>45128</v>
      </c>
      <c r="EX226" s="22"/>
      <c r="EY226" s="29">
        <f t="shared" si="1040"/>
        <v>10.428571428571429</v>
      </c>
      <c r="EZ226" s="25" t="str">
        <f t="shared" si="1041"/>
        <v>SIN RIESGO DE ISOINMUNIZACIÓN</v>
      </c>
      <c r="FA226" s="21">
        <v>93</v>
      </c>
      <c r="FB226" s="22">
        <v>45128</v>
      </c>
      <c r="FC226" s="29">
        <f t="shared" si="859"/>
        <v>10.428571428571429</v>
      </c>
      <c r="FD226" s="29"/>
      <c r="FE226" s="29"/>
      <c r="FF226" s="29"/>
      <c r="FG226" s="21" t="str">
        <f t="shared" ca="1" si="860"/>
        <v>TOMAR PTOG</v>
      </c>
      <c r="FH226" s="31"/>
      <c r="FI226" s="29" t="str">
        <f t="shared" si="861"/>
        <v>TOMAR EXAMEN</v>
      </c>
      <c r="FJ226" s="22" t="s">
        <v>867</v>
      </c>
      <c r="FK226" s="22">
        <v>45128</v>
      </c>
      <c r="FL226" s="29">
        <f t="shared" ca="1" si="862"/>
        <v>10.428571428571429</v>
      </c>
      <c r="FM226" s="22"/>
      <c r="FN226" s="32"/>
      <c r="FO226" s="29" t="str">
        <f t="shared" ca="1" si="920"/>
        <v>TOMA INMEDIATA DE TAMIZAJE</v>
      </c>
      <c r="FP226" s="22"/>
      <c r="FQ226" s="32"/>
      <c r="FR226" s="29" t="str">
        <f t="shared" ca="1" si="921"/>
        <v>EN ESPERA-ESTÁ I TRIM O II TRIM</v>
      </c>
      <c r="FS226" s="22"/>
      <c r="FT226" s="32"/>
      <c r="FU226" s="29" t="str">
        <f>IF(AND(FJ226="",FM226="",FP226="",FS226=""),"",IF(OR(OR(Tabla1[[#This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6" s="28"/>
      <c r="FW226" s="22"/>
      <c r="FX226" s="29" t="str">
        <f t="shared" si="863"/>
        <v>TOMAR EXAMEN</v>
      </c>
      <c r="FY226" s="22" t="s">
        <v>868</v>
      </c>
      <c r="FZ226" s="22">
        <v>45128</v>
      </c>
      <c r="GA226" s="29">
        <f t="shared" ca="1" si="936"/>
        <v>10.428571428571429</v>
      </c>
      <c r="GB226" s="22"/>
      <c r="GC226" s="22"/>
      <c r="GD226" s="29" t="str">
        <f t="shared" ca="1" si="937"/>
        <v>TOMA INMEDIATA DE TAMIZAJE</v>
      </c>
      <c r="GE226" s="22"/>
      <c r="GF226" s="22"/>
      <c r="GG226" s="29" t="str">
        <f t="shared" ca="1" si="923"/>
        <v>EN ESPERA-ESTÁ I TRIM O II TRIM</v>
      </c>
      <c r="GH226" s="22"/>
      <c r="GI226" s="29"/>
      <c r="GJ226" s="22"/>
      <c r="GK226" s="22"/>
      <c r="GL226" s="22"/>
      <c r="GM226" s="22"/>
      <c r="GN226" s="28" t="s">
        <v>869</v>
      </c>
      <c r="GO226" s="22">
        <v>45128</v>
      </c>
      <c r="GP226" s="29">
        <f t="shared" si="864"/>
        <v>10.428571428571429</v>
      </c>
      <c r="GQ226" s="28" t="s">
        <v>869</v>
      </c>
      <c r="GR226" s="28" t="s">
        <v>869</v>
      </c>
      <c r="GS226" s="22" t="str">
        <f t="shared" si="1044"/>
        <v>CONTROL Igm</v>
      </c>
      <c r="GT226" s="22">
        <v>45128</v>
      </c>
      <c r="GU226" s="29">
        <f t="shared" si="865"/>
        <v>10.428571428571429</v>
      </c>
      <c r="GV226" s="21" t="str">
        <f t="shared" si="866"/>
        <v>I TRIM</v>
      </c>
      <c r="GW226" s="28"/>
      <c r="GX226" s="30"/>
      <c r="GY226" s="21"/>
      <c r="GZ226" s="21"/>
      <c r="HA226" s="21"/>
      <c r="HB226" s="21"/>
      <c r="HC226" s="21"/>
      <c r="HD226" s="21"/>
      <c r="HE226" s="21"/>
      <c r="HF226" s="22"/>
      <c r="HG226" s="22" t="str">
        <f>IF(OR(O226&gt;0,R226&gt;0),CONCATENATE(IF(Tabla1[[#This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6" s="22" t="e">
        <f t="shared" si="867"/>
        <v>#REF!</v>
      </c>
      <c r="HI226" s="22" t="e">
        <f t="shared" ca="1" si="868"/>
        <v>#REF!</v>
      </c>
      <c r="HJ226" s="21"/>
      <c r="HK226" s="21" t="str">
        <f t="shared" si="869"/>
        <v>SIN ANTECEDENTES DE RIESGO</v>
      </c>
      <c r="HL226" s="24" t="str">
        <f t="shared" si="870"/>
        <v>APARENTEMENTE NORMAL</v>
      </c>
      <c r="HM226" s="21" t="e">
        <f t="shared" ca="1" si="871"/>
        <v>#REF!</v>
      </c>
      <c r="HN226" s="30" t="str">
        <f t="shared" si="924"/>
        <v>ACTIVA INGRESO A CPN</v>
      </c>
      <c r="HO226" s="21"/>
      <c r="HP226" s="21"/>
      <c r="HQ226" s="349"/>
      <c r="HR226" s="21" t="str">
        <f>IF(R226="","",IF(Tabla1[[#This Row],[ALARMA FACTORES DE RIESGO COMPLICACIONES HIPERTENSIVAS3]]="SIN ANTECEDENTES DE RIESGO","No Aplica para suministro de ASA",IF(AND(Tabla1[[#This Row],[FECHA INICIO DE SUMINISTRO DE ASA]]&gt;0,RV226&lt;12),"Inicia ASA ANTES de Sem 12",IF(AND(RV226&gt;11,RV226&lt;17,OR(HK226="RIESGO ALTO DE COMPLICACIONES HIPERTENSIVAS VER MANEJO GUIA SUMINISTRO ASA Y CALCIO",HK226="RIESGO MODERADO (2 O MAS CRITERIOS) VER MANEJO GUIA SUMINISTRO ASA Y CALCIO")),"Inicio oportuno de ASA",IF(AND(RV226&gt;12,OR(HK226="RIESGO ALTO DE COMPLICACIONES HIPERTENSIVAS VER MANEJO GUIA SUMINISTRO ASA Y CALCIO",HK226="RIESGO MODERADO (2 O MAS CRITERIOS) VER MANEJO GUIA SUMINISTRO ASA Y CALCIO")),"Inicio no oportuno mayor a 16 semanas",IF(AND(BU226&lt;12,OR(HK226="RIESGO ALTO DE COMPLICACIONES HIPERTENSIVAS VER MANEJO GUIA SUMINISTRO ASA Y CALCIO",HK226="RIESGO MODERADO (2 O MAS CRITERIOS) VER MANEJO GUIA SUMINISTRO ASA Y CALCIO")),"Pendiente Inicio de ASA a la semana 12",IF(AND(BU226&gt;11,BU226&lt;17,OR(HK226="RIESGO ALTO DE COMPLICACIONES HIPERTENSIVAS VER MANEJO GUIA SUMINISTRO ASA Y CALCIO",HK226="RIESGO MODERADO (2 O MAS CRITERIOS) VER MANEJO GUIA SUMINISTRO ASA Y CALCIO")),"Iniciar de inmediato ASA",IF(AND(BU226&gt;16,OR(HK226="RIESGO ALTO DE COMPLICACIONES HIPERTENSIVAS VER MANEJO GUIA SUMINISTRO ASA Y CALCIO",HK226="RIESGO MODERADO (2 O MAS CRITERIOS) VER MANEJO GUIA SUMINISTRO ASA Y CALCIO")),"Pierde Oportunidad, Inicio tardío de ASA","XXXXX"))))))))</f>
        <v>No Aplica para suministro de ASA</v>
      </c>
      <c r="HS226" s="22"/>
      <c r="HT226" s="22"/>
      <c r="HU226" s="22"/>
      <c r="HV226" s="22"/>
      <c r="HW226" s="22"/>
      <c r="HX226" s="22"/>
      <c r="HY226" s="22">
        <v>45014</v>
      </c>
      <c r="HZ226" s="28" t="str">
        <f t="shared" si="872"/>
        <v>CORREGIR FECHA CONSULTA</v>
      </c>
      <c r="IA226" s="26"/>
      <c r="IB226" s="26"/>
      <c r="IC226" s="111"/>
      <c r="ID226" s="22"/>
      <c r="IE226" s="22" t="str">
        <f t="shared" ca="1" si="873"/>
        <v>PROGRAMAR APLICACION DE VACUNA</v>
      </c>
      <c r="IF226" s="22"/>
      <c r="IG226" s="22">
        <f t="shared" si="874"/>
        <v>45335</v>
      </c>
      <c r="IH226" s="29">
        <f t="shared" ca="1" si="875"/>
        <v>102</v>
      </c>
      <c r="II226" s="22" t="str">
        <f t="shared" ca="1" si="876"/>
        <v>PENDIENTE</v>
      </c>
      <c r="IJ226" s="22"/>
      <c r="IK226" s="21"/>
      <c r="IL226" s="21"/>
      <c r="IM226" s="34"/>
      <c r="IN226" s="22"/>
      <c r="IO226" s="21"/>
      <c r="IP226" s="29" t="str">
        <f t="shared" si="877"/>
        <v/>
      </c>
      <c r="IQ226" s="35"/>
      <c r="IR226" s="21"/>
      <c r="IS226" s="21"/>
      <c r="IT226" s="21"/>
      <c r="IU226" s="21"/>
      <c r="IV226" s="21"/>
      <c r="IW226" s="21"/>
      <c r="IX226" s="21"/>
      <c r="IY226" s="21"/>
      <c r="IZ226" s="21"/>
      <c r="JA226" s="21"/>
      <c r="JB226" s="30"/>
      <c r="JC226" s="21"/>
      <c r="JD226" s="36"/>
      <c r="JE226" s="21" t="str">
        <f t="shared" si="878"/>
        <v/>
      </c>
      <c r="JF226" s="30"/>
      <c r="JG226" s="21"/>
      <c r="JH226" s="21"/>
      <c r="JI226" s="21"/>
      <c r="JJ226" s="30"/>
      <c r="JK226" s="22"/>
      <c r="JL226" s="22"/>
      <c r="JM226" s="21"/>
      <c r="JN226" s="36"/>
      <c r="JO226" s="21" t="str">
        <f t="shared" si="879"/>
        <v/>
      </c>
      <c r="JP226" s="22"/>
      <c r="JQ226" s="21"/>
      <c r="JR226" s="21"/>
      <c r="JS226" s="21"/>
      <c r="JT226" s="30"/>
      <c r="JU226" s="22"/>
      <c r="JV226" s="22"/>
      <c r="JW226" s="33"/>
      <c r="JX226" s="28" t="str">
        <f t="shared" si="880"/>
        <v/>
      </c>
      <c r="JY226" s="33"/>
      <c r="JZ226" s="28" t="str">
        <f t="shared" si="881"/>
        <v/>
      </c>
      <c r="KA226" s="21"/>
      <c r="KB226" s="21"/>
      <c r="KC226" s="21"/>
      <c r="KD226" s="37"/>
      <c r="KE226" s="28"/>
      <c r="KF226" s="28"/>
      <c r="KG226" s="28"/>
      <c r="KH226" s="39"/>
      <c r="KI226" s="39"/>
      <c r="KJ226" s="66"/>
      <c r="KK226" s="39"/>
      <c r="KL226" s="39"/>
      <c r="KM226" s="66"/>
      <c r="KN226" s="39"/>
      <c r="KO226" s="39"/>
      <c r="KP226" s="39"/>
      <c r="KQ226" s="39"/>
      <c r="KR226" s="39"/>
      <c r="KS226" s="39"/>
      <c r="KT226" s="39"/>
      <c r="KU226" s="38"/>
      <c r="KV226" s="38"/>
      <c r="KW226" s="38"/>
      <c r="KX226" s="38"/>
      <c r="KY226" s="38"/>
      <c r="KZ226" s="38"/>
      <c r="LA226" s="38"/>
      <c r="LB226" s="38"/>
      <c r="LC226" s="38"/>
      <c r="LD226" s="38"/>
      <c r="LE226" s="38"/>
      <c r="LF226" s="38"/>
      <c r="LG226" s="38"/>
      <c r="LH226" s="38"/>
      <c r="LI226" s="38"/>
      <c r="LJ226" s="38"/>
      <c r="LK226" s="38"/>
      <c r="LL226" s="38"/>
      <c r="LM226" s="38"/>
      <c r="LN226" s="38"/>
      <c r="LO226" s="38"/>
      <c r="LP226" s="38"/>
      <c r="LQ226" s="38"/>
      <c r="LR226" s="38"/>
      <c r="LS226" s="38"/>
      <c r="LT226" s="38"/>
      <c r="LU226" s="38"/>
      <c r="LV226" s="38"/>
      <c r="LW226" s="38"/>
      <c r="LX226" s="38"/>
      <c r="LY226" s="38"/>
      <c r="LZ226" s="38"/>
      <c r="MA226" s="38"/>
      <c r="MB226" s="38"/>
      <c r="MC226" s="38"/>
      <c r="MD226" s="38"/>
      <c r="ME226" s="38"/>
      <c r="MF226" s="38"/>
      <c r="MG226" s="38"/>
      <c r="MH226" s="43">
        <f t="shared" si="882"/>
        <v>0</v>
      </c>
      <c r="MI226" s="43" t="str">
        <f t="shared" si="926"/>
        <v/>
      </c>
      <c r="MJ226" s="43" t="str">
        <f t="shared" si="884"/>
        <v/>
      </c>
      <c r="MK226" s="43">
        <f t="shared" si="885"/>
        <v>0</v>
      </c>
      <c r="ML22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6" s="43">
        <f t="shared" si="927"/>
        <v>10.428571428571429</v>
      </c>
      <c r="MN226" s="43">
        <f t="shared" si="928"/>
        <v>7</v>
      </c>
      <c r="MO226" s="43">
        <f t="shared" si="929"/>
        <v>2023</v>
      </c>
      <c r="MP226" s="43" t="str">
        <f t="shared" si="889"/>
        <v>III TRIMESTRE AÑO</v>
      </c>
      <c r="MQ226" s="43">
        <f t="shared" si="930"/>
        <v>25.205321944809459</v>
      </c>
      <c r="MR226" s="43">
        <f t="shared" si="891"/>
        <v>0</v>
      </c>
      <c r="MS226" s="43" t="str">
        <f t="shared" si="892"/>
        <v xml:space="preserve"> DE 25 A 29 AÑOS</v>
      </c>
      <c r="MT226" s="43">
        <f t="shared" si="893"/>
        <v>0</v>
      </c>
      <c r="MU226" s="43">
        <f t="shared" si="894"/>
        <v>0</v>
      </c>
      <c r="MV226" s="43">
        <f t="shared" si="895"/>
        <v>0</v>
      </c>
      <c r="MW226" s="43">
        <f t="shared" si="896"/>
        <v>0</v>
      </c>
      <c r="MX226" s="43" t="str">
        <f t="shared" si="897"/>
        <v/>
      </c>
      <c r="MY226" s="43" t="str">
        <f t="shared" ca="1" si="898"/>
        <v/>
      </c>
      <c r="MZ226" s="43" t="str">
        <f t="shared" si="899"/>
        <v/>
      </c>
      <c r="NA226" s="43">
        <f t="shared" si="900"/>
        <v>0</v>
      </c>
      <c r="NB226" s="43" t="str">
        <f t="shared" si="901"/>
        <v/>
      </c>
      <c r="NC226" s="43" t="str">
        <f t="shared" si="902"/>
        <v/>
      </c>
      <c r="ND226" s="43">
        <f t="shared" ca="1" si="931"/>
        <v>0</v>
      </c>
      <c r="NE226" s="43">
        <f>IF(OR(O226&gt;0,R226&gt;0),SUM(COUNTIF(Tabla1[[#This Row],[AÑOS AL INICIO5 CPN]],"&gt;=40"),COUNTIF(AS226,"0"),COUNTIF(AR226,"SI"),COUNTIF(CC226,"SI"),COUNTIF(BQ226,"&gt;119"),COUNTIF(CI226,"&gt;=35")),"")</f>
        <v>0</v>
      </c>
      <c r="NF226" s="43" t="str">
        <f t="shared" si="932"/>
        <v/>
      </c>
      <c r="NG226" s="43">
        <f t="shared" si="905"/>
        <v>0</v>
      </c>
      <c r="NH226" s="43">
        <f t="shared" si="906"/>
        <v>93.100000000000009</v>
      </c>
      <c r="NI22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CPN",P226="NO"),"Z",IF(AND(Tabla1[[#This Row],[CITA PROXIMO CONTROL]]="CITA MANUAL",Tabla1[[#This Row],[GESTANTES ACTUALES]]="ACTIVA INGRESO A CPN"),"W",IF(AND(Tabla1[[#This Row],[GESTANTES ACTUALES]]="SALIO PROGRAMA",IN226=""),"S",IF(AND(Tabla1[[#This Row],[CITA PROXIMO CONTROL]]&gt;0,IN226=""),(Tabla1[[#This Row],[CITA PROXIMO CONTROL]]-TODAY()),"SD"))))))))</f>
        <v>#REF!</v>
      </c>
      <c r="NJ226" s="43">
        <f>MONTH(Tabla1[[#This Row],[FECHA DE SALIDA  DEL PROGRAMA]])</f>
        <v>1</v>
      </c>
      <c r="NK226" s="43">
        <f>YEAR(Tabla1[[#This Row],[FECHA DE SALIDA  DEL PROGRAMA]])</f>
        <v>1900</v>
      </c>
      <c r="NL226" s="43" t="str">
        <f t="shared" si="933"/>
        <v>X</v>
      </c>
      <c r="NM226" s="43" t="str">
        <f t="shared" si="938"/>
        <v>NO</v>
      </c>
      <c r="NN226" s="43" t="str">
        <f ca="1">IF(AND(O226&gt;0,R226=""),"NO CPN",IF(AND(O226="",R226=""),"",IF(AND(R226&gt;0,Tabla1[[#This Row],[SEMANAS DE GESTACION ACTUALIZADAS]]&lt;=12),"NO APLICA",IF(AND(FH226&lt;&gt;"",FN226&lt;&gt;""),"SI","NO"))))</f>
        <v>NO</v>
      </c>
      <c r="NO226" s="43" t="str">
        <f ca="1">IF(AND(O226&gt;0,R226=""),"NO CPN",IF(AND(O226="",R226=""),"",IF(AND(R226&gt;0,Tabla1[[#This Row],[SEMANAS DE GESTACION ACTUALIZADAS]]&lt;=27),"NO APLICA",IF(AND(ES226&lt;&gt;"",FQ226&lt;&gt;"",GF226&lt;&gt;""),"SI","NO"))))</f>
        <v>NO APLICA</v>
      </c>
      <c r="NP226" s="204" t="str">
        <f t="shared" si="909"/>
        <v>I TRIM</v>
      </c>
      <c r="NQ226" s="21" t="str">
        <f t="shared" si="1043"/>
        <v/>
      </c>
      <c r="NR226" s="21">
        <f t="shared" ca="1" si="934"/>
        <v>2</v>
      </c>
      <c r="NS226" s="205">
        <f t="shared" ca="1" si="911"/>
        <v>1</v>
      </c>
      <c r="NT226" s="21">
        <f t="shared" ca="1" si="912"/>
        <v>1</v>
      </c>
      <c r="NU226" s="21" t="str">
        <f t="shared" ca="1" si="913"/>
        <v>INCOMPLETO</v>
      </c>
      <c r="NV226" s="21" t="str">
        <f t="shared" ca="1" si="914"/>
        <v>INCOMPLETO</v>
      </c>
      <c r="NW226" s="206" t="str">
        <f>IF(AND(O226="",R226=""),"",IF(OR(AND(Tabla1[[#This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6" s="207" t="str">
        <f t="shared" ca="1" si="935"/>
        <v>SIN VACUNAR</v>
      </c>
      <c r="NY226" s="43">
        <f>ROW(Tabla1[[#This Row],['# DE TAMIZAJES SIFILIS TOMADOS ]])</f>
        <v>226</v>
      </c>
      <c r="NZ226" s="43">
        <f t="shared" si="939"/>
        <v>10</v>
      </c>
      <c r="OA226" s="43" t="str">
        <f t="shared" si="940"/>
        <v/>
      </c>
      <c r="OB226" s="43" t="str">
        <f t="shared" si="941"/>
        <v>NORMAL</v>
      </c>
      <c r="OC226" s="43" t="str">
        <f t="shared" si="942"/>
        <v/>
      </c>
      <c r="OD226" s="43" t="str">
        <f t="shared" si="943"/>
        <v/>
      </c>
      <c r="OE226" s="43" t="str">
        <f t="shared" si="944"/>
        <v/>
      </c>
      <c r="OF226" s="43" t="str">
        <f t="shared" si="945"/>
        <v/>
      </c>
      <c r="OG226" s="43" t="str">
        <f t="shared" si="946"/>
        <v/>
      </c>
      <c r="OH226" s="43" t="str">
        <f t="shared" si="947"/>
        <v/>
      </c>
      <c r="OI226" s="43" t="str">
        <f t="shared" si="948"/>
        <v/>
      </c>
      <c r="OJ226" s="43" t="str">
        <f t="shared" si="949"/>
        <v/>
      </c>
      <c r="OK226" s="43" t="str">
        <f t="shared" si="950"/>
        <v/>
      </c>
      <c r="OL226" s="43" t="str">
        <f t="shared" si="951"/>
        <v/>
      </c>
      <c r="OM226" s="43" t="str">
        <f t="shared" si="952"/>
        <v/>
      </c>
      <c r="ON226" s="43" t="str">
        <f t="shared" si="953"/>
        <v/>
      </c>
      <c r="OO226" s="43" t="str">
        <f t="shared" si="954"/>
        <v/>
      </c>
      <c r="OP226" s="43" t="str">
        <f t="shared" si="955"/>
        <v/>
      </c>
      <c r="OQ226" s="43" t="str">
        <f t="shared" si="956"/>
        <v/>
      </c>
      <c r="OR226" s="43" t="str">
        <f t="shared" si="957"/>
        <v/>
      </c>
      <c r="OS226" s="43" t="str">
        <f t="shared" si="958"/>
        <v/>
      </c>
      <c r="OT226" s="43" t="str">
        <f t="shared" si="959"/>
        <v/>
      </c>
      <c r="OU226" s="43" t="str">
        <f t="shared" si="960"/>
        <v/>
      </c>
      <c r="OV226" s="110" t="str">
        <f t="shared" si="961"/>
        <v/>
      </c>
      <c r="OW226" s="43" t="str">
        <f t="shared" si="962"/>
        <v/>
      </c>
      <c r="OX226" s="43" t="str">
        <f t="shared" si="963"/>
        <v/>
      </c>
      <c r="OY226" s="43" t="str">
        <f t="shared" si="964"/>
        <v/>
      </c>
      <c r="OZ226" s="43" t="str">
        <f t="shared" si="965"/>
        <v/>
      </c>
      <c r="PA226" s="43" t="str">
        <f t="shared" si="966"/>
        <v/>
      </c>
      <c r="PB226" s="43" t="str">
        <f t="shared" si="967"/>
        <v/>
      </c>
      <c r="PC226" s="43" t="str">
        <f t="shared" si="968"/>
        <v/>
      </c>
      <c r="PD226" s="43" t="str">
        <f t="shared" si="969"/>
        <v/>
      </c>
      <c r="PE226" s="43" t="str">
        <f t="shared" si="970"/>
        <v/>
      </c>
      <c r="PF226" s="43" t="str">
        <f t="shared" si="971"/>
        <v/>
      </c>
      <c r="PG226" s="43" t="str">
        <f t="shared" si="972"/>
        <v/>
      </c>
      <c r="PH226" s="43" t="str">
        <f t="shared" si="973"/>
        <v/>
      </c>
      <c r="PI226" s="43">
        <f t="shared" si="974"/>
        <v>10</v>
      </c>
      <c r="PJ226" s="43" t="str">
        <f t="shared" si="975"/>
        <v/>
      </c>
      <c r="PK226" s="43" t="str">
        <f t="shared" si="976"/>
        <v>NORMAL</v>
      </c>
      <c r="PL226" s="43" t="str">
        <f t="shared" si="977"/>
        <v/>
      </c>
      <c r="PM226" s="43" t="str">
        <f t="shared" si="978"/>
        <v/>
      </c>
      <c r="PN226" s="43" t="str">
        <f t="shared" si="979"/>
        <v/>
      </c>
      <c r="PO226" s="43" t="str">
        <f t="shared" si="980"/>
        <v/>
      </c>
      <c r="PP226" s="43" t="str">
        <f t="shared" si="981"/>
        <v/>
      </c>
      <c r="PQ226" s="43" t="str">
        <f t="shared" si="982"/>
        <v/>
      </c>
      <c r="PR226" s="43" t="str">
        <f t="shared" si="983"/>
        <v/>
      </c>
      <c r="PS226" s="43" t="str">
        <f t="shared" si="984"/>
        <v/>
      </c>
      <c r="PT226" s="43" t="str">
        <f t="shared" si="985"/>
        <v/>
      </c>
      <c r="PU226" s="43" t="str">
        <f t="shared" si="986"/>
        <v/>
      </c>
      <c r="PV226" s="43" t="str">
        <f t="shared" si="987"/>
        <v/>
      </c>
      <c r="PW226" s="43" t="str">
        <f t="shared" si="988"/>
        <v/>
      </c>
      <c r="PX226" s="43" t="str">
        <f t="shared" si="989"/>
        <v/>
      </c>
      <c r="PY226" s="43" t="str">
        <f t="shared" si="990"/>
        <v/>
      </c>
      <c r="PZ226" s="43" t="str">
        <f t="shared" si="991"/>
        <v/>
      </c>
      <c r="QA226" s="43" t="str">
        <f t="shared" si="992"/>
        <v/>
      </c>
      <c r="QB226" s="43" t="str">
        <f t="shared" si="993"/>
        <v/>
      </c>
      <c r="QC226" s="43" t="str">
        <f t="shared" si="994"/>
        <v/>
      </c>
      <c r="QD226" s="43" t="str">
        <f t="shared" si="995"/>
        <v/>
      </c>
      <c r="QE226" s="43" t="str">
        <f t="shared" si="996"/>
        <v/>
      </c>
      <c r="QF226" s="43" t="str">
        <f t="shared" si="997"/>
        <v/>
      </c>
      <c r="QG226" s="43" t="str">
        <f t="shared" si="998"/>
        <v/>
      </c>
      <c r="QH226" s="43" t="str">
        <f t="shared" si="999"/>
        <v/>
      </c>
      <c r="QI226" s="43" t="str">
        <f t="shared" si="1000"/>
        <v/>
      </c>
      <c r="QJ226" s="43" t="str">
        <f t="shared" si="1001"/>
        <v/>
      </c>
      <c r="QK226" s="43" t="str">
        <f t="shared" si="1002"/>
        <v/>
      </c>
      <c r="QL226" s="43" t="str">
        <f t="shared" si="1003"/>
        <v/>
      </c>
      <c r="QM226" s="43" t="str">
        <f t="shared" si="1004"/>
        <v/>
      </c>
      <c r="QN226" s="43" t="str">
        <f t="shared" si="1005"/>
        <v/>
      </c>
      <c r="QO226" s="43" t="str">
        <f t="shared" si="1006"/>
        <v/>
      </c>
      <c r="QP226" s="43" t="str">
        <f t="shared" si="1007"/>
        <v/>
      </c>
      <c r="QQ226" s="43" t="str">
        <f t="shared" si="1008"/>
        <v/>
      </c>
      <c r="QR226" s="43" t="str">
        <f t="shared" si="1009"/>
        <v>Menor</v>
      </c>
      <c r="QS226" s="43"/>
      <c r="QT226" s="21" t="str">
        <f t="shared" si="1010"/>
        <v/>
      </c>
      <c r="QU226" s="21" t="str">
        <f t="shared" si="1011"/>
        <v/>
      </c>
      <c r="QV226" s="21" t="str">
        <f t="shared" si="1012"/>
        <v/>
      </c>
      <c r="QW226" s="21" t="str">
        <f t="shared" si="1013"/>
        <v/>
      </c>
      <c r="QX226" s="21" t="str">
        <f t="shared" si="1014"/>
        <v/>
      </c>
      <c r="QY226" s="21" t="str">
        <f t="shared" si="1015"/>
        <v/>
      </c>
      <c r="QZ226" s="21" t="str">
        <f t="shared" si="1016"/>
        <v/>
      </c>
      <c r="RA226" s="21" t="str">
        <f t="shared" si="1017"/>
        <v/>
      </c>
      <c r="RB226" s="21" t="str">
        <f t="shared" si="1018"/>
        <v/>
      </c>
      <c r="RC226" s="21" t="str">
        <f t="shared" si="1019"/>
        <v/>
      </c>
      <c r="RD226" s="21" t="str">
        <f t="shared" si="1020"/>
        <v/>
      </c>
      <c r="RE226" s="21" t="str">
        <f t="shared" si="1021"/>
        <v/>
      </c>
      <c r="RF226" s="21" t="str">
        <f t="shared" si="1022"/>
        <v/>
      </c>
      <c r="RG226" s="21" t="str">
        <f t="shared" si="1023"/>
        <v/>
      </c>
      <c r="RH226" s="21" t="str">
        <f t="shared" si="1024"/>
        <v/>
      </c>
      <c r="RI226" s="21" t="str">
        <f t="shared" si="1025"/>
        <v/>
      </c>
      <c r="RJ226" s="21" t="str">
        <f t="shared" si="1026"/>
        <v/>
      </c>
      <c r="RK226" s="21" t="str">
        <f t="shared" si="1027"/>
        <v/>
      </c>
      <c r="RL226" s="21" t="str">
        <f t="shared" si="1028"/>
        <v/>
      </c>
      <c r="RM226" s="21" t="str">
        <f t="shared" si="1029"/>
        <v/>
      </c>
      <c r="RN226" s="21" t="str">
        <f t="shared" si="1030"/>
        <v/>
      </c>
      <c r="RO226" s="21" t="str">
        <f t="shared" si="1031"/>
        <v/>
      </c>
      <c r="RP226" s="21" t="str">
        <f t="shared" si="1032"/>
        <v/>
      </c>
      <c r="RQ226" s="21" t="str">
        <f t="shared" si="1033"/>
        <v/>
      </c>
      <c r="RR226" s="21" t="str">
        <f t="shared" si="1034"/>
        <v/>
      </c>
      <c r="RS226" s="21" t="str">
        <f t="shared" si="1035"/>
        <v/>
      </c>
      <c r="RT226" s="21" t="str">
        <f t="shared" si="1036"/>
        <v/>
      </c>
      <c r="RU226" s="21" t="str">
        <f t="shared" si="1037"/>
        <v/>
      </c>
      <c r="RV226" s="21">
        <f t="shared" si="1038"/>
        <v>-1</v>
      </c>
      <c r="RW226" s="284">
        <f>IF(OR(Tabla1[[#This Row],[FUM FORMULA CONFIABLE]]="",Tabla1[[#This Row],[FUM FORMULA CONFIABLE]]="SD"),"",IF(Tabla1[[#This Row],[FUM FORMULA CONFIABLE]]="CORREGIDA",Tabla1[[#This Row],[FUM X ECO 1]],Tabla1[[#This Row],[FUM x AMENORREA]]))</f>
        <v>45055</v>
      </c>
      <c r="RX226" s="21">
        <f>IF(AND(Tabla1[[#This Row],[FUM X ECO 1]]="",Tabla1[[#This Row],[FUM x AMENORREA]]=""),"",IF(AND(Tabla1[[#This Row],[FUM X ECO 1]]="",Tabla1[[#This Row],[FUM x AMENORREA]]&lt;&gt;""),"X",SUM(Tabla1[[#This Row],[FUM X ECO 1]]-Tabla1[[#This Row],[FUM x AMENORREA]])))</f>
        <v>0.90000000000145519</v>
      </c>
      <c r="RY226" s="21">
        <f t="shared" si="1039"/>
        <v>0</v>
      </c>
    </row>
    <row r="227" spans="1:493" ht="45" customHeight="1" x14ac:dyDescent="0.25">
      <c r="A227" s="109"/>
      <c r="B227" s="43" t="s">
        <v>1611</v>
      </c>
      <c r="C227" s="299" t="s">
        <v>845</v>
      </c>
      <c r="D227" s="124"/>
      <c r="E227" s="43" t="s">
        <v>1439</v>
      </c>
      <c r="F227" s="43" t="s">
        <v>848</v>
      </c>
      <c r="G227" s="43" t="s">
        <v>1437</v>
      </c>
      <c r="H227" s="43"/>
      <c r="I227" s="109" t="s">
        <v>851</v>
      </c>
      <c r="J227" s="110">
        <v>1059595628</v>
      </c>
      <c r="K227" s="43" t="s">
        <v>852</v>
      </c>
      <c r="L227" s="175" t="s">
        <v>1509</v>
      </c>
      <c r="M227" s="22">
        <v>37604</v>
      </c>
      <c r="N227" s="213">
        <f t="shared" ca="1" si="839"/>
        <v>20.901369863013699</v>
      </c>
      <c r="O227" s="22">
        <v>45139</v>
      </c>
      <c r="P227" s="214" t="str">
        <f t="shared" si="916"/>
        <v>SI</v>
      </c>
      <c r="Q227" s="26" t="s">
        <v>855</v>
      </c>
      <c r="R227" s="22">
        <v>45139</v>
      </c>
      <c r="S227" s="21" t="s">
        <v>856</v>
      </c>
      <c r="T227" s="24" t="s">
        <v>690</v>
      </c>
      <c r="U227" s="21" t="s">
        <v>857</v>
      </c>
      <c r="V227" s="21" t="s">
        <v>858</v>
      </c>
      <c r="W227" s="21" t="s">
        <v>920</v>
      </c>
      <c r="X227" s="21"/>
      <c r="Y227" s="21" t="s">
        <v>920</v>
      </c>
      <c r="Z227" s="21">
        <v>3156698297</v>
      </c>
      <c r="AA227" s="21" t="s">
        <v>860</v>
      </c>
      <c r="AB227" s="27" t="s">
        <v>861</v>
      </c>
      <c r="AC227" s="26" t="s">
        <v>888</v>
      </c>
      <c r="AD227" s="38" t="s">
        <v>1546</v>
      </c>
      <c r="AE227" s="26" t="s">
        <v>854</v>
      </c>
      <c r="AF227" s="26" t="s">
        <v>854</v>
      </c>
      <c r="AG227" s="23" t="s">
        <v>864</v>
      </c>
      <c r="AH227" s="23" t="s">
        <v>864</v>
      </c>
      <c r="AI227" s="24" t="s">
        <v>863</v>
      </c>
      <c r="AJ227" s="23" t="s">
        <v>864</v>
      </c>
      <c r="AK227" s="220" t="str">
        <f>IF(AND(AD227="",AE227="",AF227="",AG227="",AH227="",AI227="",AJ227=""),"",IF(OR(Tabla1[[#This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EVALUACIÓN",IF(AND(O227="",R227=""),"",IF(AND(OR(O227&gt;0,R227&gt;0),NG227&gt;=0,NG227&lt;2),"SIN RIESGO",IF(AND(OR(O227&gt;0,R227&gt;0),NG227&gt;=2),"CON RIESGO","ASD")))))</f>
        <v>SIN RIESGO</v>
      </c>
      <c r="AL227" s="26" t="s">
        <v>864</v>
      </c>
      <c r="AM227" s="26" t="s">
        <v>864</v>
      </c>
      <c r="AN227" s="26" t="s">
        <v>864</v>
      </c>
      <c r="AO227" s="26" t="s">
        <v>864</v>
      </c>
      <c r="AP227" s="26" t="s">
        <v>864</v>
      </c>
      <c r="AQ227" s="26" t="s">
        <v>864</v>
      </c>
      <c r="AR227" s="26" t="s">
        <v>864</v>
      </c>
      <c r="AS227" s="21">
        <v>0</v>
      </c>
      <c r="AT227" s="21">
        <v>0</v>
      </c>
      <c r="AU227" s="21">
        <v>0</v>
      </c>
      <c r="AV227" s="26" t="s">
        <v>864</v>
      </c>
      <c r="AW227" s="21">
        <v>0</v>
      </c>
      <c r="AX227" s="26" t="s">
        <v>864</v>
      </c>
      <c r="AY227" s="26" t="s">
        <v>864</v>
      </c>
      <c r="AZ227" s="26" t="s">
        <v>864</v>
      </c>
      <c r="BA227" s="26" t="s">
        <v>864</v>
      </c>
      <c r="BB227" s="26" t="s">
        <v>864</v>
      </c>
      <c r="BC227" s="26" t="s">
        <v>864</v>
      </c>
      <c r="BD227" s="26" t="s">
        <v>864</v>
      </c>
      <c r="BE227" s="26" t="s">
        <v>864</v>
      </c>
      <c r="BF227" s="26" t="s">
        <v>864</v>
      </c>
      <c r="BG227" s="26" t="s">
        <v>864</v>
      </c>
      <c r="BH227" s="26" t="s">
        <v>864</v>
      </c>
      <c r="BI227" s="26" t="s">
        <v>864</v>
      </c>
      <c r="BJ227" s="26" t="s">
        <v>864</v>
      </c>
      <c r="BK227" s="26" t="s">
        <v>864</v>
      </c>
      <c r="BL227" s="26" t="s">
        <v>864</v>
      </c>
      <c r="BM227" s="26" t="s">
        <v>864</v>
      </c>
      <c r="BN227" s="22"/>
      <c r="BO227" s="22">
        <v>45036</v>
      </c>
      <c r="BP227" s="21" t="s">
        <v>854</v>
      </c>
      <c r="BQ227" s="222">
        <f t="shared" si="840"/>
        <v>0</v>
      </c>
      <c r="BR227" s="223">
        <f t="shared" si="841"/>
        <v>45036.3</v>
      </c>
      <c r="BS227" s="224">
        <f t="shared" si="842"/>
        <v>14.714285714285714</v>
      </c>
      <c r="BT227" s="216" t="str">
        <f t="shared" si="843"/>
        <v>II TRIM</v>
      </c>
      <c r="BU227" s="214">
        <f t="shared" ca="1" si="925"/>
        <v>28.142857142857142</v>
      </c>
      <c r="BV227" s="25" t="s">
        <v>988</v>
      </c>
      <c r="BW227" s="22">
        <v>45149</v>
      </c>
      <c r="BX227" s="28">
        <v>16.100000000000001</v>
      </c>
      <c r="BY227" s="28"/>
      <c r="BZ227" s="22"/>
      <c r="CA227" s="21"/>
      <c r="CB227" s="26" t="s">
        <v>864</v>
      </c>
      <c r="CC227" s="26" t="s">
        <v>864</v>
      </c>
      <c r="CD227" s="26" t="s">
        <v>865</v>
      </c>
      <c r="CE227" s="26" t="s">
        <v>864</v>
      </c>
      <c r="CF227" s="22" t="s">
        <v>1517</v>
      </c>
      <c r="CG227" s="21">
        <v>1.44</v>
      </c>
      <c r="CH227" s="21">
        <v>48</v>
      </c>
      <c r="CI227" s="214">
        <f t="shared" si="845"/>
        <v>23.148148148148149</v>
      </c>
      <c r="CJ227" s="225" t="e">
        <f>IF(AND(CI227&lt;10,CH227="SD"),"SIN DATO PESO PREGESTACION O I TRIM",IF(AND(OR(R227&gt;0,O227&gt;0),CI227="X"),"INGRESAR DATO DE PESO",IF(CI227="SD","INGRESAR DATO DE TALLA Y PESO",IF(AND(OR(Tabla1[[#This Row],[MOMENTO EN QUE SE REALIZA EL PESO AL INGRESO A CPN]]="PREGESTACIÓN",NZ227="Menor"),CI227&lt;18.5),"BAJO PESO",IF(AND(OR(Tabla1[[#This Row],[MOMENTO EN QUE SE REALIZA EL PESO AL INGRESO A CPN]]="PREGESTACIÓN",NZ227="Menor"),CI227&lt;25),"NORMAL",IF(AND(OR(Tabla1[[#This Row],[MOMENTO EN QUE SE REALIZA EL PESO AL INGRESO A CPN]]="PREGESTACIÓN",NZ227="Menor"),CI227&lt;30),"SOBREPESO",IF(AND(OR(Tabla1[[#This Row],[MOMENTO EN QUE SE REALIZA EL PESO AL INGRESO A CPN]]="PREGESTACIÓN",NZ227="Menor"),CI227&gt;=30,CI227&lt;50),"OBESIDAD",IF(AND(BS227&gt;0,Tabla1[[#This Row],[MOMENTO EN QUE SE REALIZA EL PESO AL INGRESO A CPN]]="GESTACIÓN"),HLOOKUP(NZ227,$OA$2:PH227,NY227),""))))))))</f>
        <v>#REF!</v>
      </c>
      <c r="CK227" s="212">
        <f t="shared" si="846"/>
        <v>45139</v>
      </c>
      <c r="CL227" s="21">
        <v>48</v>
      </c>
      <c r="CM227" s="214">
        <f t="shared" si="847"/>
        <v>23.148148148148149</v>
      </c>
      <c r="CN227" s="216">
        <f t="shared" si="848"/>
        <v>14</v>
      </c>
      <c r="CO227" s="216" t="e">
        <f>IF(PI227="","",IF(PI227&gt;0,HLOOKUP(PI227,$PJ$2:QQ227,NY227),""))</f>
        <v>#REF!</v>
      </c>
      <c r="CP227" s="21">
        <v>14</v>
      </c>
      <c r="CQ227" s="216" t="e">
        <f>IF(QR227="Menor","NO APLICA-MENOR 13 SEM",IF(AND(CC227="SI",CN227&gt;23),"NO APLICA- GEMELAR",IF(QR227="","",IF(QR227&gt;0,HLOOKUP(QR227,$QS$2:RU227,NY227),""))))</f>
        <v>#REF!</v>
      </c>
      <c r="CR227" s="21"/>
      <c r="CS227" s="21"/>
      <c r="CT227" s="217" t="str">
        <f>IF(R227="","",IF(AND(BS227&gt;1,BS227&lt;12,Tabla1[[#This Row],[T.A. SISTOLICA - ANTES DE SEMANA 12]]="",Tabla1[[#This Row],[T.A. DIASTOLICA - ANTES DE SEMANA 12]]=""),"REGISTRE DATO TA ANTES SEMANA 12",IF(AND(BS227&gt;11,BS227&lt;43,Tabla1[[#This Row],[T.A. SISTOLICA - ANTES DE SEMANA 12]]="",Tabla1[[#This Row],[T.A. DIASTOLICA - ANTES DE SEMANA 12]]=""),"NO APLICA REGISTRO TA-INGRESO TARDIO",IF(AND(OR(O227&gt;0,R227&gt;0),OR(CR227&gt;=140,CS227&gt;=90)),"DEFINIR ESTADIO HTA",IF(AND(OR(O227&gt;0,R227&gt;0),AND(CR227&gt;120,CR227&lt;=139)),"PRE HTA SEGUIMIENTO",IF(AND(OR(O227&gt;0,R227&gt;0),AND(CS227&gt;80,CS227&lt;=89)),"PRE HTA SEGUIMIENTO",IF(AND(OR(O227&gt;0,R227&gt;0),AND(CR227&gt;=80,CR227&lt;=120)),"APARENTEMENTE NORMAL",IF(AND(OR(O227&gt;0,R227&gt;0),AND(CS227&gt;=50,CS227&lt;=80)),"APARENTEMENTE NORMAL",IF(AND(OR(O227&gt;0,R227&gt;0),AND(CR227&gt;1,CR227&lt;=70),AND(CS227&gt;1,CS227&lt;=40)),"HIPOTENSIÓN","")))))))))</f>
        <v>NO APLICA REGISTRO TA-INGRESO TARDIO</v>
      </c>
      <c r="CU227" s="21"/>
      <c r="CV227" s="21"/>
      <c r="CW227" s="217" t="str">
        <f ca="1">IF(R227="","",IF(AND(CN227&gt;19,CN227&lt;27,Tabla1[[#This Row],[T.A. SISTOLICA (Entre semana 20 y 26)]]="",Tabla1[[#This Row],[T.A. DIATOLICA (Entre semana 20 y 26)]]=""),"ACUDE A CONTROL SEM 20 A 26 REGISTRE TA AHORA",IF(AND(BS227&gt;1,BS227&lt;27,BU227&gt;19,Tabla1[[#This Row],[T.A. SISTOLICA (Entre semana 20 y 26)]]="",Tabla1[[#This Row],[T.A. DIATOLICA (Entre semana 20 y 26)]]=""),"COMPLETE REGISTRO TA CONTROL SEM 20 A26 ",IF(AND(BS227&gt;26,BS227&lt;43,Tabla1[[#This Row],[T.A. SISTOLICA (Entre semana 20 y 26)]]="",Tabla1[[#This Row],[T.A. DIATOLICA (Entre semana 20 y 26)]]=""),"NO APLICA REGISTRO TA-INGRESO TARDIO",IF(AND(OR(O227&gt;0,R227&gt;0),OR(CU227&gt;=140,CV227&gt;=90)),"ALTO RIESGO PREECLAMPSIA,DEFINIR ESTADIO HTA",IF(AND(OR(O227&gt;0,R227&gt;0),AND(CU227&gt;120,CU227&lt;=139)),"PRE HTA SEGUIMIENTO,RIESGO HIPERTENSION INDUCIDA POR EL EMBARAZO",IF(AND(OR(O227&gt;0,R227&gt;0),AND(CV227&gt;80,CV227&lt;=89)),"PRE HTA SEGUIMIENTO, RIESGO HIPERTENSION INDUCIDA POR EL EMBARAZO",IF(AND(OR(O227&lt;&gt;"",R227&lt;&gt;""),CS227&lt;&gt;"",CV227&lt;&gt;"",CS227&lt;=CV227),"VIGILAR CIFRAS PRESION ARTERIAL",IF(AND(OR(O227&gt;0,R227&gt;0),AND(CU227&gt;120,CU227&lt;=139)),"PRE HTA SEGUIMIENTO",IF(AND(OR(O227&gt;0,R227&gt;0),AND(CU227&gt;1,CU227&lt;=70),AND(CV227&gt;1,CV227&lt;=40)),"HIPOTENSIÓN",IF(AND(OR(O227&lt;&gt;"",R227&lt;&gt;""),CS227&lt;&gt;"",CV227&lt;&gt;"",CS227&gt;CV227),"APARENTEMENTE NORMAL",IF(AND(OR(O227&gt;0,R227&gt;0),AND(CU227&gt;=80,CU227&lt;=120)),"APARENTEMENTE NORMAL",IF(AND(OR(O227&gt;0,R227&gt;0),AND(CV227&gt;=50,CV227&lt;=80)),"APARENTEMENTE NORMAL","")))))))))))))</f>
        <v xml:space="preserve">COMPLETE REGISTRO TA CONTROL SEM 20 A26 </v>
      </c>
      <c r="CX227" s="21"/>
      <c r="CY227" s="21"/>
      <c r="CZ227" s="216" t="str">
        <f t="shared" si="1042"/>
        <v/>
      </c>
      <c r="DA227" s="21">
        <v>100</v>
      </c>
      <c r="DB227" s="21">
        <v>60</v>
      </c>
      <c r="DC227" s="217" t="str">
        <f t="shared" si="849"/>
        <v>APARENTEMENTE NORMAL</v>
      </c>
      <c r="DD227" s="22">
        <v>45139</v>
      </c>
      <c r="DE227" s="22">
        <v>45139</v>
      </c>
      <c r="DF227" s="22"/>
      <c r="DG227" s="22"/>
      <c r="DH227" s="22"/>
      <c r="DI227" s="22"/>
      <c r="DJ227" s="22"/>
      <c r="DK227" s="22"/>
      <c r="DL227" s="22"/>
      <c r="DM227" s="22"/>
      <c r="DN227" s="22"/>
      <c r="DO227" s="22"/>
      <c r="DP227" s="22"/>
      <c r="DQ227" s="22"/>
      <c r="DR227" s="28"/>
      <c r="DS227" s="22"/>
      <c r="DT227" s="22"/>
      <c r="DU227" s="216" t="str">
        <f t="shared" ca="1" si="917"/>
        <v>PLANEAR PLAN DE PARTO</v>
      </c>
      <c r="DV227" s="226" t="str">
        <f t="shared" si="918"/>
        <v>ACTIVA INGRESO A CPN</v>
      </c>
      <c r="DW22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7" s="216" t="e">
        <f t="shared" ca="1" si="850"/>
        <v>#REF!</v>
      </c>
      <c r="DY227" s="212">
        <f>IF(R227="","",IF(R227&gt;0,MAX(Tabla1[[#This Row],[FECHA C2]:[FECHA C13]],Tabla1[[#This Row],[FECHA CONSULTA PRIMERA VEZ PROGRAMA CPN ]])))</f>
        <v>45139</v>
      </c>
      <c r="DZ227" s="216">
        <f t="shared" si="851"/>
        <v>14</v>
      </c>
      <c r="EA227" s="222">
        <f>IF(R227&gt;0,SUM(COUNTA(DF227:DQ227)+COUNTA(Tabla1[[#This Row],[FECHA CONSULTA PRIMERA VEZ PROGRAMA CPN ]])),"")</f>
        <v>1</v>
      </c>
      <c r="EB227" s="222" t="str">
        <f t="shared" si="852"/>
        <v>NO</v>
      </c>
      <c r="EC227" s="214">
        <f t="shared" si="853"/>
        <v>8</v>
      </c>
      <c r="ED227" s="227">
        <f t="shared" si="854"/>
        <v>0.125</v>
      </c>
      <c r="EE227" s="22">
        <v>45139</v>
      </c>
      <c r="EF227" s="22"/>
      <c r="EG227" s="22">
        <v>45139</v>
      </c>
      <c r="EH227" s="22"/>
      <c r="EI227" s="22">
        <v>45139</v>
      </c>
      <c r="EJ227" s="22"/>
      <c r="EK227" s="22"/>
      <c r="EL227" s="21"/>
      <c r="EM227" s="21">
        <v>12.5</v>
      </c>
      <c r="EN227" s="22">
        <v>45143</v>
      </c>
      <c r="EO227" s="222">
        <f t="shared" si="855"/>
        <v>15.285714285714286</v>
      </c>
      <c r="EP227" s="214" t="str">
        <f t="shared" si="856"/>
        <v>NORMAL- SUMINISTRAR SULFATO FERROSO</v>
      </c>
      <c r="EQ227" s="216" t="str">
        <f t="shared" si="857"/>
        <v>II TRIM</v>
      </c>
      <c r="ER227" s="24"/>
      <c r="ES227" s="22"/>
      <c r="ET227" s="29" t="str">
        <f t="shared" ca="1" si="919"/>
        <v>EN SEMANA 28 TOMA INMEDIATA DE EXAMEN</v>
      </c>
      <c r="EU227" s="25" t="str">
        <f t="shared" si="858"/>
        <v/>
      </c>
      <c r="EV227" s="24" t="s">
        <v>1510</v>
      </c>
      <c r="EW227" s="32">
        <v>45143</v>
      </c>
      <c r="EX227" s="22"/>
      <c r="EY227" s="29">
        <f t="shared" si="1040"/>
        <v>15.285714285714286</v>
      </c>
      <c r="EZ227" s="25" t="str">
        <f t="shared" si="1041"/>
        <v>SIN RIESGO DE ISOINMUNIZACIÓN</v>
      </c>
      <c r="FA227" s="21">
        <v>82</v>
      </c>
      <c r="FB227" s="22">
        <v>45143</v>
      </c>
      <c r="FC227" s="29">
        <f t="shared" si="859"/>
        <v>15.285714285714286</v>
      </c>
      <c r="FD227" s="29"/>
      <c r="FE227" s="29"/>
      <c r="FF227" s="29"/>
      <c r="FG227" s="21" t="str">
        <f t="shared" ca="1" si="860"/>
        <v>TOMAR PTOG</v>
      </c>
      <c r="FH227" s="31"/>
      <c r="FI227" s="29" t="str">
        <f t="shared" si="861"/>
        <v>TOMAR EXAMEN</v>
      </c>
      <c r="FJ227" s="22"/>
      <c r="FK227" s="22"/>
      <c r="FL227" s="29" t="str">
        <f t="shared" ca="1" si="862"/>
        <v>NO APLICA-INGRESO TARDIO</v>
      </c>
      <c r="FM227" s="22" t="s">
        <v>867</v>
      </c>
      <c r="FN227" s="32">
        <v>45143</v>
      </c>
      <c r="FO227" s="29">
        <f t="shared" ca="1" si="920"/>
        <v>15.285714285714286</v>
      </c>
      <c r="FP227" s="22"/>
      <c r="FQ227" s="32"/>
      <c r="FR227" s="29" t="str">
        <f t="shared" ca="1" si="921"/>
        <v>EN RANGO PARA TOMAR EXAMEN</v>
      </c>
      <c r="FS227" s="22"/>
      <c r="FT227" s="32"/>
      <c r="FU227" s="29" t="str">
        <f>IF(AND(FJ227="",FM227="",FP227="",FS227=""),"",IF(OR(OR(Tabla1[[#This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7" s="28"/>
      <c r="FW227" s="22"/>
      <c r="FX227" s="29" t="str">
        <f t="shared" si="863"/>
        <v>TOMAR EXAMEN</v>
      </c>
      <c r="FY227" s="22"/>
      <c r="FZ227" s="22"/>
      <c r="GA227" s="29" t="str">
        <f t="shared" ca="1" si="936"/>
        <v>NO APLICA-INGRESO TARDIO</v>
      </c>
      <c r="GB227" s="22" t="s">
        <v>868</v>
      </c>
      <c r="GC227" s="22">
        <v>45143</v>
      </c>
      <c r="GD227" s="29">
        <f t="shared" ca="1" si="937"/>
        <v>15.285714285714286</v>
      </c>
      <c r="GE227" s="22"/>
      <c r="GF227" s="22"/>
      <c r="GG227" s="29" t="str">
        <f t="shared" ca="1" si="923"/>
        <v>EN RANGO PARA TOMAR EXAMEN</v>
      </c>
      <c r="GH227" s="22"/>
      <c r="GI227" s="29"/>
      <c r="GJ227" s="22"/>
      <c r="GK227" s="22"/>
      <c r="GL227" s="22"/>
      <c r="GM227" s="22"/>
      <c r="GN227" s="28" t="s">
        <v>869</v>
      </c>
      <c r="GO227" s="22">
        <v>45143</v>
      </c>
      <c r="GP227" s="29">
        <f t="shared" si="864"/>
        <v>15.285714285714286</v>
      </c>
      <c r="GQ227" s="28" t="s">
        <v>880</v>
      </c>
      <c r="GR227" s="28" t="s">
        <v>869</v>
      </c>
      <c r="GS227" s="22" t="str">
        <f t="shared" si="1044"/>
        <v>SE EXCLUYE INFECCION</v>
      </c>
      <c r="GT227" s="22">
        <v>45143</v>
      </c>
      <c r="GU227" s="29">
        <f t="shared" si="865"/>
        <v>15.285714285714286</v>
      </c>
      <c r="GV227" s="21" t="str">
        <f t="shared" si="866"/>
        <v>II TRIM</v>
      </c>
      <c r="GW227" s="28"/>
      <c r="GX227" s="30"/>
      <c r="GY227" s="21"/>
      <c r="GZ227" s="21"/>
      <c r="HA227" s="21"/>
      <c r="HB227" s="21"/>
      <c r="HC227" s="21"/>
      <c r="HD227" s="21"/>
      <c r="HE227" s="21"/>
      <c r="HF227" s="22"/>
      <c r="HG227" s="22" t="str">
        <f>IF(OR(O227&gt;0,R227&gt;0),CONCATENATE(IF(Tabla1[[#This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7" s="22" t="e">
        <f t="shared" si="867"/>
        <v>#REF!</v>
      </c>
      <c r="HI227" s="22" t="e">
        <f t="shared" ca="1" si="868"/>
        <v>#REF!</v>
      </c>
      <c r="HJ227" s="21"/>
      <c r="HK227" s="21" t="str">
        <f t="shared" si="869"/>
        <v>SIN ANTECEDENTES DE RIESGO</v>
      </c>
      <c r="HL227" s="24" t="str">
        <f t="shared" si="870"/>
        <v>APARENTEMENTE NORMAL</v>
      </c>
      <c r="HM227" s="21" t="e">
        <f t="shared" ca="1" si="871"/>
        <v>#REF!</v>
      </c>
      <c r="HN227" s="30" t="str">
        <f t="shared" si="924"/>
        <v>ACTIVA INGRESO A CPN</v>
      </c>
      <c r="HO227" s="21"/>
      <c r="HP227" s="21"/>
      <c r="HQ227" s="349"/>
      <c r="HR227" s="21" t="str">
        <f>IF(R227="","",IF(Tabla1[[#This Row],[ALARMA FACTORES DE RIESGO COMPLICACIONES HIPERTENSIVAS3]]="SIN ANTECEDENTES DE RIESGO","No Aplica para suministro de ASA",IF(AND(Tabla1[[#This Row],[FECHA INICIO DE SUMINISTRO DE ASA]]&gt;0,RV227&lt;12),"Inicia ASA ANTES de Sem 12",IF(AND(RV227&gt;11,RV227&lt;17,OR(HK227="RIESGO ALTO DE COMPLICACIONES HIPERTENSIVAS VER MANEJO GUIA SUMINISTRO ASA Y CALCIO",HK227="RIESGO MODERADO (2 O MAS CRITERIOS) VER MANEJO GUIA SUMINISTRO ASA Y CALCIO")),"Inicio oportuno de ASA",IF(AND(RV227&gt;12,OR(HK227="RIESGO ALTO DE COMPLICACIONES HIPERTENSIVAS VER MANEJO GUIA SUMINISTRO ASA Y CALCIO",HK227="RIESGO MODERADO (2 O MAS CRITERIOS) VER MANEJO GUIA SUMINISTRO ASA Y CALCIO")),"Inicio no oportuno mayor a 16 semanas",IF(AND(BU227&lt;12,OR(HK227="RIESGO ALTO DE COMPLICACIONES HIPERTENSIVAS VER MANEJO GUIA SUMINISTRO ASA Y CALCIO",HK227="RIESGO MODERADO (2 O MAS CRITERIOS) VER MANEJO GUIA SUMINISTRO ASA Y CALCIO")),"Pendiente Inicio de ASA a la semana 12",IF(AND(BU227&gt;11,BU227&lt;17,OR(HK227="RIESGO ALTO DE COMPLICACIONES HIPERTENSIVAS VER MANEJO GUIA SUMINISTRO ASA Y CALCIO",HK227="RIESGO MODERADO (2 O MAS CRITERIOS) VER MANEJO GUIA SUMINISTRO ASA Y CALCIO")),"Iniciar de inmediato ASA",IF(AND(BU227&gt;16,OR(HK227="RIESGO ALTO DE COMPLICACIONES HIPERTENSIVAS VER MANEJO GUIA SUMINISTRO ASA Y CALCIO",HK227="RIESGO MODERADO (2 O MAS CRITERIOS) VER MANEJO GUIA SUMINISTRO ASA Y CALCIO")),"Pierde Oportunidad, Inicio tardío de ASA","XXXXX"))))))))</f>
        <v>No Aplica para suministro de ASA</v>
      </c>
      <c r="HS227" s="22">
        <v>45139</v>
      </c>
      <c r="HT227" s="22" t="s">
        <v>1518</v>
      </c>
      <c r="HU227" s="22">
        <v>45139</v>
      </c>
      <c r="HV227" s="22" t="s">
        <v>1544</v>
      </c>
      <c r="HW227" s="22">
        <v>45139</v>
      </c>
      <c r="HX227" s="22" t="s">
        <v>1511</v>
      </c>
      <c r="HY227" s="22"/>
      <c r="HZ227" s="28" t="str">
        <f t="shared" si="872"/>
        <v>PENDIENTE CONSULTA</v>
      </c>
      <c r="IA227" s="26"/>
      <c r="IB227" s="26"/>
      <c r="IC227" s="111"/>
      <c r="ID227" s="22"/>
      <c r="IE227" s="22" t="str">
        <f t="shared" ca="1" si="873"/>
        <v>INASISTENTE</v>
      </c>
      <c r="IF227" s="22"/>
      <c r="IG227" s="22">
        <f t="shared" si="874"/>
        <v>45316</v>
      </c>
      <c r="IH227" s="29">
        <f t="shared" ca="1" si="875"/>
        <v>83</v>
      </c>
      <c r="II227" s="22" t="str">
        <f t="shared" ca="1" si="876"/>
        <v>PENDIENTE</v>
      </c>
      <c r="IJ227" s="22"/>
      <c r="IK227" s="21"/>
      <c r="IL227" s="21"/>
      <c r="IM227" s="34"/>
      <c r="IN227" s="22"/>
      <c r="IO227" s="21"/>
      <c r="IP227" s="29" t="str">
        <f t="shared" si="877"/>
        <v/>
      </c>
      <c r="IQ227" s="35"/>
      <c r="IR227" s="21"/>
      <c r="IS227" s="21"/>
      <c r="IT227" s="21"/>
      <c r="IU227" s="21"/>
      <c r="IV227" s="21"/>
      <c r="IW227" s="21"/>
      <c r="IX227" s="21"/>
      <c r="IY227" s="21"/>
      <c r="IZ227" s="21"/>
      <c r="JA227" s="21"/>
      <c r="JB227" s="30"/>
      <c r="JC227" s="21"/>
      <c r="JD227" s="36"/>
      <c r="JE227" s="21" t="str">
        <f t="shared" si="878"/>
        <v/>
      </c>
      <c r="JF227" s="30"/>
      <c r="JG227" s="21"/>
      <c r="JH227" s="21"/>
      <c r="JI227" s="21"/>
      <c r="JJ227" s="30"/>
      <c r="JK227" s="22"/>
      <c r="JL227" s="22"/>
      <c r="JM227" s="21"/>
      <c r="JN227" s="36"/>
      <c r="JO227" s="21" t="str">
        <f t="shared" si="879"/>
        <v/>
      </c>
      <c r="JP227" s="22"/>
      <c r="JQ227" s="21"/>
      <c r="JR227" s="21"/>
      <c r="JS227" s="21"/>
      <c r="JT227" s="30"/>
      <c r="JU227" s="22"/>
      <c r="JV227" s="22"/>
      <c r="JW227" s="33"/>
      <c r="JX227" s="28" t="str">
        <f t="shared" si="880"/>
        <v/>
      </c>
      <c r="JY227" s="33"/>
      <c r="JZ227" s="28" t="str">
        <f t="shared" si="881"/>
        <v/>
      </c>
      <c r="KA227" s="21"/>
      <c r="KB227" s="21"/>
      <c r="KC227" s="21"/>
      <c r="KD227" s="37"/>
      <c r="KE227" s="28"/>
      <c r="KF227" s="28"/>
      <c r="KG227" s="28"/>
      <c r="KH227" s="39"/>
      <c r="KI227" s="39"/>
      <c r="KJ227" s="66"/>
      <c r="KK227" s="39"/>
      <c r="KL227" s="39"/>
      <c r="KM227" s="66"/>
      <c r="KN227" s="39"/>
      <c r="KO227" s="39"/>
      <c r="KP227" s="39"/>
      <c r="KQ227" s="39"/>
      <c r="KR227" s="39"/>
      <c r="KS227" s="39"/>
      <c r="KT227" s="39"/>
      <c r="KU227" s="38"/>
      <c r="KV227" s="38"/>
      <c r="KW227" s="38"/>
      <c r="KX227" s="38"/>
      <c r="KY227" s="38"/>
      <c r="KZ227" s="38"/>
      <c r="LA227" s="38"/>
      <c r="LB227" s="38"/>
      <c r="LC227" s="38"/>
      <c r="LD227" s="38"/>
      <c r="LE227" s="38"/>
      <c r="LF227" s="38"/>
      <c r="LG227" s="38"/>
      <c r="LH227" s="38"/>
      <c r="LI227" s="38"/>
      <c r="LJ227" s="38"/>
      <c r="LK227" s="38"/>
      <c r="LL227" s="38"/>
      <c r="LM227" s="38"/>
      <c r="LN227" s="38"/>
      <c r="LO227" s="38"/>
      <c r="LP227" s="38"/>
      <c r="LQ227" s="38"/>
      <c r="LR227" s="38"/>
      <c r="LS227" s="38"/>
      <c r="LT227" s="38"/>
      <c r="LU227" s="38"/>
      <c r="LV227" s="38"/>
      <c r="LW227" s="38"/>
      <c r="LX227" s="38"/>
      <c r="LY227" s="38"/>
      <c r="LZ227" s="38"/>
      <c r="MA227" s="38"/>
      <c r="MB227" s="38"/>
      <c r="MC227" s="38"/>
      <c r="MD227" s="38"/>
      <c r="ME227" s="38"/>
      <c r="MF227" s="38"/>
      <c r="MG227" s="38"/>
      <c r="MH227" s="43">
        <f t="shared" si="882"/>
        <v>0</v>
      </c>
      <c r="MI227" s="43" t="str">
        <f t="shared" si="926"/>
        <v/>
      </c>
      <c r="MJ227" s="43" t="str">
        <f t="shared" si="884"/>
        <v/>
      </c>
      <c r="MK227" s="43">
        <f t="shared" si="885"/>
        <v>0</v>
      </c>
      <c r="ML22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7" s="43">
        <f t="shared" si="927"/>
        <v>14.714285714285714</v>
      </c>
      <c r="MN227" s="43">
        <f t="shared" si="928"/>
        <v>8</v>
      </c>
      <c r="MO227" s="43">
        <f t="shared" si="929"/>
        <v>2023</v>
      </c>
      <c r="MP227" s="43" t="str">
        <f t="shared" si="889"/>
        <v>III TRIMESTRE AÑO</v>
      </c>
      <c r="MQ227" s="43">
        <f t="shared" si="930"/>
        <v>20.332347787998248</v>
      </c>
      <c r="MR227" s="43">
        <f t="shared" si="891"/>
        <v>0</v>
      </c>
      <c r="MS227" s="43" t="str">
        <f t="shared" si="892"/>
        <v xml:space="preserve"> DE 20 A 24 AÑOS</v>
      </c>
      <c r="MT227" s="43">
        <f t="shared" si="893"/>
        <v>0</v>
      </c>
      <c r="MU227" s="43">
        <f t="shared" si="894"/>
        <v>1</v>
      </c>
      <c r="MV227" s="43">
        <f t="shared" si="895"/>
        <v>0</v>
      </c>
      <c r="MW227" s="43">
        <f t="shared" si="896"/>
        <v>0</v>
      </c>
      <c r="MX227" s="43" t="str">
        <f t="shared" si="897"/>
        <v/>
      </c>
      <c r="MY227" s="43" t="str">
        <f t="shared" ca="1" si="898"/>
        <v/>
      </c>
      <c r="MZ227" s="43" t="str">
        <f t="shared" si="899"/>
        <v/>
      </c>
      <c r="NA227" s="43">
        <f t="shared" si="900"/>
        <v>0</v>
      </c>
      <c r="NB227" s="43" t="str">
        <f t="shared" si="901"/>
        <v/>
      </c>
      <c r="NC227" s="43" t="str">
        <f t="shared" si="902"/>
        <v/>
      </c>
      <c r="ND227" s="43">
        <f t="shared" ca="1" si="931"/>
        <v>1</v>
      </c>
      <c r="NE227" s="43">
        <f>IF(OR(O227&gt;0,R227&gt;0),SUM(COUNTIF(Tabla1[[#This Row],[AÑOS AL INICIO5 CPN]],"&gt;=40"),COUNTIF(AS227,"0"),COUNTIF(AR227,"SI"),COUNTIF(CC227,"SI"),COUNTIF(BQ227,"&gt;119"),COUNTIF(CI227,"&gt;=35")),"")</f>
        <v>1</v>
      </c>
      <c r="NF227" s="43" t="str">
        <f t="shared" si="932"/>
        <v/>
      </c>
      <c r="NG227" s="43">
        <f t="shared" si="905"/>
        <v>0</v>
      </c>
      <c r="NH227" s="43">
        <f t="shared" si="906"/>
        <v>112.70000000000002</v>
      </c>
      <c r="NI22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CPN",P227="NO"),"Z",IF(AND(Tabla1[[#This Row],[CITA PROXIMO CONTROL]]="CITA MANUAL",Tabla1[[#This Row],[GESTANTES ACTUALES]]="ACTIVA INGRESO A CPN"),"W",IF(AND(Tabla1[[#This Row],[GESTANTES ACTUALES]]="SALIO PROGRAMA",IN227=""),"S",IF(AND(Tabla1[[#This Row],[CITA PROXIMO CONTROL]]&gt;0,IN227=""),(Tabla1[[#This Row],[CITA PROXIMO CONTROL]]-TODAY()),"SD"))))))))</f>
        <v>#REF!</v>
      </c>
      <c r="NJ227" s="43">
        <f>MONTH(Tabla1[[#This Row],[FECHA DE SALIDA  DEL PROGRAMA]])</f>
        <v>1</v>
      </c>
      <c r="NK227" s="43">
        <f>YEAR(Tabla1[[#This Row],[FECHA DE SALIDA  DEL PROGRAMA]])</f>
        <v>1900</v>
      </c>
      <c r="NL227" s="43" t="str">
        <f t="shared" si="933"/>
        <v>X</v>
      </c>
      <c r="NM227" s="43" t="str">
        <f t="shared" si="938"/>
        <v>NO</v>
      </c>
      <c r="NN227" s="43" t="str">
        <f ca="1">IF(AND(O227&gt;0,R227=""),"NO CPN",IF(AND(O227="",R227=""),"",IF(AND(R227&gt;0,Tabla1[[#This Row],[SEMANAS DE GESTACION ACTUALIZADAS]]&lt;=12),"NO APLICA",IF(AND(FH227&lt;&gt;"",FN227&lt;&gt;""),"SI","NO"))))</f>
        <v>NO</v>
      </c>
      <c r="NO227" s="43" t="str">
        <f ca="1">IF(AND(O227&gt;0,R227=""),"NO CPN",IF(AND(O227="",R227=""),"",IF(AND(R227&gt;0,Tabla1[[#This Row],[SEMANAS DE GESTACION ACTUALIZADAS]]&lt;=27),"NO APLICA",IF(AND(ES227&lt;&gt;"",FQ227&lt;&gt;"",GF227&lt;&gt;""),"SI","NO"))))</f>
        <v>NO</v>
      </c>
      <c r="NP227" s="204" t="str">
        <f t="shared" si="909"/>
        <v>II TRIM</v>
      </c>
      <c r="NQ227" s="21" t="str">
        <f t="shared" si="1043"/>
        <v/>
      </c>
      <c r="NR227" s="21">
        <f t="shared" ca="1" si="934"/>
        <v>2</v>
      </c>
      <c r="NS227" s="205">
        <f t="shared" ca="1" si="911"/>
        <v>1</v>
      </c>
      <c r="NT227" s="21">
        <f t="shared" ca="1" si="912"/>
        <v>1</v>
      </c>
      <c r="NU227" s="21" t="str">
        <f t="shared" ca="1" si="913"/>
        <v>INCOMPLETO</v>
      </c>
      <c r="NV227" s="21" t="str">
        <f t="shared" ca="1" si="914"/>
        <v>INCOMPLETO</v>
      </c>
      <c r="NW227" s="206" t="str">
        <f>IF(AND(O227="",R227=""),"",IF(OR(AND(Tabla1[[#This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7" s="207" t="str">
        <f t="shared" ca="1" si="935"/>
        <v>SIN VACUNAR</v>
      </c>
      <c r="NY227" s="43">
        <f>ROW(Tabla1[[#This Row],['# DE TAMIZAJES SIFILIS TOMADOS ]])</f>
        <v>227</v>
      </c>
      <c r="NZ227" s="43">
        <f t="shared" si="939"/>
        <v>14</v>
      </c>
      <c r="OA227" s="43" t="str">
        <f t="shared" si="940"/>
        <v/>
      </c>
      <c r="OB227" s="43" t="str">
        <f t="shared" si="941"/>
        <v/>
      </c>
      <c r="OC227" s="43" t="str">
        <f t="shared" si="942"/>
        <v/>
      </c>
      <c r="OD227" s="43" t="str">
        <f t="shared" si="943"/>
        <v/>
      </c>
      <c r="OE227" s="43" t="str">
        <f t="shared" si="944"/>
        <v/>
      </c>
      <c r="OF227" s="43" t="str">
        <f t="shared" si="945"/>
        <v>NORMAL</v>
      </c>
      <c r="OG227" s="43" t="str">
        <f t="shared" si="946"/>
        <v/>
      </c>
      <c r="OH227" s="43" t="str">
        <f t="shared" si="947"/>
        <v/>
      </c>
      <c r="OI227" s="43" t="str">
        <f t="shared" si="948"/>
        <v/>
      </c>
      <c r="OJ227" s="43" t="str">
        <f t="shared" si="949"/>
        <v/>
      </c>
      <c r="OK227" s="43" t="str">
        <f t="shared" si="950"/>
        <v/>
      </c>
      <c r="OL227" s="43" t="str">
        <f t="shared" si="951"/>
        <v/>
      </c>
      <c r="OM227" s="43" t="str">
        <f t="shared" si="952"/>
        <v/>
      </c>
      <c r="ON227" s="43" t="str">
        <f t="shared" si="953"/>
        <v/>
      </c>
      <c r="OO227" s="43" t="str">
        <f t="shared" si="954"/>
        <v/>
      </c>
      <c r="OP227" s="43" t="str">
        <f t="shared" si="955"/>
        <v/>
      </c>
      <c r="OQ227" s="43" t="str">
        <f t="shared" si="956"/>
        <v/>
      </c>
      <c r="OR227" s="43" t="str">
        <f t="shared" si="957"/>
        <v/>
      </c>
      <c r="OS227" s="43" t="str">
        <f t="shared" si="958"/>
        <v/>
      </c>
      <c r="OT227" s="43" t="str">
        <f t="shared" si="959"/>
        <v/>
      </c>
      <c r="OU227" s="43" t="str">
        <f t="shared" si="960"/>
        <v/>
      </c>
      <c r="OV227" s="110" t="str">
        <f t="shared" si="961"/>
        <v/>
      </c>
      <c r="OW227" s="43" t="str">
        <f t="shared" si="962"/>
        <v/>
      </c>
      <c r="OX227" s="43" t="str">
        <f t="shared" si="963"/>
        <v/>
      </c>
      <c r="OY227" s="43" t="str">
        <f t="shared" si="964"/>
        <v/>
      </c>
      <c r="OZ227" s="43" t="str">
        <f t="shared" si="965"/>
        <v/>
      </c>
      <c r="PA227" s="43" t="str">
        <f t="shared" si="966"/>
        <v/>
      </c>
      <c r="PB227" s="43" t="str">
        <f t="shared" si="967"/>
        <v/>
      </c>
      <c r="PC227" s="43" t="str">
        <f t="shared" si="968"/>
        <v/>
      </c>
      <c r="PD227" s="43" t="str">
        <f t="shared" si="969"/>
        <v/>
      </c>
      <c r="PE227" s="43" t="str">
        <f t="shared" si="970"/>
        <v/>
      </c>
      <c r="PF227" s="43" t="str">
        <f t="shared" si="971"/>
        <v/>
      </c>
      <c r="PG227" s="43" t="str">
        <f t="shared" si="972"/>
        <v/>
      </c>
      <c r="PH227" s="43" t="str">
        <f t="shared" si="973"/>
        <v/>
      </c>
      <c r="PI227" s="43">
        <f t="shared" si="974"/>
        <v>14</v>
      </c>
      <c r="PJ227" s="43" t="str">
        <f t="shared" si="975"/>
        <v/>
      </c>
      <c r="PK227" s="43" t="str">
        <f t="shared" si="976"/>
        <v/>
      </c>
      <c r="PL227" s="43" t="str">
        <f t="shared" si="977"/>
        <v/>
      </c>
      <c r="PM227" s="43" t="str">
        <f t="shared" si="978"/>
        <v/>
      </c>
      <c r="PN227" s="43" t="str">
        <f t="shared" si="979"/>
        <v/>
      </c>
      <c r="PO227" s="43" t="str">
        <f t="shared" si="980"/>
        <v>NORMAL</v>
      </c>
      <c r="PP227" s="43" t="str">
        <f t="shared" si="981"/>
        <v/>
      </c>
      <c r="PQ227" s="43" t="str">
        <f t="shared" si="982"/>
        <v/>
      </c>
      <c r="PR227" s="43" t="str">
        <f t="shared" si="983"/>
        <v/>
      </c>
      <c r="PS227" s="43" t="str">
        <f t="shared" si="984"/>
        <v/>
      </c>
      <c r="PT227" s="43" t="str">
        <f t="shared" si="985"/>
        <v/>
      </c>
      <c r="PU227" s="43" t="str">
        <f t="shared" si="986"/>
        <v/>
      </c>
      <c r="PV227" s="43" t="str">
        <f t="shared" si="987"/>
        <v/>
      </c>
      <c r="PW227" s="43" t="str">
        <f t="shared" si="988"/>
        <v/>
      </c>
      <c r="PX227" s="43" t="str">
        <f t="shared" si="989"/>
        <v/>
      </c>
      <c r="PY227" s="43" t="str">
        <f t="shared" si="990"/>
        <v/>
      </c>
      <c r="PZ227" s="43" t="str">
        <f t="shared" si="991"/>
        <v/>
      </c>
      <c r="QA227" s="43" t="str">
        <f t="shared" si="992"/>
        <v/>
      </c>
      <c r="QB227" s="43" t="str">
        <f t="shared" si="993"/>
        <v/>
      </c>
      <c r="QC227" s="43" t="str">
        <f t="shared" si="994"/>
        <v/>
      </c>
      <c r="QD227" s="43" t="str">
        <f t="shared" si="995"/>
        <v/>
      </c>
      <c r="QE227" s="43" t="str">
        <f t="shared" si="996"/>
        <v/>
      </c>
      <c r="QF227" s="43" t="str">
        <f t="shared" si="997"/>
        <v/>
      </c>
      <c r="QG227" s="43" t="str">
        <f t="shared" si="998"/>
        <v/>
      </c>
      <c r="QH227" s="43" t="str">
        <f t="shared" si="999"/>
        <v/>
      </c>
      <c r="QI227" s="43" t="str">
        <f t="shared" si="1000"/>
        <v/>
      </c>
      <c r="QJ227" s="43" t="str">
        <f t="shared" si="1001"/>
        <v/>
      </c>
      <c r="QK227" s="43" t="str">
        <f t="shared" si="1002"/>
        <v/>
      </c>
      <c r="QL227" s="43" t="str">
        <f t="shared" si="1003"/>
        <v/>
      </c>
      <c r="QM227" s="43" t="str">
        <f t="shared" si="1004"/>
        <v/>
      </c>
      <c r="QN227" s="43" t="str">
        <f t="shared" si="1005"/>
        <v/>
      </c>
      <c r="QO227" s="43" t="str">
        <f t="shared" si="1006"/>
        <v/>
      </c>
      <c r="QP227" s="43" t="str">
        <f t="shared" si="1007"/>
        <v/>
      </c>
      <c r="QQ227" s="43" t="str">
        <f t="shared" si="1008"/>
        <v/>
      </c>
      <c r="QR227" s="43">
        <f t="shared" si="1009"/>
        <v>14</v>
      </c>
      <c r="QS227" s="43"/>
      <c r="QT227" s="21" t="str">
        <f t="shared" si="1010"/>
        <v/>
      </c>
      <c r="QU227" s="21" t="str">
        <f t="shared" si="1011"/>
        <v>ADECUADO PARA EDAD GESTACIONAL</v>
      </c>
      <c r="QV227" s="21" t="str">
        <f t="shared" si="1012"/>
        <v/>
      </c>
      <c r="QW227" s="21" t="str">
        <f t="shared" si="1013"/>
        <v/>
      </c>
      <c r="QX227" s="21" t="str">
        <f t="shared" si="1014"/>
        <v/>
      </c>
      <c r="QY227" s="21" t="str">
        <f t="shared" si="1015"/>
        <v/>
      </c>
      <c r="QZ227" s="21" t="str">
        <f t="shared" si="1016"/>
        <v/>
      </c>
      <c r="RA227" s="21" t="str">
        <f t="shared" si="1017"/>
        <v/>
      </c>
      <c r="RB227" s="21" t="str">
        <f t="shared" si="1018"/>
        <v/>
      </c>
      <c r="RC227" s="21" t="str">
        <f t="shared" si="1019"/>
        <v/>
      </c>
      <c r="RD227" s="21" t="str">
        <f t="shared" si="1020"/>
        <v/>
      </c>
      <c r="RE227" s="21" t="str">
        <f t="shared" si="1021"/>
        <v/>
      </c>
      <c r="RF227" s="21" t="str">
        <f t="shared" si="1022"/>
        <v/>
      </c>
      <c r="RG227" s="21" t="str">
        <f t="shared" si="1023"/>
        <v/>
      </c>
      <c r="RH227" s="21" t="str">
        <f t="shared" si="1024"/>
        <v/>
      </c>
      <c r="RI227" s="21" t="str">
        <f t="shared" si="1025"/>
        <v/>
      </c>
      <c r="RJ227" s="21" t="str">
        <f t="shared" si="1026"/>
        <v/>
      </c>
      <c r="RK227" s="21" t="str">
        <f t="shared" si="1027"/>
        <v/>
      </c>
      <c r="RL227" s="21" t="str">
        <f t="shared" si="1028"/>
        <v/>
      </c>
      <c r="RM227" s="21" t="str">
        <f t="shared" si="1029"/>
        <v/>
      </c>
      <c r="RN227" s="21" t="str">
        <f t="shared" si="1030"/>
        <v/>
      </c>
      <c r="RO227" s="21" t="str">
        <f t="shared" si="1031"/>
        <v/>
      </c>
      <c r="RP227" s="21" t="str">
        <f t="shared" si="1032"/>
        <v/>
      </c>
      <c r="RQ227" s="21" t="str">
        <f t="shared" si="1033"/>
        <v/>
      </c>
      <c r="RR227" s="21" t="str">
        <f t="shared" si="1034"/>
        <v/>
      </c>
      <c r="RS227" s="21" t="str">
        <f t="shared" si="1035"/>
        <v/>
      </c>
      <c r="RT227" s="21" t="str">
        <f t="shared" si="1036"/>
        <v/>
      </c>
      <c r="RU227" s="21" t="str">
        <f t="shared" si="1037"/>
        <v/>
      </c>
      <c r="RV227" s="21">
        <f t="shared" si="1038"/>
        <v>-1</v>
      </c>
      <c r="RW227" s="284">
        <f>IF(OR(Tabla1[[#This Row],[FUM FORMULA CONFIABLE]]="",Tabla1[[#This Row],[FUM FORMULA CONFIABLE]]="SD"),"",IF(Tabla1[[#This Row],[FUM FORMULA CONFIABLE]]="CORREGIDA",Tabla1[[#This Row],[FUM X ECO 1]],Tabla1[[#This Row],[FUM x AMENORREA]]))</f>
        <v>45036</v>
      </c>
      <c r="RX227" s="21">
        <f>IF(AND(Tabla1[[#This Row],[FUM X ECO 1]]="",Tabla1[[#This Row],[FUM x AMENORREA]]=""),"",IF(AND(Tabla1[[#This Row],[FUM X ECO 1]]="",Tabla1[[#This Row],[FUM x AMENORREA]]&lt;&gt;""),"X",SUM(Tabla1[[#This Row],[FUM X ECO 1]]-Tabla1[[#This Row],[FUM x AMENORREA]])))</f>
        <v>0.30000000000291038</v>
      </c>
      <c r="RY227" s="21">
        <f t="shared" si="1039"/>
        <v>0</v>
      </c>
    </row>
    <row r="228" spans="1:493" ht="45" customHeight="1" x14ac:dyDescent="0.25">
      <c r="A228" s="109"/>
      <c r="B228" s="43"/>
      <c r="C228" s="299" t="s">
        <v>845</v>
      </c>
      <c r="D228" s="124"/>
      <c r="E228" s="43" t="s">
        <v>873</v>
      </c>
      <c r="F228" s="43" t="s">
        <v>874</v>
      </c>
      <c r="G228" s="43" t="s">
        <v>1612</v>
      </c>
      <c r="H228" s="43" t="s">
        <v>1613</v>
      </c>
      <c r="I228" s="109" t="s">
        <v>851</v>
      </c>
      <c r="J228" s="110">
        <v>1002849103</v>
      </c>
      <c r="K228" s="43" t="s">
        <v>852</v>
      </c>
      <c r="L228" s="175" t="s">
        <v>1509</v>
      </c>
      <c r="M228" s="22">
        <v>37193</v>
      </c>
      <c r="N228" s="213">
        <f t="shared" ca="1" si="839"/>
        <v>22.027397260273972</v>
      </c>
      <c r="O228" s="22">
        <v>45146</v>
      </c>
      <c r="P228" s="214" t="str">
        <f t="shared" si="916"/>
        <v>SI</v>
      </c>
      <c r="Q228" s="26" t="s">
        <v>855</v>
      </c>
      <c r="R228" s="22">
        <v>45146</v>
      </c>
      <c r="S228" s="21" t="s">
        <v>856</v>
      </c>
      <c r="T228" s="24" t="s">
        <v>690</v>
      </c>
      <c r="U228" s="21" t="s">
        <v>857</v>
      </c>
      <c r="V228" s="21" t="s">
        <v>858</v>
      </c>
      <c r="W228" s="21" t="s">
        <v>1341</v>
      </c>
      <c r="X228" s="21" t="s">
        <v>1341</v>
      </c>
      <c r="Y228" s="21"/>
      <c r="Z228" s="21" t="s">
        <v>894</v>
      </c>
      <c r="AA228" s="21" t="s">
        <v>860</v>
      </c>
      <c r="AB228" s="27" t="s">
        <v>861</v>
      </c>
      <c r="AC228" s="26" t="s">
        <v>862</v>
      </c>
      <c r="AD228" s="38" t="s">
        <v>1546</v>
      </c>
      <c r="AE228" s="26" t="s">
        <v>854</v>
      </c>
      <c r="AF228" s="26" t="s">
        <v>854</v>
      </c>
      <c r="AG228" s="23" t="s">
        <v>864</v>
      </c>
      <c r="AH228" s="23" t="s">
        <v>864</v>
      </c>
      <c r="AI228" s="24" t="s">
        <v>863</v>
      </c>
      <c r="AJ228" s="23" t="s">
        <v>864</v>
      </c>
      <c r="AK228" s="220" t="str">
        <f>IF(AND(AD228="",AE228="",AF228="",AG228="",AH228="",AI228="",AJ228=""),"",IF(OR(Tabla1[[#This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EVALUACIÓN",IF(AND(O228="",R228=""),"",IF(AND(OR(O228&gt;0,R228&gt;0),NG228&gt;=0,NG228&lt;2),"SIN RIESGO",IF(AND(OR(O228&gt;0,R228&gt;0),NG228&gt;=2),"CON RIESGO","ASD")))))</f>
        <v>SIN RIESGO</v>
      </c>
      <c r="AL228" s="26" t="s">
        <v>864</v>
      </c>
      <c r="AM228" s="26" t="s">
        <v>864</v>
      </c>
      <c r="AN228" s="26" t="s">
        <v>864</v>
      </c>
      <c r="AO228" s="26" t="s">
        <v>864</v>
      </c>
      <c r="AP228" s="26" t="s">
        <v>864</v>
      </c>
      <c r="AQ228" s="26" t="s">
        <v>864</v>
      </c>
      <c r="AR228" s="26" t="s">
        <v>864</v>
      </c>
      <c r="AS228" s="21">
        <v>1</v>
      </c>
      <c r="AT228" s="21">
        <v>0</v>
      </c>
      <c r="AU228" s="21">
        <v>0</v>
      </c>
      <c r="AV228" s="26" t="s">
        <v>864</v>
      </c>
      <c r="AW228" s="21">
        <v>0</v>
      </c>
      <c r="AX228" s="26" t="s">
        <v>864</v>
      </c>
      <c r="AY228" s="26" t="s">
        <v>864</v>
      </c>
      <c r="AZ228" s="26" t="s">
        <v>864</v>
      </c>
      <c r="BA228" s="26" t="s">
        <v>864</v>
      </c>
      <c r="BB228" s="26" t="s">
        <v>864</v>
      </c>
      <c r="BC228" s="26" t="s">
        <v>864</v>
      </c>
      <c r="BD228" s="26" t="s">
        <v>864</v>
      </c>
      <c r="BE228" s="26" t="s">
        <v>864</v>
      </c>
      <c r="BF228" s="26" t="s">
        <v>864</v>
      </c>
      <c r="BG228" s="26" t="s">
        <v>864</v>
      </c>
      <c r="BH228" s="26" t="s">
        <v>864</v>
      </c>
      <c r="BI228" s="26" t="s">
        <v>864</v>
      </c>
      <c r="BJ228" s="26" t="s">
        <v>864</v>
      </c>
      <c r="BK228" s="26" t="s">
        <v>864</v>
      </c>
      <c r="BL228" s="26" t="s">
        <v>864</v>
      </c>
      <c r="BM228" s="26" t="s">
        <v>864</v>
      </c>
      <c r="BN228" s="22">
        <v>44511</v>
      </c>
      <c r="BO228" s="22">
        <v>45067</v>
      </c>
      <c r="BP228" s="21" t="s">
        <v>854</v>
      </c>
      <c r="BQ228" s="222">
        <f t="shared" si="840"/>
        <v>18.533333333333335</v>
      </c>
      <c r="BR228" s="223">
        <f t="shared" si="841"/>
        <v>45067.8</v>
      </c>
      <c r="BS228" s="224">
        <f t="shared" si="842"/>
        <v>11.285714285714286</v>
      </c>
      <c r="BT228" s="216" t="str">
        <f t="shared" si="843"/>
        <v>II TRIM</v>
      </c>
      <c r="BU228" s="214">
        <f t="shared" ca="1" si="925"/>
        <v>23.714285714285715</v>
      </c>
      <c r="BV228" s="25" t="s">
        <v>988</v>
      </c>
      <c r="BW228" s="22">
        <v>45149</v>
      </c>
      <c r="BX228" s="28">
        <v>11.6</v>
      </c>
      <c r="BY228" s="28"/>
      <c r="BZ228" s="22"/>
      <c r="CA228" s="21"/>
      <c r="CB228" s="26" t="s">
        <v>864</v>
      </c>
      <c r="CC228" s="26" t="s">
        <v>864</v>
      </c>
      <c r="CD228" s="26" t="s">
        <v>865</v>
      </c>
      <c r="CE228" s="26" t="s">
        <v>864</v>
      </c>
      <c r="CF228" s="22" t="s">
        <v>1517</v>
      </c>
      <c r="CG228" s="21">
        <v>1.49</v>
      </c>
      <c r="CH228" s="21">
        <v>52</v>
      </c>
      <c r="CI228" s="214">
        <f t="shared" si="845"/>
        <v>23.422368361785505</v>
      </c>
      <c r="CJ228" s="225" t="e">
        <f>IF(AND(CI228&lt;10,CH228="SD"),"SIN DATO PESO PREGESTACION O I TRIM",IF(AND(OR(R228&gt;0,O228&gt;0),CI228="X"),"INGRESAR DATO DE PESO",IF(CI228="SD","INGRESAR DATO DE TALLA Y PESO",IF(AND(OR(Tabla1[[#This Row],[MOMENTO EN QUE SE REALIZA EL PESO AL INGRESO A CPN]]="PREGESTACIÓN",NZ228="Menor"),CI228&lt;18.5),"BAJO PESO",IF(AND(OR(Tabla1[[#This Row],[MOMENTO EN QUE SE REALIZA EL PESO AL INGRESO A CPN]]="PREGESTACIÓN",NZ228="Menor"),CI228&lt;25),"NORMAL",IF(AND(OR(Tabla1[[#This Row],[MOMENTO EN QUE SE REALIZA EL PESO AL INGRESO A CPN]]="PREGESTACIÓN",NZ228="Menor"),CI228&lt;30),"SOBREPESO",IF(AND(OR(Tabla1[[#This Row],[MOMENTO EN QUE SE REALIZA EL PESO AL INGRESO A CPN]]="PREGESTACIÓN",NZ228="Menor"),CI228&gt;=30,CI228&lt;50),"OBESIDAD",IF(AND(BS228&gt;0,Tabla1[[#This Row],[MOMENTO EN QUE SE REALIZA EL PESO AL INGRESO A CPN]]="GESTACIÓN"),HLOOKUP(NZ228,$OA$2:PH228,NY228),""))))))))</f>
        <v>#REF!</v>
      </c>
      <c r="CK228" s="212">
        <f t="shared" si="846"/>
        <v>45146</v>
      </c>
      <c r="CL228" s="21">
        <v>52</v>
      </c>
      <c r="CM228" s="214">
        <f t="shared" si="847"/>
        <v>23.422368361785505</v>
      </c>
      <c r="CN228" s="216">
        <f t="shared" si="848"/>
        <v>11</v>
      </c>
      <c r="CO228" s="216" t="e">
        <f>IF(PI228="","",IF(PI228&gt;0,HLOOKUP(PI228,$PJ$2:QQ228,NY228),""))</f>
        <v>#REF!</v>
      </c>
      <c r="CP228" s="21"/>
      <c r="CQ228" s="216" t="str">
        <f>IF(QR228="Menor","NO APLICA-MENOR 13 SEM",IF(AND(CC228="SI",CN228&gt;23),"NO APLICA- GEMELAR",IF(QR228="","",IF(QR228&gt;0,HLOOKUP(QR228,$QS$2:RU228,NY228),""))))</f>
        <v>NO APLICA-MENOR 13 SEM</v>
      </c>
      <c r="CR228" s="21">
        <v>90</v>
      </c>
      <c r="CS228" s="21">
        <v>70</v>
      </c>
      <c r="CT228" s="217" t="str">
        <f>IF(R228="","",IF(AND(BS228&gt;1,BS228&lt;12,Tabla1[[#This Row],[T.A. SISTOLICA - ANTES DE SEMANA 12]]="",Tabla1[[#This Row],[T.A. DIASTOLICA - ANTES DE SEMANA 12]]=""),"REGISTRE DATO TA ANTES SEMANA 12",IF(AND(BS228&gt;11,BS228&lt;43,Tabla1[[#This Row],[T.A. SISTOLICA - ANTES DE SEMANA 12]]="",Tabla1[[#This Row],[T.A. DIASTOLICA - ANTES DE SEMANA 12]]=""),"NO APLICA REGISTRO TA-INGRESO TARDIO",IF(AND(OR(O228&gt;0,R228&gt;0),OR(CR228&gt;=140,CS228&gt;=90)),"DEFINIR ESTADIO HTA",IF(AND(OR(O228&gt;0,R228&gt;0),AND(CR228&gt;120,CR228&lt;=139)),"PRE HTA SEGUIMIENTO",IF(AND(OR(O228&gt;0,R228&gt;0),AND(CS228&gt;80,CS228&lt;=89)),"PRE HTA SEGUIMIENTO",IF(AND(OR(O228&gt;0,R228&gt;0),AND(CR228&gt;=80,CR228&lt;=120)),"APARENTEMENTE NORMAL",IF(AND(OR(O228&gt;0,R228&gt;0),AND(CS228&gt;=50,CS228&lt;=80)),"APARENTEMENTE NORMAL",IF(AND(OR(O228&gt;0,R228&gt;0),AND(CR228&gt;1,CR228&lt;=70),AND(CS228&gt;1,CS228&lt;=40)),"HIPOTENSIÓN","")))))))))</f>
        <v>APARENTEMENTE NORMAL</v>
      </c>
      <c r="CU228" s="21"/>
      <c r="CV228" s="21"/>
      <c r="CW228" s="217" t="str">
        <f ca="1">IF(R228="","",IF(AND(CN228&gt;19,CN228&lt;27,Tabla1[[#This Row],[T.A. SISTOLICA (Entre semana 20 y 26)]]="",Tabla1[[#This Row],[T.A. DIATOLICA (Entre semana 20 y 26)]]=""),"ACUDE A CONTROL SEM 20 A 26 REGISTRE TA AHORA",IF(AND(BS228&gt;1,BS228&lt;27,BU228&gt;19,Tabla1[[#This Row],[T.A. SISTOLICA (Entre semana 20 y 26)]]="",Tabla1[[#This Row],[T.A. DIATOLICA (Entre semana 20 y 26)]]=""),"COMPLETE REGISTRO TA CONTROL SEM 20 A26 ",IF(AND(BS228&gt;26,BS228&lt;43,Tabla1[[#This Row],[T.A. SISTOLICA (Entre semana 20 y 26)]]="",Tabla1[[#This Row],[T.A. DIATOLICA (Entre semana 20 y 26)]]=""),"NO APLICA REGISTRO TA-INGRESO TARDIO",IF(AND(OR(O228&gt;0,R228&gt;0),OR(CU228&gt;=140,CV228&gt;=90)),"ALTO RIESGO PREECLAMPSIA,DEFINIR ESTADIO HTA",IF(AND(OR(O228&gt;0,R228&gt;0),AND(CU228&gt;120,CU228&lt;=139)),"PRE HTA SEGUIMIENTO,RIESGO HIPERTENSION INDUCIDA POR EL EMBARAZO",IF(AND(OR(O228&gt;0,R228&gt;0),AND(CV228&gt;80,CV228&lt;=89)),"PRE HTA SEGUIMIENTO, RIESGO HIPERTENSION INDUCIDA POR EL EMBARAZO",IF(AND(OR(O228&lt;&gt;"",R228&lt;&gt;""),CS228&lt;&gt;"",CV228&lt;&gt;"",CS228&lt;=CV228),"VIGILAR CIFRAS PRESION ARTERIAL",IF(AND(OR(O228&gt;0,R228&gt;0),AND(CU228&gt;120,CU228&lt;=139)),"PRE HTA SEGUIMIENTO",IF(AND(OR(O228&gt;0,R228&gt;0),AND(CU228&gt;1,CU228&lt;=70),AND(CV228&gt;1,CV228&lt;=40)),"HIPOTENSIÓN",IF(AND(OR(O228&lt;&gt;"",R228&lt;&gt;""),CS228&lt;&gt;"",CV228&lt;&gt;"",CS228&gt;CV228),"APARENTEMENTE NORMAL",IF(AND(OR(O228&gt;0,R228&gt;0),AND(CU228&gt;=80,CU228&lt;=120)),"APARENTEMENTE NORMAL",IF(AND(OR(O228&gt;0,R228&gt;0),AND(CV228&gt;=50,CV228&lt;=80)),"APARENTEMENTE NORMAL","")))))))))))))</f>
        <v xml:space="preserve">COMPLETE REGISTRO TA CONTROL SEM 20 A26 </v>
      </c>
      <c r="CX228" s="21"/>
      <c r="CY228" s="21"/>
      <c r="CZ228" s="216" t="str">
        <f t="shared" si="1042"/>
        <v/>
      </c>
      <c r="DA228" s="21">
        <v>90</v>
      </c>
      <c r="DB228" s="21">
        <v>70</v>
      </c>
      <c r="DC228" s="217" t="str">
        <f t="shared" si="849"/>
        <v>APARENTEMENTE NORMAL</v>
      </c>
      <c r="DD228" s="22">
        <v>45146</v>
      </c>
      <c r="DE228" s="22">
        <v>45146</v>
      </c>
      <c r="DF228" s="22"/>
      <c r="DG228" s="22"/>
      <c r="DH228" s="22"/>
      <c r="DI228" s="22"/>
      <c r="DJ228" s="22"/>
      <c r="DK228" s="22"/>
      <c r="DL228" s="22"/>
      <c r="DM228" s="22"/>
      <c r="DN228" s="22"/>
      <c r="DO228" s="22"/>
      <c r="DP228" s="22"/>
      <c r="DQ228" s="22"/>
      <c r="DR228" s="28"/>
      <c r="DS228" s="22"/>
      <c r="DT228" s="22"/>
      <c r="DU228" s="216" t="str">
        <f t="shared" ca="1" si="917"/>
        <v>EN ESPERA</v>
      </c>
      <c r="DV228" s="226" t="str">
        <f t="shared" si="918"/>
        <v>ACTIVA INGRESO A CPN</v>
      </c>
      <c r="DW22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8" s="216" t="e">
        <f t="shared" ca="1" si="850"/>
        <v>#REF!</v>
      </c>
      <c r="DY228" s="212">
        <f>IF(R228="","",IF(R228&gt;0,MAX(Tabla1[[#This Row],[FECHA C2]:[FECHA C13]],Tabla1[[#This Row],[FECHA CONSULTA PRIMERA VEZ PROGRAMA CPN ]])))</f>
        <v>45146</v>
      </c>
      <c r="DZ228" s="216">
        <f t="shared" si="851"/>
        <v>11</v>
      </c>
      <c r="EA228" s="222">
        <f>IF(R228&gt;0,SUM(COUNTA(DF228:DQ228)+COUNTA(Tabla1[[#This Row],[FECHA CONSULTA PRIMERA VEZ PROGRAMA CPN ]])),"")</f>
        <v>1</v>
      </c>
      <c r="EB228" s="222" t="str">
        <f t="shared" si="852"/>
        <v>NO</v>
      </c>
      <c r="EC228" s="214">
        <f t="shared" si="853"/>
        <v>9</v>
      </c>
      <c r="ED228" s="227">
        <f t="shared" si="854"/>
        <v>0.1111111111111111</v>
      </c>
      <c r="EE228" s="22">
        <v>45146</v>
      </c>
      <c r="EF228" s="22"/>
      <c r="EG228" s="22">
        <v>45146</v>
      </c>
      <c r="EH228" s="22"/>
      <c r="EI228" s="22">
        <v>45146</v>
      </c>
      <c r="EJ228" s="22"/>
      <c r="EK228" s="22"/>
      <c r="EL228" s="21"/>
      <c r="EM228" s="21">
        <v>14</v>
      </c>
      <c r="EN228" s="22">
        <v>45149</v>
      </c>
      <c r="EO228" s="222">
        <f t="shared" si="855"/>
        <v>11.714285714285714</v>
      </c>
      <c r="EP228" s="214" t="str">
        <f t="shared" si="856"/>
        <v>NORMAL- SUMINISTRAR SULFATO FERROSO</v>
      </c>
      <c r="EQ228" s="216" t="str">
        <f t="shared" si="857"/>
        <v>I TRIM</v>
      </c>
      <c r="ER228" s="24"/>
      <c r="ES228" s="22"/>
      <c r="ET228" s="29" t="str">
        <f t="shared" ca="1" si="919"/>
        <v>PROGRAMAR TOMA HEMOGLOBINA A SEM 28</v>
      </c>
      <c r="EU228" s="25" t="str">
        <f t="shared" si="858"/>
        <v/>
      </c>
      <c r="EV228" s="24" t="s">
        <v>1510</v>
      </c>
      <c r="EW228" s="32">
        <v>45149</v>
      </c>
      <c r="EX228" s="22"/>
      <c r="EY228" s="29">
        <f t="shared" si="1040"/>
        <v>11.714285714285714</v>
      </c>
      <c r="EZ228" s="25" t="str">
        <f t="shared" si="1041"/>
        <v>SIN RIESGO DE ISOINMUNIZACIÓN</v>
      </c>
      <c r="FA228" s="21">
        <v>66</v>
      </c>
      <c r="FB228" s="22">
        <v>45149</v>
      </c>
      <c r="FC228" s="29">
        <f t="shared" si="859"/>
        <v>11.714285714285714</v>
      </c>
      <c r="FD228" s="29"/>
      <c r="FE228" s="29"/>
      <c r="FF228" s="29"/>
      <c r="FG228" s="21" t="str">
        <f t="shared" ca="1" si="860"/>
        <v>PROGRAMAR TOMA PTOG SIGUIENTE CONTROL</v>
      </c>
      <c r="FH228" s="31"/>
      <c r="FI228" s="29" t="str">
        <f t="shared" si="861"/>
        <v>TOMAR EXAMEN</v>
      </c>
      <c r="FJ228" s="22" t="s">
        <v>867</v>
      </c>
      <c r="FK228" s="22">
        <v>45149</v>
      </c>
      <c r="FL228" s="29">
        <f t="shared" ca="1" si="862"/>
        <v>11.714285714285714</v>
      </c>
      <c r="FM228" s="22"/>
      <c r="FN228" s="22"/>
      <c r="FO228" s="29" t="str">
        <f t="shared" ca="1" si="920"/>
        <v>EN RANGO PARA TOMAR EXAMEN</v>
      </c>
      <c r="FP228" s="22"/>
      <c r="FQ228" s="32"/>
      <c r="FR228" s="29" t="str">
        <f t="shared" ca="1" si="921"/>
        <v>EN ESPERA-ESTÁ I TRIM O II TRIM</v>
      </c>
      <c r="FS228" s="22"/>
      <c r="FT228" s="32"/>
      <c r="FU228" s="29" t="str">
        <f>IF(AND(FJ228="",FM228="",FP228="",FS228=""),"",IF(OR(OR(Tabla1[[#This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8" s="28"/>
      <c r="FW228" s="22"/>
      <c r="FX228" s="29" t="str">
        <f t="shared" si="863"/>
        <v>TOMAR EXAMEN</v>
      </c>
      <c r="FY228" s="22" t="s">
        <v>868</v>
      </c>
      <c r="FZ228" s="22">
        <v>45149</v>
      </c>
      <c r="GA228" s="29">
        <f t="shared" ca="1" si="936"/>
        <v>11.714285714285714</v>
      </c>
      <c r="GB228" s="22"/>
      <c r="GC228" s="22"/>
      <c r="GD228" s="29" t="str">
        <f t="shared" ca="1" si="937"/>
        <v>EN RANGO PARA TOMAR EXAMEN</v>
      </c>
      <c r="GE228" s="22"/>
      <c r="GF228" s="22"/>
      <c r="GG228" s="29" t="str">
        <f t="shared" ca="1" si="923"/>
        <v>EN ESPERA-ESTÁ I TRIM O II TRIM</v>
      </c>
      <c r="GH228" s="22"/>
      <c r="GI228" s="29"/>
      <c r="GJ228" s="22"/>
      <c r="GK228" s="22"/>
      <c r="GL228" s="22"/>
      <c r="GM228" s="22"/>
      <c r="GN228" s="28" t="s">
        <v>869</v>
      </c>
      <c r="GO228" s="22">
        <v>45149</v>
      </c>
      <c r="GP228" s="29">
        <f t="shared" si="864"/>
        <v>11.714285714285714</v>
      </c>
      <c r="GQ228" s="28" t="s">
        <v>869</v>
      </c>
      <c r="GR228" s="28" t="s">
        <v>869</v>
      </c>
      <c r="GS228" s="22" t="str">
        <f t="shared" si="1044"/>
        <v>CONTROL Igm</v>
      </c>
      <c r="GT228" s="22">
        <v>45149</v>
      </c>
      <c r="GU228" s="29">
        <f t="shared" si="865"/>
        <v>11.714285714285714</v>
      </c>
      <c r="GV228" s="21" t="str">
        <f t="shared" si="866"/>
        <v>I TRIM</v>
      </c>
      <c r="GW228" s="28"/>
      <c r="GX228" s="30"/>
      <c r="GY228" s="21"/>
      <c r="GZ228" s="21"/>
      <c r="HA228" s="21"/>
      <c r="HB228" s="21"/>
      <c r="HC228" s="21"/>
      <c r="HD228" s="21"/>
      <c r="HE228" s="21"/>
      <c r="HF228" s="22"/>
      <c r="HG228" s="22" t="str">
        <f>IF(OR(O228&gt;0,R228&gt;0),CONCATENATE(IF(Tabla1[[#This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8" s="22" t="e">
        <f t="shared" si="867"/>
        <v>#REF!</v>
      </c>
      <c r="HI228" s="22" t="e">
        <f t="shared" ca="1" si="868"/>
        <v>#REF!</v>
      </c>
      <c r="HJ228" s="21"/>
      <c r="HK228" s="21" t="str">
        <f t="shared" si="869"/>
        <v>SIN ANTECEDENTES DE RIESGO</v>
      </c>
      <c r="HL228" s="24" t="str">
        <f t="shared" si="870"/>
        <v>APARENTEMENTE NORMAL</v>
      </c>
      <c r="HM228" s="21" t="e">
        <f t="shared" ca="1" si="871"/>
        <v>#REF!</v>
      </c>
      <c r="HN228" s="30" t="str">
        <f t="shared" si="924"/>
        <v>ACTIVA INGRESO A CPN</v>
      </c>
      <c r="HO228" s="21"/>
      <c r="HP228" s="21"/>
      <c r="HQ228" s="349"/>
      <c r="HR228" s="21" t="str">
        <f>IF(R228="","",IF(Tabla1[[#This Row],[ALARMA FACTORES DE RIESGO COMPLICACIONES HIPERTENSIVAS3]]="SIN ANTECEDENTES DE RIESGO","No Aplica para suministro de ASA",IF(AND(Tabla1[[#This Row],[FECHA INICIO DE SUMINISTRO DE ASA]]&gt;0,RV228&lt;12),"Inicia ASA ANTES de Sem 12",IF(AND(RV228&gt;11,RV228&lt;17,OR(HK228="RIESGO ALTO DE COMPLICACIONES HIPERTENSIVAS VER MANEJO GUIA SUMINISTRO ASA Y CALCIO",HK228="RIESGO MODERADO (2 O MAS CRITERIOS) VER MANEJO GUIA SUMINISTRO ASA Y CALCIO")),"Inicio oportuno de ASA",IF(AND(RV228&gt;12,OR(HK228="RIESGO ALTO DE COMPLICACIONES HIPERTENSIVAS VER MANEJO GUIA SUMINISTRO ASA Y CALCIO",HK228="RIESGO MODERADO (2 O MAS CRITERIOS) VER MANEJO GUIA SUMINISTRO ASA Y CALCIO")),"Inicio no oportuno mayor a 16 semanas",IF(AND(BU228&lt;12,OR(HK228="RIESGO ALTO DE COMPLICACIONES HIPERTENSIVAS VER MANEJO GUIA SUMINISTRO ASA Y CALCIO",HK228="RIESGO MODERADO (2 O MAS CRITERIOS) VER MANEJO GUIA SUMINISTRO ASA Y CALCIO")),"Pendiente Inicio de ASA a la semana 12",IF(AND(BU228&gt;11,BU228&lt;17,OR(HK228="RIESGO ALTO DE COMPLICACIONES HIPERTENSIVAS VER MANEJO GUIA SUMINISTRO ASA Y CALCIO",HK228="RIESGO MODERADO (2 O MAS CRITERIOS) VER MANEJO GUIA SUMINISTRO ASA Y CALCIO")),"Iniciar de inmediato ASA",IF(AND(BU228&gt;16,OR(HK228="RIESGO ALTO DE COMPLICACIONES HIPERTENSIVAS VER MANEJO GUIA SUMINISTRO ASA Y CALCIO",HK228="RIESGO MODERADO (2 O MAS CRITERIOS) VER MANEJO GUIA SUMINISTRO ASA Y CALCIO")),"Pierde Oportunidad, Inicio tardío de ASA","XXXXX"))))))))</f>
        <v>No Aplica para suministro de ASA</v>
      </c>
      <c r="HS228" s="22"/>
      <c r="HT228" s="22"/>
      <c r="HU228" s="22">
        <v>45146</v>
      </c>
      <c r="HV228" s="22" t="s">
        <v>1544</v>
      </c>
      <c r="HW228" s="22">
        <v>45146</v>
      </c>
      <c r="HX228" s="22" t="s">
        <v>1511</v>
      </c>
      <c r="HY228" s="22"/>
      <c r="HZ228" s="28" t="str">
        <f t="shared" si="872"/>
        <v>PENDIENTE CONSULTA</v>
      </c>
      <c r="IA228" s="26"/>
      <c r="IB228" s="26"/>
      <c r="IC228" s="111"/>
      <c r="ID228" s="22"/>
      <c r="IE228" s="22" t="str">
        <f t="shared" ca="1" si="873"/>
        <v>PROGRAMAR APLICACION DE VACUNA</v>
      </c>
      <c r="IF228" s="22"/>
      <c r="IG228" s="22">
        <f t="shared" si="874"/>
        <v>45347</v>
      </c>
      <c r="IH228" s="29">
        <f t="shared" ca="1" si="875"/>
        <v>114</v>
      </c>
      <c r="II228" s="22" t="str">
        <f t="shared" ca="1" si="876"/>
        <v>PENDIENTE</v>
      </c>
      <c r="IJ228" s="22"/>
      <c r="IK228" s="21"/>
      <c r="IL228" s="21"/>
      <c r="IM228" s="34"/>
      <c r="IN228" s="22"/>
      <c r="IO228" s="21"/>
      <c r="IP228" s="29" t="str">
        <f t="shared" si="877"/>
        <v/>
      </c>
      <c r="IQ228" s="35"/>
      <c r="IR228" s="21"/>
      <c r="IS228" s="21"/>
      <c r="IT228" s="21"/>
      <c r="IU228" s="21"/>
      <c r="IV228" s="21"/>
      <c r="IW228" s="21"/>
      <c r="IX228" s="21"/>
      <c r="IY228" s="21"/>
      <c r="IZ228" s="21"/>
      <c r="JA228" s="21"/>
      <c r="JB228" s="30"/>
      <c r="JC228" s="21"/>
      <c r="JD228" s="36"/>
      <c r="JE228" s="21" t="str">
        <f t="shared" si="878"/>
        <v/>
      </c>
      <c r="JF228" s="30"/>
      <c r="JG228" s="21"/>
      <c r="JH228" s="21"/>
      <c r="JI228" s="21"/>
      <c r="JJ228" s="30"/>
      <c r="JK228" s="22"/>
      <c r="JL228" s="22"/>
      <c r="JM228" s="21"/>
      <c r="JN228" s="36"/>
      <c r="JO228" s="21" t="str">
        <f t="shared" si="879"/>
        <v/>
      </c>
      <c r="JP228" s="22"/>
      <c r="JQ228" s="21"/>
      <c r="JR228" s="21"/>
      <c r="JS228" s="21"/>
      <c r="JT228" s="30"/>
      <c r="JU228" s="22"/>
      <c r="JV228" s="22"/>
      <c r="JW228" s="33"/>
      <c r="JX228" s="28" t="str">
        <f t="shared" si="880"/>
        <v/>
      </c>
      <c r="JY228" s="159"/>
      <c r="JZ228" s="28" t="str">
        <f t="shared" si="881"/>
        <v/>
      </c>
      <c r="KA228" s="21"/>
      <c r="KB228" s="21"/>
      <c r="KC228" s="21"/>
      <c r="KD228" s="37"/>
      <c r="KE228" s="28"/>
      <c r="KF228" s="28"/>
      <c r="KG228" s="28"/>
      <c r="KH228" s="39"/>
      <c r="KI228" s="39"/>
      <c r="KJ228" s="66"/>
      <c r="KK228" s="39"/>
      <c r="KL228" s="39"/>
      <c r="KM228" s="66"/>
      <c r="KN228" s="39"/>
      <c r="KO228" s="39"/>
      <c r="KP228" s="39"/>
      <c r="KQ228" s="39"/>
      <c r="KR228" s="39"/>
      <c r="KS228" s="39"/>
      <c r="KT228" s="39"/>
      <c r="KU228" s="38"/>
      <c r="KV228" s="38"/>
      <c r="KW228" s="38"/>
      <c r="KX228" s="38"/>
      <c r="KY228" s="38"/>
      <c r="KZ228" s="38"/>
      <c r="LA228" s="38"/>
      <c r="LB228" s="38"/>
      <c r="LC228" s="38"/>
      <c r="LD228" s="38"/>
      <c r="LE228" s="38"/>
      <c r="LF228" s="38"/>
      <c r="LG228" s="38"/>
      <c r="LH228" s="38"/>
      <c r="LI228" s="38"/>
      <c r="LJ228" s="38"/>
      <c r="LK228" s="38"/>
      <c r="LL228" s="38"/>
      <c r="LM228" s="38"/>
      <c r="LN228" s="38"/>
      <c r="LO228" s="38"/>
      <c r="LP228" s="38"/>
      <c r="LQ228" s="38"/>
      <c r="LR228" s="38"/>
      <c r="LS228" s="38"/>
      <c r="LT228" s="38"/>
      <c r="LU228" s="38"/>
      <c r="LV228" s="38"/>
      <c r="LW228" s="38"/>
      <c r="LX228" s="38"/>
      <c r="LY228" s="38"/>
      <c r="LZ228" s="38"/>
      <c r="MA228" s="38"/>
      <c r="MB228" s="38"/>
      <c r="MC228" s="38"/>
      <c r="MD228" s="38"/>
      <c r="ME228" s="38"/>
      <c r="MF228" s="38"/>
      <c r="MG228" s="38"/>
      <c r="MH228" s="43">
        <f t="shared" si="882"/>
        <v>0</v>
      </c>
      <c r="MI228" s="43" t="str">
        <f t="shared" si="926"/>
        <v/>
      </c>
      <c r="MJ228" s="43" t="str">
        <f t="shared" si="884"/>
        <v/>
      </c>
      <c r="MK228" s="43">
        <f t="shared" si="885"/>
        <v>0</v>
      </c>
      <c r="ML22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8" s="43">
        <f t="shared" si="927"/>
        <v>11.285714285714286</v>
      </c>
      <c r="MN228" s="43">
        <f t="shared" si="928"/>
        <v>8</v>
      </c>
      <c r="MO228" s="43">
        <f t="shared" si="929"/>
        <v>2023</v>
      </c>
      <c r="MP228" s="43" t="str">
        <f t="shared" si="889"/>
        <v>III TRIMESTRE AÑO</v>
      </c>
      <c r="MQ228" s="43">
        <f t="shared" si="930"/>
        <v>21.460249671484888</v>
      </c>
      <c r="MR228" s="43">
        <f t="shared" si="891"/>
        <v>0</v>
      </c>
      <c r="MS228" s="43" t="str">
        <f t="shared" si="892"/>
        <v xml:space="preserve"> DE 20 A 24 AÑOS</v>
      </c>
      <c r="MT228" s="43">
        <f t="shared" si="893"/>
        <v>0</v>
      </c>
      <c r="MU228" s="43">
        <f t="shared" si="894"/>
        <v>1</v>
      </c>
      <c r="MV228" s="43">
        <f t="shared" si="895"/>
        <v>0</v>
      </c>
      <c r="MW228" s="43">
        <f t="shared" si="896"/>
        <v>0</v>
      </c>
      <c r="MX228" s="43" t="str">
        <f t="shared" si="897"/>
        <v/>
      </c>
      <c r="MY228" s="43" t="str">
        <f t="shared" ca="1" si="898"/>
        <v/>
      </c>
      <c r="MZ228" s="43" t="str">
        <f t="shared" si="899"/>
        <v/>
      </c>
      <c r="NA228" s="43">
        <f t="shared" si="900"/>
        <v>0</v>
      </c>
      <c r="NB228" s="43" t="str">
        <f t="shared" si="901"/>
        <v/>
      </c>
      <c r="NC228" s="43" t="str">
        <f t="shared" si="902"/>
        <v/>
      </c>
      <c r="ND228" s="43">
        <f t="shared" ca="1" si="931"/>
        <v>1</v>
      </c>
      <c r="NE228" s="43">
        <f>IF(OR(O228&gt;0,R228&gt;0),SUM(COUNTIF(Tabla1[[#This Row],[AÑOS AL INICIO5 CPN]],"&gt;=40"),COUNTIF(AS228,"0"),COUNTIF(AR228,"SI"),COUNTIF(CC228,"SI"),COUNTIF(BQ228,"&gt;119"),COUNTIF(CI228,"&gt;=35")),"")</f>
        <v>0</v>
      </c>
      <c r="NF228" s="43" t="str">
        <f t="shared" si="932"/>
        <v/>
      </c>
      <c r="NG228" s="43">
        <f t="shared" si="905"/>
        <v>0</v>
      </c>
      <c r="NH228" s="43">
        <f t="shared" si="906"/>
        <v>81.2</v>
      </c>
      <c r="NI22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CPN",P228="NO"),"Z",IF(AND(Tabla1[[#This Row],[CITA PROXIMO CONTROL]]="CITA MANUAL",Tabla1[[#This Row],[GESTANTES ACTUALES]]="ACTIVA INGRESO A CPN"),"W",IF(AND(Tabla1[[#This Row],[GESTANTES ACTUALES]]="SALIO PROGRAMA",IN228=""),"S",IF(AND(Tabla1[[#This Row],[CITA PROXIMO CONTROL]]&gt;0,IN228=""),(Tabla1[[#This Row],[CITA PROXIMO CONTROL]]-TODAY()),"SD"))))))))</f>
        <v>#REF!</v>
      </c>
      <c r="NJ228" s="43">
        <f>MONTH(Tabla1[[#This Row],[FECHA DE SALIDA  DEL PROGRAMA]])</f>
        <v>1</v>
      </c>
      <c r="NK228" s="43">
        <f>YEAR(Tabla1[[#This Row],[FECHA DE SALIDA  DEL PROGRAMA]])</f>
        <v>1900</v>
      </c>
      <c r="NL228" s="43" t="str">
        <f t="shared" si="933"/>
        <v>X</v>
      </c>
      <c r="NM228" s="43" t="str">
        <f t="shared" si="938"/>
        <v>NO</v>
      </c>
      <c r="NN228" s="43" t="str">
        <f ca="1">IF(AND(O228&gt;0,R228=""),"NO CPN",IF(AND(O228="",R228=""),"",IF(AND(R228&gt;0,Tabla1[[#This Row],[SEMANAS DE GESTACION ACTUALIZADAS]]&lt;=12),"NO APLICA",IF(AND(FH228&lt;&gt;"",FN228&lt;&gt;""),"SI","NO"))))</f>
        <v>NO</v>
      </c>
      <c r="NO228" s="43" t="str">
        <f ca="1">IF(AND(O228&gt;0,R228=""),"NO CPN",IF(AND(O228="",R228=""),"",IF(AND(R228&gt;0,Tabla1[[#This Row],[SEMANAS DE GESTACION ACTUALIZADAS]]&lt;=27),"NO APLICA",IF(AND(ES228&lt;&gt;"",FQ228&lt;&gt;"",GF228&lt;&gt;""),"SI","NO"))))</f>
        <v>NO APLICA</v>
      </c>
      <c r="NP228" s="204" t="str">
        <f t="shared" si="909"/>
        <v>I TRIM</v>
      </c>
      <c r="NQ228" s="21" t="str">
        <f t="shared" si="1043"/>
        <v/>
      </c>
      <c r="NR228" s="21">
        <f t="shared" ca="1" si="934"/>
        <v>2</v>
      </c>
      <c r="NS228" s="205">
        <f t="shared" ca="1" si="911"/>
        <v>1</v>
      </c>
      <c r="NT228" s="21">
        <f t="shared" ca="1" si="912"/>
        <v>1</v>
      </c>
      <c r="NU228" s="21" t="str">
        <f t="shared" ca="1" si="913"/>
        <v>INCOMPLETO</v>
      </c>
      <c r="NV228" s="21" t="str">
        <f t="shared" ca="1" si="914"/>
        <v>INCOMPLETO</v>
      </c>
      <c r="NW228" s="206" t="str">
        <f>IF(AND(O228="",R228=""),"",IF(OR(AND(Tabla1[[#This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8" s="207" t="str">
        <f t="shared" ca="1" si="935"/>
        <v>SIN VACUNAR</v>
      </c>
      <c r="NY228" s="43">
        <f>ROW(Tabla1[[#This Row],['# DE TAMIZAJES SIFILIS TOMADOS ]])</f>
        <v>228</v>
      </c>
      <c r="NZ228" s="43">
        <f t="shared" si="939"/>
        <v>11</v>
      </c>
      <c r="OA228" s="43" t="str">
        <f t="shared" si="940"/>
        <v/>
      </c>
      <c r="OB228" s="43" t="str">
        <f t="shared" si="941"/>
        <v/>
      </c>
      <c r="OC228" s="43" t="str">
        <f t="shared" si="942"/>
        <v>NORMAL</v>
      </c>
      <c r="OD228" s="43" t="str">
        <f t="shared" si="943"/>
        <v/>
      </c>
      <c r="OE228" s="43" t="str">
        <f t="shared" si="944"/>
        <v/>
      </c>
      <c r="OF228" s="43" t="str">
        <f t="shared" si="945"/>
        <v/>
      </c>
      <c r="OG228" s="43" t="str">
        <f t="shared" si="946"/>
        <v/>
      </c>
      <c r="OH228" s="43" t="str">
        <f t="shared" si="947"/>
        <v/>
      </c>
      <c r="OI228" s="43" t="str">
        <f t="shared" si="948"/>
        <v/>
      </c>
      <c r="OJ228" s="43" t="str">
        <f t="shared" si="949"/>
        <v/>
      </c>
      <c r="OK228" s="43" t="str">
        <f t="shared" si="950"/>
        <v/>
      </c>
      <c r="OL228" s="43" t="str">
        <f t="shared" si="951"/>
        <v/>
      </c>
      <c r="OM228" s="43" t="str">
        <f t="shared" si="952"/>
        <v/>
      </c>
      <c r="ON228" s="43" t="str">
        <f t="shared" si="953"/>
        <v/>
      </c>
      <c r="OO228" s="43" t="str">
        <f t="shared" si="954"/>
        <v/>
      </c>
      <c r="OP228" s="43" t="str">
        <f t="shared" si="955"/>
        <v/>
      </c>
      <c r="OQ228" s="43" t="str">
        <f t="shared" si="956"/>
        <v/>
      </c>
      <c r="OR228" s="43" t="str">
        <f t="shared" si="957"/>
        <v/>
      </c>
      <c r="OS228" s="43" t="str">
        <f t="shared" si="958"/>
        <v/>
      </c>
      <c r="OT228" s="43" t="str">
        <f t="shared" si="959"/>
        <v/>
      </c>
      <c r="OU228" s="43" t="str">
        <f t="shared" si="960"/>
        <v/>
      </c>
      <c r="OV228" s="110" t="str">
        <f t="shared" si="961"/>
        <v/>
      </c>
      <c r="OW228" s="43" t="str">
        <f t="shared" si="962"/>
        <v/>
      </c>
      <c r="OX228" s="43" t="str">
        <f t="shared" si="963"/>
        <v/>
      </c>
      <c r="OY228" s="43" t="str">
        <f t="shared" si="964"/>
        <v/>
      </c>
      <c r="OZ228" s="43" t="str">
        <f t="shared" si="965"/>
        <v/>
      </c>
      <c r="PA228" s="43" t="str">
        <f t="shared" si="966"/>
        <v/>
      </c>
      <c r="PB228" s="43" t="str">
        <f t="shared" si="967"/>
        <v/>
      </c>
      <c r="PC228" s="43" t="str">
        <f t="shared" si="968"/>
        <v/>
      </c>
      <c r="PD228" s="43" t="str">
        <f t="shared" si="969"/>
        <v/>
      </c>
      <c r="PE228" s="43" t="str">
        <f t="shared" si="970"/>
        <v/>
      </c>
      <c r="PF228" s="43" t="str">
        <f t="shared" si="971"/>
        <v/>
      </c>
      <c r="PG228" s="43" t="str">
        <f t="shared" si="972"/>
        <v/>
      </c>
      <c r="PH228" s="43" t="str">
        <f t="shared" si="973"/>
        <v/>
      </c>
      <c r="PI228" s="43">
        <f t="shared" si="974"/>
        <v>11</v>
      </c>
      <c r="PJ228" s="43" t="str">
        <f t="shared" si="975"/>
        <v/>
      </c>
      <c r="PK228" s="43" t="str">
        <f t="shared" si="976"/>
        <v/>
      </c>
      <c r="PL228" s="43" t="str">
        <f t="shared" si="977"/>
        <v>NORMAL</v>
      </c>
      <c r="PM228" s="43" t="str">
        <f t="shared" si="978"/>
        <v/>
      </c>
      <c r="PN228" s="43" t="str">
        <f t="shared" si="979"/>
        <v/>
      </c>
      <c r="PO228" s="43" t="str">
        <f t="shared" si="980"/>
        <v/>
      </c>
      <c r="PP228" s="43" t="str">
        <f t="shared" si="981"/>
        <v/>
      </c>
      <c r="PQ228" s="43" t="str">
        <f t="shared" si="982"/>
        <v/>
      </c>
      <c r="PR228" s="43" t="str">
        <f t="shared" si="983"/>
        <v/>
      </c>
      <c r="PS228" s="43" t="str">
        <f t="shared" si="984"/>
        <v/>
      </c>
      <c r="PT228" s="43" t="str">
        <f t="shared" si="985"/>
        <v/>
      </c>
      <c r="PU228" s="43" t="str">
        <f t="shared" si="986"/>
        <v/>
      </c>
      <c r="PV228" s="43" t="str">
        <f t="shared" si="987"/>
        <v/>
      </c>
      <c r="PW228" s="43" t="str">
        <f t="shared" si="988"/>
        <v/>
      </c>
      <c r="PX228" s="43" t="str">
        <f t="shared" si="989"/>
        <v/>
      </c>
      <c r="PY228" s="43" t="str">
        <f t="shared" si="990"/>
        <v/>
      </c>
      <c r="PZ228" s="43" t="str">
        <f t="shared" si="991"/>
        <v/>
      </c>
      <c r="QA228" s="43" t="str">
        <f t="shared" si="992"/>
        <v/>
      </c>
      <c r="QB228" s="43" t="str">
        <f t="shared" si="993"/>
        <v/>
      </c>
      <c r="QC228" s="43" t="str">
        <f t="shared" si="994"/>
        <v/>
      </c>
      <c r="QD228" s="43" t="str">
        <f t="shared" si="995"/>
        <v/>
      </c>
      <c r="QE228" s="43" t="str">
        <f t="shared" si="996"/>
        <v/>
      </c>
      <c r="QF228" s="43" t="str">
        <f t="shared" si="997"/>
        <v/>
      </c>
      <c r="QG228" s="43" t="str">
        <f t="shared" si="998"/>
        <v/>
      </c>
      <c r="QH228" s="43" t="str">
        <f t="shared" si="999"/>
        <v/>
      </c>
      <c r="QI228" s="43" t="str">
        <f t="shared" si="1000"/>
        <v/>
      </c>
      <c r="QJ228" s="43" t="str">
        <f t="shared" si="1001"/>
        <v/>
      </c>
      <c r="QK228" s="43" t="str">
        <f t="shared" si="1002"/>
        <v/>
      </c>
      <c r="QL228" s="43" t="str">
        <f t="shared" si="1003"/>
        <v/>
      </c>
      <c r="QM228" s="43" t="str">
        <f t="shared" si="1004"/>
        <v/>
      </c>
      <c r="QN228" s="43" t="str">
        <f t="shared" si="1005"/>
        <v/>
      </c>
      <c r="QO228" s="43" t="str">
        <f t="shared" si="1006"/>
        <v/>
      </c>
      <c r="QP228" s="43" t="str">
        <f t="shared" si="1007"/>
        <v/>
      </c>
      <c r="QQ228" s="43" t="str">
        <f t="shared" si="1008"/>
        <v/>
      </c>
      <c r="QR228" s="43" t="str">
        <f t="shared" si="1009"/>
        <v>Menor</v>
      </c>
      <c r="QS228" s="43"/>
      <c r="QT228" s="21" t="str">
        <f t="shared" si="1010"/>
        <v/>
      </c>
      <c r="QU228" s="21" t="str">
        <f t="shared" si="1011"/>
        <v/>
      </c>
      <c r="QV228" s="21" t="str">
        <f t="shared" si="1012"/>
        <v/>
      </c>
      <c r="QW228" s="21" t="str">
        <f t="shared" si="1013"/>
        <v/>
      </c>
      <c r="QX228" s="21" t="str">
        <f t="shared" si="1014"/>
        <v/>
      </c>
      <c r="QY228" s="21" t="str">
        <f t="shared" si="1015"/>
        <v/>
      </c>
      <c r="QZ228" s="21" t="str">
        <f t="shared" si="1016"/>
        <v/>
      </c>
      <c r="RA228" s="21" t="str">
        <f t="shared" si="1017"/>
        <v/>
      </c>
      <c r="RB228" s="21" t="str">
        <f t="shared" si="1018"/>
        <v/>
      </c>
      <c r="RC228" s="21" t="str">
        <f t="shared" si="1019"/>
        <v/>
      </c>
      <c r="RD228" s="21" t="str">
        <f t="shared" si="1020"/>
        <v/>
      </c>
      <c r="RE228" s="21" t="str">
        <f t="shared" si="1021"/>
        <v/>
      </c>
      <c r="RF228" s="21" t="str">
        <f t="shared" si="1022"/>
        <v/>
      </c>
      <c r="RG228" s="21" t="str">
        <f t="shared" si="1023"/>
        <v/>
      </c>
      <c r="RH228" s="21" t="str">
        <f t="shared" si="1024"/>
        <v/>
      </c>
      <c r="RI228" s="21" t="str">
        <f t="shared" si="1025"/>
        <v/>
      </c>
      <c r="RJ228" s="21" t="str">
        <f t="shared" si="1026"/>
        <v/>
      </c>
      <c r="RK228" s="21" t="str">
        <f t="shared" si="1027"/>
        <v/>
      </c>
      <c r="RL228" s="21" t="str">
        <f t="shared" si="1028"/>
        <v/>
      </c>
      <c r="RM228" s="21" t="str">
        <f t="shared" si="1029"/>
        <v/>
      </c>
      <c r="RN228" s="21" t="str">
        <f t="shared" si="1030"/>
        <v/>
      </c>
      <c r="RO228" s="21" t="str">
        <f t="shared" si="1031"/>
        <v/>
      </c>
      <c r="RP228" s="21" t="str">
        <f t="shared" si="1032"/>
        <v/>
      </c>
      <c r="RQ228" s="21" t="str">
        <f t="shared" si="1033"/>
        <v/>
      </c>
      <c r="RR228" s="21" t="str">
        <f t="shared" si="1034"/>
        <v/>
      </c>
      <c r="RS228" s="21" t="str">
        <f t="shared" si="1035"/>
        <v/>
      </c>
      <c r="RT228" s="21" t="str">
        <f t="shared" si="1036"/>
        <v/>
      </c>
      <c r="RU228" s="21" t="str">
        <f t="shared" si="1037"/>
        <v/>
      </c>
      <c r="RV228" s="21">
        <f t="shared" si="1038"/>
        <v>-1</v>
      </c>
      <c r="RW228" s="284">
        <f>IF(OR(Tabla1[[#This Row],[FUM FORMULA CONFIABLE]]="",Tabla1[[#This Row],[FUM FORMULA CONFIABLE]]="SD"),"",IF(Tabla1[[#This Row],[FUM FORMULA CONFIABLE]]="CORREGIDA",Tabla1[[#This Row],[FUM X ECO 1]],Tabla1[[#This Row],[FUM x AMENORREA]]))</f>
        <v>45067</v>
      </c>
      <c r="RX228" s="21">
        <f>IF(AND(Tabla1[[#This Row],[FUM X ECO 1]]="",Tabla1[[#This Row],[FUM x AMENORREA]]=""),"",IF(AND(Tabla1[[#This Row],[FUM X ECO 1]]="",Tabla1[[#This Row],[FUM x AMENORREA]]&lt;&gt;""),"X",SUM(Tabla1[[#This Row],[FUM X ECO 1]]-Tabla1[[#This Row],[FUM x AMENORREA]])))</f>
        <v>0.80000000000291038</v>
      </c>
      <c r="RY228" s="21">
        <f t="shared" si="1039"/>
        <v>0</v>
      </c>
    </row>
    <row r="229" spans="1:493" ht="45" customHeight="1" x14ac:dyDescent="0.25">
      <c r="A229" s="109"/>
      <c r="B229" s="43" t="s">
        <v>1615</v>
      </c>
      <c r="C229" s="299" t="s">
        <v>845</v>
      </c>
      <c r="D229" s="124"/>
      <c r="E229" s="43" t="s">
        <v>914</v>
      </c>
      <c r="F229" s="43" t="s">
        <v>914</v>
      </c>
      <c r="G229" s="43" t="s">
        <v>1614</v>
      </c>
      <c r="H229" s="43" t="s">
        <v>1277</v>
      </c>
      <c r="I229" s="109" t="s">
        <v>851</v>
      </c>
      <c r="J229" s="110">
        <v>1002847076</v>
      </c>
      <c r="K229" s="43" t="s">
        <v>852</v>
      </c>
      <c r="L229" s="175" t="s">
        <v>1509</v>
      </c>
      <c r="M229" s="22">
        <v>36493</v>
      </c>
      <c r="N229" s="213">
        <f t="shared" ca="1" si="839"/>
        <v>23.945205479452056</v>
      </c>
      <c r="O229" s="22">
        <v>45143</v>
      </c>
      <c r="P229" s="214" t="str">
        <f t="shared" si="916"/>
        <v>SI</v>
      </c>
      <c r="Q229" s="26" t="s">
        <v>855</v>
      </c>
      <c r="R229" s="22">
        <v>45143</v>
      </c>
      <c r="S229" s="21" t="s">
        <v>856</v>
      </c>
      <c r="T229" s="24" t="s">
        <v>690</v>
      </c>
      <c r="U229" s="21" t="s">
        <v>857</v>
      </c>
      <c r="V229" s="21" t="s">
        <v>858</v>
      </c>
      <c r="W229" s="21" t="s">
        <v>893</v>
      </c>
      <c r="X229" s="21" t="s">
        <v>893</v>
      </c>
      <c r="Y229" s="21" t="s">
        <v>859</v>
      </c>
      <c r="Z229" s="21" t="s">
        <v>894</v>
      </c>
      <c r="AA229" s="21" t="s">
        <v>860</v>
      </c>
      <c r="AB229" s="27" t="s">
        <v>861</v>
      </c>
      <c r="AC229" s="26" t="s">
        <v>877</v>
      </c>
      <c r="AD229" s="38" t="s">
        <v>1546</v>
      </c>
      <c r="AE229" s="26" t="s">
        <v>854</v>
      </c>
      <c r="AF229" s="26" t="s">
        <v>854</v>
      </c>
      <c r="AG229" s="23" t="s">
        <v>864</v>
      </c>
      <c r="AH229" s="23" t="s">
        <v>864</v>
      </c>
      <c r="AI229" s="24" t="s">
        <v>863</v>
      </c>
      <c r="AJ229" s="23" t="s">
        <v>864</v>
      </c>
      <c r="AK229" s="220" t="str">
        <f>IF(AND(AD229="",AE229="",AF229="",AG229="",AH229="",AI229="",AJ229=""),"",IF(OR(Tabla1[[#This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EVALUACIÓN",IF(AND(O229="",R229=""),"",IF(AND(OR(O229&gt;0,R229&gt;0),NG229&gt;=0,NG229&lt;2),"SIN RIESGO",IF(AND(OR(O229&gt;0,R229&gt;0),NG229&gt;=2),"CON RIESGO","ASD")))))</f>
        <v>SIN RIESGO</v>
      </c>
      <c r="AL229" s="26" t="s">
        <v>864</v>
      </c>
      <c r="AM229" s="26" t="s">
        <v>864</v>
      </c>
      <c r="AN229" s="26" t="s">
        <v>864</v>
      </c>
      <c r="AO229" s="26" t="s">
        <v>864</v>
      </c>
      <c r="AP229" s="26" t="s">
        <v>864</v>
      </c>
      <c r="AQ229" s="26" t="s">
        <v>864</v>
      </c>
      <c r="AR229" s="26" t="s">
        <v>864</v>
      </c>
      <c r="AS229" s="21">
        <v>2</v>
      </c>
      <c r="AT229" s="21">
        <v>2</v>
      </c>
      <c r="AU229" s="21">
        <v>0</v>
      </c>
      <c r="AV229" s="26" t="s">
        <v>864</v>
      </c>
      <c r="AW229" s="21">
        <v>0</v>
      </c>
      <c r="AX229" s="26" t="s">
        <v>864</v>
      </c>
      <c r="AY229" s="26" t="s">
        <v>864</v>
      </c>
      <c r="AZ229" s="26" t="s">
        <v>864</v>
      </c>
      <c r="BA229" s="26" t="s">
        <v>864</v>
      </c>
      <c r="BB229" s="26" t="s">
        <v>864</v>
      </c>
      <c r="BC229" s="26" t="s">
        <v>864</v>
      </c>
      <c r="BD229" s="26" t="s">
        <v>864</v>
      </c>
      <c r="BE229" s="26" t="s">
        <v>864</v>
      </c>
      <c r="BF229" s="26" t="s">
        <v>864</v>
      </c>
      <c r="BG229" s="26" t="s">
        <v>864</v>
      </c>
      <c r="BH229" s="26" t="s">
        <v>864</v>
      </c>
      <c r="BI229" s="26" t="s">
        <v>864</v>
      </c>
      <c r="BJ229" s="26" t="s">
        <v>864</v>
      </c>
      <c r="BK229" s="26" t="s">
        <v>864</v>
      </c>
      <c r="BL229" s="26" t="s">
        <v>864</v>
      </c>
      <c r="BM229" s="26" t="s">
        <v>864</v>
      </c>
      <c r="BN229" s="22">
        <v>44287</v>
      </c>
      <c r="BO229" s="22">
        <v>44945</v>
      </c>
      <c r="BP229" s="21" t="s">
        <v>854</v>
      </c>
      <c r="BQ229" s="222">
        <f t="shared" si="840"/>
        <v>21.933333333333334</v>
      </c>
      <c r="BR229" s="223">
        <f t="shared" si="841"/>
        <v>44953</v>
      </c>
      <c r="BS229" s="224">
        <f t="shared" si="842"/>
        <v>28.285714285714285</v>
      </c>
      <c r="BT229" s="216" t="str">
        <f t="shared" si="843"/>
        <v>III TRIM</v>
      </c>
      <c r="BU229" s="214">
        <f t="shared" ca="1" si="925"/>
        <v>41.142857142857146</v>
      </c>
      <c r="BV229" s="25" t="s">
        <v>988</v>
      </c>
      <c r="BW229" s="22">
        <v>45149</v>
      </c>
      <c r="BX229" s="28">
        <v>28</v>
      </c>
      <c r="BY229" s="28"/>
      <c r="BZ229" s="22"/>
      <c r="CA229" s="21"/>
      <c r="CB229" s="26" t="s">
        <v>864</v>
      </c>
      <c r="CC229" s="26" t="s">
        <v>864</v>
      </c>
      <c r="CD229" s="26" t="s">
        <v>865</v>
      </c>
      <c r="CE229" s="26" t="s">
        <v>864</v>
      </c>
      <c r="CF229" s="22" t="s">
        <v>1517</v>
      </c>
      <c r="CG229" s="21">
        <v>1.51</v>
      </c>
      <c r="CH229" s="21">
        <v>54.5</v>
      </c>
      <c r="CI229" s="214">
        <f t="shared" si="845"/>
        <v>23.902460418402701</v>
      </c>
      <c r="CJ229" s="225" t="e">
        <f>IF(AND(CI229&lt;10,CH229="SD"),"SIN DATO PESO PREGESTACION O I TRIM",IF(AND(OR(R229&gt;0,O229&gt;0),CI229="X"),"INGRESAR DATO DE PESO",IF(CI229="SD","INGRESAR DATO DE TALLA Y PESO",IF(AND(OR(Tabla1[[#This Row],[MOMENTO EN QUE SE REALIZA EL PESO AL INGRESO A CPN]]="PREGESTACIÓN",NZ229="Menor"),CI229&lt;18.5),"BAJO PESO",IF(AND(OR(Tabla1[[#This Row],[MOMENTO EN QUE SE REALIZA EL PESO AL INGRESO A CPN]]="PREGESTACIÓN",NZ229="Menor"),CI229&lt;25),"NORMAL",IF(AND(OR(Tabla1[[#This Row],[MOMENTO EN QUE SE REALIZA EL PESO AL INGRESO A CPN]]="PREGESTACIÓN",NZ229="Menor"),CI229&lt;30),"SOBREPESO",IF(AND(OR(Tabla1[[#This Row],[MOMENTO EN QUE SE REALIZA EL PESO AL INGRESO A CPN]]="PREGESTACIÓN",NZ229="Menor"),CI229&gt;=30,CI229&lt;50),"OBESIDAD",IF(AND(BS229&gt;0,Tabla1[[#This Row],[MOMENTO EN QUE SE REALIZA EL PESO AL INGRESO A CPN]]="GESTACIÓN"),HLOOKUP(NZ229,$OA$2:PH229,NY229),""))))))))</f>
        <v>#REF!</v>
      </c>
      <c r="CK229" s="212">
        <f t="shared" si="846"/>
        <v>45143</v>
      </c>
      <c r="CL229" s="21">
        <v>54.5</v>
      </c>
      <c r="CM229" s="214">
        <f t="shared" si="847"/>
        <v>23.902460418402701</v>
      </c>
      <c r="CN229" s="216">
        <f t="shared" si="848"/>
        <v>28</v>
      </c>
      <c r="CO229" s="216" t="e">
        <f>IF(PI229="","",IF(PI229&gt;0,HLOOKUP(PI229,$PJ$2:QQ229,NY229),""))</f>
        <v>#REF!</v>
      </c>
      <c r="CP229" s="21">
        <v>25</v>
      </c>
      <c r="CQ229" s="216" t="e">
        <f>IF(QR229="Menor","NO APLICA-MENOR 13 SEM",IF(AND(CC229="SI",CN229&gt;23),"NO APLICA- GEMELAR",IF(QR229="","",IF(QR229&gt;0,HLOOKUP(QR229,$QS$2:RU229,NY229),""))))</f>
        <v>#REF!</v>
      </c>
      <c r="CR229" s="21"/>
      <c r="CS229" s="21"/>
      <c r="CT229" s="217" t="str">
        <f>IF(R229="","",IF(AND(BS229&gt;1,BS229&lt;12,Tabla1[[#This Row],[T.A. SISTOLICA - ANTES DE SEMANA 12]]="",Tabla1[[#This Row],[T.A. DIASTOLICA - ANTES DE SEMANA 12]]=""),"REGISTRE DATO TA ANTES SEMANA 12",IF(AND(BS229&gt;11,BS229&lt;43,Tabla1[[#This Row],[T.A. SISTOLICA - ANTES DE SEMANA 12]]="",Tabla1[[#This Row],[T.A. DIASTOLICA - ANTES DE SEMANA 12]]=""),"NO APLICA REGISTRO TA-INGRESO TARDIO",IF(AND(OR(O229&gt;0,R229&gt;0),OR(CR229&gt;=140,CS229&gt;=90)),"DEFINIR ESTADIO HTA",IF(AND(OR(O229&gt;0,R229&gt;0),AND(CR229&gt;120,CR229&lt;=139)),"PRE HTA SEGUIMIENTO",IF(AND(OR(O229&gt;0,R229&gt;0),AND(CS229&gt;80,CS229&lt;=89)),"PRE HTA SEGUIMIENTO",IF(AND(OR(O229&gt;0,R229&gt;0),AND(CR229&gt;=80,CR229&lt;=120)),"APARENTEMENTE NORMAL",IF(AND(OR(O229&gt;0,R229&gt;0),AND(CS229&gt;=50,CS229&lt;=80)),"APARENTEMENTE NORMAL",IF(AND(OR(O229&gt;0,R229&gt;0),AND(CR229&gt;1,CR229&lt;=70),AND(CS229&gt;1,CS229&lt;=40)),"HIPOTENSIÓN","")))))))))</f>
        <v>NO APLICA REGISTRO TA-INGRESO TARDIO</v>
      </c>
      <c r="CU229" s="21"/>
      <c r="CV229" s="21"/>
      <c r="CW229" s="217" t="str">
        <f ca="1">IF(R229="","",IF(AND(CN229&gt;19,CN229&lt;27,Tabla1[[#This Row],[T.A. SISTOLICA (Entre semana 20 y 26)]]="",Tabla1[[#This Row],[T.A. DIATOLICA (Entre semana 20 y 26)]]=""),"ACUDE A CONTROL SEM 20 A 26 REGISTRE TA AHORA",IF(AND(BS229&gt;1,BS229&lt;27,BU229&gt;19,Tabla1[[#This Row],[T.A. SISTOLICA (Entre semana 20 y 26)]]="",Tabla1[[#This Row],[T.A. DIATOLICA (Entre semana 20 y 26)]]=""),"COMPLETE REGISTRO TA CONTROL SEM 20 A26 ",IF(AND(BS229&gt;26,BS229&lt;43,Tabla1[[#This Row],[T.A. SISTOLICA (Entre semana 20 y 26)]]="",Tabla1[[#This Row],[T.A. DIATOLICA (Entre semana 20 y 26)]]=""),"NO APLICA REGISTRO TA-INGRESO TARDIO",IF(AND(OR(O229&gt;0,R229&gt;0),OR(CU229&gt;=140,CV229&gt;=90)),"ALTO RIESGO PREECLAMPSIA,DEFINIR ESTADIO HTA",IF(AND(OR(O229&gt;0,R229&gt;0),AND(CU229&gt;120,CU229&lt;=139)),"PRE HTA SEGUIMIENTO,RIESGO HIPERTENSION INDUCIDA POR EL EMBARAZO",IF(AND(OR(O229&gt;0,R229&gt;0),AND(CV229&gt;80,CV229&lt;=89)),"PRE HTA SEGUIMIENTO, RIESGO HIPERTENSION INDUCIDA POR EL EMBARAZO",IF(AND(OR(O229&lt;&gt;"",R229&lt;&gt;""),CS229&lt;&gt;"",CV229&lt;&gt;"",CS229&lt;=CV229),"VIGILAR CIFRAS PRESION ARTERIAL",IF(AND(OR(O229&gt;0,R229&gt;0),AND(CU229&gt;120,CU229&lt;=139)),"PRE HTA SEGUIMIENTO",IF(AND(OR(O229&gt;0,R229&gt;0),AND(CU229&gt;1,CU229&lt;=70),AND(CV229&gt;1,CV229&lt;=40)),"HIPOTENSIÓN",IF(AND(OR(O229&lt;&gt;"",R229&lt;&gt;""),CS229&lt;&gt;"",CV229&lt;&gt;"",CS229&gt;CV229),"APARENTEMENTE NORMAL",IF(AND(OR(O229&gt;0,R229&gt;0),AND(CU229&gt;=80,CU229&lt;=120)),"APARENTEMENTE NORMAL",IF(AND(OR(O229&gt;0,R229&gt;0),AND(CV229&gt;=50,CV229&lt;=80)),"APARENTEMENTE NORMAL","")))))))))))))</f>
        <v>NO APLICA REGISTRO TA-INGRESO TARDIO</v>
      </c>
      <c r="CX229" s="21"/>
      <c r="CY229" s="21"/>
      <c r="CZ229" s="216" t="str">
        <f t="shared" si="1042"/>
        <v/>
      </c>
      <c r="DA229" s="21">
        <v>100</v>
      </c>
      <c r="DB229" s="21">
        <v>60</v>
      </c>
      <c r="DC229" s="217" t="str">
        <f t="shared" si="849"/>
        <v>APARENTEMENTE NORMAL</v>
      </c>
      <c r="DD229" s="22">
        <v>45143</v>
      </c>
      <c r="DE229" s="22">
        <v>45143</v>
      </c>
      <c r="DF229" s="22"/>
      <c r="DG229" s="22"/>
      <c r="DH229" s="22"/>
      <c r="DI229" s="22"/>
      <c r="DJ229" s="22"/>
      <c r="DK229" s="22"/>
      <c r="DL229" s="22"/>
      <c r="DM229" s="22"/>
      <c r="DN229" s="22"/>
      <c r="DO229" s="22"/>
      <c r="DP229" s="22"/>
      <c r="DQ229" s="22"/>
      <c r="DR229" s="28"/>
      <c r="DS229" s="22"/>
      <c r="DT229" s="22"/>
      <c r="DU229" s="216" t="str">
        <f t="shared" ca="1" si="917"/>
        <v>CONCERTAR PLAN DE PARTO INMEDIATO</v>
      </c>
      <c r="DV229" s="226" t="str">
        <f t="shared" si="918"/>
        <v>ACTIVA INGRESO A CPN</v>
      </c>
      <c r="DW22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29" s="216" t="e">
        <f t="shared" ca="1" si="850"/>
        <v>#REF!</v>
      </c>
      <c r="DY229" s="212">
        <f>IF(R229="","",IF(R229&gt;0,MAX(Tabla1[[#This Row],[FECHA C2]:[FECHA C13]],Tabla1[[#This Row],[FECHA CONSULTA PRIMERA VEZ PROGRAMA CPN ]])))</f>
        <v>45143</v>
      </c>
      <c r="DZ229" s="216">
        <f t="shared" si="851"/>
        <v>28</v>
      </c>
      <c r="EA229" s="222">
        <f>IF(R229&gt;0,SUM(COUNTA(DF229:DQ229)+COUNTA(Tabla1[[#This Row],[FECHA CONSULTA PRIMERA VEZ PROGRAMA CPN ]])),"")</f>
        <v>1</v>
      </c>
      <c r="EB229" s="222" t="str">
        <f t="shared" si="852"/>
        <v>NO</v>
      </c>
      <c r="EC229" s="214">
        <f t="shared" si="853"/>
        <v>4</v>
      </c>
      <c r="ED229" s="227">
        <f t="shared" si="854"/>
        <v>0.25</v>
      </c>
      <c r="EE229" s="22">
        <v>45143</v>
      </c>
      <c r="EF229" s="22">
        <v>45146</v>
      </c>
      <c r="EG229" s="22">
        <v>45143</v>
      </c>
      <c r="EH229" s="22"/>
      <c r="EI229" s="22">
        <v>45143</v>
      </c>
      <c r="EJ229" s="22"/>
      <c r="EK229" s="22"/>
      <c r="EL229" s="21"/>
      <c r="EM229" s="21">
        <v>11.7</v>
      </c>
      <c r="EN229" s="22">
        <v>45147</v>
      </c>
      <c r="EO229" s="222">
        <f t="shared" si="855"/>
        <v>28.857142857142858</v>
      </c>
      <c r="EP229" s="214" t="str">
        <f t="shared" si="856"/>
        <v>NORMAL- SUMINISTRAR SULFATO FERROSO</v>
      </c>
      <c r="EQ229" s="216" t="str">
        <f t="shared" si="857"/>
        <v>III TRIM</v>
      </c>
      <c r="ER229" s="24"/>
      <c r="ES229" s="22"/>
      <c r="ET229" s="29" t="str">
        <f t="shared" ca="1" si="919"/>
        <v>TOMA DE HEMOGLOBINA TARDÍA</v>
      </c>
      <c r="EU229" s="25" t="str">
        <f t="shared" si="858"/>
        <v/>
      </c>
      <c r="EV229" s="24" t="s">
        <v>1510</v>
      </c>
      <c r="EW229" s="22">
        <v>45147</v>
      </c>
      <c r="EX229" s="22"/>
      <c r="EY229" s="29">
        <f t="shared" si="1040"/>
        <v>28.857142857142858</v>
      </c>
      <c r="EZ229" s="25" t="str">
        <f t="shared" si="1041"/>
        <v>SIN RIESGO DE ISOINMUNIZACIÓN</v>
      </c>
      <c r="FA229" s="21">
        <v>106</v>
      </c>
      <c r="FB229" s="22">
        <v>45147</v>
      </c>
      <c r="FC229" s="29" t="str">
        <f t="shared" si="859"/>
        <v>NO APLICA &gt; 23 SEM -TOMAR PTOG</v>
      </c>
      <c r="FD229" s="29"/>
      <c r="FE229" s="29"/>
      <c r="FF229" s="29"/>
      <c r="FG229" s="21" t="str">
        <f t="shared" ca="1" si="860"/>
        <v>TOMAR PTOG</v>
      </c>
      <c r="FH229" s="31"/>
      <c r="FI229" s="29" t="str">
        <f t="shared" si="861"/>
        <v>TOMAR EXAMEN</v>
      </c>
      <c r="FJ229" s="22"/>
      <c r="FK229" s="22"/>
      <c r="FL229" s="29" t="str">
        <f t="shared" ca="1" si="862"/>
        <v>NO APLICA-INGRESO TARDIO</v>
      </c>
      <c r="FM229" s="22"/>
      <c r="FN229" s="32"/>
      <c r="FO229" s="29" t="str">
        <f t="shared" ca="1" si="920"/>
        <v>NO APLICA-INGRESO TARDIO</v>
      </c>
      <c r="FP229" s="22" t="s">
        <v>867</v>
      </c>
      <c r="FQ229" s="32">
        <v>45147</v>
      </c>
      <c r="FR229" s="29">
        <f t="shared" ca="1" si="921"/>
        <v>28.857142857142858</v>
      </c>
      <c r="FS229" s="22"/>
      <c r="FT229" s="32"/>
      <c r="FU229" s="29" t="str">
        <f>IF(AND(FJ229="",FM229="",FP229="",FS229=""),"",IF(OR(OR(Tabla1[[#This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29" s="28"/>
      <c r="FW229" s="22"/>
      <c r="FX229" s="29" t="str">
        <f t="shared" si="863"/>
        <v>TOMAR EXAMEN</v>
      </c>
      <c r="FY229" s="22"/>
      <c r="FZ229" s="22"/>
      <c r="GA229" s="29" t="str">
        <f t="shared" ca="1" si="936"/>
        <v>NO APLICA-INGRESO TARDIO</v>
      </c>
      <c r="GB229" s="22"/>
      <c r="GC229" s="22"/>
      <c r="GD229" s="29" t="str">
        <f t="shared" ca="1" si="937"/>
        <v>NO APLICA-INGRESO TARDIO</v>
      </c>
      <c r="GE229" s="22" t="s">
        <v>868</v>
      </c>
      <c r="GF229" s="22">
        <v>45147</v>
      </c>
      <c r="GG229" s="29">
        <f t="shared" ca="1" si="923"/>
        <v>28.857142857142858</v>
      </c>
      <c r="GH229" s="22"/>
      <c r="GI229" s="29"/>
      <c r="GJ229" s="22"/>
      <c r="GK229" s="22"/>
      <c r="GL229" s="22"/>
      <c r="GM229" s="22"/>
      <c r="GN229" s="28" t="s">
        <v>869</v>
      </c>
      <c r="GO229" s="22">
        <v>45147</v>
      </c>
      <c r="GP229" s="29">
        <f t="shared" si="864"/>
        <v>28.857142857142858</v>
      </c>
      <c r="GQ229" s="28" t="s">
        <v>869</v>
      </c>
      <c r="GR229" s="28" t="s">
        <v>869</v>
      </c>
      <c r="GS229" s="22" t="str">
        <f t="shared" si="1044"/>
        <v>CONTROL Igm</v>
      </c>
      <c r="GT229" s="22">
        <v>45147</v>
      </c>
      <c r="GU229" s="29">
        <f t="shared" si="865"/>
        <v>28.857142857142858</v>
      </c>
      <c r="GV229" s="21" t="str">
        <f t="shared" si="866"/>
        <v>III TRIM</v>
      </c>
      <c r="GW229" s="28"/>
      <c r="GX229" s="30"/>
      <c r="GY229" s="21"/>
      <c r="GZ229" s="21"/>
      <c r="HA229" s="21"/>
      <c r="HB229" s="21"/>
      <c r="HC229" s="21"/>
      <c r="HD229" s="21"/>
      <c r="HE229" s="21"/>
      <c r="HF229" s="22"/>
      <c r="HG229" s="22" t="str">
        <f>IF(OR(O229&gt;0,R229&gt;0),CONCATENATE(IF(Tabla1[[#This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29" s="22" t="e">
        <f t="shared" si="867"/>
        <v>#REF!</v>
      </c>
      <c r="HI229" s="22" t="e">
        <f t="shared" ca="1" si="868"/>
        <v>#REF!</v>
      </c>
      <c r="HJ229" s="21"/>
      <c r="HK229" s="21" t="str">
        <f t="shared" si="869"/>
        <v>SIN ANTECEDENTES DE RIESGO</v>
      </c>
      <c r="HL229" s="24" t="str">
        <f t="shared" si="870"/>
        <v>APARENTEMENTE NORMAL</v>
      </c>
      <c r="HM229" s="21" t="e">
        <f t="shared" ca="1" si="871"/>
        <v>#REF!</v>
      </c>
      <c r="HN229" s="30" t="str">
        <f t="shared" si="924"/>
        <v>ACTIVA INGRESO A CPN</v>
      </c>
      <c r="HO229" s="21"/>
      <c r="HP229" s="21"/>
      <c r="HQ229" s="349"/>
      <c r="HR229" s="21" t="str">
        <f>IF(R229="","",IF(Tabla1[[#This Row],[ALARMA FACTORES DE RIESGO COMPLICACIONES HIPERTENSIVAS3]]="SIN ANTECEDENTES DE RIESGO","No Aplica para suministro de ASA",IF(AND(Tabla1[[#This Row],[FECHA INICIO DE SUMINISTRO DE ASA]]&gt;0,RV229&lt;12),"Inicia ASA ANTES de Sem 12",IF(AND(RV229&gt;11,RV229&lt;17,OR(HK229="RIESGO ALTO DE COMPLICACIONES HIPERTENSIVAS VER MANEJO GUIA SUMINISTRO ASA Y CALCIO",HK229="RIESGO MODERADO (2 O MAS CRITERIOS) VER MANEJO GUIA SUMINISTRO ASA Y CALCIO")),"Inicio oportuno de ASA",IF(AND(RV229&gt;12,OR(HK229="RIESGO ALTO DE COMPLICACIONES HIPERTENSIVAS VER MANEJO GUIA SUMINISTRO ASA Y CALCIO",HK229="RIESGO MODERADO (2 O MAS CRITERIOS) VER MANEJO GUIA SUMINISTRO ASA Y CALCIO")),"Inicio no oportuno mayor a 16 semanas",IF(AND(BU229&lt;12,OR(HK229="RIESGO ALTO DE COMPLICACIONES HIPERTENSIVAS VER MANEJO GUIA SUMINISTRO ASA Y CALCIO",HK229="RIESGO MODERADO (2 O MAS CRITERIOS) VER MANEJO GUIA SUMINISTRO ASA Y CALCIO")),"Pendiente Inicio de ASA a la semana 12",IF(AND(BU229&gt;11,BU229&lt;17,OR(HK229="RIESGO ALTO DE COMPLICACIONES HIPERTENSIVAS VER MANEJO GUIA SUMINISTRO ASA Y CALCIO",HK229="RIESGO MODERADO (2 O MAS CRITERIOS) VER MANEJO GUIA SUMINISTRO ASA Y CALCIO")),"Iniciar de inmediato ASA",IF(AND(BU229&gt;16,OR(HK229="RIESGO ALTO DE COMPLICACIONES HIPERTENSIVAS VER MANEJO GUIA SUMINISTRO ASA Y CALCIO",HK229="RIESGO MODERADO (2 O MAS CRITERIOS) VER MANEJO GUIA SUMINISTRO ASA Y CALCIO")),"Pierde Oportunidad, Inicio tardío de ASA","XXXXX"))))))))</f>
        <v>No Aplica para suministro de ASA</v>
      </c>
      <c r="HS229" s="22">
        <v>45143</v>
      </c>
      <c r="HT229" s="22" t="s">
        <v>1518</v>
      </c>
      <c r="HU229" s="22"/>
      <c r="HV229" s="22"/>
      <c r="HW229" s="22">
        <v>45143</v>
      </c>
      <c r="HX229" s="22" t="s">
        <v>1511</v>
      </c>
      <c r="HY229" s="22">
        <v>45054</v>
      </c>
      <c r="HZ229" s="28">
        <f t="shared" si="872"/>
        <v>15.571428571428571</v>
      </c>
      <c r="IA229" s="26"/>
      <c r="IB229" s="26"/>
      <c r="IC229" s="111"/>
      <c r="ID229" s="22"/>
      <c r="IE229" s="22" t="str">
        <f t="shared" ca="1" si="873"/>
        <v>INASISTENTE</v>
      </c>
      <c r="IF229" s="22"/>
      <c r="IG229" s="22">
        <f t="shared" si="874"/>
        <v>45225</v>
      </c>
      <c r="IH229" s="29">
        <f t="shared" ca="1" si="875"/>
        <v>-8</v>
      </c>
      <c r="II229" s="22" t="str">
        <f t="shared" ca="1" si="876"/>
        <v>POSIBLEMENTE NACIO</v>
      </c>
      <c r="IJ229" s="22"/>
      <c r="IK229" s="21"/>
      <c r="IL229" s="21"/>
      <c r="IM229" s="34"/>
      <c r="IN229" s="22"/>
      <c r="IO229" s="21"/>
      <c r="IP229" s="29" t="str">
        <f t="shared" si="877"/>
        <v/>
      </c>
      <c r="IQ229" s="35"/>
      <c r="IR229" s="21"/>
      <c r="IS229" s="21"/>
      <c r="IT229" s="21"/>
      <c r="IU229" s="21"/>
      <c r="IV229" s="21"/>
      <c r="IW229" s="21"/>
      <c r="IX229" s="21"/>
      <c r="IY229" s="21"/>
      <c r="IZ229" s="21"/>
      <c r="JA229" s="21"/>
      <c r="JB229" s="30"/>
      <c r="JC229" s="21"/>
      <c r="JD229" s="36"/>
      <c r="JE229" s="21" t="str">
        <f t="shared" si="878"/>
        <v/>
      </c>
      <c r="JF229" s="30"/>
      <c r="JG229" s="21"/>
      <c r="JH229" s="21"/>
      <c r="JI229" s="21"/>
      <c r="JJ229" s="30"/>
      <c r="JK229" s="22"/>
      <c r="JL229" s="22"/>
      <c r="JM229" s="21"/>
      <c r="JN229" s="36"/>
      <c r="JO229" s="21" t="str">
        <f t="shared" si="879"/>
        <v/>
      </c>
      <c r="JP229" s="22"/>
      <c r="JQ229" s="21"/>
      <c r="JR229" s="21"/>
      <c r="JS229" s="21"/>
      <c r="JT229" s="30"/>
      <c r="JU229" s="22"/>
      <c r="JV229" s="22"/>
      <c r="JW229" s="33"/>
      <c r="JX229" s="28" t="str">
        <f t="shared" si="880"/>
        <v/>
      </c>
      <c r="JY229" s="33"/>
      <c r="JZ229" s="28" t="str">
        <f t="shared" si="881"/>
        <v/>
      </c>
      <c r="KA229" s="21"/>
      <c r="KB229" s="21"/>
      <c r="KC229" s="21"/>
      <c r="KD229" s="37"/>
      <c r="KE229" s="28"/>
      <c r="KF229" s="28"/>
      <c r="KG229" s="28"/>
      <c r="KH229" s="39"/>
      <c r="KI229" s="39"/>
      <c r="KJ229" s="66"/>
      <c r="KK229" s="39"/>
      <c r="KL229" s="39"/>
      <c r="KM229" s="66"/>
      <c r="KN229" s="39"/>
      <c r="KO229" s="39"/>
      <c r="KP229" s="39"/>
      <c r="KQ229" s="39"/>
      <c r="KR229" s="39"/>
      <c r="KS229" s="39"/>
      <c r="KT229" s="39"/>
      <c r="KU229" s="38"/>
      <c r="KV229" s="38"/>
      <c r="KW229" s="38"/>
      <c r="KX229" s="38"/>
      <c r="KY229" s="38"/>
      <c r="KZ229" s="38"/>
      <c r="LA229" s="38"/>
      <c r="LB229" s="38"/>
      <c r="LC229" s="38"/>
      <c r="LD229" s="38"/>
      <c r="LE229" s="38"/>
      <c r="LF229" s="38"/>
      <c r="LG229" s="38"/>
      <c r="LH229" s="38"/>
      <c r="LI229" s="38"/>
      <c r="LJ229" s="38"/>
      <c r="LK229" s="38"/>
      <c r="LL229" s="38"/>
      <c r="LM229" s="38"/>
      <c r="LN229" s="38"/>
      <c r="LO229" s="38"/>
      <c r="LP229" s="38"/>
      <c r="LQ229" s="38"/>
      <c r="LR229" s="38"/>
      <c r="LS229" s="38"/>
      <c r="LT229" s="38"/>
      <c r="LU229" s="38"/>
      <c r="LV229" s="38"/>
      <c r="LW229" s="38"/>
      <c r="LX229" s="38"/>
      <c r="LY229" s="38"/>
      <c r="LZ229" s="38"/>
      <c r="MA229" s="38"/>
      <c r="MB229" s="38"/>
      <c r="MC229" s="38"/>
      <c r="MD229" s="38"/>
      <c r="ME229" s="38"/>
      <c r="MF229" s="38"/>
      <c r="MG229" s="38"/>
      <c r="MH229" s="43">
        <f t="shared" si="882"/>
        <v>0</v>
      </c>
      <c r="MI229" s="43" t="str">
        <f t="shared" si="926"/>
        <v/>
      </c>
      <c r="MJ229" s="43" t="str">
        <f t="shared" si="884"/>
        <v/>
      </c>
      <c r="MK229" s="43">
        <f t="shared" si="885"/>
        <v>0</v>
      </c>
      <c r="ML22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29" s="43">
        <f t="shared" si="927"/>
        <v>28.285714285714285</v>
      </c>
      <c r="MN229" s="43">
        <f t="shared" si="928"/>
        <v>8</v>
      </c>
      <c r="MO229" s="43">
        <f t="shared" si="929"/>
        <v>2023</v>
      </c>
      <c r="MP229" s="43" t="str">
        <f t="shared" si="889"/>
        <v>III TRIMESTRE AÑO</v>
      </c>
      <c r="MQ229" s="43">
        <f t="shared" si="930"/>
        <v>23.340998685939553</v>
      </c>
      <c r="MR229" s="43">
        <f t="shared" si="891"/>
        <v>0</v>
      </c>
      <c r="MS229" s="43" t="str">
        <f t="shared" si="892"/>
        <v xml:space="preserve"> DE 20 A 24 AÑOS</v>
      </c>
      <c r="MT229" s="43">
        <f t="shared" si="893"/>
        <v>0</v>
      </c>
      <c r="MU229" s="43">
        <f t="shared" si="894"/>
        <v>0</v>
      </c>
      <c r="MV229" s="43">
        <f t="shared" si="895"/>
        <v>0</v>
      </c>
      <c r="MW229" s="43">
        <f t="shared" si="896"/>
        <v>0</v>
      </c>
      <c r="MX229" s="43" t="str">
        <f t="shared" si="897"/>
        <v/>
      </c>
      <c r="MY229" s="43">
        <f t="shared" ca="1" si="898"/>
        <v>1</v>
      </c>
      <c r="MZ229" s="43" t="str">
        <f t="shared" si="899"/>
        <v/>
      </c>
      <c r="NA229" s="43">
        <f t="shared" si="900"/>
        <v>0</v>
      </c>
      <c r="NB229" s="43" t="str">
        <f t="shared" si="901"/>
        <v/>
      </c>
      <c r="NC229" s="43" t="str">
        <f t="shared" si="902"/>
        <v/>
      </c>
      <c r="ND229" s="43">
        <f t="shared" ca="1" si="931"/>
        <v>1</v>
      </c>
      <c r="NE229" s="43">
        <f>IF(OR(O229&gt;0,R229&gt;0),SUM(COUNTIF(Tabla1[[#This Row],[AÑOS AL INICIO5 CPN]],"&gt;=40"),COUNTIF(AS229,"0"),COUNTIF(AR229,"SI"),COUNTIF(CC229,"SI"),COUNTIF(BQ229,"&gt;119"),COUNTIF(CI229,"&gt;=35")),"")</f>
        <v>0</v>
      </c>
      <c r="NF229" s="43" t="str">
        <f t="shared" si="932"/>
        <v/>
      </c>
      <c r="NG229" s="43">
        <f t="shared" si="905"/>
        <v>0</v>
      </c>
      <c r="NH229" s="43">
        <f t="shared" si="906"/>
        <v>196</v>
      </c>
      <c r="NI22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CPN",P229="NO"),"Z",IF(AND(Tabla1[[#This Row],[CITA PROXIMO CONTROL]]="CITA MANUAL",Tabla1[[#This Row],[GESTANTES ACTUALES]]="ACTIVA INGRESO A CPN"),"W",IF(AND(Tabla1[[#This Row],[GESTANTES ACTUALES]]="SALIO PROGRAMA",IN229=""),"S",IF(AND(Tabla1[[#This Row],[CITA PROXIMO CONTROL]]&gt;0,IN229=""),(Tabla1[[#This Row],[CITA PROXIMO CONTROL]]-TODAY()),"SD"))))))))</f>
        <v>#REF!</v>
      </c>
      <c r="NJ229" s="43">
        <f>MONTH(Tabla1[[#This Row],[FECHA DE SALIDA  DEL PROGRAMA]])</f>
        <v>1</v>
      </c>
      <c r="NK229" s="43">
        <f>YEAR(Tabla1[[#This Row],[FECHA DE SALIDA  DEL PROGRAMA]])</f>
        <v>1900</v>
      </c>
      <c r="NL229" s="43" t="str">
        <f t="shared" si="933"/>
        <v>X</v>
      </c>
      <c r="NM229" s="43" t="str">
        <f t="shared" si="938"/>
        <v>NO</v>
      </c>
      <c r="NN229" s="43" t="str">
        <f ca="1">IF(AND(O229&gt;0,R229=""),"NO CPN",IF(AND(O229="",R229=""),"",IF(AND(R229&gt;0,Tabla1[[#This Row],[SEMANAS DE GESTACION ACTUALIZADAS]]&lt;=12),"NO APLICA",IF(AND(FH229&lt;&gt;"",FN229&lt;&gt;""),"SI","NO"))))</f>
        <v>NO</v>
      </c>
      <c r="NO229" s="43" t="str">
        <f ca="1">IF(AND(O229&gt;0,R229=""),"NO CPN",IF(AND(O229="",R229=""),"",IF(AND(R229&gt;0,Tabla1[[#This Row],[SEMANAS DE GESTACION ACTUALIZADAS]]&lt;=27),"NO APLICA",IF(AND(ES229&lt;&gt;"",FQ229&lt;&gt;"",GF229&lt;&gt;""),"SI","NO"))))</f>
        <v>NO</v>
      </c>
      <c r="NP229" s="204" t="str">
        <f t="shared" si="909"/>
        <v>III TRIM</v>
      </c>
      <c r="NQ229" s="21" t="str">
        <f t="shared" si="1043"/>
        <v/>
      </c>
      <c r="NR229" s="21">
        <f t="shared" si="934"/>
        <v>1</v>
      </c>
      <c r="NS229" s="205">
        <f t="shared" ca="1" si="911"/>
        <v>1</v>
      </c>
      <c r="NT229" s="21">
        <f t="shared" ca="1" si="912"/>
        <v>1</v>
      </c>
      <c r="NU229" s="21" t="str">
        <f t="shared" ca="1" si="913"/>
        <v>COMPLETO</v>
      </c>
      <c r="NV229" s="21" t="str">
        <f t="shared" ca="1" si="914"/>
        <v>COMPLETO</v>
      </c>
      <c r="NW229" s="206" t="str">
        <f>IF(AND(O229="",R229=""),"",IF(OR(AND(Tabla1[[#This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29" s="207" t="str">
        <f t="shared" ca="1" si="935"/>
        <v>SIN VACUNAR</v>
      </c>
      <c r="NY229" s="43">
        <f>ROW(Tabla1[[#This Row],['# DE TAMIZAJES SIFILIS TOMADOS ]])</f>
        <v>229</v>
      </c>
      <c r="NZ229" s="43">
        <f t="shared" si="939"/>
        <v>28</v>
      </c>
      <c r="OA229" s="43" t="str">
        <f t="shared" si="940"/>
        <v/>
      </c>
      <c r="OB229" s="43" t="str">
        <f t="shared" si="941"/>
        <v/>
      </c>
      <c r="OC229" s="43" t="str">
        <f t="shared" si="942"/>
        <v/>
      </c>
      <c r="OD229" s="43" t="str">
        <f t="shared" si="943"/>
        <v/>
      </c>
      <c r="OE229" s="43" t="str">
        <f t="shared" si="944"/>
        <v/>
      </c>
      <c r="OF229" s="43" t="str">
        <f t="shared" si="945"/>
        <v/>
      </c>
      <c r="OG229" s="43" t="str">
        <f t="shared" si="946"/>
        <v/>
      </c>
      <c r="OH229" s="43" t="str">
        <f t="shared" si="947"/>
        <v/>
      </c>
      <c r="OI229" s="43" t="str">
        <f t="shared" si="948"/>
        <v/>
      </c>
      <c r="OJ229" s="43" t="str">
        <f t="shared" si="949"/>
        <v/>
      </c>
      <c r="OK229" s="43" t="str">
        <f t="shared" si="950"/>
        <v/>
      </c>
      <c r="OL229" s="43" t="str">
        <f t="shared" si="951"/>
        <v/>
      </c>
      <c r="OM229" s="43" t="str">
        <f t="shared" si="952"/>
        <v/>
      </c>
      <c r="ON229" s="43" t="str">
        <f t="shared" si="953"/>
        <v/>
      </c>
      <c r="OO229" s="43" t="str">
        <f t="shared" si="954"/>
        <v/>
      </c>
      <c r="OP229" s="43" t="str">
        <f t="shared" si="955"/>
        <v/>
      </c>
      <c r="OQ229" s="43" t="str">
        <f t="shared" si="956"/>
        <v/>
      </c>
      <c r="OR229" s="43" t="str">
        <f t="shared" si="957"/>
        <v/>
      </c>
      <c r="OS229" s="43" t="str">
        <f t="shared" si="958"/>
        <v/>
      </c>
      <c r="OT229" s="43" t="str">
        <f t="shared" si="959"/>
        <v>NORMAL</v>
      </c>
      <c r="OU229" s="43" t="str">
        <f t="shared" si="960"/>
        <v/>
      </c>
      <c r="OV229" s="110" t="str">
        <f t="shared" si="961"/>
        <v/>
      </c>
      <c r="OW229" s="43" t="str">
        <f t="shared" si="962"/>
        <v/>
      </c>
      <c r="OX229" s="43" t="str">
        <f t="shared" si="963"/>
        <v/>
      </c>
      <c r="OY229" s="43" t="str">
        <f t="shared" si="964"/>
        <v/>
      </c>
      <c r="OZ229" s="43" t="str">
        <f t="shared" si="965"/>
        <v/>
      </c>
      <c r="PA229" s="43" t="str">
        <f t="shared" si="966"/>
        <v/>
      </c>
      <c r="PB229" s="43" t="str">
        <f t="shared" si="967"/>
        <v/>
      </c>
      <c r="PC229" s="43" t="str">
        <f t="shared" si="968"/>
        <v/>
      </c>
      <c r="PD229" s="43" t="str">
        <f t="shared" si="969"/>
        <v/>
      </c>
      <c r="PE229" s="43" t="str">
        <f t="shared" si="970"/>
        <v/>
      </c>
      <c r="PF229" s="43" t="str">
        <f t="shared" si="971"/>
        <v/>
      </c>
      <c r="PG229" s="43" t="str">
        <f t="shared" si="972"/>
        <v/>
      </c>
      <c r="PH229" s="43" t="str">
        <f t="shared" si="973"/>
        <v/>
      </c>
      <c r="PI229" s="43">
        <f t="shared" si="974"/>
        <v>28</v>
      </c>
      <c r="PJ229" s="43" t="str">
        <f t="shared" si="975"/>
        <v/>
      </c>
      <c r="PK229" s="43" t="str">
        <f t="shared" si="976"/>
        <v/>
      </c>
      <c r="PL229" s="43" t="str">
        <f t="shared" si="977"/>
        <v/>
      </c>
      <c r="PM229" s="43" t="str">
        <f t="shared" si="978"/>
        <v/>
      </c>
      <c r="PN229" s="43" t="str">
        <f t="shared" si="979"/>
        <v/>
      </c>
      <c r="PO229" s="43" t="str">
        <f t="shared" si="980"/>
        <v/>
      </c>
      <c r="PP229" s="43" t="str">
        <f t="shared" si="981"/>
        <v/>
      </c>
      <c r="PQ229" s="43" t="str">
        <f t="shared" si="982"/>
        <v/>
      </c>
      <c r="PR229" s="43" t="str">
        <f t="shared" si="983"/>
        <v/>
      </c>
      <c r="PS229" s="43" t="str">
        <f t="shared" si="984"/>
        <v/>
      </c>
      <c r="PT229" s="43" t="str">
        <f t="shared" si="985"/>
        <v/>
      </c>
      <c r="PU229" s="43" t="str">
        <f t="shared" si="986"/>
        <v/>
      </c>
      <c r="PV229" s="43" t="str">
        <f t="shared" si="987"/>
        <v/>
      </c>
      <c r="PW229" s="43" t="str">
        <f t="shared" si="988"/>
        <v/>
      </c>
      <c r="PX229" s="43" t="str">
        <f t="shared" si="989"/>
        <v/>
      </c>
      <c r="PY229" s="43" t="str">
        <f t="shared" si="990"/>
        <v/>
      </c>
      <c r="PZ229" s="43" t="str">
        <f t="shared" si="991"/>
        <v/>
      </c>
      <c r="QA229" s="43" t="str">
        <f t="shared" si="992"/>
        <v/>
      </c>
      <c r="QB229" s="43" t="str">
        <f t="shared" si="993"/>
        <v/>
      </c>
      <c r="QC229" s="43" t="str">
        <f t="shared" si="994"/>
        <v>NORMAL</v>
      </c>
      <c r="QD229" s="43" t="str">
        <f t="shared" si="995"/>
        <v/>
      </c>
      <c r="QE229" s="43" t="str">
        <f t="shared" si="996"/>
        <v/>
      </c>
      <c r="QF229" s="43" t="str">
        <f t="shared" si="997"/>
        <v/>
      </c>
      <c r="QG229" s="43" t="str">
        <f t="shared" si="998"/>
        <v/>
      </c>
      <c r="QH229" s="43" t="str">
        <f t="shared" si="999"/>
        <v/>
      </c>
      <c r="QI229" s="43" t="str">
        <f t="shared" si="1000"/>
        <v/>
      </c>
      <c r="QJ229" s="43" t="str">
        <f t="shared" si="1001"/>
        <v/>
      </c>
      <c r="QK229" s="43" t="str">
        <f t="shared" si="1002"/>
        <v/>
      </c>
      <c r="QL229" s="43" t="str">
        <f t="shared" si="1003"/>
        <v/>
      </c>
      <c r="QM229" s="43" t="str">
        <f t="shared" si="1004"/>
        <v/>
      </c>
      <c r="QN229" s="43" t="str">
        <f t="shared" si="1005"/>
        <v/>
      </c>
      <c r="QO229" s="43" t="str">
        <f t="shared" si="1006"/>
        <v/>
      </c>
      <c r="QP229" s="43" t="str">
        <f t="shared" si="1007"/>
        <v/>
      </c>
      <c r="QQ229" s="43" t="str">
        <f t="shared" si="1008"/>
        <v/>
      </c>
      <c r="QR229" s="43">
        <f t="shared" si="1009"/>
        <v>28</v>
      </c>
      <c r="QS229" s="43"/>
      <c r="QT229" s="21" t="str">
        <f t="shared" si="1010"/>
        <v/>
      </c>
      <c r="QU229" s="21" t="str">
        <f t="shared" si="1011"/>
        <v/>
      </c>
      <c r="QV229" s="21" t="str">
        <f t="shared" si="1012"/>
        <v/>
      </c>
      <c r="QW229" s="21" t="str">
        <f t="shared" si="1013"/>
        <v/>
      </c>
      <c r="QX229" s="21" t="str">
        <f t="shared" si="1014"/>
        <v/>
      </c>
      <c r="QY229" s="21" t="str">
        <f t="shared" si="1015"/>
        <v/>
      </c>
      <c r="QZ229" s="21" t="str">
        <f t="shared" si="1016"/>
        <v/>
      </c>
      <c r="RA229" s="21" t="str">
        <f t="shared" si="1017"/>
        <v/>
      </c>
      <c r="RB229" s="21" t="str">
        <f t="shared" si="1018"/>
        <v/>
      </c>
      <c r="RC229" s="21" t="str">
        <f t="shared" si="1019"/>
        <v/>
      </c>
      <c r="RD229" s="21" t="str">
        <f t="shared" si="1020"/>
        <v/>
      </c>
      <c r="RE229" s="21" t="str">
        <f t="shared" si="1021"/>
        <v/>
      </c>
      <c r="RF229" s="21" t="str">
        <f t="shared" si="1022"/>
        <v/>
      </c>
      <c r="RG229" s="21" t="str">
        <f t="shared" si="1023"/>
        <v/>
      </c>
      <c r="RH229" s="21" t="str">
        <f t="shared" si="1024"/>
        <v/>
      </c>
      <c r="RI229" s="21" t="str">
        <f t="shared" si="1025"/>
        <v>ADECUADO PARA EDAD GESTACIONAL</v>
      </c>
      <c r="RJ229" s="21" t="str">
        <f t="shared" si="1026"/>
        <v/>
      </c>
      <c r="RK229" s="21" t="str">
        <f t="shared" si="1027"/>
        <v/>
      </c>
      <c r="RL229" s="21" t="str">
        <f t="shared" si="1028"/>
        <v/>
      </c>
      <c r="RM229" s="21" t="str">
        <f t="shared" si="1029"/>
        <v/>
      </c>
      <c r="RN229" s="21" t="str">
        <f t="shared" si="1030"/>
        <v/>
      </c>
      <c r="RO229" s="21" t="str">
        <f t="shared" si="1031"/>
        <v/>
      </c>
      <c r="RP229" s="21" t="str">
        <f t="shared" si="1032"/>
        <v/>
      </c>
      <c r="RQ229" s="21" t="str">
        <f t="shared" si="1033"/>
        <v/>
      </c>
      <c r="RR229" s="21" t="str">
        <f t="shared" si="1034"/>
        <v/>
      </c>
      <c r="RS229" s="21" t="str">
        <f t="shared" si="1035"/>
        <v/>
      </c>
      <c r="RT229" s="21" t="str">
        <f t="shared" si="1036"/>
        <v/>
      </c>
      <c r="RU229" s="21" t="str">
        <f t="shared" si="1037"/>
        <v/>
      </c>
      <c r="RV229" s="21">
        <f t="shared" si="1038"/>
        <v>-1</v>
      </c>
      <c r="RW229" s="284">
        <f>IF(OR(Tabla1[[#This Row],[FUM FORMULA CONFIABLE]]="",Tabla1[[#This Row],[FUM FORMULA CONFIABLE]]="SD"),"",IF(Tabla1[[#This Row],[FUM FORMULA CONFIABLE]]="CORREGIDA",Tabla1[[#This Row],[FUM X ECO 1]],Tabla1[[#This Row],[FUM x AMENORREA]]))</f>
        <v>44945</v>
      </c>
      <c r="RX229" s="21">
        <f>IF(AND(Tabla1[[#This Row],[FUM X ECO 1]]="",Tabla1[[#This Row],[FUM x AMENORREA]]=""),"",IF(AND(Tabla1[[#This Row],[FUM X ECO 1]]="",Tabla1[[#This Row],[FUM x AMENORREA]]&lt;&gt;""),"X",SUM(Tabla1[[#This Row],[FUM X ECO 1]]-Tabla1[[#This Row],[FUM x AMENORREA]])))</f>
        <v>8</v>
      </c>
      <c r="RY229" s="21">
        <f t="shared" si="1039"/>
        <v>1</v>
      </c>
    </row>
    <row r="230" spans="1:493" ht="45" customHeight="1" x14ac:dyDescent="0.25">
      <c r="A230" s="109"/>
      <c r="B230" s="43"/>
      <c r="C230" s="299" t="s">
        <v>845</v>
      </c>
      <c r="D230" s="124"/>
      <c r="E230" s="43" t="s">
        <v>944</v>
      </c>
      <c r="F230" s="43" t="s">
        <v>944</v>
      </c>
      <c r="G230" s="43" t="s">
        <v>1616</v>
      </c>
      <c r="H230" s="43" t="s">
        <v>1617</v>
      </c>
      <c r="I230" s="109" t="s">
        <v>851</v>
      </c>
      <c r="J230" s="110">
        <v>1059595276</v>
      </c>
      <c r="K230" s="43" t="s">
        <v>904</v>
      </c>
      <c r="L230" s="175" t="s">
        <v>1609</v>
      </c>
      <c r="M230" s="22">
        <v>38290</v>
      </c>
      <c r="N230" s="213">
        <f t="shared" ca="1" si="839"/>
        <v>19.021917808219179</v>
      </c>
      <c r="O230" s="22">
        <v>45079</v>
      </c>
      <c r="P230" s="214" t="str">
        <f t="shared" si="916"/>
        <v>SI</v>
      </c>
      <c r="Q230" s="26" t="s">
        <v>855</v>
      </c>
      <c r="R230" s="22">
        <v>45079</v>
      </c>
      <c r="S230" s="21" t="s">
        <v>856</v>
      </c>
      <c r="T230" s="24" t="s">
        <v>690</v>
      </c>
      <c r="U230" s="21" t="s">
        <v>857</v>
      </c>
      <c r="V230" s="21" t="s">
        <v>858</v>
      </c>
      <c r="W230" s="21" t="s">
        <v>859</v>
      </c>
      <c r="X230" s="21" t="s">
        <v>859</v>
      </c>
      <c r="Y230" s="21" t="s">
        <v>859</v>
      </c>
      <c r="Z230" s="21">
        <v>3147628179</v>
      </c>
      <c r="AA230" s="21" t="s">
        <v>860</v>
      </c>
      <c r="AB230" s="27" t="s">
        <v>861</v>
      </c>
      <c r="AC230" s="26" t="s">
        <v>897</v>
      </c>
      <c r="AD230" s="38" t="s">
        <v>1546</v>
      </c>
      <c r="AE230" s="26" t="s">
        <v>854</v>
      </c>
      <c r="AF230" s="26" t="s">
        <v>854</v>
      </c>
      <c r="AG230" s="23" t="s">
        <v>864</v>
      </c>
      <c r="AH230" s="23" t="s">
        <v>864</v>
      </c>
      <c r="AI230" s="24" t="s">
        <v>863</v>
      </c>
      <c r="AJ230" s="23" t="s">
        <v>864</v>
      </c>
      <c r="AK230" s="220" t="str">
        <f>IF(AND(AD230="",AE230="",AF230="",AG230="",AH230="",AI230="",AJ230=""),"",IF(OR(Tabla1[[#This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EVALUACIÓN",IF(AND(O230="",R230=""),"",IF(AND(OR(O230&gt;0,R230&gt;0),NG230&gt;=0,NG230&lt;2),"SIN RIESGO",IF(AND(OR(O230&gt;0,R230&gt;0),NG230&gt;=2),"CON RIESGO","ASD")))))</f>
        <v>SIN RIESGO</v>
      </c>
      <c r="AL230" s="26" t="s">
        <v>864</v>
      </c>
      <c r="AM230" s="26" t="s">
        <v>864</v>
      </c>
      <c r="AN230" s="26" t="s">
        <v>864</v>
      </c>
      <c r="AO230" s="26" t="s">
        <v>864</v>
      </c>
      <c r="AP230" s="26" t="s">
        <v>864</v>
      </c>
      <c r="AQ230" s="26" t="s">
        <v>864</v>
      </c>
      <c r="AR230" s="26" t="s">
        <v>864</v>
      </c>
      <c r="AS230" s="21">
        <v>0</v>
      </c>
      <c r="AT230" s="21">
        <v>0</v>
      </c>
      <c r="AU230" s="21">
        <v>0</v>
      </c>
      <c r="AV230" s="26" t="s">
        <v>864</v>
      </c>
      <c r="AW230" s="21">
        <v>0</v>
      </c>
      <c r="AX230" s="26" t="s">
        <v>864</v>
      </c>
      <c r="AY230" s="26" t="s">
        <v>864</v>
      </c>
      <c r="AZ230" s="26" t="s">
        <v>864</v>
      </c>
      <c r="BA230" s="26" t="s">
        <v>864</v>
      </c>
      <c r="BB230" s="26" t="s">
        <v>864</v>
      </c>
      <c r="BC230" s="26" t="s">
        <v>864</v>
      </c>
      <c r="BD230" s="26" t="s">
        <v>864</v>
      </c>
      <c r="BE230" s="26" t="s">
        <v>864</v>
      </c>
      <c r="BF230" s="26" t="s">
        <v>864</v>
      </c>
      <c r="BG230" s="26" t="s">
        <v>864</v>
      </c>
      <c r="BH230" s="26" t="s">
        <v>864</v>
      </c>
      <c r="BI230" s="26" t="s">
        <v>864</v>
      </c>
      <c r="BJ230" s="26" t="s">
        <v>864</v>
      </c>
      <c r="BK230" s="26" t="s">
        <v>864</v>
      </c>
      <c r="BL230" s="26" t="s">
        <v>864</v>
      </c>
      <c r="BM230" s="26" t="s">
        <v>864</v>
      </c>
      <c r="BN230" s="22"/>
      <c r="BO230" s="22">
        <v>44886</v>
      </c>
      <c r="BP230" s="21" t="s">
        <v>854</v>
      </c>
      <c r="BQ230" s="222">
        <f t="shared" si="840"/>
        <v>0</v>
      </c>
      <c r="BR230" s="223">
        <f t="shared" si="841"/>
        <v>44886.5</v>
      </c>
      <c r="BS230" s="224">
        <f t="shared" si="842"/>
        <v>27.571428571428573</v>
      </c>
      <c r="BT230" s="216" t="str">
        <f t="shared" si="843"/>
        <v>III TRIM</v>
      </c>
      <c r="BU230" s="214" t="str">
        <f t="shared" ca="1" si="925"/>
        <v/>
      </c>
      <c r="BV230" s="25" t="s">
        <v>988</v>
      </c>
      <c r="BW230" s="22">
        <v>45149</v>
      </c>
      <c r="BX230" s="28">
        <v>37.5</v>
      </c>
      <c r="BY230" s="28"/>
      <c r="BZ230" s="22"/>
      <c r="CA230" s="21"/>
      <c r="CB230" s="26" t="s">
        <v>864</v>
      </c>
      <c r="CC230" s="26" t="s">
        <v>864</v>
      </c>
      <c r="CD230" s="26" t="s">
        <v>878</v>
      </c>
      <c r="CE230" s="26" t="s">
        <v>864</v>
      </c>
      <c r="CF230" s="22" t="s">
        <v>1517</v>
      </c>
      <c r="CG230" s="21">
        <v>1.45</v>
      </c>
      <c r="CH230" s="21">
        <v>47.2</v>
      </c>
      <c r="CI230" s="214">
        <f t="shared" si="845"/>
        <v>22.449464922711059</v>
      </c>
      <c r="CJ230" s="225" t="e">
        <f>IF(AND(CI230&lt;10,CH230="SD"),"SIN DATO PESO PREGESTACION O I TRIM",IF(AND(OR(R230&gt;0,O230&gt;0),CI230="X"),"INGRESAR DATO DE PESO",IF(CI230="SD","INGRESAR DATO DE TALLA Y PESO",IF(AND(OR(Tabla1[[#This Row],[MOMENTO EN QUE SE REALIZA EL PESO AL INGRESO A CPN]]="PREGESTACIÓN",NZ230="Menor"),CI230&lt;18.5),"BAJO PESO",IF(AND(OR(Tabla1[[#This Row],[MOMENTO EN QUE SE REALIZA EL PESO AL INGRESO A CPN]]="PREGESTACIÓN",NZ230="Menor"),CI230&lt;25),"NORMAL",IF(AND(OR(Tabla1[[#This Row],[MOMENTO EN QUE SE REALIZA EL PESO AL INGRESO A CPN]]="PREGESTACIÓN",NZ230="Menor"),CI230&lt;30),"SOBREPESO",IF(AND(OR(Tabla1[[#This Row],[MOMENTO EN QUE SE REALIZA EL PESO AL INGRESO A CPN]]="PREGESTACIÓN",NZ230="Menor"),CI230&gt;=30,CI230&lt;50),"OBESIDAD",IF(AND(BS230&gt;0,Tabla1[[#This Row],[MOMENTO EN QUE SE REALIZA EL PESO AL INGRESO A CPN]]="GESTACIÓN"),HLOOKUP(NZ230,$OA$2:PH230,NY230),""))))))))</f>
        <v>#REF!</v>
      </c>
      <c r="CK230" s="212">
        <f t="shared" si="846"/>
        <v>45112</v>
      </c>
      <c r="CL230" s="21">
        <v>50.4</v>
      </c>
      <c r="CM230" s="214">
        <f t="shared" si="847"/>
        <v>23.971462544589773</v>
      </c>
      <c r="CN230" s="216">
        <f t="shared" si="848"/>
        <v>32</v>
      </c>
      <c r="CO230" s="216" t="e">
        <f>IF(PI230="","",IF(PI230&gt;0,HLOOKUP(PI230,$PJ$2:QQ230,NY230),""))</f>
        <v>#REF!</v>
      </c>
      <c r="CP230" s="21">
        <v>25</v>
      </c>
      <c r="CQ230" s="216" t="e">
        <f>IF(QR230="Menor","NO APLICA-MENOR 13 SEM",IF(AND(CC230="SI",CN230&gt;23),"NO APLICA- GEMELAR",IF(QR230="","",IF(QR230&gt;0,HLOOKUP(QR230,$QS$2:RU230,NY230),""))))</f>
        <v>#REF!</v>
      </c>
      <c r="CR230" s="21"/>
      <c r="CS230" s="21"/>
      <c r="CT230" s="217" t="str">
        <f>IF(R230="","",IF(AND(BS230&gt;1,BS230&lt;12,Tabla1[[#This Row],[T.A. SISTOLICA - ANTES DE SEMANA 12]]="",Tabla1[[#This Row],[T.A. DIASTOLICA - ANTES DE SEMANA 12]]=""),"REGISTRE DATO TA ANTES SEMANA 12",IF(AND(BS230&gt;11,BS230&lt;43,Tabla1[[#This Row],[T.A. SISTOLICA - ANTES DE SEMANA 12]]="",Tabla1[[#This Row],[T.A. DIASTOLICA - ANTES DE SEMANA 12]]=""),"NO APLICA REGISTRO TA-INGRESO TARDIO",IF(AND(OR(O230&gt;0,R230&gt;0),OR(CR230&gt;=140,CS230&gt;=90)),"DEFINIR ESTADIO HTA",IF(AND(OR(O230&gt;0,R230&gt;0),AND(CR230&gt;120,CR230&lt;=139)),"PRE HTA SEGUIMIENTO",IF(AND(OR(O230&gt;0,R230&gt;0),AND(CS230&gt;80,CS230&lt;=89)),"PRE HTA SEGUIMIENTO",IF(AND(OR(O230&gt;0,R230&gt;0),AND(CR230&gt;=80,CR230&lt;=120)),"APARENTEMENTE NORMAL",IF(AND(OR(O230&gt;0,R230&gt;0),AND(CS230&gt;=50,CS230&lt;=80)),"APARENTEMENTE NORMAL",IF(AND(OR(O230&gt;0,R230&gt;0),AND(CR230&gt;1,CR230&lt;=70),AND(CS230&gt;1,CS230&lt;=40)),"HIPOTENSIÓN","")))))))))</f>
        <v>NO APLICA REGISTRO TA-INGRESO TARDIO</v>
      </c>
      <c r="CU230" s="21"/>
      <c r="CV230" s="21"/>
      <c r="CW230" s="217" t="str">
        <f ca="1">IF(R230="","",IF(AND(CN230&gt;19,CN230&lt;27,Tabla1[[#This Row],[T.A. SISTOLICA (Entre semana 20 y 26)]]="",Tabla1[[#This Row],[T.A. DIATOLICA (Entre semana 20 y 26)]]=""),"ACUDE A CONTROL SEM 20 A 26 REGISTRE TA AHORA",IF(AND(BS230&gt;1,BS230&lt;27,BU230&gt;19,Tabla1[[#This Row],[T.A. SISTOLICA (Entre semana 20 y 26)]]="",Tabla1[[#This Row],[T.A. DIATOLICA (Entre semana 20 y 26)]]=""),"COMPLETE REGISTRO TA CONTROL SEM 20 A26 ",IF(AND(BS230&gt;26,BS230&lt;43,Tabla1[[#This Row],[T.A. SISTOLICA (Entre semana 20 y 26)]]="",Tabla1[[#This Row],[T.A. DIATOLICA (Entre semana 20 y 26)]]=""),"NO APLICA REGISTRO TA-INGRESO TARDIO",IF(AND(OR(O230&gt;0,R230&gt;0),OR(CU230&gt;=140,CV230&gt;=90)),"ALTO RIESGO PREECLAMPSIA,DEFINIR ESTADIO HTA",IF(AND(OR(O230&gt;0,R230&gt;0),AND(CU230&gt;120,CU230&lt;=139)),"PRE HTA SEGUIMIENTO,RIESGO HIPERTENSION INDUCIDA POR EL EMBARAZO",IF(AND(OR(O230&gt;0,R230&gt;0),AND(CV230&gt;80,CV230&lt;=89)),"PRE HTA SEGUIMIENTO, RIESGO HIPERTENSION INDUCIDA POR EL EMBARAZO",IF(AND(OR(O230&lt;&gt;"",R230&lt;&gt;""),CS230&lt;&gt;"",CV230&lt;&gt;"",CS230&lt;=CV230),"VIGILAR CIFRAS PRESION ARTERIAL",IF(AND(OR(O230&gt;0,R230&gt;0),AND(CU230&gt;120,CU230&lt;=139)),"PRE HTA SEGUIMIENTO",IF(AND(OR(O230&gt;0,R230&gt;0),AND(CU230&gt;1,CU230&lt;=70),AND(CV230&gt;1,CV230&lt;=40)),"HIPOTENSIÓN",IF(AND(OR(O230&lt;&gt;"",R230&lt;&gt;""),CS230&lt;&gt;"",CV230&lt;&gt;"",CS230&gt;CV230),"APARENTEMENTE NORMAL",IF(AND(OR(O230&gt;0,R230&gt;0),AND(CU230&gt;=80,CU230&lt;=120)),"APARENTEMENTE NORMAL",IF(AND(OR(O230&gt;0,R230&gt;0),AND(CV230&gt;=50,CV230&lt;=80)),"APARENTEMENTE NORMAL","")))))))))))))</f>
        <v>NO APLICA REGISTRO TA-INGRESO TARDIO</v>
      </c>
      <c r="CX230" s="21">
        <v>90</v>
      </c>
      <c r="CY230" s="21">
        <v>60</v>
      </c>
      <c r="CZ230" s="216" t="str">
        <f t="shared" si="1042"/>
        <v>APARENTEMENTE NORMAL</v>
      </c>
      <c r="DA230" s="21">
        <v>90</v>
      </c>
      <c r="DB230" s="21">
        <v>60</v>
      </c>
      <c r="DC230" s="217" t="str">
        <f t="shared" si="849"/>
        <v>APARENTEMENTE NORMAL</v>
      </c>
      <c r="DD230" s="22">
        <v>45079</v>
      </c>
      <c r="DE230" s="22">
        <v>45079</v>
      </c>
      <c r="DF230" s="22">
        <v>45112</v>
      </c>
      <c r="DG230" s="22"/>
      <c r="DH230" s="22"/>
      <c r="DI230" s="22"/>
      <c r="DJ230" s="22"/>
      <c r="DK230" s="22"/>
      <c r="DL230" s="22"/>
      <c r="DM230" s="22"/>
      <c r="DN230" s="22"/>
      <c r="DO230" s="22"/>
      <c r="DP230" s="22"/>
      <c r="DQ230" s="22"/>
      <c r="DR230" s="28"/>
      <c r="DS230" s="22"/>
      <c r="DT230" s="22"/>
      <c r="DU230" s="216" t="str">
        <f t="shared" ca="1" si="917"/>
        <v>SALE SIN PLAN DE PARTO</v>
      </c>
      <c r="DV230" s="226" t="str">
        <f t="shared" si="918"/>
        <v>SALIO PROGRAMA</v>
      </c>
      <c r="DW230" s="212" t="str">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NO APLICA</v>
      </c>
      <c r="DX230" s="216" t="str">
        <f t="shared" ca="1" si="850"/>
        <v>DILIGENCIAR FECHA SALIDA PROGRAMA</v>
      </c>
      <c r="DY230" s="212">
        <f>IF(R230="","",IF(R230&gt;0,MAX(Tabla1[[#This Row],[FECHA C2]:[FECHA C13]],Tabla1[[#This Row],[FECHA CONSULTA PRIMERA VEZ PROGRAMA CPN ]])))</f>
        <v>45112</v>
      </c>
      <c r="DZ230" s="216">
        <f t="shared" si="851"/>
        <v>32</v>
      </c>
      <c r="EA230" s="222">
        <f>IF(R230&gt;0,SUM(COUNTA(DF230:DQ230)+COUNTA(Tabla1[[#This Row],[FECHA CONSULTA PRIMERA VEZ PROGRAMA CPN ]])),"")</f>
        <v>2</v>
      </c>
      <c r="EB230" s="222" t="str">
        <f t="shared" si="852"/>
        <v>NO</v>
      </c>
      <c r="EC230" s="214">
        <f t="shared" si="853"/>
        <v>5</v>
      </c>
      <c r="ED230" s="227">
        <f t="shared" si="854"/>
        <v>0.4</v>
      </c>
      <c r="EE230" s="22">
        <v>45079</v>
      </c>
      <c r="EF230" s="22">
        <v>45079</v>
      </c>
      <c r="EG230" s="22">
        <v>45079</v>
      </c>
      <c r="EH230" s="22"/>
      <c r="EI230" s="22">
        <v>45079</v>
      </c>
      <c r="EJ230" s="22"/>
      <c r="EK230" s="22"/>
      <c r="EL230" s="21"/>
      <c r="EM230" s="21">
        <v>11.8</v>
      </c>
      <c r="EN230" s="22">
        <v>45083</v>
      </c>
      <c r="EO230" s="222">
        <f t="shared" si="855"/>
        <v>28.142857142857142</v>
      </c>
      <c r="EP230" s="214" t="str">
        <f t="shared" si="856"/>
        <v>NORMAL- SUMINISTRAR SULFATO FERROSO</v>
      </c>
      <c r="EQ230" s="216" t="str">
        <f t="shared" si="857"/>
        <v>III TRIM</v>
      </c>
      <c r="ER230" s="24"/>
      <c r="ES230" s="22"/>
      <c r="ET230" s="29" t="str">
        <f t="shared" ca="1" si="919"/>
        <v>TOMA DE HEMOGLOBINA TARDÍA</v>
      </c>
      <c r="EU230" s="25" t="str">
        <f t="shared" si="858"/>
        <v/>
      </c>
      <c r="EV230" s="24" t="s">
        <v>1510</v>
      </c>
      <c r="EW230" s="22"/>
      <c r="EX230" s="22">
        <v>45083</v>
      </c>
      <c r="EY230" s="29" t="str">
        <f t="shared" si="1040"/>
        <v>TOMAR EXAMEN</v>
      </c>
      <c r="EZ230" s="25" t="str">
        <f t="shared" si="1041"/>
        <v>SIN RIESGO DE ISOINMUNIZACIÓN</v>
      </c>
      <c r="FA230" s="21">
        <v>78</v>
      </c>
      <c r="FB230" s="22">
        <v>45083</v>
      </c>
      <c r="FC230" s="29" t="str">
        <f t="shared" si="859"/>
        <v>NO APLICA &gt; 23 SEM -TOMAR PTOG</v>
      </c>
      <c r="FD230" s="29"/>
      <c r="FE230" s="29"/>
      <c r="FF230" s="29"/>
      <c r="FG230" s="21" t="str">
        <f t="shared" ca="1" si="860"/>
        <v/>
      </c>
      <c r="FH230" s="31"/>
      <c r="FI230" s="29" t="str">
        <f t="shared" si="861"/>
        <v>TOMAR EXAMEN</v>
      </c>
      <c r="FJ230" s="22"/>
      <c r="FK230" s="22"/>
      <c r="FL230" s="29" t="str">
        <f t="shared" ca="1" si="862"/>
        <v>NO APLICA-INGRESO TARDIO</v>
      </c>
      <c r="FM230" s="22" t="s">
        <v>867</v>
      </c>
      <c r="FN230" s="32">
        <v>45083</v>
      </c>
      <c r="FO230" s="29" t="str">
        <f t="shared" ca="1" si="920"/>
        <v>REGISTRAR EN III TRIMESTRE</v>
      </c>
      <c r="FP230" s="22"/>
      <c r="FQ230" s="32"/>
      <c r="FR230" s="29" t="str">
        <f t="shared" ca="1" si="921"/>
        <v/>
      </c>
      <c r="FS230" s="22"/>
      <c r="FT230" s="32"/>
      <c r="FU230" s="29" t="str">
        <f>IF(AND(FJ230="",FM230="",FP230="",FS230=""),"",IF(OR(OR(Tabla1[[#This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0" s="28"/>
      <c r="FW230" s="22"/>
      <c r="FX230" s="29" t="str">
        <f t="shared" si="863"/>
        <v>TOMAR EXAMEN</v>
      </c>
      <c r="FY230" s="22"/>
      <c r="FZ230" s="22"/>
      <c r="GA230" s="29" t="str">
        <f t="shared" ca="1" si="936"/>
        <v>NO APLICA-INGRESO TARDIO</v>
      </c>
      <c r="GB230" s="22"/>
      <c r="GC230" s="22"/>
      <c r="GD230" s="29"/>
      <c r="GE230" s="22" t="s">
        <v>868</v>
      </c>
      <c r="GF230" s="22">
        <v>45083</v>
      </c>
      <c r="GG230" s="29">
        <f t="shared" ca="1" si="923"/>
        <v>28.142857142857142</v>
      </c>
      <c r="GH230" s="22"/>
      <c r="GI230" s="29"/>
      <c r="GJ230" s="22"/>
      <c r="GK230" s="22"/>
      <c r="GL230" s="22"/>
      <c r="GM230" s="22"/>
      <c r="GN230" s="28" t="s">
        <v>869</v>
      </c>
      <c r="GO230" s="22">
        <v>45083</v>
      </c>
      <c r="GP230" s="29">
        <f t="shared" si="864"/>
        <v>28.142857142857142</v>
      </c>
      <c r="GQ230" s="28" t="s">
        <v>869</v>
      </c>
      <c r="GR230" s="28" t="s">
        <v>869</v>
      </c>
      <c r="GS230" s="22" t="str">
        <f t="shared" si="1044"/>
        <v>CONTROL Igm</v>
      </c>
      <c r="GT230" s="22">
        <v>45083</v>
      </c>
      <c r="GU230" s="29">
        <f t="shared" si="865"/>
        <v>28.142857142857142</v>
      </c>
      <c r="GV230" s="21" t="str">
        <f t="shared" si="866"/>
        <v>III TRIM</v>
      </c>
      <c r="GW230" s="28"/>
      <c r="GX230" s="30"/>
      <c r="GY230" s="21"/>
      <c r="GZ230" s="21"/>
      <c r="HA230" s="21"/>
      <c r="HB230" s="21"/>
      <c r="HC230" s="21"/>
      <c r="HD230" s="21"/>
      <c r="HE230" s="21"/>
      <c r="HF230" s="22"/>
      <c r="HG230" s="22" t="str">
        <f>IF(OR(O230&gt;0,R230&gt;0),CONCATENATE(IF(Tabla1[[#This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0" s="22" t="e">
        <f t="shared" si="867"/>
        <v>#REF!</v>
      </c>
      <c r="HI230" s="22" t="e">
        <f t="shared" ca="1" si="868"/>
        <v>#REF!</v>
      </c>
      <c r="HJ230" s="21"/>
      <c r="HK230" s="21" t="str">
        <f t="shared" si="869"/>
        <v>SIN ANTECEDENTES DE RIESGO</v>
      </c>
      <c r="HL230" s="24" t="str">
        <f t="shared" si="870"/>
        <v>APARENTEMENTE NORMAL</v>
      </c>
      <c r="HM230" s="21" t="str">
        <f t="shared" ca="1" si="871"/>
        <v>DILIGENCIAR FECHA SALIDA PROGRAMA</v>
      </c>
      <c r="HN230" s="30" t="str">
        <f t="shared" si="924"/>
        <v>SALIO PROGRAMA</v>
      </c>
      <c r="HO230" s="21"/>
      <c r="HP230" s="21"/>
      <c r="HQ230" s="21"/>
      <c r="HR230" s="21" t="str">
        <f>IF(R230="","",IF(Tabla1[[#This Row],[ALARMA FACTORES DE RIESGO COMPLICACIONES HIPERTENSIVAS3]]="SIN ANTECEDENTES DE RIESGO","No Aplica para suministro de ASA",IF(AND(Tabla1[[#This Row],[FECHA INICIO DE SUMINISTRO DE ASA]]&gt;0,RV230&lt;12),"Inicia ASA ANTES de Sem 12",IF(AND(RV230&gt;11,RV230&lt;17,OR(HK230="RIESGO ALTO DE COMPLICACIONES HIPERTENSIVAS VER MANEJO GUIA SUMINISTRO ASA Y CALCIO",HK230="RIESGO MODERADO (2 O MAS CRITERIOS) VER MANEJO GUIA SUMINISTRO ASA Y CALCIO")),"Inicio oportuno de ASA",IF(AND(RV230&gt;12,OR(HK230="RIESGO ALTO DE COMPLICACIONES HIPERTENSIVAS VER MANEJO GUIA SUMINISTRO ASA Y CALCIO",HK230="RIESGO MODERADO (2 O MAS CRITERIOS) VER MANEJO GUIA SUMINISTRO ASA Y CALCIO")),"Inicio no oportuno mayor a 16 semanas",IF(AND(BU230&lt;12,OR(HK230="RIESGO ALTO DE COMPLICACIONES HIPERTENSIVAS VER MANEJO GUIA SUMINISTRO ASA Y CALCIO",HK230="RIESGO MODERADO (2 O MAS CRITERIOS) VER MANEJO GUIA SUMINISTRO ASA Y CALCIO")),"Pendiente Inicio de ASA a la semana 12",IF(AND(BU230&gt;11,BU230&lt;17,OR(HK230="RIESGO ALTO DE COMPLICACIONES HIPERTENSIVAS VER MANEJO GUIA SUMINISTRO ASA Y CALCIO",HK230="RIESGO MODERADO (2 O MAS CRITERIOS) VER MANEJO GUIA SUMINISTRO ASA Y CALCIO")),"Iniciar de inmediato ASA",IF(AND(BU230&gt;16,OR(HK230="RIESGO ALTO DE COMPLICACIONES HIPERTENSIVAS VER MANEJO GUIA SUMINISTRO ASA Y CALCIO",HK230="RIESGO MODERADO (2 O MAS CRITERIOS) VER MANEJO GUIA SUMINISTRO ASA Y CALCIO")),"Pierde Oportunidad, Inicio tardío de ASA","XXXXX"))))))))</f>
        <v>No Aplica para suministro de ASA</v>
      </c>
      <c r="HS230" s="22">
        <v>45079</v>
      </c>
      <c r="HT230" s="22" t="s">
        <v>1518</v>
      </c>
      <c r="HU230" s="22"/>
      <c r="HV230" s="22"/>
      <c r="HW230" s="22">
        <v>45079</v>
      </c>
      <c r="HX230" s="22" t="s">
        <v>1511</v>
      </c>
      <c r="HY230" s="22"/>
      <c r="HZ230" s="28" t="str">
        <f t="shared" si="872"/>
        <v>PENDIENTE CONSULTA</v>
      </c>
      <c r="IA230" s="26"/>
      <c r="IB230" s="26"/>
      <c r="IC230" s="111"/>
      <c r="ID230" s="22"/>
      <c r="IE230" s="22" t="str">
        <f t="shared" ca="1" si="873"/>
        <v>SALE SIN VACUNA</v>
      </c>
      <c r="IF230" s="22"/>
      <c r="IG230" s="22">
        <f t="shared" si="874"/>
        <v>45166</v>
      </c>
      <c r="IH230" s="29">
        <f t="shared" ca="1" si="875"/>
        <v>-67</v>
      </c>
      <c r="II230" s="22" t="str">
        <f t="shared" ca="1" si="876"/>
        <v>POSIBLEMENTE NACIO</v>
      </c>
      <c r="IJ230" s="22"/>
      <c r="IK230" s="21" t="s">
        <v>898</v>
      </c>
      <c r="IL230" s="21"/>
      <c r="IM230" s="34"/>
      <c r="IN230" s="349"/>
      <c r="IO230" s="21"/>
      <c r="IP230" s="29" t="str">
        <f t="shared" si="877"/>
        <v/>
      </c>
      <c r="IQ230" s="35"/>
      <c r="IR230" s="21"/>
      <c r="IS230" s="21"/>
      <c r="IT230" s="21"/>
      <c r="IU230" s="21"/>
      <c r="IV230" s="21"/>
      <c r="IW230" s="21"/>
      <c r="IX230" s="21"/>
      <c r="IY230" s="21"/>
      <c r="IZ230" s="21"/>
      <c r="JA230" s="21"/>
      <c r="JB230" s="30"/>
      <c r="JC230" s="21"/>
      <c r="JD230" s="36"/>
      <c r="JE230" s="21" t="str">
        <f t="shared" si="878"/>
        <v/>
      </c>
      <c r="JF230" s="30"/>
      <c r="JG230" s="21"/>
      <c r="JH230" s="21"/>
      <c r="JI230" s="21"/>
      <c r="JJ230" s="30"/>
      <c r="JK230" s="22"/>
      <c r="JL230" s="22"/>
      <c r="JM230" s="21"/>
      <c r="JN230" s="36"/>
      <c r="JO230" s="21" t="str">
        <f t="shared" si="879"/>
        <v/>
      </c>
      <c r="JP230" s="22"/>
      <c r="JQ230" s="21"/>
      <c r="JR230" s="21"/>
      <c r="JS230" s="21"/>
      <c r="JT230" s="30"/>
      <c r="JU230" s="22"/>
      <c r="JV230" s="22"/>
      <c r="JW230" s="33"/>
      <c r="JX230" s="28" t="str">
        <f t="shared" si="880"/>
        <v/>
      </c>
      <c r="JY230" s="33"/>
      <c r="JZ230" s="28" t="str">
        <f t="shared" si="881"/>
        <v/>
      </c>
      <c r="KA230" s="21"/>
      <c r="KB230" s="21"/>
      <c r="KC230" s="21"/>
      <c r="KD230" s="37"/>
      <c r="KE230" s="28"/>
      <c r="KF230" s="28"/>
      <c r="KG230" s="28"/>
      <c r="KH230" s="39"/>
      <c r="KI230" s="39"/>
      <c r="KJ230" s="66"/>
      <c r="KK230" s="39"/>
      <c r="KL230" s="39"/>
      <c r="KM230" s="66"/>
      <c r="KN230" s="39"/>
      <c r="KO230" s="39"/>
      <c r="KP230" s="39"/>
      <c r="KQ230" s="39"/>
      <c r="KR230" s="39"/>
      <c r="KS230" s="39"/>
      <c r="KT230" s="39"/>
      <c r="KU230" s="38"/>
      <c r="KV230" s="38"/>
      <c r="KW230" s="38"/>
      <c r="KX230" s="38"/>
      <c r="KY230" s="38"/>
      <c r="KZ230" s="38"/>
      <c r="LA230" s="38"/>
      <c r="LB230" s="38"/>
      <c r="LC230" s="38"/>
      <c r="LD230" s="38"/>
      <c r="LE230" s="38"/>
      <c r="LF230" s="38"/>
      <c r="LG230" s="38"/>
      <c r="LH230" s="38"/>
      <c r="LI230" s="38"/>
      <c r="LJ230" s="38"/>
      <c r="LK230" s="38"/>
      <c r="LL230" s="38"/>
      <c r="LM230" s="38"/>
      <c r="LN230" s="38"/>
      <c r="LO230" s="38"/>
      <c r="LP230" s="38"/>
      <c r="LQ230" s="38"/>
      <c r="LR230" s="38"/>
      <c r="LS230" s="38"/>
      <c r="LT230" s="38"/>
      <c r="LU230" s="38"/>
      <c r="LV230" s="38"/>
      <c r="LW230" s="38"/>
      <c r="LX230" s="38"/>
      <c r="LY230" s="38"/>
      <c r="LZ230" s="38"/>
      <c r="MA230" s="38"/>
      <c r="MB230" s="38"/>
      <c r="MC230" s="38"/>
      <c r="MD230" s="38"/>
      <c r="ME230" s="38"/>
      <c r="MF230" s="38"/>
      <c r="MG230" s="38"/>
      <c r="MH230" s="43">
        <f t="shared" si="882"/>
        <v>0</v>
      </c>
      <c r="MI230" s="43" t="str">
        <f t="shared" si="926"/>
        <v/>
      </c>
      <c r="MJ230" s="43" t="str">
        <f t="shared" si="884"/>
        <v/>
      </c>
      <c r="MK230" s="43">
        <f t="shared" si="885"/>
        <v>0</v>
      </c>
      <c r="ML23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0" s="43">
        <f t="shared" si="927"/>
        <v>27.571428571428573</v>
      </c>
      <c r="MN230" s="43">
        <f t="shared" si="928"/>
        <v>6</v>
      </c>
      <c r="MO230" s="43">
        <f t="shared" si="929"/>
        <v>2023</v>
      </c>
      <c r="MP230" s="43" t="str">
        <f t="shared" si="889"/>
        <v>II TRIMESTRE AÑO</v>
      </c>
      <c r="MQ230" s="43">
        <f t="shared" si="930"/>
        <v>18.320192728865525</v>
      </c>
      <c r="MR230" s="43">
        <f t="shared" si="891"/>
        <v>0</v>
      </c>
      <c r="MS230" s="43" t="str">
        <f t="shared" si="892"/>
        <v>DE 14 A 19AÑOS</v>
      </c>
      <c r="MT230" s="43">
        <f t="shared" si="893"/>
        <v>0</v>
      </c>
      <c r="MU230" s="43">
        <f t="shared" si="894"/>
        <v>1</v>
      </c>
      <c r="MV230" s="43">
        <f t="shared" si="895"/>
        <v>0</v>
      </c>
      <c r="MW230" s="43">
        <f t="shared" si="896"/>
        <v>0</v>
      </c>
      <c r="MX230" s="43" t="str">
        <f t="shared" si="897"/>
        <v/>
      </c>
      <c r="MY230" s="43" t="str">
        <f t="shared" ca="1" si="898"/>
        <v/>
      </c>
      <c r="MZ230" s="43" t="str">
        <f t="shared" si="899"/>
        <v/>
      </c>
      <c r="NA230" s="43">
        <f t="shared" si="900"/>
        <v>0</v>
      </c>
      <c r="NB230" s="43" t="str">
        <f t="shared" si="901"/>
        <v/>
      </c>
      <c r="NC230" s="43" t="str">
        <f t="shared" si="902"/>
        <v/>
      </c>
      <c r="ND230" s="43">
        <f t="shared" ca="1" si="931"/>
        <v>1</v>
      </c>
      <c r="NE230" s="43">
        <f>IF(OR(O230&gt;0,R230&gt;0),SUM(COUNTIF(Tabla1[[#This Row],[AÑOS AL INICIO5 CPN]],"&gt;=40"),COUNTIF(AS230,"0"),COUNTIF(AR230,"SI"),COUNTIF(CC230,"SI"),COUNTIF(BQ230,"&gt;119"),COUNTIF(CI230,"&gt;=35")),"")</f>
        <v>1</v>
      </c>
      <c r="NF230" s="43" t="str">
        <f t="shared" si="932"/>
        <v/>
      </c>
      <c r="NG230" s="43">
        <f t="shared" si="905"/>
        <v>0</v>
      </c>
      <c r="NH230" s="43">
        <f t="shared" si="906"/>
        <v>262.5</v>
      </c>
      <c r="NI230" s="43" t="str">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CPN",P230="NO"),"Z",IF(AND(Tabla1[[#This Row],[CITA PROXIMO CONTROL]]="CITA MANUAL",Tabla1[[#This Row],[GESTANTES ACTUALES]]="ACTIVA INGRESO A CPN"),"W",IF(AND(Tabla1[[#This Row],[GESTANTES ACTUALES]]="SALIO PROGRAMA",IN230=""),"S",IF(AND(Tabla1[[#This Row],[CITA PROXIMO CONTROL]]&gt;0,IN230=""),(Tabla1[[#This Row],[CITA PROXIMO CONTROL]]-TODAY()),"SD"))))))))</f>
        <v>S</v>
      </c>
      <c r="NJ230" s="43">
        <f>MONTH(Tabla1[[#This Row],[FECHA DE SALIDA  DEL PROGRAMA]])</f>
        <v>1</v>
      </c>
      <c r="NK230" s="43">
        <f>YEAR(Tabla1[[#This Row],[FECHA DE SALIDA  DEL PROGRAMA]])</f>
        <v>1900</v>
      </c>
      <c r="NL230" s="43" t="str">
        <f t="shared" si="933"/>
        <v>X</v>
      </c>
      <c r="NM230" s="43" t="str">
        <f t="shared" si="938"/>
        <v>NO</v>
      </c>
      <c r="NN230" s="43" t="str">
        <f ca="1">IF(AND(O230&gt;0,R230=""),"NO CPN",IF(AND(O230="",R230=""),"",IF(AND(R230&gt;0,Tabla1[[#This Row],[SEMANAS DE GESTACION ACTUALIZADAS]]&lt;=12),"NO APLICA",IF(AND(FH230&lt;&gt;"",FN230&lt;&gt;""),"SI","NO"))))</f>
        <v>NO</v>
      </c>
      <c r="NO230" s="43" t="str">
        <f ca="1">IF(AND(O230&gt;0,R230=""),"NO CPN",IF(AND(O230="",R230=""),"",IF(AND(R230&gt;0,Tabla1[[#This Row],[SEMANAS DE GESTACION ACTUALIZADAS]]&lt;=27),"NO APLICA",IF(AND(ES230&lt;&gt;"",FQ230&lt;&gt;"",GF230&lt;&gt;""),"SI","NO"))))</f>
        <v>NO</v>
      </c>
      <c r="NP230" s="204" t="str">
        <f t="shared" si="909"/>
        <v>III TRIM</v>
      </c>
      <c r="NQ230" s="21" t="str">
        <f t="shared" si="1043"/>
        <v/>
      </c>
      <c r="NR230" s="21" t="str">
        <f t="shared" ca="1" si="934"/>
        <v>REVISAR FUM O FECHA SALIDA PROGRAMA</v>
      </c>
      <c r="NS230" s="205">
        <f t="shared" ca="1" si="911"/>
        <v>0</v>
      </c>
      <c r="NT230" s="21">
        <f t="shared" ca="1" si="912"/>
        <v>1</v>
      </c>
      <c r="NU230" s="21" t="str">
        <f t="shared" ca="1" si="913"/>
        <v>POR DEFINIR</v>
      </c>
      <c r="NV230" s="21" t="str">
        <f t="shared" ca="1" si="914"/>
        <v>POR DEFINIR</v>
      </c>
      <c r="NW230" s="206" t="str">
        <f>IF(AND(O230="",R230=""),"",IF(OR(AND(Tabla1[[#This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0" s="207" t="str">
        <f t="shared" ca="1" si="935"/>
        <v>SIN VACUNAR</v>
      </c>
      <c r="NY230" s="43">
        <f>ROW(Tabla1[[#This Row],['# DE TAMIZAJES SIFILIS TOMADOS ]])</f>
        <v>230</v>
      </c>
      <c r="NZ230" s="43">
        <f t="shared" si="939"/>
        <v>27</v>
      </c>
      <c r="OA230" s="43" t="str">
        <f t="shared" si="940"/>
        <v/>
      </c>
      <c r="OB230" s="43" t="str">
        <f t="shared" si="941"/>
        <v/>
      </c>
      <c r="OC230" s="43" t="str">
        <f t="shared" si="942"/>
        <v/>
      </c>
      <c r="OD230" s="43" t="str">
        <f t="shared" si="943"/>
        <v/>
      </c>
      <c r="OE230" s="43" t="str">
        <f t="shared" si="944"/>
        <v/>
      </c>
      <c r="OF230" s="43" t="str">
        <f t="shared" si="945"/>
        <v/>
      </c>
      <c r="OG230" s="43" t="str">
        <f t="shared" si="946"/>
        <v/>
      </c>
      <c r="OH230" s="43" t="str">
        <f t="shared" si="947"/>
        <v/>
      </c>
      <c r="OI230" s="43" t="str">
        <f t="shared" si="948"/>
        <v/>
      </c>
      <c r="OJ230" s="43" t="str">
        <f t="shared" si="949"/>
        <v/>
      </c>
      <c r="OK230" s="43" t="str">
        <f t="shared" si="950"/>
        <v/>
      </c>
      <c r="OL230" s="43" t="str">
        <f t="shared" si="951"/>
        <v/>
      </c>
      <c r="OM230" s="43" t="str">
        <f t="shared" si="952"/>
        <v/>
      </c>
      <c r="ON230" s="43" t="str">
        <f t="shared" si="953"/>
        <v/>
      </c>
      <c r="OO230" s="43" t="str">
        <f t="shared" si="954"/>
        <v/>
      </c>
      <c r="OP230" s="43" t="str">
        <f t="shared" si="955"/>
        <v/>
      </c>
      <c r="OQ230" s="43" t="str">
        <f t="shared" si="956"/>
        <v/>
      </c>
      <c r="OR230" s="43" t="str">
        <f t="shared" si="957"/>
        <v/>
      </c>
      <c r="OS230" s="43" t="str">
        <f t="shared" si="958"/>
        <v>BAJO PESO</v>
      </c>
      <c r="OT230" s="43" t="str">
        <f t="shared" si="959"/>
        <v/>
      </c>
      <c r="OU230" s="43" t="str">
        <f t="shared" si="960"/>
        <v/>
      </c>
      <c r="OV230" s="110" t="str">
        <f t="shared" si="961"/>
        <v/>
      </c>
      <c r="OW230" s="43" t="str">
        <f t="shared" si="962"/>
        <v/>
      </c>
      <c r="OX230" s="43" t="str">
        <f t="shared" si="963"/>
        <v/>
      </c>
      <c r="OY230" s="43" t="str">
        <f t="shared" si="964"/>
        <v/>
      </c>
      <c r="OZ230" s="43" t="str">
        <f t="shared" si="965"/>
        <v/>
      </c>
      <c r="PA230" s="43" t="str">
        <f t="shared" si="966"/>
        <v/>
      </c>
      <c r="PB230" s="43" t="str">
        <f t="shared" si="967"/>
        <v/>
      </c>
      <c r="PC230" s="43" t="str">
        <f t="shared" si="968"/>
        <v/>
      </c>
      <c r="PD230" s="43" t="str">
        <f t="shared" si="969"/>
        <v/>
      </c>
      <c r="PE230" s="43" t="str">
        <f t="shared" si="970"/>
        <v/>
      </c>
      <c r="PF230" s="43" t="str">
        <f t="shared" si="971"/>
        <v/>
      </c>
      <c r="PG230" s="43" t="str">
        <f t="shared" si="972"/>
        <v/>
      </c>
      <c r="PH230" s="43" t="str">
        <f t="shared" si="973"/>
        <v/>
      </c>
      <c r="PI230" s="43">
        <f t="shared" si="974"/>
        <v>32</v>
      </c>
      <c r="PJ230" s="43" t="str">
        <f t="shared" si="975"/>
        <v/>
      </c>
      <c r="PK230" s="43" t="str">
        <f t="shared" si="976"/>
        <v/>
      </c>
      <c r="PL230" s="43" t="str">
        <f t="shared" si="977"/>
        <v/>
      </c>
      <c r="PM230" s="43" t="str">
        <f t="shared" si="978"/>
        <v/>
      </c>
      <c r="PN230" s="43" t="str">
        <f t="shared" si="979"/>
        <v/>
      </c>
      <c r="PO230" s="43" t="str">
        <f t="shared" si="980"/>
        <v/>
      </c>
      <c r="PP230" s="43" t="str">
        <f t="shared" si="981"/>
        <v/>
      </c>
      <c r="PQ230" s="43" t="str">
        <f t="shared" si="982"/>
        <v/>
      </c>
      <c r="PR230" s="43" t="str">
        <f t="shared" si="983"/>
        <v/>
      </c>
      <c r="PS230" s="43" t="str">
        <f t="shared" si="984"/>
        <v/>
      </c>
      <c r="PT230" s="43" t="str">
        <f t="shared" si="985"/>
        <v/>
      </c>
      <c r="PU230" s="43" t="str">
        <f t="shared" si="986"/>
        <v/>
      </c>
      <c r="PV230" s="43" t="str">
        <f t="shared" si="987"/>
        <v/>
      </c>
      <c r="PW230" s="43" t="str">
        <f t="shared" si="988"/>
        <v/>
      </c>
      <c r="PX230" s="43" t="str">
        <f t="shared" si="989"/>
        <v/>
      </c>
      <c r="PY230" s="43" t="str">
        <f t="shared" si="990"/>
        <v/>
      </c>
      <c r="PZ230" s="43" t="str">
        <f t="shared" si="991"/>
        <v/>
      </c>
      <c r="QA230" s="43" t="str">
        <f t="shared" si="992"/>
        <v/>
      </c>
      <c r="QB230" s="43" t="str">
        <f t="shared" si="993"/>
        <v/>
      </c>
      <c r="QC230" s="43" t="str">
        <f t="shared" si="994"/>
        <v/>
      </c>
      <c r="QD230" s="43" t="str">
        <f t="shared" si="995"/>
        <v/>
      </c>
      <c r="QE230" s="43" t="str">
        <f t="shared" si="996"/>
        <v/>
      </c>
      <c r="QF230" s="43" t="str">
        <f t="shared" si="997"/>
        <v/>
      </c>
      <c r="QG230" s="43" t="str">
        <f t="shared" si="998"/>
        <v>NORMAL</v>
      </c>
      <c r="QH230" s="43" t="str">
        <f t="shared" si="999"/>
        <v/>
      </c>
      <c r="QI230" s="43" t="str">
        <f t="shared" si="1000"/>
        <v/>
      </c>
      <c r="QJ230" s="43" t="str">
        <f t="shared" si="1001"/>
        <v/>
      </c>
      <c r="QK230" s="43" t="str">
        <f t="shared" si="1002"/>
        <v/>
      </c>
      <c r="QL230" s="43" t="str">
        <f t="shared" si="1003"/>
        <v/>
      </c>
      <c r="QM230" s="43" t="str">
        <f t="shared" si="1004"/>
        <v/>
      </c>
      <c r="QN230" s="43" t="str">
        <f t="shared" si="1005"/>
        <v/>
      </c>
      <c r="QO230" s="43" t="str">
        <f t="shared" si="1006"/>
        <v/>
      </c>
      <c r="QP230" s="43" t="str">
        <f t="shared" si="1007"/>
        <v/>
      </c>
      <c r="QQ230" s="43" t="str">
        <f t="shared" si="1008"/>
        <v/>
      </c>
      <c r="QR230" s="43">
        <f t="shared" si="1009"/>
        <v>32</v>
      </c>
      <c r="QS230" s="43"/>
      <c r="QT230" s="21" t="str">
        <f t="shared" si="1010"/>
        <v/>
      </c>
      <c r="QU230" s="21" t="str">
        <f t="shared" si="1011"/>
        <v/>
      </c>
      <c r="QV230" s="21" t="str">
        <f t="shared" si="1012"/>
        <v/>
      </c>
      <c r="QW230" s="21" t="str">
        <f t="shared" si="1013"/>
        <v/>
      </c>
      <c r="QX230" s="21" t="str">
        <f t="shared" si="1014"/>
        <v/>
      </c>
      <c r="QY230" s="21" t="str">
        <f t="shared" si="1015"/>
        <v/>
      </c>
      <c r="QZ230" s="21" t="str">
        <f t="shared" si="1016"/>
        <v/>
      </c>
      <c r="RA230" s="21" t="str">
        <f t="shared" si="1017"/>
        <v/>
      </c>
      <c r="RB230" s="21" t="str">
        <f t="shared" si="1018"/>
        <v/>
      </c>
      <c r="RC230" s="21" t="str">
        <f t="shared" si="1019"/>
        <v/>
      </c>
      <c r="RD230" s="21" t="str">
        <f t="shared" si="1020"/>
        <v/>
      </c>
      <c r="RE230" s="21" t="str">
        <f t="shared" si="1021"/>
        <v/>
      </c>
      <c r="RF230" s="21" t="str">
        <f t="shared" si="1022"/>
        <v/>
      </c>
      <c r="RG230" s="21" t="str">
        <f t="shared" si="1023"/>
        <v/>
      </c>
      <c r="RH230" s="21" t="str">
        <f t="shared" si="1024"/>
        <v/>
      </c>
      <c r="RI230" s="21" t="str">
        <f t="shared" si="1025"/>
        <v/>
      </c>
      <c r="RJ230" s="21" t="str">
        <f t="shared" si="1026"/>
        <v/>
      </c>
      <c r="RK230" s="21" t="str">
        <f t="shared" si="1027"/>
        <v/>
      </c>
      <c r="RL230" s="21" t="str">
        <f t="shared" si="1028"/>
        <v/>
      </c>
      <c r="RM230" s="21" t="str">
        <f t="shared" si="1029"/>
        <v>ADECUADO PARA EDAD GESTACIONAL</v>
      </c>
      <c r="RN230" s="21" t="str">
        <f t="shared" si="1030"/>
        <v/>
      </c>
      <c r="RO230" s="21" t="str">
        <f t="shared" si="1031"/>
        <v/>
      </c>
      <c r="RP230" s="21" t="str">
        <f t="shared" si="1032"/>
        <v/>
      </c>
      <c r="RQ230" s="21" t="str">
        <f t="shared" si="1033"/>
        <v/>
      </c>
      <c r="RR230" s="21" t="str">
        <f t="shared" si="1034"/>
        <v/>
      </c>
      <c r="RS230" s="21" t="str">
        <f t="shared" si="1035"/>
        <v/>
      </c>
      <c r="RT230" s="21" t="str">
        <f t="shared" si="1036"/>
        <v/>
      </c>
      <c r="RU230" s="21" t="str">
        <f t="shared" si="1037"/>
        <v/>
      </c>
      <c r="RV230" s="21">
        <f t="shared" si="1038"/>
        <v>-1</v>
      </c>
      <c r="RW230" s="284">
        <f>IF(OR(Tabla1[[#This Row],[FUM FORMULA CONFIABLE]]="",Tabla1[[#This Row],[FUM FORMULA CONFIABLE]]="SD"),"",IF(Tabla1[[#This Row],[FUM FORMULA CONFIABLE]]="CORREGIDA",Tabla1[[#This Row],[FUM X ECO 1]],Tabla1[[#This Row],[FUM x AMENORREA]]))</f>
        <v>44886</v>
      </c>
      <c r="RX230" s="21">
        <f>IF(AND(Tabla1[[#This Row],[FUM X ECO 1]]="",Tabla1[[#This Row],[FUM x AMENORREA]]=""),"",IF(AND(Tabla1[[#This Row],[FUM X ECO 1]]="",Tabla1[[#This Row],[FUM x AMENORREA]]&lt;&gt;""),"X",SUM(Tabla1[[#This Row],[FUM X ECO 1]]-Tabla1[[#This Row],[FUM x AMENORREA]])))</f>
        <v>0.5</v>
      </c>
      <c r="RY230" s="21">
        <f t="shared" si="1039"/>
        <v>0</v>
      </c>
    </row>
    <row r="231" spans="1:493" ht="45" customHeight="1" x14ac:dyDescent="0.25">
      <c r="A231" s="109"/>
      <c r="B231" s="43"/>
      <c r="C231" s="299" t="s">
        <v>845</v>
      </c>
      <c r="D231" s="124"/>
      <c r="E231" s="43" t="s">
        <v>1621</v>
      </c>
      <c r="F231" s="43" t="s">
        <v>1622</v>
      </c>
      <c r="G231" s="43" t="s">
        <v>1619</v>
      </c>
      <c r="H231" s="43" t="s">
        <v>1620</v>
      </c>
      <c r="I231" s="109" t="s">
        <v>851</v>
      </c>
      <c r="J231" s="110">
        <v>1104776221</v>
      </c>
      <c r="K231" s="43" t="s">
        <v>852</v>
      </c>
      <c r="L231" s="175" t="s">
        <v>1509</v>
      </c>
      <c r="M231" s="22">
        <v>33654</v>
      </c>
      <c r="N231" s="213">
        <f t="shared" ca="1" si="839"/>
        <v>31.723287671232878</v>
      </c>
      <c r="O231" s="22">
        <v>45110</v>
      </c>
      <c r="P231" s="214" t="str">
        <f t="shared" si="916"/>
        <v>SI</v>
      </c>
      <c r="Q231" s="26" t="s">
        <v>855</v>
      </c>
      <c r="R231" s="22">
        <v>45110</v>
      </c>
      <c r="S231" s="21" t="s">
        <v>856</v>
      </c>
      <c r="T231" s="24" t="s">
        <v>690</v>
      </c>
      <c r="U231" s="21" t="s">
        <v>857</v>
      </c>
      <c r="V231" s="21" t="s">
        <v>858</v>
      </c>
      <c r="W231" s="21" t="s">
        <v>955</v>
      </c>
      <c r="X231" s="21" t="s">
        <v>955</v>
      </c>
      <c r="Y231" s="21" t="s">
        <v>955</v>
      </c>
      <c r="Z231" s="21">
        <v>3187661161</v>
      </c>
      <c r="AA231" s="21" t="s">
        <v>860</v>
      </c>
      <c r="AB231" s="27" t="s">
        <v>861</v>
      </c>
      <c r="AC231" s="26" t="s">
        <v>888</v>
      </c>
      <c r="AD231" s="38" t="s">
        <v>1546</v>
      </c>
      <c r="AE231" s="26" t="s">
        <v>854</v>
      </c>
      <c r="AF231" s="26" t="s">
        <v>854</v>
      </c>
      <c r="AG231" s="23" t="s">
        <v>864</v>
      </c>
      <c r="AH231" s="23" t="s">
        <v>864</v>
      </c>
      <c r="AI231" s="24" t="s">
        <v>863</v>
      </c>
      <c r="AJ231" s="23" t="s">
        <v>864</v>
      </c>
      <c r="AK231" s="220" t="str">
        <f>IF(AND(AD231="",AE231="",AF231="",AG231="",AH231="",AI231="",AJ231=""),"",IF(OR(Tabla1[[#This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EVALUACIÓN",IF(AND(O231="",R231=""),"",IF(AND(OR(O231&gt;0,R231&gt;0),NG231&gt;=0,NG231&lt;2),"SIN RIESGO",IF(AND(OR(O231&gt;0,R231&gt;0),NG231&gt;=2),"CON RIESGO","ASD")))))</f>
        <v>SIN RIESGO</v>
      </c>
      <c r="AL231" s="26" t="s">
        <v>864</v>
      </c>
      <c r="AM231" s="26" t="s">
        <v>864</v>
      </c>
      <c r="AN231" s="26" t="s">
        <v>864</v>
      </c>
      <c r="AO231" s="26" t="s">
        <v>864</v>
      </c>
      <c r="AP231" s="26" t="s">
        <v>864</v>
      </c>
      <c r="AQ231" s="26" t="s">
        <v>864</v>
      </c>
      <c r="AR231" s="26" t="s">
        <v>864</v>
      </c>
      <c r="AS231" s="21">
        <v>2</v>
      </c>
      <c r="AT231" s="21">
        <v>2</v>
      </c>
      <c r="AU231" s="21">
        <v>0</v>
      </c>
      <c r="AV231" s="26" t="s">
        <v>864</v>
      </c>
      <c r="AW231" s="21">
        <v>0</v>
      </c>
      <c r="AX231" s="26" t="s">
        <v>864</v>
      </c>
      <c r="AY231" s="26" t="s">
        <v>864</v>
      </c>
      <c r="AZ231" s="26" t="s">
        <v>864</v>
      </c>
      <c r="BA231" s="26" t="s">
        <v>864</v>
      </c>
      <c r="BB231" s="26" t="s">
        <v>864</v>
      </c>
      <c r="BC231" s="26" t="s">
        <v>864</v>
      </c>
      <c r="BD231" s="26" t="s">
        <v>864</v>
      </c>
      <c r="BE231" s="26" t="s">
        <v>864</v>
      </c>
      <c r="BF231" s="26" t="s">
        <v>864</v>
      </c>
      <c r="BG231" s="26" t="s">
        <v>864</v>
      </c>
      <c r="BH231" s="26" t="s">
        <v>864</v>
      </c>
      <c r="BI231" s="26" t="s">
        <v>864</v>
      </c>
      <c r="BJ231" s="26" t="s">
        <v>864</v>
      </c>
      <c r="BK231" s="26" t="s">
        <v>864</v>
      </c>
      <c r="BL231" s="26" t="s">
        <v>864</v>
      </c>
      <c r="BM231" s="26" t="s">
        <v>864</v>
      </c>
      <c r="BN231" s="22">
        <v>42019</v>
      </c>
      <c r="BO231" s="22">
        <v>45048</v>
      </c>
      <c r="BP231" s="21" t="s">
        <v>854</v>
      </c>
      <c r="BQ231" s="222">
        <f t="shared" si="840"/>
        <v>100.96666666666667</v>
      </c>
      <c r="BR231" s="223">
        <f t="shared" si="841"/>
        <v>45048.2</v>
      </c>
      <c r="BS231" s="224">
        <f t="shared" si="842"/>
        <v>8.8571428571428577</v>
      </c>
      <c r="BT231" s="216" t="str">
        <f t="shared" si="843"/>
        <v>I TRIM</v>
      </c>
      <c r="BU231" s="214">
        <f t="shared" ca="1" si="925"/>
        <v>26.428571428571427</v>
      </c>
      <c r="BV231" s="25" t="s">
        <v>988</v>
      </c>
      <c r="BW231" s="22">
        <v>45149</v>
      </c>
      <c r="BX231" s="28">
        <v>14.4</v>
      </c>
      <c r="BY231" s="28"/>
      <c r="BZ231" s="22"/>
      <c r="CA231" s="21"/>
      <c r="CB231" s="26" t="s">
        <v>864</v>
      </c>
      <c r="CC231" s="26" t="s">
        <v>864</v>
      </c>
      <c r="CD231" s="26" t="s">
        <v>865</v>
      </c>
      <c r="CE231" s="26" t="s">
        <v>864</v>
      </c>
      <c r="CF231" s="22" t="s">
        <v>1517</v>
      </c>
      <c r="CG231" s="21">
        <v>1.44</v>
      </c>
      <c r="CH231" s="21">
        <v>43</v>
      </c>
      <c r="CI231" s="214">
        <f t="shared" si="845"/>
        <v>20.736882716049383</v>
      </c>
      <c r="CJ231" s="225" t="str">
        <f>IF(AND(CI231&lt;10,CH231="SD"),"SIN DATO PESO PREGESTACION O I TRIM",IF(AND(OR(R231&gt;0,O231&gt;0),CI231="X"),"INGRESAR DATO DE PESO",IF(CI231="SD","INGRESAR DATO DE TALLA Y PESO",IF(AND(OR(Tabla1[[#This Row],[MOMENTO EN QUE SE REALIZA EL PESO AL INGRESO A CPN]]="PREGESTACIÓN",NZ231="Menor"),CI231&lt;18.5),"BAJO PESO",IF(AND(OR(Tabla1[[#This Row],[MOMENTO EN QUE SE REALIZA EL PESO AL INGRESO A CPN]]="PREGESTACIÓN",NZ231="Menor"),CI231&lt;25),"NORMAL",IF(AND(OR(Tabla1[[#This Row],[MOMENTO EN QUE SE REALIZA EL PESO AL INGRESO A CPN]]="PREGESTACIÓN",NZ231="Menor"),CI231&lt;30),"SOBREPESO",IF(AND(OR(Tabla1[[#This Row],[MOMENTO EN QUE SE REALIZA EL PESO AL INGRESO A CPN]]="PREGESTACIÓN",NZ231="Menor"),CI231&gt;=30,CI231&lt;50),"OBESIDAD",IF(AND(BS231&gt;0,Tabla1[[#This Row],[MOMENTO EN QUE SE REALIZA EL PESO AL INGRESO A CPN]]="GESTACIÓN"),HLOOKUP(NZ231,$OA$2:PH231,NY231),""))))))))</f>
        <v>NORMAL</v>
      </c>
      <c r="CK231" s="212">
        <f t="shared" si="846"/>
        <v>45149</v>
      </c>
      <c r="CL231" s="21">
        <v>44</v>
      </c>
      <c r="CM231" s="214">
        <f t="shared" si="847"/>
        <v>21.219135802469136</v>
      </c>
      <c r="CN231" s="216">
        <f t="shared" si="848"/>
        <v>14</v>
      </c>
      <c r="CO231" s="216" t="e">
        <f>IF(PI231="","",IF(PI231&gt;0,HLOOKUP(PI231,$PJ$2:QQ231,NY231),""))</f>
        <v>#REF!</v>
      </c>
      <c r="CP231" s="21"/>
      <c r="CQ231" s="216" t="e">
        <f>IF(QR231="Menor","NO APLICA-MENOR 13 SEM",IF(AND(CC231="SI",CN231&gt;23),"NO APLICA- GEMELAR",IF(QR231="","",IF(QR231&gt;0,HLOOKUP(QR231,$QS$2:RU231,NY231),""))))</f>
        <v>#REF!</v>
      </c>
      <c r="CR231" s="21">
        <v>90</v>
      </c>
      <c r="CS231" s="21">
        <v>60</v>
      </c>
      <c r="CT231" s="217" t="str">
        <f>IF(R231="","",IF(AND(BS231&gt;1,BS231&lt;12,Tabla1[[#This Row],[T.A. SISTOLICA - ANTES DE SEMANA 12]]="",Tabla1[[#This Row],[T.A. DIASTOLICA - ANTES DE SEMANA 12]]=""),"REGISTRE DATO TA ANTES SEMANA 12",IF(AND(BS231&gt;11,BS231&lt;43,Tabla1[[#This Row],[T.A. SISTOLICA - ANTES DE SEMANA 12]]="",Tabla1[[#This Row],[T.A. DIASTOLICA - ANTES DE SEMANA 12]]=""),"NO APLICA REGISTRO TA-INGRESO TARDIO",IF(AND(OR(O231&gt;0,R231&gt;0),OR(CR231&gt;=140,CS231&gt;=90)),"DEFINIR ESTADIO HTA",IF(AND(OR(O231&gt;0,R231&gt;0),AND(CR231&gt;120,CR231&lt;=139)),"PRE HTA SEGUIMIENTO",IF(AND(OR(O231&gt;0,R231&gt;0),AND(CS231&gt;80,CS231&lt;=89)),"PRE HTA SEGUIMIENTO",IF(AND(OR(O231&gt;0,R231&gt;0),AND(CR231&gt;=80,CR231&lt;=120)),"APARENTEMENTE NORMAL",IF(AND(OR(O231&gt;0,R231&gt;0),AND(CS231&gt;=50,CS231&lt;=80)),"APARENTEMENTE NORMAL",IF(AND(OR(O231&gt;0,R231&gt;0),AND(CR231&gt;1,CR231&lt;=70),AND(CS231&gt;1,CS231&lt;=40)),"HIPOTENSIÓN","")))))))))</f>
        <v>APARENTEMENTE NORMAL</v>
      </c>
      <c r="CU231" s="21"/>
      <c r="CV231" s="21"/>
      <c r="CW231" s="217" t="str">
        <f ca="1">IF(R231="","",IF(AND(CN231&gt;19,CN231&lt;27,Tabla1[[#This Row],[T.A. SISTOLICA (Entre semana 20 y 26)]]="",Tabla1[[#This Row],[T.A. DIATOLICA (Entre semana 20 y 26)]]=""),"ACUDE A CONTROL SEM 20 A 26 REGISTRE TA AHORA",IF(AND(BS231&gt;1,BS231&lt;27,BU231&gt;19,Tabla1[[#This Row],[T.A. SISTOLICA (Entre semana 20 y 26)]]="",Tabla1[[#This Row],[T.A. DIATOLICA (Entre semana 20 y 26)]]=""),"COMPLETE REGISTRO TA CONTROL SEM 20 A26 ",IF(AND(BS231&gt;26,BS231&lt;43,Tabla1[[#This Row],[T.A. SISTOLICA (Entre semana 20 y 26)]]="",Tabla1[[#This Row],[T.A. DIATOLICA (Entre semana 20 y 26)]]=""),"NO APLICA REGISTRO TA-INGRESO TARDIO",IF(AND(OR(O231&gt;0,R231&gt;0),OR(CU231&gt;=140,CV231&gt;=90)),"ALTO RIESGO PREECLAMPSIA,DEFINIR ESTADIO HTA",IF(AND(OR(O231&gt;0,R231&gt;0),AND(CU231&gt;120,CU231&lt;=139)),"PRE HTA SEGUIMIENTO,RIESGO HIPERTENSION INDUCIDA POR EL EMBARAZO",IF(AND(OR(O231&gt;0,R231&gt;0),AND(CV231&gt;80,CV231&lt;=89)),"PRE HTA SEGUIMIENTO, RIESGO HIPERTENSION INDUCIDA POR EL EMBARAZO",IF(AND(OR(O231&lt;&gt;"",R231&lt;&gt;""),CS231&lt;&gt;"",CV231&lt;&gt;"",CS231&lt;=CV231),"VIGILAR CIFRAS PRESION ARTERIAL",IF(AND(OR(O231&gt;0,R231&gt;0),AND(CU231&gt;120,CU231&lt;=139)),"PRE HTA SEGUIMIENTO",IF(AND(OR(O231&gt;0,R231&gt;0),AND(CU231&gt;1,CU231&lt;=70),AND(CV231&gt;1,CV231&lt;=40)),"HIPOTENSIÓN",IF(AND(OR(O231&lt;&gt;"",R231&lt;&gt;""),CS231&lt;&gt;"",CV231&lt;&gt;"",CS231&gt;CV231),"APARENTEMENTE NORMAL",IF(AND(OR(O231&gt;0,R231&gt;0),AND(CU231&gt;=80,CU231&lt;=120)),"APARENTEMENTE NORMAL",IF(AND(OR(O231&gt;0,R231&gt;0),AND(CV231&gt;=50,CV231&lt;=80)),"APARENTEMENTE NORMAL","")))))))))))))</f>
        <v xml:space="preserve">COMPLETE REGISTRO TA CONTROL SEM 20 A26 </v>
      </c>
      <c r="CX231" s="21"/>
      <c r="CY231" s="21"/>
      <c r="CZ231" s="216" t="str">
        <f t="shared" si="1042"/>
        <v/>
      </c>
      <c r="DA231" s="21">
        <v>90</v>
      </c>
      <c r="DB231" s="21">
        <v>60</v>
      </c>
      <c r="DC231" s="217" t="str">
        <f t="shared" si="849"/>
        <v>APARENTEMENTE NORMAL</v>
      </c>
      <c r="DD231" s="22">
        <v>45110</v>
      </c>
      <c r="DE231" s="22">
        <v>45110</v>
      </c>
      <c r="DF231" s="22">
        <v>45149</v>
      </c>
      <c r="DG231" s="22"/>
      <c r="DH231" s="22"/>
      <c r="DI231" s="22"/>
      <c r="DJ231" s="22"/>
      <c r="DK231" s="22"/>
      <c r="DL231" s="22"/>
      <c r="DM231" s="22"/>
      <c r="DN231" s="22"/>
      <c r="DO231" s="22"/>
      <c r="DP231" s="22"/>
      <c r="DQ231" s="22"/>
      <c r="DR231" s="28"/>
      <c r="DS231" s="22"/>
      <c r="DT231" s="22"/>
      <c r="DU231" s="216" t="str">
        <f t="shared" ca="1" si="917"/>
        <v>EN ESPERA</v>
      </c>
      <c r="DV231" s="226" t="str">
        <f t="shared" si="918"/>
        <v>ACTIVA INGRESO A CPN</v>
      </c>
      <c r="DW23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1" s="216" t="e">
        <f t="shared" ca="1" si="850"/>
        <v>#REF!</v>
      </c>
      <c r="DY231" s="212">
        <f>IF(R231="","",IF(R231&gt;0,MAX(Tabla1[[#This Row],[FECHA C2]:[FECHA C13]],Tabla1[[#This Row],[FECHA CONSULTA PRIMERA VEZ PROGRAMA CPN ]])))</f>
        <v>45149</v>
      </c>
      <c r="DZ231" s="216">
        <f t="shared" si="851"/>
        <v>14</v>
      </c>
      <c r="EA231" s="222">
        <f>IF(R231&gt;0,SUM(COUNTA(DF231:DQ231)+COUNTA(Tabla1[[#This Row],[FECHA CONSULTA PRIMERA VEZ PROGRAMA CPN ]])),"")</f>
        <v>2</v>
      </c>
      <c r="EB231" s="222" t="str">
        <f t="shared" si="852"/>
        <v>NO</v>
      </c>
      <c r="EC231" s="214">
        <f t="shared" si="853"/>
        <v>9</v>
      </c>
      <c r="ED231" s="227">
        <f t="shared" si="854"/>
        <v>0.22222222222222221</v>
      </c>
      <c r="EE231" s="22">
        <v>45110</v>
      </c>
      <c r="EF231" s="22">
        <v>45149</v>
      </c>
      <c r="EG231" s="22">
        <v>45110</v>
      </c>
      <c r="EH231" s="22">
        <v>45133</v>
      </c>
      <c r="EI231" s="22">
        <v>45110</v>
      </c>
      <c r="EJ231" s="22">
        <v>45134</v>
      </c>
      <c r="EK231" s="22"/>
      <c r="EL231" s="21"/>
      <c r="EM231" s="21">
        <v>12.9</v>
      </c>
      <c r="EN231" s="22">
        <v>45115</v>
      </c>
      <c r="EO231" s="222">
        <f t="shared" si="855"/>
        <v>9.5714285714285712</v>
      </c>
      <c r="EP231" s="214" t="str">
        <f t="shared" si="856"/>
        <v>NORMAL- SUMINISTRAR SULFATO FERROSO</v>
      </c>
      <c r="EQ231" s="216" t="str">
        <f t="shared" si="857"/>
        <v>I TRIM</v>
      </c>
      <c r="ER231" s="24"/>
      <c r="ES231" s="22"/>
      <c r="ET231" s="29" t="str">
        <f t="shared" ca="1" si="919"/>
        <v>TOMA HEMOGLOBINA A SEM 28 EN 1 SEMANA</v>
      </c>
      <c r="EU231" s="25" t="str">
        <f t="shared" si="858"/>
        <v/>
      </c>
      <c r="EV231" s="24" t="s">
        <v>1510</v>
      </c>
      <c r="EW231" s="22">
        <v>45115</v>
      </c>
      <c r="EX231" s="22"/>
      <c r="EY231" s="29">
        <f t="shared" si="1040"/>
        <v>9.5714285714285712</v>
      </c>
      <c r="EZ231" s="25" t="str">
        <f t="shared" si="1041"/>
        <v>SIN RIESGO DE ISOINMUNIZACIÓN</v>
      </c>
      <c r="FA231" s="21">
        <v>37</v>
      </c>
      <c r="FB231" s="22">
        <v>45115</v>
      </c>
      <c r="FC231" s="29">
        <f t="shared" si="859"/>
        <v>9.5714285714285712</v>
      </c>
      <c r="FD231" s="29"/>
      <c r="FE231" s="29"/>
      <c r="FF231" s="29"/>
      <c r="FG231" s="21" t="str">
        <f t="shared" ca="1" si="860"/>
        <v>TOMAR PTOG</v>
      </c>
      <c r="FH231" s="31"/>
      <c r="FI231" s="29" t="str">
        <f t="shared" si="861"/>
        <v>TOMAR EXAMEN</v>
      </c>
      <c r="FJ231" s="22" t="s">
        <v>867</v>
      </c>
      <c r="FK231" s="22">
        <v>45115</v>
      </c>
      <c r="FL231" s="29">
        <f t="shared" ca="1" si="862"/>
        <v>9.5714285714285712</v>
      </c>
      <c r="FM231" s="22"/>
      <c r="FN231" s="32"/>
      <c r="FO231" s="29" t="str">
        <f t="shared" ca="1" si="920"/>
        <v>TOMA INMEDIATA DE TAMIZAJE</v>
      </c>
      <c r="FP231" s="22"/>
      <c r="FQ231" s="32"/>
      <c r="FR231" s="29" t="str">
        <f t="shared" ca="1" si="921"/>
        <v>EN ESPERA-ESTÁ I TRIM O II TRIM</v>
      </c>
      <c r="FS231" s="22"/>
      <c r="FT231" s="32"/>
      <c r="FU231" s="29" t="str">
        <f>IF(AND(FJ231="",FM231="",FP231="",FS231=""),"",IF(OR(OR(Tabla1[[#This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1" s="28"/>
      <c r="FW231" s="22"/>
      <c r="FX231" s="29" t="str">
        <f t="shared" si="863"/>
        <v>TOMAR EXAMEN</v>
      </c>
      <c r="FY231" s="22" t="s">
        <v>868</v>
      </c>
      <c r="FZ231" s="22">
        <v>45115</v>
      </c>
      <c r="GA231" s="29">
        <f t="shared" ca="1" si="936"/>
        <v>9.5714285714285712</v>
      </c>
      <c r="GB231" s="22"/>
      <c r="GC231" s="22"/>
      <c r="GD231" s="29" t="str">
        <f t="shared" ref="GD231:GD248" ca="1" si="1045">IF(AND(BT231="ERROR FUM O INGRESO",GC231&gt;0),"ERROR FUM O INGRESO",IF(AND(GC231="",R231="",O231=""),"",IF(AND(GC231&lt;&gt;"",GC231&lt;RW231), "INCOHERENCIA FUM Y FECHA TAMIZAJE",IF(AND(GC231="",DV231="ACTIVA INGRESO A CPN",AND(BU231&gt;0,BU231&lt;13)),"EN ESPERA-ESTÁ I TRIM", IF(AND(GC231="",AND(BS231&gt;0, BS231&lt;12),OR(O231&gt;0,R231&gt;0),AND(IP231&gt;0,IP231&lt;13)),"NO APLICA-SALIO DEL PROGRAMA I TRIM",IF(AND(GC231&lt;&gt;"",AND(SUM((GC231-RW231)/7)&gt;0,SUM((GC231-RW231)/7)&lt;13)),"REGISTRAR EN I TRIMESTRE",IF(AND(GC231&lt;&gt;"",AND(SUM((GC231-RW231)/7)&gt;=27,SUM((GC231-RW231)/7)&lt;44)),"REGISTRAR EN III TRIMESTRE",IF(AND(GC231="",OR(O231&gt;0,R231&gt;0),AND(BU231&gt;=12,BU231&lt;25),DV231="ACTIVA INGRESO A CPN"),"EN RANGO PARA TOMAR EXAMEN",IF(AND(GC231="",OR(O231&gt;0,R231&gt;0),AND(BU231&gt;=25,BU231&lt;27),DV231="ACTIVA INGRESO A CPN"),"TOMA INMEDIATA DE TAMIZAJE",IF(AND(GC231="",OR(O231&gt;0,R231&gt;0),AND(BS231&gt;=27,BS231&lt;43)),"NO APLICA-INGRESO TARDIO",IF(AND(GC231="",BS231&lt;27),"PIERDE TOMA DE TAMIZAJE",IF(GC231&gt;0,SUM(GC231-RW231)/7,""))))))))))))</f>
        <v>TOMA INMEDIATA DE TAMIZAJE</v>
      </c>
      <c r="GE231" s="22"/>
      <c r="GF231" s="22"/>
      <c r="GG231" s="29" t="str">
        <f t="shared" ca="1" si="923"/>
        <v>EN ESPERA-ESTÁ I TRIM O II TRIM</v>
      </c>
      <c r="GH231" s="22"/>
      <c r="GI231" s="29"/>
      <c r="GJ231" s="22"/>
      <c r="GK231" s="22"/>
      <c r="GL231" s="22"/>
      <c r="GM231" s="22"/>
      <c r="GN231" s="28" t="s">
        <v>869</v>
      </c>
      <c r="GO231" s="22">
        <v>45115</v>
      </c>
      <c r="GP231" s="29">
        <f t="shared" si="864"/>
        <v>9.5714285714285712</v>
      </c>
      <c r="GQ231" s="28" t="s">
        <v>869</v>
      </c>
      <c r="GR231" s="28" t="s">
        <v>869</v>
      </c>
      <c r="GS231" s="22" t="str">
        <f t="shared" si="1044"/>
        <v>CONTROL Igm</v>
      </c>
      <c r="GT231" s="22">
        <v>45115</v>
      </c>
      <c r="GU231" s="29">
        <f t="shared" si="865"/>
        <v>9.5714285714285712</v>
      </c>
      <c r="GV231" s="21" t="str">
        <f t="shared" si="866"/>
        <v>I TRIM</v>
      </c>
      <c r="GW231" s="28"/>
      <c r="GX231" s="30"/>
      <c r="GY231" s="21"/>
      <c r="GZ231" s="21"/>
      <c r="HA231" s="21"/>
      <c r="HB231" s="21"/>
      <c r="HC231" s="21"/>
      <c r="HD231" s="21"/>
      <c r="HE231" s="21"/>
      <c r="HF231" s="22"/>
      <c r="HG231" s="22" t="str">
        <f>IF(OR(O231&gt;0,R231&gt;0),CONCATENATE(IF(Tabla1[[#This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1" s="22" t="e">
        <f t="shared" si="867"/>
        <v>#REF!</v>
      </c>
      <c r="HI231" s="22" t="e">
        <f t="shared" ca="1" si="868"/>
        <v>#REF!</v>
      </c>
      <c r="HJ231" s="21"/>
      <c r="HK231" s="21" t="str">
        <f t="shared" si="869"/>
        <v>SIN ANTECEDENTES DE RIESGO</v>
      </c>
      <c r="HL231" s="24" t="str">
        <f t="shared" si="870"/>
        <v>APARENTEMENTE NORMAL</v>
      </c>
      <c r="HM231" s="21" t="e">
        <f t="shared" ca="1" si="871"/>
        <v>#REF!</v>
      </c>
      <c r="HN231" s="30" t="str">
        <f t="shared" si="924"/>
        <v>ACTIVA INGRESO A CPN</v>
      </c>
      <c r="HO231" s="21"/>
      <c r="HP231" s="21"/>
      <c r="HQ231" s="349"/>
      <c r="HR231" s="21" t="str">
        <f>IF(R231="","",IF(Tabla1[[#This Row],[ALARMA FACTORES DE RIESGO COMPLICACIONES HIPERTENSIVAS3]]="SIN ANTECEDENTES DE RIESGO","No Aplica para suministro de ASA",IF(AND(Tabla1[[#This Row],[FECHA INICIO DE SUMINISTRO DE ASA]]&gt;0,RV231&lt;12),"Inicia ASA ANTES de Sem 12",IF(AND(RV231&gt;11,RV231&lt;17,OR(HK231="RIESGO ALTO DE COMPLICACIONES HIPERTENSIVAS VER MANEJO GUIA SUMINISTRO ASA Y CALCIO",HK231="RIESGO MODERADO (2 O MAS CRITERIOS) VER MANEJO GUIA SUMINISTRO ASA Y CALCIO")),"Inicio oportuno de ASA",IF(AND(RV231&gt;12,OR(HK231="RIESGO ALTO DE COMPLICACIONES HIPERTENSIVAS VER MANEJO GUIA SUMINISTRO ASA Y CALCIO",HK231="RIESGO MODERADO (2 O MAS CRITERIOS) VER MANEJO GUIA SUMINISTRO ASA Y CALCIO")),"Inicio no oportuno mayor a 16 semanas",IF(AND(BU231&lt;12,OR(HK231="RIESGO ALTO DE COMPLICACIONES HIPERTENSIVAS VER MANEJO GUIA SUMINISTRO ASA Y CALCIO",HK231="RIESGO MODERADO (2 O MAS CRITERIOS) VER MANEJO GUIA SUMINISTRO ASA Y CALCIO")),"Pendiente Inicio de ASA a la semana 12",IF(AND(BU231&gt;11,BU231&lt;17,OR(HK231="RIESGO ALTO DE COMPLICACIONES HIPERTENSIVAS VER MANEJO GUIA SUMINISTRO ASA Y CALCIO",HK231="RIESGO MODERADO (2 O MAS CRITERIOS) VER MANEJO GUIA SUMINISTRO ASA Y CALCIO")),"Iniciar de inmediato ASA",IF(AND(BU231&gt;16,OR(HK231="RIESGO ALTO DE COMPLICACIONES HIPERTENSIVAS VER MANEJO GUIA SUMINISTRO ASA Y CALCIO",HK231="RIESGO MODERADO (2 O MAS CRITERIOS) VER MANEJO GUIA SUMINISTRO ASA Y CALCIO")),"Pierde Oportunidad, Inicio tardío de ASA","XXXXX"))))))))</f>
        <v>No Aplica para suministro de ASA</v>
      </c>
      <c r="HS231" s="22">
        <v>45110</v>
      </c>
      <c r="HT231" s="22" t="s">
        <v>1505</v>
      </c>
      <c r="HU231" s="22">
        <v>45110</v>
      </c>
      <c r="HV231" s="22" t="s">
        <v>1506</v>
      </c>
      <c r="HW231" s="22">
        <v>45110</v>
      </c>
      <c r="HX231" s="22" t="s">
        <v>1511</v>
      </c>
      <c r="HY231" s="22">
        <v>45110</v>
      </c>
      <c r="HZ231" s="28">
        <f t="shared" si="872"/>
        <v>8.8571428571428577</v>
      </c>
      <c r="IA231" s="26"/>
      <c r="IB231" s="26"/>
      <c r="IC231" s="111"/>
      <c r="ID231" s="22"/>
      <c r="IE231" s="22" t="str">
        <f t="shared" ca="1" si="873"/>
        <v>PROGRAMAR APLICACION DE VACUNA</v>
      </c>
      <c r="IF231" s="22"/>
      <c r="IG231" s="22">
        <f t="shared" si="874"/>
        <v>45328</v>
      </c>
      <c r="IH231" s="29">
        <f t="shared" ca="1" si="875"/>
        <v>95</v>
      </c>
      <c r="II231" s="22" t="str">
        <f t="shared" ca="1" si="876"/>
        <v>PENDIENTE</v>
      </c>
      <c r="IJ231" s="22"/>
      <c r="IK231" s="21"/>
      <c r="IL231" s="21"/>
      <c r="IM231" s="34"/>
      <c r="IN231" s="22"/>
      <c r="IO231" s="21"/>
      <c r="IP231" s="29" t="str">
        <f t="shared" si="877"/>
        <v/>
      </c>
      <c r="IQ231" s="35"/>
      <c r="IR231" s="21"/>
      <c r="IS231" s="21"/>
      <c r="IT231" s="21"/>
      <c r="IU231" s="21"/>
      <c r="IV231" s="21"/>
      <c r="IW231" s="21"/>
      <c r="IX231" s="21"/>
      <c r="IY231" s="21"/>
      <c r="IZ231" s="21"/>
      <c r="JA231" s="21"/>
      <c r="JB231" s="30"/>
      <c r="JC231" s="21"/>
      <c r="JD231" s="36"/>
      <c r="JE231" s="21" t="str">
        <f t="shared" si="878"/>
        <v/>
      </c>
      <c r="JF231" s="30"/>
      <c r="JG231" s="21"/>
      <c r="JH231" s="21"/>
      <c r="JI231" s="21"/>
      <c r="JJ231" s="30"/>
      <c r="JK231" s="22"/>
      <c r="JL231" s="22"/>
      <c r="JM231" s="21"/>
      <c r="JN231" s="36"/>
      <c r="JO231" s="21" t="str">
        <f t="shared" si="879"/>
        <v/>
      </c>
      <c r="JP231" s="22"/>
      <c r="JQ231" s="21"/>
      <c r="JR231" s="21"/>
      <c r="JS231" s="21"/>
      <c r="JT231" s="30"/>
      <c r="JU231" s="22"/>
      <c r="JV231" s="22"/>
      <c r="JW231" s="33"/>
      <c r="JX231" s="28" t="str">
        <f t="shared" si="880"/>
        <v/>
      </c>
      <c r="JY231" s="33"/>
      <c r="JZ231" s="28" t="str">
        <f t="shared" si="881"/>
        <v/>
      </c>
      <c r="KA231" s="21"/>
      <c r="KB231" s="21"/>
      <c r="KC231" s="21"/>
      <c r="KD231" s="37"/>
      <c r="KE231" s="28"/>
      <c r="KF231" s="28"/>
      <c r="KG231" s="28"/>
      <c r="KH231" s="39"/>
      <c r="KI231" s="39"/>
      <c r="KJ231" s="66"/>
      <c r="KK231" s="39"/>
      <c r="KL231" s="39"/>
      <c r="KM231" s="66"/>
      <c r="KN231" s="39"/>
      <c r="KO231" s="39"/>
      <c r="KP231" s="39"/>
      <c r="KQ231" s="39"/>
      <c r="KR231" s="39"/>
      <c r="KS231" s="39"/>
      <c r="KT231" s="39"/>
      <c r="KU231" s="38"/>
      <c r="KV231" s="38"/>
      <c r="KW231" s="38"/>
      <c r="KX231" s="38"/>
      <c r="KY231" s="38"/>
      <c r="KZ231" s="38"/>
      <c r="LA231" s="38"/>
      <c r="LB231" s="38"/>
      <c r="LC231" s="38"/>
      <c r="LD231" s="38"/>
      <c r="LE231" s="38"/>
      <c r="LF231" s="38"/>
      <c r="LG231" s="38"/>
      <c r="LH231" s="38"/>
      <c r="LI231" s="38"/>
      <c r="LJ231" s="38"/>
      <c r="LK231" s="38"/>
      <c r="LL231" s="38"/>
      <c r="LM231" s="38"/>
      <c r="LN231" s="38"/>
      <c r="LO231" s="38"/>
      <c r="LP231" s="38"/>
      <c r="LQ231" s="38"/>
      <c r="LR231" s="38"/>
      <c r="LS231" s="38"/>
      <c r="LT231" s="38"/>
      <c r="LU231" s="38"/>
      <c r="LV231" s="38"/>
      <c r="LW231" s="38"/>
      <c r="LX231" s="38"/>
      <c r="LY231" s="38"/>
      <c r="LZ231" s="38"/>
      <c r="MA231" s="38"/>
      <c r="MB231" s="38"/>
      <c r="MC231" s="38"/>
      <c r="MD231" s="38"/>
      <c r="ME231" s="38"/>
      <c r="MF231" s="38"/>
      <c r="MG231" s="38"/>
      <c r="MH231" s="43">
        <f t="shared" si="882"/>
        <v>0</v>
      </c>
      <c r="MI231" s="43" t="str">
        <f t="shared" si="926"/>
        <v/>
      </c>
      <c r="MJ231" s="43" t="str">
        <f t="shared" si="884"/>
        <v/>
      </c>
      <c r="MK231" s="43">
        <f t="shared" si="885"/>
        <v>0</v>
      </c>
      <c r="ML23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1" s="43">
        <f t="shared" si="927"/>
        <v>8.8571428571428577</v>
      </c>
      <c r="MN231" s="43">
        <f t="shared" si="928"/>
        <v>7</v>
      </c>
      <c r="MO231" s="43">
        <f t="shared" si="929"/>
        <v>2023</v>
      </c>
      <c r="MP231" s="43" t="str">
        <f t="shared" si="889"/>
        <v>III TRIMESTRE AÑO</v>
      </c>
      <c r="MQ231" s="43">
        <f t="shared" si="930"/>
        <v>30.916009636443274</v>
      </c>
      <c r="MR231" s="43">
        <f t="shared" si="891"/>
        <v>0</v>
      </c>
      <c r="MS231" s="43" t="str">
        <f t="shared" si="892"/>
        <v xml:space="preserve"> DE 30 A 34 AÑOS</v>
      </c>
      <c r="MT231" s="43">
        <f t="shared" si="893"/>
        <v>0</v>
      </c>
      <c r="MU231" s="43">
        <f t="shared" si="894"/>
        <v>0</v>
      </c>
      <c r="MV231" s="43">
        <f t="shared" si="895"/>
        <v>0</v>
      </c>
      <c r="MW231" s="43">
        <f t="shared" si="896"/>
        <v>0</v>
      </c>
      <c r="MX231" s="43" t="str">
        <f t="shared" si="897"/>
        <v/>
      </c>
      <c r="MY231" s="43" t="str">
        <f t="shared" ca="1" si="898"/>
        <v/>
      </c>
      <c r="MZ231" s="43" t="str">
        <f t="shared" si="899"/>
        <v/>
      </c>
      <c r="NA231" s="43">
        <f t="shared" si="900"/>
        <v>0</v>
      </c>
      <c r="NB231" s="43" t="str">
        <f t="shared" si="901"/>
        <v/>
      </c>
      <c r="NC231" s="43" t="str">
        <f t="shared" si="902"/>
        <v/>
      </c>
      <c r="ND231" s="43">
        <f t="shared" ca="1" si="931"/>
        <v>0</v>
      </c>
      <c r="NE231" s="43">
        <f>IF(OR(O231&gt;0,R231&gt;0),SUM(COUNTIF(Tabla1[[#This Row],[AÑOS AL INICIO5 CPN]],"&gt;=40"),COUNTIF(AS231,"0"),COUNTIF(AR231,"SI"),COUNTIF(CC231,"SI"),COUNTIF(BQ231,"&gt;119"),COUNTIF(CI231,"&gt;=35")),"")</f>
        <v>0</v>
      </c>
      <c r="NF231" s="43" t="str">
        <f t="shared" si="932"/>
        <v/>
      </c>
      <c r="NG231" s="43">
        <f t="shared" si="905"/>
        <v>0</v>
      </c>
      <c r="NH231" s="43">
        <f t="shared" si="906"/>
        <v>100.8</v>
      </c>
      <c r="NI23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CPN",P231="NO"),"Z",IF(AND(Tabla1[[#This Row],[CITA PROXIMO CONTROL]]="CITA MANUAL",Tabla1[[#This Row],[GESTANTES ACTUALES]]="ACTIVA INGRESO A CPN"),"W",IF(AND(Tabla1[[#This Row],[GESTANTES ACTUALES]]="SALIO PROGRAMA",IN231=""),"S",IF(AND(Tabla1[[#This Row],[CITA PROXIMO CONTROL]]&gt;0,IN231=""),(Tabla1[[#This Row],[CITA PROXIMO CONTROL]]-TODAY()),"SD"))))))))</f>
        <v>#REF!</v>
      </c>
      <c r="NJ231" s="43">
        <f>MONTH(Tabla1[[#This Row],[FECHA DE SALIDA  DEL PROGRAMA]])</f>
        <v>1</v>
      </c>
      <c r="NK231" s="43">
        <f>YEAR(Tabla1[[#This Row],[FECHA DE SALIDA  DEL PROGRAMA]])</f>
        <v>1900</v>
      </c>
      <c r="NL231" s="43">
        <f t="shared" si="933"/>
        <v>24</v>
      </c>
      <c r="NM231" s="43" t="str">
        <f t="shared" si="938"/>
        <v>NO</v>
      </c>
      <c r="NN231" s="43" t="str">
        <f ca="1">IF(AND(O231&gt;0,R231=""),"NO CPN",IF(AND(O231="",R231=""),"",IF(AND(R231&gt;0,Tabla1[[#This Row],[SEMANAS DE GESTACION ACTUALIZADAS]]&lt;=12),"NO APLICA",IF(AND(FH231&lt;&gt;"",FN231&lt;&gt;""),"SI","NO"))))</f>
        <v>NO</v>
      </c>
      <c r="NO231" s="43" t="str">
        <f ca="1">IF(AND(O231&gt;0,R231=""),"NO CPN",IF(AND(O231="",R231=""),"",IF(AND(R231&gt;0,Tabla1[[#This Row],[SEMANAS DE GESTACION ACTUALIZADAS]]&lt;=27),"NO APLICA",IF(AND(ES231&lt;&gt;"",FQ231&lt;&gt;"",GF231&lt;&gt;""),"SI","NO"))))</f>
        <v>NO APLICA</v>
      </c>
      <c r="NP231" s="204" t="str">
        <f t="shared" si="909"/>
        <v>I TRIM</v>
      </c>
      <c r="NQ231" s="21" t="str">
        <f t="shared" si="1043"/>
        <v/>
      </c>
      <c r="NR231" s="21">
        <f t="shared" ca="1" si="934"/>
        <v>2</v>
      </c>
      <c r="NS231" s="205">
        <f t="shared" ca="1" si="911"/>
        <v>1</v>
      </c>
      <c r="NT231" s="21">
        <f t="shared" ca="1" si="912"/>
        <v>1</v>
      </c>
      <c r="NU231" s="21" t="str">
        <f t="shared" ca="1" si="913"/>
        <v>INCOMPLETO</v>
      </c>
      <c r="NV231" s="21" t="str">
        <f t="shared" ca="1" si="914"/>
        <v>INCOMPLETO</v>
      </c>
      <c r="NW231" s="206" t="str">
        <f>IF(AND(O231="",R231=""),"",IF(OR(AND(Tabla1[[#This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1" s="207" t="str">
        <f t="shared" ca="1" si="935"/>
        <v>SIN VACUNAR</v>
      </c>
      <c r="NY231" s="43">
        <f>ROW(Tabla1[[#This Row],['# DE TAMIZAJES SIFILIS TOMADOS ]])</f>
        <v>231</v>
      </c>
      <c r="NZ231" s="43" t="str">
        <f t="shared" si="939"/>
        <v>Menor</v>
      </c>
      <c r="OA231" s="43" t="str">
        <f t="shared" si="940"/>
        <v>NORMAL</v>
      </c>
      <c r="OB231" s="43" t="str">
        <f t="shared" si="941"/>
        <v/>
      </c>
      <c r="OC231" s="43" t="str">
        <f t="shared" si="942"/>
        <v/>
      </c>
      <c r="OD231" s="43" t="str">
        <f t="shared" si="943"/>
        <v/>
      </c>
      <c r="OE231" s="43" t="str">
        <f t="shared" si="944"/>
        <v/>
      </c>
      <c r="OF231" s="43" t="str">
        <f t="shared" si="945"/>
        <v/>
      </c>
      <c r="OG231" s="43" t="str">
        <f t="shared" si="946"/>
        <v/>
      </c>
      <c r="OH231" s="43" t="str">
        <f t="shared" si="947"/>
        <v/>
      </c>
      <c r="OI231" s="43" t="str">
        <f t="shared" si="948"/>
        <v/>
      </c>
      <c r="OJ231" s="43" t="str">
        <f t="shared" si="949"/>
        <v/>
      </c>
      <c r="OK231" s="43" t="str">
        <f t="shared" si="950"/>
        <v/>
      </c>
      <c r="OL231" s="43" t="str">
        <f t="shared" si="951"/>
        <v/>
      </c>
      <c r="OM231" s="43" t="str">
        <f t="shared" si="952"/>
        <v/>
      </c>
      <c r="ON231" s="43" t="str">
        <f t="shared" si="953"/>
        <v/>
      </c>
      <c r="OO231" s="43" t="str">
        <f t="shared" si="954"/>
        <v/>
      </c>
      <c r="OP231" s="43" t="str">
        <f t="shared" si="955"/>
        <v/>
      </c>
      <c r="OQ231" s="43" t="str">
        <f t="shared" si="956"/>
        <v/>
      </c>
      <c r="OR231" s="43" t="str">
        <f t="shared" si="957"/>
        <v/>
      </c>
      <c r="OS231" s="43" t="str">
        <f t="shared" si="958"/>
        <v/>
      </c>
      <c r="OT231" s="43" t="str">
        <f t="shared" si="959"/>
        <v/>
      </c>
      <c r="OU231" s="43" t="str">
        <f t="shared" si="960"/>
        <v/>
      </c>
      <c r="OV231" s="110" t="str">
        <f t="shared" si="961"/>
        <v/>
      </c>
      <c r="OW231" s="43" t="str">
        <f t="shared" si="962"/>
        <v/>
      </c>
      <c r="OX231" s="43" t="str">
        <f t="shared" si="963"/>
        <v/>
      </c>
      <c r="OY231" s="43" t="str">
        <f t="shared" si="964"/>
        <v/>
      </c>
      <c r="OZ231" s="43" t="str">
        <f t="shared" si="965"/>
        <v/>
      </c>
      <c r="PA231" s="43" t="str">
        <f t="shared" si="966"/>
        <v/>
      </c>
      <c r="PB231" s="43" t="str">
        <f t="shared" si="967"/>
        <v/>
      </c>
      <c r="PC231" s="43" t="str">
        <f t="shared" si="968"/>
        <v/>
      </c>
      <c r="PD231" s="43" t="str">
        <f t="shared" si="969"/>
        <v/>
      </c>
      <c r="PE231" s="43" t="str">
        <f t="shared" si="970"/>
        <v/>
      </c>
      <c r="PF231" s="43" t="str">
        <f t="shared" si="971"/>
        <v/>
      </c>
      <c r="PG231" s="43" t="str">
        <f t="shared" si="972"/>
        <v/>
      </c>
      <c r="PH231" s="43" t="str">
        <f t="shared" si="973"/>
        <v/>
      </c>
      <c r="PI231" s="43">
        <f t="shared" si="974"/>
        <v>14</v>
      </c>
      <c r="PJ231" s="43" t="str">
        <f t="shared" si="975"/>
        <v/>
      </c>
      <c r="PK231" s="43" t="str">
        <f t="shared" si="976"/>
        <v/>
      </c>
      <c r="PL231" s="43" t="str">
        <f t="shared" si="977"/>
        <v/>
      </c>
      <c r="PM231" s="43" t="str">
        <f t="shared" si="978"/>
        <v/>
      </c>
      <c r="PN231" s="43" t="str">
        <f t="shared" si="979"/>
        <v/>
      </c>
      <c r="PO231" s="43" t="str">
        <f t="shared" si="980"/>
        <v>NORMAL</v>
      </c>
      <c r="PP231" s="43" t="str">
        <f t="shared" si="981"/>
        <v/>
      </c>
      <c r="PQ231" s="43" t="str">
        <f t="shared" si="982"/>
        <v/>
      </c>
      <c r="PR231" s="43" t="str">
        <f t="shared" si="983"/>
        <v/>
      </c>
      <c r="PS231" s="43" t="str">
        <f t="shared" si="984"/>
        <v/>
      </c>
      <c r="PT231" s="43" t="str">
        <f t="shared" si="985"/>
        <v/>
      </c>
      <c r="PU231" s="43" t="str">
        <f t="shared" si="986"/>
        <v/>
      </c>
      <c r="PV231" s="43" t="str">
        <f t="shared" si="987"/>
        <v/>
      </c>
      <c r="PW231" s="43" t="str">
        <f t="shared" si="988"/>
        <v/>
      </c>
      <c r="PX231" s="43" t="str">
        <f t="shared" si="989"/>
        <v/>
      </c>
      <c r="PY231" s="43" t="str">
        <f t="shared" si="990"/>
        <v/>
      </c>
      <c r="PZ231" s="43" t="str">
        <f t="shared" si="991"/>
        <v/>
      </c>
      <c r="QA231" s="43" t="str">
        <f t="shared" si="992"/>
        <v/>
      </c>
      <c r="QB231" s="43" t="str">
        <f t="shared" si="993"/>
        <v/>
      </c>
      <c r="QC231" s="43" t="str">
        <f t="shared" si="994"/>
        <v/>
      </c>
      <c r="QD231" s="43" t="str">
        <f t="shared" si="995"/>
        <v/>
      </c>
      <c r="QE231" s="43" t="str">
        <f t="shared" si="996"/>
        <v/>
      </c>
      <c r="QF231" s="43" t="str">
        <f t="shared" si="997"/>
        <v/>
      </c>
      <c r="QG231" s="43" t="str">
        <f t="shared" si="998"/>
        <v/>
      </c>
      <c r="QH231" s="43" t="str">
        <f t="shared" si="999"/>
        <v/>
      </c>
      <c r="QI231" s="43" t="str">
        <f t="shared" si="1000"/>
        <v/>
      </c>
      <c r="QJ231" s="43" t="str">
        <f t="shared" si="1001"/>
        <v/>
      </c>
      <c r="QK231" s="43" t="str">
        <f t="shared" si="1002"/>
        <v/>
      </c>
      <c r="QL231" s="43" t="str">
        <f t="shared" si="1003"/>
        <v/>
      </c>
      <c r="QM231" s="43" t="str">
        <f t="shared" si="1004"/>
        <v/>
      </c>
      <c r="QN231" s="43" t="str">
        <f t="shared" si="1005"/>
        <v/>
      </c>
      <c r="QO231" s="43" t="str">
        <f t="shared" si="1006"/>
        <v/>
      </c>
      <c r="QP231" s="43" t="str">
        <f t="shared" si="1007"/>
        <v/>
      </c>
      <c r="QQ231" s="43" t="str">
        <f t="shared" si="1008"/>
        <v/>
      </c>
      <c r="QR231" s="43">
        <f t="shared" si="1009"/>
        <v>14</v>
      </c>
      <c r="QS231" s="43"/>
      <c r="QT231" s="21" t="str">
        <f t="shared" si="1010"/>
        <v/>
      </c>
      <c r="QU231" s="21" t="str">
        <f t="shared" si="1011"/>
        <v/>
      </c>
      <c r="QV231" s="21" t="str">
        <f t="shared" si="1012"/>
        <v/>
      </c>
      <c r="QW231" s="21" t="str">
        <f t="shared" si="1013"/>
        <v/>
      </c>
      <c r="QX231" s="21" t="str">
        <f t="shared" si="1014"/>
        <v/>
      </c>
      <c r="QY231" s="21" t="str">
        <f t="shared" si="1015"/>
        <v/>
      </c>
      <c r="QZ231" s="21" t="str">
        <f t="shared" si="1016"/>
        <v/>
      </c>
      <c r="RA231" s="21" t="str">
        <f t="shared" si="1017"/>
        <v/>
      </c>
      <c r="RB231" s="21" t="str">
        <f t="shared" si="1018"/>
        <v/>
      </c>
      <c r="RC231" s="21" t="str">
        <f t="shared" si="1019"/>
        <v/>
      </c>
      <c r="RD231" s="21" t="str">
        <f t="shared" si="1020"/>
        <v/>
      </c>
      <c r="RE231" s="21" t="str">
        <f t="shared" si="1021"/>
        <v/>
      </c>
      <c r="RF231" s="21" t="str">
        <f t="shared" si="1022"/>
        <v/>
      </c>
      <c r="RG231" s="21" t="str">
        <f t="shared" si="1023"/>
        <v/>
      </c>
      <c r="RH231" s="21" t="str">
        <f t="shared" si="1024"/>
        <v/>
      </c>
      <c r="RI231" s="21" t="str">
        <f t="shared" si="1025"/>
        <v/>
      </c>
      <c r="RJ231" s="21" t="str">
        <f t="shared" si="1026"/>
        <v/>
      </c>
      <c r="RK231" s="21" t="str">
        <f t="shared" si="1027"/>
        <v/>
      </c>
      <c r="RL231" s="21" t="str">
        <f t="shared" si="1028"/>
        <v/>
      </c>
      <c r="RM231" s="21" t="str">
        <f t="shared" si="1029"/>
        <v/>
      </c>
      <c r="RN231" s="21" t="str">
        <f t="shared" si="1030"/>
        <v/>
      </c>
      <c r="RO231" s="21" t="str">
        <f t="shared" si="1031"/>
        <v/>
      </c>
      <c r="RP231" s="21" t="str">
        <f t="shared" si="1032"/>
        <v/>
      </c>
      <c r="RQ231" s="21" t="str">
        <f t="shared" si="1033"/>
        <v/>
      </c>
      <c r="RR231" s="21" t="str">
        <f t="shared" si="1034"/>
        <v/>
      </c>
      <c r="RS231" s="21" t="str">
        <f t="shared" si="1035"/>
        <v/>
      </c>
      <c r="RT231" s="21" t="str">
        <f t="shared" si="1036"/>
        <v/>
      </c>
      <c r="RU231" s="21" t="str">
        <f t="shared" si="1037"/>
        <v/>
      </c>
      <c r="RV231" s="21">
        <f t="shared" si="1038"/>
        <v>-1</v>
      </c>
      <c r="RW231" s="284">
        <f>IF(OR(Tabla1[[#This Row],[FUM FORMULA CONFIABLE]]="",Tabla1[[#This Row],[FUM FORMULA CONFIABLE]]="SD"),"",IF(Tabla1[[#This Row],[FUM FORMULA CONFIABLE]]="CORREGIDA",Tabla1[[#This Row],[FUM X ECO 1]],Tabla1[[#This Row],[FUM x AMENORREA]]))</f>
        <v>45048</v>
      </c>
      <c r="RX231" s="21">
        <f>IF(AND(Tabla1[[#This Row],[FUM X ECO 1]]="",Tabla1[[#This Row],[FUM x AMENORREA]]=""),"",IF(AND(Tabla1[[#This Row],[FUM X ECO 1]]="",Tabla1[[#This Row],[FUM x AMENORREA]]&lt;&gt;""),"X",SUM(Tabla1[[#This Row],[FUM X ECO 1]]-Tabla1[[#This Row],[FUM x AMENORREA]])))</f>
        <v>0.19999999999708962</v>
      </c>
      <c r="RY231" s="21">
        <f t="shared" si="1039"/>
        <v>0</v>
      </c>
    </row>
    <row r="232" spans="1:493" ht="45" customHeight="1" x14ac:dyDescent="0.25">
      <c r="A232" s="109"/>
      <c r="B232" s="43"/>
      <c r="C232" s="299" t="s">
        <v>845</v>
      </c>
      <c r="D232" s="124"/>
      <c r="E232" s="43" t="s">
        <v>980</v>
      </c>
      <c r="F232" s="43" t="s">
        <v>914</v>
      </c>
      <c r="G232" s="43" t="s">
        <v>1623</v>
      </c>
      <c r="H232" s="43"/>
      <c r="I232" s="109" t="s">
        <v>851</v>
      </c>
      <c r="J232" s="110">
        <v>1059596737</v>
      </c>
      <c r="K232" s="43" t="s">
        <v>904</v>
      </c>
      <c r="L232" s="175" t="s">
        <v>1509</v>
      </c>
      <c r="M232" s="22">
        <v>38879</v>
      </c>
      <c r="N232" s="213">
        <f t="shared" ca="1" si="839"/>
        <v>17.408219178082192</v>
      </c>
      <c r="O232" s="22">
        <v>45149</v>
      </c>
      <c r="P232" s="214" t="str">
        <f t="shared" si="916"/>
        <v>SI</v>
      </c>
      <c r="Q232" s="26" t="s">
        <v>855</v>
      </c>
      <c r="R232" s="22">
        <v>45149</v>
      </c>
      <c r="S232" s="21" t="s">
        <v>856</v>
      </c>
      <c r="T232" s="24" t="s">
        <v>690</v>
      </c>
      <c r="U232" s="21" t="s">
        <v>857</v>
      </c>
      <c r="V232" s="21" t="s">
        <v>858</v>
      </c>
      <c r="W232" s="21" t="s">
        <v>893</v>
      </c>
      <c r="X232" s="21" t="s">
        <v>893</v>
      </c>
      <c r="Y232" s="21" t="s">
        <v>859</v>
      </c>
      <c r="Z232" s="21">
        <v>3183752741</v>
      </c>
      <c r="AA232" s="21" t="s">
        <v>860</v>
      </c>
      <c r="AB232" s="27" t="s">
        <v>861</v>
      </c>
      <c r="AC232" s="26" t="s">
        <v>897</v>
      </c>
      <c r="AD232" s="38" t="s">
        <v>1546</v>
      </c>
      <c r="AE232" s="26" t="s">
        <v>854</v>
      </c>
      <c r="AF232" s="26" t="s">
        <v>854</v>
      </c>
      <c r="AG232" s="23" t="s">
        <v>864</v>
      </c>
      <c r="AH232" s="23" t="s">
        <v>864</v>
      </c>
      <c r="AI232" s="24" t="s">
        <v>863</v>
      </c>
      <c r="AJ232" s="23" t="s">
        <v>864</v>
      </c>
      <c r="AK232" s="220" t="str">
        <f>IF(AND(AD232="",AE232="",AF232="",AG232="",AH232="",AI232="",AJ232=""),"",IF(OR(Tabla1[[#This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EVALUACIÓN",IF(AND(O232="",R232=""),"",IF(AND(OR(O232&gt;0,R232&gt;0),NG232&gt;=0,NG232&lt;2),"SIN RIESGO",IF(AND(OR(O232&gt;0,R232&gt;0),NG232&gt;=2),"CON RIESGO","ASD")))))</f>
        <v>SIN RIESGO</v>
      </c>
      <c r="AL232" s="26" t="s">
        <v>864</v>
      </c>
      <c r="AM232" s="26" t="s">
        <v>864</v>
      </c>
      <c r="AN232" s="26" t="s">
        <v>864</v>
      </c>
      <c r="AO232" s="26" t="s">
        <v>864</v>
      </c>
      <c r="AP232" s="26" t="s">
        <v>864</v>
      </c>
      <c r="AQ232" s="26" t="s">
        <v>864</v>
      </c>
      <c r="AR232" s="26" t="s">
        <v>864</v>
      </c>
      <c r="AS232" s="21">
        <v>0</v>
      </c>
      <c r="AT232" s="21">
        <v>0</v>
      </c>
      <c r="AU232" s="21">
        <v>0</v>
      </c>
      <c r="AV232" s="26" t="s">
        <v>864</v>
      </c>
      <c r="AW232" s="21">
        <v>0</v>
      </c>
      <c r="AX232" s="26" t="s">
        <v>864</v>
      </c>
      <c r="AY232" s="26" t="s">
        <v>864</v>
      </c>
      <c r="AZ232" s="26" t="s">
        <v>864</v>
      </c>
      <c r="BA232" s="26" t="s">
        <v>864</v>
      </c>
      <c r="BB232" s="26" t="s">
        <v>864</v>
      </c>
      <c r="BC232" s="26" t="s">
        <v>864</v>
      </c>
      <c r="BD232" s="26" t="s">
        <v>864</v>
      </c>
      <c r="BE232" s="26" t="s">
        <v>864</v>
      </c>
      <c r="BF232" s="26" t="s">
        <v>864</v>
      </c>
      <c r="BG232" s="26" t="s">
        <v>864</v>
      </c>
      <c r="BH232" s="26" t="s">
        <v>864</v>
      </c>
      <c r="BI232" s="26" t="s">
        <v>864</v>
      </c>
      <c r="BJ232" s="26" t="s">
        <v>864</v>
      </c>
      <c r="BK232" s="26" t="s">
        <v>864</v>
      </c>
      <c r="BL232" s="26" t="s">
        <v>864</v>
      </c>
      <c r="BM232" s="26" t="s">
        <v>864</v>
      </c>
      <c r="BN232" s="22"/>
      <c r="BO232" s="22">
        <v>45025</v>
      </c>
      <c r="BP232" s="21" t="s">
        <v>1380</v>
      </c>
      <c r="BQ232" s="222">
        <f t="shared" si="840"/>
        <v>0</v>
      </c>
      <c r="BR232" s="223">
        <f t="shared" si="841"/>
        <v>45025.8</v>
      </c>
      <c r="BS232" s="224">
        <f t="shared" si="842"/>
        <v>17.599999999999586</v>
      </c>
      <c r="BT232" s="216" t="str">
        <f t="shared" si="843"/>
        <v>II TRIM</v>
      </c>
      <c r="BU232" s="214">
        <f t="shared" ca="1" si="925"/>
        <v>29.599999999999586</v>
      </c>
      <c r="BV232" s="25" t="s">
        <v>988</v>
      </c>
      <c r="BW232" s="22">
        <v>45149</v>
      </c>
      <c r="BX232" s="28">
        <v>17.600000000000001</v>
      </c>
      <c r="BY232" s="28"/>
      <c r="BZ232" s="22"/>
      <c r="CA232" s="21"/>
      <c r="CB232" s="26" t="s">
        <v>864</v>
      </c>
      <c r="CC232" s="26" t="s">
        <v>864</v>
      </c>
      <c r="CD232" s="26" t="s">
        <v>865</v>
      </c>
      <c r="CE232" s="26" t="s">
        <v>864</v>
      </c>
      <c r="CF232" s="22" t="s">
        <v>1517</v>
      </c>
      <c r="CG232" s="21">
        <v>1.48</v>
      </c>
      <c r="CH232" s="21">
        <v>59</v>
      </c>
      <c r="CI232" s="214">
        <f t="shared" si="845"/>
        <v>26.935719503287071</v>
      </c>
      <c r="CJ232" s="225" t="e">
        <f>IF(AND(CI232&lt;10,CH232="SD"),"SIN DATO PESO PREGESTACION O I TRIM",IF(AND(OR(R232&gt;0,O232&gt;0),CI232="X"),"INGRESAR DATO DE PESO",IF(CI232="SD","INGRESAR DATO DE TALLA Y PESO",IF(AND(OR(Tabla1[[#This Row],[MOMENTO EN QUE SE REALIZA EL PESO AL INGRESO A CPN]]="PREGESTACIÓN",NZ232="Menor"),CI232&lt;18.5),"BAJO PESO",IF(AND(OR(Tabla1[[#This Row],[MOMENTO EN QUE SE REALIZA EL PESO AL INGRESO A CPN]]="PREGESTACIÓN",NZ232="Menor"),CI232&lt;25),"NORMAL",IF(AND(OR(Tabla1[[#This Row],[MOMENTO EN QUE SE REALIZA EL PESO AL INGRESO A CPN]]="PREGESTACIÓN",NZ232="Menor"),CI232&lt;30),"SOBREPESO",IF(AND(OR(Tabla1[[#This Row],[MOMENTO EN QUE SE REALIZA EL PESO AL INGRESO A CPN]]="PREGESTACIÓN",NZ232="Menor"),CI232&gt;=30,CI232&lt;50),"OBESIDAD",IF(AND(BS232&gt;0,Tabla1[[#This Row],[MOMENTO EN QUE SE REALIZA EL PESO AL INGRESO A CPN]]="GESTACIÓN"),HLOOKUP(NZ232,$OA$2:PH232,NY232),""))))))))</f>
        <v>#REF!</v>
      </c>
      <c r="CK232" s="212">
        <f t="shared" si="846"/>
        <v>45149</v>
      </c>
      <c r="CL232" s="21">
        <v>59</v>
      </c>
      <c r="CM232" s="214">
        <f t="shared" si="847"/>
        <v>26.935719503287071</v>
      </c>
      <c r="CN232" s="216">
        <f t="shared" si="848"/>
        <v>17</v>
      </c>
      <c r="CO232" s="216" t="e">
        <f>IF(PI232="","",IF(PI232&gt;0,HLOOKUP(PI232,$PJ$2:QQ232,NY232),""))</f>
        <v>#REF!</v>
      </c>
      <c r="CP232" s="21"/>
      <c r="CQ232" s="216" t="e">
        <f>IF(QR232="Menor","NO APLICA-MENOR 13 SEM",IF(AND(CC232="SI",CN232&gt;23),"NO APLICA- GEMELAR",IF(QR232="","",IF(QR232&gt;0,HLOOKUP(QR232,$QS$2:RU232,NY232),""))))</f>
        <v>#REF!</v>
      </c>
      <c r="CR232" s="21"/>
      <c r="CS232" s="21"/>
      <c r="CT232" s="217" t="str">
        <f>IF(R232="","",IF(AND(BS232&gt;1,BS232&lt;12,Tabla1[[#This Row],[T.A. SISTOLICA - ANTES DE SEMANA 12]]="",Tabla1[[#This Row],[T.A. DIASTOLICA - ANTES DE SEMANA 12]]=""),"REGISTRE DATO TA ANTES SEMANA 12",IF(AND(BS232&gt;11,BS232&lt;43,Tabla1[[#This Row],[T.A. SISTOLICA - ANTES DE SEMANA 12]]="",Tabla1[[#This Row],[T.A. DIASTOLICA - ANTES DE SEMANA 12]]=""),"NO APLICA REGISTRO TA-INGRESO TARDIO",IF(AND(OR(O232&gt;0,R232&gt;0),OR(CR232&gt;=140,CS232&gt;=90)),"DEFINIR ESTADIO HTA",IF(AND(OR(O232&gt;0,R232&gt;0),AND(CR232&gt;120,CR232&lt;=139)),"PRE HTA SEGUIMIENTO",IF(AND(OR(O232&gt;0,R232&gt;0),AND(CS232&gt;80,CS232&lt;=89)),"PRE HTA SEGUIMIENTO",IF(AND(OR(O232&gt;0,R232&gt;0),AND(CR232&gt;=80,CR232&lt;=120)),"APARENTEMENTE NORMAL",IF(AND(OR(O232&gt;0,R232&gt;0),AND(CS232&gt;=50,CS232&lt;=80)),"APARENTEMENTE NORMAL",IF(AND(OR(O232&gt;0,R232&gt;0),AND(CR232&gt;1,CR232&lt;=70),AND(CS232&gt;1,CS232&lt;=40)),"HIPOTENSIÓN","")))))))))</f>
        <v>NO APLICA REGISTRO TA-INGRESO TARDIO</v>
      </c>
      <c r="CU232" s="21"/>
      <c r="CV232" s="21"/>
      <c r="CW232" s="217" t="str">
        <f ca="1">IF(R232="","",IF(AND(CN232&gt;19,CN232&lt;27,Tabla1[[#This Row],[T.A. SISTOLICA (Entre semana 20 y 26)]]="",Tabla1[[#This Row],[T.A. DIATOLICA (Entre semana 20 y 26)]]=""),"ACUDE A CONTROL SEM 20 A 26 REGISTRE TA AHORA",IF(AND(BS232&gt;1,BS232&lt;27,BU232&gt;19,Tabla1[[#This Row],[T.A. SISTOLICA (Entre semana 20 y 26)]]="",Tabla1[[#This Row],[T.A. DIATOLICA (Entre semana 20 y 26)]]=""),"COMPLETE REGISTRO TA CONTROL SEM 20 A26 ",IF(AND(BS232&gt;26,BS232&lt;43,Tabla1[[#This Row],[T.A. SISTOLICA (Entre semana 20 y 26)]]="",Tabla1[[#This Row],[T.A. DIATOLICA (Entre semana 20 y 26)]]=""),"NO APLICA REGISTRO TA-INGRESO TARDIO",IF(AND(OR(O232&gt;0,R232&gt;0),OR(CU232&gt;=140,CV232&gt;=90)),"ALTO RIESGO PREECLAMPSIA,DEFINIR ESTADIO HTA",IF(AND(OR(O232&gt;0,R232&gt;0),AND(CU232&gt;120,CU232&lt;=139)),"PRE HTA SEGUIMIENTO,RIESGO HIPERTENSION INDUCIDA POR EL EMBARAZO",IF(AND(OR(O232&gt;0,R232&gt;0),AND(CV232&gt;80,CV232&lt;=89)),"PRE HTA SEGUIMIENTO, RIESGO HIPERTENSION INDUCIDA POR EL EMBARAZO",IF(AND(OR(O232&lt;&gt;"",R232&lt;&gt;""),CS232&lt;&gt;"",CV232&lt;&gt;"",CS232&lt;=CV232),"VIGILAR CIFRAS PRESION ARTERIAL",IF(AND(OR(O232&gt;0,R232&gt;0),AND(CU232&gt;120,CU232&lt;=139)),"PRE HTA SEGUIMIENTO",IF(AND(OR(O232&gt;0,R232&gt;0),AND(CU232&gt;1,CU232&lt;=70),AND(CV232&gt;1,CV232&lt;=40)),"HIPOTENSIÓN",IF(AND(OR(O232&lt;&gt;"",R232&lt;&gt;""),CS232&lt;&gt;"",CV232&lt;&gt;"",CS232&gt;CV232),"APARENTEMENTE NORMAL",IF(AND(OR(O232&gt;0,R232&gt;0),AND(CU232&gt;=80,CU232&lt;=120)),"APARENTEMENTE NORMAL",IF(AND(OR(O232&gt;0,R232&gt;0),AND(CV232&gt;=50,CV232&lt;=80)),"APARENTEMENTE NORMAL","")))))))))))))</f>
        <v xml:space="preserve">COMPLETE REGISTRO TA CONTROL SEM 20 A26 </v>
      </c>
      <c r="CX232" s="21"/>
      <c r="CY232" s="21"/>
      <c r="CZ232" s="216" t="str">
        <f t="shared" si="1042"/>
        <v/>
      </c>
      <c r="DA232" s="21">
        <v>90</v>
      </c>
      <c r="DB232" s="21">
        <v>60</v>
      </c>
      <c r="DC232" s="217" t="str">
        <f t="shared" si="849"/>
        <v>APARENTEMENTE NORMAL</v>
      </c>
      <c r="DD232" s="22">
        <v>45149</v>
      </c>
      <c r="DE232" s="22">
        <v>45149</v>
      </c>
      <c r="DF232" s="22"/>
      <c r="DG232" s="22"/>
      <c r="DH232" s="22"/>
      <c r="DI232" s="22"/>
      <c r="DJ232" s="22"/>
      <c r="DK232" s="22"/>
      <c r="DL232" s="22"/>
      <c r="DM232" s="22"/>
      <c r="DN232" s="22"/>
      <c r="DO232" s="22"/>
      <c r="DP232" s="22"/>
      <c r="DQ232" s="22"/>
      <c r="DR232" s="28"/>
      <c r="DS232" s="22"/>
      <c r="DT232" s="22"/>
      <c r="DU232" s="216" t="str">
        <f t="shared" ca="1" si="917"/>
        <v>PLANEAR PLAN DE PARTO</v>
      </c>
      <c r="DV232" s="226" t="str">
        <f t="shared" si="918"/>
        <v>ACTIVA INGRESO A CPN</v>
      </c>
      <c r="DW23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2" s="216" t="e">
        <f t="shared" ca="1" si="850"/>
        <v>#REF!</v>
      </c>
      <c r="DY232" s="212">
        <f>IF(R232="","",IF(R232&gt;0,MAX(Tabla1[[#This Row],[FECHA C2]:[FECHA C13]],Tabla1[[#This Row],[FECHA CONSULTA PRIMERA VEZ PROGRAMA CPN ]])))</f>
        <v>45149</v>
      </c>
      <c r="DZ232" s="216">
        <f t="shared" si="851"/>
        <v>17</v>
      </c>
      <c r="EA232" s="222">
        <f>IF(R232&gt;0,SUM(COUNTA(DF232:DQ232)+COUNTA(Tabla1[[#This Row],[FECHA CONSULTA PRIMERA VEZ PROGRAMA CPN ]])),"")</f>
        <v>1</v>
      </c>
      <c r="EB232" s="222" t="str">
        <f t="shared" si="852"/>
        <v>NO</v>
      </c>
      <c r="EC232" s="214">
        <f t="shared" si="853"/>
        <v>7</v>
      </c>
      <c r="ED232" s="227">
        <f t="shared" si="854"/>
        <v>0.14285714285714285</v>
      </c>
      <c r="EE232" s="22">
        <v>45149</v>
      </c>
      <c r="EF232" s="22">
        <v>45149</v>
      </c>
      <c r="EG232" s="22">
        <v>45149</v>
      </c>
      <c r="EH232" s="22"/>
      <c r="EI232" s="22">
        <v>45149</v>
      </c>
      <c r="EJ232" s="22"/>
      <c r="EK232" s="22"/>
      <c r="EL232" s="21"/>
      <c r="EM232" s="21"/>
      <c r="EN232" s="22"/>
      <c r="EO232" s="222" t="str">
        <f t="shared" si="855"/>
        <v>TOMAR EXAMEN</v>
      </c>
      <c r="EP232" s="214" t="str">
        <f t="shared" si="856"/>
        <v/>
      </c>
      <c r="EQ232" s="216" t="str">
        <f t="shared" si="857"/>
        <v>POR DEFINIR</v>
      </c>
      <c r="ER232" s="24"/>
      <c r="ES232" s="22"/>
      <c r="ET232" s="29" t="str">
        <f t="shared" ca="1" si="919"/>
        <v>EN SEMANA 28 TOMA INMEDIATA DE EXAMEN</v>
      </c>
      <c r="EU232" s="25" t="str">
        <f t="shared" si="858"/>
        <v/>
      </c>
      <c r="EV232" s="24"/>
      <c r="EW232" s="24"/>
      <c r="EX232" s="22"/>
      <c r="EY232" s="29" t="str">
        <f t="shared" si="1040"/>
        <v>TOMAR EXAMEN</v>
      </c>
      <c r="EZ232" s="25" t="str">
        <f t="shared" ca="1" si="1041"/>
        <v/>
      </c>
      <c r="FA232" s="21"/>
      <c r="FB232" s="22"/>
      <c r="FC232" s="29" t="str">
        <f t="shared" si="859"/>
        <v>TOMAR EXAMEN</v>
      </c>
      <c r="FD232" s="29"/>
      <c r="FE232" s="29"/>
      <c r="FF232" s="29"/>
      <c r="FG232" s="21" t="str">
        <f t="shared" ca="1" si="860"/>
        <v>TOMAR PTOG</v>
      </c>
      <c r="FH232" s="31"/>
      <c r="FI232" s="29" t="str">
        <f t="shared" si="861"/>
        <v>TOMAR EXAMEN</v>
      </c>
      <c r="FJ232" s="22"/>
      <c r="FK232" s="22"/>
      <c r="FL232" s="29" t="str">
        <f t="shared" ca="1" si="862"/>
        <v>NO APLICA-INGRESO TARDIO</v>
      </c>
      <c r="FM232" s="22"/>
      <c r="FN232" s="32"/>
      <c r="FO232" s="29" t="str">
        <f t="shared" ca="1" si="920"/>
        <v>PIERDE TOMA DE TAMIZAJE</v>
      </c>
      <c r="FP232" s="22"/>
      <c r="FQ232" s="32"/>
      <c r="FR232" s="29" t="str">
        <f t="shared" ca="1" si="921"/>
        <v>EN RANGO PARA TOMAR EXAMEN</v>
      </c>
      <c r="FS232" s="22"/>
      <c r="FT232" s="32"/>
      <c r="FU232" s="29" t="str">
        <f>IF(AND(FJ232="",FM232="",FP232="",FS232=""),"",IF(OR(OR(Tabla1[[#This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2" s="28"/>
      <c r="FW232" s="22"/>
      <c r="FX232" s="29" t="str">
        <f t="shared" si="863"/>
        <v>TOMAR EXAMEN</v>
      </c>
      <c r="FY232" s="22"/>
      <c r="FZ232" s="22"/>
      <c r="GA232" s="29" t="str">
        <f t="shared" ca="1" si="936"/>
        <v>NO APLICA-INGRESO TARDIO</v>
      </c>
      <c r="GB232" s="22"/>
      <c r="GC232" s="22"/>
      <c r="GD232" s="29" t="str">
        <f t="shared" ca="1" si="1045"/>
        <v>PIERDE TOMA DE TAMIZAJE</v>
      </c>
      <c r="GE232" s="22"/>
      <c r="GF232" s="22"/>
      <c r="GG232" s="29" t="str">
        <f t="shared" ca="1" si="923"/>
        <v>EN RANGO PARA TOMAR EXAMEN</v>
      </c>
      <c r="GH232" s="22"/>
      <c r="GI232" s="29"/>
      <c r="GJ232" s="22"/>
      <c r="GK232" s="22"/>
      <c r="GL232" s="22"/>
      <c r="GM232" s="22"/>
      <c r="GN232" s="28"/>
      <c r="GO232" s="22"/>
      <c r="GP232" s="29" t="str">
        <f t="shared" si="864"/>
        <v>TOMAR EXAMEN</v>
      </c>
      <c r="GQ232" s="28"/>
      <c r="GR232" s="28"/>
      <c r="GS232" s="22" t="str">
        <f t="shared" si="1044"/>
        <v/>
      </c>
      <c r="GT232" s="22"/>
      <c r="GU232" s="29" t="str">
        <f t="shared" si="865"/>
        <v>TOMAR EXAMEN</v>
      </c>
      <c r="GV232" s="21" t="str">
        <f t="shared" si="866"/>
        <v>POR DEFINIR</v>
      </c>
      <c r="GW232" s="28"/>
      <c r="GX232" s="30"/>
      <c r="GY232" s="21"/>
      <c r="GZ232" s="21"/>
      <c r="HA232" s="21"/>
      <c r="HB232" s="21"/>
      <c r="HC232" s="21"/>
      <c r="HD232" s="21"/>
      <c r="HE232" s="21"/>
      <c r="HF232" s="22"/>
      <c r="HG232" s="22" t="str">
        <f>IF(OR(O232&gt;0,R232&gt;0),CONCATENATE(IF(Tabla1[[#This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2" s="22" t="e">
        <f t="shared" si="867"/>
        <v>#REF!</v>
      </c>
      <c r="HI232" s="22" t="e">
        <f t="shared" ca="1" si="868"/>
        <v>#REF!</v>
      </c>
      <c r="HJ232" s="21"/>
      <c r="HK232" s="21" t="str">
        <f t="shared" si="869"/>
        <v>SIN ANTECEDENTES DE RIESGO</v>
      </c>
      <c r="HL232" s="24" t="str">
        <f t="shared" si="870"/>
        <v>APARENTEMENTE NORMAL</v>
      </c>
      <c r="HM232" s="21" t="e">
        <f t="shared" ca="1" si="871"/>
        <v>#REF!</v>
      </c>
      <c r="HN232" s="30" t="str">
        <f t="shared" si="924"/>
        <v>ACTIVA INGRESO A CPN</v>
      </c>
      <c r="HO232" s="21"/>
      <c r="HP232" s="21"/>
      <c r="HQ232" s="349"/>
      <c r="HR232" s="21" t="str">
        <f>IF(R232="","",IF(Tabla1[[#This Row],[ALARMA FACTORES DE RIESGO COMPLICACIONES HIPERTENSIVAS3]]="SIN ANTECEDENTES DE RIESGO","No Aplica para suministro de ASA",IF(AND(Tabla1[[#This Row],[FECHA INICIO DE SUMINISTRO DE ASA]]&gt;0,RV232&lt;12),"Inicia ASA ANTES de Sem 12",IF(AND(RV232&gt;11,RV232&lt;17,OR(HK232="RIESGO ALTO DE COMPLICACIONES HIPERTENSIVAS VER MANEJO GUIA SUMINISTRO ASA Y CALCIO",HK232="RIESGO MODERADO (2 O MAS CRITERIOS) VER MANEJO GUIA SUMINISTRO ASA Y CALCIO")),"Inicio oportuno de ASA",IF(AND(RV232&gt;12,OR(HK232="RIESGO ALTO DE COMPLICACIONES HIPERTENSIVAS VER MANEJO GUIA SUMINISTRO ASA Y CALCIO",HK232="RIESGO MODERADO (2 O MAS CRITERIOS) VER MANEJO GUIA SUMINISTRO ASA Y CALCIO")),"Inicio no oportuno mayor a 16 semanas",IF(AND(BU232&lt;12,OR(HK232="RIESGO ALTO DE COMPLICACIONES HIPERTENSIVAS VER MANEJO GUIA SUMINISTRO ASA Y CALCIO",HK232="RIESGO MODERADO (2 O MAS CRITERIOS) VER MANEJO GUIA SUMINISTRO ASA Y CALCIO")),"Pendiente Inicio de ASA a la semana 12",IF(AND(BU232&gt;11,BU232&lt;17,OR(HK232="RIESGO ALTO DE COMPLICACIONES HIPERTENSIVAS VER MANEJO GUIA SUMINISTRO ASA Y CALCIO",HK232="RIESGO MODERADO (2 O MAS CRITERIOS) VER MANEJO GUIA SUMINISTRO ASA Y CALCIO")),"Iniciar de inmediato ASA",IF(AND(BU232&gt;16,OR(HK232="RIESGO ALTO DE COMPLICACIONES HIPERTENSIVAS VER MANEJO GUIA SUMINISTRO ASA Y CALCIO",HK232="RIESGO MODERADO (2 O MAS CRITERIOS) VER MANEJO GUIA SUMINISTRO ASA Y CALCIO")),"Pierde Oportunidad, Inicio tardío de ASA","XXXXX"))))))))</f>
        <v>No Aplica para suministro de ASA</v>
      </c>
      <c r="HS232" s="22">
        <v>45149</v>
      </c>
      <c r="HT232" s="22" t="s">
        <v>1518</v>
      </c>
      <c r="HU232" s="22"/>
      <c r="HV232" s="22"/>
      <c r="HW232" s="22">
        <v>45149</v>
      </c>
      <c r="HX232" s="22" t="s">
        <v>1511</v>
      </c>
      <c r="HY232" s="340">
        <v>45149</v>
      </c>
      <c r="HZ232" s="28">
        <f t="shared" si="872"/>
        <v>17.599999999999586</v>
      </c>
      <c r="IA232" s="26"/>
      <c r="IB232" s="26"/>
      <c r="IC232" s="111"/>
      <c r="ID232" s="22"/>
      <c r="IE232" s="22" t="str">
        <f t="shared" ca="1" si="873"/>
        <v>INASISTENTE</v>
      </c>
      <c r="IF232" s="22"/>
      <c r="IG232" s="22">
        <f t="shared" si="874"/>
        <v>45305.8</v>
      </c>
      <c r="IH232" s="29">
        <f t="shared" ca="1" si="875"/>
        <v>72.80000000000291</v>
      </c>
      <c r="II232" s="22" t="str">
        <f t="shared" ca="1" si="876"/>
        <v>PENDIENTE</v>
      </c>
      <c r="IJ232" s="22"/>
      <c r="IK232" s="21"/>
      <c r="IL232" s="21"/>
      <c r="IM232" s="34"/>
      <c r="IN232" s="22"/>
      <c r="IO232" s="21"/>
      <c r="IP232" s="29" t="str">
        <f t="shared" si="877"/>
        <v/>
      </c>
      <c r="IQ232" s="35"/>
      <c r="IR232" s="21"/>
      <c r="IS232" s="21"/>
      <c r="IT232" s="21"/>
      <c r="IU232" s="21"/>
      <c r="IV232" s="21"/>
      <c r="IW232" s="21"/>
      <c r="IX232" s="21"/>
      <c r="IY232" s="21"/>
      <c r="IZ232" s="21"/>
      <c r="JA232" s="21"/>
      <c r="JB232" s="30"/>
      <c r="JC232" s="21"/>
      <c r="JD232" s="36"/>
      <c r="JE232" s="21" t="str">
        <f t="shared" si="878"/>
        <v/>
      </c>
      <c r="JF232" s="30"/>
      <c r="JG232" s="21"/>
      <c r="JH232" s="21"/>
      <c r="JI232" s="21"/>
      <c r="JJ232" s="30"/>
      <c r="JK232" s="22"/>
      <c r="JL232" s="22"/>
      <c r="JM232" s="21"/>
      <c r="JN232" s="36"/>
      <c r="JO232" s="21" t="str">
        <f t="shared" si="879"/>
        <v/>
      </c>
      <c r="JP232" s="22"/>
      <c r="JQ232" s="21"/>
      <c r="JR232" s="21"/>
      <c r="JS232" s="21"/>
      <c r="JT232" s="30"/>
      <c r="JU232" s="22"/>
      <c r="JV232" s="22"/>
      <c r="JW232" s="33"/>
      <c r="JX232" s="28" t="str">
        <f t="shared" si="880"/>
        <v/>
      </c>
      <c r="JY232" s="33"/>
      <c r="JZ232" s="28" t="str">
        <f t="shared" si="881"/>
        <v/>
      </c>
      <c r="KA232" s="21"/>
      <c r="KB232" s="21"/>
      <c r="KC232" s="21"/>
      <c r="KD232" s="37"/>
      <c r="KE232" s="28"/>
      <c r="KF232" s="28"/>
      <c r="KG232" s="28"/>
      <c r="KH232" s="39"/>
      <c r="KI232" s="39"/>
      <c r="KJ232" s="66"/>
      <c r="KK232" s="39"/>
      <c r="KL232" s="39"/>
      <c r="KM232" s="66"/>
      <c r="KN232" s="39"/>
      <c r="KO232" s="39"/>
      <c r="KP232" s="39"/>
      <c r="KQ232" s="39"/>
      <c r="KR232" s="39"/>
      <c r="KS232" s="39"/>
      <c r="KT232" s="39"/>
      <c r="KU232" s="38"/>
      <c r="KV232" s="38"/>
      <c r="KW232" s="38"/>
      <c r="KX232" s="38"/>
      <c r="KY232" s="38"/>
      <c r="KZ232" s="38"/>
      <c r="LA232" s="38"/>
      <c r="LB232" s="38"/>
      <c r="LC232" s="38"/>
      <c r="LD232" s="38"/>
      <c r="LE232" s="38"/>
      <c r="LF232" s="38"/>
      <c r="LG232" s="38"/>
      <c r="LH232" s="38"/>
      <c r="LI232" s="38"/>
      <c r="LJ232" s="38"/>
      <c r="LK232" s="38"/>
      <c r="LL232" s="38"/>
      <c r="LM232" s="38"/>
      <c r="LN232" s="38"/>
      <c r="LO232" s="38"/>
      <c r="LP232" s="38"/>
      <c r="LQ232" s="38"/>
      <c r="LR232" s="38"/>
      <c r="LS232" s="38"/>
      <c r="LT232" s="38"/>
      <c r="LU232" s="38"/>
      <c r="LV232" s="38"/>
      <c r="LW232" s="38"/>
      <c r="LX232" s="38"/>
      <c r="LY232" s="38"/>
      <c r="LZ232" s="38"/>
      <c r="MA232" s="38"/>
      <c r="MB232" s="38"/>
      <c r="MC232" s="38"/>
      <c r="MD232" s="38"/>
      <c r="ME232" s="38"/>
      <c r="MF232" s="38"/>
      <c r="MG232" s="38"/>
      <c r="MH232" s="43">
        <f t="shared" si="882"/>
        <v>0</v>
      </c>
      <c r="MI232" s="43" t="str">
        <f t="shared" si="926"/>
        <v/>
      </c>
      <c r="MJ232" s="43" t="str">
        <f t="shared" si="884"/>
        <v/>
      </c>
      <c r="MK232" s="43">
        <f t="shared" si="885"/>
        <v>0</v>
      </c>
      <c r="ML23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2" s="43">
        <f t="shared" si="927"/>
        <v>17.599999999999586</v>
      </c>
      <c r="MN232" s="43">
        <f t="shared" si="928"/>
        <v>8</v>
      </c>
      <c r="MO232" s="43">
        <f t="shared" si="929"/>
        <v>2023</v>
      </c>
      <c r="MP232" s="43" t="str">
        <f t="shared" si="889"/>
        <v>III TRIMESTRE AÑO</v>
      </c>
      <c r="MQ232" s="43">
        <f t="shared" si="930"/>
        <v>16.918528252299605</v>
      </c>
      <c r="MR232" s="43">
        <f t="shared" si="891"/>
        <v>0</v>
      </c>
      <c r="MS232" s="43" t="str">
        <f t="shared" si="892"/>
        <v>DE 14 A 19AÑOS</v>
      </c>
      <c r="MT232" s="43">
        <f t="shared" si="893"/>
        <v>0</v>
      </c>
      <c r="MU232" s="43">
        <f t="shared" si="894"/>
        <v>1</v>
      </c>
      <c r="MV232" s="43">
        <f t="shared" si="895"/>
        <v>0</v>
      </c>
      <c r="MW232" s="43">
        <f t="shared" si="896"/>
        <v>0</v>
      </c>
      <c r="MX232" s="43" t="str">
        <f t="shared" si="897"/>
        <v/>
      </c>
      <c r="MY232" s="43" t="str">
        <f t="shared" ca="1" si="898"/>
        <v/>
      </c>
      <c r="MZ232" s="43" t="str">
        <f t="shared" si="899"/>
        <v/>
      </c>
      <c r="NA232" s="43">
        <f t="shared" si="900"/>
        <v>0</v>
      </c>
      <c r="NB232" s="43" t="str">
        <f t="shared" si="901"/>
        <v/>
      </c>
      <c r="NC232" s="43" t="str">
        <f t="shared" si="902"/>
        <v/>
      </c>
      <c r="ND232" s="43">
        <f t="shared" ca="1" si="931"/>
        <v>1</v>
      </c>
      <c r="NE232" s="43">
        <f>IF(OR(O232&gt;0,R232&gt;0),SUM(COUNTIF(Tabla1[[#This Row],[AÑOS AL INICIO5 CPN]],"&gt;=40"),COUNTIF(AS232,"0"),COUNTIF(AR232,"SI"),COUNTIF(CC232,"SI"),COUNTIF(BQ232,"&gt;119"),COUNTIF(CI232,"&gt;=35")),"")</f>
        <v>1</v>
      </c>
      <c r="NF232" s="43" t="str">
        <f t="shared" si="932"/>
        <v/>
      </c>
      <c r="NG232" s="43">
        <f t="shared" si="905"/>
        <v>0</v>
      </c>
      <c r="NH232" s="43">
        <f t="shared" si="906"/>
        <v>123.20000000000002</v>
      </c>
      <c r="NI23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CPN",P232="NO"),"Z",IF(AND(Tabla1[[#This Row],[CITA PROXIMO CONTROL]]="CITA MANUAL",Tabla1[[#This Row],[GESTANTES ACTUALES]]="ACTIVA INGRESO A CPN"),"W",IF(AND(Tabla1[[#This Row],[GESTANTES ACTUALES]]="SALIO PROGRAMA",IN232=""),"S",IF(AND(Tabla1[[#This Row],[CITA PROXIMO CONTROL]]&gt;0,IN232=""),(Tabla1[[#This Row],[CITA PROXIMO CONTROL]]-TODAY()),"SD"))))))))</f>
        <v>#REF!</v>
      </c>
      <c r="NJ232" s="43">
        <f>MONTH(Tabla1[[#This Row],[FECHA DE SALIDA  DEL PROGRAMA]])</f>
        <v>1</v>
      </c>
      <c r="NK232" s="43">
        <f>YEAR(Tabla1[[#This Row],[FECHA DE SALIDA  DEL PROGRAMA]])</f>
        <v>1900</v>
      </c>
      <c r="NL232" s="43" t="str">
        <f t="shared" si="933"/>
        <v>X</v>
      </c>
      <c r="NM232" s="43" t="str">
        <f t="shared" si="938"/>
        <v>NO</v>
      </c>
      <c r="NN232" s="43" t="str">
        <f ca="1">IF(AND(O232&gt;0,R232=""),"NO CPN",IF(AND(O232="",R232=""),"",IF(AND(R232&gt;0,Tabla1[[#This Row],[SEMANAS DE GESTACION ACTUALIZADAS]]&lt;=12),"NO APLICA",IF(AND(FH232&lt;&gt;"",FN232&lt;&gt;""),"SI","NO"))))</f>
        <v>NO</v>
      </c>
      <c r="NO232" s="43" t="str">
        <f ca="1">IF(AND(O232&gt;0,R232=""),"NO CPN",IF(AND(O232="",R232=""),"",IF(AND(R232&gt;0,Tabla1[[#This Row],[SEMANAS DE GESTACION ACTUALIZADAS]]&lt;=27),"NO APLICA",IF(AND(ES232&lt;&gt;"",FQ232&lt;&gt;"",GF232&lt;&gt;""),"SI","NO"))))</f>
        <v>NO</v>
      </c>
      <c r="NP232" s="204" t="str">
        <f t="shared" si="909"/>
        <v>II TRIM</v>
      </c>
      <c r="NQ232" s="21" t="str">
        <f t="shared" si="1043"/>
        <v/>
      </c>
      <c r="NR232" s="21">
        <f t="shared" ca="1" si="934"/>
        <v>2</v>
      </c>
      <c r="NS232" s="205">
        <f t="shared" ca="1" si="911"/>
        <v>0</v>
      </c>
      <c r="NT232" s="21">
        <f t="shared" ca="1" si="912"/>
        <v>0</v>
      </c>
      <c r="NU232" s="21" t="str">
        <f t="shared" ca="1" si="913"/>
        <v>INCOMPLETO</v>
      </c>
      <c r="NV232" s="21" t="str">
        <f t="shared" ca="1" si="914"/>
        <v>INCOMPLETO</v>
      </c>
      <c r="NW232" s="206" t="str">
        <f>IF(AND(O232="",R232=""),"",IF(OR(AND(Tabla1[[#This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2" s="207" t="str">
        <f t="shared" ca="1" si="935"/>
        <v>SIN VACUNAR</v>
      </c>
      <c r="NY232" s="43">
        <f>ROW(Tabla1[[#This Row],['# DE TAMIZAJES SIFILIS TOMADOS ]])</f>
        <v>232</v>
      </c>
      <c r="NZ232" s="43">
        <f t="shared" si="939"/>
        <v>17</v>
      </c>
      <c r="OA232" s="43" t="str">
        <f t="shared" si="940"/>
        <v/>
      </c>
      <c r="OB232" s="43" t="str">
        <f t="shared" si="941"/>
        <v/>
      </c>
      <c r="OC232" s="43" t="str">
        <f t="shared" si="942"/>
        <v/>
      </c>
      <c r="OD232" s="43" t="str">
        <f t="shared" si="943"/>
        <v/>
      </c>
      <c r="OE232" s="43" t="str">
        <f t="shared" si="944"/>
        <v/>
      </c>
      <c r="OF232" s="43" t="str">
        <f t="shared" si="945"/>
        <v/>
      </c>
      <c r="OG232" s="43" t="str">
        <f t="shared" si="946"/>
        <v/>
      </c>
      <c r="OH232" s="43" t="str">
        <f t="shared" si="947"/>
        <v/>
      </c>
      <c r="OI232" s="43" t="str">
        <f t="shared" si="948"/>
        <v>SOBREPESO</v>
      </c>
      <c r="OJ232" s="43" t="str">
        <f t="shared" si="949"/>
        <v/>
      </c>
      <c r="OK232" s="43" t="str">
        <f t="shared" si="950"/>
        <v/>
      </c>
      <c r="OL232" s="43" t="str">
        <f t="shared" si="951"/>
        <v/>
      </c>
      <c r="OM232" s="43" t="str">
        <f t="shared" si="952"/>
        <v/>
      </c>
      <c r="ON232" s="43" t="str">
        <f t="shared" si="953"/>
        <v/>
      </c>
      <c r="OO232" s="43" t="str">
        <f t="shared" si="954"/>
        <v/>
      </c>
      <c r="OP232" s="43" t="str">
        <f t="shared" si="955"/>
        <v/>
      </c>
      <c r="OQ232" s="43" t="str">
        <f t="shared" si="956"/>
        <v/>
      </c>
      <c r="OR232" s="43" t="str">
        <f t="shared" si="957"/>
        <v/>
      </c>
      <c r="OS232" s="43" t="str">
        <f t="shared" si="958"/>
        <v/>
      </c>
      <c r="OT232" s="43" t="str">
        <f t="shared" si="959"/>
        <v/>
      </c>
      <c r="OU232" s="43" t="str">
        <f t="shared" si="960"/>
        <v/>
      </c>
      <c r="OV232" s="110" t="str">
        <f t="shared" si="961"/>
        <v/>
      </c>
      <c r="OW232" s="43" t="str">
        <f t="shared" si="962"/>
        <v/>
      </c>
      <c r="OX232" s="43" t="str">
        <f t="shared" si="963"/>
        <v/>
      </c>
      <c r="OY232" s="43" t="str">
        <f t="shared" si="964"/>
        <v/>
      </c>
      <c r="OZ232" s="43" t="str">
        <f t="shared" si="965"/>
        <v/>
      </c>
      <c r="PA232" s="43" t="str">
        <f t="shared" si="966"/>
        <v/>
      </c>
      <c r="PB232" s="43" t="str">
        <f t="shared" si="967"/>
        <v/>
      </c>
      <c r="PC232" s="43" t="str">
        <f t="shared" si="968"/>
        <v/>
      </c>
      <c r="PD232" s="43" t="str">
        <f t="shared" si="969"/>
        <v/>
      </c>
      <c r="PE232" s="43" t="str">
        <f t="shared" si="970"/>
        <v/>
      </c>
      <c r="PF232" s="43" t="str">
        <f t="shared" si="971"/>
        <v/>
      </c>
      <c r="PG232" s="43" t="str">
        <f t="shared" si="972"/>
        <v/>
      </c>
      <c r="PH232" s="43" t="str">
        <f t="shared" si="973"/>
        <v/>
      </c>
      <c r="PI232" s="43">
        <f t="shared" si="974"/>
        <v>17</v>
      </c>
      <c r="PJ232" s="43" t="str">
        <f t="shared" si="975"/>
        <v/>
      </c>
      <c r="PK232" s="43" t="str">
        <f t="shared" si="976"/>
        <v/>
      </c>
      <c r="PL232" s="43" t="str">
        <f t="shared" si="977"/>
        <v/>
      </c>
      <c r="PM232" s="43" t="str">
        <f t="shared" si="978"/>
        <v/>
      </c>
      <c r="PN232" s="43" t="str">
        <f t="shared" si="979"/>
        <v/>
      </c>
      <c r="PO232" s="43" t="str">
        <f t="shared" si="980"/>
        <v/>
      </c>
      <c r="PP232" s="43" t="str">
        <f t="shared" si="981"/>
        <v/>
      </c>
      <c r="PQ232" s="43" t="str">
        <f t="shared" si="982"/>
        <v/>
      </c>
      <c r="PR232" s="43" t="str">
        <f t="shared" si="983"/>
        <v>SOBREPESO</v>
      </c>
      <c r="PS232" s="43" t="str">
        <f t="shared" si="984"/>
        <v/>
      </c>
      <c r="PT232" s="43" t="str">
        <f t="shared" si="985"/>
        <v/>
      </c>
      <c r="PU232" s="43" t="str">
        <f t="shared" si="986"/>
        <v/>
      </c>
      <c r="PV232" s="43" t="str">
        <f t="shared" si="987"/>
        <v/>
      </c>
      <c r="PW232" s="43" t="str">
        <f t="shared" si="988"/>
        <v/>
      </c>
      <c r="PX232" s="43" t="str">
        <f t="shared" si="989"/>
        <v/>
      </c>
      <c r="PY232" s="43" t="str">
        <f t="shared" si="990"/>
        <v/>
      </c>
      <c r="PZ232" s="43" t="str">
        <f t="shared" si="991"/>
        <v/>
      </c>
      <c r="QA232" s="43" t="str">
        <f t="shared" si="992"/>
        <v/>
      </c>
      <c r="QB232" s="43" t="str">
        <f t="shared" si="993"/>
        <v/>
      </c>
      <c r="QC232" s="43" t="str">
        <f t="shared" si="994"/>
        <v/>
      </c>
      <c r="QD232" s="43" t="str">
        <f t="shared" si="995"/>
        <v/>
      </c>
      <c r="QE232" s="43" t="str">
        <f t="shared" si="996"/>
        <v/>
      </c>
      <c r="QF232" s="43" t="str">
        <f t="shared" si="997"/>
        <v/>
      </c>
      <c r="QG232" s="43" t="str">
        <f t="shared" si="998"/>
        <v/>
      </c>
      <c r="QH232" s="43" t="str">
        <f t="shared" si="999"/>
        <v/>
      </c>
      <c r="QI232" s="43" t="str">
        <f t="shared" si="1000"/>
        <v/>
      </c>
      <c r="QJ232" s="43" t="str">
        <f t="shared" si="1001"/>
        <v/>
      </c>
      <c r="QK232" s="43" t="str">
        <f t="shared" si="1002"/>
        <v/>
      </c>
      <c r="QL232" s="43" t="str">
        <f t="shared" si="1003"/>
        <v/>
      </c>
      <c r="QM232" s="43" t="str">
        <f t="shared" si="1004"/>
        <v/>
      </c>
      <c r="QN232" s="43" t="str">
        <f t="shared" si="1005"/>
        <v/>
      </c>
      <c r="QO232" s="43" t="str">
        <f t="shared" si="1006"/>
        <v/>
      </c>
      <c r="QP232" s="43" t="str">
        <f t="shared" si="1007"/>
        <v/>
      </c>
      <c r="QQ232" s="43" t="str">
        <f t="shared" si="1008"/>
        <v/>
      </c>
      <c r="QR232" s="43">
        <f t="shared" si="1009"/>
        <v>17</v>
      </c>
      <c r="QS232" s="43"/>
      <c r="QT232" s="21" t="str">
        <f t="shared" si="1010"/>
        <v/>
      </c>
      <c r="QU232" s="21" t="str">
        <f t="shared" si="1011"/>
        <v/>
      </c>
      <c r="QV232" s="21" t="str">
        <f t="shared" si="1012"/>
        <v/>
      </c>
      <c r="QW232" s="21" t="str">
        <f t="shared" si="1013"/>
        <v/>
      </c>
      <c r="QX232" s="21" t="str">
        <f t="shared" si="1014"/>
        <v/>
      </c>
      <c r="QY232" s="21" t="str">
        <f t="shared" si="1015"/>
        <v/>
      </c>
      <c r="QZ232" s="21" t="str">
        <f t="shared" si="1016"/>
        <v/>
      </c>
      <c r="RA232" s="21" t="str">
        <f t="shared" si="1017"/>
        <v/>
      </c>
      <c r="RB232" s="21" t="str">
        <f t="shared" si="1018"/>
        <v/>
      </c>
      <c r="RC232" s="21" t="str">
        <f t="shared" si="1019"/>
        <v/>
      </c>
      <c r="RD232" s="21" t="str">
        <f t="shared" si="1020"/>
        <v/>
      </c>
      <c r="RE232" s="21" t="str">
        <f t="shared" si="1021"/>
        <v/>
      </c>
      <c r="RF232" s="21" t="str">
        <f t="shared" si="1022"/>
        <v/>
      </c>
      <c r="RG232" s="21" t="str">
        <f t="shared" si="1023"/>
        <v/>
      </c>
      <c r="RH232" s="21" t="str">
        <f t="shared" si="1024"/>
        <v/>
      </c>
      <c r="RI232" s="21" t="str">
        <f t="shared" si="1025"/>
        <v/>
      </c>
      <c r="RJ232" s="21" t="str">
        <f t="shared" si="1026"/>
        <v/>
      </c>
      <c r="RK232" s="21" t="str">
        <f t="shared" si="1027"/>
        <v/>
      </c>
      <c r="RL232" s="21" t="str">
        <f t="shared" si="1028"/>
        <v/>
      </c>
      <c r="RM232" s="21" t="str">
        <f t="shared" si="1029"/>
        <v/>
      </c>
      <c r="RN232" s="21" t="str">
        <f t="shared" si="1030"/>
        <v/>
      </c>
      <c r="RO232" s="21" t="str">
        <f t="shared" si="1031"/>
        <v/>
      </c>
      <c r="RP232" s="21" t="str">
        <f t="shared" si="1032"/>
        <v/>
      </c>
      <c r="RQ232" s="21" t="str">
        <f t="shared" si="1033"/>
        <v/>
      </c>
      <c r="RR232" s="21" t="str">
        <f t="shared" si="1034"/>
        <v/>
      </c>
      <c r="RS232" s="21" t="str">
        <f t="shared" si="1035"/>
        <v/>
      </c>
      <c r="RT232" s="21" t="str">
        <f t="shared" si="1036"/>
        <v/>
      </c>
      <c r="RU232" s="21" t="str">
        <f t="shared" si="1037"/>
        <v/>
      </c>
      <c r="RV232" s="21">
        <f t="shared" si="1038"/>
        <v>-1</v>
      </c>
      <c r="RW232" s="284">
        <f>IF(OR(Tabla1[[#This Row],[FUM FORMULA CONFIABLE]]="",Tabla1[[#This Row],[FUM FORMULA CONFIABLE]]="SD"),"",IF(Tabla1[[#This Row],[FUM FORMULA CONFIABLE]]="CORREGIDA",Tabla1[[#This Row],[FUM X ECO 1]],Tabla1[[#This Row],[FUM x AMENORREA]]))</f>
        <v>45025.8</v>
      </c>
      <c r="RX232" s="21">
        <f>IF(AND(Tabla1[[#This Row],[FUM X ECO 1]]="",Tabla1[[#This Row],[FUM x AMENORREA]]=""),"",IF(AND(Tabla1[[#This Row],[FUM X ECO 1]]="",Tabla1[[#This Row],[FUM x AMENORREA]]&lt;&gt;""),"X",SUM(Tabla1[[#This Row],[FUM X ECO 1]]-Tabla1[[#This Row],[FUM x AMENORREA]])))</f>
        <v>0.80000000000291038</v>
      </c>
      <c r="RY232" s="21">
        <f t="shared" si="1039"/>
        <v>0</v>
      </c>
    </row>
    <row r="233" spans="1:493" ht="45" customHeight="1" x14ac:dyDescent="0.25">
      <c r="A233" s="109"/>
      <c r="B233" s="43"/>
      <c r="C233" s="299" t="s">
        <v>845</v>
      </c>
      <c r="D233" s="124"/>
      <c r="E233" s="43" t="s">
        <v>884</v>
      </c>
      <c r="F233" s="43" t="s">
        <v>1286</v>
      </c>
      <c r="G233" s="43" t="s">
        <v>1452</v>
      </c>
      <c r="H233" s="43"/>
      <c r="I233" s="109" t="s">
        <v>851</v>
      </c>
      <c r="J233" s="110">
        <v>25546688</v>
      </c>
      <c r="K233" s="43" t="s">
        <v>932</v>
      </c>
      <c r="L233" s="175" t="s">
        <v>1509</v>
      </c>
      <c r="M233" s="22">
        <v>30085</v>
      </c>
      <c r="N233" s="213">
        <f t="shared" ca="1" si="839"/>
        <v>41.5013698630137</v>
      </c>
      <c r="O233" s="22">
        <v>45009</v>
      </c>
      <c r="P233" s="214" t="str">
        <f t="shared" si="916"/>
        <v>SI</v>
      </c>
      <c r="Q233" s="26" t="s">
        <v>855</v>
      </c>
      <c r="R233" s="22">
        <v>45009</v>
      </c>
      <c r="S233" s="21" t="s">
        <v>856</v>
      </c>
      <c r="T233" s="24" t="s">
        <v>690</v>
      </c>
      <c r="U233" s="21" t="s">
        <v>857</v>
      </c>
      <c r="V233" s="21" t="s">
        <v>858</v>
      </c>
      <c r="W233" s="21" t="s">
        <v>1618</v>
      </c>
      <c r="X233" s="21" t="s">
        <v>1618</v>
      </c>
      <c r="Y233" s="21" t="s">
        <v>859</v>
      </c>
      <c r="Z233" s="21">
        <v>3136427475</v>
      </c>
      <c r="AA233" s="21" t="s">
        <v>860</v>
      </c>
      <c r="AB233" s="27" t="s">
        <v>861</v>
      </c>
      <c r="AC233" s="26" t="s">
        <v>862</v>
      </c>
      <c r="AD233" s="38" t="s">
        <v>1546</v>
      </c>
      <c r="AE233" s="26" t="s">
        <v>854</v>
      </c>
      <c r="AF233" s="26" t="s">
        <v>854</v>
      </c>
      <c r="AG233" s="23" t="s">
        <v>864</v>
      </c>
      <c r="AH233" s="23" t="s">
        <v>864</v>
      </c>
      <c r="AI233" s="24" t="s">
        <v>863</v>
      </c>
      <c r="AJ233" s="23" t="s">
        <v>864</v>
      </c>
      <c r="AK233" s="220" t="str">
        <f>IF(AND(AD233="",AE233="",AF233="",AG233="",AH233="",AI233="",AJ233=""),"",IF(OR(Tabla1[[#This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EVALUACIÓN",IF(AND(O233="",R233=""),"",IF(AND(OR(O233&gt;0,R233&gt;0),NG233&gt;=0,NG233&lt;2),"SIN RIESGO",IF(AND(OR(O233&gt;0,R233&gt;0),NG233&gt;=2),"CON RIESGO","ASD")))))</f>
        <v>SIN RIESGO</v>
      </c>
      <c r="AL233" s="26" t="s">
        <v>864</v>
      </c>
      <c r="AM233" s="26" t="s">
        <v>864</v>
      </c>
      <c r="AN233" s="26" t="s">
        <v>864</v>
      </c>
      <c r="AO233" s="26" t="s">
        <v>864</v>
      </c>
      <c r="AP233" s="26" t="s">
        <v>864</v>
      </c>
      <c r="AQ233" s="26" t="s">
        <v>864</v>
      </c>
      <c r="AR233" s="26" t="s">
        <v>864</v>
      </c>
      <c r="AS233" s="21">
        <v>4</v>
      </c>
      <c r="AT233" s="21">
        <v>4</v>
      </c>
      <c r="AU233" s="21">
        <v>0</v>
      </c>
      <c r="AV233" s="26" t="s">
        <v>864</v>
      </c>
      <c r="AW233" s="21">
        <v>0</v>
      </c>
      <c r="AX233" s="26" t="s">
        <v>864</v>
      </c>
      <c r="AY233" s="26" t="s">
        <v>864</v>
      </c>
      <c r="AZ233" s="26" t="s">
        <v>864</v>
      </c>
      <c r="BA233" s="26" t="s">
        <v>864</v>
      </c>
      <c r="BB233" s="26" t="s">
        <v>864</v>
      </c>
      <c r="BC233" s="26" t="s">
        <v>864</v>
      </c>
      <c r="BD233" s="26" t="s">
        <v>864</v>
      </c>
      <c r="BE233" s="26" t="s">
        <v>864</v>
      </c>
      <c r="BF233" s="26" t="s">
        <v>864</v>
      </c>
      <c r="BG233" s="26" t="s">
        <v>864</v>
      </c>
      <c r="BH233" s="26" t="s">
        <v>864</v>
      </c>
      <c r="BI233" s="26" t="s">
        <v>864</v>
      </c>
      <c r="BJ233" s="26" t="s">
        <v>864</v>
      </c>
      <c r="BK233" s="26" t="s">
        <v>864</v>
      </c>
      <c r="BL233" s="26" t="s">
        <v>864</v>
      </c>
      <c r="BM233" s="26" t="s">
        <v>864</v>
      </c>
      <c r="BN233" s="22">
        <v>40589</v>
      </c>
      <c r="BO233" s="22">
        <v>44929</v>
      </c>
      <c r="BP233" s="21" t="s">
        <v>1380</v>
      </c>
      <c r="BQ233" s="222">
        <f t="shared" si="840"/>
        <v>144.69666666666672</v>
      </c>
      <c r="BR233" s="223">
        <f t="shared" si="841"/>
        <v>44929.9</v>
      </c>
      <c r="BS233" s="224">
        <f t="shared" si="842"/>
        <v>11.299999999999793</v>
      </c>
      <c r="BT233" s="216" t="str">
        <f t="shared" si="843"/>
        <v>II TRIM</v>
      </c>
      <c r="BU233" s="214" t="str">
        <f t="shared" ca="1" si="925"/>
        <v/>
      </c>
      <c r="BV233" s="25" t="s">
        <v>988</v>
      </c>
      <c r="BW233" s="22">
        <v>45149</v>
      </c>
      <c r="BX233" s="28">
        <v>31.3</v>
      </c>
      <c r="BY233" s="28"/>
      <c r="BZ233" s="22"/>
      <c r="CA233" s="21"/>
      <c r="CB233" s="26" t="s">
        <v>864</v>
      </c>
      <c r="CC233" s="26" t="s">
        <v>864</v>
      </c>
      <c r="CD233" s="26" t="s">
        <v>878</v>
      </c>
      <c r="CE233" s="26" t="s">
        <v>864</v>
      </c>
      <c r="CF233" s="22" t="s">
        <v>1517</v>
      </c>
      <c r="CG233" s="21">
        <v>1.54</v>
      </c>
      <c r="CH233" s="21">
        <v>72</v>
      </c>
      <c r="CI233" s="214">
        <f t="shared" si="845"/>
        <v>30.359251138471919</v>
      </c>
      <c r="CJ233" s="225" t="e">
        <f>IF(AND(CI233&lt;10,CH233="SD"),"SIN DATO PESO PREGESTACION O I TRIM",IF(AND(OR(R233&gt;0,O233&gt;0),CI233="X"),"INGRESAR DATO DE PESO",IF(CI233="SD","INGRESAR DATO DE TALLA Y PESO",IF(AND(OR(Tabla1[[#This Row],[MOMENTO EN QUE SE REALIZA EL PESO AL INGRESO A CPN]]="PREGESTACIÓN",NZ233="Menor"),CI233&lt;18.5),"BAJO PESO",IF(AND(OR(Tabla1[[#This Row],[MOMENTO EN QUE SE REALIZA EL PESO AL INGRESO A CPN]]="PREGESTACIÓN",NZ233="Menor"),CI233&lt;25),"NORMAL",IF(AND(OR(Tabla1[[#This Row],[MOMENTO EN QUE SE REALIZA EL PESO AL INGRESO A CPN]]="PREGESTACIÓN",NZ233="Menor"),CI233&lt;30),"SOBREPESO",IF(AND(OR(Tabla1[[#This Row],[MOMENTO EN QUE SE REALIZA EL PESO AL INGRESO A CPN]]="PREGESTACIÓN",NZ233="Menor"),CI233&gt;=30,CI233&lt;50),"OBESIDAD",IF(AND(BS233&gt;0,Tabla1[[#This Row],[MOMENTO EN QUE SE REALIZA EL PESO AL INGRESO A CPN]]="GESTACIÓN"),HLOOKUP(NZ233,$OA$2:PH233,NY233),""))))))))</f>
        <v>#REF!</v>
      </c>
      <c r="CK233" s="212">
        <f t="shared" si="846"/>
        <v>45149</v>
      </c>
      <c r="CL233" s="21">
        <v>72</v>
      </c>
      <c r="CM233" s="214">
        <f t="shared" si="847"/>
        <v>30.359251138471919</v>
      </c>
      <c r="CN233" s="216">
        <f t="shared" si="848"/>
        <v>31</v>
      </c>
      <c r="CO233" s="216" t="e">
        <f>IF(PI233="","",IF(PI233&gt;0,HLOOKUP(PI233,$PJ$2:QQ233,NY233),""))</f>
        <v>#REF!</v>
      </c>
      <c r="CP233" s="21">
        <v>32</v>
      </c>
      <c r="CQ233" s="216" t="e">
        <f>IF(QR233="Menor","NO APLICA-MENOR 13 SEM",IF(AND(CC233="SI",CN233&gt;23),"NO APLICA- GEMELAR",IF(QR233="","",IF(QR233&gt;0,HLOOKUP(QR233,$QS$2:RU233,NY233),""))))</f>
        <v>#REF!</v>
      </c>
      <c r="CR233" s="21"/>
      <c r="CS233" s="21"/>
      <c r="CT233" s="217" t="str">
        <f>IF(R233="","",IF(AND(BS233&gt;1,BS233&lt;12,Tabla1[[#This Row],[T.A. SISTOLICA - ANTES DE SEMANA 12]]="",Tabla1[[#This Row],[T.A. DIASTOLICA - ANTES DE SEMANA 12]]=""),"REGISTRE DATO TA ANTES SEMANA 12",IF(AND(BS233&gt;11,BS233&lt;43,Tabla1[[#This Row],[T.A. SISTOLICA - ANTES DE SEMANA 12]]="",Tabla1[[#This Row],[T.A. DIASTOLICA - ANTES DE SEMANA 12]]=""),"NO APLICA REGISTRO TA-INGRESO TARDIO",IF(AND(OR(O233&gt;0,R233&gt;0),OR(CR233&gt;=140,CS233&gt;=90)),"DEFINIR ESTADIO HTA",IF(AND(OR(O233&gt;0,R233&gt;0),AND(CR233&gt;120,CR233&lt;=139)),"PRE HTA SEGUIMIENTO",IF(AND(OR(O233&gt;0,R233&gt;0),AND(CS233&gt;80,CS233&lt;=89)),"PRE HTA SEGUIMIENTO",IF(AND(OR(O233&gt;0,R233&gt;0),AND(CR233&gt;=80,CR233&lt;=120)),"APARENTEMENTE NORMAL",IF(AND(OR(O233&gt;0,R233&gt;0),AND(CS233&gt;=50,CS233&lt;=80)),"APARENTEMENTE NORMAL",IF(AND(OR(O233&gt;0,R233&gt;0),AND(CR233&gt;1,CR233&lt;=70),AND(CS233&gt;1,CS233&lt;=40)),"HIPOTENSIÓN","")))))))))</f>
        <v>REGISTRE DATO TA ANTES SEMANA 12</v>
      </c>
      <c r="CU233" s="21"/>
      <c r="CV233" s="21"/>
      <c r="CW233" s="217" t="str">
        <f ca="1">IF(R233="","",IF(AND(CN233&gt;19,CN233&lt;27,Tabla1[[#This Row],[T.A. SISTOLICA (Entre semana 20 y 26)]]="",Tabla1[[#This Row],[T.A. DIATOLICA (Entre semana 20 y 26)]]=""),"ACUDE A CONTROL SEM 20 A 26 REGISTRE TA AHORA",IF(AND(BS233&gt;1,BS233&lt;27,BU233&gt;19,Tabla1[[#This Row],[T.A. SISTOLICA (Entre semana 20 y 26)]]="",Tabla1[[#This Row],[T.A. DIATOLICA (Entre semana 20 y 26)]]=""),"COMPLETE REGISTRO TA CONTROL SEM 20 A26 ",IF(AND(BS233&gt;26,BS233&lt;43,Tabla1[[#This Row],[T.A. SISTOLICA (Entre semana 20 y 26)]]="",Tabla1[[#This Row],[T.A. DIATOLICA (Entre semana 20 y 26)]]=""),"NO APLICA REGISTRO TA-INGRESO TARDIO",IF(AND(OR(O233&gt;0,R233&gt;0),OR(CU233&gt;=140,CV233&gt;=90)),"ALTO RIESGO PREECLAMPSIA,DEFINIR ESTADIO HTA",IF(AND(OR(O233&gt;0,R233&gt;0),AND(CU233&gt;120,CU233&lt;=139)),"PRE HTA SEGUIMIENTO,RIESGO HIPERTENSION INDUCIDA POR EL EMBARAZO",IF(AND(OR(O233&gt;0,R233&gt;0),AND(CV233&gt;80,CV233&lt;=89)),"PRE HTA SEGUIMIENTO, RIESGO HIPERTENSION INDUCIDA POR EL EMBARAZO",IF(AND(OR(O233&lt;&gt;"",R233&lt;&gt;""),CS233&lt;&gt;"",CV233&lt;&gt;"",CS233&lt;=CV233),"VIGILAR CIFRAS PRESION ARTERIAL",IF(AND(OR(O233&gt;0,R233&gt;0),AND(CU233&gt;120,CU233&lt;=139)),"PRE HTA SEGUIMIENTO",IF(AND(OR(O233&gt;0,R233&gt;0),AND(CU233&gt;1,CU233&lt;=70),AND(CV233&gt;1,CV233&lt;=40)),"HIPOTENSIÓN",IF(AND(OR(O233&lt;&gt;"",R233&lt;&gt;""),CS233&lt;&gt;"",CV233&lt;&gt;"",CS233&gt;CV233),"APARENTEMENTE NORMAL",IF(AND(OR(O233&gt;0,R233&gt;0),AND(CU233&gt;=80,CU233&lt;=120)),"APARENTEMENTE NORMAL",IF(AND(OR(O233&gt;0,R233&gt;0),AND(CV233&gt;=50,CV233&lt;=80)),"APARENTEMENTE NORMAL","")))))))))))))</f>
        <v xml:space="preserve">COMPLETE REGISTRO TA CONTROL SEM 20 A26 </v>
      </c>
      <c r="CX233" s="21">
        <v>100</v>
      </c>
      <c r="CY233" s="21">
        <v>60</v>
      </c>
      <c r="CZ233" s="216" t="str">
        <f t="shared" si="1042"/>
        <v>APARENTEMENTE NORMAL</v>
      </c>
      <c r="DA233" s="21">
        <v>100</v>
      </c>
      <c r="DB233" s="21">
        <v>60</v>
      </c>
      <c r="DC233" s="217" t="str">
        <f t="shared" si="849"/>
        <v>APARENTEMENTE NORMAL</v>
      </c>
      <c r="DD233" s="22">
        <v>45009</v>
      </c>
      <c r="DE233" s="22">
        <v>45009</v>
      </c>
      <c r="DF233" s="22">
        <v>45107</v>
      </c>
      <c r="DG233" s="22">
        <v>45149</v>
      </c>
      <c r="DH233" s="22"/>
      <c r="DI233" s="22"/>
      <c r="DJ233" s="22"/>
      <c r="DK233" s="22"/>
      <c r="DL233" s="22"/>
      <c r="DM233" s="22"/>
      <c r="DN233" s="22"/>
      <c r="DO233" s="22"/>
      <c r="DP233" s="22"/>
      <c r="DQ233" s="22"/>
      <c r="DR233" s="28"/>
      <c r="DS233" s="22"/>
      <c r="DT233" s="22"/>
      <c r="DU233" s="216" t="str">
        <f t="shared" ca="1" si="917"/>
        <v>CONCERTAR PLAN DE PARTO INMEDIATO</v>
      </c>
      <c r="DV233" s="226" t="str">
        <f t="shared" si="918"/>
        <v>ACTIVA INGRESO A CPN</v>
      </c>
      <c r="DW23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3" s="216" t="e">
        <f t="shared" ca="1" si="850"/>
        <v>#REF!</v>
      </c>
      <c r="DY233" s="212">
        <f>IF(R233="","",IF(R233&gt;0,MAX(Tabla1[[#This Row],[FECHA C2]:[FECHA C13]],Tabla1[[#This Row],[FECHA CONSULTA PRIMERA VEZ PROGRAMA CPN ]])))</f>
        <v>45149</v>
      </c>
      <c r="DZ233" s="216">
        <f t="shared" si="851"/>
        <v>31</v>
      </c>
      <c r="EA233" s="222">
        <f>IF(R233&gt;0,SUM(COUNTA(DF233:DQ233)+COUNTA(Tabla1[[#This Row],[FECHA CONSULTA PRIMERA VEZ PROGRAMA CPN ]])),"")</f>
        <v>3</v>
      </c>
      <c r="EB233" s="222" t="str">
        <f t="shared" si="852"/>
        <v>NO</v>
      </c>
      <c r="EC233" s="214">
        <f t="shared" si="853"/>
        <v>9</v>
      </c>
      <c r="ED233" s="227">
        <f t="shared" si="854"/>
        <v>0.33333333333333331</v>
      </c>
      <c r="EE233" s="22">
        <v>45009</v>
      </c>
      <c r="EF233" s="22">
        <v>45149</v>
      </c>
      <c r="EG233" s="22">
        <v>45009</v>
      </c>
      <c r="EH233" s="22"/>
      <c r="EI233" s="22">
        <v>45009</v>
      </c>
      <c r="EJ233" s="22"/>
      <c r="EK233" s="22"/>
      <c r="EL233" s="21"/>
      <c r="EM233" s="21">
        <v>13.2</v>
      </c>
      <c r="EN233" s="22">
        <v>45108</v>
      </c>
      <c r="EO233" s="222">
        <f t="shared" si="855"/>
        <v>25.442857142856933</v>
      </c>
      <c r="EP233" s="214" t="str">
        <f t="shared" si="856"/>
        <v>NORMAL- SUMINISTRAR SULFATO FERROSO</v>
      </c>
      <c r="EQ233" s="216" t="str">
        <f t="shared" si="857"/>
        <v>II TRIM</v>
      </c>
      <c r="ER233" s="24"/>
      <c r="ES233" s="22"/>
      <c r="ET233" s="29" t="str">
        <f t="shared" ca="1" si="919"/>
        <v>TOMA DE HEMOGLOBINA TARDÍA</v>
      </c>
      <c r="EU233" s="25" t="str">
        <f t="shared" si="858"/>
        <v/>
      </c>
      <c r="EV233" s="24" t="s">
        <v>1510</v>
      </c>
      <c r="EW233" s="22">
        <v>45108</v>
      </c>
      <c r="EX233" s="22"/>
      <c r="EY233" s="29">
        <f t="shared" si="1040"/>
        <v>25.442857142856933</v>
      </c>
      <c r="EZ233" s="25" t="str">
        <f t="shared" si="1041"/>
        <v>SIN RIESGO DE ISOINMUNIZACIÓN</v>
      </c>
      <c r="FA233" s="21">
        <v>64</v>
      </c>
      <c r="FB233" s="22">
        <v>45108</v>
      </c>
      <c r="FC233" s="29" t="str">
        <f t="shared" si="859"/>
        <v>NO APLICA &gt; 23 SEM -TOMAR PTOG</v>
      </c>
      <c r="FD233" s="29"/>
      <c r="FE233" s="29"/>
      <c r="FF233" s="29"/>
      <c r="FG233" s="21" t="str">
        <f t="shared" ca="1" si="860"/>
        <v/>
      </c>
      <c r="FH233" s="31"/>
      <c r="FI233" s="29" t="str">
        <f t="shared" si="861"/>
        <v>TOMAR EXAMEN</v>
      </c>
      <c r="FJ233" s="22"/>
      <c r="FK233" s="22"/>
      <c r="FL233" s="29" t="str">
        <f t="shared" ca="1" si="862"/>
        <v>PIERDE TOMA DE TAMIZAJE</v>
      </c>
      <c r="FM233" s="22" t="s">
        <v>867</v>
      </c>
      <c r="FN233" s="32">
        <v>45108</v>
      </c>
      <c r="FO233" s="29">
        <f t="shared" ca="1" si="920"/>
        <v>25.442857142856933</v>
      </c>
      <c r="FP233" s="22"/>
      <c r="FQ233" s="32"/>
      <c r="FR233" s="29" t="str">
        <f t="shared" ca="1" si="921"/>
        <v>TOMA INMEDIATA DE TAMIZAJE</v>
      </c>
      <c r="FS233" s="22"/>
      <c r="FT233" s="32"/>
      <c r="FU233" s="29" t="str">
        <f>IF(AND(FJ233="",FM233="",FP233="",FS233=""),"",IF(OR(OR(Tabla1[[#This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3" s="28"/>
      <c r="FW233" s="22"/>
      <c r="FX233" s="29" t="str">
        <f t="shared" si="863"/>
        <v>TOMAR EXAMEN</v>
      </c>
      <c r="FY233" s="22"/>
      <c r="FZ233" s="22"/>
      <c r="GA233" s="29" t="str">
        <f t="shared" ca="1" si="936"/>
        <v>PIERDE TOMA DE TAMIZAJE</v>
      </c>
      <c r="GB233" s="22" t="s">
        <v>868</v>
      </c>
      <c r="GC233" s="22">
        <v>45108</v>
      </c>
      <c r="GD233" s="29">
        <f t="shared" ca="1" si="1045"/>
        <v>25.442857142856933</v>
      </c>
      <c r="GE233" s="22"/>
      <c r="GF233" s="22"/>
      <c r="GG233" s="29" t="str">
        <f t="shared" ca="1" si="923"/>
        <v>TOMA INMEDIATA DE TAMIZAJE</v>
      </c>
      <c r="GH233" s="22"/>
      <c r="GI233" s="29"/>
      <c r="GJ233" s="22"/>
      <c r="GK233" s="22"/>
      <c r="GL233" s="22"/>
      <c r="GM233" s="22"/>
      <c r="GN233" s="28" t="s">
        <v>869</v>
      </c>
      <c r="GO233" s="22">
        <v>45108</v>
      </c>
      <c r="GP233" s="29">
        <f t="shared" si="864"/>
        <v>25.442857142856933</v>
      </c>
      <c r="GQ233" s="28"/>
      <c r="GR233" s="28" t="s">
        <v>869</v>
      </c>
      <c r="GS233" s="22" t="str">
        <f t="shared" si="1044"/>
        <v/>
      </c>
      <c r="GT233" s="22">
        <v>45108</v>
      </c>
      <c r="GU233" s="29">
        <f t="shared" si="865"/>
        <v>25.571428571428573</v>
      </c>
      <c r="GV233" s="21" t="str">
        <f t="shared" si="866"/>
        <v>II TRIM</v>
      </c>
      <c r="GW233" s="28"/>
      <c r="GX233" s="30"/>
      <c r="GY233" s="21"/>
      <c r="GZ233" s="21"/>
      <c r="HA233" s="21"/>
      <c r="HB233" s="21"/>
      <c r="HC233" s="21"/>
      <c r="HD233" s="21"/>
      <c r="HE233" s="21"/>
      <c r="HF233" s="22"/>
      <c r="HG233" s="22" t="str">
        <f>IF(OR(O233&gt;0,R233&gt;0),CONCATENATE(IF(Tabla1[[#This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3" s="22" t="e">
        <f t="shared" si="867"/>
        <v>#REF!</v>
      </c>
      <c r="HI233" s="22" t="str">
        <f t="shared" si="868"/>
        <v>ALTO RIESGO</v>
      </c>
      <c r="HJ233" s="21"/>
      <c r="HK233" s="21" t="str">
        <f t="shared" si="869"/>
        <v>RIESGO MODERADO (2 O MAS CRITERIOS) VER MANEJO GUIA SUMINISTRO ASA Y CALCIO</v>
      </c>
      <c r="HL233" s="24" t="str">
        <f t="shared" si="870"/>
        <v>APARENTEMENTE NORMAL</v>
      </c>
      <c r="HM233" s="21" t="e">
        <f t="shared" ca="1" si="871"/>
        <v>#REF!</v>
      </c>
      <c r="HN233" s="30" t="str">
        <f t="shared" si="924"/>
        <v>ACTIVA INGRESO A CPN</v>
      </c>
      <c r="HO233" s="21"/>
      <c r="HP233" s="21"/>
      <c r="HQ233" s="349"/>
      <c r="HR233" s="21" t="str">
        <f ca="1">IF(R233="","",IF(Tabla1[[#This Row],[ALARMA FACTORES DE RIESGO COMPLICACIONES HIPERTENSIVAS3]]="SIN ANTECEDENTES DE RIESGO","No Aplica para suministro de ASA",IF(AND(Tabla1[[#This Row],[FECHA INICIO DE SUMINISTRO DE ASA]]&gt;0,RV233&lt;12),"Inicia ASA ANTES de Sem 12",IF(AND(RV233&gt;11,RV233&lt;17,OR(HK233="RIESGO ALTO DE COMPLICACIONES HIPERTENSIVAS VER MANEJO GUIA SUMINISTRO ASA Y CALCIO",HK233="RIESGO MODERADO (2 O MAS CRITERIOS) VER MANEJO GUIA SUMINISTRO ASA Y CALCIO")),"Inicio oportuno de ASA",IF(AND(RV233&gt;12,OR(HK233="RIESGO ALTO DE COMPLICACIONES HIPERTENSIVAS VER MANEJO GUIA SUMINISTRO ASA Y CALCIO",HK233="RIESGO MODERADO (2 O MAS CRITERIOS) VER MANEJO GUIA SUMINISTRO ASA Y CALCIO")),"Inicio no oportuno mayor a 16 semanas",IF(AND(BU233&lt;12,OR(HK233="RIESGO ALTO DE COMPLICACIONES HIPERTENSIVAS VER MANEJO GUIA SUMINISTRO ASA Y CALCIO",HK233="RIESGO MODERADO (2 O MAS CRITERIOS) VER MANEJO GUIA SUMINISTRO ASA Y CALCIO")),"Pendiente Inicio de ASA a la semana 12",IF(AND(BU233&gt;11,BU233&lt;17,OR(HK233="RIESGO ALTO DE COMPLICACIONES HIPERTENSIVAS VER MANEJO GUIA SUMINISTRO ASA Y CALCIO",HK233="RIESGO MODERADO (2 O MAS CRITERIOS) VER MANEJO GUIA SUMINISTRO ASA Y CALCIO")),"Iniciar de inmediato ASA",IF(AND(BU233&gt;16,OR(HK233="RIESGO ALTO DE COMPLICACIONES HIPERTENSIVAS VER MANEJO GUIA SUMINISTRO ASA Y CALCIO",HK233="RIESGO MODERADO (2 O MAS CRITERIOS) VER MANEJO GUIA SUMINISTRO ASA Y CALCIO")),"Pierde Oportunidad, Inicio tardío de ASA","XXXXX"))))))))</f>
        <v>Pierde Oportunidad, Inicio tardío de ASA</v>
      </c>
      <c r="HS233" s="22">
        <v>45009</v>
      </c>
      <c r="HT233" s="22" t="s">
        <v>1518</v>
      </c>
      <c r="HU233" s="22">
        <v>45009</v>
      </c>
      <c r="HV233" s="22" t="s">
        <v>1544</v>
      </c>
      <c r="HW233" s="22">
        <v>45009</v>
      </c>
      <c r="HX233" s="22" t="s">
        <v>1511</v>
      </c>
      <c r="HY233" s="22">
        <v>45149</v>
      </c>
      <c r="HZ233" s="28">
        <f t="shared" si="872"/>
        <v>31.299999999999791</v>
      </c>
      <c r="IA233" s="26"/>
      <c r="IB233" s="26"/>
      <c r="IC233" s="111">
        <v>45063</v>
      </c>
      <c r="ID233" s="22">
        <v>45094</v>
      </c>
      <c r="IE233" s="22" t="str">
        <f t="shared" ca="1" si="873"/>
        <v>VACUNA APLICADA ENTRE SEMANA 20 Y SEMANA 26</v>
      </c>
      <c r="IF233" s="111">
        <v>45063</v>
      </c>
      <c r="IG233" s="22">
        <f t="shared" si="874"/>
        <v>45209.9</v>
      </c>
      <c r="IH233" s="29">
        <f t="shared" ca="1" si="875"/>
        <v>-23.099999999998545</v>
      </c>
      <c r="II233" s="22" t="str">
        <f t="shared" ca="1" si="876"/>
        <v>POSIBLEMENTE NACIO</v>
      </c>
      <c r="IJ233" s="22"/>
      <c r="IK233" s="21"/>
      <c r="IL233" s="21"/>
      <c r="IM233" s="34"/>
      <c r="IN233" s="22"/>
      <c r="IO233" s="21"/>
      <c r="IP233" s="29" t="str">
        <f t="shared" si="877"/>
        <v/>
      </c>
      <c r="IQ233" s="35"/>
      <c r="IR233" s="21"/>
      <c r="IS233" s="21"/>
      <c r="IT233" s="21"/>
      <c r="IU233" s="21"/>
      <c r="IV233" s="21"/>
      <c r="IW233" s="21"/>
      <c r="IX233" s="21"/>
      <c r="IY233" s="21"/>
      <c r="IZ233" s="21"/>
      <c r="JA233" s="21"/>
      <c r="JB233" s="30"/>
      <c r="JC233" s="21"/>
      <c r="JD233" s="36"/>
      <c r="JE233" s="21" t="str">
        <f t="shared" si="878"/>
        <v/>
      </c>
      <c r="JF233" s="30"/>
      <c r="JG233" s="21"/>
      <c r="JH233" s="21"/>
      <c r="JI233" s="21"/>
      <c r="JJ233" s="30"/>
      <c r="JK233" s="22"/>
      <c r="JL233" s="22"/>
      <c r="JM233" s="21"/>
      <c r="JN233" s="36"/>
      <c r="JO233" s="21" t="str">
        <f t="shared" si="879"/>
        <v/>
      </c>
      <c r="JP233" s="22"/>
      <c r="JQ233" s="21"/>
      <c r="JR233" s="21"/>
      <c r="JS233" s="21"/>
      <c r="JT233" s="30"/>
      <c r="JU233" s="22"/>
      <c r="JV233" s="22"/>
      <c r="JW233" s="33"/>
      <c r="JX233" s="28" t="str">
        <f t="shared" si="880"/>
        <v/>
      </c>
      <c r="JY233" s="33"/>
      <c r="JZ233" s="28" t="str">
        <f t="shared" si="881"/>
        <v/>
      </c>
      <c r="KA233" s="21"/>
      <c r="KB233" s="21"/>
      <c r="KC233" s="21"/>
      <c r="KD233" s="37"/>
      <c r="KE233" s="28"/>
      <c r="KF233" s="28"/>
      <c r="KG233" s="28"/>
      <c r="KH233" s="39"/>
      <c r="KI233" s="39"/>
      <c r="KJ233" s="66"/>
      <c r="KK233" s="39"/>
      <c r="KL233" s="39"/>
      <c r="KM233" s="66"/>
      <c r="KN233" s="39"/>
      <c r="KO233" s="39"/>
      <c r="KP233" s="39"/>
      <c r="KQ233" s="39"/>
      <c r="KR233" s="39"/>
      <c r="KS233" s="39"/>
      <c r="KT233" s="39"/>
      <c r="KU233" s="38"/>
      <c r="KV233" s="38"/>
      <c r="KW233" s="38"/>
      <c r="KX233" s="38"/>
      <c r="KY233" s="38"/>
      <c r="KZ233" s="38"/>
      <c r="LA233" s="38"/>
      <c r="LB233" s="38"/>
      <c r="LC233" s="38"/>
      <c r="LD233" s="38"/>
      <c r="LE233" s="38"/>
      <c r="LF233" s="38"/>
      <c r="LG233" s="38"/>
      <c r="LH233" s="38"/>
      <c r="LI233" s="38"/>
      <c r="LJ233" s="38"/>
      <c r="LK233" s="38"/>
      <c r="LL233" s="38"/>
      <c r="LM233" s="38"/>
      <c r="LN233" s="38"/>
      <c r="LO233" s="38"/>
      <c r="LP233" s="38"/>
      <c r="LQ233" s="38"/>
      <c r="LR233" s="38"/>
      <c r="LS233" s="38"/>
      <c r="LT233" s="38"/>
      <c r="LU233" s="38"/>
      <c r="LV233" s="38"/>
      <c r="LW233" s="38"/>
      <c r="LX233" s="38"/>
      <c r="LY233" s="38"/>
      <c r="LZ233" s="38"/>
      <c r="MA233" s="38"/>
      <c r="MB233" s="38"/>
      <c r="MC233" s="38"/>
      <c r="MD233" s="38"/>
      <c r="ME233" s="38"/>
      <c r="MF233" s="38"/>
      <c r="MG233" s="38"/>
      <c r="MH233" s="43">
        <f t="shared" si="882"/>
        <v>0</v>
      </c>
      <c r="MI233" s="43" t="str">
        <f t="shared" si="926"/>
        <v/>
      </c>
      <c r="MJ233" s="43" t="str">
        <f t="shared" si="884"/>
        <v/>
      </c>
      <c r="MK233" s="43">
        <f t="shared" si="885"/>
        <v>0</v>
      </c>
      <c r="ML23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3" s="43">
        <f t="shared" si="927"/>
        <v>11.299999999999793</v>
      </c>
      <c r="MN233" s="43">
        <f t="shared" si="928"/>
        <v>3</v>
      </c>
      <c r="MO233" s="43">
        <f t="shared" si="929"/>
        <v>2023</v>
      </c>
      <c r="MP233" s="43" t="str">
        <f t="shared" si="889"/>
        <v>I TRIMESTRE AÑO</v>
      </c>
      <c r="MQ233" s="43">
        <f t="shared" si="930"/>
        <v>40.270477441962328</v>
      </c>
      <c r="MR233" s="43">
        <f t="shared" si="891"/>
        <v>2</v>
      </c>
      <c r="MS233" s="43" t="str">
        <f t="shared" si="892"/>
        <v xml:space="preserve"> DE 40 Y MAS</v>
      </c>
      <c r="MT233" s="43">
        <f t="shared" si="893"/>
        <v>0</v>
      </c>
      <c r="MU233" s="43">
        <f t="shared" si="894"/>
        <v>0</v>
      </c>
      <c r="MV233" s="43">
        <f t="shared" si="895"/>
        <v>0</v>
      </c>
      <c r="MW233" s="43">
        <f t="shared" si="896"/>
        <v>0</v>
      </c>
      <c r="MX233" s="43" t="str">
        <f t="shared" si="897"/>
        <v/>
      </c>
      <c r="MY233" s="43" t="str">
        <f t="shared" ca="1" si="898"/>
        <v/>
      </c>
      <c r="MZ233" s="43" t="str">
        <f t="shared" si="899"/>
        <v/>
      </c>
      <c r="NA233" s="43">
        <f t="shared" si="900"/>
        <v>0</v>
      </c>
      <c r="NB233" s="43" t="str">
        <f t="shared" si="901"/>
        <v/>
      </c>
      <c r="NC233" s="43" t="str">
        <f t="shared" si="902"/>
        <v/>
      </c>
      <c r="ND233" s="43">
        <f t="shared" ca="1" si="931"/>
        <v>2</v>
      </c>
      <c r="NE233" s="43">
        <f>IF(OR(O233&gt;0,R233&gt;0),SUM(COUNTIF(Tabla1[[#This Row],[AÑOS AL INICIO5 CPN]],"&gt;=40"),COUNTIF(AS233,"0"),COUNTIF(AR233,"SI"),COUNTIF(CC233,"SI"),COUNTIF(BQ233,"&gt;119"),COUNTIF(CI233,"&gt;=35")),"")</f>
        <v>2</v>
      </c>
      <c r="NF233" s="43">
        <f t="shared" si="932"/>
        <v>23.442857142856933</v>
      </c>
      <c r="NG233" s="43">
        <f t="shared" si="905"/>
        <v>0</v>
      </c>
      <c r="NH233" s="43">
        <f t="shared" si="906"/>
        <v>219.1</v>
      </c>
      <c r="NI23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CPN",P233="NO"),"Z",IF(AND(Tabla1[[#This Row],[CITA PROXIMO CONTROL]]="CITA MANUAL",Tabla1[[#This Row],[GESTANTES ACTUALES]]="ACTIVA INGRESO A CPN"),"W",IF(AND(Tabla1[[#This Row],[GESTANTES ACTUALES]]="SALIO PROGRAMA",IN233=""),"S",IF(AND(Tabla1[[#This Row],[CITA PROXIMO CONTROL]]&gt;0,IN233=""),(Tabla1[[#This Row],[CITA PROXIMO CONTROL]]-TODAY()),"SD"))))))))</f>
        <v>#REF!</v>
      </c>
      <c r="NJ233" s="43">
        <f>MONTH(Tabla1[[#This Row],[FECHA DE SALIDA  DEL PROGRAMA]])</f>
        <v>1</v>
      </c>
      <c r="NK233" s="43">
        <f>YEAR(Tabla1[[#This Row],[FECHA DE SALIDA  DEL PROGRAMA]])</f>
        <v>1900</v>
      </c>
      <c r="NL233" s="43" t="str">
        <f t="shared" si="933"/>
        <v>X</v>
      </c>
      <c r="NM233" s="43" t="str">
        <f t="shared" si="938"/>
        <v>NO</v>
      </c>
      <c r="NN233" s="43" t="str">
        <f ca="1">IF(AND(O233&gt;0,R233=""),"NO CPN",IF(AND(O233="",R233=""),"",IF(AND(R233&gt;0,Tabla1[[#This Row],[SEMANAS DE GESTACION ACTUALIZADAS]]&lt;=12),"NO APLICA",IF(AND(FH233&lt;&gt;"",FN233&lt;&gt;""),"SI","NO"))))</f>
        <v>NO</v>
      </c>
      <c r="NO233" s="43" t="str">
        <f ca="1">IF(AND(O233&gt;0,R233=""),"NO CPN",IF(AND(O233="",R233=""),"",IF(AND(R233&gt;0,Tabla1[[#This Row],[SEMANAS DE GESTACION ACTUALIZADAS]]&lt;=27),"NO APLICA",IF(AND(ES233&lt;&gt;"",FQ233&lt;&gt;"",GF233&lt;&gt;""),"SI","NO"))))</f>
        <v>NO</v>
      </c>
      <c r="NP233" s="204" t="str">
        <f t="shared" si="909"/>
        <v>I TRIM</v>
      </c>
      <c r="NQ233" s="21" t="str">
        <f t="shared" si="1043"/>
        <v/>
      </c>
      <c r="NR233" s="21" t="str">
        <f t="shared" ca="1" si="934"/>
        <v>REVISAR FUM O FECHA SALIDA PROGRAMA</v>
      </c>
      <c r="NS233" s="205">
        <f t="shared" ca="1" si="911"/>
        <v>1</v>
      </c>
      <c r="NT233" s="21">
        <f t="shared" ca="1" si="912"/>
        <v>1</v>
      </c>
      <c r="NU233" s="21" t="str">
        <f t="shared" ca="1" si="913"/>
        <v>POR DEFINIR</v>
      </c>
      <c r="NV233" s="21" t="str">
        <f t="shared" ca="1" si="914"/>
        <v>POR DEFINIR</v>
      </c>
      <c r="NW233" s="206" t="str">
        <f>IF(AND(O233="",R233=""),"",IF(OR(AND(Tabla1[[#This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3" s="207" t="str">
        <f t="shared" ca="1" si="935"/>
        <v>VACUNADA</v>
      </c>
      <c r="NY233" s="43">
        <f>ROW(Tabla1[[#This Row],['# DE TAMIZAJES SIFILIS TOMADOS ]])</f>
        <v>233</v>
      </c>
      <c r="NZ233" s="43">
        <f t="shared" si="939"/>
        <v>11</v>
      </c>
      <c r="OA233" s="43" t="str">
        <f t="shared" si="940"/>
        <v/>
      </c>
      <c r="OB233" s="43" t="str">
        <f t="shared" si="941"/>
        <v/>
      </c>
      <c r="OC233" s="43" t="str">
        <f t="shared" si="942"/>
        <v>SOBREPESO</v>
      </c>
      <c r="OD233" s="43" t="str">
        <f t="shared" si="943"/>
        <v/>
      </c>
      <c r="OE233" s="43" t="str">
        <f t="shared" si="944"/>
        <v/>
      </c>
      <c r="OF233" s="43" t="str">
        <f t="shared" si="945"/>
        <v/>
      </c>
      <c r="OG233" s="43" t="str">
        <f t="shared" si="946"/>
        <v/>
      </c>
      <c r="OH233" s="43" t="str">
        <f t="shared" si="947"/>
        <v/>
      </c>
      <c r="OI233" s="43" t="str">
        <f t="shared" si="948"/>
        <v/>
      </c>
      <c r="OJ233" s="43" t="str">
        <f t="shared" si="949"/>
        <v/>
      </c>
      <c r="OK233" s="43" t="str">
        <f t="shared" si="950"/>
        <v/>
      </c>
      <c r="OL233" s="43" t="str">
        <f t="shared" si="951"/>
        <v/>
      </c>
      <c r="OM233" s="43" t="str">
        <f t="shared" si="952"/>
        <v/>
      </c>
      <c r="ON233" s="43" t="str">
        <f t="shared" si="953"/>
        <v/>
      </c>
      <c r="OO233" s="43" t="str">
        <f t="shared" si="954"/>
        <v/>
      </c>
      <c r="OP233" s="43" t="str">
        <f t="shared" si="955"/>
        <v/>
      </c>
      <c r="OQ233" s="43" t="str">
        <f t="shared" si="956"/>
        <v/>
      </c>
      <c r="OR233" s="43" t="str">
        <f t="shared" si="957"/>
        <v/>
      </c>
      <c r="OS233" s="43" t="str">
        <f t="shared" si="958"/>
        <v/>
      </c>
      <c r="OT233" s="43" t="str">
        <f t="shared" si="959"/>
        <v/>
      </c>
      <c r="OU233" s="43" t="str">
        <f t="shared" si="960"/>
        <v/>
      </c>
      <c r="OV233" s="110" t="str">
        <f t="shared" si="961"/>
        <v/>
      </c>
      <c r="OW233" s="43" t="str">
        <f t="shared" si="962"/>
        <v/>
      </c>
      <c r="OX233" s="43" t="str">
        <f t="shared" si="963"/>
        <v/>
      </c>
      <c r="OY233" s="43" t="str">
        <f t="shared" si="964"/>
        <v/>
      </c>
      <c r="OZ233" s="43" t="str">
        <f t="shared" si="965"/>
        <v/>
      </c>
      <c r="PA233" s="43" t="str">
        <f t="shared" si="966"/>
        <v/>
      </c>
      <c r="PB233" s="43" t="str">
        <f t="shared" si="967"/>
        <v/>
      </c>
      <c r="PC233" s="43" t="str">
        <f t="shared" si="968"/>
        <v/>
      </c>
      <c r="PD233" s="43" t="str">
        <f t="shared" si="969"/>
        <v/>
      </c>
      <c r="PE233" s="43" t="str">
        <f t="shared" si="970"/>
        <v/>
      </c>
      <c r="PF233" s="43" t="str">
        <f t="shared" si="971"/>
        <v/>
      </c>
      <c r="PG233" s="43" t="str">
        <f t="shared" si="972"/>
        <v/>
      </c>
      <c r="PH233" s="43" t="str">
        <f t="shared" si="973"/>
        <v/>
      </c>
      <c r="PI233" s="43">
        <f t="shared" si="974"/>
        <v>31</v>
      </c>
      <c r="PJ233" s="43" t="str">
        <f t="shared" si="975"/>
        <v/>
      </c>
      <c r="PK233" s="43" t="str">
        <f t="shared" si="976"/>
        <v/>
      </c>
      <c r="PL233" s="43" t="str">
        <f t="shared" si="977"/>
        <v/>
      </c>
      <c r="PM233" s="43" t="str">
        <f t="shared" si="978"/>
        <v/>
      </c>
      <c r="PN233" s="43" t="str">
        <f t="shared" si="979"/>
        <v/>
      </c>
      <c r="PO233" s="43" t="str">
        <f t="shared" si="980"/>
        <v/>
      </c>
      <c r="PP233" s="43" t="str">
        <f t="shared" si="981"/>
        <v/>
      </c>
      <c r="PQ233" s="43" t="str">
        <f t="shared" si="982"/>
        <v/>
      </c>
      <c r="PR233" s="43" t="str">
        <f t="shared" si="983"/>
        <v/>
      </c>
      <c r="PS233" s="43" t="str">
        <f t="shared" si="984"/>
        <v/>
      </c>
      <c r="PT233" s="43" t="str">
        <f t="shared" si="985"/>
        <v/>
      </c>
      <c r="PU233" s="43" t="str">
        <f t="shared" si="986"/>
        <v/>
      </c>
      <c r="PV233" s="43" t="str">
        <f t="shared" si="987"/>
        <v/>
      </c>
      <c r="PW233" s="43" t="str">
        <f t="shared" si="988"/>
        <v/>
      </c>
      <c r="PX233" s="43" t="str">
        <f t="shared" si="989"/>
        <v/>
      </c>
      <c r="PY233" s="43" t="str">
        <f t="shared" si="990"/>
        <v/>
      </c>
      <c r="PZ233" s="43" t="str">
        <f t="shared" si="991"/>
        <v/>
      </c>
      <c r="QA233" s="43" t="str">
        <f t="shared" si="992"/>
        <v/>
      </c>
      <c r="QB233" s="43" t="str">
        <f t="shared" si="993"/>
        <v/>
      </c>
      <c r="QC233" s="43" t="str">
        <f t="shared" si="994"/>
        <v/>
      </c>
      <c r="QD233" s="43" t="str">
        <f t="shared" si="995"/>
        <v/>
      </c>
      <c r="QE233" s="43" t="str">
        <f t="shared" si="996"/>
        <v/>
      </c>
      <c r="QF233" s="43" t="str">
        <f t="shared" si="997"/>
        <v>SOBREPESO</v>
      </c>
      <c r="QG233" s="43" t="str">
        <f t="shared" si="998"/>
        <v/>
      </c>
      <c r="QH233" s="43" t="str">
        <f t="shared" si="999"/>
        <v/>
      </c>
      <c r="QI233" s="43" t="str">
        <f t="shared" si="1000"/>
        <v/>
      </c>
      <c r="QJ233" s="43" t="str">
        <f t="shared" si="1001"/>
        <v/>
      </c>
      <c r="QK233" s="43" t="str">
        <f t="shared" si="1002"/>
        <v/>
      </c>
      <c r="QL233" s="43" t="str">
        <f t="shared" si="1003"/>
        <v/>
      </c>
      <c r="QM233" s="43" t="str">
        <f t="shared" si="1004"/>
        <v/>
      </c>
      <c r="QN233" s="43" t="str">
        <f t="shared" si="1005"/>
        <v/>
      </c>
      <c r="QO233" s="43" t="str">
        <f t="shared" si="1006"/>
        <v/>
      </c>
      <c r="QP233" s="43" t="str">
        <f t="shared" si="1007"/>
        <v/>
      </c>
      <c r="QQ233" s="43" t="str">
        <f t="shared" si="1008"/>
        <v/>
      </c>
      <c r="QR233" s="43">
        <f t="shared" si="1009"/>
        <v>31</v>
      </c>
      <c r="QS233" s="43"/>
      <c r="QT233" s="21" t="str">
        <f t="shared" si="1010"/>
        <v/>
      </c>
      <c r="QU233" s="21" t="str">
        <f t="shared" si="1011"/>
        <v/>
      </c>
      <c r="QV233" s="21" t="str">
        <f t="shared" si="1012"/>
        <v/>
      </c>
      <c r="QW233" s="21" t="str">
        <f t="shared" si="1013"/>
        <v/>
      </c>
      <c r="QX233" s="21" t="str">
        <f t="shared" si="1014"/>
        <v/>
      </c>
      <c r="QY233" s="21" t="str">
        <f t="shared" si="1015"/>
        <v/>
      </c>
      <c r="QZ233" s="21" t="str">
        <f t="shared" si="1016"/>
        <v/>
      </c>
      <c r="RA233" s="21" t="str">
        <f t="shared" si="1017"/>
        <v/>
      </c>
      <c r="RB233" s="21" t="str">
        <f t="shared" si="1018"/>
        <v/>
      </c>
      <c r="RC233" s="21" t="str">
        <f t="shared" si="1019"/>
        <v/>
      </c>
      <c r="RD233" s="21" t="str">
        <f t="shared" si="1020"/>
        <v/>
      </c>
      <c r="RE233" s="21" t="str">
        <f t="shared" si="1021"/>
        <v/>
      </c>
      <c r="RF233" s="21" t="str">
        <f t="shared" si="1022"/>
        <v/>
      </c>
      <c r="RG233" s="21" t="str">
        <f t="shared" si="1023"/>
        <v/>
      </c>
      <c r="RH233" s="21" t="str">
        <f t="shared" si="1024"/>
        <v/>
      </c>
      <c r="RI233" s="21" t="str">
        <f t="shared" si="1025"/>
        <v/>
      </c>
      <c r="RJ233" s="21" t="str">
        <f t="shared" si="1026"/>
        <v/>
      </c>
      <c r="RK233" s="21" t="str">
        <f t="shared" si="1027"/>
        <v/>
      </c>
      <c r="RL233" s="21" t="str">
        <f t="shared" si="1028"/>
        <v>ALTO PARA EDAD GESTACIONAL</v>
      </c>
      <c r="RM233" s="21" t="str">
        <f t="shared" si="1029"/>
        <v/>
      </c>
      <c r="RN233" s="21" t="str">
        <f t="shared" si="1030"/>
        <v/>
      </c>
      <c r="RO233" s="21" t="str">
        <f t="shared" si="1031"/>
        <v/>
      </c>
      <c r="RP233" s="21" t="str">
        <f t="shared" si="1032"/>
        <v/>
      </c>
      <c r="RQ233" s="21" t="str">
        <f t="shared" si="1033"/>
        <v/>
      </c>
      <c r="RR233" s="21" t="str">
        <f t="shared" si="1034"/>
        <v/>
      </c>
      <c r="RS233" s="21" t="str">
        <f t="shared" si="1035"/>
        <v/>
      </c>
      <c r="RT233" s="21" t="str">
        <f t="shared" si="1036"/>
        <v/>
      </c>
      <c r="RU233" s="21" t="str">
        <f t="shared" si="1037"/>
        <v/>
      </c>
      <c r="RV233" s="21">
        <f t="shared" si="1038"/>
        <v>-1</v>
      </c>
      <c r="RW233" s="284">
        <f>IF(OR(Tabla1[[#This Row],[FUM FORMULA CONFIABLE]]="",Tabla1[[#This Row],[FUM FORMULA CONFIABLE]]="SD"),"",IF(Tabla1[[#This Row],[FUM FORMULA CONFIABLE]]="CORREGIDA",Tabla1[[#This Row],[FUM X ECO 1]],Tabla1[[#This Row],[FUM x AMENORREA]]))</f>
        <v>44929.9</v>
      </c>
      <c r="RX233" s="21">
        <f>IF(AND(Tabla1[[#This Row],[FUM X ECO 1]]="",Tabla1[[#This Row],[FUM x AMENORREA]]=""),"",IF(AND(Tabla1[[#This Row],[FUM X ECO 1]]="",Tabla1[[#This Row],[FUM x AMENORREA]]&lt;&gt;""),"X",SUM(Tabla1[[#This Row],[FUM X ECO 1]]-Tabla1[[#This Row],[FUM x AMENORREA]])))</f>
        <v>0.90000000000145519</v>
      </c>
      <c r="RY233" s="21">
        <f t="shared" si="1039"/>
        <v>0</v>
      </c>
    </row>
    <row r="234" spans="1:493" ht="45" customHeight="1" x14ac:dyDescent="0.25">
      <c r="A234" s="109"/>
      <c r="B234" s="43"/>
      <c r="C234" s="43" t="s">
        <v>845</v>
      </c>
      <c r="D234" s="124"/>
      <c r="E234" s="43" t="s">
        <v>1629</v>
      </c>
      <c r="F234" s="43" t="s">
        <v>1249</v>
      </c>
      <c r="G234" s="43" t="s">
        <v>1630</v>
      </c>
      <c r="H234" s="43"/>
      <c r="I234" s="109" t="s">
        <v>851</v>
      </c>
      <c r="J234">
        <v>1059601748</v>
      </c>
      <c r="K234" s="43" t="s">
        <v>852</v>
      </c>
      <c r="L234" s="175" t="s">
        <v>1509</v>
      </c>
      <c r="M234" s="22">
        <v>34227</v>
      </c>
      <c r="N234" s="213">
        <f t="shared" ca="1" si="839"/>
        <v>30.153424657534245</v>
      </c>
      <c r="O234" s="22">
        <v>45112</v>
      </c>
      <c r="P234" s="214" t="str">
        <f t="shared" si="916"/>
        <v>SI</v>
      </c>
      <c r="Q234" s="26" t="s">
        <v>855</v>
      </c>
      <c r="R234" s="22">
        <v>45112</v>
      </c>
      <c r="S234" s="21" t="s">
        <v>856</v>
      </c>
      <c r="T234" s="24" t="s">
        <v>690</v>
      </c>
      <c r="U234" s="21" t="s">
        <v>857</v>
      </c>
      <c r="V234" s="21" t="s">
        <v>858</v>
      </c>
      <c r="W234" s="21" t="s">
        <v>955</v>
      </c>
      <c r="X234" s="21" t="s">
        <v>955</v>
      </c>
      <c r="Y234" s="21" t="s">
        <v>955</v>
      </c>
      <c r="Z234" s="21" t="s">
        <v>846</v>
      </c>
      <c r="AA234" s="21" t="s">
        <v>860</v>
      </c>
      <c r="AB234" s="27" t="s">
        <v>861</v>
      </c>
      <c r="AC234" s="26" t="s">
        <v>862</v>
      </c>
      <c r="AD234" s="38" t="s">
        <v>1546</v>
      </c>
      <c r="AE234" s="26" t="s">
        <v>854</v>
      </c>
      <c r="AF234" s="26" t="s">
        <v>854</v>
      </c>
      <c r="AG234" s="23" t="s">
        <v>864</v>
      </c>
      <c r="AH234" s="23" t="s">
        <v>864</v>
      </c>
      <c r="AI234" s="24" t="s">
        <v>863</v>
      </c>
      <c r="AJ234" s="23" t="s">
        <v>864</v>
      </c>
      <c r="AK234" s="220" t="str">
        <f>IF(AND(AD234="",AE234="",AF234="",AG234="",AH234="",AI234="",AJ234=""),"",IF(OR(Tabla1[[#This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EVALUACIÓN",IF(AND(O234="",R234=""),"",IF(AND(OR(O234&gt;0,R234&gt;0),NG234&gt;=0,NG234&lt;2),"SIN RIESGO",IF(AND(OR(O234&gt;0,R234&gt;0),NG234&gt;=2),"CON RIESGO","ASD")))))</f>
        <v>SIN RIESGO</v>
      </c>
      <c r="AL234" s="26" t="s">
        <v>864</v>
      </c>
      <c r="AM234" s="26" t="s">
        <v>864</v>
      </c>
      <c r="AN234" s="26" t="s">
        <v>864</v>
      </c>
      <c r="AO234" s="26" t="s">
        <v>864</v>
      </c>
      <c r="AP234" s="26" t="s">
        <v>864</v>
      </c>
      <c r="AQ234" s="26" t="s">
        <v>864</v>
      </c>
      <c r="AR234" s="26" t="s">
        <v>864</v>
      </c>
      <c r="AS234" s="21">
        <v>5</v>
      </c>
      <c r="AT234" s="21">
        <v>4</v>
      </c>
      <c r="AU234" s="21">
        <v>1</v>
      </c>
      <c r="AV234" s="26" t="s">
        <v>864</v>
      </c>
      <c r="AW234" s="21">
        <v>0</v>
      </c>
      <c r="AX234" s="26" t="s">
        <v>864</v>
      </c>
      <c r="AY234" s="26" t="s">
        <v>864</v>
      </c>
      <c r="AZ234" s="26" t="s">
        <v>864</v>
      </c>
      <c r="BA234" s="26" t="s">
        <v>865</v>
      </c>
      <c r="BB234" s="26" t="s">
        <v>864</v>
      </c>
      <c r="BC234" s="26" t="s">
        <v>864</v>
      </c>
      <c r="BD234" s="26" t="s">
        <v>864</v>
      </c>
      <c r="BE234" s="26" t="s">
        <v>864</v>
      </c>
      <c r="BF234" s="26" t="s">
        <v>864</v>
      </c>
      <c r="BG234" s="26" t="s">
        <v>864</v>
      </c>
      <c r="BH234" s="26" t="s">
        <v>864</v>
      </c>
      <c r="BI234" s="26" t="s">
        <v>864</v>
      </c>
      <c r="BJ234" s="26" t="s">
        <v>864</v>
      </c>
      <c r="BK234" s="26" t="s">
        <v>864</v>
      </c>
      <c r="BL234" s="26" t="s">
        <v>864</v>
      </c>
      <c r="BM234" s="26" t="s">
        <v>864</v>
      </c>
      <c r="BN234" s="22"/>
      <c r="BO234" s="22">
        <v>45036</v>
      </c>
      <c r="BP234" s="21" t="s">
        <v>854</v>
      </c>
      <c r="BQ234" s="222">
        <f t="shared" si="840"/>
        <v>0</v>
      </c>
      <c r="BR234" s="223">
        <f t="shared" si="841"/>
        <v>44920.5</v>
      </c>
      <c r="BS234" s="224">
        <f t="shared" si="842"/>
        <v>10.857142857142858</v>
      </c>
      <c r="BT234" s="216" t="str">
        <f t="shared" si="843"/>
        <v>II TRIM</v>
      </c>
      <c r="BU234" s="214">
        <f t="shared" ca="1" si="925"/>
        <v>28.142857142857142</v>
      </c>
      <c r="BV234" s="25" t="s">
        <v>988</v>
      </c>
      <c r="BW234" s="22">
        <v>45036</v>
      </c>
      <c r="BX234" s="28">
        <v>16.5</v>
      </c>
      <c r="BY234" s="28"/>
      <c r="BZ234" s="22"/>
      <c r="CA234" s="21"/>
      <c r="CB234" s="26" t="s">
        <v>864</v>
      </c>
      <c r="CC234" s="26" t="s">
        <v>864</v>
      </c>
      <c r="CD234" s="26"/>
      <c r="CE234" s="26" t="s">
        <v>864</v>
      </c>
      <c r="CF234" s="22" t="s">
        <v>1517</v>
      </c>
      <c r="CG234" s="21">
        <v>1.49</v>
      </c>
      <c r="CH234" s="21">
        <v>58.6</v>
      </c>
      <c r="CI234" s="214">
        <f t="shared" si="845"/>
        <v>26.395207423089051</v>
      </c>
      <c r="CJ234" s="225" t="e">
        <f>IF(AND(CI234&lt;10,CH234="SD"),"SIN DATO PESO PREGESTACION O I TRIM",IF(AND(OR(R234&gt;0,O234&gt;0),CI234="X"),"INGRESAR DATO DE PESO",IF(CI234="SD","INGRESAR DATO DE TALLA Y PESO",IF(AND(OR(Tabla1[[#This Row],[MOMENTO EN QUE SE REALIZA EL PESO AL INGRESO A CPN]]="PREGESTACIÓN",NZ234="Menor"),CI234&lt;18.5),"BAJO PESO",IF(AND(OR(Tabla1[[#This Row],[MOMENTO EN QUE SE REALIZA EL PESO AL INGRESO A CPN]]="PREGESTACIÓN",NZ234="Menor"),CI234&lt;25),"NORMAL",IF(AND(OR(Tabla1[[#This Row],[MOMENTO EN QUE SE REALIZA EL PESO AL INGRESO A CPN]]="PREGESTACIÓN",NZ234="Menor"),CI234&lt;30),"SOBREPESO",IF(AND(OR(Tabla1[[#This Row],[MOMENTO EN QUE SE REALIZA EL PESO AL INGRESO A CPN]]="PREGESTACIÓN",NZ234="Menor"),CI234&gt;=30,CI234&lt;50),"OBESIDAD",IF(AND(BS234&gt;0,Tabla1[[#This Row],[MOMENTO EN QUE SE REALIZA EL PESO AL INGRESO A CPN]]="GESTACIÓN"),HLOOKUP(NZ234,$OA$2:PH234,NY234),""))))))))</f>
        <v>#REF!</v>
      </c>
      <c r="CK234" s="212">
        <f t="shared" si="846"/>
        <v>45153</v>
      </c>
      <c r="CL234" s="21">
        <v>61</v>
      </c>
      <c r="CM234" s="214">
        <f t="shared" si="847"/>
        <v>27.476239809017613</v>
      </c>
      <c r="CN234" s="216">
        <f t="shared" si="848"/>
        <v>16</v>
      </c>
      <c r="CO234" s="216" t="e">
        <f>IF(PI234="","",IF(PI234&gt;0,HLOOKUP(PI234,$PJ$2:QQ234,NY234),""))</f>
        <v>#REF!</v>
      </c>
      <c r="CP234" s="21"/>
      <c r="CQ234" s="216" t="e">
        <f>IF(QR234="Menor","NO APLICA-MENOR 13 SEM",IF(AND(CC234="SI",CN234&gt;23),"NO APLICA- GEMELAR",IF(QR234="","",IF(QR234&gt;0,HLOOKUP(QR234,$QS$2:RU234,NY234),""))))</f>
        <v>#REF!</v>
      </c>
      <c r="CR234" s="21">
        <v>100</v>
      </c>
      <c r="CS234" s="21">
        <v>60</v>
      </c>
      <c r="CT234" s="217" t="str">
        <f>IF(R234="","",IF(AND(BS234&gt;1,BS234&lt;12,Tabla1[[#This Row],[T.A. SISTOLICA - ANTES DE SEMANA 12]]="",Tabla1[[#This Row],[T.A. DIASTOLICA - ANTES DE SEMANA 12]]=""),"REGISTRE DATO TA ANTES SEMANA 12",IF(AND(BS234&gt;11,BS234&lt;43,Tabla1[[#This Row],[T.A. SISTOLICA - ANTES DE SEMANA 12]]="",Tabla1[[#This Row],[T.A. DIASTOLICA - ANTES DE SEMANA 12]]=""),"NO APLICA REGISTRO TA-INGRESO TARDIO",IF(AND(OR(O234&gt;0,R234&gt;0),OR(CR234&gt;=140,CS234&gt;=90)),"DEFINIR ESTADIO HTA",IF(AND(OR(O234&gt;0,R234&gt;0),AND(CR234&gt;120,CR234&lt;=139)),"PRE HTA SEGUIMIENTO",IF(AND(OR(O234&gt;0,R234&gt;0),AND(CS234&gt;80,CS234&lt;=89)),"PRE HTA SEGUIMIENTO",IF(AND(OR(O234&gt;0,R234&gt;0),AND(CR234&gt;=80,CR234&lt;=120)),"APARENTEMENTE NORMAL",IF(AND(OR(O234&gt;0,R234&gt;0),AND(CS234&gt;=50,CS234&lt;=80)),"APARENTEMENTE NORMAL",IF(AND(OR(O234&gt;0,R234&gt;0),AND(CR234&gt;1,CR234&lt;=70),AND(CS234&gt;1,CS234&lt;=40)),"HIPOTENSIÓN","")))))))))</f>
        <v>APARENTEMENTE NORMAL</v>
      </c>
      <c r="CU234" s="21"/>
      <c r="CV234" s="21"/>
      <c r="CW234" s="217" t="str">
        <f ca="1">IF(R234="","",IF(AND(CN234&gt;19,CN234&lt;27,Tabla1[[#This Row],[T.A. SISTOLICA (Entre semana 20 y 26)]]="",Tabla1[[#This Row],[T.A. DIATOLICA (Entre semana 20 y 26)]]=""),"ACUDE A CONTROL SEM 20 A 26 REGISTRE TA AHORA",IF(AND(BS234&gt;1,BS234&lt;27,BU234&gt;19,Tabla1[[#This Row],[T.A. SISTOLICA (Entre semana 20 y 26)]]="",Tabla1[[#This Row],[T.A. DIATOLICA (Entre semana 20 y 26)]]=""),"COMPLETE REGISTRO TA CONTROL SEM 20 A26 ",IF(AND(BS234&gt;26,BS234&lt;43,Tabla1[[#This Row],[T.A. SISTOLICA (Entre semana 20 y 26)]]="",Tabla1[[#This Row],[T.A. DIATOLICA (Entre semana 20 y 26)]]=""),"NO APLICA REGISTRO TA-INGRESO TARDIO",IF(AND(OR(O234&gt;0,R234&gt;0),OR(CU234&gt;=140,CV234&gt;=90)),"ALTO RIESGO PREECLAMPSIA,DEFINIR ESTADIO HTA",IF(AND(OR(O234&gt;0,R234&gt;0),AND(CU234&gt;120,CU234&lt;=139)),"PRE HTA SEGUIMIENTO,RIESGO HIPERTENSION INDUCIDA POR EL EMBARAZO",IF(AND(OR(O234&gt;0,R234&gt;0),AND(CV234&gt;80,CV234&lt;=89)),"PRE HTA SEGUIMIENTO, RIESGO HIPERTENSION INDUCIDA POR EL EMBARAZO",IF(AND(OR(O234&lt;&gt;"",R234&lt;&gt;""),CS234&lt;&gt;"",CV234&lt;&gt;"",CS234&lt;=CV234),"VIGILAR CIFRAS PRESION ARTERIAL",IF(AND(OR(O234&gt;0,R234&gt;0),AND(CU234&gt;120,CU234&lt;=139)),"PRE HTA SEGUIMIENTO",IF(AND(OR(O234&gt;0,R234&gt;0),AND(CU234&gt;1,CU234&lt;=70),AND(CV234&gt;1,CV234&lt;=40)),"HIPOTENSIÓN",IF(AND(OR(O234&lt;&gt;"",R234&lt;&gt;""),CS234&lt;&gt;"",CV234&lt;&gt;"",CS234&gt;CV234),"APARENTEMENTE NORMAL",IF(AND(OR(O234&gt;0,R234&gt;0),AND(CU234&gt;=80,CU234&lt;=120)),"APARENTEMENTE NORMAL",IF(AND(OR(O234&gt;0,R234&gt;0),AND(CV234&gt;=50,CV234&lt;=80)),"APARENTEMENTE NORMAL","")))))))))))))</f>
        <v xml:space="preserve">COMPLETE REGISTRO TA CONTROL SEM 20 A26 </v>
      </c>
      <c r="CX234" s="21"/>
      <c r="CY234" s="21"/>
      <c r="CZ234" s="216" t="str">
        <f t="shared" si="1042"/>
        <v/>
      </c>
      <c r="DA234" s="21">
        <v>90</v>
      </c>
      <c r="DB234" s="21">
        <v>60</v>
      </c>
      <c r="DC234" s="217" t="str">
        <f t="shared" si="849"/>
        <v>APARENTEMENTE NORMAL</v>
      </c>
      <c r="DD234" s="22">
        <v>45112</v>
      </c>
      <c r="DE234" s="22">
        <v>45112</v>
      </c>
      <c r="DF234" s="22">
        <v>45153</v>
      </c>
      <c r="DG234" s="22"/>
      <c r="DH234" s="22"/>
      <c r="DI234" s="22"/>
      <c r="DJ234" s="22"/>
      <c r="DK234" s="22"/>
      <c r="DL234" s="22"/>
      <c r="DM234" s="22"/>
      <c r="DN234" s="22"/>
      <c r="DO234" s="22"/>
      <c r="DP234" s="22"/>
      <c r="DQ234" s="22"/>
      <c r="DR234" s="28"/>
      <c r="DS234" s="22"/>
      <c r="DT234" s="22"/>
      <c r="DU234" s="216" t="str">
        <f t="shared" ca="1" si="917"/>
        <v>PLANEAR PLAN DE PARTO</v>
      </c>
      <c r="DV234" s="226" t="str">
        <f t="shared" si="918"/>
        <v>ACTIVA INGRESO A CPN</v>
      </c>
      <c r="DW23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4" s="216" t="e">
        <f t="shared" ca="1" si="850"/>
        <v>#REF!</v>
      </c>
      <c r="DY234" s="212">
        <f>IF(R234="","",IF(R234&gt;0,MAX(Tabla1[[#This Row],[FECHA C2]:[FECHA C13]],Tabla1[[#This Row],[FECHA CONSULTA PRIMERA VEZ PROGRAMA CPN ]])))</f>
        <v>45153</v>
      </c>
      <c r="DZ234" s="216">
        <f t="shared" si="851"/>
        <v>16</v>
      </c>
      <c r="EA234" s="222">
        <f>IF(R234&gt;0,SUM(COUNTA(DF234:DQ234)+COUNTA(Tabla1[[#This Row],[FECHA CONSULTA PRIMERA VEZ PROGRAMA CPN ]])),"")</f>
        <v>2</v>
      </c>
      <c r="EB234" s="222" t="str">
        <f t="shared" si="852"/>
        <v>NO</v>
      </c>
      <c r="EC234" s="214">
        <f t="shared" si="853"/>
        <v>9</v>
      </c>
      <c r="ED234" s="227">
        <f t="shared" si="854"/>
        <v>0.22222222222222221</v>
      </c>
      <c r="EE234" s="22">
        <v>45112</v>
      </c>
      <c r="EF234" s="22"/>
      <c r="EG234" s="22">
        <v>45112</v>
      </c>
      <c r="EH234" s="22"/>
      <c r="EI234" s="22">
        <v>45112</v>
      </c>
      <c r="EJ234" s="22"/>
      <c r="EK234" s="22"/>
      <c r="EL234" s="21"/>
      <c r="EM234" s="21"/>
      <c r="EN234" s="22"/>
      <c r="EO234" s="222" t="str">
        <f t="shared" si="855"/>
        <v>TOMAR EXAMEN</v>
      </c>
      <c r="EP234" s="214" t="str">
        <f t="shared" si="856"/>
        <v/>
      </c>
      <c r="EQ234" s="216" t="str">
        <f t="shared" si="857"/>
        <v>POR DEFINIR</v>
      </c>
      <c r="ER234" s="24"/>
      <c r="ES234" s="22"/>
      <c r="ET234" s="29" t="str">
        <f t="shared" ca="1" si="919"/>
        <v>EN SEMANA 28 TOMA INMEDIATA DE EXAMEN</v>
      </c>
      <c r="EU234" s="25" t="str">
        <f t="shared" si="858"/>
        <v/>
      </c>
      <c r="EV234" s="24"/>
      <c r="EW234" s="24"/>
      <c r="EX234" s="22"/>
      <c r="EY234" s="29" t="str">
        <f t="shared" si="1040"/>
        <v>TOMAR EXAMEN</v>
      </c>
      <c r="EZ234" s="25" t="str">
        <f t="shared" ca="1" si="1041"/>
        <v/>
      </c>
      <c r="FA234" s="21"/>
      <c r="FB234" s="22"/>
      <c r="FC234" s="29" t="str">
        <f t="shared" si="859"/>
        <v>TOMAR EXAMEN</v>
      </c>
      <c r="FD234" s="29"/>
      <c r="FE234" s="29"/>
      <c r="FF234" s="29"/>
      <c r="FG234" s="21" t="str">
        <f t="shared" ca="1" si="860"/>
        <v>TOMAR PTOG</v>
      </c>
      <c r="FH234" s="31"/>
      <c r="FI234" s="29" t="str">
        <f t="shared" si="861"/>
        <v>TOMAR EXAMEN</v>
      </c>
      <c r="FJ234" s="22"/>
      <c r="FK234" s="22"/>
      <c r="FL234" s="29" t="str">
        <f t="shared" ca="1" si="862"/>
        <v>PIERDE TOMA DE TAMIZAJE</v>
      </c>
      <c r="FM234" s="22"/>
      <c r="FN234" s="32"/>
      <c r="FO234" s="29" t="str">
        <f t="shared" ca="1" si="920"/>
        <v>PIERDE TOMA DE TAMIZAJE</v>
      </c>
      <c r="FP234" s="22"/>
      <c r="FQ234" s="32"/>
      <c r="FR234" s="29" t="str">
        <f t="shared" ca="1" si="921"/>
        <v>EN RANGO PARA TOMAR EXAMEN</v>
      </c>
      <c r="FS234" s="22"/>
      <c r="FT234" s="32"/>
      <c r="FU234" s="29" t="str">
        <f>IF(AND(FJ234="",FM234="",FP234="",FS234=""),"",IF(OR(OR(Tabla1[[#This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4" s="28"/>
      <c r="FW234" s="22"/>
      <c r="FX234" s="29" t="str">
        <f t="shared" si="863"/>
        <v>TOMAR EXAMEN</v>
      </c>
      <c r="FY234" s="22"/>
      <c r="FZ234" s="22"/>
      <c r="GA234" s="29" t="str">
        <f t="shared" ca="1" si="936"/>
        <v>PIERDE TOMA DE TAMIZAJE</v>
      </c>
      <c r="GB234" s="22"/>
      <c r="GC234" s="22"/>
      <c r="GD234" s="29" t="str">
        <f t="shared" ca="1" si="1045"/>
        <v>PIERDE TOMA DE TAMIZAJE</v>
      </c>
      <c r="GE234" s="22"/>
      <c r="GF234" s="22"/>
      <c r="GG234" s="29" t="str">
        <f t="shared" ca="1" si="923"/>
        <v>EN RANGO PARA TOMAR EXAMEN</v>
      </c>
      <c r="GH234" s="22"/>
      <c r="GI234" s="29"/>
      <c r="GJ234" s="22"/>
      <c r="GK234" s="22"/>
      <c r="GL234" s="22"/>
      <c r="GM234" s="22"/>
      <c r="GN234" s="28"/>
      <c r="GO234" s="22"/>
      <c r="GP234" s="29" t="str">
        <f t="shared" si="864"/>
        <v>TOMAR EXAMEN</v>
      </c>
      <c r="GQ234" s="28"/>
      <c r="GR234" s="28"/>
      <c r="GS234" s="22" t="str">
        <f t="shared" si="1044"/>
        <v/>
      </c>
      <c r="GT234" s="22"/>
      <c r="GU234" s="29" t="str">
        <f t="shared" si="865"/>
        <v>TOMAR EXAMEN</v>
      </c>
      <c r="GV234" s="21" t="str">
        <f t="shared" si="866"/>
        <v>POR DEFINIR</v>
      </c>
      <c r="GW234" s="28"/>
      <c r="GX234" s="30"/>
      <c r="GY234" s="21"/>
      <c r="GZ234" s="21"/>
      <c r="HA234" s="21"/>
      <c r="HB234" s="21"/>
      <c r="HC234" s="21"/>
      <c r="HD234" s="21"/>
      <c r="HE234" s="21"/>
      <c r="HF234" s="22"/>
      <c r="HG234" s="22" t="str">
        <f>IF(OR(O234&gt;0,R234&gt;0),CONCATENATE(IF(Tabla1[[#This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4" s="22" t="e">
        <f t="shared" si="867"/>
        <v>#REF!</v>
      </c>
      <c r="HI234" s="22" t="e">
        <f t="shared" ca="1" si="868"/>
        <v>#REF!</v>
      </c>
      <c r="HJ234" s="21"/>
      <c r="HK234" s="21" t="str">
        <f t="shared" si="869"/>
        <v>SIN ANTECEDENTES DE RIESGO</v>
      </c>
      <c r="HL234" s="24" t="str">
        <f t="shared" si="870"/>
        <v>APARENTEMENTE NORMAL</v>
      </c>
      <c r="HM234" s="21" t="e">
        <f t="shared" ca="1" si="871"/>
        <v>#REF!</v>
      </c>
      <c r="HN234" s="30" t="str">
        <f t="shared" si="924"/>
        <v>ACTIVA INGRESO A CPN</v>
      </c>
      <c r="HO234" s="21"/>
      <c r="HP234" s="21"/>
      <c r="HQ234" s="349"/>
      <c r="HR234" s="21" t="str">
        <f>IF(R234="","",IF(Tabla1[[#This Row],[ALARMA FACTORES DE RIESGO COMPLICACIONES HIPERTENSIVAS3]]="SIN ANTECEDENTES DE RIESGO","No Aplica para suministro de ASA",IF(AND(Tabla1[[#This Row],[FECHA INICIO DE SUMINISTRO DE ASA]]&gt;0,RV234&lt;12),"Inicia ASA ANTES de Sem 12",IF(AND(RV234&gt;11,RV234&lt;17,OR(HK234="RIESGO ALTO DE COMPLICACIONES HIPERTENSIVAS VER MANEJO GUIA SUMINISTRO ASA Y CALCIO",HK234="RIESGO MODERADO (2 O MAS CRITERIOS) VER MANEJO GUIA SUMINISTRO ASA Y CALCIO")),"Inicio oportuno de ASA",IF(AND(RV234&gt;12,OR(HK234="RIESGO ALTO DE COMPLICACIONES HIPERTENSIVAS VER MANEJO GUIA SUMINISTRO ASA Y CALCIO",HK234="RIESGO MODERADO (2 O MAS CRITERIOS) VER MANEJO GUIA SUMINISTRO ASA Y CALCIO")),"Inicio no oportuno mayor a 16 semanas",IF(AND(BU234&lt;12,OR(HK234="RIESGO ALTO DE COMPLICACIONES HIPERTENSIVAS VER MANEJO GUIA SUMINISTRO ASA Y CALCIO",HK234="RIESGO MODERADO (2 O MAS CRITERIOS) VER MANEJO GUIA SUMINISTRO ASA Y CALCIO")),"Pendiente Inicio de ASA a la semana 12",IF(AND(BU234&gt;11,BU234&lt;17,OR(HK234="RIESGO ALTO DE COMPLICACIONES HIPERTENSIVAS VER MANEJO GUIA SUMINISTRO ASA Y CALCIO",HK234="RIESGO MODERADO (2 O MAS CRITERIOS) VER MANEJO GUIA SUMINISTRO ASA Y CALCIO")),"Iniciar de inmediato ASA",IF(AND(BU234&gt;16,OR(HK234="RIESGO ALTO DE COMPLICACIONES HIPERTENSIVAS VER MANEJO GUIA SUMINISTRO ASA Y CALCIO",HK234="RIESGO MODERADO (2 O MAS CRITERIOS) VER MANEJO GUIA SUMINISTRO ASA Y CALCIO")),"Pierde Oportunidad, Inicio tardío de ASA","XXXXX"))))))))</f>
        <v>No Aplica para suministro de ASA</v>
      </c>
      <c r="HS234" s="22">
        <v>45112</v>
      </c>
      <c r="HT234" s="22" t="s">
        <v>1518</v>
      </c>
      <c r="HU234" s="22">
        <v>45112</v>
      </c>
      <c r="HV234" s="22" t="s">
        <v>1544</v>
      </c>
      <c r="HW234" s="22">
        <v>45112</v>
      </c>
      <c r="HX234" s="22" t="s">
        <v>1511</v>
      </c>
      <c r="HY234" s="22">
        <v>45154</v>
      </c>
      <c r="HZ234" s="28">
        <f t="shared" si="872"/>
        <v>16.857142857142858</v>
      </c>
      <c r="IA234" s="26"/>
      <c r="IB234" s="26"/>
      <c r="IC234" s="111"/>
      <c r="ID234" s="22"/>
      <c r="IE234" s="22" t="str">
        <f t="shared" ca="1" si="873"/>
        <v>INASISTENTE</v>
      </c>
      <c r="IF234" s="22"/>
      <c r="IG234" s="22">
        <f t="shared" si="874"/>
        <v>45316</v>
      </c>
      <c r="IH234" s="29">
        <f t="shared" ca="1" si="875"/>
        <v>83</v>
      </c>
      <c r="II234" s="22" t="str">
        <f t="shared" ca="1" si="876"/>
        <v>PENDIENTE</v>
      </c>
      <c r="IJ234" s="22"/>
      <c r="IK234" s="21"/>
      <c r="IL234" s="21"/>
      <c r="IM234" s="34"/>
      <c r="IN234" s="22"/>
      <c r="IO234" s="21"/>
      <c r="IP234" s="29" t="str">
        <f t="shared" si="877"/>
        <v/>
      </c>
      <c r="IQ234" s="35"/>
      <c r="IR234" s="21"/>
      <c r="IS234" s="21"/>
      <c r="IT234" s="21"/>
      <c r="IU234" s="21"/>
      <c r="IV234" s="21"/>
      <c r="IW234" s="21"/>
      <c r="IX234" s="21"/>
      <c r="IY234" s="21"/>
      <c r="IZ234" s="21"/>
      <c r="JA234" s="21"/>
      <c r="JB234" s="30"/>
      <c r="JC234" s="21"/>
      <c r="JD234" s="36"/>
      <c r="JE234" s="21" t="str">
        <f t="shared" si="878"/>
        <v/>
      </c>
      <c r="JF234" s="30"/>
      <c r="JG234" s="21"/>
      <c r="JH234" s="21"/>
      <c r="JI234" s="21"/>
      <c r="JJ234" s="30"/>
      <c r="JK234" s="22"/>
      <c r="JL234" s="22"/>
      <c r="JM234" s="21"/>
      <c r="JN234" s="36"/>
      <c r="JO234" s="21" t="str">
        <f t="shared" si="879"/>
        <v/>
      </c>
      <c r="JP234" s="22"/>
      <c r="JQ234" s="21"/>
      <c r="JR234" s="21"/>
      <c r="JS234" s="21"/>
      <c r="JT234" s="30"/>
      <c r="JU234" s="22"/>
      <c r="JV234" s="22"/>
      <c r="JW234" s="33"/>
      <c r="JX234" s="28" t="str">
        <f t="shared" si="880"/>
        <v/>
      </c>
      <c r="JY234" s="159"/>
      <c r="JZ234" s="28" t="str">
        <f t="shared" si="881"/>
        <v/>
      </c>
      <c r="KA234" s="21"/>
      <c r="KB234" s="21"/>
      <c r="KC234" s="21"/>
      <c r="KD234" s="37"/>
      <c r="KE234" s="28"/>
      <c r="KF234" s="28"/>
      <c r="KG234" s="28"/>
      <c r="KH234" s="39"/>
      <c r="KI234" s="39"/>
      <c r="KJ234" s="66"/>
      <c r="KK234" s="39"/>
      <c r="KL234" s="39"/>
      <c r="KM234" s="66"/>
      <c r="KN234" s="39"/>
      <c r="KO234" s="39"/>
      <c r="KP234" s="39"/>
      <c r="KQ234" s="39"/>
      <c r="KR234" s="39"/>
      <c r="KS234" s="39"/>
      <c r="KT234" s="39"/>
      <c r="KU234" s="38"/>
      <c r="KV234" s="38"/>
      <c r="KW234" s="38"/>
      <c r="KX234" s="38"/>
      <c r="KY234" s="38"/>
      <c r="KZ234" s="38"/>
      <c r="LA234" s="38"/>
      <c r="LB234" s="38"/>
      <c r="LC234" s="38"/>
      <c r="LD234" s="38"/>
      <c r="LE234" s="38"/>
      <c r="LF234" s="38"/>
      <c r="LG234" s="38"/>
      <c r="LH234" s="38"/>
      <c r="LI234" s="38"/>
      <c r="LJ234" s="38"/>
      <c r="LK234" s="38"/>
      <c r="LL234" s="38"/>
      <c r="LM234" s="38"/>
      <c r="LN234" s="38"/>
      <c r="LO234" s="38"/>
      <c r="LP234" s="38"/>
      <c r="LQ234" s="38"/>
      <c r="LR234" s="38"/>
      <c r="LS234" s="38"/>
      <c r="LT234" s="38"/>
      <c r="LU234" s="38"/>
      <c r="LV234" s="38"/>
      <c r="LW234" s="38"/>
      <c r="LX234" s="38"/>
      <c r="LY234" s="38"/>
      <c r="LZ234" s="38"/>
      <c r="MA234" s="38"/>
      <c r="MB234" s="38"/>
      <c r="MC234" s="38"/>
      <c r="MD234" s="38"/>
      <c r="ME234" s="38"/>
      <c r="MF234" s="38"/>
      <c r="MG234" s="38"/>
      <c r="MH234" s="43">
        <f t="shared" si="882"/>
        <v>0</v>
      </c>
      <c r="MI234" s="43" t="str">
        <f t="shared" si="926"/>
        <v/>
      </c>
      <c r="MJ234" s="43" t="str">
        <f t="shared" si="884"/>
        <v/>
      </c>
      <c r="MK234" s="43">
        <f t="shared" si="885"/>
        <v>0</v>
      </c>
      <c r="ML23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4" s="43">
        <f t="shared" si="927"/>
        <v>10.857142857142858</v>
      </c>
      <c r="MN234" s="43">
        <f t="shared" si="928"/>
        <v>7</v>
      </c>
      <c r="MO234" s="43">
        <f t="shared" si="929"/>
        <v>2023</v>
      </c>
      <c r="MP234" s="43" t="str">
        <f t="shared" si="889"/>
        <v>III TRIMESTRE AÑO</v>
      </c>
      <c r="MQ234" s="43">
        <f t="shared" si="930"/>
        <v>29.374726237406918</v>
      </c>
      <c r="MR234" s="43">
        <f t="shared" si="891"/>
        <v>0</v>
      </c>
      <c r="MS234" s="43" t="str">
        <f t="shared" si="892"/>
        <v xml:space="preserve"> DE 25 A 29 AÑOS</v>
      </c>
      <c r="MT234" s="43" t="str">
        <f t="shared" si="893"/>
        <v/>
      </c>
      <c r="MU234" s="43">
        <f t="shared" si="894"/>
        <v>0</v>
      </c>
      <c r="MV234" s="43">
        <f t="shared" si="895"/>
        <v>0</v>
      </c>
      <c r="MW234" s="43">
        <f t="shared" si="896"/>
        <v>0</v>
      </c>
      <c r="MX234" s="43" t="str">
        <f t="shared" si="897"/>
        <v/>
      </c>
      <c r="MY234" s="43" t="str">
        <f t="shared" ca="1" si="898"/>
        <v/>
      </c>
      <c r="MZ234" s="43" t="str">
        <f t="shared" si="899"/>
        <v/>
      </c>
      <c r="NA234" s="43" t="str">
        <f t="shared" si="900"/>
        <v/>
      </c>
      <c r="NB234" s="43" t="str">
        <f t="shared" si="901"/>
        <v/>
      </c>
      <c r="NC234" s="43" t="str">
        <f t="shared" si="902"/>
        <v/>
      </c>
      <c r="ND234" s="43">
        <f t="shared" ca="1" si="931"/>
        <v>0</v>
      </c>
      <c r="NE234" s="43">
        <f>IF(OR(O234&gt;0,R234&gt;0),SUM(COUNTIF(Tabla1[[#This Row],[AÑOS AL INICIO5 CPN]],"&gt;=40"),COUNTIF(AS234,"0"),COUNTIF(AR234,"SI"),COUNTIF(CC234,"SI"),COUNTIF(BQ234,"&gt;119"),COUNTIF(CI234,"&gt;=35")),"")</f>
        <v>0</v>
      </c>
      <c r="NF234" s="43" t="str">
        <f t="shared" si="932"/>
        <v/>
      </c>
      <c r="NG234" s="43">
        <f t="shared" si="905"/>
        <v>0</v>
      </c>
      <c r="NH234" s="43">
        <f t="shared" si="906"/>
        <v>115.5</v>
      </c>
      <c r="NI23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CPN",P234="NO"),"Z",IF(AND(Tabla1[[#This Row],[CITA PROXIMO CONTROL]]="CITA MANUAL",Tabla1[[#This Row],[GESTANTES ACTUALES]]="ACTIVA INGRESO A CPN"),"W",IF(AND(Tabla1[[#This Row],[GESTANTES ACTUALES]]="SALIO PROGRAMA",IN234=""),"S",IF(AND(Tabla1[[#This Row],[CITA PROXIMO CONTROL]]&gt;0,IN234=""),(Tabla1[[#This Row],[CITA PROXIMO CONTROL]]-TODAY()),"SD"))))))))</f>
        <v>#REF!</v>
      </c>
      <c r="NJ234" s="43">
        <f>MONTH(Tabla1[[#This Row],[FECHA DE SALIDA  DEL PROGRAMA]])</f>
        <v>1</v>
      </c>
      <c r="NK234" s="43">
        <f>YEAR(Tabla1[[#This Row],[FECHA DE SALIDA  DEL PROGRAMA]])</f>
        <v>1900</v>
      </c>
      <c r="NL234" s="43" t="str">
        <f t="shared" si="933"/>
        <v>X</v>
      </c>
      <c r="NM234" s="43" t="str">
        <f t="shared" si="938"/>
        <v>NO</v>
      </c>
      <c r="NN234" s="43" t="str">
        <f ca="1">IF(AND(O234&gt;0,R234=""),"NO CPN",IF(AND(O234="",R234=""),"",IF(AND(R234&gt;0,Tabla1[[#This Row],[SEMANAS DE GESTACION ACTUALIZADAS]]&lt;=12),"NO APLICA",IF(AND(FH234&lt;&gt;"",FN234&lt;&gt;""),"SI","NO"))))</f>
        <v>NO</v>
      </c>
      <c r="NO234" s="43" t="str">
        <f ca="1">IF(AND(O234&gt;0,R234=""),"NO CPN",IF(AND(O234="",R234=""),"",IF(AND(R234&gt;0,Tabla1[[#This Row],[SEMANAS DE GESTACION ACTUALIZADAS]]&lt;=27),"NO APLICA",IF(AND(ES234&lt;&gt;"",FQ234&lt;&gt;"",GF234&lt;&gt;""),"SI","NO"))))</f>
        <v>NO</v>
      </c>
      <c r="NP234" s="204" t="str">
        <f t="shared" si="909"/>
        <v>I TRIM</v>
      </c>
      <c r="NQ234" s="21" t="str">
        <f t="shared" si="1043"/>
        <v/>
      </c>
      <c r="NR234" s="21">
        <f t="shared" ca="1" si="934"/>
        <v>3</v>
      </c>
      <c r="NS234" s="205">
        <f t="shared" ca="1" si="911"/>
        <v>0</v>
      </c>
      <c r="NT234" s="21">
        <f t="shared" ca="1" si="912"/>
        <v>0</v>
      </c>
      <c r="NU234" s="21" t="str">
        <f t="shared" ca="1" si="913"/>
        <v>INCOMPLETO</v>
      </c>
      <c r="NV234" s="21" t="str">
        <f t="shared" ca="1" si="914"/>
        <v>INCOMPLETO</v>
      </c>
      <c r="NW234" s="206" t="str">
        <f>IF(AND(O234="",R234=""),"",IF(OR(AND(Tabla1[[#This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4" s="207" t="str">
        <f t="shared" ca="1" si="935"/>
        <v>SIN VACUNAR</v>
      </c>
      <c r="NY234" s="43">
        <f>ROW(Tabla1[[#This Row],['# DE TAMIZAJES SIFILIS TOMADOS ]])</f>
        <v>234</v>
      </c>
      <c r="NZ234" s="43">
        <f t="shared" si="939"/>
        <v>10</v>
      </c>
      <c r="OA234" s="43" t="str">
        <f t="shared" si="940"/>
        <v/>
      </c>
      <c r="OB234" s="43" t="str">
        <f t="shared" si="941"/>
        <v>SOBREPESO</v>
      </c>
      <c r="OC234" s="43" t="str">
        <f t="shared" si="942"/>
        <v/>
      </c>
      <c r="OD234" s="43" t="str">
        <f t="shared" si="943"/>
        <v/>
      </c>
      <c r="OE234" s="43" t="str">
        <f t="shared" si="944"/>
        <v/>
      </c>
      <c r="OF234" s="43" t="str">
        <f t="shared" si="945"/>
        <v/>
      </c>
      <c r="OG234" s="43" t="str">
        <f t="shared" si="946"/>
        <v/>
      </c>
      <c r="OH234" s="43" t="str">
        <f t="shared" si="947"/>
        <v/>
      </c>
      <c r="OI234" s="43" t="str">
        <f t="shared" si="948"/>
        <v/>
      </c>
      <c r="OJ234" s="43" t="str">
        <f t="shared" si="949"/>
        <v/>
      </c>
      <c r="OK234" s="43" t="str">
        <f t="shared" si="950"/>
        <v/>
      </c>
      <c r="OL234" s="43" t="str">
        <f t="shared" si="951"/>
        <v/>
      </c>
      <c r="OM234" s="43" t="str">
        <f t="shared" si="952"/>
        <v/>
      </c>
      <c r="ON234" s="43" t="str">
        <f t="shared" si="953"/>
        <v/>
      </c>
      <c r="OO234" s="43" t="str">
        <f t="shared" si="954"/>
        <v/>
      </c>
      <c r="OP234" s="43" t="str">
        <f t="shared" si="955"/>
        <v/>
      </c>
      <c r="OQ234" s="43" t="str">
        <f t="shared" si="956"/>
        <v/>
      </c>
      <c r="OR234" s="43" t="str">
        <f t="shared" si="957"/>
        <v/>
      </c>
      <c r="OS234" s="43" t="str">
        <f t="shared" si="958"/>
        <v/>
      </c>
      <c r="OT234" s="43" t="str">
        <f t="shared" si="959"/>
        <v/>
      </c>
      <c r="OU234" s="43" t="str">
        <f t="shared" si="960"/>
        <v/>
      </c>
      <c r="OV234" s="110" t="str">
        <f t="shared" si="961"/>
        <v/>
      </c>
      <c r="OW234" s="43" t="str">
        <f t="shared" si="962"/>
        <v/>
      </c>
      <c r="OX234" s="43" t="str">
        <f t="shared" si="963"/>
        <v/>
      </c>
      <c r="OY234" s="43" t="str">
        <f t="shared" si="964"/>
        <v/>
      </c>
      <c r="OZ234" s="43" t="str">
        <f t="shared" si="965"/>
        <v/>
      </c>
      <c r="PA234" s="43" t="str">
        <f t="shared" si="966"/>
        <v/>
      </c>
      <c r="PB234" s="43" t="str">
        <f t="shared" si="967"/>
        <v/>
      </c>
      <c r="PC234" s="43" t="str">
        <f t="shared" si="968"/>
        <v/>
      </c>
      <c r="PD234" s="43" t="str">
        <f t="shared" si="969"/>
        <v/>
      </c>
      <c r="PE234" s="43" t="str">
        <f t="shared" si="970"/>
        <v/>
      </c>
      <c r="PF234" s="43" t="str">
        <f t="shared" si="971"/>
        <v/>
      </c>
      <c r="PG234" s="43" t="str">
        <f t="shared" si="972"/>
        <v/>
      </c>
      <c r="PH234" s="43" t="str">
        <f t="shared" si="973"/>
        <v/>
      </c>
      <c r="PI234" s="43">
        <f t="shared" si="974"/>
        <v>16</v>
      </c>
      <c r="PJ234" s="43" t="str">
        <f t="shared" si="975"/>
        <v/>
      </c>
      <c r="PK234" s="43" t="str">
        <f t="shared" si="976"/>
        <v/>
      </c>
      <c r="PL234" s="43" t="str">
        <f t="shared" si="977"/>
        <v/>
      </c>
      <c r="PM234" s="43" t="str">
        <f t="shared" si="978"/>
        <v/>
      </c>
      <c r="PN234" s="43" t="str">
        <f t="shared" si="979"/>
        <v/>
      </c>
      <c r="PO234" s="43" t="str">
        <f t="shared" si="980"/>
        <v/>
      </c>
      <c r="PP234" s="43" t="str">
        <f t="shared" si="981"/>
        <v/>
      </c>
      <c r="PQ234" s="43" t="str">
        <f t="shared" si="982"/>
        <v>SOBREPESO</v>
      </c>
      <c r="PR234" s="43" t="str">
        <f t="shared" si="983"/>
        <v/>
      </c>
      <c r="PS234" s="43" t="str">
        <f t="shared" si="984"/>
        <v/>
      </c>
      <c r="PT234" s="43" t="str">
        <f t="shared" si="985"/>
        <v/>
      </c>
      <c r="PU234" s="43" t="str">
        <f t="shared" si="986"/>
        <v/>
      </c>
      <c r="PV234" s="43" t="str">
        <f t="shared" si="987"/>
        <v/>
      </c>
      <c r="PW234" s="43" t="str">
        <f t="shared" si="988"/>
        <v/>
      </c>
      <c r="PX234" s="43" t="str">
        <f t="shared" si="989"/>
        <v/>
      </c>
      <c r="PY234" s="43" t="str">
        <f t="shared" si="990"/>
        <v/>
      </c>
      <c r="PZ234" s="43" t="str">
        <f t="shared" si="991"/>
        <v/>
      </c>
      <c r="QA234" s="43" t="str">
        <f t="shared" si="992"/>
        <v/>
      </c>
      <c r="QB234" s="43" t="str">
        <f t="shared" si="993"/>
        <v/>
      </c>
      <c r="QC234" s="43" t="str">
        <f t="shared" si="994"/>
        <v/>
      </c>
      <c r="QD234" s="43" t="str">
        <f t="shared" si="995"/>
        <v/>
      </c>
      <c r="QE234" s="43" t="str">
        <f t="shared" si="996"/>
        <v/>
      </c>
      <c r="QF234" s="43" t="str">
        <f t="shared" si="997"/>
        <v/>
      </c>
      <c r="QG234" s="43" t="str">
        <f t="shared" si="998"/>
        <v/>
      </c>
      <c r="QH234" s="43" t="str">
        <f t="shared" si="999"/>
        <v/>
      </c>
      <c r="QI234" s="43" t="str">
        <f t="shared" si="1000"/>
        <v/>
      </c>
      <c r="QJ234" s="43" t="str">
        <f t="shared" si="1001"/>
        <v/>
      </c>
      <c r="QK234" s="43" t="str">
        <f t="shared" si="1002"/>
        <v/>
      </c>
      <c r="QL234" s="43" t="str">
        <f t="shared" si="1003"/>
        <v/>
      </c>
      <c r="QM234" s="43" t="str">
        <f t="shared" si="1004"/>
        <v/>
      </c>
      <c r="QN234" s="43" t="str">
        <f t="shared" si="1005"/>
        <v/>
      </c>
      <c r="QO234" s="43" t="str">
        <f t="shared" si="1006"/>
        <v/>
      </c>
      <c r="QP234" s="43" t="str">
        <f t="shared" si="1007"/>
        <v/>
      </c>
      <c r="QQ234" s="43" t="str">
        <f t="shared" si="1008"/>
        <v/>
      </c>
      <c r="QR234" s="43">
        <f t="shared" si="1009"/>
        <v>16</v>
      </c>
      <c r="QS234" s="43"/>
      <c r="QT234" s="21" t="str">
        <f t="shared" si="1010"/>
        <v/>
      </c>
      <c r="QU234" s="21" t="str">
        <f t="shared" si="1011"/>
        <v/>
      </c>
      <c r="QV234" s="21" t="str">
        <f t="shared" si="1012"/>
        <v/>
      </c>
      <c r="QW234" s="21" t="str">
        <f t="shared" si="1013"/>
        <v/>
      </c>
      <c r="QX234" s="21" t="str">
        <f t="shared" si="1014"/>
        <v/>
      </c>
      <c r="QY234" s="21" t="str">
        <f t="shared" si="1015"/>
        <v/>
      </c>
      <c r="QZ234" s="21" t="str">
        <f t="shared" si="1016"/>
        <v/>
      </c>
      <c r="RA234" s="21" t="str">
        <f t="shared" si="1017"/>
        <v/>
      </c>
      <c r="RB234" s="21" t="str">
        <f t="shared" si="1018"/>
        <v/>
      </c>
      <c r="RC234" s="21" t="str">
        <f t="shared" si="1019"/>
        <v/>
      </c>
      <c r="RD234" s="21" t="str">
        <f t="shared" si="1020"/>
        <v/>
      </c>
      <c r="RE234" s="21" t="str">
        <f t="shared" si="1021"/>
        <v/>
      </c>
      <c r="RF234" s="21" t="str">
        <f t="shared" si="1022"/>
        <v/>
      </c>
      <c r="RG234" s="21" t="str">
        <f t="shared" si="1023"/>
        <v/>
      </c>
      <c r="RH234" s="21" t="str">
        <f t="shared" si="1024"/>
        <v/>
      </c>
      <c r="RI234" s="21" t="str">
        <f t="shared" si="1025"/>
        <v/>
      </c>
      <c r="RJ234" s="21" t="str">
        <f t="shared" si="1026"/>
        <v/>
      </c>
      <c r="RK234" s="21" t="str">
        <f t="shared" si="1027"/>
        <v/>
      </c>
      <c r="RL234" s="21" t="str">
        <f t="shared" si="1028"/>
        <v/>
      </c>
      <c r="RM234" s="21" t="str">
        <f t="shared" si="1029"/>
        <v/>
      </c>
      <c r="RN234" s="21" t="str">
        <f t="shared" si="1030"/>
        <v/>
      </c>
      <c r="RO234" s="21" t="str">
        <f t="shared" si="1031"/>
        <v/>
      </c>
      <c r="RP234" s="21" t="str">
        <f t="shared" si="1032"/>
        <v/>
      </c>
      <c r="RQ234" s="21" t="str">
        <f t="shared" si="1033"/>
        <v/>
      </c>
      <c r="RR234" s="21" t="str">
        <f t="shared" si="1034"/>
        <v/>
      </c>
      <c r="RS234" s="21" t="str">
        <f t="shared" si="1035"/>
        <v/>
      </c>
      <c r="RT234" s="21" t="str">
        <f t="shared" si="1036"/>
        <v/>
      </c>
      <c r="RU234" s="21" t="str">
        <f t="shared" si="1037"/>
        <v/>
      </c>
      <c r="RV234" s="21">
        <f t="shared" si="1038"/>
        <v>-1</v>
      </c>
      <c r="RW234" s="284">
        <f>IF(OR(Tabla1[[#This Row],[FUM FORMULA CONFIABLE]]="",Tabla1[[#This Row],[FUM FORMULA CONFIABLE]]="SD"),"",IF(Tabla1[[#This Row],[FUM FORMULA CONFIABLE]]="CORREGIDA",Tabla1[[#This Row],[FUM X ECO 1]],Tabla1[[#This Row],[FUM x AMENORREA]]))</f>
        <v>45036</v>
      </c>
      <c r="RX234" s="21">
        <f>IF(AND(Tabla1[[#This Row],[FUM X ECO 1]]="",Tabla1[[#This Row],[FUM x AMENORREA]]=""),"",IF(AND(Tabla1[[#This Row],[FUM X ECO 1]]="",Tabla1[[#This Row],[FUM x AMENORREA]]&lt;&gt;""),"X",SUM(Tabla1[[#This Row],[FUM X ECO 1]]-Tabla1[[#This Row],[FUM x AMENORREA]])))</f>
        <v>-115.5</v>
      </c>
      <c r="RY234" s="21">
        <f t="shared" si="1039"/>
        <v>1</v>
      </c>
    </row>
    <row r="235" spans="1:493" ht="45" customHeight="1" x14ac:dyDescent="0.25">
      <c r="A235" s="109"/>
      <c r="B235" s="43"/>
      <c r="C235" s="43" t="s">
        <v>845</v>
      </c>
      <c r="D235" s="124"/>
      <c r="E235" s="43" t="s">
        <v>896</v>
      </c>
      <c r="F235" s="43" t="s">
        <v>1632</v>
      </c>
      <c r="G235" s="43" t="s">
        <v>1633</v>
      </c>
      <c r="H235" s="43"/>
      <c r="I235" s="109" t="s">
        <v>851</v>
      </c>
      <c r="J235" s="297" t="s">
        <v>1631</v>
      </c>
      <c r="K235" s="43" t="s">
        <v>852</v>
      </c>
      <c r="L235" s="175" t="s">
        <v>1509</v>
      </c>
      <c r="M235" s="22">
        <v>34803</v>
      </c>
      <c r="N235" s="213">
        <f t="shared" ca="1" si="839"/>
        <v>28.575342465753426</v>
      </c>
      <c r="O235" s="22">
        <v>45112</v>
      </c>
      <c r="P235" s="214" t="str">
        <f t="shared" si="916"/>
        <v>SI</v>
      </c>
      <c r="Q235" s="26" t="s">
        <v>855</v>
      </c>
      <c r="R235" s="22">
        <v>45112</v>
      </c>
      <c r="S235" s="21" t="s">
        <v>856</v>
      </c>
      <c r="T235" s="24" t="s">
        <v>690</v>
      </c>
      <c r="U235" s="21" t="s">
        <v>857</v>
      </c>
      <c r="V235" s="21" t="s">
        <v>858</v>
      </c>
      <c r="W235" s="21" t="s">
        <v>1163</v>
      </c>
      <c r="X235" s="21" t="s">
        <v>859</v>
      </c>
      <c r="Y235" s="21" t="s">
        <v>859</v>
      </c>
      <c r="Z235" s="21">
        <v>3147173089</v>
      </c>
      <c r="AA235" s="21" t="s">
        <v>860</v>
      </c>
      <c r="AB235" s="27" t="s">
        <v>861</v>
      </c>
      <c r="AC235" s="26" t="s">
        <v>862</v>
      </c>
      <c r="AD235" s="38" t="s">
        <v>1546</v>
      </c>
      <c r="AE235" s="26" t="s">
        <v>854</v>
      </c>
      <c r="AF235" s="26" t="s">
        <v>854</v>
      </c>
      <c r="AG235" s="23" t="s">
        <v>864</v>
      </c>
      <c r="AH235" s="23" t="s">
        <v>864</v>
      </c>
      <c r="AI235" s="24" t="s">
        <v>863</v>
      </c>
      <c r="AJ235" s="23" t="s">
        <v>864</v>
      </c>
      <c r="AK235" s="220" t="str">
        <f>IF(AND(AD235="",AE235="",AF235="",AG235="",AH235="",AI235="",AJ235=""),"",IF(OR(Tabla1[[#This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EVALUACIÓN",IF(AND(O235="",R235=""),"",IF(AND(OR(O235&gt;0,R235&gt;0),NG235&gt;=0,NG235&lt;2),"SIN RIESGO",IF(AND(OR(O235&gt;0,R235&gt;0),NG235&gt;=2),"CON RIESGO","ASD")))))</f>
        <v>SIN RIESGO</v>
      </c>
      <c r="AL235" s="26" t="s">
        <v>864</v>
      </c>
      <c r="AM235" s="26" t="s">
        <v>864</v>
      </c>
      <c r="AN235" s="26" t="s">
        <v>864</v>
      </c>
      <c r="AO235" s="26" t="s">
        <v>864</v>
      </c>
      <c r="AP235" s="26" t="s">
        <v>864</v>
      </c>
      <c r="AQ235" s="26" t="s">
        <v>864</v>
      </c>
      <c r="AR235" s="26" t="s">
        <v>864</v>
      </c>
      <c r="AS235" s="21">
        <v>4</v>
      </c>
      <c r="AT235" s="21">
        <v>3</v>
      </c>
      <c r="AU235" s="21">
        <v>1</v>
      </c>
      <c r="AV235" s="26" t="s">
        <v>864</v>
      </c>
      <c r="AW235" s="21">
        <v>0</v>
      </c>
      <c r="AX235" s="26" t="s">
        <v>864</v>
      </c>
      <c r="AY235" s="26" t="s">
        <v>864</v>
      </c>
      <c r="AZ235" s="26" t="s">
        <v>864</v>
      </c>
      <c r="BA235" s="26" t="s">
        <v>865</v>
      </c>
      <c r="BB235" s="26" t="s">
        <v>864</v>
      </c>
      <c r="BC235" s="26" t="s">
        <v>864</v>
      </c>
      <c r="BD235" s="26" t="s">
        <v>864</v>
      </c>
      <c r="BE235" s="26" t="s">
        <v>864</v>
      </c>
      <c r="BF235" s="26" t="s">
        <v>864</v>
      </c>
      <c r="BG235" s="26" t="s">
        <v>864</v>
      </c>
      <c r="BH235" s="26" t="s">
        <v>864</v>
      </c>
      <c r="BI235" s="26" t="s">
        <v>864</v>
      </c>
      <c r="BJ235" s="26" t="s">
        <v>864</v>
      </c>
      <c r="BK235" s="26" t="s">
        <v>864</v>
      </c>
      <c r="BL235" s="26" t="s">
        <v>864</v>
      </c>
      <c r="BM235" s="26" t="s">
        <v>864</v>
      </c>
      <c r="BN235" s="22">
        <v>43063</v>
      </c>
      <c r="BO235" s="22">
        <v>45051</v>
      </c>
      <c r="BP235" s="21" t="s">
        <v>854</v>
      </c>
      <c r="BQ235" s="222">
        <f t="shared" si="840"/>
        <v>66.266666666666666</v>
      </c>
      <c r="BR235" s="223" t="str">
        <f t="shared" si="841"/>
        <v/>
      </c>
      <c r="BS235" s="224">
        <f t="shared" si="842"/>
        <v>8.7142857142857135</v>
      </c>
      <c r="BT235" s="216" t="str">
        <f t="shared" si="843"/>
        <v>I TRIM</v>
      </c>
      <c r="BU235" s="214">
        <f t="shared" ca="1" si="925"/>
        <v>26</v>
      </c>
      <c r="BV235" s="25"/>
      <c r="BW235" s="22"/>
      <c r="BX235" s="28"/>
      <c r="BY235" s="28"/>
      <c r="BZ235" s="22"/>
      <c r="CA235" s="21"/>
      <c r="CB235" s="26"/>
      <c r="CC235" s="26"/>
      <c r="CD235" s="26"/>
      <c r="CE235" s="26"/>
      <c r="CF235" s="22" t="s">
        <v>1517</v>
      </c>
      <c r="CG235" s="21">
        <v>1.44</v>
      </c>
      <c r="CH235" s="21">
        <v>48.3</v>
      </c>
      <c r="CI235" s="214">
        <f t="shared" si="845"/>
        <v>23.292824074074073</v>
      </c>
      <c r="CJ235" s="225" t="str">
        <f>IF(AND(CI235&lt;10,CH235="SD"),"SIN DATO PESO PREGESTACION O I TRIM",IF(AND(OR(R235&gt;0,O235&gt;0),CI235="X"),"INGRESAR DATO DE PESO",IF(CI235="SD","INGRESAR DATO DE TALLA Y PESO",IF(AND(OR(Tabla1[[#This Row],[MOMENTO EN QUE SE REALIZA EL PESO AL INGRESO A CPN]]="PREGESTACIÓN",NZ235="Menor"),CI235&lt;18.5),"BAJO PESO",IF(AND(OR(Tabla1[[#This Row],[MOMENTO EN QUE SE REALIZA EL PESO AL INGRESO A CPN]]="PREGESTACIÓN",NZ235="Menor"),CI235&lt;25),"NORMAL",IF(AND(OR(Tabla1[[#This Row],[MOMENTO EN QUE SE REALIZA EL PESO AL INGRESO A CPN]]="PREGESTACIÓN",NZ235="Menor"),CI235&lt;30),"SOBREPESO",IF(AND(OR(Tabla1[[#This Row],[MOMENTO EN QUE SE REALIZA EL PESO AL INGRESO A CPN]]="PREGESTACIÓN",NZ235="Menor"),CI235&gt;=30,CI235&lt;50),"OBESIDAD",IF(AND(BS235&gt;0,Tabla1[[#This Row],[MOMENTO EN QUE SE REALIZA EL PESO AL INGRESO A CPN]]="GESTACIÓN"),HLOOKUP(NZ235,$OA$2:PH235,NY235),""))))))))</f>
        <v>NORMAL</v>
      </c>
      <c r="CK235" s="212">
        <f t="shared" si="846"/>
        <v>45112</v>
      </c>
      <c r="CL235" s="21">
        <v>48.3</v>
      </c>
      <c r="CM235" s="214">
        <f t="shared" si="847"/>
        <v>23.292824074074073</v>
      </c>
      <c r="CN235" s="216">
        <f t="shared" si="848"/>
        <v>8</v>
      </c>
      <c r="CO235" s="216" t="e">
        <f>IF(PI235="","",IF(PI235&gt;0,HLOOKUP(PI235,$PJ$2:QQ235,NY235),""))</f>
        <v>#REF!</v>
      </c>
      <c r="CP235" s="21">
        <v>13</v>
      </c>
      <c r="CQ235" s="216" t="str">
        <f>IF(QR235="Menor","NO APLICA-MENOR 13 SEM",IF(AND(CC235="SI",CN235&gt;23),"NO APLICA- GEMELAR",IF(QR235="","",IF(QR235&gt;0,HLOOKUP(QR235,$QS$2:RU235,NY235),""))))</f>
        <v>NO APLICA-MENOR 13 SEM</v>
      </c>
      <c r="CR235" s="21">
        <v>90</v>
      </c>
      <c r="CS235" s="21">
        <v>60</v>
      </c>
      <c r="CT235" s="217" t="str">
        <f>IF(R235="","",IF(AND(BS235&gt;1,BS235&lt;12,Tabla1[[#This Row],[T.A. SISTOLICA - ANTES DE SEMANA 12]]="",Tabla1[[#This Row],[T.A. DIASTOLICA - ANTES DE SEMANA 12]]=""),"REGISTRE DATO TA ANTES SEMANA 12",IF(AND(BS235&gt;11,BS235&lt;43,Tabla1[[#This Row],[T.A. SISTOLICA - ANTES DE SEMANA 12]]="",Tabla1[[#This Row],[T.A. DIASTOLICA - ANTES DE SEMANA 12]]=""),"NO APLICA REGISTRO TA-INGRESO TARDIO",IF(AND(OR(O235&gt;0,R235&gt;0),OR(CR235&gt;=140,CS235&gt;=90)),"DEFINIR ESTADIO HTA",IF(AND(OR(O235&gt;0,R235&gt;0),AND(CR235&gt;120,CR235&lt;=139)),"PRE HTA SEGUIMIENTO",IF(AND(OR(O235&gt;0,R235&gt;0),AND(CS235&gt;80,CS235&lt;=89)),"PRE HTA SEGUIMIENTO",IF(AND(OR(O235&gt;0,R235&gt;0),AND(CR235&gt;=80,CR235&lt;=120)),"APARENTEMENTE NORMAL",IF(AND(OR(O235&gt;0,R235&gt;0),AND(CS235&gt;=50,CS235&lt;=80)),"APARENTEMENTE NORMAL",IF(AND(OR(O235&gt;0,R235&gt;0),AND(CR235&gt;1,CR235&lt;=70),AND(CS235&gt;1,CS235&lt;=40)),"HIPOTENSIÓN","")))))))))</f>
        <v>APARENTEMENTE NORMAL</v>
      </c>
      <c r="CU235" s="21"/>
      <c r="CV235" s="21"/>
      <c r="CW235" s="217" t="str">
        <f ca="1">IF(R235="","",IF(AND(CN235&gt;19,CN235&lt;27,Tabla1[[#This Row],[T.A. SISTOLICA (Entre semana 20 y 26)]]="",Tabla1[[#This Row],[T.A. DIATOLICA (Entre semana 20 y 26)]]=""),"ACUDE A CONTROL SEM 20 A 26 REGISTRE TA AHORA",IF(AND(BS235&gt;1,BS235&lt;27,BU235&gt;19,Tabla1[[#This Row],[T.A. SISTOLICA (Entre semana 20 y 26)]]="",Tabla1[[#This Row],[T.A. DIATOLICA (Entre semana 20 y 26)]]=""),"COMPLETE REGISTRO TA CONTROL SEM 20 A26 ",IF(AND(BS235&gt;26,BS235&lt;43,Tabla1[[#This Row],[T.A. SISTOLICA (Entre semana 20 y 26)]]="",Tabla1[[#This Row],[T.A. DIATOLICA (Entre semana 20 y 26)]]=""),"NO APLICA REGISTRO TA-INGRESO TARDIO",IF(AND(OR(O235&gt;0,R235&gt;0),OR(CU235&gt;=140,CV235&gt;=90)),"ALTO RIESGO PREECLAMPSIA,DEFINIR ESTADIO HTA",IF(AND(OR(O235&gt;0,R235&gt;0),AND(CU235&gt;120,CU235&lt;=139)),"PRE HTA SEGUIMIENTO,RIESGO HIPERTENSION INDUCIDA POR EL EMBARAZO",IF(AND(OR(O235&gt;0,R235&gt;0),AND(CV235&gt;80,CV235&lt;=89)),"PRE HTA SEGUIMIENTO, RIESGO HIPERTENSION INDUCIDA POR EL EMBARAZO",IF(AND(OR(O235&lt;&gt;"",R235&lt;&gt;""),CS235&lt;&gt;"",CV235&lt;&gt;"",CS235&lt;=CV235),"VIGILAR CIFRAS PRESION ARTERIAL",IF(AND(OR(O235&gt;0,R235&gt;0),AND(CU235&gt;120,CU235&lt;=139)),"PRE HTA SEGUIMIENTO",IF(AND(OR(O235&gt;0,R235&gt;0),AND(CU235&gt;1,CU235&lt;=70),AND(CV235&gt;1,CV235&lt;=40)),"HIPOTENSIÓN",IF(AND(OR(O235&lt;&gt;"",R235&lt;&gt;""),CS235&lt;&gt;"",CV235&lt;&gt;"",CS235&gt;CV235),"APARENTEMENTE NORMAL",IF(AND(OR(O235&gt;0,R235&gt;0),AND(CU235&gt;=80,CU235&lt;=120)),"APARENTEMENTE NORMAL",IF(AND(OR(O235&gt;0,R235&gt;0),AND(CV235&gt;=50,CV235&lt;=80)),"APARENTEMENTE NORMAL","")))))))))))))</f>
        <v xml:space="preserve">COMPLETE REGISTRO TA CONTROL SEM 20 A26 </v>
      </c>
      <c r="CX235" s="21"/>
      <c r="CY235" s="21"/>
      <c r="CZ235" s="216" t="str">
        <f t="shared" si="1042"/>
        <v/>
      </c>
      <c r="DA235" s="21">
        <v>90</v>
      </c>
      <c r="DB235" s="21">
        <v>60</v>
      </c>
      <c r="DC235" s="217" t="str">
        <f t="shared" si="849"/>
        <v>APARENTEMENTE NORMAL</v>
      </c>
      <c r="DD235" s="22">
        <v>45112</v>
      </c>
      <c r="DE235" s="22">
        <v>45112</v>
      </c>
      <c r="DF235" s="22"/>
      <c r="DG235" s="22"/>
      <c r="DH235" s="22"/>
      <c r="DI235" s="22"/>
      <c r="DJ235" s="22"/>
      <c r="DK235" s="22"/>
      <c r="DL235" s="22"/>
      <c r="DM235" s="22"/>
      <c r="DN235" s="22"/>
      <c r="DO235" s="22"/>
      <c r="DP235" s="22"/>
      <c r="DQ235" s="22"/>
      <c r="DR235" s="28"/>
      <c r="DS235" s="22"/>
      <c r="DT235" s="22"/>
      <c r="DU235" s="216" t="str">
        <f t="shared" ca="1" si="917"/>
        <v>EN ESPERA</v>
      </c>
      <c r="DV235" s="226" t="str">
        <f t="shared" si="918"/>
        <v>ACTIVA INGRESO A CPN</v>
      </c>
      <c r="DW23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5" s="216" t="e">
        <f t="shared" ca="1" si="850"/>
        <v>#REF!</v>
      </c>
      <c r="DY235" s="212">
        <f>IF(R235="","",IF(R235&gt;0,MAX(Tabla1[[#This Row],[FECHA C2]:[FECHA C13]],Tabla1[[#This Row],[FECHA CONSULTA PRIMERA VEZ PROGRAMA CPN ]])))</f>
        <v>45112</v>
      </c>
      <c r="DZ235" s="216">
        <f t="shared" si="851"/>
        <v>8</v>
      </c>
      <c r="EA235" s="222">
        <f>IF(R235&gt;0,SUM(COUNTA(DF235:DQ235)+COUNTA(Tabla1[[#This Row],[FECHA CONSULTA PRIMERA VEZ PROGRAMA CPN ]])),"")</f>
        <v>1</v>
      </c>
      <c r="EB235" s="222" t="str">
        <f t="shared" si="852"/>
        <v>NO</v>
      </c>
      <c r="EC235" s="214">
        <f t="shared" si="853"/>
        <v>9</v>
      </c>
      <c r="ED235" s="227">
        <f t="shared" si="854"/>
        <v>0.1111111111111111</v>
      </c>
      <c r="EE235" s="22">
        <v>45112</v>
      </c>
      <c r="EF235" s="22"/>
      <c r="EG235" s="22">
        <v>45112</v>
      </c>
      <c r="EH235" s="22"/>
      <c r="EI235" s="22">
        <v>45112</v>
      </c>
      <c r="EJ235" s="22"/>
      <c r="EK235" s="22"/>
      <c r="EL235" s="21"/>
      <c r="EM235" s="21">
        <v>12.8</v>
      </c>
      <c r="EN235" s="22">
        <v>45112</v>
      </c>
      <c r="EO235" s="222">
        <f t="shared" si="855"/>
        <v>8.7142857142857135</v>
      </c>
      <c r="EP235" s="214" t="str">
        <f t="shared" si="856"/>
        <v>NORMAL- SUMINISTRAR SULFATO FERROSO</v>
      </c>
      <c r="EQ235" s="216" t="str">
        <f t="shared" si="857"/>
        <v>I TRIM</v>
      </c>
      <c r="ER235" s="24"/>
      <c r="ES235" s="22"/>
      <c r="ET235" s="29" t="str">
        <f t="shared" ca="1" si="919"/>
        <v>TOMA HEMOGLOBINA A SEM 28 EN 1 SEMANA</v>
      </c>
      <c r="EU235" s="25" t="str">
        <f t="shared" si="858"/>
        <v/>
      </c>
      <c r="EV235" s="24" t="s">
        <v>1510</v>
      </c>
      <c r="EW235" s="32">
        <v>45112</v>
      </c>
      <c r="EX235" s="22"/>
      <c r="EY235" s="29">
        <f t="shared" si="1040"/>
        <v>8.7142857142857135</v>
      </c>
      <c r="EZ235" s="25" t="str">
        <f t="shared" si="1041"/>
        <v>SIN RIESGO DE ISOINMUNIZACIÓN</v>
      </c>
      <c r="FA235" s="21">
        <v>65</v>
      </c>
      <c r="FB235" s="32">
        <v>45112</v>
      </c>
      <c r="FC235" s="29">
        <f t="shared" si="859"/>
        <v>8.7142857142857135</v>
      </c>
      <c r="FD235" s="29"/>
      <c r="FE235" s="29"/>
      <c r="FF235" s="29"/>
      <c r="FG235" s="21" t="str">
        <f t="shared" ca="1" si="860"/>
        <v>TOMAR PTOG</v>
      </c>
      <c r="FH235" s="31"/>
      <c r="FI235" s="29" t="str">
        <f t="shared" si="861"/>
        <v>TOMAR EXAMEN</v>
      </c>
      <c r="FJ235" s="22" t="s">
        <v>867</v>
      </c>
      <c r="FK235" s="32">
        <v>45112</v>
      </c>
      <c r="FL235" s="29">
        <f t="shared" ca="1" si="862"/>
        <v>8.7142857142857135</v>
      </c>
      <c r="FM235" s="22"/>
      <c r="FN235" s="32"/>
      <c r="FO235" s="29" t="str">
        <f t="shared" ca="1" si="920"/>
        <v>TOMA INMEDIATA DE TAMIZAJE</v>
      </c>
      <c r="FP235" s="22"/>
      <c r="FQ235" s="32"/>
      <c r="FR235" s="29" t="str">
        <f t="shared" ca="1" si="921"/>
        <v>EN ESPERA-ESTÁ I TRIM O II TRIM</v>
      </c>
      <c r="FS235" s="22"/>
      <c r="FT235" s="32"/>
      <c r="FU235" s="29" t="str">
        <f>IF(AND(FJ235="",FM235="",FP235="",FS235=""),"",IF(OR(OR(Tabla1[[#This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5" s="28"/>
      <c r="FW235" s="22"/>
      <c r="FX235" s="29" t="str">
        <f t="shared" si="863"/>
        <v>TOMAR EXAMEN</v>
      </c>
      <c r="FY235" s="22" t="s">
        <v>868</v>
      </c>
      <c r="FZ235" s="32">
        <v>45112</v>
      </c>
      <c r="GA235" s="29">
        <f t="shared" ca="1" si="936"/>
        <v>8.7142857142857135</v>
      </c>
      <c r="GB235" s="22"/>
      <c r="GC235" s="22"/>
      <c r="GD235" s="29" t="str">
        <f t="shared" ca="1" si="1045"/>
        <v>TOMA INMEDIATA DE TAMIZAJE</v>
      </c>
      <c r="GE235" s="22"/>
      <c r="GF235" s="22"/>
      <c r="GG235" s="29" t="str">
        <f t="shared" ca="1" si="923"/>
        <v>EN ESPERA-ESTÁ I TRIM O II TRIM</v>
      </c>
      <c r="GH235" s="22"/>
      <c r="GI235" s="29"/>
      <c r="GJ235" s="22"/>
      <c r="GK235" s="22"/>
      <c r="GL235" s="22"/>
      <c r="GM235" s="22"/>
      <c r="GN235" s="28" t="s">
        <v>869</v>
      </c>
      <c r="GO235" s="32">
        <v>45112</v>
      </c>
      <c r="GP235" s="29">
        <f t="shared" si="864"/>
        <v>8.7142857142857135</v>
      </c>
      <c r="GQ235" s="28" t="s">
        <v>880</v>
      </c>
      <c r="GR235" s="28" t="s">
        <v>869</v>
      </c>
      <c r="GS235" s="22" t="str">
        <f t="shared" si="1044"/>
        <v>SE EXCLUYE INFECCION</v>
      </c>
      <c r="GT235" s="32">
        <v>45112</v>
      </c>
      <c r="GU235" s="29">
        <f t="shared" si="865"/>
        <v>8.7142857142857135</v>
      </c>
      <c r="GV235" s="21" t="str">
        <f t="shared" si="866"/>
        <v>I TRIM</v>
      </c>
      <c r="GW235" s="28"/>
      <c r="GX235" s="30"/>
      <c r="GY235" s="21"/>
      <c r="GZ235" s="21"/>
      <c r="HA235" s="21"/>
      <c r="HB235" s="21"/>
      <c r="HC235" s="21"/>
      <c r="HD235" s="21"/>
      <c r="HE235" s="21"/>
      <c r="HF235" s="22"/>
      <c r="HG235" s="22" t="str">
        <f>IF(OR(O235&gt;0,R235&gt;0),CONCATENATE(IF(Tabla1[[#This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5" s="22" t="e">
        <f t="shared" si="867"/>
        <v>#REF!</v>
      </c>
      <c r="HI235" s="22" t="e">
        <f t="shared" ca="1" si="868"/>
        <v>#REF!</v>
      </c>
      <c r="HJ235" s="21"/>
      <c r="HK235" s="21" t="str">
        <f t="shared" si="869"/>
        <v>SIN ANTECEDENTES DE RIESGO</v>
      </c>
      <c r="HL235" s="24" t="str">
        <f t="shared" si="870"/>
        <v>APARENTEMENTE NORMAL</v>
      </c>
      <c r="HM235" s="21" t="e">
        <f t="shared" ca="1" si="871"/>
        <v>#REF!</v>
      </c>
      <c r="HN235" s="30" t="str">
        <f t="shared" si="924"/>
        <v>ACTIVA INGRESO A CPN</v>
      </c>
      <c r="HO235" s="21"/>
      <c r="HP235" s="21"/>
      <c r="HQ235" s="349"/>
      <c r="HR235" s="21" t="str">
        <f>IF(R235="","",IF(Tabla1[[#This Row],[ALARMA FACTORES DE RIESGO COMPLICACIONES HIPERTENSIVAS3]]="SIN ANTECEDENTES DE RIESGO","No Aplica para suministro de ASA",IF(AND(Tabla1[[#This Row],[FECHA INICIO DE SUMINISTRO DE ASA]]&gt;0,RV235&lt;12),"Inicia ASA ANTES de Sem 12",IF(AND(RV235&gt;11,RV235&lt;17,OR(HK235="RIESGO ALTO DE COMPLICACIONES HIPERTENSIVAS VER MANEJO GUIA SUMINISTRO ASA Y CALCIO",HK235="RIESGO MODERADO (2 O MAS CRITERIOS) VER MANEJO GUIA SUMINISTRO ASA Y CALCIO")),"Inicio oportuno de ASA",IF(AND(RV235&gt;12,OR(HK235="RIESGO ALTO DE COMPLICACIONES HIPERTENSIVAS VER MANEJO GUIA SUMINISTRO ASA Y CALCIO",HK235="RIESGO MODERADO (2 O MAS CRITERIOS) VER MANEJO GUIA SUMINISTRO ASA Y CALCIO")),"Inicio no oportuno mayor a 16 semanas",IF(AND(BU235&lt;12,OR(HK235="RIESGO ALTO DE COMPLICACIONES HIPERTENSIVAS VER MANEJO GUIA SUMINISTRO ASA Y CALCIO",HK235="RIESGO MODERADO (2 O MAS CRITERIOS) VER MANEJO GUIA SUMINISTRO ASA Y CALCIO")),"Pendiente Inicio de ASA a la semana 12",IF(AND(BU235&gt;11,BU235&lt;17,OR(HK235="RIESGO ALTO DE COMPLICACIONES HIPERTENSIVAS VER MANEJO GUIA SUMINISTRO ASA Y CALCIO",HK235="RIESGO MODERADO (2 O MAS CRITERIOS) VER MANEJO GUIA SUMINISTRO ASA Y CALCIO")),"Iniciar de inmediato ASA",IF(AND(BU235&gt;16,OR(HK235="RIESGO ALTO DE COMPLICACIONES HIPERTENSIVAS VER MANEJO GUIA SUMINISTRO ASA Y CALCIO",HK235="RIESGO MODERADO (2 O MAS CRITERIOS) VER MANEJO GUIA SUMINISTRO ASA Y CALCIO")),"Pierde Oportunidad, Inicio tardío de ASA","XXXXX"))))))))</f>
        <v>No Aplica para suministro de ASA</v>
      </c>
      <c r="HS235" s="22">
        <v>45112</v>
      </c>
      <c r="HT235" s="22" t="s">
        <v>1518</v>
      </c>
      <c r="HU235" s="22">
        <v>45112</v>
      </c>
      <c r="HV235" s="22" t="s">
        <v>1544</v>
      </c>
      <c r="HW235" s="22">
        <v>45112</v>
      </c>
      <c r="HX235" s="22" t="s">
        <v>1511</v>
      </c>
      <c r="HY235" s="22">
        <v>45112</v>
      </c>
      <c r="HZ235" s="28">
        <f t="shared" si="872"/>
        <v>8.7142857142857135</v>
      </c>
      <c r="IA235" s="26"/>
      <c r="IB235" s="26"/>
      <c r="IC235" s="111"/>
      <c r="ID235" s="22"/>
      <c r="IE235" s="22" t="str">
        <f t="shared" ca="1" si="873"/>
        <v>PROGRAMAR APLICACION DE VACUNA</v>
      </c>
      <c r="IF235" s="22"/>
      <c r="IG235" s="22">
        <f t="shared" si="874"/>
        <v>45331</v>
      </c>
      <c r="IH235" s="29">
        <f t="shared" ca="1" si="875"/>
        <v>98</v>
      </c>
      <c r="II235" s="22" t="str">
        <f t="shared" ca="1" si="876"/>
        <v>PENDIENTE</v>
      </c>
      <c r="IJ235" s="22"/>
      <c r="IK235" s="21"/>
      <c r="IL235" s="21"/>
      <c r="IM235" s="34"/>
      <c r="IN235" s="22"/>
      <c r="IO235" s="21"/>
      <c r="IP235" s="29" t="str">
        <f t="shared" si="877"/>
        <v/>
      </c>
      <c r="IQ235" s="35"/>
      <c r="IR235" s="21"/>
      <c r="IS235" s="21"/>
      <c r="IT235" s="21"/>
      <c r="IU235" s="21"/>
      <c r="IV235" s="21"/>
      <c r="IW235" s="21"/>
      <c r="IX235" s="21"/>
      <c r="IY235" s="21"/>
      <c r="IZ235" s="21"/>
      <c r="JA235" s="21"/>
      <c r="JB235" s="30"/>
      <c r="JC235" s="21"/>
      <c r="JD235" s="36"/>
      <c r="JE235" s="21" t="str">
        <f t="shared" si="878"/>
        <v/>
      </c>
      <c r="JF235" s="30"/>
      <c r="JG235" s="21"/>
      <c r="JH235" s="21"/>
      <c r="JI235" s="21"/>
      <c r="JJ235" s="30"/>
      <c r="JK235" s="22"/>
      <c r="JL235" s="22"/>
      <c r="JM235" s="21"/>
      <c r="JN235" s="36"/>
      <c r="JO235" s="21" t="str">
        <f t="shared" si="879"/>
        <v/>
      </c>
      <c r="JP235" s="22"/>
      <c r="JQ235" s="21"/>
      <c r="JR235" s="21"/>
      <c r="JS235" s="21"/>
      <c r="JT235" s="30"/>
      <c r="JU235" s="22"/>
      <c r="JV235" s="22"/>
      <c r="JW235" s="33"/>
      <c r="JX235" s="28" t="str">
        <f t="shared" si="880"/>
        <v/>
      </c>
      <c r="JY235" s="33"/>
      <c r="JZ235" s="28" t="str">
        <f t="shared" si="881"/>
        <v/>
      </c>
      <c r="KA235" s="21"/>
      <c r="KB235" s="21"/>
      <c r="KC235" s="21"/>
      <c r="KD235" s="37"/>
      <c r="KE235" s="28"/>
      <c r="KF235" s="28"/>
      <c r="KG235" s="28"/>
      <c r="KH235" s="39"/>
      <c r="KI235" s="39"/>
      <c r="KJ235" s="66"/>
      <c r="KK235" s="39"/>
      <c r="KL235" s="39"/>
      <c r="KM235" s="66"/>
      <c r="KN235" s="39"/>
      <c r="KO235" s="39"/>
      <c r="KP235" s="39"/>
      <c r="KQ235" s="39"/>
      <c r="KR235" s="39"/>
      <c r="KS235" s="39"/>
      <c r="KT235" s="39"/>
      <c r="KU235" s="38"/>
      <c r="KV235" s="38"/>
      <c r="KW235" s="38"/>
      <c r="KX235" s="38"/>
      <c r="KY235" s="38"/>
      <c r="KZ235" s="38"/>
      <c r="LA235" s="38"/>
      <c r="LB235" s="38"/>
      <c r="LC235" s="38"/>
      <c r="LD235" s="38"/>
      <c r="LE235" s="38"/>
      <c r="LF235" s="38"/>
      <c r="LG235" s="38"/>
      <c r="LH235" s="38"/>
      <c r="LI235" s="38"/>
      <c r="LJ235" s="38"/>
      <c r="LK235" s="38"/>
      <c r="LL235" s="38"/>
      <c r="LM235" s="38"/>
      <c r="LN235" s="38"/>
      <c r="LO235" s="38"/>
      <c r="LP235" s="38"/>
      <c r="LQ235" s="38"/>
      <c r="LR235" s="38"/>
      <c r="LS235" s="38"/>
      <c r="LT235" s="38"/>
      <c r="LU235" s="38"/>
      <c r="LV235" s="38"/>
      <c r="LW235" s="38"/>
      <c r="LX235" s="38"/>
      <c r="LY235" s="38"/>
      <c r="LZ235" s="38"/>
      <c r="MA235" s="38"/>
      <c r="MB235" s="38"/>
      <c r="MC235" s="38"/>
      <c r="MD235" s="38"/>
      <c r="ME235" s="38"/>
      <c r="MF235" s="38"/>
      <c r="MG235" s="38"/>
      <c r="MH235" s="43">
        <f t="shared" si="882"/>
        <v>0</v>
      </c>
      <c r="MI235" s="43" t="str">
        <f t="shared" si="926"/>
        <v/>
      </c>
      <c r="MJ235" s="43" t="str">
        <f t="shared" si="884"/>
        <v/>
      </c>
      <c r="MK235" s="43">
        <f t="shared" si="885"/>
        <v>0</v>
      </c>
      <c r="ML23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5" s="43">
        <f t="shared" si="927"/>
        <v>8.7142857142857135</v>
      </c>
      <c r="MN235" s="43">
        <f t="shared" si="928"/>
        <v>7</v>
      </c>
      <c r="MO235" s="43">
        <f t="shared" si="929"/>
        <v>2023</v>
      </c>
      <c r="MP235" s="43" t="str">
        <f t="shared" si="889"/>
        <v>III TRIMESTRE AÑO</v>
      </c>
      <c r="MQ235" s="43">
        <f t="shared" si="930"/>
        <v>27.817017082785807</v>
      </c>
      <c r="MR235" s="43">
        <f t="shared" si="891"/>
        <v>0</v>
      </c>
      <c r="MS235" s="43" t="str">
        <f t="shared" si="892"/>
        <v xml:space="preserve"> DE 25 A 29 AÑOS</v>
      </c>
      <c r="MT235" s="43" t="str">
        <f t="shared" si="893"/>
        <v/>
      </c>
      <c r="MU235" s="43">
        <f t="shared" si="894"/>
        <v>0</v>
      </c>
      <c r="MV235" s="43">
        <f t="shared" si="895"/>
        <v>0</v>
      </c>
      <c r="MW235" s="43">
        <f t="shared" si="896"/>
        <v>0</v>
      </c>
      <c r="MX235" s="43" t="str">
        <f t="shared" si="897"/>
        <v/>
      </c>
      <c r="MY235" s="43" t="str">
        <f t="shared" ca="1" si="898"/>
        <v/>
      </c>
      <c r="MZ235" s="43" t="str">
        <f t="shared" si="899"/>
        <v/>
      </c>
      <c r="NA235" s="43" t="str">
        <f t="shared" si="900"/>
        <v/>
      </c>
      <c r="NB235" s="43" t="str">
        <f t="shared" si="901"/>
        <v/>
      </c>
      <c r="NC235" s="43" t="str">
        <f t="shared" si="902"/>
        <v/>
      </c>
      <c r="ND235" s="43">
        <f t="shared" ca="1" si="931"/>
        <v>0</v>
      </c>
      <c r="NE235" s="43">
        <f>IF(OR(O235&gt;0,R235&gt;0),SUM(COUNTIF(Tabla1[[#This Row],[AÑOS AL INICIO5 CPN]],"&gt;=40"),COUNTIF(AS235,"0"),COUNTIF(AR235,"SI"),COUNTIF(CC235,"SI"),COUNTIF(BQ235,"&gt;119"),COUNTIF(CI235,"&gt;=35")),"")</f>
        <v>0</v>
      </c>
      <c r="NF235" s="43" t="str">
        <f t="shared" si="932"/>
        <v/>
      </c>
      <c r="NG235" s="43">
        <f t="shared" si="905"/>
        <v>0</v>
      </c>
      <c r="NH235" s="43" t="str">
        <f t="shared" si="906"/>
        <v/>
      </c>
      <c r="NI23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CPN",P235="NO"),"Z",IF(AND(Tabla1[[#This Row],[CITA PROXIMO CONTROL]]="CITA MANUAL",Tabla1[[#This Row],[GESTANTES ACTUALES]]="ACTIVA INGRESO A CPN"),"W",IF(AND(Tabla1[[#This Row],[GESTANTES ACTUALES]]="SALIO PROGRAMA",IN235=""),"S",IF(AND(Tabla1[[#This Row],[CITA PROXIMO CONTROL]]&gt;0,IN235=""),(Tabla1[[#This Row],[CITA PROXIMO CONTROL]]-TODAY()),"SD"))))))))</f>
        <v>#REF!</v>
      </c>
      <c r="NJ235" s="43">
        <f>MONTH(Tabla1[[#This Row],[FECHA DE SALIDA  DEL PROGRAMA]])</f>
        <v>1</v>
      </c>
      <c r="NK235" s="43">
        <f>YEAR(Tabla1[[#This Row],[FECHA DE SALIDA  DEL PROGRAMA]])</f>
        <v>1900</v>
      </c>
      <c r="NL235" s="43" t="str">
        <f t="shared" si="933"/>
        <v>X</v>
      </c>
      <c r="NM235" s="43" t="str">
        <f t="shared" si="938"/>
        <v>NO</v>
      </c>
      <c r="NN235" s="43" t="str">
        <f ca="1">IF(AND(O235&gt;0,R235=""),"NO CPN",IF(AND(O235="",R235=""),"",IF(AND(R235&gt;0,Tabla1[[#This Row],[SEMANAS DE GESTACION ACTUALIZADAS]]&lt;=12),"NO APLICA",IF(AND(FH235&lt;&gt;"",FN235&lt;&gt;""),"SI","NO"))))</f>
        <v>NO</v>
      </c>
      <c r="NO235" s="43" t="str">
        <f ca="1">IF(AND(O235&gt;0,R235=""),"NO CPN",IF(AND(O235="",R235=""),"",IF(AND(R235&gt;0,Tabla1[[#This Row],[SEMANAS DE GESTACION ACTUALIZADAS]]&lt;=27),"NO APLICA",IF(AND(ES235&lt;&gt;"",FQ235&lt;&gt;"",GF235&lt;&gt;""),"SI","NO"))))</f>
        <v>NO APLICA</v>
      </c>
      <c r="NP235" s="204" t="str">
        <f t="shared" si="909"/>
        <v>I TRIM</v>
      </c>
      <c r="NQ235" s="21" t="str">
        <f t="shared" si="1043"/>
        <v/>
      </c>
      <c r="NR235" s="21">
        <f t="shared" ca="1" si="934"/>
        <v>2</v>
      </c>
      <c r="NS235" s="205">
        <f t="shared" ca="1" si="911"/>
        <v>1</v>
      </c>
      <c r="NT235" s="21">
        <f t="shared" ca="1" si="912"/>
        <v>1</v>
      </c>
      <c r="NU235" s="21" t="str">
        <f t="shared" ca="1" si="913"/>
        <v>INCOMPLETO</v>
      </c>
      <c r="NV235" s="21" t="str">
        <f t="shared" ca="1" si="914"/>
        <v>INCOMPLETO</v>
      </c>
      <c r="NW235" s="206" t="str">
        <f>IF(AND(O235="",R235=""),"",IF(OR(AND(Tabla1[[#This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5" s="207" t="str">
        <f t="shared" ca="1" si="935"/>
        <v>SIN VACUNAR</v>
      </c>
      <c r="NY235" s="43">
        <f>ROW(Tabla1[[#This Row],['# DE TAMIZAJES SIFILIS TOMADOS ]])</f>
        <v>235</v>
      </c>
      <c r="NZ235" s="43" t="str">
        <f t="shared" si="939"/>
        <v>Menor</v>
      </c>
      <c r="OA235" s="43" t="str">
        <f t="shared" si="940"/>
        <v>NORMAL</v>
      </c>
      <c r="OB235" s="43" t="str">
        <f t="shared" si="941"/>
        <v/>
      </c>
      <c r="OC235" s="43" t="str">
        <f t="shared" si="942"/>
        <v/>
      </c>
      <c r="OD235" s="43" t="str">
        <f t="shared" si="943"/>
        <v/>
      </c>
      <c r="OE235" s="43" t="str">
        <f t="shared" si="944"/>
        <v/>
      </c>
      <c r="OF235" s="43" t="str">
        <f t="shared" si="945"/>
        <v/>
      </c>
      <c r="OG235" s="43" t="str">
        <f t="shared" si="946"/>
        <v/>
      </c>
      <c r="OH235" s="43" t="str">
        <f t="shared" si="947"/>
        <v/>
      </c>
      <c r="OI235" s="43" t="str">
        <f t="shared" si="948"/>
        <v/>
      </c>
      <c r="OJ235" s="43" t="str">
        <f t="shared" si="949"/>
        <v/>
      </c>
      <c r="OK235" s="43" t="str">
        <f t="shared" si="950"/>
        <v/>
      </c>
      <c r="OL235" s="43" t="str">
        <f t="shared" si="951"/>
        <v/>
      </c>
      <c r="OM235" s="43" t="str">
        <f t="shared" si="952"/>
        <v/>
      </c>
      <c r="ON235" s="43" t="str">
        <f t="shared" si="953"/>
        <v/>
      </c>
      <c r="OO235" s="43" t="str">
        <f t="shared" si="954"/>
        <v/>
      </c>
      <c r="OP235" s="43" t="str">
        <f t="shared" si="955"/>
        <v/>
      </c>
      <c r="OQ235" s="43" t="str">
        <f t="shared" si="956"/>
        <v/>
      </c>
      <c r="OR235" s="43" t="str">
        <f t="shared" si="957"/>
        <v/>
      </c>
      <c r="OS235" s="43" t="str">
        <f t="shared" si="958"/>
        <v/>
      </c>
      <c r="OT235" s="43" t="str">
        <f t="shared" si="959"/>
        <v/>
      </c>
      <c r="OU235" s="43" t="str">
        <f t="shared" si="960"/>
        <v/>
      </c>
      <c r="OV235" s="110" t="str">
        <f t="shared" si="961"/>
        <v/>
      </c>
      <c r="OW235" s="43" t="str">
        <f t="shared" si="962"/>
        <v/>
      </c>
      <c r="OX235" s="43" t="str">
        <f t="shared" si="963"/>
        <v/>
      </c>
      <c r="OY235" s="43" t="str">
        <f t="shared" si="964"/>
        <v/>
      </c>
      <c r="OZ235" s="43" t="str">
        <f t="shared" si="965"/>
        <v/>
      </c>
      <c r="PA235" s="43" t="str">
        <f t="shared" si="966"/>
        <v/>
      </c>
      <c r="PB235" s="43" t="str">
        <f t="shared" si="967"/>
        <v/>
      </c>
      <c r="PC235" s="43" t="str">
        <f t="shared" si="968"/>
        <v/>
      </c>
      <c r="PD235" s="43" t="str">
        <f t="shared" si="969"/>
        <v/>
      </c>
      <c r="PE235" s="43" t="str">
        <f t="shared" si="970"/>
        <v/>
      </c>
      <c r="PF235" s="43" t="str">
        <f t="shared" si="971"/>
        <v/>
      </c>
      <c r="PG235" s="43" t="str">
        <f t="shared" si="972"/>
        <v/>
      </c>
      <c r="PH235" s="43" t="str">
        <f t="shared" si="973"/>
        <v/>
      </c>
      <c r="PI235" s="43" t="str">
        <f t="shared" si="974"/>
        <v>Menor</v>
      </c>
      <c r="PJ235" s="43" t="str">
        <f t="shared" si="975"/>
        <v>NORMAL</v>
      </c>
      <c r="PK235" s="43" t="str">
        <f t="shared" si="976"/>
        <v/>
      </c>
      <c r="PL235" s="43" t="str">
        <f t="shared" si="977"/>
        <v/>
      </c>
      <c r="PM235" s="43" t="str">
        <f t="shared" si="978"/>
        <v/>
      </c>
      <c r="PN235" s="43" t="str">
        <f t="shared" si="979"/>
        <v/>
      </c>
      <c r="PO235" s="43" t="str">
        <f t="shared" si="980"/>
        <v/>
      </c>
      <c r="PP235" s="43" t="str">
        <f t="shared" si="981"/>
        <v/>
      </c>
      <c r="PQ235" s="43" t="str">
        <f t="shared" si="982"/>
        <v/>
      </c>
      <c r="PR235" s="43" t="str">
        <f t="shared" si="983"/>
        <v/>
      </c>
      <c r="PS235" s="43" t="str">
        <f t="shared" si="984"/>
        <v/>
      </c>
      <c r="PT235" s="43" t="str">
        <f t="shared" si="985"/>
        <v/>
      </c>
      <c r="PU235" s="43" t="str">
        <f t="shared" si="986"/>
        <v/>
      </c>
      <c r="PV235" s="43" t="str">
        <f t="shared" si="987"/>
        <v/>
      </c>
      <c r="PW235" s="43" t="str">
        <f t="shared" si="988"/>
        <v/>
      </c>
      <c r="PX235" s="43" t="str">
        <f t="shared" si="989"/>
        <v/>
      </c>
      <c r="PY235" s="43" t="str">
        <f t="shared" si="990"/>
        <v/>
      </c>
      <c r="PZ235" s="43" t="str">
        <f t="shared" si="991"/>
        <v/>
      </c>
      <c r="QA235" s="43" t="str">
        <f t="shared" si="992"/>
        <v/>
      </c>
      <c r="QB235" s="43" t="str">
        <f t="shared" si="993"/>
        <v/>
      </c>
      <c r="QC235" s="43" t="str">
        <f t="shared" si="994"/>
        <v/>
      </c>
      <c r="QD235" s="43" t="str">
        <f t="shared" si="995"/>
        <v/>
      </c>
      <c r="QE235" s="43" t="str">
        <f t="shared" si="996"/>
        <v/>
      </c>
      <c r="QF235" s="43" t="str">
        <f t="shared" si="997"/>
        <v/>
      </c>
      <c r="QG235" s="43" t="str">
        <f t="shared" si="998"/>
        <v/>
      </c>
      <c r="QH235" s="43" t="str">
        <f t="shared" si="999"/>
        <v/>
      </c>
      <c r="QI235" s="43" t="str">
        <f t="shared" si="1000"/>
        <v/>
      </c>
      <c r="QJ235" s="43" t="str">
        <f t="shared" si="1001"/>
        <v/>
      </c>
      <c r="QK235" s="43" t="str">
        <f t="shared" si="1002"/>
        <v/>
      </c>
      <c r="QL235" s="43" t="str">
        <f t="shared" si="1003"/>
        <v/>
      </c>
      <c r="QM235" s="43" t="str">
        <f t="shared" si="1004"/>
        <v/>
      </c>
      <c r="QN235" s="43" t="str">
        <f t="shared" si="1005"/>
        <v/>
      </c>
      <c r="QO235" s="43" t="str">
        <f t="shared" si="1006"/>
        <v/>
      </c>
      <c r="QP235" s="43" t="str">
        <f t="shared" si="1007"/>
        <v/>
      </c>
      <c r="QQ235" s="43" t="str">
        <f t="shared" si="1008"/>
        <v/>
      </c>
      <c r="QR235" s="43" t="str">
        <f t="shared" si="1009"/>
        <v>Menor</v>
      </c>
      <c r="QS235" s="43"/>
      <c r="QT235" s="21" t="str">
        <f t="shared" si="1010"/>
        <v/>
      </c>
      <c r="QU235" s="21" t="str">
        <f t="shared" si="1011"/>
        <v/>
      </c>
      <c r="QV235" s="21" t="str">
        <f t="shared" si="1012"/>
        <v/>
      </c>
      <c r="QW235" s="21" t="str">
        <f t="shared" si="1013"/>
        <v/>
      </c>
      <c r="QX235" s="21" t="str">
        <f t="shared" si="1014"/>
        <v/>
      </c>
      <c r="QY235" s="21" t="str">
        <f t="shared" si="1015"/>
        <v/>
      </c>
      <c r="QZ235" s="21" t="str">
        <f t="shared" si="1016"/>
        <v/>
      </c>
      <c r="RA235" s="21" t="str">
        <f t="shared" si="1017"/>
        <v/>
      </c>
      <c r="RB235" s="21" t="str">
        <f t="shared" si="1018"/>
        <v/>
      </c>
      <c r="RC235" s="21" t="str">
        <f t="shared" si="1019"/>
        <v/>
      </c>
      <c r="RD235" s="21" t="str">
        <f t="shared" si="1020"/>
        <v/>
      </c>
      <c r="RE235" s="21" t="str">
        <f t="shared" si="1021"/>
        <v/>
      </c>
      <c r="RF235" s="21" t="str">
        <f t="shared" si="1022"/>
        <v/>
      </c>
      <c r="RG235" s="21" t="str">
        <f t="shared" si="1023"/>
        <v/>
      </c>
      <c r="RH235" s="21" t="str">
        <f t="shared" si="1024"/>
        <v/>
      </c>
      <c r="RI235" s="21" t="str">
        <f t="shared" si="1025"/>
        <v/>
      </c>
      <c r="RJ235" s="21" t="str">
        <f t="shared" si="1026"/>
        <v/>
      </c>
      <c r="RK235" s="21" t="str">
        <f t="shared" si="1027"/>
        <v/>
      </c>
      <c r="RL235" s="21" t="str">
        <f t="shared" si="1028"/>
        <v/>
      </c>
      <c r="RM235" s="21" t="str">
        <f t="shared" si="1029"/>
        <v/>
      </c>
      <c r="RN235" s="21" t="str">
        <f t="shared" si="1030"/>
        <v/>
      </c>
      <c r="RO235" s="21" t="str">
        <f t="shared" si="1031"/>
        <v/>
      </c>
      <c r="RP235" s="21" t="str">
        <f t="shared" si="1032"/>
        <v/>
      </c>
      <c r="RQ235" s="21" t="str">
        <f t="shared" si="1033"/>
        <v/>
      </c>
      <c r="RR235" s="21" t="str">
        <f t="shared" si="1034"/>
        <v/>
      </c>
      <c r="RS235" s="21" t="str">
        <f t="shared" si="1035"/>
        <v/>
      </c>
      <c r="RT235" s="21" t="str">
        <f t="shared" si="1036"/>
        <v/>
      </c>
      <c r="RU235" s="21" t="str">
        <f t="shared" si="1037"/>
        <v/>
      </c>
      <c r="RV235" s="21">
        <f t="shared" si="1038"/>
        <v>-1</v>
      </c>
      <c r="RW235" s="284">
        <f>IF(OR(Tabla1[[#This Row],[FUM FORMULA CONFIABLE]]="",Tabla1[[#This Row],[FUM FORMULA CONFIABLE]]="SD"),"",IF(Tabla1[[#This Row],[FUM FORMULA CONFIABLE]]="CORREGIDA",Tabla1[[#This Row],[FUM X ECO 1]],Tabla1[[#This Row],[FUM x AMENORREA]]))</f>
        <v>45051</v>
      </c>
      <c r="RX235" s="21" t="str">
        <f>IF(AND(Tabla1[[#This Row],[FUM X ECO 1]]="",Tabla1[[#This Row],[FUM x AMENORREA]]=""),"",IF(AND(Tabla1[[#This Row],[FUM X ECO 1]]="",Tabla1[[#This Row],[FUM x AMENORREA]]&lt;&gt;""),"X",SUM(Tabla1[[#This Row],[FUM X ECO 1]]-Tabla1[[#This Row],[FUM x AMENORREA]])))</f>
        <v>X</v>
      </c>
      <c r="RY235" s="21" t="str">
        <f t="shared" si="1039"/>
        <v>x</v>
      </c>
    </row>
    <row r="236" spans="1:493" ht="45" customHeight="1" x14ac:dyDescent="0.25">
      <c r="A236" s="109"/>
      <c r="B236" s="43"/>
      <c r="C236" s="43" t="s">
        <v>845</v>
      </c>
      <c r="D236" s="124"/>
      <c r="E236" s="43" t="s">
        <v>1637</v>
      </c>
      <c r="F236" s="43" t="s">
        <v>1638</v>
      </c>
      <c r="G236" s="43" t="s">
        <v>1028</v>
      </c>
      <c r="H236" s="43"/>
      <c r="I236" s="109" t="s">
        <v>851</v>
      </c>
      <c r="J236" s="291">
        <v>1060986729</v>
      </c>
      <c r="K236" s="43" t="s">
        <v>852</v>
      </c>
      <c r="L236" s="175" t="s">
        <v>1509</v>
      </c>
      <c r="M236" s="22">
        <v>37871</v>
      </c>
      <c r="N236" s="213">
        <f t="shared" ca="1" si="839"/>
        <v>20.169863013698631</v>
      </c>
      <c r="O236" s="22">
        <v>45125</v>
      </c>
      <c r="P236" s="214" t="str">
        <f t="shared" si="916"/>
        <v>SI</v>
      </c>
      <c r="Q236" s="26" t="s">
        <v>855</v>
      </c>
      <c r="R236" s="22">
        <v>45125</v>
      </c>
      <c r="S236" s="21" t="s">
        <v>856</v>
      </c>
      <c r="T236" s="24" t="s">
        <v>690</v>
      </c>
      <c r="U236" s="21" t="s">
        <v>857</v>
      </c>
      <c r="V236" s="21" t="s">
        <v>858</v>
      </c>
      <c r="W236" s="21" t="s">
        <v>1359</v>
      </c>
      <c r="X236" s="21"/>
      <c r="Y236" s="21"/>
      <c r="Z236" s="21">
        <v>3234814636</v>
      </c>
      <c r="AA236" s="21" t="s">
        <v>860</v>
      </c>
      <c r="AB236" s="27" t="s">
        <v>861</v>
      </c>
      <c r="AC236" s="26" t="s">
        <v>862</v>
      </c>
      <c r="AD236" s="38" t="s">
        <v>1546</v>
      </c>
      <c r="AE236" s="26" t="s">
        <v>854</v>
      </c>
      <c r="AF236" s="26" t="s">
        <v>854</v>
      </c>
      <c r="AG236" s="23" t="s">
        <v>864</v>
      </c>
      <c r="AH236" s="23" t="s">
        <v>864</v>
      </c>
      <c r="AI236" s="24" t="s">
        <v>863</v>
      </c>
      <c r="AJ236" s="23" t="s">
        <v>864</v>
      </c>
      <c r="AK236" s="220" t="str">
        <f>IF(AND(AD236="",AE236="",AF236="",AG236="",AH236="",AI236="",AJ236=""),"",IF(OR(Tabla1[[#This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EVALUACIÓN",IF(AND(O236="",R236=""),"",IF(AND(OR(O236&gt;0,R236&gt;0),NG236&gt;=0,NG236&lt;2),"SIN RIESGO",IF(AND(OR(O236&gt;0,R236&gt;0),NG236&gt;=2),"CON RIESGO","ASD")))))</f>
        <v>SIN RIESGO</v>
      </c>
      <c r="AL236" s="26" t="s">
        <v>864</v>
      </c>
      <c r="AM236" s="26" t="s">
        <v>864</v>
      </c>
      <c r="AN236" s="26" t="s">
        <v>864</v>
      </c>
      <c r="AO236" s="26" t="s">
        <v>864</v>
      </c>
      <c r="AP236" s="26" t="s">
        <v>864</v>
      </c>
      <c r="AQ236" s="26" t="s">
        <v>864</v>
      </c>
      <c r="AR236" s="26" t="s">
        <v>864</v>
      </c>
      <c r="AS236" s="21">
        <v>0</v>
      </c>
      <c r="AT236" s="21">
        <v>0</v>
      </c>
      <c r="AU236" s="21">
        <v>0</v>
      </c>
      <c r="AV236" s="26" t="s">
        <v>864</v>
      </c>
      <c r="AW236" s="21">
        <v>0</v>
      </c>
      <c r="AX236" s="26" t="s">
        <v>864</v>
      </c>
      <c r="AY236" s="26" t="s">
        <v>864</v>
      </c>
      <c r="AZ236" s="26" t="s">
        <v>864</v>
      </c>
      <c r="BA236" s="26" t="s">
        <v>864</v>
      </c>
      <c r="BB236" s="26" t="s">
        <v>864</v>
      </c>
      <c r="BC236" s="26" t="s">
        <v>864</v>
      </c>
      <c r="BD236" s="26" t="s">
        <v>864</v>
      </c>
      <c r="BE236" s="26" t="s">
        <v>864</v>
      </c>
      <c r="BF236" s="26" t="s">
        <v>864</v>
      </c>
      <c r="BG236" s="26" t="s">
        <v>864</v>
      </c>
      <c r="BH236" s="26" t="s">
        <v>864</v>
      </c>
      <c r="BI236" s="26" t="s">
        <v>864</v>
      </c>
      <c r="BJ236" s="26" t="s">
        <v>864</v>
      </c>
      <c r="BK236" s="26" t="s">
        <v>864</v>
      </c>
      <c r="BL236" s="26" t="s">
        <v>864</v>
      </c>
      <c r="BM236" s="26" t="s">
        <v>864</v>
      </c>
      <c r="BN236" s="22"/>
      <c r="BO236" s="22">
        <v>44979</v>
      </c>
      <c r="BP236" s="21" t="s">
        <v>854</v>
      </c>
      <c r="BQ236" s="222">
        <f t="shared" si="840"/>
        <v>0</v>
      </c>
      <c r="BR236" s="223" t="str">
        <f t="shared" si="841"/>
        <v/>
      </c>
      <c r="BS236" s="224">
        <f t="shared" si="842"/>
        <v>20.857142857142858</v>
      </c>
      <c r="BT236" s="216" t="str">
        <f t="shared" si="843"/>
        <v>II TRIM</v>
      </c>
      <c r="BU236" s="214">
        <f t="shared" ca="1" si="925"/>
        <v>36.285714285714285</v>
      </c>
      <c r="BV236" s="25"/>
      <c r="BW236" s="22"/>
      <c r="BX236" s="28"/>
      <c r="BY236" s="28"/>
      <c r="BZ236" s="22"/>
      <c r="CA236" s="21"/>
      <c r="CB236" s="26"/>
      <c r="CC236" s="26"/>
      <c r="CD236" s="26"/>
      <c r="CE236" s="26"/>
      <c r="CF236" s="22" t="s">
        <v>1517</v>
      </c>
      <c r="CG236" s="21">
        <v>1.51</v>
      </c>
      <c r="CH236" s="21">
        <v>51</v>
      </c>
      <c r="CI236" s="214">
        <f t="shared" si="845"/>
        <v>22.367440024560327</v>
      </c>
      <c r="CJ236" s="225" t="e">
        <f>IF(AND(CI236&lt;10,CH236="SD"),"SIN DATO PESO PREGESTACION O I TRIM",IF(AND(OR(R236&gt;0,O236&gt;0),CI236="X"),"INGRESAR DATO DE PESO",IF(CI236="SD","INGRESAR DATO DE TALLA Y PESO",IF(AND(OR(Tabla1[[#This Row],[MOMENTO EN QUE SE REALIZA EL PESO AL INGRESO A CPN]]="PREGESTACIÓN",NZ236="Menor"),CI236&lt;18.5),"BAJO PESO",IF(AND(OR(Tabla1[[#This Row],[MOMENTO EN QUE SE REALIZA EL PESO AL INGRESO A CPN]]="PREGESTACIÓN",NZ236="Menor"),CI236&lt;25),"NORMAL",IF(AND(OR(Tabla1[[#This Row],[MOMENTO EN QUE SE REALIZA EL PESO AL INGRESO A CPN]]="PREGESTACIÓN",NZ236="Menor"),CI236&lt;30),"SOBREPESO",IF(AND(OR(Tabla1[[#This Row],[MOMENTO EN QUE SE REALIZA EL PESO AL INGRESO A CPN]]="PREGESTACIÓN",NZ236="Menor"),CI236&gt;=30,CI236&lt;50),"OBESIDAD",IF(AND(BS236&gt;0,Tabla1[[#This Row],[MOMENTO EN QUE SE REALIZA EL PESO AL INGRESO A CPN]]="GESTACIÓN"),HLOOKUP(NZ236,$OA$2:PH236,NY236),""))))))))</f>
        <v>#REF!</v>
      </c>
      <c r="CK236" s="212">
        <f t="shared" si="846"/>
        <v>45156</v>
      </c>
      <c r="CL236" s="21">
        <v>53</v>
      </c>
      <c r="CM236" s="214">
        <f t="shared" si="847"/>
        <v>23.244594535327398</v>
      </c>
      <c r="CN236" s="216">
        <f t="shared" si="848"/>
        <v>25</v>
      </c>
      <c r="CO236" s="216" t="e">
        <f>IF(PI236="","",IF(PI236&gt;0,HLOOKUP(PI236,$PJ$2:QQ236,NY236),""))</f>
        <v>#REF!</v>
      </c>
      <c r="CP236" s="21">
        <v>23</v>
      </c>
      <c r="CQ236" s="216" t="e">
        <f>IF(QR236="Menor","NO APLICA-MENOR 13 SEM",IF(AND(CC236="SI",CN236&gt;23),"NO APLICA- GEMELAR",IF(QR236="","",IF(QR236&gt;0,HLOOKUP(QR236,$QS$2:RU236,NY236),""))))</f>
        <v>#REF!</v>
      </c>
      <c r="CR236" s="21"/>
      <c r="CS236" s="21"/>
      <c r="CT236" s="217" t="str">
        <f>IF(R236="","",IF(AND(BS236&gt;1,BS236&lt;12,Tabla1[[#This Row],[T.A. SISTOLICA - ANTES DE SEMANA 12]]="",Tabla1[[#This Row],[T.A. DIASTOLICA - ANTES DE SEMANA 12]]=""),"REGISTRE DATO TA ANTES SEMANA 12",IF(AND(BS236&gt;11,BS236&lt;43,Tabla1[[#This Row],[T.A. SISTOLICA - ANTES DE SEMANA 12]]="",Tabla1[[#This Row],[T.A. DIASTOLICA - ANTES DE SEMANA 12]]=""),"NO APLICA REGISTRO TA-INGRESO TARDIO",IF(AND(OR(O236&gt;0,R236&gt;0),OR(CR236&gt;=140,CS236&gt;=90)),"DEFINIR ESTADIO HTA",IF(AND(OR(O236&gt;0,R236&gt;0),AND(CR236&gt;120,CR236&lt;=139)),"PRE HTA SEGUIMIENTO",IF(AND(OR(O236&gt;0,R236&gt;0),AND(CS236&gt;80,CS236&lt;=89)),"PRE HTA SEGUIMIENTO",IF(AND(OR(O236&gt;0,R236&gt;0),AND(CR236&gt;=80,CR236&lt;=120)),"APARENTEMENTE NORMAL",IF(AND(OR(O236&gt;0,R236&gt;0),AND(CS236&gt;=50,CS236&lt;=80)),"APARENTEMENTE NORMAL",IF(AND(OR(O236&gt;0,R236&gt;0),AND(CR236&gt;1,CR236&lt;=70),AND(CS236&gt;1,CS236&lt;=40)),"HIPOTENSIÓN","")))))))))</f>
        <v>NO APLICA REGISTRO TA-INGRESO TARDIO</v>
      </c>
      <c r="CU236" s="21">
        <v>90</v>
      </c>
      <c r="CV236" s="21">
        <v>60</v>
      </c>
      <c r="CW236" s="217" t="str">
        <f ca="1">IF(R236="","",IF(AND(CN236&gt;19,CN236&lt;27,Tabla1[[#This Row],[T.A. SISTOLICA (Entre semana 20 y 26)]]="",Tabla1[[#This Row],[T.A. DIATOLICA (Entre semana 20 y 26)]]=""),"ACUDE A CONTROL SEM 20 A 26 REGISTRE TA AHORA",IF(AND(BS236&gt;1,BS236&lt;27,BU236&gt;19,Tabla1[[#This Row],[T.A. SISTOLICA (Entre semana 20 y 26)]]="",Tabla1[[#This Row],[T.A. DIATOLICA (Entre semana 20 y 26)]]=""),"COMPLETE REGISTRO TA CONTROL SEM 20 A26 ",IF(AND(BS236&gt;26,BS236&lt;43,Tabla1[[#This Row],[T.A. SISTOLICA (Entre semana 20 y 26)]]="",Tabla1[[#This Row],[T.A. DIATOLICA (Entre semana 20 y 26)]]=""),"NO APLICA REGISTRO TA-INGRESO TARDIO",IF(AND(OR(O236&gt;0,R236&gt;0),OR(CU236&gt;=140,CV236&gt;=90)),"ALTO RIESGO PREECLAMPSIA,DEFINIR ESTADIO HTA",IF(AND(OR(O236&gt;0,R236&gt;0),AND(CU236&gt;120,CU236&lt;=139)),"PRE HTA SEGUIMIENTO,RIESGO HIPERTENSION INDUCIDA POR EL EMBARAZO",IF(AND(OR(O236&gt;0,R236&gt;0),AND(CV236&gt;80,CV236&lt;=89)),"PRE HTA SEGUIMIENTO, RIESGO HIPERTENSION INDUCIDA POR EL EMBARAZO",IF(AND(OR(O236&lt;&gt;"",R236&lt;&gt;""),CS236&lt;&gt;"",CV236&lt;&gt;"",CS236&lt;=CV236),"VIGILAR CIFRAS PRESION ARTERIAL",IF(AND(OR(O236&gt;0,R236&gt;0),AND(CU236&gt;120,CU236&lt;=139)),"PRE HTA SEGUIMIENTO",IF(AND(OR(O236&gt;0,R236&gt;0),AND(CU236&gt;1,CU236&lt;=70),AND(CV236&gt;1,CV236&lt;=40)),"HIPOTENSIÓN",IF(AND(OR(O236&lt;&gt;"",R236&lt;&gt;""),CS236&lt;&gt;"",CV236&lt;&gt;"",CS236&gt;CV236),"APARENTEMENTE NORMAL",IF(AND(OR(O236&gt;0,R236&gt;0),AND(CU236&gt;=80,CU236&lt;=120)),"APARENTEMENTE NORMAL",IF(AND(OR(O236&gt;0,R236&gt;0),AND(CV236&gt;=50,CV236&lt;=80)),"APARENTEMENTE NORMAL","")))))))))))))</f>
        <v>APARENTEMENTE NORMAL</v>
      </c>
      <c r="CX236" s="21"/>
      <c r="CY236" s="21"/>
      <c r="CZ236" s="216" t="str">
        <f t="shared" si="1042"/>
        <v/>
      </c>
      <c r="DA236" s="21">
        <v>90</v>
      </c>
      <c r="DB236" s="21">
        <v>60</v>
      </c>
      <c r="DC236" s="217" t="str">
        <f t="shared" si="849"/>
        <v>APARENTEMENTE NORMAL</v>
      </c>
      <c r="DD236" s="22">
        <v>45125</v>
      </c>
      <c r="DE236" s="22">
        <v>45125</v>
      </c>
      <c r="DF236" s="22">
        <v>45156</v>
      </c>
      <c r="DG236" s="22"/>
      <c r="DH236" s="22"/>
      <c r="DI236" s="22"/>
      <c r="DJ236" s="22"/>
      <c r="DK236" s="22"/>
      <c r="DL236" s="22"/>
      <c r="DM236" s="22"/>
      <c r="DN236" s="22"/>
      <c r="DO236" s="22"/>
      <c r="DP236" s="22"/>
      <c r="DQ236" s="22"/>
      <c r="DR236" s="28"/>
      <c r="DS236" s="22"/>
      <c r="DT236" s="22"/>
      <c r="DU236" s="216" t="str">
        <f t="shared" ca="1" si="917"/>
        <v>CONCERTAR PLAN DE PARTO INMEDIATO</v>
      </c>
      <c r="DV236" s="226" t="str">
        <f t="shared" si="918"/>
        <v>ACTIVA INGRESO A CPN</v>
      </c>
      <c r="DW23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6" s="216" t="e">
        <f t="shared" ca="1" si="850"/>
        <v>#REF!</v>
      </c>
      <c r="DY236" s="212">
        <f>IF(R236="","",IF(R236&gt;0,MAX(Tabla1[[#This Row],[FECHA C2]:[FECHA C13]],Tabla1[[#This Row],[FECHA CONSULTA PRIMERA VEZ PROGRAMA CPN ]])))</f>
        <v>45156</v>
      </c>
      <c r="DZ236" s="216">
        <f t="shared" si="851"/>
        <v>25</v>
      </c>
      <c r="EA236" s="222">
        <f>IF(R236&gt;0,SUM(COUNTA(DF236:DQ236)+COUNTA(Tabla1[[#This Row],[FECHA CONSULTA PRIMERA VEZ PROGRAMA CPN ]])),"")</f>
        <v>2</v>
      </c>
      <c r="EB236" s="222" t="str">
        <f t="shared" si="852"/>
        <v>NO</v>
      </c>
      <c r="EC236" s="214">
        <f t="shared" si="853"/>
        <v>6</v>
      </c>
      <c r="ED236" s="227">
        <f t="shared" si="854"/>
        <v>0.33333333333333331</v>
      </c>
      <c r="EE236" s="22">
        <v>45125</v>
      </c>
      <c r="EF236" s="22">
        <v>45156</v>
      </c>
      <c r="EG236" s="22">
        <v>45125</v>
      </c>
      <c r="EH236" s="22"/>
      <c r="EI236" s="22">
        <v>45125</v>
      </c>
      <c r="EJ236" s="22"/>
      <c r="EK236" s="22"/>
      <c r="EL236" s="21"/>
      <c r="EM236" s="21">
        <v>12.6</v>
      </c>
      <c r="EN236" s="22">
        <v>45129</v>
      </c>
      <c r="EO236" s="222">
        <f t="shared" si="855"/>
        <v>21.428571428571427</v>
      </c>
      <c r="EP236" s="214" t="str">
        <f t="shared" si="856"/>
        <v>NORMAL- SUMINISTRAR SULFATO FERROSO</v>
      </c>
      <c r="EQ236" s="216" t="str">
        <f t="shared" si="857"/>
        <v>II TRIM</v>
      </c>
      <c r="ER236" s="24">
        <v>63</v>
      </c>
      <c r="ES236" s="22">
        <v>45129</v>
      </c>
      <c r="ET236" s="29">
        <f t="shared" ca="1" si="919"/>
        <v>21.428571428571427</v>
      </c>
      <c r="EU236" s="25" t="str">
        <f t="shared" si="858"/>
        <v/>
      </c>
      <c r="EV236" s="24" t="s">
        <v>1510</v>
      </c>
      <c r="EW236" s="32">
        <v>45129</v>
      </c>
      <c r="EX236" s="22"/>
      <c r="EY236" s="29">
        <f t="shared" si="1040"/>
        <v>21.428571428571427</v>
      </c>
      <c r="EZ236" s="25" t="str">
        <f t="shared" si="1041"/>
        <v>SIN RIESGO DE ISOINMUNIZACIÓN</v>
      </c>
      <c r="FA236" s="21">
        <v>63</v>
      </c>
      <c r="FB236" s="32">
        <v>45129</v>
      </c>
      <c r="FC236" s="29">
        <f t="shared" si="859"/>
        <v>21.428571428571427</v>
      </c>
      <c r="FD236" s="29"/>
      <c r="FE236" s="29"/>
      <c r="FF236" s="29"/>
      <c r="FG236" s="21" t="str">
        <f t="shared" ca="1" si="860"/>
        <v>TOMAR PTOG</v>
      </c>
      <c r="FH236" s="31"/>
      <c r="FI236" s="29" t="str">
        <f t="shared" si="861"/>
        <v>TOMAR EXAMEN</v>
      </c>
      <c r="FJ236" s="22"/>
      <c r="FK236" s="22"/>
      <c r="FL236" s="29" t="str">
        <f t="shared" ca="1" si="862"/>
        <v>NO APLICA-INGRESO TARDIO</v>
      </c>
      <c r="FM236" s="22" t="s">
        <v>867</v>
      </c>
      <c r="FN236" s="22">
        <v>45129</v>
      </c>
      <c r="FO236" s="29">
        <f t="shared" ca="1" si="920"/>
        <v>21.428571428571427</v>
      </c>
      <c r="FP236" s="22"/>
      <c r="FQ236" s="32"/>
      <c r="FR236" s="29" t="str">
        <f t="shared" ca="1" si="921"/>
        <v>TOMA INMEDIATA DE TAMIZAJE</v>
      </c>
      <c r="FS236" s="22"/>
      <c r="FT236" s="32"/>
      <c r="FU236" s="29" t="str">
        <f>IF(AND(FJ236="",FM236="",FP236="",FS236=""),"",IF(OR(OR(Tabla1[[#This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6" s="28"/>
      <c r="FW236" s="22"/>
      <c r="FX236" s="29" t="str">
        <f t="shared" si="863"/>
        <v>TOMAR EXAMEN</v>
      </c>
      <c r="FY236" s="22"/>
      <c r="FZ236" s="22"/>
      <c r="GA236" s="29" t="str">
        <f t="shared" ca="1" si="936"/>
        <v>NO APLICA-INGRESO TARDIO</v>
      </c>
      <c r="GB236" s="22" t="s">
        <v>868</v>
      </c>
      <c r="GC236" s="22">
        <v>45129</v>
      </c>
      <c r="GD236" s="29">
        <f t="shared" ca="1" si="1045"/>
        <v>21.428571428571427</v>
      </c>
      <c r="GE236" s="22"/>
      <c r="GF236" s="22"/>
      <c r="GG236" s="29" t="str">
        <f t="shared" ca="1" si="923"/>
        <v>TOMA INMEDIATA DE TAMIZAJE</v>
      </c>
      <c r="GH236" s="22"/>
      <c r="GI236" s="29"/>
      <c r="GJ236" s="22"/>
      <c r="GK236" s="22"/>
      <c r="GL236" s="22"/>
      <c r="GM236" s="22"/>
      <c r="GN236" s="28" t="s">
        <v>869</v>
      </c>
      <c r="GO236" s="22">
        <v>45129</v>
      </c>
      <c r="GP236" s="29">
        <f t="shared" si="864"/>
        <v>21.428571428571427</v>
      </c>
      <c r="GQ236" s="28" t="s">
        <v>880</v>
      </c>
      <c r="GR236" s="28"/>
      <c r="GS236" s="22" t="str">
        <f t="shared" si="1044"/>
        <v/>
      </c>
      <c r="GT236" s="22">
        <v>45129</v>
      </c>
      <c r="GU236" s="29">
        <f t="shared" si="865"/>
        <v>21.428571428571427</v>
      </c>
      <c r="GV236" s="21" t="str">
        <f t="shared" si="866"/>
        <v>II TRIM</v>
      </c>
      <c r="GW236" s="28"/>
      <c r="GX236" s="30"/>
      <c r="GY236" s="21"/>
      <c r="GZ236" s="21"/>
      <c r="HA236" s="21"/>
      <c r="HB236" s="21"/>
      <c r="HC236" s="21"/>
      <c r="HD236" s="21"/>
      <c r="HE236" s="21"/>
      <c r="HF236" s="22"/>
      <c r="HG236" s="22" t="str">
        <f>IF(OR(O236&gt;0,R236&gt;0),CONCATENATE(IF(Tabla1[[#This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6" s="22" t="e">
        <f t="shared" si="867"/>
        <v>#REF!</v>
      </c>
      <c r="HI236" s="22" t="e">
        <f t="shared" ca="1" si="868"/>
        <v>#REF!</v>
      </c>
      <c r="HJ236" s="21"/>
      <c r="HK236" s="21" t="str">
        <f t="shared" si="869"/>
        <v>SIN ANTECEDENTES DE RIESGO</v>
      </c>
      <c r="HL236" s="24" t="str">
        <f t="shared" si="870"/>
        <v>APARENTEMENTE NORMAL</v>
      </c>
      <c r="HM236" s="21" t="e">
        <f t="shared" ca="1" si="871"/>
        <v>#REF!</v>
      </c>
      <c r="HN236" s="30" t="str">
        <f t="shared" si="924"/>
        <v>ACTIVA INGRESO A CPN</v>
      </c>
      <c r="HO236" s="21"/>
      <c r="HP236" s="21"/>
      <c r="HQ236" s="349"/>
      <c r="HR236" s="21" t="str">
        <f>IF(R236="","",IF(Tabla1[[#This Row],[ALARMA FACTORES DE RIESGO COMPLICACIONES HIPERTENSIVAS3]]="SIN ANTECEDENTES DE RIESGO","No Aplica para suministro de ASA",IF(AND(Tabla1[[#This Row],[FECHA INICIO DE SUMINISTRO DE ASA]]&gt;0,RV236&lt;12),"Inicia ASA ANTES de Sem 12",IF(AND(RV236&gt;11,RV236&lt;17,OR(HK236="RIESGO ALTO DE COMPLICACIONES HIPERTENSIVAS VER MANEJO GUIA SUMINISTRO ASA Y CALCIO",HK236="RIESGO MODERADO (2 O MAS CRITERIOS) VER MANEJO GUIA SUMINISTRO ASA Y CALCIO")),"Inicio oportuno de ASA",IF(AND(RV236&gt;12,OR(HK236="RIESGO ALTO DE COMPLICACIONES HIPERTENSIVAS VER MANEJO GUIA SUMINISTRO ASA Y CALCIO",HK236="RIESGO MODERADO (2 O MAS CRITERIOS) VER MANEJO GUIA SUMINISTRO ASA Y CALCIO")),"Inicio no oportuno mayor a 16 semanas",IF(AND(BU236&lt;12,OR(HK236="RIESGO ALTO DE COMPLICACIONES HIPERTENSIVAS VER MANEJO GUIA SUMINISTRO ASA Y CALCIO",HK236="RIESGO MODERADO (2 O MAS CRITERIOS) VER MANEJO GUIA SUMINISTRO ASA Y CALCIO")),"Pendiente Inicio de ASA a la semana 12",IF(AND(BU236&gt;11,BU236&lt;17,OR(HK236="RIESGO ALTO DE COMPLICACIONES HIPERTENSIVAS VER MANEJO GUIA SUMINISTRO ASA Y CALCIO",HK236="RIESGO MODERADO (2 O MAS CRITERIOS) VER MANEJO GUIA SUMINISTRO ASA Y CALCIO")),"Iniciar de inmediato ASA",IF(AND(BU236&gt;16,OR(HK236="RIESGO ALTO DE COMPLICACIONES HIPERTENSIVAS VER MANEJO GUIA SUMINISTRO ASA Y CALCIO",HK236="RIESGO MODERADO (2 O MAS CRITERIOS) VER MANEJO GUIA SUMINISTRO ASA Y CALCIO")),"Pierde Oportunidad, Inicio tardío de ASA","XXXXX"))))))))</f>
        <v>No Aplica para suministro de ASA</v>
      </c>
      <c r="HS236" s="22">
        <v>45125</v>
      </c>
      <c r="HT236" s="22" t="s">
        <v>1518</v>
      </c>
      <c r="HU236" s="22"/>
      <c r="HV236" s="22"/>
      <c r="HW236" s="22">
        <v>45125</v>
      </c>
      <c r="HX236" s="22" t="s">
        <v>1511</v>
      </c>
      <c r="HY236" s="22"/>
      <c r="HZ236" s="28" t="str">
        <f t="shared" si="872"/>
        <v>PENDIENTE CONSULTA</v>
      </c>
      <c r="IA236" s="26"/>
      <c r="IB236" s="26"/>
      <c r="IC236" s="111"/>
      <c r="ID236" s="22"/>
      <c r="IE236" s="22" t="str">
        <f t="shared" ca="1" si="873"/>
        <v>INASISTENTE</v>
      </c>
      <c r="IF236" s="22"/>
      <c r="IG236" s="22">
        <f t="shared" si="874"/>
        <v>45259</v>
      </c>
      <c r="IH236" s="29">
        <f t="shared" ca="1" si="875"/>
        <v>26</v>
      </c>
      <c r="II236" s="22" t="str">
        <f t="shared" ca="1" si="876"/>
        <v>MENOS DE 4 SEMANAS</v>
      </c>
      <c r="IJ236" s="22"/>
      <c r="IK236" s="21"/>
      <c r="IL236" s="21"/>
      <c r="IM236" s="34"/>
      <c r="IN236" s="22"/>
      <c r="IO236" s="21"/>
      <c r="IP236" s="29" t="str">
        <f t="shared" si="877"/>
        <v/>
      </c>
      <c r="IQ236" s="35"/>
      <c r="IR236" s="21"/>
      <c r="IS236" s="21"/>
      <c r="IT236" s="21"/>
      <c r="IU236" s="21"/>
      <c r="IV236" s="21"/>
      <c r="IW236" s="21"/>
      <c r="IX236" s="21"/>
      <c r="IY236" s="21"/>
      <c r="IZ236" s="21"/>
      <c r="JA236" s="21"/>
      <c r="JB236" s="30"/>
      <c r="JC236" s="21"/>
      <c r="JD236" s="36"/>
      <c r="JE236" s="21" t="str">
        <f t="shared" si="878"/>
        <v/>
      </c>
      <c r="JF236" s="30"/>
      <c r="JG236" s="21"/>
      <c r="JH236" s="21"/>
      <c r="JI236" s="21"/>
      <c r="JJ236" s="30"/>
      <c r="JK236" s="22"/>
      <c r="JL236" s="22"/>
      <c r="JM236" s="21"/>
      <c r="JN236" s="36"/>
      <c r="JO236" s="21" t="str">
        <f t="shared" si="879"/>
        <v/>
      </c>
      <c r="JP236" s="22"/>
      <c r="JQ236" s="21"/>
      <c r="JR236" s="21"/>
      <c r="JS236" s="21"/>
      <c r="JT236" s="30"/>
      <c r="JU236" s="22"/>
      <c r="JV236" s="22"/>
      <c r="JW236" s="33"/>
      <c r="JX236" s="28" t="str">
        <f t="shared" si="880"/>
        <v/>
      </c>
      <c r="JY236" s="33"/>
      <c r="JZ236" s="28" t="str">
        <f t="shared" si="881"/>
        <v/>
      </c>
      <c r="KA236" s="21"/>
      <c r="KB236" s="21"/>
      <c r="KC236" s="21"/>
      <c r="KD236" s="37"/>
      <c r="KE236" s="28"/>
      <c r="KF236" s="28"/>
      <c r="KG236" s="28"/>
      <c r="KH236" s="39"/>
      <c r="KI236" s="39"/>
      <c r="KJ236" s="66"/>
      <c r="KK236" s="39"/>
      <c r="KL236" s="39"/>
      <c r="KM236" s="66"/>
      <c r="KN236" s="39"/>
      <c r="KO236" s="39"/>
      <c r="KP236" s="39"/>
      <c r="KQ236" s="39"/>
      <c r="KR236" s="39"/>
      <c r="KS236" s="39"/>
      <c r="KT236" s="39"/>
      <c r="KU236" s="38"/>
      <c r="KV236" s="38"/>
      <c r="KW236" s="38"/>
      <c r="KX236" s="38"/>
      <c r="KY236" s="38"/>
      <c r="KZ236" s="38"/>
      <c r="LA236" s="38"/>
      <c r="LB236" s="38"/>
      <c r="LC236" s="38"/>
      <c r="LD236" s="38"/>
      <c r="LE236" s="38"/>
      <c r="LF236" s="38"/>
      <c r="LG236" s="38"/>
      <c r="LH236" s="38"/>
      <c r="LI236" s="38"/>
      <c r="LJ236" s="38"/>
      <c r="LK236" s="38"/>
      <c r="LL236" s="38"/>
      <c r="LM236" s="38"/>
      <c r="LN236" s="38"/>
      <c r="LO236" s="38"/>
      <c r="LP236" s="38"/>
      <c r="LQ236" s="38"/>
      <c r="LR236" s="38"/>
      <c r="LS236" s="38"/>
      <c r="LT236" s="38"/>
      <c r="LU236" s="38"/>
      <c r="LV236" s="38"/>
      <c r="LW236" s="38"/>
      <c r="LX236" s="38"/>
      <c r="LY236" s="38"/>
      <c r="LZ236" s="38"/>
      <c r="MA236" s="38"/>
      <c r="MB236" s="38"/>
      <c r="MC236" s="38"/>
      <c r="MD236" s="38"/>
      <c r="ME236" s="38"/>
      <c r="MF236" s="38"/>
      <c r="MG236" s="38"/>
      <c r="MH236" s="43">
        <f t="shared" si="882"/>
        <v>0</v>
      </c>
      <c r="MI236" s="43" t="str">
        <f t="shared" si="926"/>
        <v/>
      </c>
      <c r="MJ236" s="43" t="str">
        <f t="shared" si="884"/>
        <v/>
      </c>
      <c r="MK236" s="43">
        <f t="shared" si="885"/>
        <v>0</v>
      </c>
      <c r="ML23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6" s="43">
        <f t="shared" si="927"/>
        <v>20.857142857142858</v>
      </c>
      <c r="MN236" s="43">
        <f t="shared" si="928"/>
        <v>7</v>
      </c>
      <c r="MO236" s="43">
        <f t="shared" si="929"/>
        <v>2023</v>
      </c>
      <c r="MP236" s="43" t="str">
        <f t="shared" si="889"/>
        <v>III TRIMESTRE AÑO</v>
      </c>
      <c r="MQ236" s="43">
        <f t="shared" si="930"/>
        <v>19.576763031099429</v>
      </c>
      <c r="MR236" s="43">
        <f t="shared" si="891"/>
        <v>0</v>
      </c>
      <c r="MS236" s="43" t="str">
        <f t="shared" si="892"/>
        <v>DE 14 A 19AÑOS</v>
      </c>
      <c r="MT236" s="43">
        <f t="shared" si="893"/>
        <v>0</v>
      </c>
      <c r="MU236" s="43">
        <f t="shared" si="894"/>
        <v>1</v>
      </c>
      <c r="MV236" s="43">
        <f t="shared" si="895"/>
        <v>0</v>
      </c>
      <c r="MW236" s="43">
        <f t="shared" si="896"/>
        <v>0</v>
      </c>
      <c r="MX236" s="43" t="str">
        <f t="shared" si="897"/>
        <v/>
      </c>
      <c r="MY236" s="43" t="str">
        <f t="shared" ca="1" si="898"/>
        <v/>
      </c>
      <c r="MZ236" s="43" t="str">
        <f t="shared" si="899"/>
        <v/>
      </c>
      <c r="NA236" s="43" t="str">
        <f t="shared" si="900"/>
        <v/>
      </c>
      <c r="NB236" s="43" t="str">
        <f t="shared" si="901"/>
        <v/>
      </c>
      <c r="NC236" s="43" t="str">
        <f t="shared" si="902"/>
        <v/>
      </c>
      <c r="ND236" s="43">
        <f t="shared" ca="1" si="931"/>
        <v>1</v>
      </c>
      <c r="NE236" s="43">
        <f>IF(OR(O236&gt;0,R236&gt;0),SUM(COUNTIF(Tabla1[[#This Row],[AÑOS AL INICIO5 CPN]],"&gt;=40"),COUNTIF(AS236,"0"),COUNTIF(AR236,"SI"),COUNTIF(CC236,"SI"),COUNTIF(BQ236,"&gt;119"),COUNTIF(CI236,"&gt;=35")),"")</f>
        <v>1</v>
      </c>
      <c r="NF236" s="43" t="str">
        <f t="shared" si="932"/>
        <v/>
      </c>
      <c r="NG236" s="43">
        <f t="shared" si="905"/>
        <v>0</v>
      </c>
      <c r="NH236" s="43" t="str">
        <f t="shared" si="906"/>
        <v/>
      </c>
      <c r="NI23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CPN",P236="NO"),"Z",IF(AND(Tabla1[[#This Row],[CITA PROXIMO CONTROL]]="CITA MANUAL",Tabla1[[#This Row],[GESTANTES ACTUALES]]="ACTIVA INGRESO A CPN"),"W",IF(AND(Tabla1[[#This Row],[GESTANTES ACTUALES]]="SALIO PROGRAMA",IN236=""),"S",IF(AND(Tabla1[[#This Row],[CITA PROXIMO CONTROL]]&gt;0,IN236=""),(Tabla1[[#This Row],[CITA PROXIMO CONTROL]]-TODAY()),"SD"))))))))</f>
        <v>#REF!</v>
      </c>
      <c r="NJ236" s="43">
        <f>MONTH(Tabla1[[#This Row],[FECHA DE SALIDA  DEL PROGRAMA]])</f>
        <v>1</v>
      </c>
      <c r="NK236" s="43">
        <f>YEAR(Tabla1[[#This Row],[FECHA DE SALIDA  DEL PROGRAMA]])</f>
        <v>1900</v>
      </c>
      <c r="NL236" s="43" t="str">
        <f t="shared" si="933"/>
        <v>X</v>
      </c>
      <c r="NM236" s="43" t="str">
        <f t="shared" si="938"/>
        <v>NO</v>
      </c>
      <c r="NN236" s="43" t="str">
        <f ca="1">IF(AND(O236&gt;0,R236=""),"NO CPN",IF(AND(O236="",R236=""),"",IF(AND(R236&gt;0,Tabla1[[#This Row],[SEMANAS DE GESTACION ACTUALIZADAS]]&lt;=12),"NO APLICA",IF(AND(FH236&lt;&gt;"",FN236&lt;&gt;""),"SI","NO"))))</f>
        <v>NO</v>
      </c>
      <c r="NO236" s="43" t="str">
        <f ca="1">IF(AND(O236&gt;0,R236=""),"NO CPN",IF(AND(O236="",R236=""),"",IF(AND(R236&gt;0,Tabla1[[#This Row],[SEMANAS DE GESTACION ACTUALIZADAS]]&lt;=27),"NO APLICA",IF(AND(ES236&lt;&gt;"",FQ236&lt;&gt;"",GF236&lt;&gt;""),"SI","NO"))))</f>
        <v>NO</v>
      </c>
      <c r="NP236" s="204" t="str">
        <f t="shared" si="909"/>
        <v>II TRIM</v>
      </c>
      <c r="NQ236" s="21" t="str">
        <f t="shared" si="1043"/>
        <v/>
      </c>
      <c r="NR236" s="21">
        <f t="shared" ca="1" si="934"/>
        <v>2</v>
      </c>
      <c r="NS236" s="205">
        <f t="shared" ca="1" si="911"/>
        <v>1</v>
      </c>
      <c r="NT236" s="21">
        <f t="shared" ca="1" si="912"/>
        <v>1</v>
      </c>
      <c r="NU236" s="21" t="str">
        <f t="shared" ca="1" si="913"/>
        <v>INCOMPLETO</v>
      </c>
      <c r="NV236" s="21" t="str">
        <f t="shared" ca="1" si="914"/>
        <v>INCOMPLETO</v>
      </c>
      <c r="NW236" s="206" t="str">
        <f>IF(AND(O236="",R236=""),"",IF(OR(AND(Tabla1[[#This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6" s="207" t="str">
        <f t="shared" ca="1" si="935"/>
        <v>SIN VACUNAR</v>
      </c>
      <c r="NY236" s="43">
        <f>ROW(Tabla1[[#This Row],['# DE TAMIZAJES SIFILIS TOMADOS ]])</f>
        <v>236</v>
      </c>
      <c r="NZ236" s="43">
        <f t="shared" si="939"/>
        <v>20</v>
      </c>
      <c r="OA236" s="43" t="str">
        <f t="shared" si="940"/>
        <v/>
      </c>
      <c r="OB236" s="43" t="str">
        <f t="shared" si="941"/>
        <v/>
      </c>
      <c r="OC236" s="43" t="str">
        <f t="shared" si="942"/>
        <v/>
      </c>
      <c r="OD236" s="43" t="str">
        <f t="shared" si="943"/>
        <v/>
      </c>
      <c r="OE236" s="43" t="str">
        <f t="shared" si="944"/>
        <v/>
      </c>
      <c r="OF236" s="43" t="str">
        <f t="shared" si="945"/>
        <v/>
      </c>
      <c r="OG236" s="43" t="str">
        <f t="shared" si="946"/>
        <v/>
      </c>
      <c r="OH236" s="43" t="str">
        <f t="shared" si="947"/>
        <v/>
      </c>
      <c r="OI236" s="43" t="str">
        <f t="shared" si="948"/>
        <v/>
      </c>
      <c r="OJ236" s="43" t="str">
        <f t="shared" si="949"/>
        <v/>
      </c>
      <c r="OK236" s="43" t="str">
        <f t="shared" si="950"/>
        <v/>
      </c>
      <c r="OL236" s="43" t="str">
        <f t="shared" si="951"/>
        <v>NORMAL</v>
      </c>
      <c r="OM236" s="43" t="str">
        <f t="shared" si="952"/>
        <v/>
      </c>
      <c r="ON236" s="43" t="str">
        <f t="shared" si="953"/>
        <v/>
      </c>
      <c r="OO236" s="43" t="str">
        <f t="shared" si="954"/>
        <v/>
      </c>
      <c r="OP236" s="43" t="str">
        <f t="shared" si="955"/>
        <v/>
      </c>
      <c r="OQ236" s="43" t="str">
        <f t="shared" si="956"/>
        <v/>
      </c>
      <c r="OR236" s="43" t="str">
        <f t="shared" si="957"/>
        <v/>
      </c>
      <c r="OS236" s="43" t="str">
        <f t="shared" si="958"/>
        <v/>
      </c>
      <c r="OT236" s="43" t="str">
        <f t="shared" si="959"/>
        <v/>
      </c>
      <c r="OU236" s="43" t="str">
        <f t="shared" si="960"/>
        <v/>
      </c>
      <c r="OV236" s="110" t="str">
        <f t="shared" si="961"/>
        <v/>
      </c>
      <c r="OW236" s="43" t="str">
        <f t="shared" si="962"/>
        <v/>
      </c>
      <c r="OX236" s="43" t="str">
        <f t="shared" si="963"/>
        <v/>
      </c>
      <c r="OY236" s="43" t="str">
        <f t="shared" si="964"/>
        <v/>
      </c>
      <c r="OZ236" s="43" t="str">
        <f t="shared" si="965"/>
        <v/>
      </c>
      <c r="PA236" s="43" t="str">
        <f t="shared" si="966"/>
        <v/>
      </c>
      <c r="PB236" s="43" t="str">
        <f t="shared" si="967"/>
        <v/>
      </c>
      <c r="PC236" s="43" t="str">
        <f t="shared" si="968"/>
        <v/>
      </c>
      <c r="PD236" s="43" t="str">
        <f t="shared" si="969"/>
        <v/>
      </c>
      <c r="PE236" s="43" t="str">
        <f t="shared" si="970"/>
        <v/>
      </c>
      <c r="PF236" s="43" t="str">
        <f t="shared" si="971"/>
        <v/>
      </c>
      <c r="PG236" s="43" t="str">
        <f t="shared" si="972"/>
        <v/>
      </c>
      <c r="PH236" s="43" t="str">
        <f t="shared" si="973"/>
        <v/>
      </c>
      <c r="PI236" s="43">
        <f t="shared" si="974"/>
        <v>25</v>
      </c>
      <c r="PJ236" s="43" t="str">
        <f t="shared" si="975"/>
        <v/>
      </c>
      <c r="PK236" s="43" t="str">
        <f t="shared" si="976"/>
        <v/>
      </c>
      <c r="PL236" s="43" t="str">
        <f t="shared" si="977"/>
        <v/>
      </c>
      <c r="PM236" s="43" t="str">
        <f t="shared" si="978"/>
        <v/>
      </c>
      <c r="PN236" s="43" t="str">
        <f t="shared" si="979"/>
        <v/>
      </c>
      <c r="PO236" s="43" t="str">
        <f t="shared" si="980"/>
        <v/>
      </c>
      <c r="PP236" s="43" t="str">
        <f t="shared" si="981"/>
        <v/>
      </c>
      <c r="PQ236" s="43" t="str">
        <f t="shared" si="982"/>
        <v/>
      </c>
      <c r="PR236" s="43" t="str">
        <f t="shared" si="983"/>
        <v/>
      </c>
      <c r="PS236" s="43" t="str">
        <f t="shared" si="984"/>
        <v/>
      </c>
      <c r="PT236" s="43" t="str">
        <f t="shared" si="985"/>
        <v/>
      </c>
      <c r="PU236" s="43" t="str">
        <f t="shared" si="986"/>
        <v/>
      </c>
      <c r="PV236" s="43" t="str">
        <f t="shared" si="987"/>
        <v/>
      </c>
      <c r="PW236" s="43" t="str">
        <f t="shared" si="988"/>
        <v/>
      </c>
      <c r="PX236" s="43" t="str">
        <f t="shared" si="989"/>
        <v/>
      </c>
      <c r="PY236" s="43" t="str">
        <f t="shared" si="990"/>
        <v/>
      </c>
      <c r="PZ236" s="43" t="str">
        <f t="shared" si="991"/>
        <v>NORMAL</v>
      </c>
      <c r="QA236" s="43" t="str">
        <f t="shared" si="992"/>
        <v/>
      </c>
      <c r="QB236" s="43" t="str">
        <f t="shared" si="993"/>
        <v/>
      </c>
      <c r="QC236" s="43" t="str">
        <f t="shared" si="994"/>
        <v/>
      </c>
      <c r="QD236" s="43" t="str">
        <f t="shared" si="995"/>
        <v/>
      </c>
      <c r="QE236" s="43" t="str">
        <f t="shared" si="996"/>
        <v/>
      </c>
      <c r="QF236" s="43" t="str">
        <f t="shared" si="997"/>
        <v/>
      </c>
      <c r="QG236" s="43" t="str">
        <f t="shared" si="998"/>
        <v/>
      </c>
      <c r="QH236" s="43" t="str">
        <f t="shared" si="999"/>
        <v/>
      </c>
      <c r="QI236" s="43" t="str">
        <f t="shared" si="1000"/>
        <v/>
      </c>
      <c r="QJ236" s="43" t="str">
        <f t="shared" si="1001"/>
        <v/>
      </c>
      <c r="QK236" s="43" t="str">
        <f t="shared" si="1002"/>
        <v/>
      </c>
      <c r="QL236" s="43" t="str">
        <f t="shared" si="1003"/>
        <v/>
      </c>
      <c r="QM236" s="43" t="str">
        <f t="shared" si="1004"/>
        <v/>
      </c>
      <c r="QN236" s="43" t="str">
        <f t="shared" si="1005"/>
        <v/>
      </c>
      <c r="QO236" s="43" t="str">
        <f t="shared" si="1006"/>
        <v/>
      </c>
      <c r="QP236" s="43" t="str">
        <f t="shared" si="1007"/>
        <v/>
      </c>
      <c r="QQ236" s="43" t="str">
        <f t="shared" si="1008"/>
        <v/>
      </c>
      <c r="QR236" s="43">
        <f t="shared" si="1009"/>
        <v>25</v>
      </c>
      <c r="QS236" s="43"/>
      <c r="QT236" s="21" t="str">
        <f t="shared" si="1010"/>
        <v/>
      </c>
      <c r="QU236" s="21" t="str">
        <f t="shared" si="1011"/>
        <v/>
      </c>
      <c r="QV236" s="21" t="str">
        <f t="shared" si="1012"/>
        <v/>
      </c>
      <c r="QW236" s="21" t="str">
        <f t="shared" si="1013"/>
        <v/>
      </c>
      <c r="QX236" s="21" t="str">
        <f t="shared" si="1014"/>
        <v/>
      </c>
      <c r="QY236" s="21" t="str">
        <f t="shared" si="1015"/>
        <v/>
      </c>
      <c r="QZ236" s="21" t="str">
        <f t="shared" si="1016"/>
        <v/>
      </c>
      <c r="RA236" s="21" t="str">
        <f t="shared" si="1017"/>
        <v/>
      </c>
      <c r="RB236" s="21" t="str">
        <f t="shared" si="1018"/>
        <v/>
      </c>
      <c r="RC236" s="21" t="str">
        <f t="shared" si="1019"/>
        <v/>
      </c>
      <c r="RD236" s="21" t="str">
        <f t="shared" si="1020"/>
        <v/>
      </c>
      <c r="RE236" s="21" t="str">
        <f t="shared" si="1021"/>
        <v/>
      </c>
      <c r="RF236" s="21" t="str">
        <f t="shared" si="1022"/>
        <v>ADECUADO PARA EDAD GESTACIONAL</v>
      </c>
      <c r="RG236" s="21" t="str">
        <f t="shared" si="1023"/>
        <v/>
      </c>
      <c r="RH236" s="21" t="str">
        <f t="shared" si="1024"/>
        <v/>
      </c>
      <c r="RI236" s="21" t="str">
        <f t="shared" si="1025"/>
        <v/>
      </c>
      <c r="RJ236" s="21" t="str">
        <f t="shared" si="1026"/>
        <v/>
      </c>
      <c r="RK236" s="21" t="str">
        <f t="shared" si="1027"/>
        <v/>
      </c>
      <c r="RL236" s="21" t="str">
        <f t="shared" si="1028"/>
        <v/>
      </c>
      <c r="RM236" s="21" t="str">
        <f t="shared" si="1029"/>
        <v/>
      </c>
      <c r="RN236" s="21" t="str">
        <f t="shared" si="1030"/>
        <v/>
      </c>
      <c r="RO236" s="21" t="str">
        <f t="shared" si="1031"/>
        <v/>
      </c>
      <c r="RP236" s="21" t="str">
        <f t="shared" si="1032"/>
        <v/>
      </c>
      <c r="RQ236" s="21" t="str">
        <f t="shared" si="1033"/>
        <v/>
      </c>
      <c r="RR236" s="21" t="str">
        <f t="shared" si="1034"/>
        <v/>
      </c>
      <c r="RS236" s="21" t="str">
        <f t="shared" si="1035"/>
        <v/>
      </c>
      <c r="RT236" s="21" t="str">
        <f t="shared" si="1036"/>
        <v/>
      </c>
      <c r="RU236" s="21" t="str">
        <f t="shared" si="1037"/>
        <v/>
      </c>
      <c r="RV236" s="21">
        <f t="shared" si="1038"/>
        <v>-1</v>
      </c>
      <c r="RW236" s="284">
        <f>IF(OR(Tabla1[[#This Row],[FUM FORMULA CONFIABLE]]="",Tabla1[[#This Row],[FUM FORMULA CONFIABLE]]="SD"),"",IF(Tabla1[[#This Row],[FUM FORMULA CONFIABLE]]="CORREGIDA",Tabla1[[#This Row],[FUM X ECO 1]],Tabla1[[#This Row],[FUM x AMENORREA]]))</f>
        <v>44979</v>
      </c>
      <c r="RX236" s="21" t="str">
        <f>IF(AND(Tabla1[[#This Row],[FUM X ECO 1]]="",Tabla1[[#This Row],[FUM x AMENORREA]]=""),"",IF(AND(Tabla1[[#This Row],[FUM X ECO 1]]="",Tabla1[[#This Row],[FUM x AMENORREA]]&lt;&gt;""),"X",SUM(Tabla1[[#This Row],[FUM X ECO 1]]-Tabla1[[#This Row],[FUM x AMENORREA]])))</f>
        <v>X</v>
      </c>
      <c r="RY236" s="21" t="str">
        <f t="shared" si="1039"/>
        <v>x</v>
      </c>
    </row>
    <row r="237" spans="1:493" ht="45" customHeight="1" x14ac:dyDescent="0.25">
      <c r="A237" s="109"/>
      <c r="B237" s="43"/>
      <c r="C237" s="43" t="s">
        <v>845</v>
      </c>
      <c r="D237" s="124"/>
      <c r="E237" s="43" t="s">
        <v>1249</v>
      </c>
      <c r="F237" s="43" t="s">
        <v>914</v>
      </c>
      <c r="G237" s="43" t="s">
        <v>1659</v>
      </c>
      <c r="H237" s="43"/>
      <c r="I237" s="109" t="s">
        <v>851</v>
      </c>
      <c r="J237" s="110">
        <v>1059597497</v>
      </c>
      <c r="K237" s="43" t="s">
        <v>852</v>
      </c>
      <c r="L237" s="175" t="s">
        <v>1509</v>
      </c>
      <c r="M237" s="22">
        <v>31776</v>
      </c>
      <c r="N237" s="213">
        <f t="shared" ca="1" si="839"/>
        <v>36.868493150684934</v>
      </c>
      <c r="O237" s="22">
        <v>45139</v>
      </c>
      <c r="P237" s="214" t="str">
        <f t="shared" si="916"/>
        <v>SI</v>
      </c>
      <c r="Q237" s="26" t="s">
        <v>855</v>
      </c>
      <c r="R237" s="22">
        <v>45139</v>
      </c>
      <c r="S237" s="21" t="s">
        <v>856</v>
      </c>
      <c r="T237" s="24" t="s">
        <v>690</v>
      </c>
      <c r="U237" s="21" t="s">
        <v>857</v>
      </c>
      <c r="V237" s="21" t="s">
        <v>858</v>
      </c>
      <c r="W237" s="21" t="s">
        <v>999</v>
      </c>
      <c r="X237" s="21" t="s">
        <v>999</v>
      </c>
      <c r="Y237" s="21" t="s">
        <v>999</v>
      </c>
      <c r="Z237" s="21">
        <v>3185789811</v>
      </c>
      <c r="AA237" s="21" t="s">
        <v>860</v>
      </c>
      <c r="AB237" s="27" t="s">
        <v>861</v>
      </c>
      <c r="AC237" s="26" t="s">
        <v>846</v>
      </c>
      <c r="AD237" s="21" t="s">
        <v>1546</v>
      </c>
      <c r="AE237" s="26" t="s">
        <v>854</v>
      </c>
      <c r="AF237" s="26" t="s">
        <v>854</v>
      </c>
      <c r="AG237" s="23" t="s">
        <v>864</v>
      </c>
      <c r="AH237" s="23" t="s">
        <v>864</v>
      </c>
      <c r="AI237" s="24" t="s">
        <v>863</v>
      </c>
      <c r="AJ237" s="23" t="s">
        <v>864</v>
      </c>
      <c r="AK237" s="220" t="str">
        <f>IF(AND(AD237="",AE237="",AF237="",AG237="",AH237="",AI237="",AJ237=""),"",IF(OR(Tabla1[[#This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EVALUACIÓN",IF(AND(O237="",R237=""),"",IF(AND(OR(O237&gt;0,R237&gt;0),NG237&gt;=0,NG237&lt;2),"SIN RIESGO",IF(AND(OR(O237&gt;0,R237&gt;0),NG237&gt;=2),"CON RIESGO","ASD")))))</f>
        <v>SIN RIESGO</v>
      </c>
      <c r="AL237" s="26" t="s">
        <v>864</v>
      </c>
      <c r="AM237" s="26" t="s">
        <v>864</v>
      </c>
      <c r="AN237" s="26" t="s">
        <v>864</v>
      </c>
      <c r="AO237" s="26" t="s">
        <v>864</v>
      </c>
      <c r="AP237" s="26" t="s">
        <v>864</v>
      </c>
      <c r="AQ237" s="26" t="s">
        <v>864</v>
      </c>
      <c r="AR237" s="26" t="s">
        <v>864</v>
      </c>
      <c r="AS237" s="21">
        <v>1</v>
      </c>
      <c r="AT237" s="21">
        <v>1</v>
      </c>
      <c r="AU237" s="21">
        <v>0</v>
      </c>
      <c r="AV237" s="26" t="s">
        <v>864</v>
      </c>
      <c r="AW237" s="21">
        <v>0</v>
      </c>
      <c r="AX237" s="26" t="s">
        <v>864</v>
      </c>
      <c r="AY237" s="26" t="s">
        <v>864</v>
      </c>
      <c r="AZ237" s="26" t="s">
        <v>864</v>
      </c>
      <c r="BA237" s="26" t="s">
        <v>864</v>
      </c>
      <c r="BB237" s="26" t="s">
        <v>864</v>
      </c>
      <c r="BC237" s="26" t="s">
        <v>864</v>
      </c>
      <c r="BD237" s="26" t="s">
        <v>864</v>
      </c>
      <c r="BE237" s="26" t="s">
        <v>864</v>
      </c>
      <c r="BF237" s="26" t="s">
        <v>864</v>
      </c>
      <c r="BG237" s="26" t="s">
        <v>864</v>
      </c>
      <c r="BH237" s="26" t="s">
        <v>864</v>
      </c>
      <c r="BI237" s="26" t="s">
        <v>864</v>
      </c>
      <c r="BJ237" s="26" t="s">
        <v>864</v>
      </c>
      <c r="BK237" s="26" t="s">
        <v>864</v>
      </c>
      <c r="BL237" s="26" t="s">
        <v>864</v>
      </c>
      <c r="BM237" s="26" t="s">
        <v>864</v>
      </c>
      <c r="BN237" s="22"/>
      <c r="BO237" s="22">
        <v>45101</v>
      </c>
      <c r="BP237" s="21" t="s">
        <v>864</v>
      </c>
      <c r="BQ237" s="222">
        <f t="shared" si="840"/>
        <v>0</v>
      </c>
      <c r="BR237" s="223" t="str">
        <f t="shared" si="841"/>
        <v/>
      </c>
      <c r="BS237" s="224">
        <f t="shared" si="842"/>
        <v>5.4285714285714288</v>
      </c>
      <c r="BT237" s="216" t="str">
        <f t="shared" si="843"/>
        <v>DEFINIR CON ECO</v>
      </c>
      <c r="BU237" s="214">
        <f t="shared" ca="1" si="925"/>
        <v>18.857142857142858</v>
      </c>
      <c r="BV237" s="25"/>
      <c r="BW237" s="22"/>
      <c r="BX237" s="28"/>
      <c r="BY237" s="28"/>
      <c r="BZ237" s="22"/>
      <c r="CA237" s="21"/>
      <c r="CB237" s="26"/>
      <c r="CC237" s="26"/>
      <c r="CD237" s="26"/>
      <c r="CE237" s="26"/>
      <c r="CF237" s="22" t="s">
        <v>1517</v>
      </c>
      <c r="CG237" s="21">
        <v>1.52</v>
      </c>
      <c r="CH237" s="21">
        <v>52.6</v>
      </c>
      <c r="CI237" s="214">
        <f t="shared" si="845"/>
        <v>22.766620498614959</v>
      </c>
      <c r="CJ237" s="225" t="str">
        <f>IF(AND(CI237&lt;10,CH237="SD"),"SIN DATO PESO PREGESTACION O I TRIM",IF(AND(OR(R237&gt;0,O237&gt;0),CI237="X"),"INGRESAR DATO DE PESO",IF(CI237="SD","INGRESAR DATO DE TALLA Y PESO",IF(AND(OR(Tabla1[[#This Row],[MOMENTO EN QUE SE REALIZA EL PESO AL INGRESO A CPN]]="PREGESTACIÓN",NZ237="Menor"),CI237&lt;18.5),"BAJO PESO",IF(AND(OR(Tabla1[[#This Row],[MOMENTO EN QUE SE REALIZA EL PESO AL INGRESO A CPN]]="PREGESTACIÓN",NZ237="Menor"),CI237&lt;25),"NORMAL",IF(AND(OR(Tabla1[[#This Row],[MOMENTO EN QUE SE REALIZA EL PESO AL INGRESO A CPN]]="PREGESTACIÓN",NZ237="Menor"),CI237&lt;30),"SOBREPESO",IF(AND(OR(Tabla1[[#This Row],[MOMENTO EN QUE SE REALIZA EL PESO AL INGRESO A CPN]]="PREGESTACIÓN",NZ237="Menor"),CI237&gt;=30,CI237&lt;50),"OBESIDAD",IF(AND(BS237&gt;0,Tabla1[[#This Row],[MOMENTO EN QUE SE REALIZA EL PESO AL INGRESO A CPN]]="GESTACIÓN"),HLOOKUP(NZ237,$OA$2:PH237,NY237),""))))))))</f>
        <v>NORMAL</v>
      </c>
      <c r="CK237" s="212">
        <f t="shared" si="846"/>
        <v>45171</v>
      </c>
      <c r="CL237" s="21">
        <v>52.6</v>
      </c>
      <c r="CM237" s="214">
        <f t="shared" si="847"/>
        <v>22.766620498614959</v>
      </c>
      <c r="CN237" s="216">
        <f t="shared" si="848"/>
        <v>10</v>
      </c>
      <c r="CO237" s="216" t="e">
        <f>IF(PI237="","",IF(PI237&gt;0,HLOOKUP(PI237,$PJ$2:QQ237,NY237),""))</f>
        <v>#REF!</v>
      </c>
      <c r="CP237" s="21"/>
      <c r="CQ237" s="216" t="str">
        <f>IF(QR237="Menor","NO APLICA-MENOR 13 SEM",IF(AND(CC237="SI",CN237&gt;23),"NO APLICA- GEMELAR",IF(QR237="","",IF(QR237&gt;0,HLOOKUP(QR237,$QS$2:RU237,NY237),""))))</f>
        <v>NO APLICA-MENOR 13 SEM</v>
      </c>
      <c r="CR237" s="21">
        <v>90</v>
      </c>
      <c r="CS237" s="21">
        <v>60</v>
      </c>
      <c r="CT237" s="217" t="str">
        <f>IF(R237="","",IF(AND(BS237&gt;1,BS237&lt;12,Tabla1[[#This Row],[T.A. SISTOLICA - ANTES DE SEMANA 12]]="",Tabla1[[#This Row],[T.A. DIASTOLICA - ANTES DE SEMANA 12]]=""),"REGISTRE DATO TA ANTES SEMANA 12",IF(AND(BS237&gt;11,BS237&lt;43,Tabla1[[#This Row],[T.A. SISTOLICA - ANTES DE SEMANA 12]]="",Tabla1[[#This Row],[T.A. DIASTOLICA - ANTES DE SEMANA 12]]=""),"NO APLICA REGISTRO TA-INGRESO TARDIO",IF(AND(OR(O237&gt;0,R237&gt;0),OR(CR237&gt;=140,CS237&gt;=90)),"DEFINIR ESTADIO HTA",IF(AND(OR(O237&gt;0,R237&gt;0),AND(CR237&gt;120,CR237&lt;=139)),"PRE HTA SEGUIMIENTO",IF(AND(OR(O237&gt;0,R237&gt;0),AND(CS237&gt;80,CS237&lt;=89)),"PRE HTA SEGUIMIENTO",IF(AND(OR(O237&gt;0,R237&gt;0),AND(CR237&gt;=80,CR237&lt;=120)),"APARENTEMENTE NORMAL",IF(AND(OR(O237&gt;0,R237&gt;0),AND(CS237&gt;=50,CS237&lt;=80)),"APARENTEMENTE NORMAL",IF(AND(OR(O237&gt;0,R237&gt;0),AND(CR237&gt;1,CR237&lt;=70),AND(CS237&gt;1,CS237&lt;=40)),"HIPOTENSIÓN","")))))))))</f>
        <v>APARENTEMENTE NORMAL</v>
      </c>
      <c r="CU237" s="21"/>
      <c r="CV237" s="21"/>
      <c r="CW237" s="217" t="str">
        <f ca="1">IF(R237="","",IF(AND(CN237&gt;19,CN237&lt;27,Tabla1[[#This Row],[T.A. SISTOLICA (Entre semana 20 y 26)]]="",Tabla1[[#This Row],[T.A. DIATOLICA (Entre semana 20 y 26)]]=""),"ACUDE A CONTROL SEM 20 A 26 REGISTRE TA AHORA",IF(AND(BS237&gt;1,BS237&lt;27,BU237&gt;19,Tabla1[[#This Row],[T.A. SISTOLICA (Entre semana 20 y 26)]]="",Tabla1[[#This Row],[T.A. DIATOLICA (Entre semana 20 y 26)]]=""),"COMPLETE REGISTRO TA CONTROL SEM 20 A26 ",IF(AND(BS237&gt;26,BS237&lt;43,Tabla1[[#This Row],[T.A. SISTOLICA (Entre semana 20 y 26)]]="",Tabla1[[#This Row],[T.A. DIATOLICA (Entre semana 20 y 26)]]=""),"NO APLICA REGISTRO TA-INGRESO TARDIO",IF(AND(OR(O237&gt;0,R237&gt;0),OR(CU237&gt;=140,CV237&gt;=90)),"ALTO RIESGO PREECLAMPSIA,DEFINIR ESTADIO HTA",IF(AND(OR(O237&gt;0,R237&gt;0),AND(CU237&gt;120,CU237&lt;=139)),"PRE HTA SEGUIMIENTO,RIESGO HIPERTENSION INDUCIDA POR EL EMBARAZO",IF(AND(OR(O237&gt;0,R237&gt;0),AND(CV237&gt;80,CV237&lt;=89)),"PRE HTA SEGUIMIENTO, RIESGO HIPERTENSION INDUCIDA POR EL EMBARAZO",IF(AND(OR(O237&lt;&gt;"",R237&lt;&gt;""),CS237&lt;&gt;"",CV237&lt;&gt;"",CS237&lt;=CV237),"VIGILAR CIFRAS PRESION ARTERIAL",IF(AND(OR(O237&gt;0,R237&gt;0),AND(CU237&gt;120,CU237&lt;=139)),"PRE HTA SEGUIMIENTO",IF(AND(OR(O237&gt;0,R237&gt;0),AND(CU237&gt;1,CU237&lt;=70),AND(CV237&gt;1,CV237&lt;=40)),"HIPOTENSIÓN",IF(AND(OR(O237&lt;&gt;"",R237&lt;&gt;""),CS237&lt;&gt;"",CV237&lt;&gt;"",CS237&gt;CV237),"APARENTEMENTE NORMAL",IF(AND(OR(O237&gt;0,R237&gt;0),AND(CU237&gt;=80,CU237&lt;=120)),"APARENTEMENTE NORMAL",IF(AND(OR(O237&gt;0,R237&gt;0),AND(CV237&gt;=50,CV237&lt;=80)),"APARENTEMENTE NORMAL","")))))))))))))</f>
        <v/>
      </c>
      <c r="CX237" s="21"/>
      <c r="CY237" s="21"/>
      <c r="CZ237" s="216" t="str">
        <f t="shared" si="1042"/>
        <v/>
      </c>
      <c r="DA237" s="21">
        <v>90</v>
      </c>
      <c r="DB237" s="21">
        <v>60</v>
      </c>
      <c r="DC237" s="217" t="str">
        <f t="shared" si="849"/>
        <v>APARENTEMENTE NORMAL</v>
      </c>
      <c r="DD237" s="22">
        <v>45139</v>
      </c>
      <c r="DE237" s="22">
        <v>45139</v>
      </c>
      <c r="DF237" s="22">
        <v>45171</v>
      </c>
      <c r="DG237" s="22"/>
      <c r="DH237" s="22"/>
      <c r="DI237" s="22"/>
      <c r="DJ237" s="22"/>
      <c r="DK237" s="22"/>
      <c r="DL237" s="22"/>
      <c r="DM237" s="22"/>
      <c r="DN237" s="22"/>
      <c r="DO237" s="22"/>
      <c r="DP237" s="22"/>
      <c r="DQ237" s="22"/>
      <c r="DR237" s="28"/>
      <c r="DS237" s="22"/>
      <c r="DT237" s="22"/>
      <c r="DU237" s="216" t="str">
        <f t="shared" ca="1" si="917"/>
        <v>EN ESPERA</v>
      </c>
      <c r="DV237" s="226" t="str">
        <f t="shared" si="918"/>
        <v>ACTIVA INGRESO A CPN</v>
      </c>
      <c r="DW23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7" s="216" t="e">
        <f t="shared" ca="1" si="850"/>
        <v>#REF!</v>
      </c>
      <c r="DY237" s="212">
        <f>IF(R237="","",IF(R237&gt;0,MAX(Tabla1[[#This Row],[FECHA C2]:[FECHA C13]],Tabla1[[#This Row],[FECHA CONSULTA PRIMERA VEZ PROGRAMA CPN ]])))</f>
        <v>45171</v>
      </c>
      <c r="DZ237" s="216">
        <f t="shared" si="851"/>
        <v>10</v>
      </c>
      <c r="EA237" s="222">
        <f>IF(R237&gt;0,SUM(COUNTA(DF237:DQ237)+COUNTA(Tabla1[[#This Row],[FECHA CONSULTA PRIMERA VEZ PROGRAMA CPN ]])),"")</f>
        <v>2</v>
      </c>
      <c r="EB237" s="222" t="str">
        <f t="shared" si="852"/>
        <v>NO</v>
      </c>
      <c r="EC237" s="214">
        <f t="shared" si="853"/>
        <v>10</v>
      </c>
      <c r="ED237" s="227">
        <f t="shared" si="854"/>
        <v>0.2</v>
      </c>
      <c r="EE237" s="22">
        <v>45139</v>
      </c>
      <c r="EF237" s="22">
        <v>45154</v>
      </c>
      <c r="EG237" s="22">
        <v>45139</v>
      </c>
      <c r="EH237" s="22"/>
      <c r="EI237" s="22">
        <v>45139</v>
      </c>
      <c r="EJ237" s="22"/>
      <c r="EK237" s="22"/>
      <c r="EL237" s="21"/>
      <c r="EM237" s="21">
        <v>12.8</v>
      </c>
      <c r="EN237" s="22">
        <v>45171</v>
      </c>
      <c r="EO237" s="222">
        <f t="shared" si="855"/>
        <v>10</v>
      </c>
      <c r="EP237" s="214" t="str">
        <f t="shared" si="856"/>
        <v>NORMAL- SUMINISTRAR SULFATO FERROSO</v>
      </c>
      <c r="EQ237" s="216" t="str">
        <f t="shared" si="857"/>
        <v>I TRIM</v>
      </c>
      <c r="ER237" s="24"/>
      <c r="ES237" s="22"/>
      <c r="ET237" s="29" t="str">
        <f t="shared" ca="1" si="919"/>
        <v>EN ESPERA PARA TOMA EXAMEN</v>
      </c>
      <c r="EU237" s="25" t="str">
        <f t="shared" si="858"/>
        <v/>
      </c>
      <c r="EV237" s="24" t="s">
        <v>1510</v>
      </c>
      <c r="EW237" s="32">
        <v>45171</v>
      </c>
      <c r="EX237" s="22"/>
      <c r="EY237" s="29">
        <f t="shared" si="1040"/>
        <v>10</v>
      </c>
      <c r="EZ237" s="25" t="str">
        <f t="shared" si="1041"/>
        <v>SIN RIESGO DE ISOINMUNIZACIÓN</v>
      </c>
      <c r="FA237" s="21">
        <v>66</v>
      </c>
      <c r="FB237" s="22">
        <v>45171</v>
      </c>
      <c r="FC237" s="29">
        <f t="shared" si="859"/>
        <v>10</v>
      </c>
      <c r="FD237" s="29"/>
      <c r="FE237" s="29"/>
      <c r="FF237" s="29"/>
      <c r="FG237" s="21" t="str">
        <f t="shared" ca="1" si="860"/>
        <v/>
      </c>
      <c r="FH237" s="31"/>
      <c r="FI237" s="29" t="str">
        <f t="shared" si="861"/>
        <v>TOMAR EXAMEN</v>
      </c>
      <c r="FJ237" s="22" t="s">
        <v>867</v>
      </c>
      <c r="FK237" s="22">
        <v>45171</v>
      </c>
      <c r="FL237" s="29">
        <f t="shared" ca="1" si="862"/>
        <v>10</v>
      </c>
      <c r="FM237" s="22"/>
      <c r="FN237" s="32"/>
      <c r="FO237" s="29" t="str">
        <f t="shared" ca="1" si="920"/>
        <v>EN RANGO PARA TOMAR EXAMEN</v>
      </c>
      <c r="FP237" s="22"/>
      <c r="FQ237" s="32"/>
      <c r="FR237" s="29" t="str">
        <f t="shared" ca="1" si="921"/>
        <v>EN ESPERA-ESTÁ I TRIM O II TRIM</v>
      </c>
      <c r="FS237" s="22"/>
      <c r="FT237" s="32"/>
      <c r="FU237" s="29" t="str">
        <f>IF(AND(FJ237="",FM237="",FP237="",FS237=""),"",IF(OR(OR(Tabla1[[#This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7" s="28"/>
      <c r="FW237" s="22"/>
      <c r="FX237" s="29" t="str">
        <f t="shared" si="863"/>
        <v>TOMAR EXAMEN</v>
      </c>
      <c r="FY237" s="22" t="s">
        <v>868</v>
      </c>
      <c r="FZ237" s="22">
        <v>45171</v>
      </c>
      <c r="GA237" s="29">
        <f t="shared" ca="1" si="936"/>
        <v>10</v>
      </c>
      <c r="GB237" s="22"/>
      <c r="GC237" s="22"/>
      <c r="GD237" s="29" t="str">
        <f t="shared" ca="1" si="1045"/>
        <v>EN RANGO PARA TOMAR EXAMEN</v>
      </c>
      <c r="GE237" s="22"/>
      <c r="GF237" s="22"/>
      <c r="GG237" s="29" t="str">
        <f t="shared" ca="1" si="923"/>
        <v>EN ESPERA-ESTÁ I TRIM O II TRIM</v>
      </c>
      <c r="GH237" s="22"/>
      <c r="GI237" s="29"/>
      <c r="GJ237" s="22"/>
      <c r="GK237" s="22"/>
      <c r="GL237" s="22"/>
      <c r="GM237" s="22"/>
      <c r="GN237" s="28" t="s">
        <v>869</v>
      </c>
      <c r="GO237" s="22">
        <v>45171</v>
      </c>
      <c r="GP237" s="29">
        <f t="shared" si="864"/>
        <v>10</v>
      </c>
      <c r="GQ237" s="28" t="s">
        <v>869</v>
      </c>
      <c r="GR237" s="28" t="s">
        <v>869</v>
      </c>
      <c r="GS237" s="22" t="str">
        <f t="shared" si="1044"/>
        <v>CONTROL Igm</v>
      </c>
      <c r="GT237" s="22">
        <v>45171</v>
      </c>
      <c r="GU237" s="29">
        <f t="shared" si="865"/>
        <v>10</v>
      </c>
      <c r="GV237" s="21" t="str">
        <f t="shared" si="866"/>
        <v>I TRIM</v>
      </c>
      <c r="GW237" s="28"/>
      <c r="GX237" s="30"/>
      <c r="GY237" s="21"/>
      <c r="GZ237" s="21"/>
      <c r="HA237" s="21"/>
      <c r="HB237" s="21"/>
      <c r="HC237" s="21"/>
      <c r="HD237" s="21"/>
      <c r="HE237" s="21"/>
      <c r="HF237" s="22"/>
      <c r="HG237" s="22" t="str">
        <f>IF(OR(O237&gt;0,R237&gt;0),CONCATENATE(IF(Tabla1[[#This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7" s="22" t="e">
        <f t="shared" si="867"/>
        <v>#REF!</v>
      </c>
      <c r="HI237" s="22" t="e">
        <f t="shared" ca="1" si="868"/>
        <v>#REF!</v>
      </c>
      <c r="HJ237" s="21"/>
      <c r="HK237" s="21" t="str">
        <f t="shared" si="869"/>
        <v>SIN ANTECEDENTES DE RIESGO</v>
      </c>
      <c r="HL237" s="24" t="str">
        <f t="shared" si="870"/>
        <v>APARENTEMENTE NORMAL</v>
      </c>
      <c r="HM237" s="21" t="e">
        <f t="shared" ca="1" si="871"/>
        <v>#REF!</v>
      </c>
      <c r="HN237" s="30" t="str">
        <f t="shared" si="924"/>
        <v>ACTIVA INGRESO A CPN</v>
      </c>
      <c r="HO237" s="21"/>
      <c r="HP237" s="21"/>
      <c r="HQ237" s="349"/>
      <c r="HR237" s="21" t="str">
        <f>IF(R237="","",IF(Tabla1[[#This Row],[ALARMA FACTORES DE RIESGO COMPLICACIONES HIPERTENSIVAS3]]="SIN ANTECEDENTES DE RIESGO","No Aplica para suministro de ASA",IF(AND(Tabla1[[#This Row],[FECHA INICIO DE SUMINISTRO DE ASA]]&gt;0,RV237&lt;12),"Inicia ASA ANTES de Sem 12",IF(AND(RV237&gt;11,RV237&lt;17,OR(HK237="RIESGO ALTO DE COMPLICACIONES HIPERTENSIVAS VER MANEJO GUIA SUMINISTRO ASA Y CALCIO",HK237="RIESGO MODERADO (2 O MAS CRITERIOS) VER MANEJO GUIA SUMINISTRO ASA Y CALCIO")),"Inicio oportuno de ASA",IF(AND(RV237&gt;12,OR(HK237="RIESGO ALTO DE COMPLICACIONES HIPERTENSIVAS VER MANEJO GUIA SUMINISTRO ASA Y CALCIO",HK237="RIESGO MODERADO (2 O MAS CRITERIOS) VER MANEJO GUIA SUMINISTRO ASA Y CALCIO")),"Inicio no oportuno mayor a 16 semanas",IF(AND(BU237&lt;12,OR(HK237="RIESGO ALTO DE COMPLICACIONES HIPERTENSIVAS VER MANEJO GUIA SUMINISTRO ASA Y CALCIO",HK237="RIESGO MODERADO (2 O MAS CRITERIOS) VER MANEJO GUIA SUMINISTRO ASA Y CALCIO")),"Pendiente Inicio de ASA a la semana 12",IF(AND(BU237&gt;11,BU237&lt;17,OR(HK237="RIESGO ALTO DE COMPLICACIONES HIPERTENSIVAS VER MANEJO GUIA SUMINISTRO ASA Y CALCIO",HK237="RIESGO MODERADO (2 O MAS CRITERIOS) VER MANEJO GUIA SUMINISTRO ASA Y CALCIO")),"Iniciar de inmediato ASA",IF(AND(BU237&gt;16,OR(HK237="RIESGO ALTO DE COMPLICACIONES HIPERTENSIVAS VER MANEJO GUIA SUMINISTRO ASA Y CALCIO",HK237="RIESGO MODERADO (2 O MAS CRITERIOS) VER MANEJO GUIA SUMINISTRO ASA Y CALCIO")),"Pierde Oportunidad, Inicio tardío de ASA","XXXXX"))))))))</f>
        <v>No Aplica para suministro de ASA</v>
      </c>
      <c r="HS237" s="22"/>
      <c r="HT237" s="22"/>
      <c r="HU237" s="22"/>
      <c r="HV237" s="22"/>
      <c r="HW237" s="22">
        <v>45139</v>
      </c>
      <c r="HX237" s="22" t="s">
        <v>1511</v>
      </c>
      <c r="HY237" s="22"/>
      <c r="HZ237" s="28" t="str">
        <f t="shared" si="872"/>
        <v>PENDIENTE CONSULTA</v>
      </c>
      <c r="IA237" s="26"/>
      <c r="IB237" s="26"/>
      <c r="IC237" s="111"/>
      <c r="ID237" s="22"/>
      <c r="IE237" s="22" t="str">
        <f t="shared" ca="1" si="873"/>
        <v>EN ESPERA PARA VACUNAR</v>
      </c>
      <c r="IF237" s="22"/>
      <c r="IG237" s="22">
        <f t="shared" si="874"/>
        <v>45381</v>
      </c>
      <c r="IH237" s="29">
        <f t="shared" ca="1" si="875"/>
        <v>148</v>
      </c>
      <c r="II237" s="22" t="str">
        <f t="shared" ca="1" si="876"/>
        <v>PENDIENTE</v>
      </c>
      <c r="IJ237" s="22"/>
      <c r="IK237" s="21"/>
      <c r="IL237" s="21"/>
      <c r="IM237" s="34"/>
      <c r="IN237" s="22"/>
      <c r="IO237" s="21"/>
      <c r="IP237" s="29" t="str">
        <f t="shared" si="877"/>
        <v/>
      </c>
      <c r="IQ237" s="35"/>
      <c r="IR237" s="21"/>
      <c r="IS237" s="21"/>
      <c r="IT237" s="21"/>
      <c r="IU237" s="21"/>
      <c r="IV237" s="21"/>
      <c r="IW237" s="21"/>
      <c r="IX237" s="21"/>
      <c r="IY237" s="21"/>
      <c r="IZ237" s="21"/>
      <c r="JA237" s="21"/>
      <c r="JB237" s="30"/>
      <c r="JC237" s="21"/>
      <c r="JD237" s="36"/>
      <c r="JE237" s="21" t="str">
        <f t="shared" si="878"/>
        <v/>
      </c>
      <c r="JF237" s="30"/>
      <c r="JG237" s="21"/>
      <c r="JH237" s="21"/>
      <c r="JI237" s="21"/>
      <c r="JJ237" s="30"/>
      <c r="JK237" s="22"/>
      <c r="JL237" s="22"/>
      <c r="JM237" s="21"/>
      <c r="JN237" s="36"/>
      <c r="JO237" s="21" t="str">
        <f t="shared" si="879"/>
        <v/>
      </c>
      <c r="JP237" s="22"/>
      <c r="JQ237" s="21"/>
      <c r="JR237" s="21"/>
      <c r="JS237" s="21"/>
      <c r="JT237" s="30"/>
      <c r="JU237" s="22"/>
      <c r="JV237" s="22"/>
      <c r="JW237" s="33"/>
      <c r="JX237" s="28" t="str">
        <f t="shared" si="880"/>
        <v/>
      </c>
      <c r="JY237" s="159"/>
      <c r="JZ237" s="28" t="str">
        <f t="shared" si="881"/>
        <v/>
      </c>
      <c r="KA237" s="21"/>
      <c r="KB237" s="21"/>
      <c r="KC237" s="21"/>
      <c r="KD237" s="37"/>
      <c r="KE237" s="28"/>
      <c r="KF237" s="28"/>
      <c r="KG237" s="28"/>
      <c r="KH237" s="39"/>
      <c r="KI237" s="39"/>
      <c r="KJ237" s="66"/>
      <c r="KK237" s="39"/>
      <c r="KL237" s="39"/>
      <c r="KM237" s="66"/>
      <c r="KN237" s="39"/>
      <c r="KO237" s="39"/>
      <c r="KP237" s="39"/>
      <c r="KQ237" s="39"/>
      <c r="KR237" s="39"/>
      <c r="KS237" s="39"/>
      <c r="KT237" s="39"/>
      <c r="KU237" s="38"/>
      <c r="KV237" s="38"/>
      <c r="KW237" s="38"/>
      <c r="KX237" s="38"/>
      <c r="KY237" s="38"/>
      <c r="KZ237" s="38"/>
      <c r="LA237" s="38"/>
      <c r="LB237" s="38"/>
      <c r="LC237" s="38"/>
      <c r="LD237" s="38"/>
      <c r="LE237" s="38"/>
      <c r="LF237" s="38"/>
      <c r="LG237" s="38"/>
      <c r="LH237" s="38"/>
      <c r="LI237" s="38"/>
      <c r="LJ237" s="38"/>
      <c r="LK237" s="38"/>
      <c r="LL237" s="38"/>
      <c r="LM237" s="38"/>
      <c r="LN237" s="38"/>
      <c r="LO237" s="38"/>
      <c r="LP237" s="38"/>
      <c r="LQ237" s="38"/>
      <c r="LR237" s="38"/>
      <c r="LS237" s="38"/>
      <c r="LT237" s="38"/>
      <c r="LU237" s="38"/>
      <c r="LV237" s="38"/>
      <c r="LW237" s="38"/>
      <c r="LX237" s="38"/>
      <c r="LY237" s="38"/>
      <c r="LZ237" s="38"/>
      <c r="MA237" s="38"/>
      <c r="MB237" s="38"/>
      <c r="MC237" s="38"/>
      <c r="MD237" s="38"/>
      <c r="ME237" s="38"/>
      <c r="MF237" s="38"/>
      <c r="MG237" s="38"/>
      <c r="MH237" s="43">
        <f t="shared" si="882"/>
        <v>0</v>
      </c>
      <c r="MI237" s="43" t="str">
        <f t="shared" si="926"/>
        <v/>
      </c>
      <c r="MJ237" s="43" t="str">
        <f t="shared" si="884"/>
        <v/>
      </c>
      <c r="MK237" s="43">
        <f t="shared" si="885"/>
        <v>0</v>
      </c>
      <c r="ML23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7" s="43">
        <f t="shared" si="927"/>
        <v>5.4285714285714288</v>
      </c>
      <c r="MN237" s="43">
        <f t="shared" si="928"/>
        <v>8</v>
      </c>
      <c r="MO237" s="43">
        <f t="shared" si="929"/>
        <v>2023</v>
      </c>
      <c r="MP237" s="43" t="str">
        <f t="shared" si="889"/>
        <v>III TRIMESTRE AÑO</v>
      </c>
      <c r="MQ237" s="43">
        <f t="shared" si="930"/>
        <v>36.057271134472181</v>
      </c>
      <c r="MR237" s="43">
        <f t="shared" si="891"/>
        <v>2</v>
      </c>
      <c r="MS237" s="43" t="str">
        <f t="shared" si="892"/>
        <v xml:space="preserve"> DE 35 A 39 AÑOS</v>
      </c>
      <c r="MT237" s="43">
        <f t="shared" si="893"/>
        <v>0</v>
      </c>
      <c r="MU237" s="43">
        <f t="shared" si="894"/>
        <v>0</v>
      </c>
      <c r="MV237" s="43">
        <f t="shared" si="895"/>
        <v>0</v>
      </c>
      <c r="MW237" s="43">
        <f t="shared" si="896"/>
        <v>0</v>
      </c>
      <c r="MX237" s="43" t="str">
        <f t="shared" si="897"/>
        <v/>
      </c>
      <c r="MY237" s="43" t="str">
        <f t="shared" ca="1" si="898"/>
        <v/>
      </c>
      <c r="MZ237" s="43" t="str">
        <f t="shared" si="899"/>
        <v/>
      </c>
      <c r="NA237" s="43" t="str">
        <f t="shared" si="900"/>
        <v/>
      </c>
      <c r="NB237" s="43" t="str">
        <f t="shared" si="901"/>
        <v/>
      </c>
      <c r="NC237" s="43" t="str">
        <f t="shared" si="902"/>
        <v/>
      </c>
      <c r="ND237" s="43">
        <f t="shared" ca="1" si="931"/>
        <v>2</v>
      </c>
      <c r="NE237" s="43">
        <f>IF(OR(O237&gt;0,R237&gt;0),SUM(COUNTIF(Tabla1[[#This Row],[AÑOS AL INICIO5 CPN]],"&gt;=40"),COUNTIF(AS237,"0"),COUNTIF(AR237,"SI"),COUNTIF(CC237,"SI"),COUNTIF(BQ237,"&gt;119"),COUNTIF(CI237,"&gt;=35")),"")</f>
        <v>0</v>
      </c>
      <c r="NF237" s="43" t="str">
        <f t="shared" si="932"/>
        <v/>
      </c>
      <c r="NG237" s="43">
        <f t="shared" si="905"/>
        <v>0</v>
      </c>
      <c r="NH237" s="43" t="str">
        <f t="shared" si="906"/>
        <v/>
      </c>
      <c r="NI23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CPN",P237="NO"),"Z",IF(AND(Tabla1[[#This Row],[CITA PROXIMO CONTROL]]="CITA MANUAL",Tabla1[[#This Row],[GESTANTES ACTUALES]]="ACTIVA INGRESO A CPN"),"W",IF(AND(Tabla1[[#This Row],[GESTANTES ACTUALES]]="SALIO PROGRAMA",IN237=""),"S",IF(AND(Tabla1[[#This Row],[CITA PROXIMO CONTROL]]&gt;0,IN237=""),(Tabla1[[#This Row],[CITA PROXIMO CONTROL]]-TODAY()),"SD"))))))))</f>
        <v>#REF!</v>
      </c>
      <c r="NJ237" s="43">
        <f>MONTH(Tabla1[[#This Row],[FECHA DE SALIDA  DEL PROGRAMA]])</f>
        <v>1</v>
      </c>
      <c r="NK237" s="43">
        <f>YEAR(Tabla1[[#This Row],[FECHA DE SALIDA  DEL PROGRAMA]])</f>
        <v>1900</v>
      </c>
      <c r="NL237" s="43" t="str">
        <f t="shared" si="933"/>
        <v>X</v>
      </c>
      <c r="NM237" s="43" t="str">
        <f t="shared" si="938"/>
        <v>NO</v>
      </c>
      <c r="NN237" s="43" t="str">
        <f ca="1">IF(AND(O237&gt;0,R237=""),"NO CPN",IF(AND(O237="",R237=""),"",IF(AND(R237&gt;0,Tabla1[[#This Row],[SEMANAS DE GESTACION ACTUALIZADAS]]&lt;=12),"NO APLICA",IF(AND(FH237&lt;&gt;"",FN237&lt;&gt;""),"SI","NO"))))</f>
        <v>NO</v>
      </c>
      <c r="NO237" s="43" t="str">
        <f ca="1">IF(AND(O237&gt;0,R237=""),"NO CPN",IF(AND(O237="",R237=""),"",IF(AND(R237&gt;0,Tabla1[[#This Row],[SEMANAS DE GESTACION ACTUALIZADAS]]&lt;=27),"NO APLICA",IF(AND(ES237&lt;&gt;"",FQ237&lt;&gt;"",GF237&lt;&gt;""),"SI","NO"))))</f>
        <v>NO APLICA</v>
      </c>
      <c r="NP237" s="204" t="str">
        <f t="shared" si="909"/>
        <v>DEFINIR CON ECO</v>
      </c>
      <c r="NQ237" s="21" t="str">
        <f t="shared" si="1043"/>
        <v/>
      </c>
      <c r="NR237" s="21">
        <f t="shared" ca="1" si="934"/>
        <v>2</v>
      </c>
      <c r="NS237" s="205">
        <f t="shared" ca="1" si="911"/>
        <v>1</v>
      </c>
      <c r="NT237" s="21">
        <f t="shared" ca="1" si="912"/>
        <v>1</v>
      </c>
      <c r="NU237" s="21" t="str">
        <f t="shared" ca="1" si="913"/>
        <v>INCOMPLETO</v>
      </c>
      <c r="NV237" s="21" t="str">
        <f t="shared" ca="1" si="914"/>
        <v>INCOMPLETO</v>
      </c>
      <c r="NW237" s="206" t="str">
        <f>IF(AND(O237="",R237=""),"",IF(OR(AND(Tabla1[[#This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7" s="207" t="str">
        <f t="shared" ca="1" si="935"/>
        <v>SIN VACUNAR</v>
      </c>
      <c r="NY237" s="43">
        <f>ROW(Tabla1[[#This Row],['# DE TAMIZAJES SIFILIS TOMADOS ]])</f>
        <v>237</v>
      </c>
      <c r="NZ237" s="43" t="str">
        <f t="shared" si="939"/>
        <v>Menor</v>
      </c>
      <c r="OA237" s="43" t="str">
        <f t="shared" si="940"/>
        <v>NORMAL</v>
      </c>
      <c r="OB237" s="43" t="str">
        <f t="shared" si="941"/>
        <v/>
      </c>
      <c r="OC237" s="43" t="str">
        <f t="shared" si="942"/>
        <v/>
      </c>
      <c r="OD237" s="43" t="str">
        <f t="shared" si="943"/>
        <v/>
      </c>
      <c r="OE237" s="43" t="str">
        <f t="shared" si="944"/>
        <v/>
      </c>
      <c r="OF237" s="43" t="str">
        <f t="shared" si="945"/>
        <v/>
      </c>
      <c r="OG237" s="43" t="str">
        <f t="shared" si="946"/>
        <v/>
      </c>
      <c r="OH237" s="43" t="str">
        <f t="shared" si="947"/>
        <v/>
      </c>
      <c r="OI237" s="43" t="str">
        <f t="shared" si="948"/>
        <v/>
      </c>
      <c r="OJ237" s="43" t="str">
        <f t="shared" si="949"/>
        <v/>
      </c>
      <c r="OK237" s="43" t="str">
        <f t="shared" si="950"/>
        <v/>
      </c>
      <c r="OL237" s="43" t="str">
        <f t="shared" si="951"/>
        <v/>
      </c>
      <c r="OM237" s="43" t="str">
        <f t="shared" si="952"/>
        <v/>
      </c>
      <c r="ON237" s="43" t="str">
        <f t="shared" si="953"/>
        <v/>
      </c>
      <c r="OO237" s="43" t="str">
        <f t="shared" si="954"/>
        <v/>
      </c>
      <c r="OP237" s="43" t="str">
        <f t="shared" si="955"/>
        <v/>
      </c>
      <c r="OQ237" s="43" t="str">
        <f t="shared" si="956"/>
        <v/>
      </c>
      <c r="OR237" s="43" t="str">
        <f t="shared" si="957"/>
        <v/>
      </c>
      <c r="OS237" s="43" t="str">
        <f t="shared" si="958"/>
        <v/>
      </c>
      <c r="OT237" s="43" t="str">
        <f t="shared" si="959"/>
        <v/>
      </c>
      <c r="OU237" s="43" t="str">
        <f t="shared" si="960"/>
        <v/>
      </c>
      <c r="OV237" s="110" t="str">
        <f t="shared" si="961"/>
        <v/>
      </c>
      <c r="OW237" s="43" t="str">
        <f t="shared" si="962"/>
        <v/>
      </c>
      <c r="OX237" s="43" t="str">
        <f t="shared" si="963"/>
        <v/>
      </c>
      <c r="OY237" s="43" t="str">
        <f t="shared" si="964"/>
        <v/>
      </c>
      <c r="OZ237" s="43" t="str">
        <f t="shared" si="965"/>
        <v/>
      </c>
      <c r="PA237" s="43" t="str">
        <f t="shared" si="966"/>
        <v/>
      </c>
      <c r="PB237" s="43" t="str">
        <f t="shared" si="967"/>
        <v/>
      </c>
      <c r="PC237" s="43" t="str">
        <f t="shared" si="968"/>
        <v/>
      </c>
      <c r="PD237" s="43" t="str">
        <f t="shared" si="969"/>
        <v/>
      </c>
      <c r="PE237" s="43" t="str">
        <f t="shared" si="970"/>
        <v/>
      </c>
      <c r="PF237" s="43" t="str">
        <f t="shared" si="971"/>
        <v/>
      </c>
      <c r="PG237" s="43" t="str">
        <f t="shared" si="972"/>
        <v/>
      </c>
      <c r="PH237" s="43" t="str">
        <f t="shared" si="973"/>
        <v/>
      </c>
      <c r="PI237" s="43">
        <f t="shared" si="974"/>
        <v>10</v>
      </c>
      <c r="PJ237" s="43" t="str">
        <f t="shared" si="975"/>
        <v/>
      </c>
      <c r="PK237" s="43" t="str">
        <f t="shared" si="976"/>
        <v>NORMAL</v>
      </c>
      <c r="PL237" s="43" t="str">
        <f t="shared" si="977"/>
        <v/>
      </c>
      <c r="PM237" s="43" t="str">
        <f t="shared" si="978"/>
        <v/>
      </c>
      <c r="PN237" s="43" t="str">
        <f t="shared" si="979"/>
        <v/>
      </c>
      <c r="PO237" s="43" t="str">
        <f t="shared" si="980"/>
        <v/>
      </c>
      <c r="PP237" s="43" t="str">
        <f t="shared" si="981"/>
        <v/>
      </c>
      <c r="PQ237" s="43" t="str">
        <f t="shared" si="982"/>
        <v/>
      </c>
      <c r="PR237" s="43" t="str">
        <f t="shared" si="983"/>
        <v/>
      </c>
      <c r="PS237" s="43" t="str">
        <f t="shared" si="984"/>
        <v/>
      </c>
      <c r="PT237" s="43" t="str">
        <f t="shared" si="985"/>
        <v/>
      </c>
      <c r="PU237" s="43" t="str">
        <f t="shared" si="986"/>
        <v/>
      </c>
      <c r="PV237" s="43" t="str">
        <f t="shared" si="987"/>
        <v/>
      </c>
      <c r="PW237" s="43" t="str">
        <f t="shared" si="988"/>
        <v/>
      </c>
      <c r="PX237" s="43" t="str">
        <f t="shared" si="989"/>
        <v/>
      </c>
      <c r="PY237" s="43" t="str">
        <f t="shared" si="990"/>
        <v/>
      </c>
      <c r="PZ237" s="43" t="str">
        <f t="shared" si="991"/>
        <v/>
      </c>
      <c r="QA237" s="43" t="str">
        <f t="shared" si="992"/>
        <v/>
      </c>
      <c r="QB237" s="43" t="str">
        <f t="shared" si="993"/>
        <v/>
      </c>
      <c r="QC237" s="43" t="str">
        <f t="shared" si="994"/>
        <v/>
      </c>
      <c r="QD237" s="43" t="str">
        <f t="shared" si="995"/>
        <v/>
      </c>
      <c r="QE237" s="43" t="str">
        <f t="shared" si="996"/>
        <v/>
      </c>
      <c r="QF237" s="43" t="str">
        <f t="shared" si="997"/>
        <v/>
      </c>
      <c r="QG237" s="43" t="str">
        <f t="shared" si="998"/>
        <v/>
      </c>
      <c r="QH237" s="43" t="str">
        <f t="shared" si="999"/>
        <v/>
      </c>
      <c r="QI237" s="43" t="str">
        <f t="shared" si="1000"/>
        <v/>
      </c>
      <c r="QJ237" s="43" t="str">
        <f t="shared" si="1001"/>
        <v/>
      </c>
      <c r="QK237" s="43" t="str">
        <f t="shared" si="1002"/>
        <v/>
      </c>
      <c r="QL237" s="43" t="str">
        <f t="shared" si="1003"/>
        <v/>
      </c>
      <c r="QM237" s="43" t="str">
        <f t="shared" si="1004"/>
        <v/>
      </c>
      <c r="QN237" s="43" t="str">
        <f t="shared" si="1005"/>
        <v/>
      </c>
      <c r="QO237" s="43" t="str">
        <f t="shared" si="1006"/>
        <v/>
      </c>
      <c r="QP237" s="43" t="str">
        <f t="shared" si="1007"/>
        <v/>
      </c>
      <c r="QQ237" s="43" t="str">
        <f t="shared" si="1008"/>
        <v/>
      </c>
      <c r="QR237" s="43" t="str">
        <f t="shared" si="1009"/>
        <v>Menor</v>
      </c>
      <c r="QS237" s="43"/>
      <c r="QT237" s="21" t="str">
        <f t="shared" si="1010"/>
        <v/>
      </c>
      <c r="QU237" s="21" t="str">
        <f t="shared" si="1011"/>
        <v/>
      </c>
      <c r="QV237" s="21" t="str">
        <f t="shared" si="1012"/>
        <v/>
      </c>
      <c r="QW237" s="21" t="str">
        <f t="shared" si="1013"/>
        <v/>
      </c>
      <c r="QX237" s="21" t="str">
        <f t="shared" si="1014"/>
        <v/>
      </c>
      <c r="QY237" s="21" t="str">
        <f t="shared" si="1015"/>
        <v/>
      </c>
      <c r="QZ237" s="21" t="str">
        <f t="shared" si="1016"/>
        <v/>
      </c>
      <c r="RA237" s="21" t="str">
        <f t="shared" si="1017"/>
        <v/>
      </c>
      <c r="RB237" s="21" t="str">
        <f t="shared" si="1018"/>
        <v/>
      </c>
      <c r="RC237" s="21" t="str">
        <f t="shared" si="1019"/>
        <v/>
      </c>
      <c r="RD237" s="21" t="str">
        <f t="shared" si="1020"/>
        <v/>
      </c>
      <c r="RE237" s="21" t="str">
        <f t="shared" si="1021"/>
        <v/>
      </c>
      <c r="RF237" s="21" t="str">
        <f t="shared" si="1022"/>
        <v/>
      </c>
      <c r="RG237" s="21" t="str">
        <f t="shared" si="1023"/>
        <v/>
      </c>
      <c r="RH237" s="21" t="str">
        <f t="shared" si="1024"/>
        <v/>
      </c>
      <c r="RI237" s="21" t="str">
        <f t="shared" si="1025"/>
        <v/>
      </c>
      <c r="RJ237" s="21" t="str">
        <f t="shared" si="1026"/>
        <v/>
      </c>
      <c r="RK237" s="21" t="str">
        <f t="shared" si="1027"/>
        <v/>
      </c>
      <c r="RL237" s="21" t="str">
        <f t="shared" si="1028"/>
        <v/>
      </c>
      <c r="RM237" s="21" t="str">
        <f t="shared" si="1029"/>
        <v/>
      </c>
      <c r="RN237" s="21" t="str">
        <f t="shared" si="1030"/>
        <v/>
      </c>
      <c r="RO237" s="21" t="str">
        <f t="shared" si="1031"/>
        <v/>
      </c>
      <c r="RP237" s="21" t="str">
        <f t="shared" si="1032"/>
        <v/>
      </c>
      <c r="RQ237" s="21" t="str">
        <f t="shared" si="1033"/>
        <v/>
      </c>
      <c r="RR237" s="21" t="str">
        <f t="shared" si="1034"/>
        <v/>
      </c>
      <c r="RS237" s="21" t="str">
        <f t="shared" si="1035"/>
        <v/>
      </c>
      <c r="RT237" s="21" t="str">
        <f t="shared" si="1036"/>
        <v/>
      </c>
      <c r="RU237" s="21" t="str">
        <f t="shared" si="1037"/>
        <v/>
      </c>
      <c r="RV237" s="21">
        <f t="shared" si="1038"/>
        <v>-1</v>
      </c>
      <c r="RW237" s="284">
        <f>IF(OR(Tabla1[[#This Row],[FUM FORMULA CONFIABLE]]="",Tabla1[[#This Row],[FUM FORMULA CONFIABLE]]="SD"),"",IF(Tabla1[[#This Row],[FUM FORMULA CONFIABLE]]="CORREGIDA",Tabla1[[#This Row],[FUM X ECO 1]],Tabla1[[#This Row],[FUM x AMENORREA]]))</f>
        <v>45101</v>
      </c>
      <c r="RX237" s="21" t="str">
        <f>IF(AND(Tabla1[[#This Row],[FUM X ECO 1]]="",Tabla1[[#This Row],[FUM x AMENORREA]]=""),"",IF(AND(Tabla1[[#This Row],[FUM X ECO 1]]="",Tabla1[[#This Row],[FUM x AMENORREA]]&lt;&gt;""),"X",SUM(Tabla1[[#This Row],[FUM X ECO 1]]-Tabla1[[#This Row],[FUM x AMENORREA]])))</f>
        <v>X</v>
      </c>
      <c r="RY237" s="21" t="str">
        <f t="shared" si="1039"/>
        <v>x</v>
      </c>
    </row>
    <row r="238" spans="1:493" ht="45" customHeight="1" x14ac:dyDescent="0.25">
      <c r="A238" s="109"/>
      <c r="B238" s="43"/>
      <c r="C238" s="43" t="s">
        <v>845</v>
      </c>
      <c r="D238" s="124"/>
      <c r="E238" s="43" t="s">
        <v>1439</v>
      </c>
      <c r="F238" s="43" t="s">
        <v>848</v>
      </c>
      <c r="G238" s="43" t="s">
        <v>1437</v>
      </c>
      <c r="H238" s="43"/>
      <c r="I238" s="109" t="s">
        <v>851</v>
      </c>
      <c r="J238" s="110">
        <v>1059595628</v>
      </c>
      <c r="K238" s="43" t="s">
        <v>852</v>
      </c>
      <c r="L238" s="175" t="s">
        <v>1509</v>
      </c>
      <c r="M238" s="22">
        <v>37604</v>
      </c>
      <c r="N238" s="213">
        <f t="shared" ca="1" si="839"/>
        <v>20.901369863013699</v>
      </c>
      <c r="O238" s="22">
        <v>45139</v>
      </c>
      <c r="P238" s="214" t="str">
        <f t="shared" si="916"/>
        <v>SI</v>
      </c>
      <c r="Q238" s="26" t="s">
        <v>855</v>
      </c>
      <c r="R238" s="22">
        <v>45139</v>
      </c>
      <c r="S238" s="21" t="s">
        <v>856</v>
      </c>
      <c r="T238" s="24" t="s">
        <v>690</v>
      </c>
      <c r="U238" s="21" t="s">
        <v>857</v>
      </c>
      <c r="V238" s="21" t="s">
        <v>858</v>
      </c>
      <c r="W238" s="21" t="s">
        <v>920</v>
      </c>
      <c r="X238" s="21" t="s">
        <v>920</v>
      </c>
      <c r="Y238" s="21" t="s">
        <v>920</v>
      </c>
      <c r="Z238" s="21">
        <v>3156698297</v>
      </c>
      <c r="AA238" s="21" t="s">
        <v>860</v>
      </c>
      <c r="AB238" s="27" t="s">
        <v>861</v>
      </c>
      <c r="AC238" s="26" t="s">
        <v>846</v>
      </c>
      <c r="AD238" s="21" t="s">
        <v>1546</v>
      </c>
      <c r="AE238" s="26" t="s">
        <v>854</v>
      </c>
      <c r="AF238" s="26" t="s">
        <v>854</v>
      </c>
      <c r="AG238" s="23" t="s">
        <v>864</v>
      </c>
      <c r="AH238" s="23" t="s">
        <v>864</v>
      </c>
      <c r="AI238" s="24" t="s">
        <v>863</v>
      </c>
      <c r="AJ238" s="23" t="s">
        <v>864</v>
      </c>
      <c r="AK238" s="220" t="str">
        <f>IF(AND(AD238="",AE238="",AF238="",AG238="",AH238="",AI238="",AJ238=""),"",IF(OR(Tabla1[[#This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EVALUACIÓN",IF(AND(O238="",R238=""),"",IF(AND(OR(O238&gt;0,R238&gt;0),NG238&gt;=0,NG238&lt;2),"SIN RIESGO",IF(AND(OR(O238&gt;0,R238&gt;0),NG238&gt;=2),"CON RIESGO","ASD")))))</f>
        <v>SIN RIESGO</v>
      </c>
      <c r="AL238" s="26" t="s">
        <v>864</v>
      </c>
      <c r="AM238" s="26" t="s">
        <v>864</v>
      </c>
      <c r="AN238" s="26" t="s">
        <v>864</v>
      </c>
      <c r="AO238" s="26" t="s">
        <v>864</v>
      </c>
      <c r="AP238" s="26" t="s">
        <v>864</v>
      </c>
      <c r="AQ238" s="26" t="s">
        <v>864</v>
      </c>
      <c r="AR238" s="26" t="s">
        <v>864</v>
      </c>
      <c r="AS238" s="21">
        <v>0</v>
      </c>
      <c r="AT238" s="21">
        <v>0</v>
      </c>
      <c r="AU238" s="21">
        <v>0</v>
      </c>
      <c r="AV238" s="26" t="s">
        <v>864</v>
      </c>
      <c r="AW238" s="21">
        <v>0</v>
      </c>
      <c r="AX238" s="26" t="s">
        <v>864</v>
      </c>
      <c r="AY238" s="26" t="s">
        <v>864</v>
      </c>
      <c r="AZ238" s="26" t="s">
        <v>864</v>
      </c>
      <c r="BA238" s="26" t="s">
        <v>864</v>
      </c>
      <c r="BB238" s="26" t="s">
        <v>864</v>
      </c>
      <c r="BC238" s="26" t="s">
        <v>864</v>
      </c>
      <c r="BD238" s="26" t="s">
        <v>864</v>
      </c>
      <c r="BE238" s="26" t="s">
        <v>864</v>
      </c>
      <c r="BF238" s="26" t="s">
        <v>864</v>
      </c>
      <c r="BG238" s="26" t="s">
        <v>864</v>
      </c>
      <c r="BH238" s="26" t="s">
        <v>864</v>
      </c>
      <c r="BI238" s="26" t="s">
        <v>864</v>
      </c>
      <c r="BJ238" s="26" t="s">
        <v>864</v>
      </c>
      <c r="BK238" s="26" t="s">
        <v>864</v>
      </c>
      <c r="BL238" s="26" t="s">
        <v>864</v>
      </c>
      <c r="BM238" s="26" t="s">
        <v>864</v>
      </c>
      <c r="BN238" s="22"/>
      <c r="BO238" s="22">
        <v>45036</v>
      </c>
      <c r="BP238" s="21" t="s">
        <v>854</v>
      </c>
      <c r="BQ238" s="222">
        <f t="shared" si="840"/>
        <v>0</v>
      </c>
      <c r="BR238" s="223" t="str">
        <f t="shared" si="841"/>
        <v/>
      </c>
      <c r="BS238" s="224">
        <f t="shared" si="842"/>
        <v>14.714285714285714</v>
      </c>
      <c r="BT238" s="216" t="str">
        <f t="shared" si="843"/>
        <v>II TRIM</v>
      </c>
      <c r="BU238" s="214">
        <f t="shared" ca="1" si="925"/>
        <v>28.142857142857142</v>
      </c>
      <c r="BV238" s="25"/>
      <c r="BW238" s="22"/>
      <c r="BX238" s="28"/>
      <c r="BY238" s="28"/>
      <c r="BZ238" s="22"/>
      <c r="CA238" s="21"/>
      <c r="CB238" s="26"/>
      <c r="CC238" s="26"/>
      <c r="CD238" s="26"/>
      <c r="CE238" s="26"/>
      <c r="CF238" s="22" t="s">
        <v>1517</v>
      </c>
      <c r="CG238" s="21">
        <v>1.44</v>
      </c>
      <c r="CH238" s="21">
        <v>48</v>
      </c>
      <c r="CI238" s="214">
        <f t="shared" si="845"/>
        <v>23.148148148148149</v>
      </c>
      <c r="CJ238" s="225" t="e">
        <f>IF(AND(CI238&lt;10,CH238="SD"),"SIN DATO PESO PREGESTACION O I TRIM",IF(AND(OR(R238&gt;0,O238&gt;0),CI238="X"),"INGRESAR DATO DE PESO",IF(CI238="SD","INGRESAR DATO DE TALLA Y PESO",IF(AND(OR(Tabla1[[#This Row],[MOMENTO EN QUE SE REALIZA EL PESO AL INGRESO A CPN]]="PREGESTACIÓN",NZ238="Menor"),CI238&lt;18.5),"BAJO PESO",IF(AND(OR(Tabla1[[#This Row],[MOMENTO EN QUE SE REALIZA EL PESO AL INGRESO A CPN]]="PREGESTACIÓN",NZ238="Menor"),CI238&lt;25),"NORMAL",IF(AND(OR(Tabla1[[#This Row],[MOMENTO EN QUE SE REALIZA EL PESO AL INGRESO A CPN]]="PREGESTACIÓN",NZ238="Menor"),CI238&lt;30),"SOBREPESO",IF(AND(OR(Tabla1[[#This Row],[MOMENTO EN QUE SE REALIZA EL PESO AL INGRESO A CPN]]="PREGESTACIÓN",NZ238="Menor"),CI238&gt;=30,CI238&lt;50),"OBESIDAD",IF(AND(BS238&gt;0,Tabla1[[#This Row],[MOMENTO EN QUE SE REALIZA EL PESO AL INGRESO A CPN]]="GESTACIÓN"),HLOOKUP(NZ238,$OA$2:PH238,NY238),""))))))))</f>
        <v>#REF!</v>
      </c>
      <c r="CK238" s="212">
        <f t="shared" si="846"/>
        <v>45139</v>
      </c>
      <c r="CL238" s="21">
        <v>48</v>
      </c>
      <c r="CM238" s="214">
        <f t="shared" si="847"/>
        <v>23.148148148148149</v>
      </c>
      <c r="CN238" s="216">
        <f t="shared" si="848"/>
        <v>14</v>
      </c>
      <c r="CO238" s="216" t="e">
        <f>IF(PI238="","",IF(PI238&gt;0,HLOOKUP(PI238,$PJ$2:QQ238,NY238),""))</f>
        <v>#REF!</v>
      </c>
      <c r="CP238" s="21">
        <v>14</v>
      </c>
      <c r="CQ238" s="216" t="e">
        <f>IF(QR238="Menor","NO APLICA-MENOR 13 SEM",IF(AND(CC238="SI",CN238&gt;23),"NO APLICA- GEMELAR",IF(QR238="","",IF(QR238&gt;0,HLOOKUP(QR238,$QS$2:RU238,NY238),""))))</f>
        <v>#REF!</v>
      </c>
      <c r="CR238" s="21"/>
      <c r="CS238" s="21"/>
      <c r="CT238" s="217" t="str">
        <f>IF(R238="","",IF(AND(BS238&gt;1,BS238&lt;12,Tabla1[[#This Row],[T.A. SISTOLICA - ANTES DE SEMANA 12]]="",Tabla1[[#This Row],[T.A. DIASTOLICA - ANTES DE SEMANA 12]]=""),"REGISTRE DATO TA ANTES SEMANA 12",IF(AND(BS238&gt;11,BS238&lt;43,Tabla1[[#This Row],[T.A. SISTOLICA - ANTES DE SEMANA 12]]="",Tabla1[[#This Row],[T.A. DIASTOLICA - ANTES DE SEMANA 12]]=""),"NO APLICA REGISTRO TA-INGRESO TARDIO",IF(AND(OR(O238&gt;0,R238&gt;0),OR(CR238&gt;=140,CS238&gt;=90)),"DEFINIR ESTADIO HTA",IF(AND(OR(O238&gt;0,R238&gt;0),AND(CR238&gt;120,CR238&lt;=139)),"PRE HTA SEGUIMIENTO",IF(AND(OR(O238&gt;0,R238&gt;0),AND(CS238&gt;80,CS238&lt;=89)),"PRE HTA SEGUIMIENTO",IF(AND(OR(O238&gt;0,R238&gt;0),AND(CR238&gt;=80,CR238&lt;=120)),"APARENTEMENTE NORMAL",IF(AND(OR(O238&gt;0,R238&gt;0),AND(CS238&gt;=50,CS238&lt;=80)),"APARENTEMENTE NORMAL",IF(AND(OR(O238&gt;0,R238&gt;0),AND(CR238&gt;1,CR238&lt;=70),AND(CS238&gt;1,CS238&lt;=40)),"HIPOTENSIÓN","")))))))))</f>
        <v>NO APLICA REGISTRO TA-INGRESO TARDIO</v>
      </c>
      <c r="CU238" s="21"/>
      <c r="CV238" s="21"/>
      <c r="CW238" s="217" t="str">
        <f ca="1">IF(R238="","",IF(AND(CN238&gt;19,CN238&lt;27,Tabla1[[#This Row],[T.A. SISTOLICA (Entre semana 20 y 26)]]="",Tabla1[[#This Row],[T.A. DIATOLICA (Entre semana 20 y 26)]]=""),"ACUDE A CONTROL SEM 20 A 26 REGISTRE TA AHORA",IF(AND(BS238&gt;1,BS238&lt;27,BU238&gt;19,Tabla1[[#This Row],[T.A. SISTOLICA (Entre semana 20 y 26)]]="",Tabla1[[#This Row],[T.A. DIATOLICA (Entre semana 20 y 26)]]=""),"COMPLETE REGISTRO TA CONTROL SEM 20 A26 ",IF(AND(BS238&gt;26,BS238&lt;43,Tabla1[[#This Row],[T.A. SISTOLICA (Entre semana 20 y 26)]]="",Tabla1[[#This Row],[T.A. DIATOLICA (Entre semana 20 y 26)]]=""),"NO APLICA REGISTRO TA-INGRESO TARDIO",IF(AND(OR(O238&gt;0,R238&gt;0),OR(CU238&gt;=140,CV238&gt;=90)),"ALTO RIESGO PREECLAMPSIA,DEFINIR ESTADIO HTA",IF(AND(OR(O238&gt;0,R238&gt;0),AND(CU238&gt;120,CU238&lt;=139)),"PRE HTA SEGUIMIENTO,RIESGO HIPERTENSION INDUCIDA POR EL EMBARAZO",IF(AND(OR(O238&gt;0,R238&gt;0),AND(CV238&gt;80,CV238&lt;=89)),"PRE HTA SEGUIMIENTO, RIESGO HIPERTENSION INDUCIDA POR EL EMBARAZO",IF(AND(OR(O238&lt;&gt;"",R238&lt;&gt;""),CS238&lt;&gt;"",CV238&lt;&gt;"",CS238&lt;=CV238),"VIGILAR CIFRAS PRESION ARTERIAL",IF(AND(OR(O238&gt;0,R238&gt;0),AND(CU238&gt;120,CU238&lt;=139)),"PRE HTA SEGUIMIENTO",IF(AND(OR(O238&gt;0,R238&gt;0),AND(CU238&gt;1,CU238&lt;=70),AND(CV238&gt;1,CV238&lt;=40)),"HIPOTENSIÓN",IF(AND(OR(O238&lt;&gt;"",R238&lt;&gt;""),CS238&lt;&gt;"",CV238&lt;&gt;"",CS238&gt;CV238),"APARENTEMENTE NORMAL",IF(AND(OR(O238&gt;0,R238&gt;0),AND(CU238&gt;=80,CU238&lt;=120)),"APARENTEMENTE NORMAL",IF(AND(OR(O238&gt;0,R238&gt;0),AND(CV238&gt;=50,CV238&lt;=80)),"APARENTEMENTE NORMAL","")))))))))))))</f>
        <v xml:space="preserve">COMPLETE REGISTRO TA CONTROL SEM 20 A26 </v>
      </c>
      <c r="CX238" s="21"/>
      <c r="CY238" s="21"/>
      <c r="CZ238" s="216" t="str">
        <f t="shared" si="1042"/>
        <v/>
      </c>
      <c r="DA238" s="21">
        <v>100</v>
      </c>
      <c r="DB238" s="21">
        <v>60</v>
      </c>
      <c r="DC238" s="217" t="str">
        <f t="shared" si="849"/>
        <v>APARENTEMENTE NORMAL</v>
      </c>
      <c r="DD238" s="22">
        <v>45139</v>
      </c>
      <c r="DE238" s="22">
        <v>45139</v>
      </c>
      <c r="DF238" s="22"/>
      <c r="DG238" s="22"/>
      <c r="DH238" s="22"/>
      <c r="DI238" s="22"/>
      <c r="DJ238" s="22"/>
      <c r="DK238" s="22"/>
      <c r="DL238" s="22"/>
      <c r="DM238" s="22"/>
      <c r="DN238" s="22"/>
      <c r="DO238" s="22"/>
      <c r="DP238" s="22"/>
      <c r="DQ238" s="22"/>
      <c r="DR238" s="28"/>
      <c r="DS238" s="22"/>
      <c r="DT238" s="22"/>
      <c r="DU238" s="216" t="str">
        <f t="shared" ca="1" si="917"/>
        <v>PLANEAR PLAN DE PARTO</v>
      </c>
      <c r="DV238" s="226" t="str">
        <f t="shared" si="918"/>
        <v>ACTIVA INGRESO A CPN</v>
      </c>
      <c r="DW23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8" s="216" t="e">
        <f t="shared" ca="1" si="850"/>
        <v>#REF!</v>
      </c>
      <c r="DY238" s="212">
        <f>IF(R238="","",IF(R238&gt;0,MAX(Tabla1[[#This Row],[FECHA C2]:[FECHA C13]],Tabla1[[#This Row],[FECHA CONSULTA PRIMERA VEZ PROGRAMA CPN ]])))</f>
        <v>45139</v>
      </c>
      <c r="DZ238" s="216">
        <f t="shared" si="851"/>
        <v>14</v>
      </c>
      <c r="EA238" s="222">
        <f>IF(R238&gt;0,SUM(COUNTA(DF238:DQ238)+COUNTA(Tabla1[[#This Row],[FECHA CONSULTA PRIMERA VEZ PROGRAMA CPN ]])),"")</f>
        <v>1</v>
      </c>
      <c r="EB238" s="222" t="str">
        <f t="shared" si="852"/>
        <v>NO</v>
      </c>
      <c r="EC238" s="214">
        <f t="shared" si="853"/>
        <v>8</v>
      </c>
      <c r="ED238" s="227">
        <f t="shared" si="854"/>
        <v>0.125</v>
      </c>
      <c r="EE238" s="22">
        <v>45139</v>
      </c>
      <c r="EF238" s="22"/>
      <c r="EG238" s="22">
        <v>45139</v>
      </c>
      <c r="EH238" s="22"/>
      <c r="EI238" s="22">
        <v>45139</v>
      </c>
      <c r="EJ238" s="22"/>
      <c r="EK238" s="22"/>
      <c r="EL238" s="21"/>
      <c r="EM238" s="21">
        <v>12.5</v>
      </c>
      <c r="EN238" s="22">
        <v>45143</v>
      </c>
      <c r="EO238" s="222">
        <f t="shared" si="855"/>
        <v>15.285714285714286</v>
      </c>
      <c r="EP238" s="214" t="str">
        <f t="shared" si="856"/>
        <v>NORMAL- SUMINISTRAR SULFATO FERROSO</v>
      </c>
      <c r="EQ238" s="216" t="str">
        <f t="shared" si="857"/>
        <v>II TRIM</v>
      </c>
      <c r="ER238" s="24"/>
      <c r="ES238" s="22"/>
      <c r="ET238" s="29" t="str">
        <f t="shared" ca="1" si="919"/>
        <v>EN SEMANA 28 TOMA INMEDIATA DE EXAMEN</v>
      </c>
      <c r="EU238" s="25" t="str">
        <f t="shared" si="858"/>
        <v/>
      </c>
      <c r="EV238" s="24" t="s">
        <v>1510</v>
      </c>
      <c r="EW238" s="32">
        <v>45143</v>
      </c>
      <c r="EX238" s="22"/>
      <c r="EY238" s="29">
        <f t="shared" si="1040"/>
        <v>15.285714285714286</v>
      </c>
      <c r="EZ238" s="25" t="str">
        <f t="shared" si="1041"/>
        <v>SIN RIESGO DE ISOINMUNIZACIÓN</v>
      </c>
      <c r="FA238" s="21">
        <v>82</v>
      </c>
      <c r="FB238" s="32">
        <v>45143</v>
      </c>
      <c r="FC238" s="29">
        <f t="shared" si="859"/>
        <v>15.285714285714286</v>
      </c>
      <c r="FD238" s="29"/>
      <c r="FE238" s="29"/>
      <c r="FF238" s="29"/>
      <c r="FG238" s="21" t="str">
        <f t="shared" ca="1" si="860"/>
        <v>TOMAR PTOG</v>
      </c>
      <c r="FH238" s="31"/>
      <c r="FI238" s="29" t="str">
        <f t="shared" si="861"/>
        <v>TOMAR EXAMEN</v>
      </c>
      <c r="FJ238" s="22"/>
      <c r="FK238" s="32"/>
      <c r="FL238" s="29" t="str">
        <f t="shared" ca="1" si="862"/>
        <v>NO APLICA-INGRESO TARDIO</v>
      </c>
      <c r="FM238" s="22" t="s">
        <v>867</v>
      </c>
      <c r="FN238" s="32">
        <v>45143</v>
      </c>
      <c r="FO238" s="29">
        <f t="shared" ca="1" si="920"/>
        <v>15.285714285714286</v>
      </c>
      <c r="FP238" s="22"/>
      <c r="FQ238" s="32"/>
      <c r="FR238" s="29" t="str">
        <f t="shared" ca="1" si="921"/>
        <v>EN RANGO PARA TOMAR EXAMEN</v>
      </c>
      <c r="FS238" s="22"/>
      <c r="FT238" s="32"/>
      <c r="FU238" s="29" t="str">
        <f>IF(AND(FJ238="",FM238="",FP238="",FS238=""),"",IF(OR(OR(Tabla1[[#This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8" s="28"/>
      <c r="FW238" s="22"/>
      <c r="FX238" s="29" t="str">
        <f t="shared" si="863"/>
        <v>TOMAR EXAMEN</v>
      </c>
      <c r="FY238" s="22"/>
      <c r="FZ238" s="22"/>
      <c r="GA238" s="29" t="str">
        <f t="shared" ca="1" si="936"/>
        <v>NO APLICA-INGRESO TARDIO</v>
      </c>
      <c r="GB238" s="22" t="s">
        <v>868</v>
      </c>
      <c r="GC238" s="22">
        <v>45143</v>
      </c>
      <c r="GD238" s="29">
        <f t="shared" ca="1" si="1045"/>
        <v>15.285714285714286</v>
      </c>
      <c r="GE238" s="22"/>
      <c r="GF238" s="22"/>
      <c r="GG238" s="29" t="str">
        <f t="shared" ca="1" si="923"/>
        <v>EN RANGO PARA TOMAR EXAMEN</v>
      </c>
      <c r="GH238" s="22"/>
      <c r="GI238" s="29"/>
      <c r="GJ238" s="22"/>
      <c r="GK238" s="22"/>
      <c r="GL238" s="22"/>
      <c r="GM238" s="22"/>
      <c r="GN238" s="28" t="s">
        <v>869</v>
      </c>
      <c r="GO238" s="22">
        <v>45143</v>
      </c>
      <c r="GP238" s="29">
        <f t="shared" si="864"/>
        <v>15.285714285714286</v>
      </c>
      <c r="GQ238" s="28" t="s">
        <v>880</v>
      </c>
      <c r="GR238" s="28" t="s">
        <v>869</v>
      </c>
      <c r="GS238" s="22" t="str">
        <f t="shared" si="1044"/>
        <v>SE EXCLUYE INFECCION</v>
      </c>
      <c r="GT238" s="22">
        <v>45143</v>
      </c>
      <c r="GU238" s="29">
        <f t="shared" si="865"/>
        <v>15.285714285714286</v>
      </c>
      <c r="GV238" s="21" t="str">
        <f t="shared" si="866"/>
        <v>II TRIM</v>
      </c>
      <c r="GW238" s="28"/>
      <c r="GX238" s="30"/>
      <c r="GY238" s="21"/>
      <c r="GZ238" s="21"/>
      <c r="HA238" s="21"/>
      <c r="HB238" s="21"/>
      <c r="HC238" s="21"/>
      <c r="HD238" s="21"/>
      <c r="HE238" s="21"/>
      <c r="HF238" s="22"/>
      <c r="HG238" s="22" t="str">
        <f>IF(OR(O238&gt;0,R238&gt;0),CONCATENATE(IF(Tabla1[[#This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8" s="22" t="e">
        <f t="shared" si="867"/>
        <v>#REF!</v>
      </c>
      <c r="HI238" s="22" t="e">
        <f t="shared" ca="1" si="868"/>
        <v>#REF!</v>
      </c>
      <c r="HJ238" s="21"/>
      <c r="HK238" s="21" t="str">
        <f t="shared" si="869"/>
        <v>SIN ANTECEDENTES DE RIESGO</v>
      </c>
      <c r="HL238" s="24" t="str">
        <f t="shared" si="870"/>
        <v>APARENTEMENTE NORMAL</v>
      </c>
      <c r="HM238" s="21" t="e">
        <f t="shared" ca="1" si="871"/>
        <v>#REF!</v>
      </c>
      <c r="HN238" s="30" t="str">
        <f t="shared" si="924"/>
        <v>ACTIVA INGRESO A CPN</v>
      </c>
      <c r="HO238" s="21"/>
      <c r="HP238" s="21"/>
      <c r="HQ238" s="349"/>
      <c r="HR238" s="21" t="str">
        <f>IF(R238="","",IF(Tabla1[[#This Row],[ALARMA FACTORES DE RIESGO COMPLICACIONES HIPERTENSIVAS3]]="SIN ANTECEDENTES DE RIESGO","No Aplica para suministro de ASA",IF(AND(Tabla1[[#This Row],[FECHA INICIO DE SUMINISTRO DE ASA]]&gt;0,RV238&lt;12),"Inicia ASA ANTES de Sem 12",IF(AND(RV238&gt;11,RV238&lt;17,OR(HK238="RIESGO ALTO DE COMPLICACIONES HIPERTENSIVAS VER MANEJO GUIA SUMINISTRO ASA Y CALCIO",HK238="RIESGO MODERADO (2 O MAS CRITERIOS) VER MANEJO GUIA SUMINISTRO ASA Y CALCIO")),"Inicio oportuno de ASA",IF(AND(RV238&gt;12,OR(HK238="RIESGO ALTO DE COMPLICACIONES HIPERTENSIVAS VER MANEJO GUIA SUMINISTRO ASA Y CALCIO",HK238="RIESGO MODERADO (2 O MAS CRITERIOS) VER MANEJO GUIA SUMINISTRO ASA Y CALCIO")),"Inicio no oportuno mayor a 16 semanas",IF(AND(BU238&lt;12,OR(HK238="RIESGO ALTO DE COMPLICACIONES HIPERTENSIVAS VER MANEJO GUIA SUMINISTRO ASA Y CALCIO",HK238="RIESGO MODERADO (2 O MAS CRITERIOS) VER MANEJO GUIA SUMINISTRO ASA Y CALCIO")),"Pendiente Inicio de ASA a la semana 12",IF(AND(BU238&gt;11,BU238&lt;17,OR(HK238="RIESGO ALTO DE COMPLICACIONES HIPERTENSIVAS VER MANEJO GUIA SUMINISTRO ASA Y CALCIO",HK238="RIESGO MODERADO (2 O MAS CRITERIOS) VER MANEJO GUIA SUMINISTRO ASA Y CALCIO")),"Iniciar de inmediato ASA",IF(AND(BU238&gt;16,OR(HK238="RIESGO ALTO DE COMPLICACIONES HIPERTENSIVAS VER MANEJO GUIA SUMINISTRO ASA Y CALCIO",HK238="RIESGO MODERADO (2 O MAS CRITERIOS) VER MANEJO GUIA SUMINISTRO ASA Y CALCIO")),"Pierde Oportunidad, Inicio tardío de ASA","XXXXX"))))))))</f>
        <v>No Aplica para suministro de ASA</v>
      </c>
      <c r="HS238" s="22">
        <v>45139</v>
      </c>
      <c r="HT238" s="22" t="s">
        <v>1518</v>
      </c>
      <c r="HU238" s="22">
        <v>45139</v>
      </c>
      <c r="HV238" s="22" t="s">
        <v>1523</v>
      </c>
      <c r="HW238" s="22">
        <v>45139</v>
      </c>
      <c r="HX238" s="22" t="s">
        <v>1511</v>
      </c>
      <c r="HY238" s="22"/>
      <c r="HZ238" s="28" t="str">
        <f t="shared" si="872"/>
        <v>PENDIENTE CONSULTA</v>
      </c>
      <c r="IA238" s="26"/>
      <c r="IB238" s="26"/>
      <c r="IC238" s="111"/>
      <c r="ID238" s="22"/>
      <c r="IE238" s="22" t="str">
        <f t="shared" ca="1" si="873"/>
        <v>INASISTENTE</v>
      </c>
      <c r="IF238" s="22"/>
      <c r="IG238" s="22">
        <f t="shared" si="874"/>
        <v>45316</v>
      </c>
      <c r="IH238" s="29">
        <f t="shared" ca="1" si="875"/>
        <v>83</v>
      </c>
      <c r="II238" s="22" t="str">
        <f t="shared" ca="1" si="876"/>
        <v>PENDIENTE</v>
      </c>
      <c r="IJ238" s="22"/>
      <c r="IK238" s="21"/>
      <c r="IL238" s="21"/>
      <c r="IM238" s="34"/>
      <c r="IN238" s="22"/>
      <c r="IO238" s="21"/>
      <c r="IP238" s="29" t="str">
        <f t="shared" si="877"/>
        <v/>
      </c>
      <c r="IQ238" s="35"/>
      <c r="IR238" s="21"/>
      <c r="IS238" s="21"/>
      <c r="IT238" s="21"/>
      <c r="IU238" s="21"/>
      <c r="IV238" s="21"/>
      <c r="IW238" s="21"/>
      <c r="IX238" s="21"/>
      <c r="IY238" s="21"/>
      <c r="IZ238" s="21"/>
      <c r="JA238" s="21"/>
      <c r="JB238" s="30"/>
      <c r="JC238" s="21"/>
      <c r="JD238" s="36"/>
      <c r="JE238" s="21" t="str">
        <f t="shared" si="878"/>
        <v/>
      </c>
      <c r="JF238" s="30"/>
      <c r="JG238" s="21"/>
      <c r="JH238" s="21"/>
      <c r="JI238" s="21"/>
      <c r="JJ238" s="30"/>
      <c r="JK238" s="22"/>
      <c r="JL238" s="22"/>
      <c r="JM238" s="21"/>
      <c r="JN238" s="36"/>
      <c r="JO238" s="21" t="str">
        <f t="shared" si="879"/>
        <v/>
      </c>
      <c r="JP238" s="22"/>
      <c r="JQ238" s="21"/>
      <c r="JR238" s="21"/>
      <c r="JS238" s="21"/>
      <c r="JT238" s="30"/>
      <c r="JU238" s="22"/>
      <c r="JV238" s="22"/>
      <c r="JW238" s="33"/>
      <c r="JX238" s="28" t="str">
        <f t="shared" si="880"/>
        <v/>
      </c>
      <c r="JY238" s="33"/>
      <c r="JZ238" s="28" t="str">
        <f t="shared" si="881"/>
        <v/>
      </c>
      <c r="KA238" s="21"/>
      <c r="KB238" s="21"/>
      <c r="KC238" s="21"/>
      <c r="KD238" s="37"/>
      <c r="KE238" s="28"/>
      <c r="KF238" s="28"/>
      <c r="KG238" s="28"/>
      <c r="KH238" s="39"/>
      <c r="KI238" s="39"/>
      <c r="KJ238" s="66"/>
      <c r="KK238" s="39"/>
      <c r="KL238" s="39"/>
      <c r="KM238" s="66"/>
      <c r="KN238" s="39"/>
      <c r="KO238" s="39"/>
      <c r="KP238" s="39"/>
      <c r="KQ238" s="39"/>
      <c r="KR238" s="39"/>
      <c r="KS238" s="39"/>
      <c r="KT238" s="39"/>
      <c r="KU238" s="38"/>
      <c r="KV238" s="38"/>
      <c r="KW238" s="38"/>
      <c r="KX238" s="38"/>
      <c r="KY238" s="38"/>
      <c r="KZ238" s="38"/>
      <c r="LA238" s="38"/>
      <c r="LB238" s="38"/>
      <c r="LC238" s="38"/>
      <c r="LD238" s="38"/>
      <c r="LE238" s="38"/>
      <c r="LF238" s="38"/>
      <c r="LG238" s="38"/>
      <c r="LH238" s="38"/>
      <c r="LI238" s="38"/>
      <c r="LJ238" s="38"/>
      <c r="LK238" s="38"/>
      <c r="LL238" s="38"/>
      <c r="LM238" s="38"/>
      <c r="LN238" s="38"/>
      <c r="LO238" s="38"/>
      <c r="LP238" s="38"/>
      <c r="LQ238" s="38"/>
      <c r="LR238" s="38"/>
      <c r="LS238" s="38"/>
      <c r="LT238" s="38"/>
      <c r="LU238" s="38"/>
      <c r="LV238" s="38"/>
      <c r="LW238" s="38"/>
      <c r="LX238" s="38"/>
      <c r="LY238" s="38"/>
      <c r="LZ238" s="38"/>
      <c r="MA238" s="38"/>
      <c r="MB238" s="38"/>
      <c r="MC238" s="38"/>
      <c r="MD238" s="38"/>
      <c r="ME238" s="38"/>
      <c r="MF238" s="38"/>
      <c r="MG238" s="38"/>
      <c r="MH238" s="43">
        <f t="shared" si="882"/>
        <v>0</v>
      </c>
      <c r="MI238" s="43" t="str">
        <f t="shared" si="926"/>
        <v/>
      </c>
      <c r="MJ238" s="43" t="str">
        <f t="shared" si="884"/>
        <v/>
      </c>
      <c r="MK238" s="43">
        <f t="shared" si="885"/>
        <v>0</v>
      </c>
      <c r="ML23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8" s="43">
        <f t="shared" si="927"/>
        <v>14.714285714285714</v>
      </c>
      <c r="MN238" s="43">
        <f t="shared" si="928"/>
        <v>8</v>
      </c>
      <c r="MO238" s="43">
        <f t="shared" si="929"/>
        <v>2023</v>
      </c>
      <c r="MP238" s="43" t="str">
        <f t="shared" si="889"/>
        <v>III TRIMESTRE AÑO</v>
      </c>
      <c r="MQ238" s="43">
        <f t="shared" si="930"/>
        <v>20.332347787998248</v>
      </c>
      <c r="MR238" s="43">
        <f t="shared" si="891"/>
        <v>0</v>
      </c>
      <c r="MS238" s="43" t="str">
        <f t="shared" si="892"/>
        <v xml:space="preserve"> DE 20 A 24 AÑOS</v>
      </c>
      <c r="MT238" s="43">
        <f t="shared" si="893"/>
        <v>0</v>
      </c>
      <c r="MU238" s="43">
        <f t="shared" si="894"/>
        <v>1</v>
      </c>
      <c r="MV238" s="43">
        <f t="shared" si="895"/>
        <v>0</v>
      </c>
      <c r="MW238" s="43">
        <f t="shared" si="896"/>
        <v>0</v>
      </c>
      <c r="MX238" s="43" t="str">
        <f t="shared" si="897"/>
        <v/>
      </c>
      <c r="MY238" s="43" t="str">
        <f t="shared" ca="1" si="898"/>
        <v/>
      </c>
      <c r="MZ238" s="43" t="str">
        <f t="shared" si="899"/>
        <v/>
      </c>
      <c r="NA238" s="43" t="str">
        <f t="shared" si="900"/>
        <v/>
      </c>
      <c r="NB238" s="43" t="str">
        <f t="shared" si="901"/>
        <v/>
      </c>
      <c r="NC238" s="43" t="str">
        <f t="shared" si="902"/>
        <v/>
      </c>
      <c r="ND238" s="43">
        <f t="shared" ca="1" si="931"/>
        <v>1</v>
      </c>
      <c r="NE238" s="43">
        <f>IF(OR(O238&gt;0,R238&gt;0),SUM(COUNTIF(Tabla1[[#This Row],[AÑOS AL INICIO5 CPN]],"&gt;=40"),COUNTIF(AS238,"0"),COUNTIF(AR238,"SI"),COUNTIF(CC238,"SI"),COUNTIF(BQ238,"&gt;119"),COUNTIF(CI238,"&gt;=35")),"")</f>
        <v>1</v>
      </c>
      <c r="NF238" s="43" t="str">
        <f t="shared" si="932"/>
        <v/>
      </c>
      <c r="NG238" s="43">
        <f t="shared" si="905"/>
        <v>0</v>
      </c>
      <c r="NH238" s="43" t="str">
        <f t="shared" si="906"/>
        <v/>
      </c>
      <c r="NI23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CPN",P238="NO"),"Z",IF(AND(Tabla1[[#This Row],[CITA PROXIMO CONTROL]]="CITA MANUAL",Tabla1[[#This Row],[GESTANTES ACTUALES]]="ACTIVA INGRESO A CPN"),"W",IF(AND(Tabla1[[#This Row],[GESTANTES ACTUALES]]="SALIO PROGRAMA",IN238=""),"S",IF(AND(Tabla1[[#This Row],[CITA PROXIMO CONTROL]]&gt;0,IN238=""),(Tabla1[[#This Row],[CITA PROXIMO CONTROL]]-TODAY()),"SD"))))))))</f>
        <v>#REF!</v>
      </c>
      <c r="NJ238" s="43">
        <f>MONTH(Tabla1[[#This Row],[FECHA DE SALIDA  DEL PROGRAMA]])</f>
        <v>1</v>
      </c>
      <c r="NK238" s="43">
        <f>YEAR(Tabla1[[#This Row],[FECHA DE SALIDA  DEL PROGRAMA]])</f>
        <v>1900</v>
      </c>
      <c r="NL238" s="43" t="str">
        <f t="shared" si="933"/>
        <v>X</v>
      </c>
      <c r="NM238" s="43" t="str">
        <f t="shared" si="938"/>
        <v>NO</v>
      </c>
      <c r="NN238" s="43" t="str">
        <f ca="1">IF(AND(O238&gt;0,R238=""),"NO CPN",IF(AND(O238="",R238=""),"",IF(AND(R238&gt;0,Tabla1[[#This Row],[SEMANAS DE GESTACION ACTUALIZADAS]]&lt;=12),"NO APLICA",IF(AND(FH238&lt;&gt;"",FN238&lt;&gt;""),"SI","NO"))))</f>
        <v>NO</v>
      </c>
      <c r="NO238" s="43" t="str">
        <f ca="1">IF(AND(O238&gt;0,R238=""),"NO CPN",IF(AND(O238="",R238=""),"",IF(AND(R238&gt;0,Tabla1[[#This Row],[SEMANAS DE GESTACION ACTUALIZADAS]]&lt;=27),"NO APLICA",IF(AND(ES238&lt;&gt;"",FQ238&lt;&gt;"",GF238&lt;&gt;""),"SI","NO"))))</f>
        <v>NO</v>
      </c>
      <c r="NP238" s="204" t="str">
        <f t="shared" si="909"/>
        <v>II TRIM</v>
      </c>
      <c r="NQ238" s="21" t="str">
        <f t="shared" si="1043"/>
        <v/>
      </c>
      <c r="NR238" s="21">
        <f t="shared" ca="1" si="934"/>
        <v>2</v>
      </c>
      <c r="NS238" s="205">
        <f t="shared" ca="1" si="911"/>
        <v>1</v>
      </c>
      <c r="NT238" s="21">
        <f t="shared" ca="1" si="912"/>
        <v>1</v>
      </c>
      <c r="NU238" s="21" t="str">
        <f t="shared" ca="1" si="913"/>
        <v>INCOMPLETO</v>
      </c>
      <c r="NV238" s="21" t="str">
        <f t="shared" ca="1" si="914"/>
        <v>INCOMPLETO</v>
      </c>
      <c r="NW238" s="206" t="str">
        <f>IF(AND(O238="",R238=""),"",IF(OR(AND(Tabla1[[#This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8" s="207" t="str">
        <f t="shared" ca="1" si="935"/>
        <v>SIN VACUNAR</v>
      </c>
      <c r="NY238" s="43">
        <f>ROW(Tabla1[[#This Row],['# DE TAMIZAJES SIFILIS TOMADOS ]])</f>
        <v>238</v>
      </c>
      <c r="NZ238" s="43">
        <f t="shared" si="939"/>
        <v>14</v>
      </c>
      <c r="OA238" s="43" t="str">
        <f t="shared" si="940"/>
        <v/>
      </c>
      <c r="OB238" s="43" t="str">
        <f t="shared" si="941"/>
        <v/>
      </c>
      <c r="OC238" s="43" t="str">
        <f t="shared" si="942"/>
        <v/>
      </c>
      <c r="OD238" s="43" t="str">
        <f t="shared" si="943"/>
        <v/>
      </c>
      <c r="OE238" s="43" t="str">
        <f t="shared" si="944"/>
        <v/>
      </c>
      <c r="OF238" s="43" t="str">
        <f t="shared" si="945"/>
        <v>NORMAL</v>
      </c>
      <c r="OG238" s="43" t="str">
        <f t="shared" si="946"/>
        <v/>
      </c>
      <c r="OH238" s="43" t="str">
        <f t="shared" si="947"/>
        <v/>
      </c>
      <c r="OI238" s="43" t="str">
        <f t="shared" si="948"/>
        <v/>
      </c>
      <c r="OJ238" s="43" t="str">
        <f t="shared" si="949"/>
        <v/>
      </c>
      <c r="OK238" s="43" t="str">
        <f t="shared" si="950"/>
        <v/>
      </c>
      <c r="OL238" s="43" t="str">
        <f t="shared" si="951"/>
        <v/>
      </c>
      <c r="OM238" s="43" t="str">
        <f t="shared" si="952"/>
        <v/>
      </c>
      <c r="ON238" s="43" t="str">
        <f t="shared" si="953"/>
        <v/>
      </c>
      <c r="OO238" s="43" t="str">
        <f t="shared" si="954"/>
        <v/>
      </c>
      <c r="OP238" s="43" t="str">
        <f t="shared" si="955"/>
        <v/>
      </c>
      <c r="OQ238" s="43" t="str">
        <f t="shared" si="956"/>
        <v/>
      </c>
      <c r="OR238" s="43" t="str">
        <f t="shared" si="957"/>
        <v/>
      </c>
      <c r="OS238" s="43" t="str">
        <f t="shared" si="958"/>
        <v/>
      </c>
      <c r="OT238" s="43" t="str">
        <f t="shared" si="959"/>
        <v/>
      </c>
      <c r="OU238" s="43" t="str">
        <f t="shared" si="960"/>
        <v/>
      </c>
      <c r="OV238" s="110" t="str">
        <f t="shared" si="961"/>
        <v/>
      </c>
      <c r="OW238" s="43" t="str">
        <f t="shared" si="962"/>
        <v/>
      </c>
      <c r="OX238" s="43" t="str">
        <f t="shared" si="963"/>
        <v/>
      </c>
      <c r="OY238" s="43" t="str">
        <f t="shared" si="964"/>
        <v/>
      </c>
      <c r="OZ238" s="43" t="str">
        <f t="shared" si="965"/>
        <v/>
      </c>
      <c r="PA238" s="43" t="str">
        <f t="shared" si="966"/>
        <v/>
      </c>
      <c r="PB238" s="43" t="str">
        <f t="shared" si="967"/>
        <v/>
      </c>
      <c r="PC238" s="43" t="str">
        <f t="shared" si="968"/>
        <v/>
      </c>
      <c r="PD238" s="43" t="str">
        <f t="shared" si="969"/>
        <v/>
      </c>
      <c r="PE238" s="43" t="str">
        <f t="shared" si="970"/>
        <v/>
      </c>
      <c r="PF238" s="43" t="str">
        <f t="shared" si="971"/>
        <v/>
      </c>
      <c r="PG238" s="43" t="str">
        <f t="shared" si="972"/>
        <v/>
      </c>
      <c r="PH238" s="43" t="str">
        <f t="shared" si="973"/>
        <v/>
      </c>
      <c r="PI238" s="43">
        <f t="shared" si="974"/>
        <v>14</v>
      </c>
      <c r="PJ238" s="43" t="str">
        <f t="shared" si="975"/>
        <v/>
      </c>
      <c r="PK238" s="43" t="str">
        <f t="shared" si="976"/>
        <v/>
      </c>
      <c r="PL238" s="43" t="str">
        <f t="shared" si="977"/>
        <v/>
      </c>
      <c r="PM238" s="43" t="str">
        <f t="shared" si="978"/>
        <v/>
      </c>
      <c r="PN238" s="43" t="str">
        <f t="shared" si="979"/>
        <v/>
      </c>
      <c r="PO238" s="43" t="str">
        <f t="shared" si="980"/>
        <v>NORMAL</v>
      </c>
      <c r="PP238" s="43" t="str">
        <f t="shared" si="981"/>
        <v/>
      </c>
      <c r="PQ238" s="43" t="str">
        <f t="shared" si="982"/>
        <v/>
      </c>
      <c r="PR238" s="43" t="str">
        <f t="shared" si="983"/>
        <v/>
      </c>
      <c r="PS238" s="43" t="str">
        <f t="shared" si="984"/>
        <v/>
      </c>
      <c r="PT238" s="43" t="str">
        <f t="shared" si="985"/>
        <v/>
      </c>
      <c r="PU238" s="43" t="str">
        <f t="shared" si="986"/>
        <v/>
      </c>
      <c r="PV238" s="43" t="str">
        <f t="shared" si="987"/>
        <v/>
      </c>
      <c r="PW238" s="43" t="str">
        <f t="shared" si="988"/>
        <v/>
      </c>
      <c r="PX238" s="43" t="str">
        <f t="shared" si="989"/>
        <v/>
      </c>
      <c r="PY238" s="43" t="str">
        <f t="shared" si="990"/>
        <v/>
      </c>
      <c r="PZ238" s="43" t="str">
        <f t="shared" si="991"/>
        <v/>
      </c>
      <c r="QA238" s="43" t="str">
        <f t="shared" si="992"/>
        <v/>
      </c>
      <c r="QB238" s="43" t="str">
        <f t="shared" si="993"/>
        <v/>
      </c>
      <c r="QC238" s="43" t="str">
        <f t="shared" si="994"/>
        <v/>
      </c>
      <c r="QD238" s="43" t="str">
        <f t="shared" si="995"/>
        <v/>
      </c>
      <c r="QE238" s="43" t="str">
        <f t="shared" si="996"/>
        <v/>
      </c>
      <c r="QF238" s="43" t="str">
        <f t="shared" si="997"/>
        <v/>
      </c>
      <c r="QG238" s="43" t="str">
        <f t="shared" si="998"/>
        <v/>
      </c>
      <c r="QH238" s="43" t="str">
        <f t="shared" si="999"/>
        <v/>
      </c>
      <c r="QI238" s="43" t="str">
        <f t="shared" si="1000"/>
        <v/>
      </c>
      <c r="QJ238" s="43" t="str">
        <f t="shared" si="1001"/>
        <v/>
      </c>
      <c r="QK238" s="43" t="str">
        <f t="shared" si="1002"/>
        <v/>
      </c>
      <c r="QL238" s="43" t="str">
        <f t="shared" si="1003"/>
        <v/>
      </c>
      <c r="QM238" s="43" t="str">
        <f t="shared" si="1004"/>
        <v/>
      </c>
      <c r="QN238" s="43" t="str">
        <f t="shared" si="1005"/>
        <v/>
      </c>
      <c r="QO238" s="43" t="str">
        <f t="shared" si="1006"/>
        <v/>
      </c>
      <c r="QP238" s="43" t="str">
        <f t="shared" si="1007"/>
        <v/>
      </c>
      <c r="QQ238" s="43" t="str">
        <f t="shared" si="1008"/>
        <v/>
      </c>
      <c r="QR238" s="43">
        <f t="shared" si="1009"/>
        <v>14</v>
      </c>
      <c r="QS238" s="43"/>
      <c r="QT238" s="21" t="str">
        <f t="shared" si="1010"/>
        <v/>
      </c>
      <c r="QU238" s="21" t="str">
        <f t="shared" si="1011"/>
        <v>ADECUADO PARA EDAD GESTACIONAL</v>
      </c>
      <c r="QV238" s="21" t="str">
        <f t="shared" si="1012"/>
        <v/>
      </c>
      <c r="QW238" s="21" t="str">
        <f t="shared" si="1013"/>
        <v/>
      </c>
      <c r="QX238" s="21" t="str">
        <f t="shared" si="1014"/>
        <v/>
      </c>
      <c r="QY238" s="21" t="str">
        <f t="shared" si="1015"/>
        <v/>
      </c>
      <c r="QZ238" s="21" t="str">
        <f t="shared" si="1016"/>
        <v/>
      </c>
      <c r="RA238" s="21" t="str">
        <f t="shared" si="1017"/>
        <v/>
      </c>
      <c r="RB238" s="21" t="str">
        <f t="shared" si="1018"/>
        <v/>
      </c>
      <c r="RC238" s="21" t="str">
        <f t="shared" si="1019"/>
        <v/>
      </c>
      <c r="RD238" s="21" t="str">
        <f t="shared" si="1020"/>
        <v/>
      </c>
      <c r="RE238" s="21" t="str">
        <f t="shared" si="1021"/>
        <v/>
      </c>
      <c r="RF238" s="21" t="str">
        <f t="shared" si="1022"/>
        <v/>
      </c>
      <c r="RG238" s="21" t="str">
        <f t="shared" si="1023"/>
        <v/>
      </c>
      <c r="RH238" s="21" t="str">
        <f t="shared" si="1024"/>
        <v/>
      </c>
      <c r="RI238" s="21" t="str">
        <f t="shared" si="1025"/>
        <v/>
      </c>
      <c r="RJ238" s="21" t="str">
        <f t="shared" si="1026"/>
        <v/>
      </c>
      <c r="RK238" s="21" t="str">
        <f t="shared" si="1027"/>
        <v/>
      </c>
      <c r="RL238" s="21" t="str">
        <f t="shared" si="1028"/>
        <v/>
      </c>
      <c r="RM238" s="21" t="str">
        <f t="shared" si="1029"/>
        <v/>
      </c>
      <c r="RN238" s="21" t="str">
        <f t="shared" si="1030"/>
        <v/>
      </c>
      <c r="RO238" s="21" t="str">
        <f t="shared" si="1031"/>
        <v/>
      </c>
      <c r="RP238" s="21" t="str">
        <f t="shared" si="1032"/>
        <v/>
      </c>
      <c r="RQ238" s="21" t="str">
        <f t="shared" si="1033"/>
        <v/>
      </c>
      <c r="RR238" s="21" t="str">
        <f t="shared" si="1034"/>
        <v/>
      </c>
      <c r="RS238" s="21" t="str">
        <f t="shared" si="1035"/>
        <v/>
      </c>
      <c r="RT238" s="21" t="str">
        <f t="shared" si="1036"/>
        <v/>
      </c>
      <c r="RU238" s="21" t="str">
        <f t="shared" si="1037"/>
        <v/>
      </c>
      <c r="RV238" s="21">
        <f t="shared" si="1038"/>
        <v>-1</v>
      </c>
      <c r="RW238" s="284">
        <f>IF(OR(Tabla1[[#This Row],[FUM FORMULA CONFIABLE]]="",Tabla1[[#This Row],[FUM FORMULA CONFIABLE]]="SD"),"",IF(Tabla1[[#This Row],[FUM FORMULA CONFIABLE]]="CORREGIDA",Tabla1[[#This Row],[FUM X ECO 1]],Tabla1[[#This Row],[FUM x AMENORREA]]))</f>
        <v>45036</v>
      </c>
      <c r="RX238" s="21" t="str">
        <f>IF(AND(Tabla1[[#This Row],[FUM X ECO 1]]="",Tabla1[[#This Row],[FUM x AMENORREA]]=""),"",IF(AND(Tabla1[[#This Row],[FUM X ECO 1]]="",Tabla1[[#This Row],[FUM x AMENORREA]]&lt;&gt;""),"X",SUM(Tabla1[[#This Row],[FUM X ECO 1]]-Tabla1[[#This Row],[FUM x AMENORREA]])))</f>
        <v>X</v>
      </c>
      <c r="RY238" s="21" t="str">
        <f t="shared" si="1039"/>
        <v>x</v>
      </c>
    </row>
    <row r="239" spans="1:493" ht="45" customHeight="1" x14ac:dyDescent="0.25">
      <c r="A239" s="109"/>
      <c r="B239" s="43"/>
      <c r="C239" s="43" t="s">
        <v>845</v>
      </c>
      <c r="D239" s="124"/>
      <c r="E239" s="43" t="s">
        <v>953</v>
      </c>
      <c r="F239" s="43" t="s">
        <v>1660</v>
      </c>
      <c r="G239" s="43" t="s">
        <v>1217</v>
      </c>
      <c r="H239" s="43" t="s">
        <v>1661</v>
      </c>
      <c r="I239" s="109" t="s">
        <v>851</v>
      </c>
      <c r="J239" s="110">
        <v>1002848134</v>
      </c>
      <c r="K239" s="43" t="s">
        <v>852</v>
      </c>
      <c r="L239" s="175" t="s">
        <v>1509</v>
      </c>
      <c r="M239" s="22">
        <v>37788</v>
      </c>
      <c r="N239" s="213">
        <f t="shared" ca="1" si="839"/>
        <v>20.397260273972602</v>
      </c>
      <c r="O239" s="22">
        <v>45140</v>
      </c>
      <c r="P239" s="214" t="str">
        <f t="shared" si="916"/>
        <v>SI</v>
      </c>
      <c r="Q239" s="26" t="s">
        <v>855</v>
      </c>
      <c r="R239" s="22">
        <v>45140</v>
      </c>
      <c r="S239" s="21" t="s">
        <v>856</v>
      </c>
      <c r="T239" s="24" t="s">
        <v>690</v>
      </c>
      <c r="U239" s="21" t="s">
        <v>857</v>
      </c>
      <c r="V239" s="21" t="s">
        <v>858</v>
      </c>
      <c r="W239" s="21" t="s">
        <v>1200</v>
      </c>
      <c r="X239" s="21" t="s">
        <v>1200</v>
      </c>
      <c r="Y239" s="21" t="s">
        <v>1200</v>
      </c>
      <c r="Z239" s="21">
        <v>3216959370</v>
      </c>
      <c r="AA239" s="21" t="s">
        <v>860</v>
      </c>
      <c r="AB239" s="27" t="s">
        <v>861</v>
      </c>
      <c r="AC239" s="26" t="s">
        <v>846</v>
      </c>
      <c r="AD239" s="21" t="s">
        <v>1546</v>
      </c>
      <c r="AE239" s="26" t="s">
        <v>854</v>
      </c>
      <c r="AF239" s="26" t="s">
        <v>854</v>
      </c>
      <c r="AG239" s="23" t="s">
        <v>864</v>
      </c>
      <c r="AH239" s="23" t="s">
        <v>864</v>
      </c>
      <c r="AI239" s="24" t="s">
        <v>863</v>
      </c>
      <c r="AJ239" s="23" t="s">
        <v>864</v>
      </c>
      <c r="AK239" s="220" t="str">
        <f>IF(AND(AD239="",AE239="",AF239="",AG239="",AH239="",AI239="",AJ239=""),"",IF(OR(Tabla1[[#This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EVALUACIÓN",IF(AND(O239="",R239=""),"",IF(AND(OR(O239&gt;0,R239&gt;0),NG239&gt;=0,NG239&lt;2),"SIN RIESGO",IF(AND(OR(O239&gt;0,R239&gt;0),NG239&gt;=2),"CON RIESGO","ASD")))))</f>
        <v>SIN RIESGO</v>
      </c>
      <c r="AL239" s="26" t="s">
        <v>864</v>
      </c>
      <c r="AM239" s="26" t="s">
        <v>864</v>
      </c>
      <c r="AN239" s="26" t="s">
        <v>864</v>
      </c>
      <c r="AO239" s="26" t="s">
        <v>864</v>
      </c>
      <c r="AP239" s="26" t="s">
        <v>864</v>
      </c>
      <c r="AQ239" s="26" t="s">
        <v>864</v>
      </c>
      <c r="AR239" s="26" t="s">
        <v>864</v>
      </c>
      <c r="AS239" s="21">
        <v>1</v>
      </c>
      <c r="AT239" s="21">
        <v>1</v>
      </c>
      <c r="AU239" s="21">
        <v>0</v>
      </c>
      <c r="AV239" s="26" t="s">
        <v>864</v>
      </c>
      <c r="AW239" s="21">
        <v>0</v>
      </c>
      <c r="AX239" s="26" t="s">
        <v>864</v>
      </c>
      <c r="AY239" s="26" t="s">
        <v>864</v>
      </c>
      <c r="AZ239" s="26" t="s">
        <v>864</v>
      </c>
      <c r="BA239" s="26" t="s">
        <v>864</v>
      </c>
      <c r="BB239" s="26" t="s">
        <v>864</v>
      </c>
      <c r="BC239" s="26" t="s">
        <v>864</v>
      </c>
      <c r="BD239" s="26" t="s">
        <v>864</v>
      </c>
      <c r="BE239" s="26" t="s">
        <v>864</v>
      </c>
      <c r="BF239" s="26" t="s">
        <v>864</v>
      </c>
      <c r="BG239" s="26" t="s">
        <v>864</v>
      </c>
      <c r="BH239" s="26" t="s">
        <v>864</v>
      </c>
      <c r="BI239" s="26" t="s">
        <v>864</v>
      </c>
      <c r="BJ239" s="26" t="s">
        <v>864</v>
      </c>
      <c r="BK239" s="26" t="s">
        <v>864</v>
      </c>
      <c r="BL239" s="26" t="s">
        <v>864</v>
      </c>
      <c r="BM239" s="26" t="s">
        <v>864</v>
      </c>
      <c r="BN239" s="22"/>
      <c r="BO239" s="22">
        <v>45052</v>
      </c>
      <c r="BP239" s="21" t="s">
        <v>854</v>
      </c>
      <c r="BQ239" s="222">
        <f t="shared" si="840"/>
        <v>0</v>
      </c>
      <c r="BR239" s="223" t="str">
        <f t="shared" si="841"/>
        <v/>
      </c>
      <c r="BS239" s="224">
        <f t="shared" si="842"/>
        <v>12.571428571428571</v>
      </c>
      <c r="BT239" s="216" t="str">
        <f t="shared" si="843"/>
        <v>II TRIM</v>
      </c>
      <c r="BU239" s="214">
        <f t="shared" ca="1" si="925"/>
        <v>25.857142857142858</v>
      </c>
      <c r="BV239" s="25"/>
      <c r="BW239" s="22"/>
      <c r="BX239" s="28"/>
      <c r="BY239" s="28"/>
      <c r="BZ239" s="22"/>
      <c r="CA239" s="21"/>
      <c r="CB239" s="26"/>
      <c r="CC239" s="26"/>
      <c r="CD239" s="26"/>
      <c r="CE239" s="26"/>
      <c r="CF239" s="22" t="s">
        <v>1517</v>
      </c>
      <c r="CG239" s="21">
        <v>1.52</v>
      </c>
      <c r="CH239" s="21">
        <v>49</v>
      </c>
      <c r="CI239" s="214">
        <f t="shared" si="845"/>
        <v>21.208448753462605</v>
      </c>
      <c r="CJ239" s="225" t="e">
        <f>IF(AND(CI239&lt;10,CH239="SD"),"SIN DATO PESO PREGESTACION O I TRIM",IF(AND(OR(R239&gt;0,O239&gt;0),CI239="X"),"INGRESAR DATO DE PESO",IF(CI239="SD","INGRESAR DATO DE TALLA Y PESO",IF(AND(OR(Tabla1[[#This Row],[MOMENTO EN QUE SE REALIZA EL PESO AL INGRESO A CPN]]="PREGESTACIÓN",NZ239="Menor"),CI239&lt;18.5),"BAJO PESO",IF(AND(OR(Tabla1[[#This Row],[MOMENTO EN QUE SE REALIZA EL PESO AL INGRESO A CPN]]="PREGESTACIÓN",NZ239="Menor"),CI239&lt;25),"NORMAL",IF(AND(OR(Tabla1[[#This Row],[MOMENTO EN QUE SE REALIZA EL PESO AL INGRESO A CPN]]="PREGESTACIÓN",NZ239="Menor"),CI239&lt;30),"SOBREPESO",IF(AND(OR(Tabla1[[#This Row],[MOMENTO EN QUE SE REALIZA EL PESO AL INGRESO A CPN]]="PREGESTACIÓN",NZ239="Menor"),CI239&gt;=30,CI239&lt;50),"OBESIDAD",IF(AND(BS239&gt;0,Tabla1[[#This Row],[MOMENTO EN QUE SE REALIZA EL PESO AL INGRESO A CPN]]="GESTACIÓN"),HLOOKUP(NZ239,$OA$2:PH239,NY239),""))))))))</f>
        <v>#REF!</v>
      </c>
      <c r="CK239" s="212">
        <f t="shared" si="846"/>
        <v>45140</v>
      </c>
      <c r="CL239" s="21">
        <v>49</v>
      </c>
      <c r="CM239" s="214">
        <f t="shared" si="847"/>
        <v>21.208448753462605</v>
      </c>
      <c r="CN239" s="216">
        <f t="shared" si="848"/>
        <v>12</v>
      </c>
      <c r="CO239" s="216" t="e">
        <f>IF(PI239="","",IF(PI239&gt;0,HLOOKUP(PI239,$PJ$2:QQ239,NY239),""))</f>
        <v>#REF!</v>
      </c>
      <c r="CP239" s="21"/>
      <c r="CQ239" s="216" t="str">
        <f>IF(QR239="Menor","NO APLICA-MENOR 13 SEM",IF(AND(CC239="SI",CN239&gt;23),"NO APLICA- GEMELAR",IF(QR239="","",IF(QR239&gt;0,HLOOKUP(QR239,$QS$2:RU239,NY239),""))))</f>
        <v>NO APLICA-MENOR 13 SEM</v>
      </c>
      <c r="CR239" s="21"/>
      <c r="CS239" s="21"/>
      <c r="CT239" s="217" t="str">
        <f>IF(R239="","",IF(AND(BS239&gt;1,BS239&lt;12,Tabla1[[#This Row],[T.A. SISTOLICA - ANTES DE SEMANA 12]]="",Tabla1[[#This Row],[T.A. DIASTOLICA - ANTES DE SEMANA 12]]=""),"REGISTRE DATO TA ANTES SEMANA 12",IF(AND(BS239&gt;11,BS239&lt;43,Tabla1[[#This Row],[T.A. SISTOLICA - ANTES DE SEMANA 12]]="",Tabla1[[#This Row],[T.A. DIASTOLICA - ANTES DE SEMANA 12]]=""),"NO APLICA REGISTRO TA-INGRESO TARDIO",IF(AND(OR(O239&gt;0,R239&gt;0),OR(CR239&gt;=140,CS239&gt;=90)),"DEFINIR ESTADIO HTA",IF(AND(OR(O239&gt;0,R239&gt;0),AND(CR239&gt;120,CR239&lt;=139)),"PRE HTA SEGUIMIENTO",IF(AND(OR(O239&gt;0,R239&gt;0),AND(CS239&gt;80,CS239&lt;=89)),"PRE HTA SEGUIMIENTO",IF(AND(OR(O239&gt;0,R239&gt;0),AND(CR239&gt;=80,CR239&lt;=120)),"APARENTEMENTE NORMAL",IF(AND(OR(O239&gt;0,R239&gt;0),AND(CS239&gt;=50,CS239&lt;=80)),"APARENTEMENTE NORMAL",IF(AND(OR(O239&gt;0,R239&gt;0),AND(CR239&gt;1,CR239&lt;=70),AND(CS239&gt;1,CS239&lt;=40)),"HIPOTENSIÓN","")))))))))</f>
        <v>NO APLICA REGISTRO TA-INGRESO TARDIO</v>
      </c>
      <c r="CU239" s="21"/>
      <c r="CV239" s="21"/>
      <c r="CW239" s="217" t="str">
        <f ca="1">IF(R239="","",IF(AND(CN239&gt;19,CN239&lt;27,Tabla1[[#This Row],[T.A. SISTOLICA (Entre semana 20 y 26)]]="",Tabla1[[#This Row],[T.A. DIATOLICA (Entre semana 20 y 26)]]=""),"ACUDE A CONTROL SEM 20 A 26 REGISTRE TA AHORA",IF(AND(BS239&gt;1,BS239&lt;27,BU239&gt;19,Tabla1[[#This Row],[T.A. SISTOLICA (Entre semana 20 y 26)]]="",Tabla1[[#This Row],[T.A. DIATOLICA (Entre semana 20 y 26)]]=""),"COMPLETE REGISTRO TA CONTROL SEM 20 A26 ",IF(AND(BS239&gt;26,BS239&lt;43,Tabla1[[#This Row],[T.A. SISTOLICA (Entre semana 20 y 26)]]="",Tabla1[[#This Row],[T.A. DIATOLICA (Entre semana 20 y 26)]]=""),"NO APLICA REGISTRO TA-INGRESO TARDIO",IF(AND(OR(O239&gt;0,R239&gt;0),OR(CU239&gt;=140,CV239&gt;=90)),"ALTO RIESGO PREECLAMPSIA,DEFINIR ESTADIO HTA",IF(AND(OR(O239&gt;0,R239&gt;0),AND(CU239&gt;120,CU239&lt;=139)),"PRE HTA SEGUIMIENTO,RIESGO HIPERTENSION INDUCIDA POR EL EMBARAZO",IF(AND(OR(O239&gt;0,R239&gt;0),AND(CV239&gt;80,CV239&lt;=89)),"PRE HTA SEGUIMIENTO, RIESGO HIPERTENSION INDUCIDA POR EL EMBARAZO",IF(AND(OR(O239&lt;&gt;"",R239&lt;&gt;""),CS239&lt;&gt;"",CV239&lt;&gt;"",CS239&lt;=CV239),"VIGILAR CIFRAS PRESION ARTERIAL",IF(AND(OR(O239&gt;0,R239&gt;0),AND(CU239&gt;120,CU239&lt;=139)),"PRE HTA SEGUIMIENTO",IF(AND(OR(O239&gt;0,R239&gt;0),AND(CU239&gt;1,CU239&lt;=70),AND(CV239&gt;1,CV239&lt;=40)),"HIPOTENSIÓN",IF(AND(OR(O239&lt;&gt;"",R239&lt;&gt;""),CS239&lt;&gt;"",CV239&lt;&gt;"",CS239&gt;CV239),"APARENTEMENTE NORMAL",IF(AND(OR(O239&gt;0,R239&gt;0),AND(CU239&gt;=80,CU239&lt;=120)),"APARENTEMENTE NORMAL",IF(AND(OR(O239&gt;0,R239&gt;0),AND(CV239&gt;=50,CV239&lt;=80)),"APARENTEMENTE NORMAL","")))))))))))))</f>
        <v xml:space="preserve">COMPLETE REGISTRO TA CONTROL SEM 20 A26 </v>
      </c>
      <c r="CX239" s="21"/>
      <c r="CY239" s="21"/>
      <c r="CZ239" s="216" t="str">
        <f t="shared" si="1042"/>
        <v/>
      </c>
      <c r="DA239" s="21">
        <v>90</v>
      </c>
      <c r="DB239" s="21">
        <v>60</v>
      </c>
      <c r="DC239" s="217" t="str">
        <f t="shared" si="849"/>
        <v>APARENTEMENTE NORMAL</v>
      </c>
      <c r="DD239" s="22">
        <v>45140</v>
      </c>
      <c r="DE239" s="22">
        <v>45140</v>
      </c>
      <c r="DF239" s="22"/>
      <c r="DG239" s="22"/>
      <c r="DH239" s="22"/>
      <c r="DI239" s="22"/>
      <c r="DJ239" s="22"/>
      <c r="DK239" s="22"/>
      <c r="DL239" s="22"/>
      <c r="DM239" s="22"/>
      <c r="DN239" s="22"/>
      <c r="DO239" s="22"/>
      <c r="DP239" s="22"/>
      <c r="DQ239" s="22"/>
      <c r="DR239" s="28"/>
      <c r="DS239" s="22"/>
      <c r="DT239" s="22"/>
      <c r="DU239" s="216" t="str">
        <f t="shared" ca="1" si="917"/>
        <v>EN ESPERA</v>
      </c>
      <c r="DV239" s="226" t="str">
        <f t="shared" si="918"/>
        <v>ACTIVA INGRESO A CPN</v>
      </c>
      <c r="DW239"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39" s="216" t="e">
        <f t="shared" ca="1" si="850"/>
        <v>#REF!</v>
      </c>
      <c r="DY239" s="212">
        <f>IF(R239="","",IF(R239&gt;0,MAX(Tabla1[[#This Row],[FECHA C2]:[FECHA C13]],Tabla1[[#This Row],[FECHA CONSULTA PRIMERA VEZ PROGRAMA CPN ]])))</f>
        <v>45140</v>
      </c>
      <c r="DZ239" s="216">
        <f t="shared" si="851"/>
        <v>12</v>
      </c>
      <c r="EA239" s="222">
        <f>IF(R239&gt;0,SUM(COUNTA(DF239:DQ239)+COUNTA(Tabla1[[#This Row],[FECHA CONSULTA PRIMERA VEZ PROGRAMA CPN ]])),"")</f>
        <v>1</v>
      </c>
      <c r="EB239" s="222" t="str">
        <f t="shared" si="852"/>
        <v>NO</v>
      </c>
      <c r="EC239" s="214">
        <f t="shared" si="853"/>
        <v>8</v>
      </c>
      <c r="ED239" s="227">
        <f t="shared" si="854"/>
        <v>0.125</v>
      </c>
      <c r="EE239" s="22">
        <v>45140</v>
      </c>
      <c r="EF239" s="22"/>
      <c r="EG239" s="22">
        <v>45140</v>
      </c>
      <c r="EH239" s="22"/>
      <c r="EI239" s="22">
        <v>45140</v>
      </c>
      <c r="EJ239" s="22"/>
      <c r="EK239" s="22"/>
      <c r="EL239" s="21"/>
      <c r="EM239" s="21"/>
      <c r="EN239" s="22"/>
      <c r="EO239" s="222" t="str">
        <f t="shared" si="855"/>
        <v>TOMAR EXAMEN</v>
      </c>
      <c r="EP239" s="214" t="str">
        <f t="shared" si="856"/>
        <v/>
      </c>
      <c r="EQ239" s="216" t="str">
        <f t="shared" si="857"/>
        <v>POR DEFINIR</v>
      </c>
      <c r="ER239" s="24"/>
      <c r="ES239" s="22"/>
      <c r="ET239" s="29" t="str">
        <f t="shared" ca="1" si="919"/>
        <v>PROGRAMAR TOMA HEMOGLOBINA A SEM 28</v>
      </c>
      <c r="EU239" s="25" t="str">
        <f t="shared" si="858"/>
        <v/>
      </c>
      <c r="EV239" s="24"/>
      <c r="EW239" s="24"/>
      <c r="EX239" s="22"/>
      <c r="EY239" s="29" t="str">
        <f t="shared" si="1040"/>
        <v>TOMAR EXAMEN</v>
      </c>
      <c r="EZ239" s="25" t="str">
        <f t="shared" ca="1" si="1041"/>
        <v/>
      </c>
      <c r="FA239" s="21"/>
      <c r="FB239" s="22"/>
      <c r="FC239" s="29" t="str">
        <f t="shared" si="859"/>
        <v>TOMAR EXAMEN</v>
      </c>
      <c r="FD239" s="29"/>
      <c r="FE239" s="29"/>
      <c r="FF239" s="29"/>
      <c r="FG239" s="21" t="str">
        <f t="shared" ca="1" si="860"/>
        <v>TOMAR PTOG</v>
      </c>
      <c r="FH239" s="31"/>
      <c r="FI239" s="29" t="str">
        <f t="shared" si="861"/>
        <v>TOMAR EXAMEN</v>
      </c>
      <c r="FJ239" s="22"/>
      <c r="FK239" s="22"/>
      <c r="FL239" s="29" t="str">
        <f t="shared" ca="1" si="862"/>
        <v>PIERDE TOMA DE TAMIZAJE</v>
      </c>
      <c r="FM239" s="22"/>
      <c r="FN239" s="32"/>
      <c r="FO239" s="29" t="str">
        <f t="shared" ca="1" si="920"/>
        <v>TOMA INMEDIATA DE TAMIZAJE</v>
      </c>
      <c r="FP239" s="22"/>
      <c r="FQ239" s="32"/>
      <c r="FR239" s="29" t="str">
        <f t="shared" ca="1" si="921"/>
        <v>EN ESPERA-ESTÁ I TRIM O II TRIM</v>
      </c>
      <c r="FS239" s="22"/>
      <c r="FT239" s="32"/>
      <c r="FU239" s="29" t="str">
        <f>IF(AND(FJ239="",FM239="",FP239="",FS239=""),"",IF(OR(OR(Tabla1[[#This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39" s="28"/>
      <c r="FW239" s="22"/>
      <c r="FX239" s="29" t="str">
        <f t="shared" si="863"/>
        <v>TOMAR EXAMEN</v>
      </c>
      <c r="FY239" s="22"/>
      <c r="FZ239" s="22"/>
      <c r="GA239" s="29" t="str">
        <f t="shared" ref="GA239" ca="1" si="1046">IF(AND(BT239="ERROR FUM O INGRESO",FZ239&gt;0),"ERROR FUM O INGRESO",IF(AND(FZ239="",R239="",O239=""),"",IF(OR(AND(FZ239&lt;&gt;"",FZ239&lt;RW239),AND(FZ239&lt;&gt;"",AND(SUM((FZ239-RW239)/7)&gt;=13,SUM((FZ239-RW239)/7)&lt;27))),"REGISTRAR EN II TRIMESTRE",IF(OR(AND(FZ239&lt;&gt;"",FZ239&lt;RW239),AND(FZ239&lt;&gt;"",AND(SUM((FZ239-RW239)/7)&gt;=27,SUM((FZ239-RW239)/7)&lt;44))),"REGISTRAR EN III TRIMESTRE",IF(AND(FZ239="",OR(O239&gt;0,R239&gt;0),AND(BU239&gt;1,BU239&lt;10)),"EN RANGO PARA TOMAR EXAMEN",IF(AND(FZ239="",OR(O239&gt;0,R239&gt;0),AND(BU239&gt;=10,BU239&lt;12)),"TOMA INMEDIATA DE TAMIZAJE",IF(AND(FZ239="",BS239&lt;12,OR(O239&gt;0,R239&gt;0)),"PIERDE TOMA DE TAMIZAJE",IF(AND(FZ239="",OR(O239&gt;0,R239&gt;0),AND(BS239&gt;=13,BS239&lt;44)),"NO APLICA-INGRESO TARDIO",IF(FZ239&gt;0,SUM(FZ239-RW239)/7,"")))))))))</f>
        <v/>
      </c>
      <c r="GB239" s="22"/>
      <c r="GC239" s="22"/>
      <c r="GD239" s="29" t="str">
        <f t="shared" ca="1" si="1045"/>
        <v>TOMA INMEDIATA DE TAMIZAJE</v>
      </c>
      <c r="GE239" s="22"/>
      <c r="GF239" s="22"/>
      <c r="GG239" s="29" t="str">
        <f t="shared" ca="1" si="923"/>
        <v>EN ESPERA-ESTÁ I TRIM O II TRIM</v>
      </c>
      <c r="GH239" s="22"/>
      <c r="GI239" s="29"/>
      <c r="GJ239" s="22"/>
      <c r="GK239" s="22"/>
      <c r="GL239" s="22"/>
      <c r="GM239" s="22"/>
      <c r="GN239" s="28"/>
      <c r="GO239" s="22"/>
      <c r="GP239" s="29" t="str">
        <f t="shared" si="864"/>
        <v>TOMAR EXAMEN</v>
      </c>
      <c r="GQ239" s="28"/>
      <c r="GR239" s="28"/>
      <c r="GS239" s="22" t="str">
        <f t="shared" si="1044"/>
        <v/>
      </c>
      <c r="GT239" s="22"/>
      <c r="GU239" s="29" t="str">
        <f t="shared" si="865"/>
        <v>TOMAR EXAMEN</v>
      </c>
      <c r="GV239" s="21" t="str">
        <f t="shared" si="866"/>
        <v>POR DEFINIR</v>
      </c>
      <c r="GW239" s="28"/>
      <c r="GX239" s="30"/>
      <c r="GY239" s="21"/>
      <c r="GZ239" s="21"/>
      <c r="HA239" s="21"/>
      <c r="HB239" s="21"/>
      <c r="HC239" s="21"/>
      <c r="HD239" s="21"/>
      <c r="HE239" s="21"/>
      <c r="HF239" s="22"/>
      <c r="HG239" s="22" t="str">
        <f>IF(OR(O239&gt;0,R239&gt;0),CONCATENATE(IF(Tabla1[[#This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39" s="22" t="e">
        <f t="shared" si="867"/>
        <v>#REF!</v>
      </c>
      <c r="HI239" s="22" t="e">
        <f t="shared" ca="1" si="868"/>
        <v>#REF!</v>
      </c>
      <c r="HJ239" s="21"/>
      <c r="HK239" s="21" t="str">
        <f t="shared" si="869"/>
        <v>SIN ANTECEDENTES DE RIESGO</v>
      </c>
      <c r="HL239" s="24" t="str">
        <f t="shared" si="870"/>
        <v>APARENTEMENTE NORMAL</v>
      </c>
      <c r="HM239" s="21" t="e">
        <f t="shared" ca="1" si="871"/>
        <v>#REF!</v>
      </c>
      <c r="HN239" s="30" t="str">
        <f t="shared" si="924"/>
        <v>ACTIVA INGRESO A CPN</v>
      </c>
      <c r="HO239" s="21"/>
      <c r="HP239" s="21"/>
      <c r="HQ239" s="349"/>
      <c r="HR239" s="21" t="str">
        <f>IF(R239="","",IF(Tabla1[[#This Row],[ALARMA FACTORES DE RIESGO COMPLICACIONES HIPERTENSIVAS3]]="SIN ANTECEDENTES DE RIESGO","No Aplica para suministro de ASA",IF(AND(Tabla1[[#This Row],[FECHA INICIO DE SUMINISTRO DE ASA]]&gt;0,RV239&lt;12),"Inicia ASA ANTES de Sem 12",IF(AND(RV239&gt;11,RV239&lt;17,OR(HK239="RIESGO ALTO DE COMPLICACIONES HIPERTENSIVAS VER MANEJO GUIA SUMINISTRO ASA Y CALCIO",HK239="RIESGO MODERADO (2 O MAS CRITERIOS) VER MANEJO GUIA SUMINISTRO ASA Y CALCIO")),"Inicio oportuno de ASA",IF(AND(RV239&gt;12,OR(HK239="RIESGO ALTO DE COMPLICACIONES HIPERTENSIVAS VER MANEJO GUIA SUMINISTRO ASA Y CALCIO",HK239="RIESGO MODERADO (2 O MAS CRITERIOS) VER MANEJO GUIA SUMINISTRO ASA Y CALCIO")),"Inicio no oportuno mayor a 16 semanas",IF(AND(BU239&lt;12,OR(HK239="RIESGO ALTO DE COMPLICACIONES HIPERTENSIVAS VER MANEJO GUIA SUMINISTRO ASA Y CALCIO",HK239="RIESGO MODERADO (2 O MAS CRITERIOS) VER MANEJO GUIA SUMINISTRO ASA Y CALCIO")),"Pendiente Inicio de ASA a la semana 12",IF(AND(BU239&gt;11,BU239&lt;17,OR(HK239="RIESGO ALTO DE COMPLICACIONES HIPERTENSIVAS VER MANEJO GUIA SUMINISTRO ASA Y CALCIO",HK239="RIESGO MODERADO (2 O MAS CRITERIOS) VER MANEJO GUIA SUMINISTRO ASA Y CALCIO")),"Iniciar de inmediato ASA",IF(AND(BU239&gt;16,OR(HK239="RIESGO ALTO DE COMPLICACIONES HIPERTENSIVAS VER MANEJO GUIA SUMINISTRO ASA Y CALCIO",HK239="RIESGO MODERADO (2 O MAS CRITERIOS) VER MANEJO GUIA SUMINISTRO ASA Y CALCIO")),"Pierde Oportunidad, Inicio tardío de ASA","XXXXX"))))))))</f>
        <v>No Aplica para suministro de ASA</v>
      </c>
      <c r="HS239" s="22">
        <v>45140</v>
      </c>
      <c r="HT239" s="22" t="s">
        <v>1518</v>
      </c>
      <c r="HU239" s="22">
        <v>45140</v>
      </c>
      <c r="HV239" s="22" t="s">
        <v>1506</v>
      </c>
      <c r="HW239" s="22"/>
      <c r="HX239" s="22"/>
      <c r="HY239" s="22"/>
      <c r="HZ239" s="28" t="str">
        <f t="shared" si="872"/>
        <v>PENDIENTE CONSULTA</v>
      </c>
      <c r="IA239" s="26"/>
      <c r="IB239" s="26"/>
      <c r="IC239" s="111"/>
      <c r="ID239" s="22"/>
      <c r="IE239" s="22" t="str">
        <f t="shared" ca="1" si="873"/>
        <v>PROGRAMAR APLICACION DE VACUNA</v>
      </c>
      <c r="IF239" s="22"/>
      <c r="IG239" s="22">
        <f t="shared" si="874"/>
        <v>45332</v>
      </c>
      <c r="IH239" s="29">
        <f t="shared" ca="1" si="875"/>
        <v>99</v>
      </c>
      <c r="II239" s="22" t="str">
        <f t="shared" ca="1" si="876"/>
        <v>PENDIENTE</v>
      </c>
      <c r="IJ239" s="22"/>
      <c r="IK239" s="21"/>
      <c r="IL239" s="21"/>
      <c r="IM239" s="34"/>
      <c r="IN239" s="22"/>
      <c r="IO239" s="21"/>
      <c r="IP239" s="29" t="str">
        <f t="shared" si="877"/>
        <v/>
      </c>
      <c r="IQ239" s="35"/>
      <c r="IR239" s="21"/>
      <c r="IS239" s="21"/>
      <c r="IT239" s="21"/>
      <c r="IU239" s="21"/>
      <c r="IV239" s="21"/>
      <c r="IW239" s="21"/>
      <c r="IX239" s="21"/>
      <c r="IY239" s="21"/>
      <c r="IZ239" s="21"/>
      <c r="JA239" s="21"/>
      <c r="JB239" s="30"/>
      <c r="JC239" s="21"/>
      <c r="JD239" s="36"/>
      <c r="JE239" s="21" t="str">
        <f t="shared" si="878"/>
        <v/>
      </c>
      <c r="JF239" s="30"/>
      <c r="JG239" s="21"/>
      <c r="JH239" s="21"/>
      <c r="JI239" s="21"/>
      <c r="JJ239" s="30"/>
      <c r="JK239" s="22"/>
      <c r="JL239" s="22"/>
      <c r="JM239" s="21"/>
      <c r="JN239" s="36"/>
      <c r="JO239" s="21" t="str">
        <f t="shared" si="879"/>
        <v/>
      </c>
      <c r="JP239" s="22"/>
      <c r="JQ239" s="21"/>
      <c r="JR239" s="21"/>
      <c r="JS239" s="21"/>
      <c r="JT239" s="30"/>
      <c r="JU239" s="22"/>
      <c r="JV239" s="22"/>
      <c r="JW239" s="33"/>
      <c r="JX239" s="28" t="str">
        <f t="shared" si="880"/>
        <v/>
      </c>
      <c r="JY239" s="33"/>
      <c r="JZ239" s="28" t="str">
        <f t="shared" si="881"/>
        <v/>
      </c>
      <c r="KA239" s="21"/>
      <c r="KB239" s="21"/>
      <c r="KC239" s="21"/>
      <c r="KD239" s="37"/>
      <c r="KE239" s="28"/>
      <c r="KF239" s="28"/>
      <c r="KG239" s="28"/>
      <c r="KH239" s="39"/>
      <c r="KI239" s="39"/>
      <c r="KJ239" s="66"/>
      <c r="KK239" s="39"/>
      <c r="KL239" s="39"/>
      <c r="KM239" s="66"/>
      <c r="KN239" s="39"/>
      <c r="KO239" s="39"/>
      <c r="KP239" s="39"/>
      <c r="KQ239" s="39"/>
      <c r="KR239" s="39"/>
      <c r="KS239" s="39"/>
      <c r="KT239" s="39"/>
      <c r="KU239" s="38"/>
      <c r="KV239" s="38"/>
      <c r="KW239" s="38"/>
      <c r="KX239" s="38"/>
      <c r="KY239" s="38"/>
      <c r="KZ239" s="38"/>
      <c r="LA239" s="38"/>
      <c r="LB239" s="38"/>
      <c r="LC239" s="38"/>
      <c r="LD239" s="38"/>
      <c r="LE239" s="38"/>
      <c r="LF239" s="38"/>
      <c r="LG239" s="38"/>
      <c r="LH239" s="38"/>
      <c r="LI239" s="38"/>
      <c r="LJ239" s="38"/>
      <c r="LK239" s="38"/>
      <c r="LL239" s="38"/>
      <c r="LM239" s="38"/>
      <c r="LN239" s="38"/>
      <c r="LO239" s="38"/>
      <c r="LP239" s="38"/>
      <c r="LQ239" s="38"/>
      <c r="LR239" s="38"/>
      <c r="LS239" s="38"/>
      <c r="LT239" s="38"/>
      <c r="LU239" s="38"/>
      <c r="LV239" s="38"/>
      <c r="LW239" s="38"/>
      <c r="LX239" s="38"/>
      <c r="LY239" s="38"/>
      <c r="LZ239" s="38"/>
      <c r="MA239" s="38"/>
      <c r="MB239" s="38"/>
      <c r="MC239" s="38"/>
      <c r="MD239" s="38"/>
      <c r="ME239" s="38"/>
      <c r="MF239" s="38"/>
      <c r="MG239" s="38"/>
      <c r="MH239" s="43">
        <f t="shared" si="882"/>
        <v>0</v>
      </c>
      <c r="MI239" s="43" t="str">
        <f t="shared" si="926"/>
        <v/>
      </c>
      <c r="MJ239" s="43" t="str">
        <f t="shared" si="884"/>
        <v/>
      </c>
      <c r="MK239" s="43">
        <f t="shared" si="885"/>
        <v>0</v>
      </c>
      <c r="ML239"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39" s="43">
        <f t="shared" si="927"/>
        <v>12.571428571428571</v>
      </c>
      <c r="MN239" s="43">
        <f t="shared" si="928"/>
        <v>8</v>
      </c>
      <c r="MO239" s="43">
        <f t="shared" si="929"/>
        <v>2023</v>
      </c>
      <c r="MP239" s="43" t="str">
        <f t="shared" si="889"/>
        <v>III TRIMESTRE AÑO</v>
      </c>
      <c r="MQ239" s="43">
        <f t="shared" si="930"/>
        <v>19.836837494524747</v>
      </c>
      <c r="MR239" s="43">
        <f t="shared" si="891"/>
        <v>0</v>
      </c>
      <c r="MS239" s="43" t="str">
        <f t="shared" si="892"/>
        <v>DE 14 A 19AÑOS</v>
      </c>
      <c r="MT239" s="43">
        <f t="shared" si="893"/>
        <v>0</v>
      </c>
      <c r="MU239" s="43">
        <f t="shared" si="894"/>
        <v>0</v>
      </c>
      <c r="MV239" s="43">
        <f t="shared" si="895"/>
        <v>0</v>
      </c>
      <c r="MW239" s="43">
        <f t="shared" si="896"/>
        <v>0</v>
      </c>
      <c r="MX239" s="43" t="str">
        <f t="shared" si="897"/>
        <v/>
      </c>
      <c r="MY239" s="43" t="str">
        <f t="shared" ca="1" si="898"/>
        <v/>
      </c>
      <c r="MZ239" s="43" t="str">
        <f t="shared" si="899"/>
        <v/>
      </c>
      <c r="NA239" s="43" t="str">
        <f t="shared" si="900"/>
        <v/>
      </c>
      <c r="NB239" s="43" t="str">
        <f t="shared" si="901"/>
        <v/>
      </c>
      <c r="NC239" s="43" t="str">
        <f t="shared" si="902"/>
        <v/>
      </c>
      <c r="ND239" s="43">
        <f t="shared" ca="1" si="931"/>
        <v>0</v>
      </c>
      <c r="NE239" s="43">
        <f>IF(OR(O239&gt;0,R239&gt;0),SUM(COUNTIF(Tabla1[[#This Row],[AÑOS AL INICIO5 CPN]],"&gt;=40"),COUNTIF(AS239,"0"),COUNTIF(AR239,"SI"),COUNTIF(CC239,"SI"),COUNTIF(BQ239,"&gt;119"),COUNTIF(CI239,"&gt;=35")),"")</f>
        <v>0</v>
      </c>
      <c r="NF239" s="43" t="str">
        <f t="shared" si="932"/>
        <v/>
      </c>
      <c r="NG239" s="43">
        <f t="shared" si="905"/>
        <v>0</v>
      </c>
      <c r="NH239" s="43" t="str">
        <f t="shared" si="906"/>
        <v/>
      </c>
      <c r="NI239"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CPN",P239="NO"),"Z",IF(AND(Tabla1[[#This Row],[CITA PROXIMO CONTROL]]="CITA MANUAL",Tabla1[[#This Row],[GESTANTES ACTUALES]]="ACTIVA INGRESO A CPN"),"W",IF(AND(Tabla1[[#This Row],[GESTANTES ACTUALES]]="SALIO PROGRAMA",IN239=""),"S",IF(AND(Tabla1[[#This Row],[CITA PROXIMO CONTROL]]&gt;0,IN239=""),(Tabla1[[#This Row],[CITA PROXIMO CONTROL]]-TODAY()),"SD"))))))))</f>
        <v>#REF!</v>
      </c>
      <c r="NJ239" s="43">
        <f>MONTH(Tabla1[[#This Row],[FECHA DE SALIDA  DEL PROGRAMA]])</f>
        <v>1</v>
      </c>
      <c r="NK239" s="43">
        <f>YEAR(Tabla1[[#This Row],[FECHA DE SALIDA  DEL PROGRAMA]])</f>
        <v>1900</v>
      </c>
      <c r="NL239" s="43" t="str">
        <f t="shared" si="933"/>
        <v>X</v>
      </c>
      <c r="NM239" s="43" t="str">
        <f t="shared" si="938"/>
        <v>NO</v>
      </c>
      <c r="NN239" s="43" t="str">
        <f ca="1">IF(AND(O239&gt;0,R239=""),"NO CPN",IF(AND(O239="",R239=""),"",IF(AND(R239&gt;0,Tabla1[[#This Row],[SEMANAS DE GESTACION ACTUALIZADAS]]&lt;=12),"NO APLICA",IF(AND(FH239&lt;&gt;"",FN239&lt;&gt;""),"SI","NO"))))</f>
        <v>NO</v>
      </c>
      <c r="NO239" s="43" t="str">
        <f ca="1">IF(AND(O239&gt;0,R239=""),"NO CPN",IF(AND(O239="",R239=""),"",IF(AND(R239&gt;0,Tabla1[[#This Row],[SEMANAS DE GESTACION ACTUALIZADAS]]&lt;=27),"NO APLICA",IF(AND(ES239&lt;&gt;"",FQ239&lt;&gt;"",GF239&lt;&gt;""),"SI","NO"))))</f>
        <v>NO APLICA</v>
      </c>
      <c r="NP239" s="204" t="str">
        <f t="shared" si="909"/>
        <v>II TRIM</v>
      </c>
      <c r="NQ239" s="21" t="str">
        <f t="shared" si="1043"/>
        <v/>
      </c>
      <c r="NR239" s="21">
        <f t="shared" ca="1" si="934"/>
        <v>1</v>
      </c>
      <c r="NS239" s="205">
        <f t="shared" ca="1" si="911"/>
        <v>0</v>
      </c>
      <c r="NT239" s="21">
        <f t="shared" ca="1" si="912"/>
        <v>0</v>
      </c>
      <c r="NU239" s="21" t="str">
        <f t="shared" ca="1" si="913"/>
        <v>INCOMPLETO</v>
      </c>
      <c r="NV239" s="21" t="str">
        <f t="shared" ca="1" si="914"/>
        <v>INCOMPLETO</v>
      </c>
      <c r="NW239" s="206" t="str">
        <f>IF(AND(O239="",R239=""),"",IF(OR(AND(Tabla1[[#This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39" s="207" t="str">
        <f t="shared" ca="1" si="935"/>
        <v>SIN VACUNAR</v>
      </c>
      <c r="NY239" s="43">
        <f>ROW(Tabla1[[#This Row],['# DE TAMIZAJES SIFILIS TOMADOS ]])</f>
        <v>239</v>
      </c>
      <c r="NZ239" s="43">
        <f t="shared" si="939"/>
        <v>12</v>
      </c>
      <c r="OA239" s="43" t="str">
        <f t="shared" si="940"/>
        <v/>
      </c>
      <c r="OB239" s="43" t="str">
        <f t="shared" si="941"/>
        <v/>
      </c>
      <c r="OC239" s="43" t="str">
        <f t="shared" si="942"/>
        <v/>
      </c>
      <c r="OD239" s="43" t="str">
        <f t="shared" si="943"/>
        <v>NORMAL</v>
      </c>
      <c r="OE239" s="43" t="str">
        <f t="shared" si="944"/>
        <v/>
      </c>
      <c r="OF239" s="43" t="str">
        <f t="shared" si="945"/>
        <v/>
      </c>
      <c r="OG239" s="43" t="str">
        <f t="shared" si="946"/>
        <v/>
      </c>
      <c r="OH239" s="43" t="str">
        <f t="shared" si="947"/>
        <v/>
      </c>
      <c r="OI239" s="43" t="str">
        <f t="shared" si="948"/>
        <v/>
      </c>
      <c r="OJ239" s="43" t="str">
        <f t="shared" si="949"/>
        <v/>
      </c>
      <c r="OK239" s="43" t="str">
        <f t="shared" si="950"/>
        <v/>
      </c>
      <c r="OL239" s="43" t="str">
        <f t="shared" si="951"/>
        <v/>
      </c>
      <c r="OM239" s="43" t="str">
        <f t="shared" si="952"/>
        <v/>
      </c>
      <c r="ON239" s="43" t="str">
        <f t="shared" si="953"/>
        <v/>
      </c>
      <c r="OO239" s="43" t="str">
        <f t="shared" si="954"/>
        <v/>
      </c>
      <c r="OP239" s="43" t="str">
        <f t="shared" si="955"/>
        <v/>
      </c>
      <c r="OQ239" s="43" t="str">
        <f t="shared" si="956"/>
        <v/>
      </c>
      <c r="OR239" s="43" t="str">
        <f t="shared" si="957"/>
        <v/>
      </c>
      <c r="OS239" s="43" t="str">
        <f t="shared" si="958"/>
        <v/>
      </c>
      <c r="OT239" s="43" t="str">
        <f t="shared" si="959"/>
        <v/>
      </c>
      <c r="OU239" s="43" t="str">
        <f t="shared" si="960"/>
        <v/>
      </c>
      <c r="OV239" s="110" t="str">
        <f t="shared" si="961"/>
        <v/>
      </c>
      <c r="OW239" s="43" t="str">
        <f t="shared" si="962"/>
        <v/>
      </c>
      <c r="OX239" s="43" t="str">
        <f t="shared" si="963"/>
        <v/>
      </c>
      <c r="OY239" s="43" t="str">
        <f t="shared" si="964"/>
        <v/>
      </c>
      <c r="OZ239" s="43" t="str">
        <f t="shared" si="965"/>
        <v/>
      </c>
      <c r="PA239" s="43" t="str">
        <f t="shared" si="966"/>
        <v/>
      </c>
      <c r="PB239" s="43" t="str">
        <f t="shared" si="967"/>
        <v/>
      </c>
      <c r="PC239" s="43" t="str">
        <f t="shared" si="968"/>
        <v/>
      </c>
      <c r="PD239" s="43" t="str">
        <f t="shared" si="969"/>
        <v/>
      </c>
      <c r="PE239" s="43" t="str">
        <f t="shared" si="970"/>
        <v/>
      </c>
      <c r="PF239" s="43" t="str">
        <f t="shared" si="971"/>
        <v/>
      </c>
      <c r="PG239" s="43" t="str">
        <f t="shared" si="972"/>
        <v/>
      </c>
      <c r="PH239" s="43" t="str">
        <f t="shared" si="973"/>
        <v/>
      </c>
      <c r="PI239" s="43">
        <f t="shared" si="974"/>
        <v>12</v>
      </c>
      <c r="PJ239" s="43" t="str">
        <f t="shared" si="975"/>
        <v/>
      </c>
      <c r="PK239" s="43" t="str">
        <f t="shared" si="976"/>
        <v/>
      </c>
      <c r="PL239" s="43" t="str">
        <f t="shared" si="977"/>
        <v/>
      </c>
      <c r="PM239" s="43" t="str">
        <f t="shared" si="978"/>
        <v>NORMAL</v>
      </c>
      <c r="PN239" s="43" t="str">
        <f t="shared" si="979"/>
        <v/>
      </c>
      <c r="PO239" s="43" t="str">
        <f t="shared" si="980"/>
        <v/>
      </c>
      <c r="PP239" s="43" t="str">
        <f t="shared" si="981"/>
        <v/>
      </c>
      <c r="PQ239" s="43" t="str">
        <f t="shared" si="982"/>
        <v/>
      </c>
      <c r="PR239" s="43" t="str">
        <f t="shared" si="983"/>
        <v/>
      </c>
      <c r="PS239" s="43" t="str">
        <f t="shared" si="984"/>
        <v/>
      </c>
      <c r="PT239" s="43" t="str">
        <f t="shared" si="985"/>
        <v/>
      </c>
      <c r="PU239" s="43" t="str">
        <f t="shared" si="986"/>
        <v/>
      </c>
      <c r="PV239" s="43" t="str">
        <f t="shared" si="987"/>
        <v/>
      </c>
      <c r="PW239" s="43" t="str">
        <f t="shared" si="988"/>
        <v/>
      </c>
      <c r="PX239" s="43" t="str">
        <f t="shared" si="989"/>
        <v/>
      </c>
      <c r="PY239" s="43" t="str">
        <f t="shared" si="990"/>
        <v/>
      </c>
      <c r="PZ239" s="43" t="str">
        <f t="shared" si="991"/>
        <v/>
      </c>
      <c r="QA239" s="43" t="str">
        <f t="shared" si="992"/>
        <v/>
      </c>
      <c r="QB239" s="43" t="str">
        <f t="shared" si="993"/>
        <v/>
      </c>
      <c r="QC239" s="43" t="str">
        <f t="shared" si="994"/>
        <v/>
      </c>
      <c r="QD239" s="43" t="str">
        <f t="shared" si="995"/>
        <v/>
      </c>
      <c r="QE239" s="43" t="str">
        <f t="shared" si="996"/>
        <v/>
      </c>
      <c r="QF239" s="43" t="str">
        <f t="shared" si="997"/>
        <v/>
      </c>
      <c r="QG239" s="43" t="str">
        <f t="shared" si="998"/>
        <v/>
      </c>
      <c r="QH239" s="43" t="str">
        <f t="shared" si="999"/>
        <v/>
      </c>
      <c r="QI239" s="43" t="str">
        <f t="shared" si="1000"/>
        <v/>
      </c>
      <c r="QJ239" s="43" t="str">
        <f t="shared" si="1001"/>
        <v/>
      </c>
      <c r="QK239" s="43" t="str">
        <f t="shared" si="1002"/>
        <v/>
      </c>
      <c r="QL239" s="43" t="str">
        <f t="shared" si="1003"/>
        <v/>
      </c>
      <c r="QM239" s="43" t="str">
        <f t="shared" si="1004"/>
        <v/>
      </c>
      <c r="QN239" s="43" t="str">
        <f t="shared" si="1005"/>
        <v/>
      </c>
      <c r="QO239" s="43" t="str">
        <f t="shared" si="1006"/>
        <v/>
      </c>
      <c r="QP239" s="43" t="str">
        <f t="shared" si="1007"/>
        <v/>
      </c>
      <c r="QQ239" s="43" t="str">
        <f t="shared" si="1008"/>
        <v/>
      </c>
      <c r="QR239" s="43" t="str">
        <f t="shared" si="1009"/>
        <v>Menor</v>
      </c>
      <c r="QS239" s="43"/>
      <c r="QT239" s="21" t="str">
        <f t="shared" si="1010"/>
        <v/>
      </c>
      <c r="QU239" s="21" t="str">
        <f t="shared" si="1011"/>
        <v/>
      </c>
      <c r="QV239" s="21" t="str">
        <f t="shared" si="1012"/>
        <v/>
      </c>
      <c r="QW239" s="21" t="str">
        <f t="shared" si="1013"/>
        <v/>
      </c>
      <c r="QX239" s="21" t="str">
        <f t="shared" si="1014"/>
        <v/>
      </c>
      <c r="QY239" s="21" t="str">
        <f t="shared" si="1015"/>
        <v/>
      </c>
      <c r="QZ239" s="21" t="str">
        <f t="shared" si="1016"/>
        <v/>
      </c>
      <c r="RA239" s="21" t="str">
        <f t="shared" si="1017"/>
        <v/>
      </c>
      <c r="RB239" s="21" t="str">
        <f t="shared" si="1018"/>
        <v/>
      </c>
      <c r="RC239" s="21" t="str">
        <f t="shared" si="1019"/>
        <v/>
      </c>
      <c r="RD239" s="21" t="str">
        <f t="shared" si="1020"/>
        <v/>
      </c>
      <c r="RE239" s="21" t="str">
        <f t="shared" si="1021"/>
        <v/>
      </c>
      <c r="RF239" s="21" t="str">
        <f t="shared" si="1022"/>
        <v/>
      </c>
      <c r="RG239" s="21" t="str">
        <f t="shared" si="1023"/>
        <v/>
      </c>
      <c r="RH239" s="21" t="str">
        <f t="shared" si="1024"/>
        <v/>
      </c>
      <c r="RI239" s="21" t="str">
        <f t="shared" si="1025"/>
        <v/>
      </c>
      <c r="RJ239" s="21" t="str">
        <f t="shared" si="1026"/>
        <v/>
      </c>
      <c r="RK239" s="21" t="str">
        <f t="shared" si="1027"/>
        <v/>
      </c>
      <c r="RL239" s="21" t="str">
        <f t="shared" si="1028"/>
        <v/>
      </c>
      <c r="RM239" s="21" t="str">
        <f t="shared" si="1029"/>
        <v/>
      </c>
      <c r="RN239" s="21" t="str">
        <f t="shared" si="1030"/>
        <v/>
      </c>
      <c r="RO239" s="21" t="str">
        <f t="shared" si="1031"/>
        <v/>
      </c>
      <c r="RP239" s="21" t="str">
        <f t="shared" si="1032"/>
        <v/>
      </c>
      <c r="RQ239" s="21" t="str">
        <f t="shared" si="1033"/>
        <v/>
      </c>
      <c r="RR239" s="21" t="str">
        <f t="shared" si="1034"/>
        <v/>
      </c>
      <c r="RS239" s="21" t="str">
        <f t="shared" si="1035"/>
        <v/>
      </c>
      <c r="RT239" s="21" t="str">
        <f t="shared" si="1036"/>
        <v/>
      </c>
      <c r="RU239" s="21" t="str">
        <f t="shared" si="1037"/>
        <v/>
      </c>
      <c r="RV239" s="21">
        <f t="shared" si="1038"/>
        <v>-1</v>
      </c>
      <c r="RW239" s="284">
        <f>IF(OR(Tabla1[[#This Row],[FUM FORMULA CONFIABLE]]="",Tabla1[[#This Row],[FUM FORMULA CONFIABLE]]="SD"),"",IF(Tabla1[[#This Row],[FUM FORMULA CONFIABLE]]="CORREGIDA",Tabla1[[#This Row],[FUM X ECO 1]],Tabla1[[#This Row],[FUM x AMENORREA]]))</f>
        <v>45052</v>
      </c>
      <c r="RX239" s="21" t="str">
        <f>IF(AND(Tabla1[[#This Row],[FUM X ECO 1]]="",Tabla1[[#This Row],[FUM x AMENORREA]]=""),"",IF(AND(Tabla1[[#This Row],[FUM X ECO 1]]="",Tabla1[[#This Row],[FUM x AMENORREA]]&lt;&gt;""),"X",SUM(Tabla1[[#This Row],[FUM X ECO 1]]-Tabla1[[#This Row],[FUM x AMENORREA]])))</f>
        <v>X</v>
      </c>
      <c r="RY239" s="21" t="str">
        <f t="shared" si="1039"/>
        <v>x</v>
      </c>
    </row>
    <row r="240" spans="1:493" ht="45" customHeight="1" x14ac:dyDescent="0.25">
      <c r="A240" s="109"/>
      <c r="B240" s="43"/>
      <c r="C240" s="43" t="s">
        <v>845</v>
      </c>
      <c r="D240" s="124"/>
      <c r="E240" s="43" t="s">
        <v>848</v>
      </c>
      <c r="F240" s="43" t="s">
        <v>1034</v>
      </c>
      <c r="G240" s="43" t="s">
        <v>1612</v>
      </c>
      <c r="H240" s="43" t="s">
        <v>1662</v>
      </c>
      <c r="I240" s="109" t="s">
        <v>851</v>
      </c>
      <c r="J240" s="110">
        <v>1059601726</v>
      </c>
      <c r="K240" s="43" t="s">
        <v>852</v>
      </c>
      <c r="L240" s="175" t="s">
        <v>1509</v>
      </c>
      <c r="M240" s="22">
        <v>34076</v>
      </c>
      <c r="N240" s="213">
        <f t="shared" ca="1" si="839"/>
        <v>30.567123287671233</v>
      </c>
      <c r="O240" s="22">
        <v>45141</v>
      </c>
      <c r="P240" s="214" t="str">
        <f t="shared" si="916"/>
        <v>SI</v>
      </c>
      <c r="Q240" s="26" t="s">
        <v>855</v>
      </c>
      <c r="R240" s="22">
        <v>45141</v>
      </c>
      <c r="S240" s="21" t="s">
        <v>856</v>
      </c>
      <c r="T240" s="24" t="s">
        <v>690</v>
      </c>
      <c r="U240" s="21" t="s">
        <v>857</v>
      </c>
      <c r="V240" s="21" t="s">
        <v>858</v>
      </c>
      <c r="W240" s="21" t="s">
        <v>1139</v>
      </c>
      <c r="X240" s="21" t="s">
        <v>1139</v>
      </c>
      <c r="Y240" s="21"/>
      <c r="Z240" s="21">
        <v>3215913070</v>
      </c>
      <c r="AA240" s="21" t="s">
        <v>860</v>
      </c>
      <c r="AB240" s="27" t="s">
        <v>861</v>
      </c>
      <c r="AC240" s="26" t="s">
        <v>846</v>
      </c>
      <c r="AD240" s="21" t="s">
        <v>1546</v>
      </c>
      <c r="AE240" s="26" t="s">
        <v>854</v>
      </c>
      <c r="AF240" s="26" t="s">
        <v>854</v>
      </c>
      <c r="AG240" s="23" t="s">
        <v>864</v>
      </c>
      <c r="AH240" s="23" t="s">
        <v>864</v>
      </c>
      <c r="AI240" s="24" t="s">
        <v>863</v>
      </c>
      <c r="AJ240" s="23" t="s">
        <v>864</v>
      </c>
      <c r="AK240" s="220" t="str">
        <f>IF(AND(AD240="",AE240="",AF240="",AG240="",AH240="",AI240="",AJ240=""),"",IF(OR(Tabla1[[#This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EVALUACIÓN",IF(AND(O240="",R240=""),"",IF(AND(OR(O240&gt;0,R240&gt;0),NG240&gt;=0,NG240&lt;2),"SIN RIESGO",IF(AND(OR(O240&gt;0,R240&gt;0),NG240&gt;=2),"CON RIESGO","ASD")))))</f>
        <v>SIN RIESGO</v>
      </c>
      <c r="AL240" s="26" t="s">
        <v>864</v>
      </c>
      <c r="AM240" s="26" t="s">
        <v>864</v>
      </c>
      <c r="AN240" s="26" t="s">
        <v>864</v>
      </c>
      <c r="AO240" s="26" t="s">
        <v>864</v>
      </c>
      <c r="AP240" s="26" t="s">
        <v>864</v>
      </c>
      <c r="AQ240" s="26" t="s">
        <v>864</v>
      </c>
      <c r="AR240" s="26" t="s">
        <v>864</v>
      </c>
      <c r="AS240" s="21">
        <v>1</v>
      </c>
      <c r="AT240" s="21">
        <v>1</v>
      </c>
      <c r="AU240" s="21">
        <v>0</v>
      </c>
      <c r="AV240" s="26" t="s">
        <v>864</v>
      </c>
      <c r="AW240" s="21">
        <v>0</v>
      </c>
      <c r="AX240" s="26" t="s">
        <v>864</v>
      </c>
      <c r="AY240" s="26" t="s">
        <v>864</v>
      </c>
      <c r="AZ240" s="26" t="s">
        <v>864</v>
      </c>
      <c r="BA240" s="26" t="s">
        <v>864</v>
      </c>
      <c r="BB240" s="26" t="s">
        <v>864</v>
      </c>
      <c r="BC240" s="26" t="s">
        <v>864</v>
      </c>
      <c r="BD240" s="26" t="s">
        <v>864</v>
      </c>
      <c r="BE240" s="26" t="s">
        <v>864</v>
      </c>
      <c r="BF240" s="26" t="s">
        <v>864</v>
      </c>
      <c r="BG240" s="26" t="s">
        <v>864</v>
      </c>
      <c r="BH240" s="26" t="s">
        <v>864</v>
      </c>
      <c r="BI240" s="26" t="s">
        <v>864</v>
      </c>
      <c r="BJ240" s="26" t="s">
        <v>864</v>
      </c>
      <c r="BK240" s="26" t="s">
        <v>864</v>
      </c>
      <c r="BL240" s="26" t="s">
        <v>864</v>
      </c>
      <c r="BM240" s="26" t="s">
        <v>864</v>
      </c>
      <c r="BN240" s="22"/>
      <c r="BO240" s="22">
        <v>45092</v>
      </c>
      <c r="BP240" s="21" t="s">
        <v>864</v>
      </c>
      <c r="BQ240" s="222">
        <f t="shared" si="840"/>
        <v>0</v>
      </c>
      <c r="BR240" s="223" t="str">
        <f t="shared" si="841"/>
        <v/>
      </c>
      <c r="BS240" s="224">
        <f t="shared" si="842"/>
        <v>7</v>
      </c>
      <c r="BT240" s="216" t="str">
        <f t="shared" si="843"/>
        <v>DEFINIR CON ECO</v>
      </c>
      <c r="BU240" s="214">
        <f t="shared" ca="1" si="925"/>
        <v>20.142857142857142</v>
      </c>
      <c r="BV240" s="25"/>
      <c r="BW240" s="22"/>
      <c r="BX240" s="28"/>
      <c r="BY240" s="28"/>
      <c r="BZ240" s="22"/>
      <c r="CA240" s="21"/>
      <c r="CB240" s="26"/>
      <c r="CC240" s="26"/>
      <c r="CD240" s="26"/>
      <c r="CE240" s="26"/>
      <c r="CF240" s="22" t="s">
        <v>1517</v>
      </c>
      <c r="CG240" s="21">
        <v>1.48</v>
      </c>
      <c r="CH240" s="21">
        <v>55</v>
      </c>
      <c r="CI240" s="214">
        <f t="shared" si="845"/>
        <v>25.10956902848795</v>
      </c>
      <c r="CJ240" s="225" t="str">
        <f>IF(AND(CI240&lt;10,CH240="SD"),"SIN DATO PESO PREGESTACION O I TRIM",IF(AND(OR(R240&gt;0,O240&gt;0),CI240="X"),"INGRESAR DATO DE PESO",IF(CI240="SD","INGRESAR DATO DE TALLA Y PESO",IF(AND(OR(Tabla1[[#This Row],[MOMENTO EN QUE SE REALIZA EL PESO AL INGRESO A CPN]]="PREGESTACIÓN",NZ240="Menor"),CI240&lt;18.5),"BAJO PESO",IF(AND(OR(Tabla1[[#This Row],[MOMENTO EN QUE SE REALIZA EL PESO AL INGRESO A CPN]]="PREGESTACIÓN",NZ240="Menor"),CI240&lt;25),"NORMAL",IF(AND(OR(Tabla1[[#This Row],[MOMENTO EN QUE SE REALIZA EL PESO AL INGRESO A CPN]]="PREGESTACIÓN",NZ240="Menor"),CI240&lt;30),"SOBREPESO",IF(AND(OR(Tabla1[[#This Row],[MOMENTO EN QUE SE REALIZA EL PESO AL INGRESO A CPN]]="PREGESTACIÓN",NZ240="Menor"),CI240&gt;=30,CI240&lt;50),"OBESIDAD",IF(AND(BS240&gt;0,Tabla1[[#This Row],[MOMENTO EN QUE SE REALIZA EL PESO AL INGRESO A CPN]]="GESTACIÓN"),HLOOKUP(NZ240,$OA$2:PH240,NY240),""))))))))</f>
        <v>SOBREPESO</v>
      </c>
      <c r="CK240" s="212">
        <f t="shared" si="846"/>
        <v>45141</v>
      </c>
      <c r="CL240" s="21">
        <v>55</v>
      </c>
      <c r="CM240" s="214">
        <f t="shared" si="847"/>
        <v>25.10956902848795</v>
      </c>
      <c r="CN240" s="216">
        <f t="shared" si="848"/>
        <v>7</v>
      </c>
      <c r="CO240" s="216" t="e">
        <f>IF(PI240="","",IF(PI240&gt;0,HLOOKUP(PI240,$PJ$2:QQ240,NY240),""))</f>
        <v>#REF!</v>
      </c>
      <c r="CP240" s="21"/>
      <c r="CQ240" s="216" t="str">
        <f>IF(QR240="Menor","NO APLICA-MENOR 13 SEM",IF(AND(CC240="SI",CN240&gt;23),"NO APLICA- GEMELAR",IF(QR240="","",IF(QR240&gt;0,HLOOKUP(QR240,$QS$2:RU240,NY240),""))))</f>
        <v>NO APLICA-MENOR 13 SEM</v>
      </c>
      <c r="CR240" s="21">
        <v>90</v>
      </c>
      <c r="CS240" s="21">
        <v>60</v>
      </c>
      <c r="CT240" s="217" t="str">
        <f>IF(R240="","",IF(AND(BS240&gt;1,BS240&lt;12,Tabla1[[#This Row],[T.A. SISTOLICA - ANTES DE SEMANA 12]]="",Tabla1[[#This Row],[T.A. DIASTOLICA - ANTES DE SEMANA 12]]=""),"REGISTRE DATO TA ANTES SEMANA 12",IF(AND(BS240&gt;11,BS240&lt;43,Tabla1[[#This Row],[T.A. SISTOLICA - ANTES DE SEMANA 12]]="",Tabla1[[#This Row],[T.A. DIASTOLICA - ANTES DE SEMANA 12]]=""),"NO APLICA REGISTRO TA-INGRESO TARDIO",IF(AND(OR(O240&gt;0,R240&gt;0),OR(CR240&gt;=140,CS240&gt;=90)),"DEFINIR ESTADIO HTA",IF(AND(OR(O240&gt;0,R240&gt;0),AND(CR240&gt;120,CR240&lt;=139)),"PRE HTA SEGUIMIENTO",IF(AND(OR(O240&gt;0,R240&gt;0),AND(CS240&gt;80,CS240&lt;=89)),"PRE HTA SEGUIMIENTO",IF(AND(OR(O240&gt;0,R240&gt;0),AND(CR240&gt;=80,CR240&lt;=120)),"APARENTEMENTE NORMAL",IF(AND(OR(O240&gt;0,R240&gt;0),AND(CS240&gt;=50,CS240&lt;=80)),"APARENTEMENTE NORMAL",IF(AND(OR(O240&gt;0,R240&gt;0),AND(CR240&gt;1,CR240&lt;=70),AND(CS240&gt;1,CS240&lt;=40)),"HIPOTENSIÓN","")))))))))</f>
        <v>APARENTEMENTE NORMAL</v>
      </c>
      <c r="CU240" s="21"/>
      <c r="CV240" s="21"/>
      <c r="CW240" s="217" t="str">
        <f ca="1">IF(R240="","",IF(AND(CN240&gt;19,CN240&lt;27,Tabla1[[#This Row],[T.A. SISTOLICA (Entre semana 20 y 26)]]="",Tabla1[[#This Row],[T.A. DIATOLICA (Entre semana 20 y 26)]]=""),"ACUDE A CONTROL SEM 20 A 26 REGISTRE TA AHORA",IF(AND(BS240&gt;1,BS240&lt;27,BU240&gt;19,Tabla1[[#This Row],[T.A. SISTOLICA (Entre semana 20 y 26)]]="",Tabla1[[#This Row],[T.A. DIATOLICA (Entre semana 20 y 26)]]=""),"COMPLETE REGISTRO TA CONTROL SEM 20 A26 ",IF(AND(BS240&gt;26,BS240&lt;43,Tabla1[[#This Row],[T.A. SISTOLICA (Entre semana 20 y 26)]]="",Tabla1[[#This Row],[T.A. DIATOLICA (Entre semana 20 y 26)]]=""),"NO APLICA REGISTRO TA-INGRESO TARDIO",IF(AND(OR(O240&gt;0,R240&gt;0),OR(CU240&gt;=140,CV240&gt;=90)),"ALTO RIESGO PREECLAMPSIA,DEFINIR ESTADIO HTA",IF(AND(OR(O240&gt;0,R240&gt;0),AND(CU240&gt;120,CU240&lt;=139)),"PRE HTA SEGUIMIENTO,RIESGO HIPERTENSION INDUCIDA POR EL EMBARAZO",IF(AND(OR(O240&gt;0,R240&gt;0),AND(CV240&gt;80,CV240&lt;=89)),"PRE HTA SEGUIMIENTO, RIESGO HIPERTENSION INDUCIDA POR EL EMBARAZO",IF(AND(OR(O240&lt;&gt;"",R240&lt;&gt;""),CS240&lt;&gt;"",CV240&lt;&gt;"",CS240&lt;=CV240),"VIGILAR CIFRAS PRESION ARTERIAL",IF(AND(OR(O240&gt;0,R240&gt;0),AND(CU240&gt;120,CU240&lt;=139)),"PRE HTA SEGUIMIENTO",IF(AND(OR(O240&gt;0,R240&gt;0),AND(CU240&gt;1,CU240&lt;=70),AND(CV240&gt;1,CV240&lt;=40)),"HIPOTENSIÓN",IF(AND(OR(O240&lt;&gt;"",R240&lt;&gt;""),CS240&lt;&gt;"",CV240&lt;&gt;"",CS240&gt;CV240),"APARENTEMENTE NORMAL",IF(AND(OR(O240&gt;0,R240&gt;0),AND(CU240&gt;=80,CU240&lt;=120)),"APARENTEMENTE NORMAL",IF(AND(OR(O240&gt;0,R240&gt;0),AND(CV240&gt;=50,CV240&lt;=80)),"APARENTEMENTE NORMAL","")))))))))))))</f>
        <v xml:space="preserve">COMPLETE REGISTRO TA CONTROL SEM 20 A26 </v>
      </c>
      <c r="CX240" s="21"/>
      <c r="CY240" s="21"/>
      <c r="CZ240" s="216" t="str">
        <f t="shared" si="1042"/>
        <v/>
      </c>
      <c r="DA240" s="21">
        <v>90</v>
      </c>
      <c r="DB240" s="21">
        <v>60</v>
      </c>
      <c r="DC240" s="217" t="str">
        <f t="shared" si="849"/>
        <v>APARENTEMENTE NORMAL</v>
      </c>
      <c r="DD240" s="22">
        <v>45141</v>
      </c>
      <c r="DE240" s="22">
        <v>45141</v>
      </c>
      <c r="DF240" s="22"/>
      <c r="DG240" s="22"/>
      <c r="DH240" s="22"/>
      <c r="DI240" s="22"/>
      <c r="DJ240" s="22"/>
      <c r="DK240" s="22"/>
      <c r="DL240" s="22"/>
      <c r="DM240" s="22"/>
      <c r="DN240" s="22"/>
      <c r="DO240" s="22"/>
      <c r="DP240" s="22"/>
      <c r="DQ240" s="22"/>
      <c r="DR240" s="28"/>
      <c r="DS240" s="22"/>
      <c r="DT240" s="22"/>
      <c r="DU240" s="216" t="str">
        <f t="shared" ca="1" si="917"/>
        <v>EN ESPERA</v>
      </c>
      <c r="DV240" s="226" t="str">
        <f t="shared" si="918"/>
        <v>ACTIVA INGRESO A CPN</v>
      </c>
      <c r="DW240"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0" s="216" t="e">
        <f t="shared" ca="1" si="850"/>
        <v>#REF!</v>
      </c>
      <c r="DY240" s="212">
        <f>IF(R240="","",IF(R240&gt;0,MAX(Tabla1[[#This Row],[FECHA C2]:[FECHA C13]],Tabla1[[#This Row],[FECHA CONSULTA PRIMERA VEZ PROGRAMA CPN ]])))</f>
        <v>45141</v>
      </c>
      <c r="DZ240" s="216">
        <f t="shared" si="851"/>
        <v>7</v>
      </c>
      <c r="EA240" s="222">
        <f>IF(R240&gt;0,SUM(COUNTA(DF240:DQ240)+COUNTA(Tabla1[[#This Row],[FECHA CONSULTA PRIMERA VEZ PROGRAMA CPN ]])),"")</f>
        <v>1</v>
      </c>
      <c r="EB240" s="222" t="str">
        <f t="shared" si="852"/>
        <v>NO</v>
      </c>
      <c r="EC240" s="214">
        <f t="shared" si="853"/>
        <v>10</v>
      </c>
      <c r="ED240" s="227">
        <f t="shared" si="854"/>
        <v>0.1</v>
      </c>
      <c r="EE240" s="22">
        <v>45141</v>
      </c>
      <c r="EF240" s="22">
        <v>45141</v>
      </c>
      <c r="EG240" s="22">
        <v>45141</v>
      </c>
      <c r="EH240" s="22"/>
      <c r="EI240" s="22">
        <v>45141</v>
      </c>
      <c r="EJ240" s="22"/>
      <c r="EK240" s="22"/>
      <c r="EL240" s="21"/>
      <c r="EM240" s="21"/>
      <c r="EN240" s="22"/>
      <c r="EO240" s="222" t="str">
        <f t="shared" si="855"/>
        <v>TOMAR EXAMEN</v>
      </c>
      <c r="EP240" s="214" t="str">
        <f t="shared" si="856"/>
        <v/>
      </c>
      <c r="EQ240" s="216" t="str">
        <f t="shared" si="857"/>
        <v>POR DEFINIR</v>
      </c>
      <c r="ER240" s="24"/>
      <c r="ES240" s="22"/>
      <c r="ET240" s="29" t="str">
        <f t="shared" ca="1" si="919"/>
        <v>EN ESPERA PARA TOMA EXAMEN</v>
      </c>
      <c r="EU240" s="25" t="str">
        <f t="shared" si="858"/>
        <v/>
      </c>
      <c r="EV240" s="24"/>
      <c r="EW240" s="24"/>
      <c r="EX240" s="22"/>
      <c r="EY240" s="29" t="str">
        <f t="shared" si="1040"/>
        <v>TOMAR EXAMEN</v>
      </c>
      <c r="EZ240" s="25" t="str">
        <f t="shared" ca="1" si="1041"/>
        <v/>
      </c>
      <c r="FA240" s="21"/>
      <c r="FB240" s="22"/>
      <c r="FC240" s="29" t="str">
        <f t="shared" si="859"/>
        <v>TOMAR EXAMEN</v>
      </c>
      <c r="FD240" s="29"/>
      <c r="FE240" s="29"/>
      <c r="FF240" s="29"/>
      <c r="FG240" s="21" t="str">
        <f t="shared" ca="1" si="860"/>
        <v>PROGRAMAR TOMA PTOG SIGUIENTE CONTROL</v>
      </c>
      <c r="FH240" s="31"/>
      <c r="FI240" s="29" t="str">
        <f t="shared" si="861"/>
        <v>TOMAR EXAMEN</v>
      </c>
      <c r="FJ240" s="22"/>
      <c r="FK240" s="22"/>
      <c r="FL240" s="29" t="str">
        <f t="shared" ca="1" si="862"/>
        <v>PIERDE TOMA DE TAMIZAJE</v>
      </c>
      <c r="FM240" s="22"/>
      <c r="FN240" s="32"/>
      <c r="FO240" s="29" t="str">
        <f t="shared" ca="1" si="920"/>
        <v>EN RANGO PARA TOMAR EXAMEN</v>
      </c>
      <c r="FP240" s="22"/>
      <c r="FQ240" s="32"/>
      <c r="FR240" s="29" t="str">
        <f t="shared" ca="1" si="921"/>
        <v>EN ESPERA-ESTÁ I TRIM O II TRIM</v>
      </c>
      <c r="FS240" s="22"/>
      <c r="FT240" s="32"/>
      <c r="FU240" s="29" t="str">
        <f>IF(AND(FJ240="",FM240="",FP240="",FS240=""),"",IF(OR(OR(Tabla1[[#This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0" s="28"/>
      <c r="FW240" s="22"/>
      <c r="FX240" s="29" t="str">
        <f t="shared" si="863"/>
        <v>TOMAR EXAMEN</v>
      </c>
      <c r="FY240" s="22"/>
      <c r="FZ240" s="22"/>
      <c r="GA240" s="29" t="str">
        <f t="shared" ca="1" si="936"/>
        <v>PIERDE TOMA DE TAMIZAJE</v>
      </c>
      <c r="GB240" s="22"/>
      <c r="GC240" s="22"/>
      <c r="GD240" s="29" t="str">
        <f t="shared" ca="1" si="1045"/>
        <v>EN RANGO PARA TOMAR EXAMEN</v>
      </c>
      <c r="GE240" s="22"/>
      <c r="GF240" s="22"/>
      <c r="GG240" s="29" t="str">
        <f t="shared" ca="1" si="923"/>
        <v>EN ESPERA-ESTÁ I TRIM O II TRIM</v>
      </c>
      <c r="GH240" s="22"/>
      <c r="GI240" s="29"/>
      <c r="GJ240" s="22"/>
      <c r="GK240" s="22"/>
      <c r="GL240" s="22"/>
      <c r="GM240" s="22"/>
      <c r="GN240" s="28"/>
      <c r="GO240" s="22"/>
      <c r="GP240" s="29" t="str">
        <f t="shared" si="864"/>
        <v>TOMAR EXAMEN</v>
      </c>
      <c r="GQ240" s="28"/>
      <c r="GR240" s="28"/>
      <c r="GS240" s="22" t="str">
        <f t="shared" si="1044"/>
        <v/>
      </c>
      <c r="GT240" s="22"/>
      <c r="GU240" s="29" t="str">
        <f t="shared" si="865"/>
        <v>TOMAR EXAMEN</v>
      </c>
      <c r="GV240" s="21" t="str">
        <f t="shared" si="866"/>
        <v>POR DEFINIR</v>
      </c>
      <c r="GW240" s="28"/>
      <c r="GX240" s="30"/>
      <c r="GY240" s="21"/>
      <c r="GZ240" s="21"/>
      <c r="HA240" s="21"/>
      <c r="HB240" s="21"/>
      <c r="HC240" s="21"/>
      <c r="HD240" s="21"/>
      <c r="HE240" s="21"/>
      <c r="HF240" s="22"/>
      <c r="HG240" s="22" t="str">
        <f>IF(OR(O240&gt;0,R240&gt;0),CONCATENATE(IF(Tabla1[[#This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0" s="22" t="e">
        <f t="shared" si="867"/>
        <v>#REF!</v>
      </c>
      <c r="HI240" s="22" t="e">
        <f t="shared" ca="1" si="868"/>
        <v>#REF!</v>
      </c>
      <c r="HJ240" s="21"/>
      <c r="HK240" s="21" t="str">
        <f t="shared" si="869"/>
        <v>SIN ANTECEDENTES DE RIESGO</v>
      </c>
      <c r="HL240" s="24" t="str">
        <f t="shared" si="870"/>
        <v>APARENTEMENTE NORMAL</v>
      </c>
      <c r="HM240" s="21" t="e">
        <f t="shared" ca="1" si="871"/>
        <v>#REF!</v>
      </c>
      <c r="HN240" s="30" t="str">
        <f t="shared" si="924"/>
        <v>ACTIVA INGRESO A CPN</v>
      </c>
      <c r="HO240" s="21"/>
      <c r="HP240" s="21"/>
      <c r="HQ240" s="349"/>
      <c r="HR240" s="21" t="str">
        <f>IF(R240="","",IF(Tabla1[[#This Row],[ALARMA FACTORES DE RIESGO COMPLICACIONES HIPERTENSIVAS3]]="SIN ANTECEDENTES DE RIESGO","No Aplica para suministro de ASA",IF(AND(Tabla1[[#This Row],[FECHA INICIO DE SUMINISTRO DE ASA]]&gt;0,RV240&lt;12),"Inicia ASA ANTES de Sem 12",IF(AND(RV240&gt;11,RV240&lt;17,OR(HK240="RIESGO ALTO DE COMPLICACIONES HIPERTENSIVAS VER MANEJO GUIA SUMINISTRO ASA Y CALCIO",HK240="RIESGO MODERADO (2 O MAS CRITERIOS) VER MANEJO GUIA SUMINISTRO ASA Y CALCIO")),"Inicio oportuno de ASA",IF(AND(RV240&gt;12,OR(HK240="RIESGO ALTO DE COMPLICACIONES HIPERTENSIVAS VER MANEJO GUIA SUMINISTRO ASA Y CALCIO",HK240="RIESGO MODERADO (2 O MAS CRITERIOS) VER MANEJO GUIA SUMINISTRO ASA Y CALCIO")),"Inicio no oportuno mayor a 16 semanas",IF(AND(BU240&lt;12,OR(HK240="RIESGO ALTO DE COMPLICACIONES HIPERTENSIVAS VER MANEJO GUIA SUMINISTRO ASA Y CALCIO",HK240="RIESGO MODERADO (2 O MAS CRITERIOS) VER MANEJO GUIA SUMINISTRO ASA Y CALCIO")),"Pendiente Inicio de ASA a la semana 12",IF(AND(BU240&gt;11,BU240&lt;17,OR(HK240="RIESGO ALTO DE COMPLICACIONES HIPERTENSIVAS VER MANEJO GUIA SUMINISTRO ASA Y CALCIO",HK240="RIESGO MODERADO (2 O MAS CRITERIOS) VER MANEJO GUIA SUMINISTRO ASA Y CALCIO")),"Iniciar de inmediato ASA",IF(AND(BU240&gt;16,OR(HK240="RIESGO ALTO DE COMPLICACIONES HIPERTENSIVAS VER MANEJO GUIA SUMINISTRO ASA Y CALCIO",HK240="RIESGO MODERADO (2 O MAS CRITERIOS) VER MANEJO GUIA SUMINISTRO ASA Y CALCIO")),"Pierde Oportunidad, Inicio tardío de ASA","XXXXX"))))))))</f>
        <v>No Aplica para suministro de ASA</v>
      </c>
      <c r="HS240" s="22">
        <v>45141</v>
      </c>
      <c r="HT240" s="22" t="s">
        <v>1518</v>
      </c>
      <c r="HU240" s="22">
        <v>45141</v>
      </c>
      <c r="HV240" s="22" t="s">
        <v>1506</v>
      </c>
      <c r="HW240" s="22"/>
      <c r="HX240" s="22"/>
      <c r="HY240" s="22">
        <v>45141</v>
      </c>
      <c r="HZ240" s="28">
        <f t="shared" si="872"/>
        <v>7</v>
      </c>
      <c r="IA240" s="26"/>
      <c r="IB240" s="26"/>
      <c r="IC240" s="111"/>
      <c r="ID240" s="22"/>
      <c r="IE240" s="22" t="str">
        <f t="shared" ca="1" si="873"/>
        <v>PROGRAMAR APLICACION DE VACUNA</v>
      </c>
      <c r="IF240" s="22"/>
      <c r="IG240" s="22">
        <f t="shared" si="874"/>
        <v>45372</v>
      </c>
      <c r="IH240" s="29">
        <f t="shared" ca="1" si="875"/>
        <v>139</v>
      </c>
      <c r="II240" s="22" t="str">
        <f t="shared" ca="1" si="876"/>
        <v>PENDIENTE</v>
      </c>
      <c r="IJ240" s="22"/>
      <c r="IK240" s="21"/>
      <c r="IL240" s="21"/>
      <c r="IM240" s="34"/>
      <c r="IN240" s="22"/>
      <c r="IO240" s="21"/>
      <c r="IP240" s="29" t="str">
        <f t="shared" si="877"/>
        <v/>
      </c>
      <c r="IQ240" s="35"/>
      <c r="IR240" s="21"/>
      <c r="IS240" s="21"/>
      <c r="IT240" s="21"/>
      <c r="IU240" s="21"/>
      <c r="IV240" s="21"/>
      <c r="IW240" s="21"/>
      <c r="IX240" s="21"/>
      <c r="IY240" s="21"/>
      <c r="IZ240" s="21"/>
      <c r="JA240" s="21"/>
      <c r="JB240" s="30"/>
      <c r="JC240" s="21"/>
      <c r="JD240" s="36"/>
      <c r="JE240" s="21" t="str">
        <f t="shared" si="878"/>
        <v/>
      </c>
      <c r="JF240" s="30"/>
      <c r="JG240" s="21"/>
      <c r="JH240" s="21"/>
      <c r="JI240" s="21"/>
      <c r="JJ240" s="30"/>
      <c r="JK240" s="22"/>
      <c r="JL240" s="22"/>
      <c r="JM240" s="21"/>
      <c r="JN240" s="36"/>
      <c r="JO240" s="21" t="str">
        <f t="shared" si="879"/>
        <v/>
      </c>
      <c r="JP240" s="22"/>
      <c r="JQ240" s="21"/>
      <c r="JR240" s="21"/>
      <c r="JS240" s="21"/>
      <c r="JT240" s="30"/>
      <c r="JU240" s="22"/>
      <c r="JV240" s="22"/>
      <c r="JW240" s="33"/>
      <c r="JX240" s="28" t="str">
        <f t="shared" si="880"/>
        <v/>
      </c>
      <c r="JY240" s="33"/>
      <c r="JZ240" s="28" t="str">
        <f t="shared" si="881"/>
        <v/>
      </c>
      <c r="KA240" s="21"/>
      <c r="KB240" s="21"/>
      <c r="KC240" s="21"/>
      <c r="KD240" s="37"/>
      <c r="KE240" s="28"/>
      <c r="KF240" s="28"/>
      <c r="KG240" s="28"/>
      <c r="KH240" s="39"/>
      <c r="KI240" s="39"/>
      <c r="KJ240" s="66"/>
      <c r="KK240" s="39"/>
      <c r="KL240" s="39"/>
      <c r="KM240" s="66"/>
      <c r="KN240" s="39"/>
      <c r="KO240" s="39"/>
      <c r="KP240" s="39"/>
      <c r="KQ240" s="39"/>
      <c r="KR240" s="39"/>
      <c r="KS240" s="39"/>
      <c r="KT240" s="39"/>
      <c r="KU240" s="38"/>
      <c r="KV240" s="38"/>
      <c r="KW240" s="38"/>
      <c r="KX240" s="38"/>
      <c r="KY240" s="38"/>
      <c r="KZ240" s="38"/>
      <c r="LA240" s="38"/>
      <c r="LB240" s="38"/>
      <c r="LC240" s="38"/>
      <c r="LD240" s="38"/>
      <c r="LE240" s="38"/>
      <c r="LF240" s="38"/>
      <c r="LG240" s="38"/>
      <c r="LH240" s="38"/>
      <c r="LI240" s="38"/>
      <c r="LJ240" s="38"/>
      <c r="LK240" s="38"/>
      <c r="LL240" s="38"/>
      <c r="LM240" s="38"/>
      <c r="LN240" s="38"/>
      <c r="LO240" s="38"/>
      <c r="LP240" s="38"/>
      <c r="LQ240" s="38"/>
      <c r="LR240" s="38"/>
      <c r="LS240" s="38"/>
      <c r="LT240" s="38"/>
      <c r="LU240" s="38"/>
      <c r="LV240" s="38"/>
      <c r="LW240" s="38"/>
      <c r="LX240" s="38"/>
      <c r="LY240" s="38"/>
      <c r="LZ240" s="38"/>
      <c r="MA240" s="38"/>
      <c r="MB240" s="38"/>
      <c r="MC240" s="38"/>
      <c r="MD240" s="38"/>
      <c r="ME240" s="38"/>
      <c r="MF240" s="38"/>
      <c r="MG240" s="38"/>
      <c r="MH240" s="43">
        <f t="shared" si="882"/>
        <v>0</v>
      </c>
      <c r="MI240" s="43" t="str">
        <f t="shared" si="926"/>
        <v/>
      </c>
      <c r="MJ240" s="43" t="str">
        <f t="shared" si="884"/>
        <v/>
      </c>
      <c r="MK240" s="43">
        <f t="shared" si="885"/>
        <v>0</v>
      </c>
      <c r="ML240"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0" s="43">
        <f t="shared" si="927"/>
        <v>7</v>
      </c>
      <c r="MN240" s="43">
        <f t="shared" si="928"/>
        <v>8</v>
      </c>
      <c r="MO240" s="43">
        <f t="shared" si="929"/>
        <v>2023</v>
      </c>
      <c r="MP240" s="43" t="str">
        <f t="shared" si="889"/>
        <v>III TRIMESTRE AÑO</v>
      </c>
      <c r="MQ240" s="43">
        <f t="shared" si="930"/>
        <v>29.856548401226458</v>
      </c>
      <c r="MR240" s="43">
        <f t="shared" si="891"/>
        <v>0</v>
      </c>
      <c r="MS240" s="43" t="str">
        <f t="shared" si="892"/>
        <v xml:space="preserve"> DE 25 A 29 AÑOS</v>
      </c>
      <c r="MT240" s="43">
        <f t="shared" si="893"/>
        <v>0</v>
      </c>
      <c r="MU240" s="43">
        <f t="shared" si="894"/>
        <v>0</v>
      </c>
      <c r="MV240" s="43">
        <f t="shared" si="895"/>
        <v>0</v>
      </c>
      <c r="MW240" s="43">
        <f t="shared" si="896"/>
        <v>0</v>
      </c>
      <c r="MX240" s="43" t="str">
        <f t="shared" si="897"/>
        <v/>
      </c>
      <c r="MY240" s="43" t="str">
        <f t="shared" ca="1" si="898"/>
        <v/>
      </c>
      <c r="MZ240" s="43" t="str">
        <f t="shared" si="899"/>
        <v/>
      </c>
      <c r="NA240" s="43" t="str">
        <f t="shared" si="900"/>
        <v/>
      </c>
      <c r="NB240" s="43" t="str">
        <f t="shared" si="901"/>
        <v/>
      </c>
      <c r="NC240" s="43" t="str">
        <f t="shared" si="902"/>
        <v/>
      </c>
      <c r="ND240" s="43">
        <f t="shared" ca="1" si="931"/>
        <v>0</v>
      </c>
      <c r="NE240" s="43">
        <f>IF(OR(O240&gt;0,R240&gt;0),SUM(COUNTIF(Tabla1[[#This Row],[AÑOS AL INICIO5 CPN]],"&gt;=40"),COUNTIF(AS240,"0"),COUNTIF(AR240,"SI"),COUNTIF(CC240,"SI"),COUNTIF(BQ240,"&gt;119"),COUNTIF(CI240,"&gt;=35")),"")</f>
        <v>0</v>
      </c>
      <c r="NF240" s="43" t="str">
        <f t="shared" si="932"/>
        <v/>
      </c>
      <c r="NG240" s="43">
        <f t="shared" si="905"/>
        <v>0</v>
      </c>
      <c r="NH240" s="43" t="str">
        <f t="shared" si="906"/>
        <v/>
      </c>
      <c r="NI240"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CPN",P240="NO"),"Z",IF(AND(Tabla1[[#This Row],[CITA PROXIMO CONTROL]]="CITA MANUAL",Tabla1[[#This Row],[GESTANTES ACTUALES]]="ACTIVA INGRESO A CPN"),"W",IF(AND(Tabla1[[#This Row],[GESTANTES ACTUALES]]="SALIO PROGRAMA",IN240=""),"S",IF(AND(Tabla1[[#This Row],[CITA PROXIMO CONTROL]]&gt;0,IN240=""),(Tabla1[[#This Row],[CITA PROXIMO CONTROL]]-TODAY()),"SD"))))))))</f>
        <v>#REF!</v>
      </c>
      <c r="NJ240" s="43">
        <f>MONTH(Tabla1[[#This Row],[FECHA DE SALIDA  DEL PROGRAMA]])</f>
        <v>1</v>
      </c>
      <c r="NK240" s="43">
        <f>YEAR(Tabla1[[#This Row],[FECHA DE SALIDA  DEL PROGRAMA]])</f>
        <v>1900</v>
      </c>
      <c r="NL240" s="43" t="str">
        <f t="shared" si="933"/>
        <v>X</v>
      </c>
      <c r="NM240" s="43" t="str">
        <f t="shared" si="938"/>
        <v>NO</v>
      </c>
      <c r="NN240" s="43" t="str">
        <f ca="1">IF(AND(O240&gt;0,R240=""),"NO CPN",IF(AND(O240="",R240=""),"",IF(AND(R240&gt;0,Tabla1[[#This Row],[SEMANAS DE GESTACION ACTUALIZADAS]]&lt;=12),"NO APLICA",IF(AND(FH240&lt;&gt;"",FN240&lt;&gt;""),"SI","NO"))))</f>
        <v>NO</v>
      </c>
      <c r="NO240" s="43" t="str">
        <f ca="1">IF(AND(O240&gt;0,R240=""),"NO CPN",IF(AND(O240="",R240=""),"",IF(AND(R240&gt;0,Tabla1[[#This Row],[SEMANAS DE GESTACION ACTUALIZADAS]]&lt;=27),"NO APLICA",IF(AND(ES240&lt;&gt;"",FQ240&lt;&gt;"",GF240&lt;&gt;""),"SI","NO"))))</f>
        <v>NO APLICA</v>
      </c>
      <c r="NP240" s="204" t="str">
        <f t="shared" si="909"/>
        <v>DEFINIR CON ECO</v>
      </c>
      <c r="NQ240" s="21" t="str">
        <f t="shared" si="1043"/>
        <v/>
      </c>
      <c r="NR240" s="21">
        <f t="shared" ca="1" si="934"/>
        <v>2</v>
      </c>
      <c r="NS240" s="205">
        <f t="shared" ca="1" si="911"/>
        <v>0</v>
      </c>
      <c r="NT240" s="21">
        <f t="shared" ca="1" si="912"/>
        <v>0</v>
      </c>
      <c r="NU240" s="21" t="str">
        <f t="shared" ca="1" si="913"/>
        <v>INCOMPLETO</v>
      </c>
      <c r="NV240" s="21" t="str">
        <f t="shared" ca="1" si="914"/>
        <v>INCOMPLETO</v>
      </c>
      <c r="NW240" s="206" t="str">
        <f>IF(AND(O240="",R240=""),"",IF(OR(AND(Tabla1[[#This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0" s="207" t="str">
        <f t="shared" ca="1" si="935"/>
        <v>SIN VACUNAR</v>
      </c>
      <c r="NY240" s="43">
        <f>ROW(Tabla1[[#This Row],['# DE TAMIZAJES SIFILIS TOMADOS ]])</f>
        <v>240</v>
      </c>
      <c r="NZ240" s="43" t="str">
        <f t="shared" si="939"/>
        <v>Menor</v>
      </c>
      <c r="OA240" s="43" t="str">
        <f t="shared" si="940"/>
        <v>SOBREPESO</v>
      </c>
      <c r="OB240" s="43" t="str">
        <f t="shared" si="941"/>
        <v/>
      </c>
      <c r="OC240" s="43" t="str">
        <f t="shared" si="942"/>
        <v/>
      </c>
      <c r="OD240" s="43" t="str">
        <f t="shared" si="943"/>
        <v/>
      </c>
      <c r="OE240" s="43" t="str">
        <f t="shared" si="944"/>
        <v/>
      </c>
      <c r="OF240" s="43" t="str">
        <f t="shared" si="945"/>
        <v/>
      </c>
      <c r="OG240" s="43" t="str">
        <f t="shared" si="946"/>
        <v/>
      </c>
      <c r="OH240" s="43" t="str">
        <f t="shared" si="947"/>
        <v/>
      </c>
      <c r="OI240" s="43" t="str">
        <f t="shared" si="948"/>
        <v/>
      </c>
      <c r="OJ240" s="43" t="str">
        <f t="shared" si="949"/>
        <v/>
      </c>
      <c r="OK240" s="43" t="str">
        <f t="shared" si="950"/>
        <v/>
      </c>
      <c r="OL240" s="43" t="str">
        <f t="shared" si="951"/>
        <v/>
      </c>
      <c r="OM240" s="43" t="str">
        <f t="shared" si="952"/>
        <v/>
      </c>
      <c r="ON240" s="43" t="str">
        <f t="shared" si="953"/>
        <v/>
      </c>
      <c r="OO240" s="43" t="str">
        <f t="shared" si="954"/>
        <v/>
      </c>
      <c r="OP240" s="43" t="str">
        <f t="shared" si="955"/>
        <v/>
      </c>
      <c r="OQ240" s="43" t="str">
        <f t="shared" si="956"/>
        <v/>
      </c>
      <c r="OR240" s="43" t="str">
        <f t="shared" si="957"/>
        <v/>
      </c>
      <c r="OS240" s="43" t="str">
        <f t="shared" si="958"/>
        <v/>
      </c>
      <c r="OT240" s="43" t="str">
        <f t="shared" si="959"/>
        <v/>
      </c>
      <c r="OU240" s="43" t="str">
        <f t="shared" si="960"/>
        <v/>
      </c>
      <c r="OV240" s="110" t="str">
        <f t="shared" si="961"/>
        <v/>
      </c>
      <c r="OW240" s="43" t="str">
        <f t="shared" si="962"/>
        <v/>
      </c>
      <c r="OX240" s="43" t="str">
        <f t="shared" si="963"/>
        <v/>
      </c>
      <c r="OY240" s="43" t="str">
        <f t="shared" si="964"/>
        <v/>
      </c>
      <c r="OZ240" s="43" t="str">
        <f t="shared" si="965"/>
        <v/>
      </c>
      <c r="PA240" s="43" t="str">
        <f t="shared" si="966"/>
        <v/>
      </c>
      <c r="PB240" s="43" t="str">
        <f t="shared" si="967"/>
        <v/>
      </c>
      <c r="PC240" s="43" t="str">
        <f t="shared" si="968"/>
        <v/>
      </c>
      <c r="PD240" s="43" t="str">
        <f t="shared" si="969"/>
        <v/>
      </c>
      <c r="PE240" s="43" t="str">
        <f t="shared" si="970"/>
        <v/>
      </c>
      <c r="PF240" s="43" t="str">
        <f t="shared" si="971"/>
        <v/>
      </c>
      <c r="PG240" s="43" t="str">
        <f t="shared" si="972"/>
        <v/>
      </c>
      <c r="PH240" s="43" t="str">
        <f t="shared" si="973"/>
        <v/>
      </c>
      <c r="PI240" s="43" t="str">
        <f t="shared" si="974"/>
        <v>Menor</v>
      </c>
      <c r="PJ240" s="43" t="str">
        <f t="shared" si="975"/>
        <v>SOBREPESO</v>
      </c>
      <c r="PK240" s="43" t="str">
        <f t="shared" si="976"/>
        <v/>
      </c>
      <c r="PL240" s="43" t="str">
        <f t="shared" si="977"/>
        <v/>
      </c>
      <c r="PM240" s="43" t="str">
        <f t="shared" si="978"/>
        <v/>
      </c>
      <c r="PN240" s="43" t="str">
        <f t="shared" si="979"/>
        <v/>
      </c>
      <c r="PO240" s="43" t="str">
        <f t="shared" si="980"/>
        <v/>
      </c>
      <c r="PP240" s="43" t="str">
        <f t="shared" si="981"/>
        <v/>
      </c>
      <c r="PQ240" s="43" t="str">
        <f t="shared" si="982"/>
        <v/>
      </c>
      <c r="PR240" s="43" t="str">
        <f t="shared" si="983"/>
        <v/>
      </c>
      <c r="PS240" s="43" t="str">
        <f t="shared" si="984"/>
        <v/>
      </c>
      <c r="PT240" s="43" t="str">
        <f t="shared" si="985"/>
        <v/>
      </c>
      <c r="PU240" s="43" t="str">
        <f t="shared" si="986"/>
        <v/>
      </c>
      <c r="PV240" s="43" t="str">
        <f t="shared" si="987"/>
        <v/>
      </c>
      <c r="PW240" s="43" t="str">
        <f t="shared" si="988"/>
        <v/>
      </c>
      <c r="PX240" s="43" t="str">
        <f t="shared" si="989"/>
        <v/>
      </c>
      <c r="PY240" s="43" t="str">
        <f t="shared" si="990"/>
        <v/>
      </c>
      <c r="PZ240" s="43" t="str">
        <f t="shared" si="991"/>
        <v/>
      </c>
      <c r="QA240" s="43" t="str">
        <f t="shared" si="992"/>
        <v/>
      </c>
      <c r="QB240" s="43" t="str">
        <f t="shared" si="993"/>
        <v/>
      </c>
      <c r="QC240" s="43" t="str">
        <f t="shared" si="994"/>
        <v/>
      </c>
      <c r="QD240" s="43" t="str">
        <f t="shared" si="995"/>
        <v/>
      </c>
      <c r="QE240" s="43" t="str">
        <f t="shared" si="996"/>
        <v/>
      </c>
      <c r="QF240" s="43" t="str">
        <f t="shared" si="997"/>
        <v/>
      </c>
      <c r="QG240" s="43" t="str">
        <f t="shared" si="998"/>
        <v/>
      </c>
      <c r="QH240" s="43" t="str">
        <f t="shared" si="999"/>
        <v/>
      </c>
      <c r="QI240" s="43" t="str">
        <f t="shared" si="1000"/>
        <v/>
      </c>
      <c r="QJ240" s="43" t="str">
        <f t="shared" si="1001"/>
        <v/>
      </c>
      <c r="QK240" s="43" t="str">
        <f t="shared" si="1002"/>
        <v/>
      </c>
      <c r="QL240" s="43" t="str">
        <f t="shared" si="1003"/>
        <v/>
      </c>
      <c r="QM240" s="43" t="str">
        <f t="shared" si="1004"/>
        <v/>
      </c>
      <c r="QN240" s="43" t="str">
        <f t="shared" si="1005"/>
        <v/>
      </c>
      <c r="QO240" s="43" t="str">
        <f t="shared" si="1006"/>
        <v/>
      </c>
      <c r="QP240" s="43" t="str">
        <f t="shared" si="1007"/>
        <v/>
      </c>
      <c r="QQ240" s="43" t="str">
        <f t="shared" si="1008"/>
        <v/>
      </c>
      <c r="QR240" s="43" t="str">
        <f t="shared" si="1009"/>
        <v>Menor</v>
      </c>
      <c r="QS240" s="43"/>
      <c r="QT240" s="21" t="str">
        <f t="shared" si="1010"/>
        <v/>
      </c>
      <c r="QU240" s="21" t="str">
        <f t="shared" si="1011"/>
        <v/>
      </c>
      <c r="QV240" s="21" t="str">
        <f t="shared" si="1012"/>
        <v/>
      </c>
      <c r="QW240" s="21" t="str">
        <f t="shared" si="1013"/>
        <v/>
      </c>
      <c r="QX240" s="21" t="str">
        <f t="shared" si="1014"/>
        <v/>
      </c>
      <c r="QY240" s="21" t="str">
        <f t="shared" si="1015"/>
        <v/>
      </c>
      <c r="QZ240" s="21" t="str">
        <f t="shared" si="1016"/>
        <v/>
      </c>
      <c r="RA240" s="21" t="str">
        <f t="shared" si="1017"/>
        <v/>
      </c>
      <c r="RB240" s="21" t="str">
        <f t="shared" si="1018"/>
        <v/>
      </c>
      <c r="RC240" s="21" t="str">
        <f t="shared" si="1019"/>
        <v/>
      </c>
      <c r="RD240" s="21" t="str">
        <f t="shared" si="1020"/>
        <v/>
      </c>
      <c r="RE240" s="21" t="str">
        <f t="shared" si="1021"/>
        <v/>
      </c>
      <c r="RF240" s="21" t="str">
        <f t="shared" si="1022"/>
        <v/>
      </c>
      <c r="RG240" s="21" t="str">
        <f t="shared" si="1023"/>
        <v/>
      </c>
      <c r="RH240" s="21" t="str">
        <f t="shared" si="1024"/>
        <v/>
      </c>
      <c r="RI240" s="21" t="str">
        <f t="shared" si="1025"/>
        <v/>
      </c>
      <c r="RJ240" s="21" t="str">
        <f t="shared" si="1026"/>
        <v/>
      </c>
      <c r="RK240" s="21" t="str">
        <f t="shared" si="1027"/>
        <v/>
      </c>
      <c r="RL240" s="21" t="str">
        <f t="shared" si="1028"/>
        <v/>
      </c>
      <c r="RM240" s="21" t="str">
        <f t="shared" si="1029"/>
        <v/>
      </c>
      <c r="RN240" s="21" t="str">
        <f t="shared" si="1030"/>
        <v/>
      </c>
      <c r="RO240" s="21" t="str">
        <f t="shared" si="1031"/>
        <v/>
      </c>
      <c r="RP240" s="21" t="str">
        <f t="shared" si="1032"/>
        <v/>
      </c>
      <c r="RQ240" s="21" t="str">
        <f t="shared" si="1033"/>
        <v/>
      </c>
      <c r="RR240" s="21" t="str">
        <f t="shared" si="1034"/>
        <v/>
      </c>
      <c r="RS240" s="21" t="str">
        <f t="shared" si="1035"/>
        <v/>
      </c>
      <c r="RT240" s="21" t="str">
        <f t="shared" si="1036"/>
        <v/>
      </c>
      <c r="RU240" s="21" t="str">
        <f t="shared" si="1037"/>
        <v/>
      </c>
      <c r="RV240" s="21">
        <f t="shared" si="1038"/>
        <v>-1</v>
      </c>
      <c r="RW240" s="284">
        <f>IF(OR(Tabla1[[#This Row],[FUM FORMULA CONFIABLE]]="",Tabla1[[#This Row],[FUM FORMULA CONFIABLE]]="SD"),"",IF(Tabla1[[#This Row],[FUM FORMULA CONFIABLE]]="CORREGIDA",Tabla1[[#This Row],[FUM X ECO 1]],Tabla1[[#This Row],[FUM x AMENORREA]]))</f>
        <v>45092</v>
      </c>
      <c r="RX240" s="21" t="str">
        <f>IF(AND(Tabla1[[#This Row],[FUM X ECO 1]]="",Tabla1[[#This Row],[FUM x AMENORREA]]=""),"",IF(AND(Tabla1[[#This Row],[FUM X ECO 1]]="",Tabla1[[#This Row],[FUM x AMENORREA]]&lt;&gt;""),"X",SUM(Tabla1[[#This Row],[FUM X ECO 1]]-Tabla1[[#This Row],[FUM x AMENORREA]])))</f>
        <v>X</v>
      </c>
      <c r="RY240" s="21" t="str">
        <f t="shared" si="1039"/>
        <v>x</v>
      </c>
    </row>
    <row r="241" spans="1:493" ht="45" customHeight="1" x14ac:dyDescent="0.25">
      <c r="A241" s="109"/>
      <c r="B241" s="43"/>
      <c r="C241" s="43" t="s">
        <v>845</v>
      </c>
      <c r="D241" s="124"/>
      <c r="E241" s="43" t="s">
        <v>1663</v>
      </c>
      <c r="F241" s="43" t="s">
        <v>1664</v>
      </c>
      <c r="G241" s="43" t="s">
        <v>938</v>
      </c>
      <c r="H241" s="43" t="s">
        <v>1665</v>
      </c>
      <c r="I241" s="109" t="s">
        <v>851</v>
      </c>
      <c r="J241" s="110">
        <v>1059601634</v>
      </c>
      <c r="K241" s="43" t="s">
        <v>852</v>
      </c>
      <c r="L241" s="175" t="s">
        <v>1509</v>
      </c>
      <c r="M241" s="22">
        <v>34116</v>
      </c>
      <c r="N241" s="213">
        <f t="shared" ca="1" si="839"/>
        <v>30.457534246575342</v>
      </c>
      <c r="O241" s="22">
        <v>45142</v>
      </c>
      <c r="P241" s="214" t="str">
        <f t="shared" si="916"/>
        <v>SI</v>
      </c>
      <c r="Q241" s="26" t="s">
        <v>855</v>
      </c>
      <c r="R241" s="22">
        <v>45142</v>
      </c>
      <c r="S241" s="21" t="s">
        <v>856</v>
      </c>
      <c r="T241" s="24" t="s">
        <v>690</v>
      </c>
      <c r="U241" s="21" t="s">
        <v>857</v>
      </c>
      <c r="V241" s="21" t="s">
        <v>858</v>
      </c>
      <c r="W241" s="21" t="s">
        <v>911</v>
      </c>
      <c r="X241" s="21" t="s">
        <v>911</v>
      </c>
      <c r="Y241" s="21"/>
      <c r="Z241" s="21">
        <v>3148122566</v>
      </c>
      <c r="AA241" s="21" t="s">
        <v>860</v>
      </c>
      <c r="AB241" s="27" t="s">
        <v>861</v>
      </c>
      <c r="AC241" s="26" t="s">
        <v>846</v>
      </c>
      <c r="AD241" s="21" t="s">
        <v>1546</v>
      </c>
      <c r="AE241" s="26" t="s">
        <v>854</v>
      </c>
      <c r="AF241" s="26" t="s">
        <v>854</v>
      </c>
      <c r="AG241" s="23" t="s">
        <v>864</v>
      </c>
      <c r="AH241" s="23" t="s">
        <v>864</v>
      </c>
      <c r="AI241" s="24" t="s">
        <v>863</v>
      </c>
      <c r="AJ241" s="23" t="s">
        <v>864</v>
      </c>
      <c r="AK241" s="220" t="str">
        <f>IF(AND(AD241="",AE241="",AF241="",AG241="",AH241="",AI241="",AJ241=""),"",IF(OR(Tabla1[[#This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EVALUACIÓN",IF(AND(O241="",R241=""),"",IF(AND(OR(O241&gt;0,R241&gt;0),NG241&gt;=0,NG241&lt;2),"SIN RIESGO",IF(AND(OR(O241&gt;0,R241&gt;0),NG241&gt;=2),"CON RIESGO","ASD")))))</f>
        <v>SIN RIESGO</v>
      </c>
      <c r="AL241" s="26" t="s">
        <v>864</v>
      </c>
      <c r="AM241" s="26" t="s">
        <v>864</v>
      </c>
      <c r="AN241" s="26" t="s">
        <v>864</v>
      </c>
      <c r="AO241" s="26" t="s">
        <v>864</v>
      </c>
      <c r="AP241" s="26" t="s">
        <v>864</v>
      </c>
      <c r="AQ241" s="26" t="s">
        <v>864</v>
      </c>
      <c r="AR241" s="26" t="s">
        <v>864</v>
      </c>
      <c r="AS241" s="21">
        <v>1</v>
      </c>
      <c r="AT241" s="21">
        <v>1</v>
      </c>
      <c r="AU241" s="21">
        <v>0</v>
      </c>
      <c r="AV241" s="26" t="s">
        <v>864</v>
      </c>
      <c r="AW241" s="21">
        <v>0</v>
      </c>
      <c r="AX241" s="26" t="s">
        <v>864</v>
      </c>
      <c r="AY241" s="26" t="s">
        <v>864</v>
      </c>
      <c r="AZ241" s="26" t="s">
        <v>864</v>
      </c>
      <c r="BA241" s="26" t="s">
        <v>864</v>
      </c>
      <c r="BB241" s="26" t="s">
        <v>864</v>
      </c>
      <c r="BC241" s="26" t="s">
        <v>864</v>
      </c>
      <c r="BD241" s="26" t="s">
        <v>864</v>
      </c>
      <c r="BE241" s="26" t="s">
        <v>864</v>
      </c>
      <c r="BF241" s="26" t="s">
        <v>864</v>
      </c>
      <c r="BG241" s="26" t="s">
        <v>864</v>
      </c>
      <c r="BH241" s="26" t="s">
        <v>864</v>
      </c>
      <c r="BI241" s="26" t="s">
        <v>864</v>
      </c>
      <c r="BJ241" s="26" t="s">
        <v>864</v>
      </c>
      <c r="BK241" s="26" t="s">
        <v>864</v>
      </c>
      <c r="BL241" s="26" t="s">
        <v>864</v>
      </c>
      <c r="BM241" s="26" t="s">
        <v>864</v>
      </c>
      <c r="BN241" s="22"/>
      <c r="BO241" s="22">
        <v>45097</v>
      </c>
      <c r="BP241" s="21" t="s">
        <v>864</v>
      </c>
      <c r="BQ241" s="222">
        <f t="shared" si="840"/>
        <v>0</v>
      </c>
      <c r="BR241" s="223" t="str">
        <f t="shared" si="841"/>
        <v/>
      </c>
      <c r="BS241" s="224">
        <f t="shared" si="842"/>
        <v>6.4285714285714288</v>
      </c>
      <c r="BT241" s="216" t="str">
        <f t="shared" si="843"/>
        <v>DEFINIR CON ECO</v>
      </c>
      <c r="BU241" s="214">
        <f t="shared" ca="1" si="925"/>
        <v>19.428571428571427</v>
      </c>
      <c r="BV241" s="25"/>
      <c r="BW241" s="22"/>
      <c r="BX241" s="28"/>
      <c r="BY241" s="28"/>
      <c r="BZ241" s="22"/>
      <c r="CA241" s="21"/>
      <c r="CB241" s="26"/>
      <c r="CC241" s="26"/>
      <c r="CD241" s="26"/>
      <c r="CE241" s="26"/>
      <c r="CF241" s="22" t="s">
        <v>1517</v>
      </c>
      <c r="CG241" s="21">
        <v>1.49</v>
      </c>
      <c r="CH241" s="21">
        <v>51.8</v>
      </c>
      <c r="CI241" s="214">
        <f t="shared" si="845"/>
        <v>23.332282329624793</v>
      </c>
      <c r="CJ241" s="225" t="str">
        <f>IF(AND(CI241&lt;10,CH241="SD"),"SIN DATO PESO PREGESTACION O I TRIM",IF(AND(OR(R241&gt;0,O241&gt;0),CI241="X"),"INGRESAR DATO DE PESO",IF(CI241="SD","INGRESAR DATO DE TALLA Y PESO",IF(AND(OR(Tabla1[[#This Row],[MOMENTO EN QUE SE REALIZA EL PESO AL INGRESO A CPN]]="PREGESTACIÓN",NZ241="Menor"),CI241&lt;18.5),"BAJO PESO",IF(AND(OR(Tabla1[[#This Row],[MOMENTO EN QUE SE REALIZA EL PESO AL INGRESO A CPN]]="PREGESTACIÓN",NZ241="Menor"),CI241&lt;25),"NORMAL",IF(AND(OR(Tabla1[[#This Row],[MOMENTO EN QUE SE REALIZA EL PESO AL INGRESO A CPN]]="PREGESTACIÓN",NZ241="Menor"),CI241&lt;30),"SOBREPESO",IF(AND(OR(Tabla1[[#This Row],[MOMENTO EN QUE SE REALIZA EL PESO AL INGRESO A CPN]]="PREGESTACIÓN",NZ241="Menor"),CI241&gt;=30,CI241&lt;50),"OBESIDAD",IF(AND(BS241&gt;0,Tabla1[[#This Row],[MOMENTO EN QUE SE REALIZA EL PESO AL INGRESO A CPN]]="GESTACIÓN"),HLOOKUP(NZ241,$OA$2:PH241,NY241),""))))))))</f>
        <v>NORMAL</v>
      </c>
      <c r="CK241" s="212">
        <f t="shared" si="846"/>
        <v>45142</v>
      </c>
      <c r="CL241" s="21">
        <v>51.8</v>
      </c>
      <c r="CM241" s="214">
        <f t="shared" si="847"/>
        <v>23.332282329624793</v>
      </c>
      <c r="CN241" s="216">
        <f t="shared" si="848"/>
        <v>6</v>
      </c>
      <c r="CO241" s="216" t="e">
        <f>IF(PI241="","",IF(PI241&gt;0,HLOOKUP(PI241,$PJ$2:QQ241,NY241),""))</f>
        <v>#REF!</v>
      </c>
      <c r="CP241" s="21"/>
      <c r="CQ241" s="216" t="str">
        <f>IF(QR241="Menor","NO APLICA-MENOR 13 SEM",IF(AND(CC241="SI",CN241&gt;23),"NO APLICA- GEMELAR",IF(QR241="","",IF(QR241&gt;0,HLOOKUP(QR241,$QS$2:RU241,NY241),""))))</f>
        <v>NO APLICA-MENOR 13 SEM</v>
      </c>
      <c r="CR241" s="21">
        <v>100</v>
      </c>
      <c r="CS241" s="21">
        <v>70</v>
      </c>
      <c r="CT241" s="217" t="str">
        <f>IF(R241="","",IF(AND(BS241&gt;1,BS241&lt;12,Tabla1[[#This Row],[T.A. SISTOLICA - ANTES DE SEMANA 12]]="",Tabla1[[#This Row],[T.A. DIASTOLICA - ANTES DE SEMANA 12]]=""),"REGISTRE DATO TA ANTES SEMANA 12",IF(AND(BS241&gt;11,BS241&lt;43,Tabla1[[#This Row],[T.A. SISTOLICA - ANTES DE SEMANA 12]]="",Tabla1[[#This Row],[T.A. DIASTOLICA - ANTES DE SEMANA 12]]=""),"NO APLICA REGISTRO TA-INGRESO TARDIO",IF(AND(OR(O241&gt;0,R241&gt;0),OR(CR241&gt;=140,CS241&gt;=90)),"DEFINIR ESTADIO HTA",IF(AND(OR(O241&gt;0,R241&gt;0),AND(CR241&gt;120,CR241&lt;=139)),"PRE HTA SEGUIMIENTO",IF(AND(OR(O241&gt;0,R241&gt;0),AND(CS241&gt;80,CS241&lt;=89)),"PRE HTA SEGUIMIENTO",IF(AND(OR(O241&gt;0,R241&gt;0),AND(CR241&gt;=80,CR241&lt;=120)),"APARENTEMENTE NORMAL",IF(AND(OR(O241&gt;0,R241&gt;0),AND(CS241&gt;=50,CS241&lt;=80)),"APARENTEMENTE NORMAL",IF(AND(OR(O241&gt;0,R241&gt;0),AND(CR241&gt;1,CR241&lt;=70),AND(CS241&gt;1,CS241&lt;=40)),"HIPOTENSIÓN","")))))))))</f>
        <v>APARENTEMENTE NORMAL</v>
      </c>
      <c r="CU241" s="21"/>
      <c r="CV241" s="21"/>
      <c r="CW241" s="217" t="str">
        <f ca="1">IF(R241="","",IF(AND(CN241&gt;19,CN241&lt;27,Tabla1[[#This Row],[T.A. SISTOLICA (Entre semana 20 y 26)]]="",Tabla1[[#This Row],[T.A. DIATOLICA (Entre semana 20 y 26)]]=""),"ACUDE A CONTROL SEM 20 A 26 REGISTRE TA AHORA",IF(AND(BS241&gt;1,BS241&lt;27,BU241&gt;19,Tabla1[[#This Row],[T.A. SISTOLICA (Entre semana 20 y 26)]]="",Tabla1[[#This Row],[T.A. DIATOLICA (Entre semana 20 y 26)]]=""),"COMPLETE REGISTRO TA CONTROL SEM 20 A26 ",IF(AND(BS241&gt;26,BS241&lt;43,Tabla1[[#This Row],[T.A. SISTOLICA (Entre semana 20 y 26)]]="",Tabla1[[#This Row],[T.A. DIATOLICA (Entre semana 20 y 26)]]=""),"NO APLICA REGISTRO TA-INGRESO TARDIO",IF(AND(OR(O241&gt;0,R241&gt;0),OR(CU241&gt;=140,CV241&gt;=90)),"ALTO RIESGO PREECLAMPSIA,DEFINIR ESTADIO HTA",IF(AND(OR(O241&gt;0,R241&gt;0),AND(CU241&gt;120,CU241&lt;=139)),"PRE HTA SEGUIMIENTO,RIESGO HIPERTENSION INDUCIDA POR EL EMBARAZO",IF(AND(OR(O241&gt;0,R241&gt;0),AND(CV241&gt;80,CV241&lt;=89)),"PRE HTA SEGUIMIENTO, RIESGO HIPERTENSION INDUCIDA POR EL EMBARAZO",IF(AND(OR(O241&lt;&gt;"",R241&lt;&gt;""),CS241&lt;&gt;"",CV241&lt;&gt;"",CS241&lt;=CV241),"VIGILAR CIFRAS PRESION ARTERIAL",IF(AND(OR(O241&gt;0,R241&gt;0),AND(CU241&gt;120,CU241&lt;=139)),"PRE HTA SEGUIMIENTO",IF(AND(OR(O241&gt;0,R241&gt;0),AND(CU241&gt;1,CU241&lt;=70),AND(CV241&gt;1,CV241&lt;=40)),"HIPOTENSIÓN",IF(AND(OR(O241&lt;&gt;"",R241&lt;&gt;""),CS241&lt;&gt;"",CV241&lt;&gt;"",CS241&gt;CV241),"APARENTEMENTE NORMAL",IF(AND(OR(O241&gt;0,R241&gt;0),AND(CU241&gt;=80,CU241&lt;=120)),"APARENTEMENTE NORMAL",IF(AND(OR(O241&gt;0,R241&gt;0),AND(CV241&gt;=50,CV241&lt;=80)),"APARENTEMENTE NORMAL","")))))))))))))</f>
        <v xml:space="preserve">COMPLETE REGISTRO TA CONTROL SEM 20 A26 </v>
      </c>
      <c r="CX241" s="21"/>
      <c r="CY241" s="21"/>
      <c r="CZ241" s="216" t="str">
        <f t="shared" si="1042"/>
        <v/>
      </c>
      <c r="DA241" s="21">
        <v>100</v>
      </c>
      <c r="DB241" s="21">
        <v>70</v>
      </c>
      <c r="DC241" s="217" t="str">
        <f t="shared" si="849"/>
        <v>APARENTEMENTE NORMAL</v>
      </c>
      <c r="DD241" s="22">
        <v>45142</v>
      </c>
      <c r="DE241" s="22">
        <v>45142</v>
      </c>
      <c r="DF241" s="22"/>
      <c r="DG241" s="22"/>
      <c r="DH241" s="22"/>
      <c r="DI241" s="22"/>
      <c r="DJ241" s="22"/>
      <c r="DK241" s="22"/>
      <c r="DL241" s="22"/>
      <c r="DM241" s="22"/>
      <c r="DN241" s="22"/>
      <c r="DO241" s="22"/>
      <c r="DP241" s="22"/>
      <c r="DQ241" s="22"/>
      <c r="DR241" s="28"/>
      <c r="DS241" s="22"/>
      <c r="DT241" s="22"/>
      <c r="DU241" s="216" t="str">
        <f t="shared" ca="1" si="917"/>
        <v>EN ESPERA</v>
      </c>
      <c r="DV241" s="226" t="str">
        <f t="shared" si="918"/>
        <v>ACTIVA INGRESO A CPN</v>
      </c>
      <c r="DW241"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1" s="216" t="e">
        <f t="shared" ca="1" si="850"/>
        <v>#REF!</v>
      </c>
      <c r="DY241" s="212">
        <f>IF(R241="","",IF(R241&gt;0,MAX(Tabla1[[#This Row],[FECHA C2]:[FECHA C13]],Tabla1[[#This Row],[FECHA CONSULTA PRIMERA VEZ PROGRAMA CPN ]])))</f>
        <v>45142</v>
      </c>
      <c r="DZ241" s="216">
        <f t="shared" si="851"/>
        <v>6</v>
      </c>
      <c r="EA241" s="222">
        <f>IF(R241&gt;0,SUM(COUNTA(DF241:DQ241)+COUNTA(Tabla1[[#This Row],[FECHA CONSULTA PRIMERA VEZ PROGRAMA CPN ]])),"")</f>
        <v>1</v>
      </c>
      <c r="EB241" s="222" t="str">
        <f t="shared" si="852"/>
        <v>NO</v>
      </c>
      <c r="EC241" s="214">
        <f t="shared" si="853"/>
        <v>10</v>
      </c>
      <c r="ED241" s="227">
        <f t="shared" si="854"/>
        <v>0.1</v>
      </c>
      <c r="EE241" s="22">
        <v>45142</v>
      </c>
      <c r="EF241" s="22">
        <v>45149</v>
      </c>
      <c r="EG241" s="22">
        <v>45142</v>
      </c>
      <c r="EH241" s="22"/>
      <c r="EI241" s="22">
        <v>45142</v>
      </c>
      <c r="EJ241" s="22"/>
      <c r="EK241" s="22"/>
      <c r="EL241" s="21"/>
      <c r="EM241" s="21"/>
      <c r="EN241" s="22"/>
      <c r="EO241" s="222" t="str">
        <f t="shared" si="855"/>
        <v>TOMAR EXAMEN</v>
      </c>
      <c r="EP241" s="214" t="str">
        <f t="shared" si="856"/>
        <v/>
      </c>
      <c r="EQ241" s="216" t="str">
        <f t="shared" si="857"/>
        <v>POR DEFINIR</v>
      </c>
      <c r="ER241" s="24"/>
      <c r="ES241" s="22"/>
      <c r="ET241" s="29" t="str">
        <f t="shared" ca="1" si="919"/>
        <v>EN ESPERA PARA TOMA EXAMEN</v>
      </c>
      <c r="EU241" s="25" t="str">
        <f t="shared" si="858"/>
        <v/>
      </c>
      <c r="EV241" s="24"/>
      <c r="EW241" s="24"/>
      <c r="EX241" s="22"/>
      <c r="EY241" s="29" t="str">
        <f t="shared" si="1040"/>
        <v>TOMAR EXAMEN</v>
      </c>
      <c r="EZ241" s="25" t="str">
        <f t="shared" ca="1" si="1041"/>
        <v/>
      </c>
      <c r="FA241" s="21"/>
      <c r="FB241" s="22"/>
      <c r="FC241" s="29" t="str">
        <f t="shared" si="859"/>
        <v>TOMAR EXAMEN</v>
      </c>
      <c r="FD241" s="29"/>
      <c r="FE241" s="29"/>
      <c r="FF241" s="29"/>
      <c r="FG241" s="21" t="str">
        <f t="shared" ca="1" si="860"/>
        <v>PROGRAMAR TOMA PTOG SIGUIENTE CONTROL</v>
      </c>
      <c r="FH241" s="31"/>
      <c r="FI241" s="29" t="str">
        <f t="shared" si="861"/>
        <v>TOMAR EXAMEN</v>
      </c>
      <c r="FJ241" s="22"/>
      <c r="FK241" s="22"/>
      <c r="FL241" s="29" t="str">
        <f t="shared" ca="1" si="862"/>
        <v>PIERDE TOMA DE TAMIZAJE</v>
      </c>
      <c r="FM241" s="22"/>
      <c r="FN241" s="32"/>
      <c r="FO241" s="29" t="str">
        <f t="shared" ca="1" si="920"/>
        <v>EN RANGO PARA TOMAR EXAMEN</v>
      </c>
      <c r="FP241" s="22"/>
      <c r="FQ241" s="32"/>
      <c r="FR241" s="29" t="str">
        <f t="shared" ca="1" si="921"/>
        <v>EN ESPERA-ESTÁ I TRIM O II TRIM</v>
      </c>
      <c r="FS241" s="22"/>
      <c r="FT241" s="32"/>
      <c r="FU241" s="29" t="str">
        <f>IF(AND(FJ241="",FM241="",FP241="",FS241=""),"",IF(OR(OR(Tabla1[[#This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1" s="28"/>
      <c r="FW241" s="22"/>
      <c r="FX241" s="29" t="str">
        <f t="shared" si="863"/>
        <v>TOMAR EXAMEN</v>
      </c>
      <c r="FY241" s="22"/>
      <c r="FZ241" s="22"/>
      <c r="GA241" s="29" t="str">
        <f t="shared" ca="1" si="936"/>
        <v>PIERDE TOMA DE TAMIZAJE</v>
      </c>
      <c r="GB241" s="22"/>
      <c r="GC241" s="22"/>
      <c r="GD241" s="29" t="str">
        <f t="shared" ca="1" si="1045"/>
        <v>EN RANGO PARA TOMAR EXAMEN</v>
      </c>
      <c r="GE241" s="22"/>
      <c r="GF241" s="22"/>
      <c r="GG241" s="29" t="str">
        <f t="shared" ca="1" si="923"/>
        <v>EN ESPERA-ESTÁ I TRIM O II TRIM</v>
      </c>
      <c r="GH241" s="22"/>
      <c r="GI241" s="29"/>
      <c r="GJ241" s="22"/>
      <c r="GK241" s="22"/>
      <c r="GL241" s="22"/>
      <c r="GM241" s="22"/>
      <c r="GN241" s="28"/>
      <c r="GO241" s="22"/>
      <c r="GP241" s="29" t="str">
        <f t="shared" si="864"/>
        <v>TOMAR EXAMEN</v>
      </c>
      <c r="GQ241" s="28"/>
      <c r="GR241" s="28"/>
      <c r="GS241" s="22" t="str">
        <f t="shared" si="1044"/>
        <v/>
      </c>
      <c r="GT241" s="22"/>
      <c r="GU241" s="29" t="str">
        <f t="shared" si="865"/>
        <v>TOMAR EXAMEN</v>
      </c>
      <c r="GV241" s="21" t="str">
        <f t="shared" si="866"/>
        <v>POR DEFINIR</v>
      </c>
      <c r="GW241" s="28"/>
      <c r="GX241" s="30"/>
      <c r="GY241" s="21"/>
      <c r="GZ241" s="21"/>
      <c r="HA241" s="21"/>
      <c r="HB241" s="21"/>
      <c r="HC241" s="21"/>
      <c r="HD241" s="21"/>
      <c r="HE241" s="21"/>
      <c r="HF241" s="22"/>
      <c r="HG241" s="22" t="str">
        <f>IF(OR(O241&gt;0,R241&gt;0),CONCATENATE(IF(Tabla1[[#This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1" s="22" t="e">
        <f t="shared" si="867"/>
        <v>#REF!</v>
      </c>
      <c r="HI241" s="22" t="e">
        <f t="shared" ca="1" si="868"/>
        <v>#REF!</v>
      </c>
      <c r="HJ241" s="21"/>
      <c r="HK241" s="21" t="str">
        <f t="shared" si="869"/>
        <v>SIN ANTECEDENTES DE RIESGO</v>
      </c>
      <c r="HL241" s="24" t="str">
        <f t="shared" si="870"/>
        <v>APARENTEMENTE NORMAL</v>
      </c>
      <c r="HM241" s="21" t="e">
        <f t="shared" ca="1" si="871"/>
        <v>#REF!</v>
      </c>
      <c r="HN241" s="30" t="str">
        <f t="shared" si="924"/>
        <v>ACTIVA INGRESO A CPN</v>
      </c>
      <c r="HO241" s="21"/>
      <c r="HP241" s="21"/>
      <c r="HQ241" s="349"/>
      <c r="HR241" s="21" t="str">
        <f>IF(R241="","",IF(Tabla1[[#This Row],[ALARMA FACTORES DE RIESGO COMPLICACIONES HIPERTENSIVAS3]]="SIN ANTECEDENTES DE RIESGO","No Aplica para suministro de ASA",IF(AND(Tabla1[[#This Row],[FECHA INICIO DE SUMINISTRO DE ASA]]&gt;0,RV241&lt;12),"Inicia ASA ANTES de Sem 12",IF(AND(RV241&gt;11,RV241&lt;17,OR(HK241="RIESGO ALTO DE COMPLICACIONES HIPERTENSIVAS VER MANEJO GUIA SUMINISTRO ASA Y CALCIO",HK241="RIESGO MODERADO (2 O MAS CRITERIOS) VER MANEJO GUIA SUMINISTRO ASA Y CALCIO")),"Inicio oportuno de ASA",IF(AND(RV241&gt;12,OR(HK241="RIESGO ALTO DE COMPLICACIONES HIPERTENSIVAS VER MANEJO GUIA SUMINISTRO ASA Y CALCIO",HK241="RIESGO MODERADO (2 O MAS CRITERIOS) VER MANEJO GUIA SUMINISTRO ASA Y CALCIO")),"Inicio no oportuno mayor a 16 semanas",IF(AND(BU241&lt;12,OR(HK241="RIESGO ALTO DE COMPLICACIONES HIPERTENSIVAS VER MANEJO GUIA SUMINISTRO ASA Y CALCIO",HK241="RIESGO MODERADO (2 O MAS CRITERIOS) VER MANEJO GUIA SUMINISTRO ASA Y CALCIO")),"Pendiente Inicio de ASA a la semana 12",IF(AND(BU241&gt;11,BU241&lt;17,OR(HK241="RIESGO ALTO DE COMPLICACIONES HIPERTENSIVAS VER MANEJO GUIA SUMINISTRO ASA Y CALCIO",HK241="RIESGO MODERADO (2 O MAS CRITERIOS) VER MANEJO GUIA SUMINISTRO ASA Y CALCIO")),"Iniciar de inmediato ASA",IF(AND(BU241&gt;16,OR(HK241="RIESGO ALTO DE COMPLICACIONES HIPERTENSIVAS VER MANEJO GUIA SUMINISTRO ASA Y CALCIO",HK241="RIESGO MODERADO (2 O MAS CRITERIOS) VER MANEJO GUIA SUMINISTRO ASA Y CALCIO")),"Pierde Oportunidad, Inicio tardío de ASA","XXXXX"))))))))</f>
        <v>No Aplica para suministro de ASA</v>
      </c>
      <c r="HS241" s="22">
        <v>45142</v>
      </c>
      <c r="HT241" s="22" t="s">
        <v>1518</v>
      </c>
      <c r="HU241" s="22">
        <v>45142</v>
      </c>
      <c r="HV241" s="22" t="s">
        <v>1506</v>
      </c>
      <c r="HW241" s="22">
        <v>45142</v>
      </c>
      <c r="HX241" s="22" t="s">
        <v>1506</v>
      </c>
      <c r="HY241" s="22">
        <v>45141</v>
      </c>
      <c r="HZ241" s="28">
        <f t="shared" si="872"/>
        <v>6.2857142857142856</v>
      </c>
      <c r="IA241" s="26"/>
      <c r="IB241" s="26"/>
      <c r="IC241" s="111"/>
      <c r="ID241" s="22"/>
      <c r="IE241" s="22" t="str">
        <f t="shared" ca="1" si="873"/>
        <v>EN ESPERA PARA VACUNAR</v>
      </c>
      <c r="IF241" s="22"/>
      <c r="IG241" s="22">
        <f t="shared" si="874"/>
        <v>45377</v>
      </c>
      <c r="IH241" s="29">
        <f t="shared" ca="1" si="875"/>
        <v>144</v>
      </c>
      <c r="II241" s="22" t="str">
        <f t="shared" ca="1" si="876"/>
        <v>PENDIENTE</v>
      </c>
      <c r="IJ241" s="22"/>
      <c r="IK241" s="21"/>
      <c r="IL241" s="21"/>
      <c r="IM241" s="34"/>
      <c r="IN241" s="22"/>
      <c r="IO241" s="21"/>
      <c r="IP241" s="29" t="str">
        <f t="shared" si="877"/>
        <v/>
      </c>
      <c r="IQ241" s="35"/>
      <c r="IR241" s="21"/>
      <c r="IS241" s="21"/>
      <c r="IT241" s="21"/>
      <c r="IU241" s="21"/>
      <c r="IV241" s="21"/>
      <c r="IW241" s="21"/>
      <c r="IX241" s="21"/>
      <c r="IY241" s="21"/>
      <c r="IZ241" s="21"/>
      <c r="JA241" s="21"/>
      <c r="JB241" s="30"/>
      <c r="JC241" s="21"/>
      <c r="JD241" s="36"/>
      <c r="JE241" s="21" t="str">
        <f t="shared" si="878"/>
        <v/>
      </c>
      <c r="JF241" s="30"/>
      <c r="JG241" s="21"/>
      <c r="JH241" s="21"/>
      <c r="JI241" s="21"/>
      <c r="JJ241" s="30"/>
      <c r="JK241" s="22"/>
      <c r="JL241" s="22"/>
      <c r="JM241" s="21"/>
      <c r="JN241" s="36"/>
      <c r="JO241" s="21" t="str">
        <f t="shared" si="879"/>
        <v/>
      </c>
      <c r="JP241" s="22"/>
      <c r="JQ241" s="21"/>
      <c r="JR241" s="21"/>
      <c r="JS241" s="21"/>
      <c r="JT241" s="30"/>
      <c r="JU241" s="22"/>
      <c r="JV241" s="22"/>
      <c r="JW241" s="33"/>
      <c r="JX241" s="28" t="str">
        <f t="shared" si="880"/>
        <v/>
      </c>
      <c r="JY241" s="33"/>
      <c r="JZ241" s="28" t="str">
        <f t="shared" si="881"/>
        <v/>
      </c>
      <c r="KA241" s="21"/>
      <c r="KB241" s="21"/>
      <c r="KC241" s="21"/>
      <c r="KD241" s="37"/>
      <c r="KE241" s="28"/>
      <c r="KF241" s="28"/>
      <c r="KG241" s="28"/>
      <c r="KH241" s="39"/>
      <c r="KI241" s="39"/>
      <c r="KJ241" s="66"/>
      <c r="KK241" s="39"/>
      <c r="KL241" s="39"/>
      <c r="KM241" s="66"/>
      <c r="KN241" s="39"/>
      <c r="KO241" s="39"/>
      <c r="KP241" s="39"/>
      <c r="KQ241" s="39"/>
      <c r="KR241" s="39"/>
      <c r="KS241" s="39"/>
      <c r="KT241" s="39"/>
      <c r="KU241" s="38"/>
      <c r="KV241" s="38"/>
      <c r="KW241" s="38"/>
      <c r="KX241" s="38"/>
      <c r="KY241" s="38"/>
      <c r="KZ241" s="38"/>
      <c r="LA241" s="38"/>
      <c r="LB241" s="38"/>
      <c r="LC241" s="38"/>
      <c r="LD241" s="38"/>
      <c r="LE241" s="38"/>
      <c r="LF241" s="38"/>
      <c r="LG241" s="38"/>
      <c r="LH241" s="38"/>
      <c r="LI241" s="38"/>
      <c r="LJ241" s="38"/>
      <c r="LK241" s="38"/>
      <c r="LL241" s="38"/>
      <c r="LM241" s="38"/>
      <c r="LN241" s="38"/>
      <c r="LO241" s="38"/>
      <c r="LP241" s="38"/>
      <c r="LQ241" s="38"/>
      <c r="LR241" s="38"/>
      <c r="LS241" s="38"/>
      <c r="LT241" s="38"/>
      <c r="LU241" s="38"/>
      <c r="LV241" s="38"/>
      <c r="LW241" s="38"/>
      <c r="LX241" s="38"/>
      <c r="LY241" s="38"/>
      <c r="LZ241" s="38"/>
      <c r="MA241" s="38"/>
      <c r="MB241" s="38"/>
      <c r="MC241" s="38"/>
      <c r="MD241" s="38"/>
      <c r="ME241" s="38"/>
      <c r="MF241" s="38"/>
      <c r="MG241" s="38"/>
      <c r="MH241" s="43">
        <f t="shared" si="882"/>
        <v>0</v>
      </c>
      <c r="MI241" s="43" t="str">
        <f t="shared" si="926"/>
        <v/>
      </c>
      <c r="MJ241" s="43" t="str">
        <f t="shared" si="884"/>
        <v/>
      </c>
      <c r="MK241" s="43">
        <f t="shared" si="885"/>
        <v>0</v>
      </c>
      <c r="ML241"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1" s="43">
        <f t="shared" si="927"/>
        <v>6.4285714285714288</v>
      </c>
      <c r="MN241" s="43">
        <f t="shared" si="928"/>
        <v>8</v>
      </c>
      <c r="MO241" s="43">
        <f t="shared" si="929"/>
        <v>2023</v>
      </c>
      <c r="MP241" s="43" t="str">
        <f t="shared" si="889"/>
        <v>III TRIMESTRE AÑO</v>
      </c>
      <c r="MQ241" s="43">
        <f t="shared" si="930"/>
        <v>29.749780989925537</v>
      </c>
      <c r="MR241" s="43">
        <f t="shared" si="891"/>
        <v>0</v>
      </c>
      <c r="MS241" s="43" t="str">
        <f t="shared" si="892"/>
        <v xml:space="preserve"> DE 25 A 29 AÑOS</v>
      </c>
      <c r="MT241" s="43">
        <f t="shared" si="893"/>
        <v>0</v>
      </c>
      <c r="MU241" s="43">
        <f t="shared" si="894"/>
        <v>0</v>
      </c>
      <c r="MV241" s="43">
        <f t="shared" si="895"/>
        <v>0</v>
      </c>
      <c r="MW241" s="43">
        <f t="shared" si="896"/>
        <v>0</v>
      </c>
      <c r="MX241" s="43" t="str">
        <f t="shared" si="897"/>
        <v/>
      </c>
      <c r="MY241" s="43" t="str">
        <f t="shared" ca="1" si="898"/>
        <v/>
      </c>
      <c r="MZ241" s="43" t="str">
        <f t="shared" si="899"/>
        <v/>
      </c>
      <c r="NA241" s="43" t="str">
        <f t="shared" si="900"/>
        <v/>
      </c>
      <c r="NB241" s="43" t="str">
        <f t="shared" si="901"/>
        <v/>
      </c>
      <c r="NC241" s="43" t="str">
        <f t="shared" si="902"/>
        <v/>
      </c>
      <c r="ND241" s="43">
        <f t="shared" ca="1" si="931"/>
        <v>0</v>
      </c>
      <c r="NE241" s="43">
        <f>IF(OR(O241&gt;0,R241&gt;0),SUM(COUNTIF(Tabla1[[#This Row],[AÑOS AL INICIO5 CPN]],"&gt;=40"),COUNTIF(AS241,"0"),COUNTIF(AR241,"SI"),COUNTIF(CC241,"SI"),COUNTIF(BQ241,"&gt;119"),COUNTIF(CI241,"&gt;=35")),"")</f>
        <v>0</v>
      </c>
      <c r="NF241" s="43" t="str">
        <f t="shared" si="932"/>
        <v/>
      </c>
      <c r="NG241" s="43">
        <f t="shared" si="905"/>
        <v>0</v>
      </c>
      <c r="NH241" s="43" t="str">
        <f t="shared" si="906"/>
        <v/>
      </c>
      <c r="NI241"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CPN",P241="NO"),"Z",IF(AND(Tabla1[[#This Row],[CITA PROXIMO CONTROL]]="CITA MANUAL",Tabla1[[#This Row],[GESTANTES ACTUALES]]="ACTIVA INGRESO A CPN"),"W",IF(AND(Tabla1[[#This Row],[GESTANTES ACTUALES]]="SALIO PROGRAMA",IN241=""),"S",IF(AND(Tabla1[[#This Row],[CITA PROXIMO CONTROL]]&gt;0,IN241=""),(Tabla1[[#This Row],[CITA PROXIMO CONTROL]]-TODAY()),"SD"))))))))</f>
        <v>#REF!</v>
      </c>
      <c r="NJ241" s="43">
        <f>MONTH(Tabla1[[#This Row],[FECHA DE SALIDA  DEL PROGRAMA]])</f>
        <v>1</v>
      </c>
      <c r="NK241" s="43">
        <f>YEAR(Tabla1[[#This Row],[FECHA DE SALIDA  DEL PROGRAMA]])</f>
        <v>1900</v>
      </c>
      <c r="NL241" s="43" t="str">
        <f t="shared" si="933"/>
        <v>X</v>
      </c>
      <c r="NM241" s="43" t="str">
        <f t="shared" si="938"/>
        <v>NO</v>
      </c>
      <c r="NN241" s="43" t="str">
        <f ca="1">IF(AND(O241&gt;0,R241=""),"NO CPN",IF(AND(O241="",R241=""),"",IF(AND(R241&gt;0,Tabla1[[#This Row],[SEMANAS DE GESTACION ACTUALIZADAS]]&lt;=12),"NO APLICA",IF(AND(FH241&lt;&gt;"",FN241&lt;&gt;""),"SI","NO"))))</f>
        <v>NO</v>
      </c>
      <c r="NO241" s="43" t="str">
        <f ca="1">IF(AND(O241&gt;0,R241=""),"NO CPN",IF(AND(O241="",R241=""),"",IF(AND(R241&gt;0,Tabla1[[#This Row],[SEMANAS DE GESTACION ACTUALIZADAS]]&lt;=27),"NO APLICA",IF(AND(ES241&lt;&gt;"",FQ241&lt;&gt;"",GF241&lt;&gt;""),"SI","NO"))))</f>
        <v>NO APLICA</v>
      </c>
      <c r="NP241" s="204" t="str">
        <f t="shared" si="909"/>
        <v>DEFINIR CON ECO</v>
      </c>
      <c r="NQ241" s="21" t="str">
        <f t="shared" si="1043"/>
        <v/>
      </c>
      <c r="NR241" s="21">
        <f t="shared" ca="1" si="934"/>
        <v>2</v>
      </c>
      <c r="NS241" s="205">
        <f t="shared" ca="1" si="911"/>
        <v>0</v>
      </c>
      <c r="NT241" s="21">
        <f t="shared" ca="1" si="912"/>
        <v>0</v>
      </c>
      <c r="NU241" s="21" t="str">
        <f t="shared" ca="1" si="913"/>
        <v>INCOMPLETO</v>
      </c>
      <c r="NV241" s="21" t="str">
        <f t="shared" ca="1" si="914"/>
        <v>INCOMPLETO</v>
      </c>
      <c r="NW241" s="206" t="str">
        <f>IF(AND(O241="",R241=""),"",IF(OR(AND(Tabla1[[#This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1" s="207" t="str">
        <f t="shared" ca="1" si="935"/>
        <v>SIN VACUNAR</v>
      </c>
      <c r="NY241" s="43">
        <f>ROW(Tabla1[[#This Row],['# DE TAMIZAJES SIFILIS TOMADOS ]])</f>
        <v>241</v>
      </c>
      <c r="NZ241" s="43" t="str">
        <f t="shared" si="939"/>
        <v>Menor</v>
      </c>
      <c r="OA241" s="43" t="str">
        <f t="shared" si="940"/>
        <v>NORMAL</v>
      </c>
      <c r="OB241" s="43" t="str">
        <f t="shared" si="941"/>
        <v/>
      </c>
      <c r="OC241" s="43" t="str">
        <f t="shared" si="942"/>
        <v/>
      </c>
      <c r="OD241" s="43" t="str">
        <f t="shared" si="943"/>
        <v/>
      </c>
      <c r="OE241" s="43" t="str">
        <f t="shared" si="944"/>
        <v/>
      </c>
      <c r="OF241" s="43" t="str">
        <f t="shared" si="945"/>
        <v/>
      </c>
      <c r="OG241" s="43" t="str">
        <f t="shared" si="946"/>
        <v/>
      </c>
      <c r="OH241" s="43" t="str">
        <f t="shared" si="947"/>
        <v/>
      </c>
      <c r="OI241" s="43" t="str">
        <f t="shared" si="948"/>
        <v/>
      </c>
      <c r="OJ241" s="43" t="str">
        <f t="shared" si="949"/>
        <v/>
      </c>
      <c r="OK241" s="43" t="str">
        <f t="shared" si="950"/>
        <v/>
      </c>
      <c r="OL241" s="43" t="str">
        <f t="shared" si="951"/>
        <v/>
      </c>
      <c r="OM241" s="43" t="str">
        <f t="shared" si="952"/>
        <v/>
      </c>
      <c r="ON241" s="43" t="str">
        <f t="shared" si="953"/>
        <v/>
      </c>
      <c r="OO241" s="43" t="str">
        <f t="shared" si="954"/>
        <v/>
      </c>
      <c r="OP241" s="43" t="str">
        <f t="shared" si="955"/>
        <v/>
      </c>
      <c r="OQ241" s="43" t="str">
        <f t="shared" si="956"/>
        <v/>
      </c>
      <c r="OR241" s="43" t="str">
        <f t="shared" si="957"/>
        <v/>
      </c>
      <c r="OS241" s="43" t="str">
        <f t="shared" si="958"/>
        <v/>
      </c>
      <c r="OT241" s="43" t="str">
        <f t="shared" si="959"/>
        <v/>
      </c>
      <c r="OU241" s="43" t="str">
        <f t="shared" si="960"/>
        <v/>
      </c>
      <c r="OV241" s="110" t="str">
        <f t="shared" si="961"/>
        <v/>
      </c>
      <c r="OW241" s="43" t="str">
        <f t="shared" si="962"/>
        <v/>
      </c>
      <c r="OX241" s="43" t="str">
        <f t="shared" si="963"/>
        <v/>
      </c>
      <c r="OY241" s="43" t="str">
        <f t="shared" si="964"/>
        <v/>
      </c>
      <c r="OZ241" s="43" t="str">
        <f t="shared" si="965"/>
        <v/>
      </c>
      <c r="PA241" s="43" t="str">
        <f t="shared" si="966"/>
        <v/>
      </c>
      <c r="PB241" s="43" t="str">
        <f t="shared" si="967"/>
        <v/>
      </c>
      <c r="PC241" s="43" t="str">
        <f t="shared" si="968"/>
        <v/>
      </c>
      <c r="PD241" s="43" t="str">
        <f t="shared" si="969"/>
        <v/>
      </c>
      <c r="PE241" s="43" t="str">
        <f t="shared" si="970"/>
        <v/>
      </c>
      <c r="PF241" s="43" t="str">
        <f t="shared" si="971"/>
        <v/>
      </c>
      <c r="PG241" s="43" t="str">
        <f t="shared" si="972"/>
        <v/>
      </c>
      <c r="PH241" s="43" t="str">
        <f t="shared" si="973"/>
        <v/>
      </c>
      <c r="PI241" s="43" t="str">
        <f t="shared" si="974"/>
        <v>Menor</v>
      </c>
      <c r="PJ241" s="43" t="str">
        <f t="shared" si="975"/>
        <v>NORMAL</v>
      </c>
      <c r="PK241" s="43" t="str">
        <f t="shared" si="976"/>
        <v/>
      </c>
      <c r="PL241" s="43" t="str">
        <f t="shared" si="977"/>
        <v/>
      </c>
      <c r="PM241" s="43" t="str">
        <f t="shared" si="978"/>
        <v/>
      </c>
      <c r="PN241" s="43" t="str">
        <f t="shared" si="979"/>
        <v/>
      </c>
      <c r="PO241" s="43" t="str">
        <f t="shared" si="980"/>
        <v/>
      </c>
      <c r="PP241" s="43" t="str">
        <f t="shared" si="981"/>
        <v/>
      </c>
      <c r="PQ241" s="43" t="str">
        <f t="shared" si="982"/>
        <v/>
      </c>
      <c r="PR241" s="43" t="str">
        <f t="shared" si="983"/>
        <v/>
      </c>
      <c r="PS241" s="43" t="str">
        <f t="shared" si="984"/>
        <v/>
      </c>
      <c r="PT241" s="43" t="str">
        <f t="shared" si="985"/>
        <v/>
      </c>
      <c r="PU241" s="43" t="str">
        <f t="shared" si="986"/>
        <v/>
      </c>
      <c r="PV241" s="43" t="str">
        <f t="shared" si="987"/>
        <v/>
      </c>
      <c r="PW241" s="43" t="str">
        <f t="shared" si="988"/>
        <v/>
      </c>
      <c r="PX241" s="43" t="str">
        <f t="shared" si="989"/>
        <v/>
      </c>
      <c r="PY241" s="43" t="str">
        <f t="shared" si="990"/>
        <v/>
      </c>
      <c r="PZ241" s="43" t="str">
        <f t="shared" si="991"/>
        <v/>
      </c>
      <c r="QA241" s="43" t="str">
        <f t="shared" si="992"/>
        <v/>
      </c>
      <c r="QB241" s="43" t="str">
        <f t="shared" si="993"/>
        <v/>
      </c>
      <c r="QC241" s="43" t="str">
        <f t="shared" si="994"/>
        <v/>
      </c>
      <c r="QD241" s="43" t="str">
        <f t="shared" si="995"/>
        <v/>
      </c>
      <c r="QE241" s="43" t="str">
        <f t="shared" si="996"/>
        <v/>
      </c>
      <c r="QF241" s="43" t="str">
        <f t="shared" si="997"/>
        <v/>
      </c>
      <c r="QG241" s="43" t="str">
        <f t="shared" si="998"/>
        <v/>
      </c>
      <c r="QH241" s="43" t="str">
        <f t="shared" si="999"/>
        <v/>
      </c>
      <c r="QI241" s="43" t="str">
        <f t="shared" si="1000"/>
        <v/>
      </c>
      <c r="QJ241" s="43" t="str">
        <f t="shared" si="1001"/>
        <v/>
      </c>
      <c r="QK241" s="43" t="str">
        <f t="shared" si="1002"/>
        <v/>
      </c>
      <c r="QL241" s="43" t="str">
        <f t="shared" si="1003"/>
        <v/>
      </c>
      <c r="QM241" s="43" t="str">
        <f t="shared" si="1004"/>
        <v/>
      </c>
      <c r="QN241" s="43" t="str">
        <f t="shared" si="1005"/>
        <v/>
      </c>
      <c r="QO241" s="43" t="str">
        <f t="shared" si="1006"/>
        <v/>
      </c>
      <c r="QP241" s="43" t="str">
        <f t="shared" si="1007"/>
        <v/>
      </c>
      <c r="QQ241" s="43" t="str">
        <f t="shared" si="1008"/>
        <v/>
      </c>
      <c r="QR241" s="43" t="str">
        <f t="shared" si="1009"/>
        <v>Menor</v>
      </c>
      <c r="QS241" s="43"/>
      <c r="QT241" s="21" t="str">
        <f t="shared" si="1010"/>
        <v/>
      </c>
      <c r="QU241" s="21" t="str">
        <f t="shared" si="1011"/>
        <v/>
      </c>
      <c r="QV241" s="21" t="str">
        <f t="shared" si="1012"/>
        <v/>
      </c>
      <c r="QW241" s="21" t="str">
        <f t="shared" si="1013"/>
        <v/>
      </c>
      <c r="QX241" s="21" t="str">
        <f t="shared" si="1014"/>
        <v/>
      </c>
      <c r="QY241" s="21" t="str">
        <f t="shared" si="1015"/>
        <v/>
      </c>
      <c r="QZ241" s="21" t="str">
        <f t="shared" si="1016"/>
        <v/>
      </c>
      <c r="RA241" s="21" t="str">
        <f t="shared" si="1017"/>
        <v/>
      </c>
      <c r="RB241" s="21" t="str">
        <f t="shared" si="1018"/>
        <v/>
      </c>
      <c r="RC241" s="21" t="str">
        <f t="shared" si="1019"/>
        <v/>
      </c>
      <c r="RD241" s="21" t="str">
        <f t="shared" si="1020"/>
        <v/>
      </c>
      <c r="RE241" s="21" t="str">
        <f t="shared" si="1021"/>
        <v/>
      </c>
      <c r="RF241" s="21" t="str">
        <f t="shared" si="1022"/>
        <v/>
      </c>
      <c r="RG241" s="21" t="str">
        <f t="shared" si="1023"/>
        <v/>
      </c>
      <c r="RH241" s="21" t="str">
        <f t="shared" si="1024"/>
        <v/>
      </c>
      <c r="RI241" s="21" t="str">
        <f t="shared" si="1025"/>
        <v/>
      </c>
      <c r="RJ241" s="21" t="str">
        <f t="shared" si="1026"/>
        <v/>
      </c>
      <c r="RK241" s="21" t="str">
        <f t="shared" si="1027"/>
        <v/>
      </c>
      <c r="RL241" s="21" t="str">
        <f t="shared" si="1028"/>
        <v/>
      </c>
      <c r="RM241" s="21" t="str">
        <f t="shared" si="1029"/>
        <v/>
      </c>
      <c r="RN241" s="21" t="str">
        <f t="shared" si="1030"/>
        <v/>
      </c>
      <c r="RO241" s="21" t="str">
        <f t="shared" si="1031"/>
        <v/>
      </c>
      <c r="RP241" s="21" t="str">
        <f t="shared" si="1032"/>
        <v/>
      </c>
      <c r="RQ241" s="21" t="str">
        <f t="shared" si="1033"/>
        <v/>
      </c>
      <c r="RR241" s="21" t="str">
        <f t="shared" si="1034"/>
        <v/>
      </c>
      <c r="RS241" s="21" t="str">
        <f t="shared" si="1035"/>
        <v/>
      </c>
      <c r="RT241" s="21" t="str">
        <f t="shared" si="1036"/>
        <v/>
      </c>
      <c r="RU241" s="21" t="str">
        <f t="shared" si="1037"/>
        <v/>
      </c>
      <c r="RV241" s="21">
        <f t="shared" si="1038"/>
        <v>-1</v>
      </c>
      <c r="RW241" s="284">
        <f>IF(OR(Tabla1[[#This Row],[FUM FORMULA CONFIABLE]]="",Tabla1[[#This Row],[FUM FORMULA CONFIABLE]]="SD"),"",IF(Tabla1[[#This Row],[FUM FORMULA CONFIABLE]]="CORREGIDA",Tabla1[[#This Row],[FUM X ECO 1]],Tabla1[[#This Row],[FUM x AMENORREA]]))</f>
        <v>45097</v>
      </c>
      <c r="RX241" s="21" t="str">
        <f>IF(AND(Tabla1[[#This Row],[FUM X ECO 1]]="",Tabla1[[#This Row],[FUM x AMENORREA]]=""),"",IF(AND(Tabla1[[#This Row],[FUM X ECO 1]]="",Tabla1[[#This Row],[FUM x AMENORREA]]&lt;&gt;""),"X",SUM(Tabla1[[#This Row],[FUM X ECO 1]]-Tabla1[[#This Row],[FUM x AMENORREA]])))</f>
        <v>X</v>
      </c>
      <c r="RY241" s="21" t="str">
        <f t="shared" si="1039"/>
        <v>x</v>
      </c>
    </row>
    <row r="242" spans="1:493" ht="45" customHeight="1" x14ac:dyDescent="0.25">
      <c r="A242" s="109"/>
      <c r="B242" s="43"/>
      <c r="C242" s="43" t="s">
        <v>845</v>
      </c>
      <c r="D242" s="124"/>
      <c r="E242" s="43" t="s">
        <v>980</v>
      </c>
      <c r="F242" s="43" t="s">
        <v>1666</v>
      </c>
      <c r="G242" s="43" t="s">
        <v>1287</v>
      </c>
      <c r="H242" s="43" t="s">
        <v>919</v>
      </c>
      <c r="I242" s="109" t="s">
        <v>851</v>
      </c>
      <c r="J242" s="110">
        <v>1002846819</v>
      </c>
      <c r="K242" s="43" t="s">
        <v>852</v>
      </c>
      <c r="L242" s="175" t="s">
        <v>1509</v>
      </c>
      <c r="M242" s="22">
        <v>36644</v>
      </c>
      <c r="N242" s="213">
        <f t="shared" ca="1" si="839"/>
        <v>23.531506849315068</v>
      </c>
      <c r="O242" s="22">
        <v>45139</v>
      </c>
      <c r="P242" s="214" t="str">
        <f t="shared" si="916"/>
        <v>SI</v>
      </c>
      <c r="Q242" s="26" t="s">
        <v>855</v>
      </c>
      <c r="R242" s="22">
        <v>45139</v>
      </c>
      <c r="S242" s="21" t="s">
        <v>856</v>
      </c>
      <c r="T242" s="24" t="s">
        <v>690</v>
      </c>
      <c r="U242" s="21" t="s">
        <v>857</v>
      </c>
      <c r="V242" s="21" t="s">
        <v>858</v>
      </c>
      <c r="W242" s="21" t="s">
        <v>1259</v>
      </c>
      <c r="X242" s="21" t="s">
        <v>1259</v>
      </c>
      <c r="Y242" s="21" t="s">
        <v>1259</v>
      </c>
      <c r="Z242" s="21" t="s">
        <v>894</v>
      </c>
      <c r="AA242" s="21" t="s">
        <v>860</v>
      </c>
      <c r="AB242" s="27" t="s">
        <v>861</v>
      </c>
      <c r="AC242" s="26" t="s">
        <v>846</v>
      </c>
      <c r="AD242" s="21" t="s">
        <v>1546</v>
      </c>
      <c r="AE242" s="26" t="s">
        <v>854</v>
      </c>
      <c r="AF242" s="26" t="s">
        <v>854</v>
      </c>
      <c r="AG242" s="23" t="s">
        <v>864</v>
      </c>
      <c r="AH242" s="23" t="s">
        <v>864</v>
      </c>
      <c r="AI242" s="24" t="s">
        <v>863</v>
      </c>
      <c r="AJ242" s="23" t="s">
        <v>864</v>
      </c>
      <c r="AK242" s="220" t="str">
        <f>IF(AND(AD242="",AE242="",AF242="",AG242="",AH242="",AI242="",AJ242=""),"",IF(OR(Tabla1[[#This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EVALUACIÓN",IF(AND(O242="",R242=""),"",IF(AND(OR(O242&gt;0,R242&gt;0),NG242&gt;=0,NG242&lt;2),"SIN RIESGO",IF(AND(OR(O242&gt;0,R242&gt;0),NG242&gt;=2),"CON RIESGO","ASD")))))</f>
        <v>SIN RIESGO</v>
      </c>
      <c r="AL242" s="26" t="s">
        <v>864</v>
      </c>
      <c r="AM242" s="26" t="s">
        <v>864</v>
      </c>
      <c r="AN242" s="26" t="s">
        <v>864</v>
      </c>
      <c r="AO242" s="26" t="s">
        <v>864</v>
      </c>
      <c r="AP242" s="26" t="s">
        <v>864</v>
      </c>
      <c r="AQ242" s="26" t="s">
        <v>864</v>
      </c>
      <c r="AR242" s="26" t="s">
        <v>864</v>
      </c>
      <c r="AS242" s="21">
        <v>0</v>
      </c>
      <c r="AT242" s="21">
        <v>0</v>
      </c>
      <c r="AU242" s="21">
        <v>0</v>
      </c>
      <c r="AV242" s="26" t="s">
        <v>864</v>
      </c>
      <c r="AW242" s="21">
        <v>0</v>
      </c>
      <c r="AX242" s="26" t="s">
        <v>864</v>
      </c>
      <c r="AY242" s="26" t="s">
        <v>864</v>
      </c>
      <c r="AZ242" s="26" t="s">
        <v>864</v>
      </c>
      <c r="BA242" s="26" t="s">
        <v>864</v>
      </c>
      <c r="BB242" s="26" t="s">
        <v>864</v>
      </c>
      <c r="BC242" s="26" t="s">
        <v>864</v>
      </c>
      <c r="BD242" s="26" t="s">
        <v>864</v>
      </c>
      <c r="BE242" s="26" t="s">
        <v>864</v>
      </c>
      <c r="BF242" s="26" t="s">
        <v>864</v>
      </c>
      <c r="BG242" s="26" t="s">
        <v>864</v>
      </c>
      <c r="BH242" s="26" t="s">
        <v>864</v>
      </c>
      <c r="BI242" s="26" t="s">
        <v>864</v>
      </c>
      <c r="BJ242" s="26" t="s">
        <v>864</v>
      </c>
      <c r="BK242" s="26" t="s">
        <v>864</v>
      </c>
      <c r="BL242" s="26" t="s">
        <v>864</v>
      </c>
      <c r="BM242" s="26" t="s">
        <v>864</v>
      </c>
      <c r="BN242" s="22"/>
      <c r="BO242" s="22">
        <v>45034</v>
      </c>
      <c r="BP242" s="21" t="s">
        <v>854</v>
      </c>
      <c r="BQ242" s="222">
        <f t="shared" si="840"/>
        <v>0</v>
      </c>
      <c r="BR242" s="223">
        <f t="shared" si="841"/>
        <v>45034.2</v>
      </c>
      <c r="BS242" s="224">
        <f t="shared" si="842"/>
        <v>15</v>
      </c>
      <c r="BT242" s="216" t="str">
        <f t="shared" si="843"/>
        <v>II TRIM</v>
      </c>
      <c r="BU242" s="214">
        <f t="shared" ca="1" si="925"/>
        <v>28.428571428571427</v>
      </c>
      <c r="BV242" s="25" t="s">
        <v>1525</v>
      </c>
      <c r="BW242" s="22">
        <v>45121</v>
      </c>
      <c r="BX242" s="28">
        <v>12.4</v>
      </c>
      <c r="BY242" s="28"/>
      <c r="BZ242" s="22"/>
      <c r="CA242" s="21"/>
      <c r="CB242" s="26" t="s">
        <v>864</v>
      </c>
      <c r="CC242" s="26" t="s">
        <v>864</v>
      </c>
      <c r="CD242" s="26"/>
      <c r="CE242" s="26" t="s">
        <v>864</v>
      </c>
      <c r="CF242" s="22" t="s">
        <v>1517</v>
      </c>
      <c r="CG242" s="21">
        <v>1.6</v>
      </c>
      <c r="CH242" s="21">
        <v>57</v>
      </c>
      <c r="CI242" s="214">
        <f t="shared" si="845"/>
        <v>22.265624999999996</v>
      </c>
      <c r="CJ242" s="225" t="e">
        <f>IF(AND(CI242&lt;10,CH242="SD"),"SIN DATO PESO PREGESTACION O I TRIM",IF(AND(OR(R242&gt;0,O242&gt;0),CI242="X"),"INGRESAR DATO DE PESO",IF(CI242="SD","INGRESAR DATO DE TALLA Y PESO",IF(AND(OR(Tabla1[[#This Row],[MOMENTO EN QUE SE REALIZA EL PESO AL INGRESO A CPN]]="PREGESTACIÓN",NZ242="Menor"),CI242&lt;18.5),"BAJO PESO",IF(AND(OR(Tabla1[[#This Row],[MOMENTO EN QUE SE REALIZA EL PESO AL INGRESO A CPN]]="PREGESTACIÓN",NZ242="Menor"),CI242&lt;25),"NORMAL",IF(AND(OR(Tabla1[[#This Row],[MOMENTO EN QUE SE REALIZA EL PESO AL INGRESO A CPN]]="PREGESTACIÓN",NZ242="Menor"),CI242&lt;30),"SOBREPESO",IF(AND(OR(Tabla1[[#This Row],[MOMENTO EN QUE SE REALIZA EL PESO AL INGRESO A CPN]]="PREGESTACIÓN",NZ242="Menor"),CI242&gt;=30,CI242&lt;50),"OBESIDAD",IF(AND(BS242&gt;0,Tabla1[[#This Row],[MOMENTO EN QUE SE REALIZA EL PESO AL INGRESO A CPN]]="GESTACIÓN"),HLOOKUP(NZ242,$OA$2:PH242,NY242),""))))))))</f>
        <v>#REF!</v>
      </c>
      <c r="CK242" s="212">
        <f t="shared" si="846"/>
        <v>45139</v>
      </c>
      <c r="CL242" s="21">
        <v>57</v>
      </c>
      <c r="CM242" s="214">
        <f t="shared" si="847"/>
        <v>22.265624999999996</v>
      </c>
      <c r="CN242" s="216">
        <f t="shared" si="848"/>
        <v>15</v>
      </c>
      <c r="CO242" s="216" t="e">
        <f>IF(PI242="","",IF(PI242&gt;0,HLOOKUP(PI242,$PJ$2:QQ242,NY242),""))</f>
        <v>#REF!</v>
      </c>
      <c r="CP242" s="21"/>
      <c r="CQ242" s="216" t="e">
        <f>IF(QR242="Menor","NO APLICA-MENOR 13 SEM",IF(AND(CC242="SI",CN242&gt;23),"NO APLICA- GEMELAR",IF(QR242="","",IF(QR242&gt;0,HLOOKUP(QR242,$QS$2:RU242,NY242),""))))</f>
        <v>#REF!</v>
      </c>
      <c r="CR242" s="21"/>
      <c r="CS242" s="21"/>
      <c r="CT242" s="217" t="str">
        <f>IF(R242="","",IF(AND(BS242&gt;1,BS242&lt;12,Tabla1[[#This Row],[T.A. SISTOLICA - ANTES DE SEMANA 12]]="",Tabla1[[#This Row],[T.A. DIASTOLICA - ANTES DE SEMANA 12]]=""),"REGISTRE DATO TA ANTES SEMANA 12",IF(AND(BS242&gt;11,BS242&lt;43,Tabla1[[#This Row],[T.A. SISTOLICA - ANTES DE SEMANA 12]]="",Tabla1[[#This Row],[T.A. DIASTOLICA - ANTES DE SEMANA 12]]=""),"NO APLICA REGISTRO TA-INGRESO TARDIO",IF(AND(OR(O242&gt;0,R242&gt;0),OR(CR242&gt;=140,CS242&gt;=90)),"DEFINIR ESTADIO HTA",IF(AND(OR(O242&gt;0,R242&gt;0),AND(CR242&gt;120,CR242&lt;=139)),"PRE HTA SEGUIMIENTO",IF(AND(OR(O242&gt;0,R242&gt;0),AND(CS242&gt;80,CS242&lt;=89)),"PRE HTA SEGUIMIENTO",IF(AND(OR(O242&gt;0,R242&gt;0),AND(CR242&gt;=80,CR242&lt;=120)),"APARENTEMENTE NORMAL",IF(AND(OR(O242&gt;0,R242&gt;0),AND(CS242&gt;=50,CS242&lt;=80)),"APARENTEMENTE NORMAL",IF(AND(OR(O242&gt;0,R242&gt;0),AND(CR242&gt;1,CR242&lt;=70),AND(CS242&gt;1,CS242&lt;=40)),"HIPOTENSIÓN","")))))))))</f>
        <v>NO APLICA REGISTRO TA-INGRESO TARDIO</v>
      </c>
      <c r="CU242" s="21"/>
      <c r="CV242" s="21"/>
      <c r="CW242" s="217" t="str">
        <f ca="1">IF(R242="","",IF(AND(CN242&gt;19,CN242&lt;27,Tabla1[[#This Row],[T.A. SISTOLICA (Entre semana 20 y 26)]]="",Tabla1[[#This Row],[T.A. DIATOLICA (Entre semana 20 y 26)]]=""),"ACUDE A CONTROL SEM 20 A 26 REGISTRE TA AHORA",IF(AND(BS242&gt;1,BS242&lt;27,BU242&gt;19,Tabla1[[#This Row],[T.A. SISTOLICA (Entre semana 20 y 26)]]="",Tabla1[[#This Row],[T.A. DIATOLICA (Entre semana 20 y 26)]]=""),"COMPLETE REGISTRO TA CONTROL SEM 20 A26 ",IF(AND(BS242&gt;26,BS242&lt;43,Tabla1[[#This Row],[T.A. SISTOLICA (Entre semana 20 y 26)]]="",Tabla1[[#This Row],[T.A. DIATOLICA (Entre semana 20 y 26)]]=""),"NO APLICA REGISTRO TA-INGRESO TARDIO",IF(AND(OR(O242&gt;0,R242&gt;0),OR(CU242&gt;=140,CV242&gt;=90)),"ALTO RIESGO PREECLAMPSIA,DEFINIR ESTADIO HTA",IF(AND(OR(O242&gt;0,R242&gt;0),AND(CU242&gt;120,CU242&lt;=139)),"PRE HTA SEGUIMIENTO,RIESGO HIPERTENSION INDUCIDA POR EL EMBARAZO",IF(AND(OR(O242&gt;0,R242&gt;0),AND(CV242&gt;80,CV242&lt;=89)),"PRE HTA SEGUIMIENTO, RIESGO HIPERTENSION INDUCIDA POR EL EMBARAZO",IF(AND(OR(O242&lt;&gt;"",R242&lt;&gt;""),CS242&lt;&gt;"",CV242&lt;&gt;"",CS242&lt;=CV242),"VIGILAR CIFRAS PRESION ARTERIAL",IF(AND(OR(O242&gt;0,R242&gt;0),AND(CU242&gt;120,CU242&lt;=139)),"PRE HTA SEGUIMIENTO",IF(AND(OR(O242&gt;0,R242&gt;0),AND(CU242&gt;1,CU242&lt;=70),AND(CV242&gt;1,CV242&lt;=40)),"HIPOTENSIÓN",IF(AND(OR(O242&lt;&gt;"",R242&lt;&gt;""),CS242&lt;&gt;"",CV242&lt;&gt;"",CS242&gt;CV242),"APARENTEMENTE NORMAL",IF(AND(OR(O242&gt;0,R242&gt;0),AND(CU242&gt;=80,CU242&lt;=120)),"APARENTEMENTE NORMAL",IF(AND(OR(O242&gt;0,R242&gt;0),AND(CV242&gt;=50,CV242&lt;=80)),"APARENTEMENTE NORMAL","")))))))))))))</f>
        <v xml:space="preserve">COMPLETE REGISTRO TA CONTROL SEM 20 A26 </v>
      </c>
      <c r="CX242" s="21"/>
      <c r="CY242" s="21"/>
      <c r="CZ242" s="216" t="str">
        <f t="shared" si="1042"/>
        <v/>
      </c>
      <c r="DA242" s="21">
        <v>90</v>
      </c>
      <c r="DB242" s="21">
        <v>60</v>
      </c>
      <c r="DC242" s="217" t="str">
        <f t="shared" si="849"/>
        <v>APARENTEMENTE NORMAL</v>
      </c>
      <c r="DD242" s="22">
        <v>45139</v>
      </c>
      <c r="DE242" s="22">
        <v>45139</v>
      </c>
      <c r="DF242" s="22">
        <v>45139</v>
      </c>
      <c r="DG242" s="22"/>
      <c r="DH242" s="22"/>
      <c r="DI242" s="22"/>
      <c r="DJ242" s="22"/>
      <c r="DK242" s="22"/>
      <c r="DL242" s="22"/>
      <c r="DM242" s="22"/>
      <c r="DN242" s="22"/>
      <c r="DO242" s="22"/>
      <c r="DP242" s="22"/>
      <c r="DQ242" s="22"/>
      <c r="DR242" s="28"/>
      <c r="DS242" s="22"/>
      <c r="DT242" s="22"/>
      <c r="DU242" s="216" t="str">
        <f t="shared" ca="1" si="917"/>
        <v>PLANEAR PLAN DE PARTO</v>
      </c>
      <c r="DV242" s="226" t="str">
        <f t="shared" si="918"/>
        <v>ACTIVA INGRESO A CPN</v>
      </c>
      <c r="DW242"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2" s="216" t="e">
        <f t="shared" ca="1" si="850"/>
        <v>#REF!</v>
      </c>
      <c r="DY242" s="212">
        <f>IF(R242="","",IF(R242&gt;0,MAX(Tabla1[[#This Row],[FECHA C2]:[FECHA C13]],Tabla1[[#This Row],[FECHA CONSULTA PRIMERA VEZ PROGRAMA CPN ]])))</f>
        <v>45139</v>
      </c>
      <c r="DZ242" s="216">
        <f t="shared" si="851"/>
        <v>15</v>
      </c>
      <c r="EA242" s="222">
        <f>IF(R242&gt;0,SUM(COUNTA(DF242:DQ242)+COUNTA(Tabla1[[#This Row],[FECHA CONSULTA PRIMERA VEZ PROGRAMA CPN ]])),"")</f>
        <v>2</v>
      </c>
      <c r="EB242" s="222" t="str">
        <f t="shared" si="852"/>
        <v>NO</v>
      </c>
      <c r="EC242" s="214">
        <f t="shared" si="853"/>
        <v>8</v>
      </c>
      <c r="ED242" s="227">
        <f t="shared" si="854"/>
        <v>0.25</v>
      </c>
      <c r="EE242" s="22">
        <v>45139</v>
      </c>
      <c r="EF242" s="22"/>
      <c r="EG242" s="22">
        <v>45139</v>
      </c>
      <c r="EH242" s="22"/>
      <c r="EI242" s="22">
        <v>45139</v>
      </c>
      <c r="EJ242" s="22"/>
      <c r="EK242" s="22"/>
      <c r="EL242" s="21"/>
      <c r="EM242" s="21">
        <v>14.1</v>
      </c>
      <c r="EN242" s="22">
        <v>45115</v>
      </c>
      <c r="EO242" s="222">
        <f t="shared" si="855"/>
        <v>11.571428571428571</v>
      </c>
      <c r="EP242" s="214" t="str">
        <f t="shared" si="856"/>
        <v>NO DAR SULFATO FERROSO</v>
      </c>
      <c r="EQ242" s="216" t="str">
        <f t="shared" si="857"/>
        <v>I TRIM</v>
      </c>
      <c r="ER242" s="24"/>
      <c r="ES242" s="22"/>
      <c r="ET242" s="29" t="str">
        <f t="shared" ca="1" si="919"/>
        <v>EN SEMANA 28 TOMA INMEDIATA DE EXAMEN</v>
      </c>
      <c r="EU242" s="25" t="str">
        <f t="shared" si="858"/>
        <v/>
      </c>
      <c r="EV242" s="24" t="s">
        <v>1510</v>
      </c>
      <c r="EW242" s="22">
        <v>45115</v>
      </c>
      <c r="EX242" s="22"/>
      <c r="EY242" s="29">
        <f t="shared" si="1040"/>
        <v>11.571428571428571</v>
      </c>
      <c r="EZ242" s="25" t="str">
        <f t="shared" si="1041"/>
        <v>SIN RIESGO DE ISOINMUNIZACIÓN</v>
      </c>
      <c r="FA242" s="21">
        <v>81</v>
      </c>
      <c r="FB242" s="22">
        <v>45115</v>
      </c>
      <c r="FC242" s="29">
        <f t="shared" si="859"/>
        <v>11.571428571428571</v>
      </c>
      <c r="FD242" s="29"/>
      <c r="FE242" s="29"/>
      <c r="FF242" s="29"/>
      <c r="FG242" s="21" t="str">
        <f t="shared" ca="1" si="860"/>
        <v>TOMAR PTOG</v>
      </c>
      <c r="FH242" s="31"/>
      <c r="FI242" s="29" t="str">
        <f t="shared" si="861"/>
        <v>TOMAR EXAMEN</v>
      </c>
      <c r="FJ242" s="22" t="s">
        <v>867</v>
      </c>
      <c r="FK242" s="22">
        <v>45115</v>
      </c>
      <c r="FL242" s="29">
        <f t="shared" ca="1" si="862"/>
        <v>11.571428571428571</v>
      </c>
      <c r="FM242" s="22"/>
      <c r="FN242" s="22"/>
      <c r="FO242" s="29" t="str">
        <f t="shared" ca="1" si="920"/>
        <v>PIERDE TOMA DE TAMIZAJE</v>
      </c>
      <c r="FP242" s="22"/>
      <c r="FQ242" s="32"/>
      <c r="FR242" s="29" t="str">
        <f t="shared" ca="1" si="921"/>
        <v>EN RANGO PARA TOMAR EXAMEN</v>
      </c>
      <c r="FS242" s="22"/>
      <c r="FT242" s="32"/>
      <c r="FU242" s="29" t="str">
        <f>IF(AND(FJ242="",FM242="",FP242="",FS242=""),"",IF(OR(OR(Tabla1[[#This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2" s="28"/>
      <c r="FW242" s="22"/>
      <c r="FX242" s="29" t="str">
        <f t="shared" si="863"/>
        <v>TOMAR EXAMEN</v>
      </c>
      <c r="FY242" s="22" t="s">
        <v>868</v>
      </c>
      <c r="FZ242" s="22">
        <v>45115</v>
      </c>
      <c r="GA242" s="29">
        <f t="shared" ca="1" si="936"/>
        <v>11.571428571428571</v>
      </c>
      <c r="GB242" s="22"/>
      <c r="GC242" s="22"/>
      <c r="GD242" s="29" t="str">
        <f t="shared" ca="1" si="1045"/>
        <v>PIERDE TOMA DE TAMIZAJE</v>
      </c>
      <c r="GE242" s="22"/>
      <c r="GF242" s="22"/>
      <c r="GG242" s="29" t="str">
        <f t="shared" ca="1" si="923"/>
        <v>EN RANGO PARA TOMAR EXAMEN</v>
      </c>
      <c r="GH242" s="22"/>
      <c r="GI242" s="29"/>
      <c r="GJ242" s="22"/>
      <c r="GK242" s="22"/>
      <c r="GL242" s="22"/>
      <c r="GM242" s="22"/>
      <c r="GN242" s="28" t="s">
        <v>869</v>
      </c>
      <c r="GO242" s="22">
        <v>45115</v>
      </c>
      <c r="GP242" s="29">
        <f t="shared" si="864"/>
        <v>11.571428571428571</v>
      </c>
      <c r="GQ242" s="28" t="s">
        <v>869</v>
      </c>
      <c r="GR242" s="28" t="s">
        <v>869</v>
      </c>
      <c r="GS242" s="22" t="str">
        <f t="shared" si="1044"/>
        <v>CONTROL Igm</v>
      </c>
      <c r="GT242" s="22">
        <v>45115</v>
      </c>
      <c r="GU242" s="29">
        <f t="shared" si="865"/>
        <v>11.571428571428571</v>
      </c>
      <c r="GV242" s="21" t="str">
        <f t="shared" si="866"/>
        <v>I TRIM</v>
      </c>
      <c r="GW242" s="28"/>
      <c r="GX242" s="30"/>
      <c r="GY242" s="21"/>
      <c r="GZ242" s="21"/>
      <c r="HA242" s="21"/>
      <c r="HB242" s="21"/>
      <c r="HC242" s="21"/>
      <c r="HD242" s="21"/>
      <c r="HE242" s="21"/>
      <c r="HF242" s="22"/>
      <c r="HG242" s="22" t="str">
        <f>IF(OR(O242&gt;0,R242&gt;0),CONCATENATE(IF(Tabla1[[#This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2" s="22" t="e">
        <f t="shared" si="867"/>
        <v>#REF!</v>
      </c>
      <c r="HI242" s="22" t="e">
        <f t="shared" ca="1" si="868"/>
        <v>#REF!</v>
      </c>
      <c r="HJ242" s="21"/>
      <c r="HK242" s="21" t="str">
        <f t="shared" si="869"/>
        <v>SIN ANTECEDENTES DE RIESGO</v>
      </c>
      <c r="HL242" s="24" t="str">
        <f t="shared" si="870"/>
        <v>APARENTEMENTE NORMAL</v>
      </c>
      <c r="HM242" s="21" t="e">
        <f t="shared" ca="1" si="871"/>
        <v>#REF!</v>
      </c>
      <c r="HN242" s="30" t="str">
        <f t="shared" si="924"/>
        <v>ACTIVA INGRESO A CPN</v>
      </c>
      <c r="HO242" s="21"/>
      <c r="HP242" s="21"/>
      <c r="HQ242" s="349"/>
      <c r="HR242" s="21" t="str">
        <f>IF(R242="","",IF(Tabla1[[#This Row],[ALARMA FACTORES DE RIESGO COMPLICACIONES HIPERTENSIVAS3]]="SIN ANTECEDENTES DE RIESGO","No Aplica para suministro de ASA",IF(AND(Tabla1[[#This Row],[FECHA INICIO DE SUMINISTRO DE ASA]]&gt;0,RV242&lt;12),"Inicia ASA ANTES de Sem 12",IF(AND(RV242&gt;11,RV242&lt;17,OR(HK242="RIESGO ALTO DE COMPLICACIONES HIPERTENSIVAS VER MANEJO GUIA SUMINISTRO ASA Y CALCIO",HK242="RIESGO MODERADO (2 O MAS CRITERIOS) VER MANEJO GUIA SUMINISTRO ASA Y CALCIO")),"Inicio oportuno de ASA",IF(AND(RV242&gt;12,OR(HK242="RIESGO ALTO DE COMPLICACIONES HIPERTENSIVAS VER MANEJO GUIA SUMINISTRO ASA Y CALCIO",HK242="RIESGO MODERADO (2 O MAS CRITERIOS) VER MANEJO GUIA SUMINISTRO ASA Y CALCIO")),"Inicio no oportuno mayor a 16 semanas",IF(AND(BU242&lt;12,OR(HK242="RIESGO ALTO DE COMPLICACIONES HIPERTENSIVAS VER MANEJO GUIA SUMINISTRO ASA Y CALCIO",HK242="RIESGO MODERADO (2 O MAS CRITERIOS) VER MANEJO GUIA SUMINISTRO ASA Y CALCIO")),"Pendiente Inicio de ASA a la semana 12",IF(AND(BU242&gt;11,BU242&lt;17,OR(HK242="RIESGO ALTO DE COMPLICACIONES HIPERTENSIVAS VER MANEJO GUIA SUMINISTRO ASA Y CALCIO",HK242="RIESGO MODERADO (2 O MAS CRITERIOS) VER MANEJO GUIA SUMINISTRO ASA Y CALCIO")),"Iniciar de inmediato ASA",IF(AND(BU242&gt;16,OR(HK242="RIESGO ALTO DE COMPLICACIONES HIPERTENSIVAS VER MANEJO GUIA SUMINISTRO ASA Y CALCIO",HK242="RIESGO MODERADO (2 O MAS CRITERIOS) VER MANEJO GUIA SUMINISTRO ASA Y CALCIO")),"Pierde Oportunidad, Inicio tardío de ASA","XXXXX"))))))))</f>
        <v>No Aplica para suministro de ASA</v>
      </c>
      <c r="HS242" s="22">
        <v>45115</v>
      </c>
      <c r="HT242" s="22" t="s">
        <v>1518</v>
      </c>
      <c r="HU242" s="22">
        <v>45115</v>
      </c>
      <c r="HV242" s="22" t="s">
        <v>1544</v>
      </c>
      <c r="HW242" s="22"/>
      <c r="HX242" s="22" t="s">
        <v>1511</v>
      </c>
      <c r="HY242" s="22"/>
      <c r="HZ242" s="28" t="str">
        <f t="shared" si="872"/>
        <v>PENDIENTE CONSULTA</v>
      </c>
      <c r="IA242" s="26"/>
      <c r="IB242" s="26"/>
      <c r="IC242" s="111"/>
      <c r="ID242" s="22"/>
      <c r="IE242" s="22" t="str">
        <f t="shared" ca="1" si="873"/>
        <v>INASISTENTE</v>
      </c>
      <c r="IF242" s="22"/>
      <c r="IG242" s="22">
        <f t="shared" si="874"/>
        <v>45314</v>
      </c>
      <c r="IH242" s="29">
        <f t="shared" ca="1" si="875"/>
        <v>81</v>
      </c>
      <c r="II242" s="22" t="str">
        <f t="shared" ca="1" si="876"/>
        <v>PENDIENTE</v>
      </c>
      <c r="IJ242" s="22"/>
      <c r="IK242" s="21"/>
      <c r="IL242" s="21"/>
      <c r="IM242" s="34"/>
      <c r="IN242" s="22"/>
      <c r="IO242" s="21"/>
      <c r="IP242" s="29" t="str">
        <f t="shared" si="877"/>
        <v/>
      </c>
      <c r="IQ242" s="35"/>
      <c r="IR242" s="21"/>
      <c r="IS242" s="21"/>
      <c r="IT242" s="21"/>
      <c r="IU242" s="21"/>
      <c r="IV242" s="21"/>
      <c r="IW242" s="21"/>
      <c r="IX242" s="21"/>
      <c r="IY242" s="21"/>
      <c r="IZ242" s="21"/>
      <c r="JA242" s="21"/>
      <c r="JB242" s="30"/>
      <c r="JC242" s="21"/>
      <c r="JD242" s="36"/>
      <c r="JE242" s="21" t="str">
        <f t="shared" si="878"/>
        <v/>
      </c>
      <c r="JF242" s="30"/>
      <c r="JG242" s="21"/>
      <c r="JH242" s="21"/>
      <c r="JI242" s="21"/>
      <c r="JJ242" s="30"/>
      <c r="JK242" s="22"/>
      <c r="JL242" s="22"/>
      <c r="JM242" s="21"/>
      <c r="JN242" s="36"/>
      <c r="JO242" s="21" t="str">
        <f t="shared" si="879"/>
        <v/>
      </c>
      <c r="JP242" s="22"/>
      <c r="JQ242" s="21"/>
      <c r="JR242" s="21"/>
      <c r="JS242" s="21"/>
      <c r="JT242" s="30"/>
      <c r="JU242" s="22"/>
      <c r="JV242" s="22"/>
      <c r="JW242" s="33"/>
      <c r="JX242" s="28" t="str">
        <f t="shared" si="880"/>
        <v/>
      </c>
      <c r="JY242" s="33"/>
      <c r="JZ242" s="28" t="str">
        <f t="shared" si="881"/>
        <v/>
      </c>
      <c r="KA242" s="21"/>
      <c r="KB242" s="21"/>
      <c r="KC242" s="21"/>
      <c r="KD242" s="37"/>
      <c r="KE242" s="28"/>
      <c r="KF242" s="28"/>
      <c r="KG242" s="28"/>
      <c r="KH242" s="39"/>
      <c r="KI242" s="39"/>
      <c r="KJ242" s="66"/>
      <c r="KK242" s="39"/>
      <c r="KL242" s="39"/>
      <c r="KM242" s="66"/>
      <c r="KN242" s="39"/>
      <c r="KO242" s="39"/>
      <c r="KP242" s="39"/>
      <c r="KQ242" s="39"/>
      <c r="KR242" s="39"/>
      <c r="KS242" s="39"/>
      <c r="KT242" s="39"/>
      <c r="KU242" s="38"/>
      <c r="KV242" s="38"/>
      <c r="KW242" s="38"/>
      <c r="KX242" s="38"/>
      <c r="KY242" s="38"/>
      <c r="KZ242" s="38"/>
      <c r="LA242" s="38"/>
      <c r="LB242" s="38"/>
      <c r="LC242" s="38"/>
      <c r="LD242" s="38"/>
      <c r="LE242" s="38"/>
      <c r="LF242" s="38"/>
      <c r="LG242" s="38"/>
      <c r="LH242" s="38"/>
      <c r="LI242" s="38"/>
      <c r="LJ242" s="38"/>
      <c r="LK242" s="38"/>
      <c r="LL242" s="38"/>
      <c r="LM242" s="38"/>
      <c r="LN242" s="38"/>
      <c r="LO242" s="38"/>
      <c r="LP242" s="38"/>
      <c r="LQ242" s="38"/>
      <c r="LR242" s="38"/>
      <c r="LS242" s="38"/>
      <c r="LT242" s="38"/>
      <c r="LU242" s="38"/>
      <c r="LV242" s="38"/>
      <c r="LW242" s="38"/>
      <c r="LX242" s="38"/>
      <c r="LY242" s="38"/>
      <c r="LZ242" s="38"/>
      <c r="MA242" s="38"/>
      <c r="MB242" s="38"/>
      <c r="MC242" s="38"/>
      <c r="MD242" s="38"/>
      <c r="ME242" s="38"/>
      <c r="MF242" s="38"/>
      <c r="MG242" s="38"/>
      <c r="MH242" s="43">
        <f t="shared" si="882"/>
        <v>0</v>
      </c>
      <c r="MI242" s="43" t="str">
        <f t="shared" si="926"/>
        <v/>
      </c>
      <c r="MJ242" s="43" t="str">
        <f t="shared" si="884"/>
        <v/>
      </c>
      <c r="MK242" s="43">
        <f t="shared" si="885"/>
        <v>0</v>
      </c>
      <c r="ML242"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2" s="43">
        <f t="shared" si="927"/>
        <v>15</v>
      </c>
      <c r="MN242" s="43">
        <f t="shared" si="928"/>
        <v>8</v>
      </c>
      <c r="MO242" s="43">
        <f t="shared" si="929"/>
        <v>2023</v>
      </c>
      <c r="MP242" s="43" t="str">
        <f t="shared" si="889"/>
        <v>III TRIMESTRE AÑO</v>
      </c>
      <c r="MQ242" s="43">
        <f t="shared" si="930"/>
        <v>22.922141918528251</v>
      </c>
      <c r="MR242" s="43">
        <f t="shared" si="891"/>
        <v>0</v>
      </c>
      <c r="MS242" s="43" t="str">
        <f t="shared" si="892"/>
        <v xml:space="preserve"> DE 20 A 24 AÑOS</v>
      </c>
      <c r="MT242" s="43">
        <f t="shared" si="893"/>
        <v>0</v>
      </c>
      <c r="MU242" s="43">
        <f t="shared" si="894"/>
        <v>1</v>
      </c>
      <c r="MV242" s="43">
        <f t="shared" si="895"/>
        <v>0</v>
      </c>
      <c r="MW242" s="43">
        <f t="shared" si="896"/>
        <v>0</v>
      </c>
      <c r="MX242" s="43" t="str">
        <f t="shared" si="897"/>
        <v/>
      </c>
      <c r="MY242" s="43" t="str">
        <f t="shared" ca="1" si="898"/>
        <v/>
      </c>
      <c r="MZ242" s="43" t="str">
        <f t="shared" si="899"/>
        <v/>
      </c>
      <c r="NA242" s="43" t="str">
        <f t="shared" si="900"/>
        <v/>
      </c>
      <c r="NB242" s="43" t="str">
        <f t="shared" si="901"/>
        <v/>
      </c>
      <c r="NC242" s="43" t="str">
        <f t="shared" si="902"/>
        <v/>
      </c>
      <c r="ND242" s="43">
        <f t="shared" ca="1" si="931"/>
        <v>1</v>
      </c>
      <c r="NE242" s="43">
        <f>IF(OR(O242&gt;0,R242&gt;0),SUM(COUNTIF(Tabla1[[#This Row],[AÑOS AL INICIO5 CPN]],"&gt;=40"),COUNTIF(AS242,"0"),COUNTIF(AR242,"SI"),COUNTIF(CC242,"SI"),COUNTIF(BQ242,"&gt;119"),COUNTIF(CI242,"&gt;=35")),"")</f>
        <v>1</v>
      </c>
      <c r="NF242" s="43" t="str">
        <f t="shared" si="932"/>
        <v/>
      </c>
      <c r="NG242" s="43">
        <f t="shared" si="905"/>
        <v>0</v>
      </c>
      <c r="NH242" s="43">
        <f t="shared" si="906"/>
        <v>86.8</v>
      </c>
      <c r="NI242"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CPN",P242="NO"),"Z",IF(AND(Tabla1[[#This Row],[CITA PROXIMO CONTROL]]="CITA MANUAL",Tabla1[[#This Row],[GESTANTES ACTUALES]]="ACTIVA INGRESO A CPN"),"W",IF(AND(Tabla1[[#This Row],[GESTANTES ACTUALES]]="SALIO PROGRAMA",IN242=""),"S",IF(AND(Tabla1[[#This Row],[CITA PROXIMO CONTROL]]&gt;0,IN242=""),(Tabla1[[#This Row],[CITA PROXIMO CONTROL]]-TODAY()),"SD"))))))))</f>
        <v>#REF!</v>
      </c>
      <c r="NJ242" s="43">
        <f>MONTH(Tabla1[[#This Row],[FECHA DE SALIDA  DEL PROGRAMA]])</f>
        <v>1</v>
      </c>
      <c r="NK242" s="43">
        <f>YEAR(Tabla1[[#This Row],[FECHA DE SALIDA  DEL PROGRAMA]])</f>
        <v>1900</v>
      </c>
      <c r="NL242" s="43" t="str">
        <f t="shared" si="933"/>
        <v>X</v>
      </c>
      <c r="NM242" s="43" t="str">
        <f t="shared" si="938"/>
        <v>NO</v>
      </c>
      <c r="NN242" s="43" t="str">
        <f ca="1">IF(AND(O242&gt;0,R242=""),"NO CPN",IF(AND(O242="",R242=""),"",IF(AND(R242&gt;0,Tabla1[[#This Row],[SEMANAS DE GESTACION ACTUALIZADAS]]&lt;=12),"NO APLICA",IF(AND(FH242&lt;&gt;"",FN242&lt;&gt;""),"SI","NO"))))</f>
        <v>NO</v>
      </c>
      <c r="NO242" s="43" t="str">
        <f ca="1">IF(AND(O242&gt;0,R242=""),"NO CPN",IF(AND(O242="",R242=""),"",IF(AND(R242&gt;0,Tabla1[[#This Row],[SEMANAS DE GESTACION ACTUALIZADAS]]&lt;=27),"NO APLICA",IF(AND(ES242&lt;&gt;"",FQ242&lt;&gt;"",GF242&lt;&gt;""),"SI","NO"))))</f>
        <v>NO</v>
      </c>
      <c r="NP242" s="204" t="str">
        <f t="shared" si="909"/>
        <v>II TRIM</v>
      </c>
      <c r="NQ242" s="21" t="str">
        <f t="shared" si="1043"/>
        <v/>
      </c>
      <c r="NR242" s="21">
        <f t="shared" ca="1" si="934"/>
        <v>2</v>
      </c>
      <c r="NS242" s="205">
        <f t="shared" ca="1" si="911"/>
        <v>1</v>
      </c>
      <c r="NT242" s="21">
        <f t="shared" ca="1" si="912"/>
        <v>1</v>
      </c>
      <c r="NU242" s="21" t="str">
        <f t="shared" ca="1" si="913"/>
        <v>INCOMPLETO</v>
      </c>
      <c r="NV242" s="21" t="str">
        <f t="shared" ca="1" si="914"/>
        <v>INCOMPLETO</v>
      </c>
      <c r="NW242" s="206" t="str">
        <f>IF(AND(O242="",R242=""),"",IF(OR(AND(Tabla1[[#This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2" s="207" t="str">
        <f t="shared" ca="1" si="935"/>
        <v>SIN VACUNAR</v>
      </c>
      <c r="NY242" s="43">
        <f>ROW(Tabla1[[#This Row],['# DE TAMIZAJES SIFILIS TOMADOS ]])</f>
        <v>242</v>
      </c>
      <c r="NZ242" s="43">
        <f t="shared" si="939"/>
        <v>15</v>
      </c>
      <c r="OA242" s="43" t="str">
        <f t="shared" si="940"/>
        <v/>
      </c>
      <c r="OB242" s="43" t="str">
        <f t="shared" si="941"/>
        <v/>
      </c>
      <c r="OC242" s="43" t="str">
        <f t="shared" si="942"/>
        <v/>
      </c>
      <c r="OD242" s="43" t="str">
        <f t="shared" si="943"/>
        <v/>
      </c>
      <c r="OE242" s="43" t="str">
        <f t="shared" si="944"/>
        <v/>
      </c>
      <c r="OF242" s="43" t="str">
        <f t="shared" si="945"/>
        <v/>
      </c>
      <c r="OG242" s="43" t="str">
        <f t="shared" si="946"/>
        <v>NORMAL</v>
      </c>
      <c r="OH242" s="43" t="str">
        <f t="shared" si="947"/>
        <v/>
      </c>
      <c r="OI242" s="43" t="str">
        <f t="shared" si="948"/>
        <v/>
      </c>
      <c r="OJ242" s="43" t="str">
        <f t="shared" si="949"/>
        <v/>
      </c>
      <c r="OK242" s="43" t="str">
        <f t="shared" si="950"/>
        <v/>
      </c>
      <c r="OL242" s="43" t="str">
        <f t="shared" si="951"/>
        <v/>
      </c>
      <c r="OM242" s="43" t="str">
        <f t="shared" si="952"/>
        <v/>
      </c>
      <c r="ON242" s="43" t="str">
        <f t="shared" si="953"/>
        <v/>
      </c>
      <c r="OO242" s="43" t="str">
        <f t="shared" si="954"/>
        <v/>
      </c>
      <c r="OP242" s="43" t="str">
        <f t="shared" si="955"/>
        <v/>
      </c>
      <c r="OQ242" s="43" t="str">
        <f t="shared" si="956"/>
        <v/>
      </c>
      <c r="OR242" s="43" t="str">
        <f t="shared" si="957"/>
        <v/>
      </c>
      <c r="OS242" s="43" t="str">
        <f t="shared" si="958"/>
        <v/>
      </c>
      <c r="OT242" s="43" t="str">
        <f t="shared" si="959"/>
        <v/>
      </c>
      <c r="OU242" s="43" t="str">
        <f t="shared" si="960"/>
        <v/>
      </c>
      <c r="OV242" s="110" t="str">
        <f t="shared" si="961"/>
        <v/>
      </c>
      <c r="OW242" s="43" t="str">
        <f t="shared" si="962"/>
        <v/>
      </c>
      <c r="OX242" s="43" t="str">
        <f t="shared" si="963"/>
        <v/>
      </c>
      <c r="OY242" s="43" t="str">
        <f t="shared" si="964"/>
        <v/>
      </c>
      <c r="OZ242" s="43" t="str">
        <f t="shared" si="965"/>
        <v/>
      </c>
      <c r="PA242" s="43" t="str">
        <f t="shared" si="966"/>
        <v/>
      </c>
      <c r="PB242" s="43" t="str">
        <f t="shared" si="967"/>
        <v/>
      </c>
      <c r="PC242" s="43" t="str">
        <f t="shared" si="968"/>
        <v/>
      </c>
      <c r="PD242" s="43" t="str">
        <f t="shared" si="969"/>
        <v/>
      </c>
      <c r="PE242" s="43" t="str">
        <f t="shared" si="970"/>
        <v/>
      </c>
      <c r="PF242" s="43" t="str">
        <f t="shared" si="971"/>
        <v/>
      </c>
      <c r="PG242" s="43" t="str">
        <f t="shared" si="972"/>
        <v/>
      </c>
      <c r="PH242" s="43" t="str">
        <f t="shared" si="973"/>
        <v/>
      </c>
      <c r="PI242" s="43">
        <f t="shared" si="974"/>
        <v>15</v>
      </c>
      <c r="PJ242" s="43" t="str">
        <f t="shared" si="975"/>
        <v/>
      </c>
      <c r="PK242" s="43" t="str">
        <f t="shared" si="976"/>
        <v/>
      </c>
      <c r="PL242" s="43" t="str">
        <f t="shared" si="977"/>
        <v/>
      </c>
      <c r="PM242" s="43" t="str">
        <f t="shared" si="978"/>
        <v/>
      </c>
      <c r="PN242" s="43" t="str">
        <f t="shared" si="979"/>
        <v/>
      </c>
      <c r="PO242" s="43" t="str">
        <f t="shared" si="980"/>
        <v/>
      </c>
      <c r="PP242" s="43" t="str">
        <f t="shared" si="981"/>
        <v>NORMAL</v>
      </c>
      <c r="PQ242" s="43" t="str">
        <f t="shared" si="982"/>
        <v/>
      </c>
      <c r="PR242" s="43" t="str">
        <f t="shared" si="983"/>
        <v/>
      </c>
      <c r="PS242" s="43" t="str">
        <f t="shared" si="984"/>
        <v/>
      </c>
      <c r="PT242" s="43" t="str">
        <f t="shared" si="985"/>
        <v/>
      </c>
      <c r="PU242" s="43" t="str">
        <f t="shared" si="986"/>
        <v/>
      </c>
      <c r="PV242" s="43" t="str">
        <f t="shared" si="987"/>
        <v/>
      </c>
      <c r="PW242" s="43" t="str">
        <f t="shared" si="988"/>
        <v/>
      </c>
      <c r="PX242" s="43" t="str">
        <f t="shared" si="989"/>
        <v/>
      </c>
      <c r="PY242" s="43" t="str">
        <f t="shared" si="990"/>
        <v/>
      </c>
      <c r="PZ242" s="43" t="str">
        <f t="shared" si="991"/>
        <v/>
      </c>
      <c r="QA242" s="43" t="str">
        <f t="shared" si="992"/>
        <v/>
      </c>
      <c r="QB242" s="43" t="str">
        <f t="shared" si="993"/>
        <v/>
      </c>
      <c r="QC242" s="43" t="str">
        <f t="shared" si="994"/>
        <v/>
      </c>
      <c r="QD242" s="43" t="str">
        <f t="shared" si="995"/>
        <v/>
      </c>
      <c r="QE242" s="43" t="str">
        <f t="shared" si="996"/>
        <v/>
      </c>
      <c r="QF242" s="43" t="str">
        <f t="shared" si="997"/>
        <v/>
      </c>
      <c r="QG242" s="43" t="str">
        <f t="shared" si="998"/>
        <v/>
      </c>
      <c r="QH242" s="43" t="str">
        <f t="shared" si="999"/>
        <v/>
      </c>
      <c r="QI242" s="43" t="str">
        <f t="shared" si="1000"/>
        <v/>
      </c>
      <c r="QJ242" s="43" t="str">
        <f t="shared" si="1001"/>
        <v/>
      </c>
      <c r="QK242" s="43" t="str">
        <f t="shared" si="1002"/>
        <v/>
      </c>
      <c r="QL242" s="43" t="str">
        <f t="shared" si="1003"/>
        <v/>
      </c>
      <c r="QM242" s="43" t="str">
        <f t="shared" si="1004"/>
        <v/>
      </c>
      <c r="QN242" s="43" t="str">
        <f t="shared" si="1005"/>
        <v/>
      </c>
      <c r="QO242" s="43" t="str">
        <f t="shared" si="1006"/>
        <v/>
      </c>
      <c r="QP242" s="43" t="str">
        <f t="shared" si="1007"/>
        <v/>
      </c>
      <c r="QQ242" s="43" t="str">
        <f t="shared" si="1008"/>
        <v/>
      </c>
      <c r="QR242" s="43">
        <f t="shared" si="1009"/>
        <v>15</v>
      </c>
      <c r="QS242" s="43"/>
      <c r="QT242" s="21" t="str">
        <f t="shared" si="1010"/>
        <v/>
      </c>
      <c r="QU242" s="21" t="str">
        <f t="shared" si="1011"/>
        <v/>
      </c>
      <c r="QV242" s="21" t="str">
        <f t="shared" si="1012"/>
        <v/>
      </c>
      <c r="QW242" s="21" t="str">
        <f t="shared" si="1013"/>
        <v/>
      </c>
      <c r="QX242" s="21" t="str">
        <f t="shared" si="1014"/>
        <v/>
      </c>
      <c r="QY242" s="21" t="str">
        <f t="shared" si="1015"/>
        <v/>
      </c>
      <c r="QZ242" s="21" t="str">
        <f t="shared" si="1016"/>
        <v/>
      </c>
      <c r="RA242" s="21" t="str">
        <f t="shared" si="1017"/>
        <v/>
      </c>
      <c r="RB242" s="21" t="str">
        <f t="shared" si="1018"/>
        <v/>
      </c>
      <c r="RC242" s="21" t="str">
        <f t="shared" si="1019"/>
        <v/>
      </c>
      <c r="RD242" s="21" t="str">
        <f t="shared" si="1020"/>
        <v/>
      </c>
      <c r="RE242" s="21" t="str">
        <f t="shared" si="1021"/>
        <v/>
      </c>
      <c r="RF242" s="21" t="str">
        <f t="shared" si="1022"/>
        <v/>
      </c>
      <c r="RG242" s="21" t="str">
        <f t="shared" si="1023"/>
        <v/>
      </c>
      <c r="RH242" s="21" t="str">
        <f t="shared" si="1024"/>
        <v/>
      </c>
      <c r="RI242" s="21" t="str">
        <f t="shared" si="1025"/>
        <v/>
      </c>
      <c r="RJ242" s="21" t="str">
        <f t="shared" si="1026"/>
        <v/>
      </c>
      <c r="RK242" s="21" t="str">
        <f t="shared" si="1027"/>
        <v/>
      </c>
      <c r="RL242" s="21" t="str">
        <f t="shared" si="1028"/>
        <v/>
      </c>
      <c r="RM242" s="21" t="str">
        <f t="shared" si="1029"/>
        <v/>
      </c>
      <c r="RN242" s="21" t="str">
        <f t="shared" si="1030"/>
        <v/>
      </c>
      <c r="RO242" s="21" t="str">
        <f t="shared" si="1031"/>
        <v/>
      </c>
      <c r="RP242" s="21" t="str">
        <f t="shared" si="1032"/>
        <v/>
      </c>
      <c r="RQ242" s="21" t="str">
        <f t="shared" si="1033"/>
        <v/>
      </c>
      <c r="RR242" s="21" t="str">
        <f t="shared" si="1034"/>
        <v/>
      </c>
      <c r="RS242" s="21" t="str">
        <f t="shared" si="1035"/>
        <v/>
      </c>
      <c r="RT242" s="21" t="str">
        <f t="shared" si="1036"/>
        <v/>
      </c>
      <c r="RU242" s="21" t="str">
        <f t="shared" si="1037"/>
        <v/>
      </c>
      <c r="RV242" s="21">
        <f t="shared" si="1038"/>
        <v>-1</v>
      </c>
      <c r="RW242" s="284">
        <f>IF(OR(Tabla1[[#This Row],[FUM FORMULA CONFIABLE]]="",Tabla1[[#This Row],[FUM FORMULA CONFIABLE]]="SD"),"",IF(Tabla1[[#This Row],[FUM FORMULA CONFIABLE]]="CORREGIDA",Tabla1[[#This Row],[FUM X ECO 1]],Tabla1[[#This Row],[FUM x AMENORREA]]))</f>
        <v>45034</v>
      </c>
      <c r="RX242" s="21">
        <f>IF(AND(Tabla1[[#This Row],[FUM X ECO 1]]="",Tabla1[[#This Row],[FUM x AMENORREA]]=""),"",IF(AND(Tabla1[[#This Row],[FUM X ECO 1]]="",Tabla1[[#This Row],[FUM x AMENORREA]]&lt;&gt;""),"X",SUM(Tabla1[[#This Row],[FUM X ECO 1]]-Tabla1[[#This Row],[FUM x AMENORREA]])))</f>
        <v>0.19999999999708962</v>
      </c>
      <c r="RY242" s="21">
        <f t="shared" si="1039"/>
        <v>0</v>
      </c>
    </row>
    <row r="243" spans="1:493" ht="45" customHeight="1" x14ac:dyDescent="0.25">
      <c r="A243" s="109"/>
      <c r="B243" s="43"/>
      <c r="C243" s="43" t="s">
        <v>845</v>
      </c>
      <c r="D243" s="124"/>
      <c r="E243" s="43" t="s">
        <v>1667</v>
      </c>
      <c r="F243" s="43" t="s">
        <v>1668</v>
      </c>
      <c r="G243" s="43" t="s">
        <v>1669</v>
      </c>
      <c r="H243" s="43"/>
      <c r="I243" s="109" t="s">
        <v>851</v>
      </c>
      <c r="J243" s="110">
        <v>1064426895</v>
      </c>
      <c r="K243" s="43" t="s">
        <v>932</v>
      </c>
      <c r="L243" s="175" t="s">
        <v>1509</v>
      </c>
      <c r="M243" s="22">
        <v>31452</v>
      </c>
      <c r="N243" s="213">
        <f t="shared" ca="1" si="839"/>
        <v>37.756164383561647</v>
      </c>
      <c r="O243" s="22">
        <v>45140</v>
      </c>
      <c r="P243" s="214" t="str">
        <f t="shared" si="916"/>
        <v>SI</v>
      </c>
      <c r="Q243" s="26" t="s">
        <v>855</v>
      </c>
      <c r="R243" s="22">
        <v>45140</v>
      </c>
      <c r="S243" s="21" t="s">
        <v>856</v>
      </c>
      <c r="T243" s="24" t="s">
        <v>690</v>
      </c>
      <c r="U243" s="21" t="s">
        <v>857</v>
      </c>
      <c r="V243" s="21" t="s">
        <v>858</v>
      </c>
      <c r="W243" s="21" t="s">
        <v>1191</v>
      </c>
      <c r="X243" s="21" t="s">
        <v>1191</v>
      </c>
      <c r="Y243" s="21"/>
      <c r="Z243" s="21">
        <v>3155165067</v>
      </c>
      <c r="AA243" s="21" t="s">
        <v>860</v>
      </c>
      <c r="AB243" s="27" t="s">
        <v>861</v>
      </c>
      <c r="AC243" s="26" t="s">
        <v>846</v>
      </c>
      <c r="AD243" s="21" t="s">
        <v>1546</v>
      </c>
      <c r="AE243" s="26" t="s">
        <v>854</v>
      </c>
      <c r="AF243" s="26" t="s">
        <v>854</v>
      </c>
      <c r="AG243" s="23" t="s">
        <v>864</v>
      </c>
      <c r="AH243" s="23" t="s">
        <v>864</v>
      </c>
      <c r="AI243" s="24" t="s">
        <v>863</v>
      </c>
      <c r="AJ243" s="23" t="s">
        <v>864</v>
      </c>
      <c r="AK243" s="220" t="str">
        <f>IF(AND(AD243="",AE243="",AF243="",AG243="",AH243="",AI243="",AJ243=""),"",IF(OR(Tabla1[[#This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EVALUACIÓN",IF(AND(O243="",R243=""),"",IF(AND(OR(O243&gt;0,R243&gt;0),NG243&gt;=0,NG243&lt;2),"SIN RIESGO",IF(AND(OR(O243&gt;0,R243&gt;0),NG243&gt;=2),"CON RIESGO","ASD")))))</f>
        <v>SIN RIESGO</v>
      </c>
      <c r="AL243" s="26" t="s">
        <v>864</v>
      </c>
      <c r="AM243" s="26" t="s">
        <v>864</v>
      </c>
      <c r="AN243" s="26" t="s">
        <v>864</v>
      </c>
      <c r="AO243" s="26" t="s">
        <v>864</v>
      </c>
      <c r="AP243" s="26" t="s">
        <v>864</v>
      </c>
      <c r="AQ243" s="26" t="s">
        <v>864</v>
      </c>
      <c r="AR243" s="26" t="s">
        <v>864</v>
      </c>
      <c r="AS243" s="21">
        <v>4</v>
      </c>
      <c r="AT243" s="21">
        <v>4</v>
      </c>
      <c r="AU243" s="21">
        <v>0</v>
      </c>
      <c r="AV243" s="26" t="s">
        <v>864</v>
      </c>
      <c r="AW243" s="21">
        <v>0</v>
      </c>
      <c r="AX243" s="26" t="s">
        <v>864</v>
      </c>
      <c r="AY243" s="26" t="s">
        <v>864</v>
      </c>
      <c r="AZ243" s="26" t="s">
        <v>864</v>
      </c>
      <c r="BA243" s="26" t="s">
        <v>864</v>
      </c>
      <c r="BB243" s="26" t="s">
        <v>864</v>
      </c>
      <c r="BC243" s="26" t="s">
        <v>864</v>
      </c>
      <c r="BD243" s="26" t="s">
        <v>864</v>
      </c>
      <c r="BE243" s="26" t="s">
        <v>864</v>
      </c>
      <c r="BF243" s="26" t="s">
        <v>864</v>
      </c>
      <c r="BG243" s="26" t="s">
        <v>864</v>
      </c>
      <c r="BH243" s="26" t="s">
        <v>864</v>
      </c>
      <c r="BI243" s="26" t="s">
        <v>864</v>
      </c>
      <c r="BJ243" s="26" t="s">
        <v>864</v>
      </c>
      <c r="BK243" s="26" t="s">
        <v>864</v>
      </c>
      <c r="BL243" s="26" t="s">
        <v>864</v>
      </c>
      <c r="BM243" s="26" t="s">
        <v>864</v>
      </c>
      <c r="BN243" s="22"/>
      <c r="BO243" s="22">
        <v>45051</v>
      </c>
      <c r="BP243" s="21" t="s">
        <v>864</v>
      </c>
      <c r="BQ243" s="222">
        <f t="shared" si="840"/>
        <v>0</v>
      </c>
      <c r="BR243" s="223" t="str">
        <f t="shared" si="841"/>
        <v/>
      </c>
      <c r="BS243" s="224">
        <f t="shared" si="842"/>
        <v>12.714285714285714</v>
      </c>
      <c r="BT243" s="216" t="str">
        <f t="shared" si="843"/>
        <v>DEFINIR CON ECO</v>
      </c>
      <c r="BU243" s="214">
        <f t="shared" ca="1" si="925"/>
        <v>26</v>
      </c>
      <c r="BV243" s="25"/>
      <c r="BW243" s="22"/>
      <c r="BX243" s="28"/>
      <c r="BY243" s="28"/>
      <c r="BZ243" s="22"/>
      <c r="CA243" s="21"/>
      <c r="CB243" s="26"/>
      <c r="CC243" s="26"/>
      <c r="CD243" s="26"/>
      <c r="CE243" s="26"/>
      <c r="CF243" s="22" t="s">
        <v>1517</v>
      </c>
      <c r="CG243" s="21">
        <v>1.5</v>
      </c>
      <c r="CH243" s="21">
        <v>66</v>
      </c>
      <c r="CI243" s="214">
        <f t="shared" si="845"/>
        <v>29.333333333333332</v>
      </c>
      <c r="CJ243" s="225" t="e">
        <f>IF(AND(CI243&lt;10,CH243="SD"),"SIN DATO PESO PREGESTACION O I TRIM",IF(AND(OR(R243&gt;0,O243&gt;0),CI243="X"),"INGRESAR DATO DE PESO",IF(CI243="SD","INGRESAR DATO DE TALLA Y PESO",IF(AND(OR(Tabla1[[#This Row],[MOMENTO EN QUE SE REALIZA EL PESO AL INGRESO A CPN]]="PREGESTACIÓN",NZ243="Menor"),CI243&lt;18.5),"BAJO PESO",IF(AND(OR(Tabla1[[#This Row],[MOMENTO EN QUE SE REALIZA EL PESO AL INGRESO A CPN]]="PREGESTACIÓN",NZ243="Menor"),CI243&lt;25),"NORMAL",IF(AND(OR(Tabla1[[#This Row],[MOMENTO EN QUE SE REALIZA EL PESO AL INGRESO A CPN]]="PREGESTACIÓN",NZ243="Menor"),CI243&lt;30),"SOBREPESO",IF(AND(OR(Tabla1[[#This Row],[MOMENTO EN QUE SE REALIZA EL PESO AL INGRESO A CPN]]="PREGESTACIÓN",NZ243="Menor"),CI243&gt;=30,CI243&lt;50),"OBESIDAD",IF(AND(BS243&gt;0,Tabla1[[#This Row],[MOMENTO EN QUE SE REALIZA EL PESO AL INGRESO A CPN]]="GESTACIÓN"),HLOOKUP(NZ243,$OA$2:PH243,NY243),""))))))))</f>
        <v>#REF!</v>
      </c>
      <c r="CK243" s="212">
        <f t="shared" si="846"/>
        <v>45140</v>
      </c>
      <c r="CL243" s="21">
        <v>66</v>
      </c>
      <c r="CM243" s="214">
        <f t="shared" si="847"/>
        <v>29.333333333333332</v>
      </c>
      <c r="CN243" s="216">
        <f t="shared" si="848"/>
        <v>12</v>
      </c>
      <c r="CO243" s="216" t="e">
        <f>IF(PI243="","",IF(PI243&gt;0,HLOOKUP(PI243,$PJ$2:QQ243,NY243),""))</f>
        <v>#REF!</v>
      </c>
      <c r="CP243" s="21">
        <v>11</v>
      </c>
      <c r="CQ243" s="216" t="str">
        <f>IF(QR243="Menor","NO APLICA-MENOR 13 SEM",IF(AND(CC243="SI",CN243&gt;23),"NO APLICA- GEMELAR",IF(QR243="","",IF(QR243&gt;0,HLOOKUP(QR243,$QS$2:RU243,NY243),""))))</f>
        <v>NO APLICA-MENOR 13 SEM</v>
      </c>
      <c r="CR243" s="21"/>
      <c r="CS243" s="21"/>
      <c r="CT243" s="217" t="str">
        <f>IF(R243="","",IF(AND(BS243&gt;1,BS243&lt;12,Tabla1[[#This Row],[T.A. SISTOLICA - ANTES DE SEMANA 12]]="",Tabla1[[#This Row],[T.A. DIASTOLICA - ANTES DE SEMANA 12]]=""),"REGISTRE DATO TA ANTES SEMANA 12",IF(AND(BS243&gt;11,BS243&lt;43,Tabla1[[#This Row],[T.A. SISTOLICA - ANTES DE SEMANA 12]]="",Tabla1[[#This Row],[T.A. DIASTOLICA - ANTES DE SEMANA 12]]=""),"NO APLICA REGISTRO TA-INGRESO TARDIO",IF(AND(OR(O243&gt;0,R243&gt;0),OR(CR243&gt;=140,CS243&gt;=90)),"DEFINIR ESTADIO HTA",IF(AND(OR(O243&gt;0,R243&gt;0),AND(CR243&gt;120,CR243&lt;=139)),"PRE HTA SEGUIMIENTO",IF(AND(OR(O243&gt;0,R243&gt;0),AND(CS243&gt;80,CS243&lt;=89)),"PRE HTA SEGUIMIENTO",IF(AND(OR(O243&gt;0,R243&gt;0),AND(CR243&gt;=80,CR243&lt;=120)),"APARENTEMENTE NORMAL",IF(AND(OR(O243&gt;0,R243&gt;0),AND(CS243&gt;=50,CS243&lt;=80)),"APARENTEMENTE NORMAL",IF(AND(OR(O243&gt;0,R243&gt;0),AND(CR243&gt;1,CR243&lt;=70),AND(CS243&gt;1,CS243&lt;=40)),"HIPOTENSIÓN","")))))))))</f>
        <v>NO APLICA REGISTRO TA-INGRESO TARDIO</v>
      </c>
      <c r="CU243" s="21"/>
      <c r="CV243" s="21"/>
      <c r="CW243" s="217" t="str">
        <f ca="1">IF(R243="","",IF(AND(CN243&gt;19,CN243&lt;27,Tabla1[[#This Row],[T.A. SISTOLICA (Entre semana 20 y 26)]]="",Tabla1[[#This Row],[T.A. DIATOLICA (Entre semana 20 y 26)]]=""),"ACUDE A CONTROL SEM 20 A 26 REGISTRE TA AHORA",IF(AND(BS243&gt;1,BS243&lt;27,BU243&gt;19,Tabla1[[#This Row],[T.A. SISTOLICA (Entre semana 20 y 26)]]="",Tabla1[[#This Row],[T.A. DIATOLICA (Entre semana 20 y 26)]]=""),"COMPLETE REGISTRO TA CONTROL SEM 20 A26 ",IF(AND(BS243&gt;26,BS243&lt;43,Tabla1[[#This Row],[T.A. SISTOLICA (Entre semana 20 y 26)]]="",Tabla1[[#This Row],[T.A. DIATOLICA (Entre semana 20 y 26)]]=""),"NO APLICA REGISTRO TA-INGRESO TARDIO",IF(AND(OR(O243&gt;0,R243&gt;0),OR(CU243&gt;=140,CV243&gt;=90)),"ALTO RIESGO PREECLAMPSIA,DEFINIR ESTADIO HTA",IF(AND(OR(O243&gt;0,R243&gt;0),AND(CU243&gt;120,CU243&lt;=139)),"PRE HTA SEGUIMIENTO,RIESGO HIPERTENSION INDUCIDA POR EL EMBARAZO",IF(AND(OR(O243&gt;0,R243&gt;0),AND(CV243&gt;80,CV243&lt;=89)),"PRE HTA SEGUIMIENTO, RIESGO HIPERTENSION INDUCIDA POR EL EMBARAZO",IF(AND(OR(O243&lt;&gt;"",R243&lt;&gt;""),CS243&lt;&gt;"",CV243&lt;&gt;"",CS243&lt;=CV243),"VIGILAR CIFRAS PRESION ARTERIAL",IF(AND(OR(O243&gt;0,R243&gt;0),AND(CU243&gt;120,CU243&lt;=139)),"PRE HTA SEGUIMIENTO",IF(AND(OR(O243&gt;0,R243&gt;0),AND(CU243&gt;1,CU243&lt;=70),AND(CV243&gt;1,CV243&lt;=40)),"HIPOTENSIÓN",IF(AND(OR(O243&lt;&gt;"",R243&lt;&gt;""),CS243&lt;&gt;"",CV243&lt;&gt;"",CS243&gt;CV243),"APARENTEMENTE NORMAL",IF(AND(OR(O243&gt;0,R243&gt;0),AND(CU243&gt;=80,CU243&lt;=120)),"APARENTEMENTE NORMAL",IF(AND(OR(O243&gt;0,R243&gt;0),AND(CV243&gt;=50,CV243&lt;=80)),"APARENTEMENTE NORMAL","")))))))))))))</f>
        <v xml:space="preserve">COMPLETE REGISTRO TA CONTROL SEM 20 A26 </v>
      </c>
      <c r="CX243" s="21"/>
      <c r="CY243" s="21"/>
      <c r="CZ243" s="216" t="str">
        <f t="shared" si="1042"/>
        <v/>
      </c>
      <c r="DA243" s="21">
        <v>90</v>
      </c>
      <c r="DB243" s="21">
        <v>60</v>
      </c>
      <c r="DC243" s="217" t="str">
        <f t="shared" si="849"/>
        <v>APARENTEMENTE NORMAL</v>
      </c>
      <c r="DD243" s="22">
        <v>45140</v>
      </c>
      <c r="DE243" s="22">
        <v>45140</v>
      </c>
      <c r="DF243" s="22">
        <v>45140</v>
      </c>
      <c r="DG243" s="22"/>
      <c r="DH243" s="22"/>
      <c r="DI243" s="22"/>
      <c r="DJ243" s="22"/>
      <c r="DK243" s="22"/>
      <c r="DL243" s="22"/>
      <c r="DM243" s="22"/>
      <c r="DN243" s="22"/>
      <c r="DO243" s="22"/>
      <c r="DP243" s="22"/>
      <c r="DQ243" s="22"/>
      <c r="DR243" s="28"/>
      <c r="DS243" s="22"/>
      <c r="DT243" s="22"/>
      <c r="DU243" s="216" t="str">
        <f t="shared" ca="1" si="917"/>
        <v>EN ESPERA</v>
      </c>
      <c r="DV243" s="226" t="str">
        <f t="shared" si="918"/>
        <v>ACTIVA INGRESO A CPN</v>
      </c>
      <c r="DW243"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3" s="216" t="e">
        <f t="shared" ca="1" si="850"/>
        <v>#REF!</v>
      </c>
      <c r="DY243" s="212">
        <f>IF(R243="","",IF(R243&gt;0,MAX(Tabla1[[#This Row],[FECHA C2]:[FECHA C13]],Tabla1[[#This Row],[FECHA CONSULTA PRIMERA VEZ PROGRAMA CPN ]])))</f>
        <v>45140</v>
      </c>
      <c r="DZ243" s="216">
        <f t="shared" si="851"/>
        <v>12</v>
      </c>
      <c r="EA243" s="222">
        <f>IF(R243&gt;0,SUM(COUNTA(DF243:DQ243)+COUNTA(Tabla1[[#This Row],[FECHA CONSULTA PRIMERA VEZ PROGRAMA CPN ]])),"")</f>
        <v>2</v>
      </c>
      <c r="EB243" s="222" t="str">
        <f t="shared" si="852"/>
        <v>NO</v>
      </c>
      <c r="EC243" s="214">
        <f t="shared" si="853"/>
        <v>8</v>
      </c>
      <c r="ED243" s="227">
        <f t="shared" si="854"/>
        <v>0.25</v>
      </c>
      <c r="EE243" s="22">
        <v>45140</v>
      </c>
      <c r="EF243" s="22"/>
      <c r="EG243" s="22">
        <v>45140</v>
      </c>
      <c r="EH243" s="22"/>
      <c r="EI243" s="22">
        <v>45140</v>
      </c>
      <c r="EJ243" s="22"/>
      <c r="EK243" s="22"/>
      <c r="EL243" s="21"/>
      <c r="EM243" s="21"/>
      <c r="EN243" s="22"/>
      <c r="EO243" s="222" t="str">
        <f t="shared" si="855"/>
        <v>TOMAR EXAMEN</v>
      </c>
      <c r="EP243" s="214" t="str">
        <f t="shared" si="856"/>
        <v/>
      </c>
      <c r="EQ243" s="216" t="str">
        <f t="shared" si="857"/>
        <v>POR DEFINIR</v>
      </c>
      <c r="ER243" s="24"/>
      <c r="ES243" s="22"/>
      <c r="ET243" s="29" t="str">
        <f t="shared" ca="1" si="919"/>
        <v>TOMA HEMOGLOBINA A SEM 28 EN 1 SEMANA</v>
      </c>
      <c r="EU243" s="25" t="str">
        <f t="shared" si="858"/>
        <v/>
      </c>
      <c r="EV243" s="24"/>
      <c r="EW243" s="24"/>
      <c r="EX243" s="22"/>
      <c r="EY243" s="29" t="str">
        <f t="shared" si="1040"/>
        <v>TOMAR EXAMEN</v>
      </c>
      <c r="EZ243" s="25" t="str">
        <f t="shared" ca="1" si="1041"/>
        <v/>
      </c>
      <c r="FA243" s="21"/>
      <c r="FB243" s="22"/>
      <c r="FC243" s="29" t="str">
        <f t="shared" si="859"/>
        <v>TOMAR EXAMEN</v>
      </c>
      <c r="FD243" s="29"/>
      <c r="FE243" s="29"/>
      <c r="FF243" s="29"/>
      <c r="FG243" s="21" t="str">
        <f t="shared" ca="1" si="860"/>
        <v>TOMAR PTOG</v>
      </c>
      <c r="FH243" s="31"/>
      <c r="FI243" s="29" t="str">
        <f t="shared" si="861"/>
        <v>TOMAR EXAMEN</v>
      </c>
      <c r="FJ243" s="22"/>
      <c r="FK243" s="22"/>
      <c r="FL243" s="29" t="str">
        <f t="shared" ca="1" si="862"/>
        <v>PIERDE TOMA DE TAMIZAJE</v>
      </c>
      <c r="FM243" s="22"/>
      <c r="FN243" s="32"/>
      <c r="FO243" s="29" t="str">
        <f t="shared" ca="1" si="920"/>
        <v>TOMA INMEDIATA DE TAMIZAJE</v>
      </c>
      <c r="FP243" s="22"/>
      <c r="FQ243" s="32"/>
      <c r="FR243" s="29" t="str">
        <f t="shared" ca="1" si="921"/>
        <v>EN ESPERA-ESTÁ I TRIM O II TRIM</v>
      </c>
      <c r="FS243" s="22"/>
      <c r="FT243" s="32"/>
      <c r="FU243" s="29" t="str">
        <f>IF(AND(FJ243="",FM243="",FP243="",FS243=""),"",IF(OR(OR(Tabla1[[#This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3" s="28"/>
      <c r="FW243" s="22"/>
      <c r="FX243" s="29" t="str">
        <f t="shared" si="863"/>
        <v>TOMAR EXAMEN</v>
      </c>
      <c r="FY243" s="22"/>
      <c r="FZ243" s="22"/>
      <c r="GA243" s="29" t="str">
        <f t="shared" ref="GA243" ca="1" si="1047">IF(AND(BT243="ERROR FUM O INGRESO",FZ243&gt;0),"ERROR FUM O INGRESO",IF(AND(FZ243="",R243="",O243=""),"",IF(OR(AND(FZ243&lt;&gt;"",FZ243&lt;RW243),AND(FZ243&lt;&gt;"",AND(SUM((FZ243-RW243)/7)&gt;=13,SUM((FZ243-RW243)/7)&lt;27))),"REGISTRAR EN II TRIMESTRE",IF(OR(AND(FZ243&lt;&gt;"",FZ243&lt;RW243),AND(FZ243&lt;&gt;"",AND(SUM((FZ243-RW243)/7)&gt;=27,SUM((FZ243-RW243)/7)&lt;44))),"REGISTRAR EN III TRIMESTRE",IF(AND(FZ243="",OR(O243&gt;0,R243&gt;0),AND(BU243&gt;1,BU243&lt;10)),"EN RANGO PARA TOMAR EXAMEN",IF(AND(FZ243="",OR(O243&gt;0,R243&gt;0),AND(BU243&gt;=10,BU243&lt;12)),"TOMA INMEDIATA DE TAMIZAJE",IF(AND(FZ243="",BS243&lt;12,OR(O243&gt;0,R243&gt;0)),"PIERDE TOMA DE TAMIZAJE",IF(AND(FZ243="",OR(O243&gt;0,R243&gt;0),AND(BS243&gt;=13,BS243&lt;44)),"NO APLICA-INGRESO TARDIO",IF(FZ243&gt;0,SUM(FZ243-RW243)/7,"")))))))))</f>
        <v/>
      </c>
      <c r="GB243" s="22"/>
      <c r="GC243" s="22"/>
      <c r="GD243" s="29" t="str">
        <f t="shared" ca="1" si="1045"/>
        <v>TOMA INMEDIATA DE TAMIZAJE</v>
      </c>
      <c r="GE243" s="22"/>
      <c r="GF243" s="22"/>
      <c r="GG243" s="29" t="str">
        <f t="shared" ca="1" si="923"/>
        <v>EN ESPERA-ESTÁ I TRIM O II TRIM</v>
      </c>
      <c r="GH243" s="22"/>
      <c r="GI243" s="29"/>
      <c r="GJ243" s="22"/>
      <c r="GK243" s="22"/>
      <c r="GL243" s="22"/>
      <c r="GM243" s="22"/>
      <c r="GN243" s="28"/>
      <c r="GO243" s="22"/>
      <c r="GP243" s="29" t="str">
        <f t="shared" si="864"/>
        <v>TOMAR EXAMEN</v>
      </c>
      <c r="GQ243" s="28"/>
      <c r="GR243" s="28"/>
      <c r="GS243" s="22" t="str">
        <f t="shared" si="1044"/>
        <v/>
      </c>
      <c r="GT243" s="22"/>
      <c r="GU243" s="29" t="str">
        <f t="shared" si="865"/>
        <v>TOMAR EXAMEN</v>
      </c>
      <c r="GV243" s="21" t="str">
        <f t="shared" si="866"/>
        <v>POR DEFINIR</v>
      </c>
      <c r="GW243" s="28"/>
      <c r="GX243" s="30"/>
      <c r="GY243" s="21"/>
      <c r="GZ243" s="21"/>
      <c r="HA243" s="21"/>
      <c r="HB243" s="21"/>
      <c r="HC243" s="21"/>
      <c r="HD243" s="21"/>
      <c r="HE243" s="21"/>
      <c r="HF243" s="22"/>
      <c r="HG243" s="22" t="str">
        <f>IF(OR(O243&gt;0,R243&gt;0),CONCATENATE(IF(Tabla1[[#This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3" s="22" t="e">
        <f t="shared" si="867"/>
        <v>#REF!</v>
      </c>
      <c r="HI243" s="22" t="e">
        <f t="shared" ca="1" si="868"/>
        <v>#REF!</v>
      </c>
      <c r="HJ243" s="21"/>
      <c r="HK243" s="21" t="str">
        <f t="shared" si="869"/>
        <v>SIN ANTECEDENTES DE RIESGO</v>
      </c>
      <c r="HL243" s="24" t="str">
        <f t="shared" si="870"/>
        <v>APARENTEMENTE NORMAL</v>
      </c>
      <c r="HM243" s="21" t="e">
        <f t="shared" ca="1" si="871"/>
        <v>#REF!</v>
      </c>
      <c r="HN243" s="30" t="str">
        <f t="shared" si="924"/>
        <v>ACTIVA INGRESO A CPN</v>
      </c>
      <c r="HO243" s="21"/>
      <c r="HP243" s="21" t="s">
        <v>1626</v>
      </c>
      <c r="HQ243" s="349">
        <v>45140</v>
      </c>
      <c r="HR243" s="21" t="str">
        <f>IF(R243="","",IF(Tabla1[[#This Row],[ALARMA FACTORES DE RIESGO COMPLICACIONES HIPERTENSIVAS3]]="SIN ANTECEDENTES DE RIESGO","No Aplica para suministro de ASA",IF(AND(Tabla1[[#This Row],[FECHA INICIO DE SUMINISTRO DE ASA]]&gt;0,RV243&lt;12),"Inicia ASA ANTES de Sem 12",IF(AND(RV243&gt;11,RV243&lt;17,OR(HK243="RIESGO ALTO DE COMPLICACIONES HIPERTENSIVAS VER MANEJO GUIA SUMINISTRO ASA Y CALCIO",HK243="RIESGO MODERADO (2 O MAS CRITERIOS) VER MANEJO GUIA SUMINISTRO ASA Y CALCIO")),"Inicio oportuno de ASA",IF(AND(RV243&gt;12,OR(HK243="RIESGO ALTO DE COMPLICACIONES HIPERTENSIVAS VER MANEJO GUIA SUMINISTRO ASA Y CALCIO",HK243="RIESGO MODERADO (2 O MAS CRITERIOS) VER MANEJO GUIA SUMINISTRO ASA Y CALCIO")),"Inicio no oportuno mayor a 16 semanas",IF(AND(BU243&lt;12,OR(HK243="RIESGO ALTO DE COMPLICACIONES HIPERTENSIVAS VER MANEJO GUIA SUMINISTRO ASA Y CALCIO",HK243="RIESGO MODERADO (2 O MAS CRITERIOS) VER MANEJO GUIA SUMINISTRO ASA Y CALCIO")),"Pendiente Inicio de ASA a la semana 12",IF(AND(BU243&gt;11,BU243&lt;17,OR(HK243="RIESGO ALTO DE COMPLICACIONES HIPERTENSIVAS VER MANEJO GUIA SUMINISTRO ASA Y CALCIO",HK243="RIESGO MODERADO (2 O MAS CRITERIOS) VER MANEJO GUIA SUMINISTRO ASA Y CALCIO")),"Iniciar de inmediato ASA",IF(AND(BU243&gt;16,OR(HK243="RIESGO ALTO DE COMPLICACIONES HIPERTENSIVAS VER MANEJO GUIA SUMINISTRO ASA Y CALCIO",HK243="RIESGO MODERADO (2 O MAS CRITERIOS) VER MANEJO GUIA SUMINISTRO ASA Y CALCIO")),"Pierde Oportunidad, Inicio tardío de ASA","XXXXX"))))))))</f>
        <v>No Aplica para suministro de ASA</v>
      </c>
      <c r="HS243" s="22">
        <v>45140</v>
      </c>
      <c r="HT243" s="22" t="s">
        <v>1518</v>
      </c>
      <c r="HU243" s="22">
        <v>45140</v>
      </c>
      <c r="HV243" s="22" t="s">
        <v>1544</v>
      </c>
      <c r="HW243" s="22">
        <v>45140</v>
      </c>
      <c r="HX243" s="22" t="s">
        <v>1529</v>
      </c>
      <c r="HY243" s="22"/>
      <c r="HZ243" s="28" t="str">
        <f t="shared" si="872"/>
        <v>PENDIENTE CONSULTA</v>
      </c>
      <c r="IA243" s="26"/>
      <c r="IB243" s="26"/>
      <c r="IC243" s="111"/>
      <c r="ID243" s="22"/>
      <c r="IE243" s="22" t="str">
        <f t="shared" ca="1" si="873"/>
        <v>PROGRAMAR APLICACION DE VACUNA</v>
      </c>
      <c r="IF243" s="22"/>
      <c r="IG243" s="22">
        <f t="shared" si="874"/>
        <v>45331</v>
      </c>
      <c r="IH243" s="29">
        <f t="shared" ca="1" si="875"/>
        <v>98</v>
      </c>
      <c r="II243" s="22" t="str">
        <f t="shared" ca="1" si="876"/>
        <v>PENDIENTE</v>
      </c>
      <c r="IJ243" s="22"/>
      <c r="IK243" s="21"/>
      <c r="IL243" s="21"/>
      <c r="IM243" s="34"/>
      <c r="IN243" s="22"/>
      <c r="IO243" s="21"/>
      <c r="IP243" s="29" t="str">
        <f t="shared" si="877"/>
        <v/>
      </c>
      <c r="IQ243" s="35"/>
      <c r="IR243" s="21"/>
      <c r="IS243" s="21"/>
      <c r="IT243" s="21"/>
      <c r="IU243" s="21"/>
      <c r="IV243" s="21"/>
      <c r="IW243" s="21"/>
      <c r="IX243" s="21"/>
      <c r="IY243" s="21"/>
      <c r="IZ243" s="21"/>
      <c r="JA243" s="21"/>
      <c r="JB243" s="30"/>
      <c r="JC243" s="21"/>
      <c r="JD243" s="36"/>
      <c r="JE243" s="21" t="str">
        <f t="shared" si="878"/>
        <v/>
      </c>
      <c r="JF243" s="30"/>
      <c r="JG243" s="21"/>
      <c r="JH243" s="21"/>
      <c r="JI243" s="21"/>
      <c r="JJ243" s="30"/>
      <c r="JK243" s="22"/>
      <c r="JL243" s="22"/>
      <c r="JM243" s="21"/>
      <c r="JN243" s="36"/>
      <c r="JO243" s="21" t="str">
        <f t="shared" si="879"/>
        <v/>
      </c>
      <c r="JP243" s="22"/>
      <c r="JQ243" s="21"/>
      <c r="JR243" s="21"/>
      <c r="JS243" s="21"/>
      <c r="JT243" s="30"/>
      <c r="JU243" s="22"/>
      <c r="JV243" s="22"/>
      <c r="JW243" s="33"/>
      <c r="JX243" s="28" t="str">
        <f t="shared" si="880"/>
        <v/>
      </c>
      <c r="JY243" s="33"/>
      <c r="JZ243" s="28" t="str">
        <f t="shared" si="881"/>
        <v/>
      </c>
      <c r="KA243" s="21"/>
      <c r="KB243" s="21"/>
      <c r="KC243" s="21"/>
      <c r="KD243" s="37"/>
      <c r="KE243" s="28"/>
      <c r="KF243" s="28"/>
      <c r="KG243" s="28"/>
      <c r="KH243" s="39"/>
      <c r="KI243" s="39"/>
      <c r="KJ243" s="66"/>
      <c r="KK243" s="39"/>
      <c r="KL243" s="39"/>
      <c r="KM243" s="66"/>
      <c r="KN243" s="39"/>
      <c r="KO243" s="39"/>
      <c r="KP243" s="39"/>
      <c r="KQ243" s="39"/>
      <c r="KR243" s="39"/>
      <c r="KS243" s="39"/>
      <c r="KT243" s="39"/>
      <c r="KU243" s="38"/>
      <c r="KV243" s="38"/>
      <c r="KW243" s="38"/>
      <c r="KX243" s="38"/>
      <c r="KY243" s="38"/>
      <c r="KZ243" s="38"/>
      <c r="LA243" s="38"/>
      <c r="LB243" s="38"/>
      <c r="LC243" s="38"/>
      <c r="LD243" s="38"/>
      <c r="LE243" s="38"/>
      <c r="LF243" s="38"/>
      <c r="LG243" s="38"/>
      <c r="LH243" s="38"/>
      <c r="LI243" s="38"/>
      <c r="LJ243" s="38"/>
      <c r="LK243" s="38"/>
      <c r="LL243" s="38"/>
      <c r="LM243" s="38"/>
      <c r="LN243" s="38"/>
      <c r="LO243" s="38"/>
      <c r="LP243" s="38"/>
      <c r="LQ243" s="38"/>
      <c r="LR243" s="38"/>
      <c r="LS243" s="38"/>
      <c r="LT243" s="38"/>
      <c r="LU243" s="38"/>
      <c r="LV243" s="38"/>
      <c r="LW243" s="38"/>
      <c r="LX243" s="38"/>
      <c r="LY243" s="38"/>
      <c r="LZ243" s="38"/>
      <c r="MA243" s="38"/>
      <c r="MB243" s="38"/>
      <c r="MC243" s="38"/>
      <c r="MD243" s="38"/>
      <c r="ME243" s="38"/>
      <c r="MF243" s="38"/>
      <c r="MG243" s="38"/>
      <c r="MH243" s="43">
        <f t="shared" si="882"/>
        <v>0</v>
      </c>
      <c r="MI243" s="43" t="str">
        <f t="shared" si="926"/>
        <v/>
      </c>
      <c r="MJ243" s="43" t="str">
        <f t="shared" si="884"/>
        <v/>
      </c>
      <c r="MK243" s="43">
        <f t="shared" si="885"/>
        <v>0</v>
      </c>
      <c r="ML243"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3" s="43">
        <f t="shared" si="927"/>
        <v>12.714285714285714</v>
      </c>
      <c r="MN243" s="43">
        <f t="shared" si="928"/>
        <v>8</v>
      </c>
      <c r="MO243" s="43">
        <f t="shared" si="929"/>
        <v>2023</v>
      </c>
      <c r="MP243" s="43" t="str">
        <f t="shared" si="889"/>
        <v>III TRIMESTRE AÑO</v>
      </c>
      <c r="MQ243" s="43">
        <f t="shared" si="930"/>
        <v>36.93878668418747</v>
      </c>
      <c r="MR243" s="43">
        <f t="shared" si="891"/>
        <v>2</v>
      </c>
      <c r="MS243" s="43" t="str">
        <f t="shared" si="892"/>
        <v xml:space="preserve"> DE 35 A 39 AÑOS</v>
      </c>
      <c r="MT243" s="43">
        <f t="shared" si="893"/>
        <v>0</v>
      </c>
      <c r="MU243" s="43">
        <f t="shared" si="894"/>
        <v>0</v>
      </c>
      <c r="MV243" s="43">
        <f t="shared" si="895"/>
        <v>0</v>
      </c>
      <c r="MW243" s="43">
        <f t="shared" si="896"/>
        <v>0</v>
      </c>
      <c r="MX243" s="43" t="str">
        <f t="shared" si="897"/>
        <v/>
      </c>
      <c r="MY243" s="43" t="str">
        <f t="shared" ca="1" si="898"/>
        <v/>
      </c>
      <c r="MZ243" s="43" t="str">
        <f t="shared" si="899"/>
        <v/>
      </c>
      <c r="NA243" s="43" t="str">
        <f t="shared" si="900"/>
        <v/>
      </c>
      <c r="NB243" s="43" t="str">
        <f t="shared" si="901"/>
        <v/>
      </c>
      <c r="NC243" s="43" t="str">
        <f t="shared" si="902"/>
        <v/>
      </c>
      <c r="ND243" s="43">
        <f t="shared" ca="1" si="931"/>
        <v>2</v>
      </c>
      <c r="NE243" s="43">
        <f>IF(OR(O243&gt;0,R243&gt;0),SUM(COUNTIF(Tabla1[[#This Row],[AÑOS AL INICIO5 CPN]],"&gt;=40"),COUNTIF(AS243,"0"),COUNTIF(AR243,"SI"),COUNTIF(CC243,"SI"),COUNTIF(BQ243,"&gt;119"),COUNTIF(CI243,"&gt;=35")),"")</f>
        <v>0</v>
      </c>
      <c r="NF243" s="43" t="str">
        <f t="shared" si="932"/>
        <v/>
      </c>
      <c r="NG243" s="43">
        <f t="shared" si="905"/>
        <v>0</v>
      </c>
      <c r="NH243" s="43" t="str">
        <f t="shared" si="906"/>
        <v/>
      </c>
      <c r="NI243"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CPN",P243="NO"),"Z",IF(AND(Tabla1[[#This Row],[CITA PROXIMO CONTROL]]="CITA MANUAL",Tabla1[[#This Row],[GESTANTES ACTUALES]]="ACTIVA INGRESO A CPN"),"W",IF(AND(Tabla1[[#This Row],[GESTANTES ACTUALES]]="SALIO PROGRAMA",IN243=""),"S",IF(AND(Tabla1[[#This Row],[CITA PROXIMO CONTROL]]&gt;0,IN243=""),(Tabla1[[#This Row],[CITA PROXIMO CONTROL]]-TODAY()),"SD"))))))))</f>
        <v>#REF!</v>
      </c>
      <c r="NJ243" s="43">
        <f>MONTH(Tabla1[[#This Row],[FECHA DE SALIDA  DEL PROGRAMA]])</f>
        <v>1</v>
      </c>
      <c r="NK243" s="43">
        <f>YEAR(Tabla1[[#This Row],[FECHA DE SALIDA  DEL PROGRAMA]])</f>
        <v>1900</v>
      </c>
      <c r="NL243" s="43" t="str">
        <f t="shared" si="933"/>
        <v>X</v>
      </c>
      <c r="NM243" s="43" t="str">
        <f t="shared" si="938"/>
        <v>NO</v>
      </c>
      <c r="NN243" s="43" t="str">
        <f ca="1">IF(AND(O243&gt;0,R243=""),"NO CPN",IF(AND(O243="",R243=""),"",IF(AND(R243&gt;0,Tabla1[[#This Row],[SEMANAS DE GESTACION ACTUALIZADAS]]&lt;=12),"NO APLICA",IF(AND(FH243&lt;&gt;"",FN243&lt;&gt;""),"SI","NO"))))</f>
        <v>NO</v>
      </c>
      <c r="NO243" s="43" t="str">
        <f ca="1">IF(AND(O243&gt;0,R243=""),"NO CPN",IF(AND(O243="",R243=""),"",IF(AND(R243&gt;0,Tabla1[[#This Row],[SEMANAS DE GESTACION ACTUALIZADAS]]&lt;=27),"NO APLICA",IF(AND(ES243&lt;&gt;"",FQ243&lt;&gt;"",GF243&lt;&gt;""),"SI","NO"))))</f>
        <v>NO APLICA</v>
      </c>
      <c r="NP243" s="204" t="str">
        <f t="shared" si="909"/>
        <v>DEFINIR CON ECO</v>
      </c>
      <c r="NQ243" s="21" t="str">
        <f t="shared" si="1043"/>
        <v/>
      </c>
      <c r="NR243" s="21">
        <f t="shared" ca="1" si="934"/>
        <v>1</v>
      </c>
      <c r="NS243" s="205">
        <f t="shared" ca="1" si="911"/>
        <v>0</v>
      </c>
      <c r="NT243" s="21">
        <f t="shared" ca="1" si="912"/>
        <v>0</v>
      </c>
      <c r="NU243" s="21" t="str">
        <f t="shared" ca="1" si="913"/>
        <v>INCOMPLETO</v>
      </c>
      <c r="NV243" s="21" t="str">
        <f t="shared" ca="1" si="914"/>
        <v>INCOMPLETO</v>
      </c>
      <c r="NW243" s="206" t="str">
        <f>IF(AND(O243="",R243=""),"",IF(OR(AND(Tabla1[[#This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3" s="207" t="str">
        <f t="shared" ca="1" si="935"/>
        <v>SIN VACUNAR</v>
      </c>
      <c r="NY243" s="43">
        <f>ROW(Tabla1[[#This Row],['# DE TAMIZAJES SIFILIS TOMADOS ]])</f>
        <v>243</v>
      </c>
      <c r="NZ243" s="43">
        <f t="shared" si="939"/>
        <v>12</v>
      </c>
      <c r="OA243" s="43" t="str">
        <f t="shared" si="940"/>
        <v/>
      </c>
      <c r="OB243" s="43" t="str">
        <f t="shared" si="941"/>
        <v/>
      </c>
      <c r="OC243" s="43" t="str">
        <f t="shared" si="942"/>
        <v/>
      </c>
      <c r="OD243" s="43" t="str">
        <f t="shared" si="943"/>
        <v>SOBREPESO</v>
      </c>
      <c r="OE243" s="43" t="str">
        <f t="shared" si="944"/>
        <v/>
      </c>
      <c r="OF243" s="43" t="str">
        <f t="shared" si="945"/>
        <v/>
      </c>
      <c r="OG243" s="43" t="str">
        <f t="shared" si="946"/>
        <v/>
      </c>
      <c r="OH243" s="43" t="str">
        <f t="shared" si="947"/>
        <v/>
      </c>
      <c r="OI243" s="43" t="str">
        <f t="shared" si="948"/>
        <v/>
      </c>
      <c r="OJ243" s="43" t="str">
        <f t="shared" si="949"/>
        <v/>
      </c>
      <c r="OK243" s="43" t="str">
        <f t="shared" si="950"/>
        <v/>
      </c>
      <c r="OL243" s="43" t="str">
        <f t="shared" si="951"/>
        <v/>
      </c>
      <c r="OM243" s="43" t="str">
        <f t="shared" si="952"/>
        <v/>
      </c>
      <c r="ON243" s="43" t="str">
        <f t="shared" si="953"/>
        <v/>
      </c>
      <c r="OO243" s="43" t="str">
        <f t="shared" si="954"/>
        <v/>
      </c>
      <c r="OP243" s="43" t="str">
        <f t="shared" si="955"/>
        <v/>
      </c>
      <c r="OQ243" s="43" t="str">
        <f t="shared" si="956"/>
        <v/>
      </c>
      <c r="OR243" s="43" t="str">
        <f t="shared" si="957"/>
        <v/>
      </c>
      <c r="OS243" s="43" t="str">
        <f t="shared" si="958"/>
        <v/>
      </c>
      <c r="OT243" s="43" t="str">
        <f t="shared" si="959"/>
        <v/>
      </c>
      <c r="OU243" s="43" t="str">
        <f t="shared" si="960"/>
        <v/>
      </c>
      <c r="OV243" s="110" t="str">
        <f t="shared" si="961"/>
        <v/>
      </c>
      <c r="OW243" s="43" t="str">
        <f t="shared" si="962"/>
        <v/>
      </c>
      <c r="OX243" s="43" t="str">
        <f t="shared" si="963"/>
        <v/>
      </c>
      <c r="OY243" s="43" t="str">
        <f t="shared" si="964"/>
        <v/>
      </c>
      <c r="OZ243" s="43" t="str">
        <f t="shared" si="965"/>
        <v/>
      </c>
      <c r="PA243" s="43" t="str">
        <f t="shared" si="966"/>
        <v/>
      </c>
      <c r="PB243" s="43" t="str">
        <f t="shared" si="967"/>
        <v/>
      </c>
      <c r="PC243" s="43" t="str">
        <f t="shared" si="968"/>
        <v/>
      </c>
      <c r="PD243" s="43" t="str">
        <f t="shared" si="969"/>
        <v/>
      </c>
      <c r="PE243" s="43" t="str">
        <f t="shared" si="970"/>
        <v/>
      </c>
      <c r="PF243" s="43" t="str">
        <f t="shared" si="971"/>
        <v/>
      </c>
      <c r="PG243" s="43" t="str">
        <f t="shared" si="972"/>
        <v/>
      </c>
      <c r="PH243" s="43" t="str">
        <f t="shared" si="973"/>
        <v/>
      </c>
      <c r="PI243" s="43">
        <f t="shared" si="974"/>
        <v>12</v>
      </c>
      <c r="PJ243" s="43" t="str">
        <f t="shared" si="975"/>
        <v/>
      </c>
      <c r="PK243" s="43" t="str">
        <f t="shared" si="976"/>
        <v/>
      </c>
      <c r="PL243" s="43" t="str">
        <f t="shared" si="977"/>
        <v/>
      </c>
      <c r="PM243" s="43" t="str">
        <f t="shared" si="978"/>
        <v>SOBREPESO</v>
      </c>
      <c r="PN243" s="43" t="str">
        <f t="shared" si="979"/>
        <v/>
      </c>
      <c r="PO243" s="43" t="str">
        <f t="shared" si="980"/>
        <v/>
      </c>
      <c r="PP243" s="43" t="str">
        <f t="shared" si="981"/>
        <v/>
      </c>
      <c r="PQ243" s="43" t="str">
        <f t="shared" si="982"/>
        <v/>
      </c>
      <c r="PR243" s="43" t="str">
        <f t="shared" si="983"/>
        <v/>
      </c>
      <c r="PS243" s="43" t="str">
        <f t="shared" si="984"/>
        <v/>
      </c>
      <c r="PT243" s="43" t="str">
        <f t="shared" si="985"/>
        <v/>
      </c>
      <c r="PU243" s="43" t="str">
        <f t="shared" si="986"/>
        <v/>
      </c>
      <c r="PV243" s="43" t="str">
        <f t="shared" si="987"/>
        <v/>
      </c>
      <c r="PW243" s="43" t="str">
        <f t="shared" si="988"/>
        <v/>
      </c>
      <c r="PX243" s="43" t="str">
        <f t="shared" si="989"/>
        <v/>
      </c>
      <c r="PY243" s="43" t="str">
        <f t="shared" si="990"/>
        <v/>
      </c>
      <c r="PZ243" s="43" t="str">
        <f t="shared" si="991"/>
        <v/>
      </c>
      <c r="QA243" s="43" t="str">
        <f t="shared" si="992"/>
        <v/>
      </c>
      <c r="QB243" s="43" t="str">
        <f t="shared" si="993"/>
        <v/>
      </c>
      <c r="QC243" s="43" t="str">
        <f t="shared" si="994"/>
        <v/>
      </c>
      <c r="QD243" s="43" t="str">
        <f t="shared" si="995"/>
        <v/>
      </c>
      <c r="QE243" s="43" t="str">
        <f t="shared" si="996"/>
        <v/>
      </c>
      <c r="QF243" s="43" t="str">
        <f t="shared" si="997"/>
        <v/>
      </c>
      <c r="QG243" s="43" t="str">
        <f t="shared" si="998"/>
        <v/>
      </c>
      <c r="QH243" s="43" t="str">
        <f t="shared" si="999"/>
        <v/>
      </c>
      <c r="QI243" s="43" t="str">
        <f t="shared" si="1000"/>
        <v/>
      </c>
      <c r="QJ243" s="43" t="str">
        <f t="shared" si="1001"/>
        <v/>
      </c>
      <c r="QK243" s="43" t="str">
        <f t="shared" si="1002"/>
        <v/>
      </c>
      <c r="QL243" s="43" t="str">
        <f t="shared" si="1003"/>
        <v/>
      </c>
      <c r="QM243" s="43" t="str">
        <f t="shared" si="1004"/>
        <v/>
      </c>
      <c r="QN243" s="43" t="str">
        <f t="shared" si="1005"/>
        <v/>
      </c>
      <c r="QO243" s="43" t="str">
        <f t="shared" si="1006"/>
        <v/>
      </c>
      <c r="QP243" s="43" t="str">
        <f t="shared" si="1007"/>
        <v/>
      </c>
      <c r="QQ243" s="43" t="str">
        <f t="shared" si="1008"/>
        <v/>
      </c>
      <c r="QR243" s="43" t="str">
        <f t="shared" si="1009"/>
        <v>Menor</v>
      </c>
      <c r="QS243" s="43"/>
      <c r="QT243" s="21" t="str">
        <f t="shared" si="1010"/>
        <v/>
      </c>
      <c r="QU243" s="21" t="str">
        <f t="shared" si="1011"/>
        <v/>
      </c>
      <c r="QV243" s="21" t="str">
        <f t="shared" si="1012"/>
        <v/>
      </c>
      <c r="QW243" s="21" t="str">
        <f t="shared" si="1013"/>
        <v/>
      </c>
      <c r="QX243" s="21" t="str">
        <f t="shared" si="1014"/>
        <v/>
      </c>
      <c r="QY243" s="21" t="str">
        <f t="shared" si="1015"/>
        <v/>
      </c>
      <c r="QZ243" s="21" t="str">
        <f t="shared" si="1016"/>
        <v/>
      </c>
      <c r="RA243" s="21" t="str">
        <f t="shared" si="1017"/>
        <v/>
      </c>
      <c r="RB243" s="21" t="str">
        <f t="shared" si="1018"/>
        <v/>
      </c>
      <c r="RC243" s="21" t="str">
        <f t="shared" si="1019"/>
        <v/>
      </c>
      <c r="RD243" s="21" t="str">
        <f t="shared" si="1020"/>
        <v/>
      </c>
      <c r="RE243" s="21" t="str">
        <f t="shared" si="1021"/>
        <v/>
      </c>
      <c r="RF243" s="21" t="str">
        <f t="shared" si="1022"/>
        <v/>
      </c>
      <c r="RG243" s="21" t="str">
        <f t="shared" si="1023"/>
        <v/>
      </c>
      <c r="RH243" s="21" t="str">
        <f t="shared" si="1024"/>
        <v/>
      </c>
      <c r="RI243" s="21" t="str">
        <f t="shared" si="1025"/>
        <v/>
      </c>
      <c r="RJ243" s="21" t="str">
        <f t="shared" si="1026"/>
        <v/>
      </c>
      <c r="RK243" s="21" t="str">
        <f t="shared" si="1027"/>
        <v/>
      </c>
      <c r="RL243" s="21" t="str">
        <f t="shared" si="1028"/>
        <v/>
      </c>
      <c r="RM243" s="21" t="str">
        <f t="shared" si="1029"/>
        <v/>
      </c>
      <c r="RN243" s="21" t="str">
        <f t="shared" si="1030"/>
        <v/>
      </c>
      <c r="RO243" s="21" t="str">
        <f t="shared" si="1031"/>
        <v/>
      </c>
      <c r="RP243" s="21" t="str">
        <f t="shared" si="1032"/>
        <v/>
      </c>
      <c r="RQ243" s="21" t="str">
        <f t="shared" si="1033"/>
        <v/>
      </c>
      <c r="RR243" s="21" t="str">
        <f t="shared" si="1034"/>
        <v/>
      </c>
      <c r="RS243" s="21" t="str">
        <f t="shared" si="1035"/>
        <v/>
      </c>
      <c r="RT243" s="21" t="str">
        <f t="shared" si="1036"/>
        <v/>
      </c>
      <c r="RU243" s="21" t="str">
        <f t="shared" si="1037"/>
        <v/>
      </c>
      <c r="RV243" s="21">
        <f t="shared" si="1038"/>
        <v>12.714285714285714</v>
      </c>
      <c r="RW243" s="284">
        <f>IF(OR(Tabla1[[#This Row],[FUM FORMULA CONFIABLE]]="",Tabla1[[#This Row],[FUM FORMULA CONFIABLE]]="SD"),"",IF(Tabla1[[#This Row],[FUM FORMULA CONFIABLE]]="CORREGIDA",Tabla1[[#This Row],[FUM X ECO 1]],Tabla1[[#This Row],[FUM x AMENORREA]]))</f>
        <v>45051</v>
      </c>
      <c r="RX243" s="21" t="str">
        <f>IF(AND(Tabla1[[#This Row],[FUM X ECO 1]]="",Tabla1[[#This Row],[FUM x AMENORREA]]=""),"",IF(AND(Tabla1[[#This Row],[FUM X ECO 1]]="",Tabla1[[#This Row],[FUM x AMENORREA]]&lt;&gt;""),"X",SUM(Tabla1[[#This Row],[FUM X ECO 1]]-Tabla1[[#This Row],[FUM x AMENORREA]])))</f>
        <v>X</v>
      </c>
      <c r="RY243" s="21" t="str">
        <f t="shared" si="1039"/>
        <v>x</v>
      </c>
    </row>
    <row r="244" spans="1:493" ht="45" customHeight="1" x14ac:dyDescent="0.25">
      <c r="A244" s="109"/>
      <c r="B244" s="43"/>
      <c r="C244" s="43" t="s">
        <v>845</v>
      </c>
      <c r="D244" s="124"/>
      <c r="E244" s="43" t="s">
        <v>1210</v>
      </c>
      <c r="F244" s="43" t="s">
        <v>848</v>
      </c>
      <c r="G244" s="43" t="s">
        <v>1670</v>
      </c>
      <c r="H244" s="43" t="s">
        <v>1671</v>
      </c>
      <c r="I244" s="109" t="s">
        <v>851</v>
      </c>
      <c r="J244" s="110">
        <v>1059602883</v>
      </c>
      <c r="K244" s="43" t="s">
        <v>852</v>
      </c>
      <c r="L244" s="175" t="s">
        <v>1509</v>
      </c>
      <c r="M244" s="22">
        <v>34717</v>
      </c>
      <c r="N244" s="213">
        <f t="shared" ca="1" si="839"/>
        <v>28.81095890410959</v>
      </c>
      <c r="O244" s="22">
        <v>45154</v>
      </c>
      <c r="P244" s="214" t="str">
        <f t="shared" si="916"/>
        <v>SI</v>
      </c>
      <c r="Q244" s="26" t="s">
        <v>855</v>
      </c>
      <c r="R244" s="22">
        <v>45154</v>
      </c>
      <c r="S244" s="21" t="s">
        <v>856</v>
      </c>
      <c r="T244" s="24" t="s">
        <v>690</v>
      </c>
      <c r="U244" s="21" t="s">
        <v>857</v>
      </c>
      <c r="V244" s="21" t="s">
        <v>858</v>
      </c>
      <c r="W244" s="21" t="s">
        <v>1200</v>
      </c>
      <c r="X244" s="21" t="s">
        <v>1200</v>
      </c>
      <c r="Y244" s="21"/>
      <c r="Z244" s="21">
        <v>3187506034</v>
      </c>
      <c r="AA244" s="21" t="s">
        <v>860</v>
      </c>
      <c r="AB244" s="27" t="s">
        <v>861</v>
      </c>
      <c r="AC244" s="26" t="s">
        <v>846</v>
      </c>
      <c r="AD244" s="21" t="s">
        <v>1546</v>
      </c>
      <c r="AE244" s="26" t="s">
        <v>854</v>
      </c>
      <c r="AF244" s="26" t="s">
        <v>854</v>
      </c>
      <c r="AG244" s="23" t="s">
        <v>864</v>
      </c>
      <c r="AH244" s="23" t="s">
        <v>864</v>
      </c>
      <c r="AI244" s="24" t="s">
        <v>863</v>
      </c>
      <c r="AJ244" s="23" t="s">
        <v>864</v>
      </c>
      <c r="AK244" s="220" t="str">
        <f>IF(AND(AD244="",AE244="",AF244="",AG244="",AH244="",AI244="",AJ244=""),"",IF(OR(Tabla1[[#This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EVALUACIÓN",IF(AND(O244="",R244=""),"",IF(AND(OR(O244&gt;0,R244&gt;0),NG244&gt;=0,NG244&lt;2),"SIN RIESGO",IF(AND(OR(O244&gt;0,R244&gt;0),NG244&gt;=2),"CON RIESGO","ASD")))))</f>
        <v>SIN RIESGO</v>
      </c>
      <c r="AL244" s="26" t="s">
        <v>864</v>
      </c>
      <c r="AM244" s="26" t="s">
        <v>864</v>
      </c>
      <c r="AN244" s="26" t="s">
        <v>864</v>
      </c>
      <c r="AO244" s="26" t="s">
        <v>864</v>
      </c>
      <c r="AP244" s="26" t="s">
        <v>864</v>
      </c>
      <c r="AQ244" s="26" t="s">
        <v>864</v>
      </c>
      <c r="AR244" s="26" t="s">
        <v>864</v>
      </c>
      <c r="AS244" s="21">
        <v>0</v>
      </c>
      <c r="AT244" s="21">
        <v>0</v>
      </c>
      <c r="AU244" s="21">
        <v>0</v>
      </c>
      <c r="AV244" s="26" t="s">
        <v>864</v>
      </c>
      <c r="AW244" s="21">
        <v>0</v>
      </c>
      <c r="AX244" s="26" t="s">
        <v>864</v>
      </c>
      <c r="AY244" s="26" t="s">
        <v>864</v>
      </c>
      <c r="AZ244" s="26" t="s">
        <v>864</v>
      </c>
      <c r="BA244" s="26" t="s">
        <v>864</v>
      </c>
      <c r="BB244" s="26" t="s">
        <v>864</v>
      </c>
      <c r="BC244" s="26" t="s">
        <v>864</v>
      </c>
      <c r="BD244" s="26" t="s">
        <v>864</v>
      </c>
      <c r="BE244" s="26" t="s">
        <v>864</v>
      </c>
      <c r="BF244" s="26" t="s">
        <v>864</v>
      </c>
      <c r="BG244" s="26" t="s">
        <v>864</v>
      </c>
      <c r="BH244" s="26" t="s">
        <v>864</v>
      </c>
      <c r="BI244" s="26" t="s">
        <v>864</v>
      </c>
      <c r="BJ244" s="26" t="s">
        <v>864</v>
      </c>
      <c r="BK244" s="26" t="s">
        <v>864</v>
      </c>
      <c r="BL244" s="26" t="s">
        <v>864</v>
      </c>
      <c r="BM244" s="26" t="s">
        <v>864</v>
      </c>
      <c r="BN244" s="22"/>
      <c r="BO244" s="22">
        <v>44983</v>
      </c>
      <c r="BP244" s="21" t="s">
        <v>864</v>
      </c>
      <c r="BQ244" s="222">
        <f t="shared" si="840"/>
        <v>0</v>
      </c>
      <c r="BR244" s="223" t="str">
        <f t="shared" si="841"/>
        <v/>
      </c>
      <c r="BS244" s="224">
        <f t="shared" si="842"/>
        <v>24.428571428571427</v>
      </c>
      <c r="BT244" s="216" t="str">
        <f t="shared" si="843"/>
        <v>DEFINIR CON ECO</v>
      </c>
      <c r="BU244" s="214">
        <f t="shared" ca="1" si="925"/>
        <v>35.714285714285715</v>
      </c>
      <c r="BV244" s="25"/>
      <c r="BW244" s="22"/>
      <c r="BX244" s="28"/>
      <c r="BY244" s="28"/>
      <c r="BZ244" s="22"/>
      <c r="CA244" s="21"/>
      <c r="CB244" s="26"/>
      <c r="CC244" s="26"/>
      <c r="CD244" s="26"/>
      <c r="CE244" s="26"/>
      <c r="CF244" s="22" t="s">
        <v>1517</v>
      </c>
      <c r="CG244" s="21">
        <v>1.57</v>
      </c>
      <c r="CH244" s="21">
        <v>67.3</v>
      </c>
      <c r="CI244" s="214">
        <f t="shared" si="845"/>
        <v>27.30333887784494</v>
      </c>
      <c r="CJ244" s="225" t="e">
        <f>IF(AND(CI244&lt;10,CH244="SD"),"SIN DATO PESO PREGESTACION O I TRIM",IF(AND(OR(R244&gt;0,O244&gt;0),CI244="X"),"INGRESAR DATO DE PESO",IF(CI244="SD","INGRESAR DATO DE TALLA Y PESO",IF(AND(OR(Tabla1[[#This Row],[MOMENTO EN QUE SE REALIZA EL PESO AL INGRESO A CPN]]="PREGESTACIÓN",NZ244="Menor"),CI244&lt;18.5),"BAJO PESO",IF(AND(OR(Tabla1[[#This Row],[MOMENTO EN QUE SE REALIZA EL PESO AL INGRESO A CPN]]="PREGESTACIÓN",NZ244="Menor"),CI244&lt;25),"NORMAL",IF(AND(OR(Tabla1[[#This Row],[MOMENTO EN QUE SE REALIZA EL PESO AL INGRESO A CPN]]="PREGESTACIÓN",NZ244="Menor"),CI244&lt;30),"SOBREPESO",IF(AND(OR(Tabla1[[#This Row],[MOMENTO EN QUE SE REALIZA EL PESO AL INGRESO A CPN]]="PREGESTACIÓN",NZ244="Menor"),CI244&gt;=30,CI244&lt;50),"OBESIDAD",IF(AND(BS244&gt;0,Tabla1[[#This Row],[MOMENTO EN QUE SE REALIZA EL PESO AL INGRESO A CPN]]="GESTACIÓN"),HLOOKUP(NZ244,$OA$2:PH244,NY244),""))))))))</f>
        <v>#REF!</v>
      </c>
      <c r="CK244" s="212">
        <f t="shared" si="846"/>
        <v>45154</v>
      </c>
      <c r="CL244" s="21">
        <v>67.3</v>
      </c>
      <c r="CM244" s="214">
        <f t="shared" si="847"/>
        <v>27.30333887784494</v>
      </c>
      <c r="CN244" s="216">
        <f t="shared" si="848"/>
        <v>24</v>
      </c>
      <c r="CO244" s="216" t="e">
        <f>IF(PI244="","",IF(PI244&gt;0,HLOOKUP(PI244,$PJ$2:QQ244,NY244),""))</f>
        <v>#REF!</v>
      </c>
      <c r="CP244" s="21">
        <v>28</v>
      </c>
      <c r="CQ244" s="216" t="e">
        <f>IF(QR244="Menor","NO APLICA-MENOR 13 SEM",IF(AND(CC244="SI",CN244&gt;23),"NO APLICA- GEMELAR",IF(QR244="","",IF(QR244&gt;0,HLOOKUP(QR244,$QS$2:RU244,NY244),""))))</f>
        <v>#REF!</v>
      </c>
      <c r="CR244" s="21"/>
      <c r="CS244" s="21"/>
      <c r="CT244" s="217" t="str">
        <f>IF(R244="","",IF(AND(BS244&gt;1,BS244&lt;12,Tabla1[[#This Row],[T.A. SISTOLICA - ANTES DE SEMANA 12]]="",Tabla1[[#This Row],[T.A. DIASTOLICA - ANTES DE SEMANA 12]]=""),"REGISTRE DATO TA ANTES SEMANA 12",IF(AND(BS244&gt;11,BS244&lt;43,Tabla1[[#This Row],[T.A. SISTOLICA - ANTES DE SEMANA 12]]="",Tabla1[[#This Row],[T.A. DIASTOLICA - ANTES DE SEMANA 12]]=""),"NO APLICA REGISTRO TA-INGRESO TARDIO",IF(AND(OR(O244&gt;0,R244&gt;0),OR(CR244&gt;=140,CS244&gt;=90)),"DEFINIR ESTADIO HTA",IF(AND(OR(O244&gt;0,R244&gt;0),AND(CR244&gt;120,CR244&lt;=139)),"PRE HTA SEGUIMIENTO",IF(AND(OR(O244&gt;0,R244&gt;0),AND(CS244&gt;80,CS244&lt;=89)),"PRE HTA SEGUIMIENTO",IF(AND(OR(O244&gt;0,R244&gt;0),AND(CR244&gt;=80,CR244&lt;=120)),"APARENTEMENTE NORMAL",IF(AND(OR(O244&gt;0,R244&gt;0),AND(CS244&gt;=50,CS244&lt;=80)),"APARENTEMENTE NORMAL",IF(AND(OR(O244&gt;0,R244&gt;0),AND(CR244&gt;1,CR244&lt;=70),AND(CS244&gt;1,CS244&lt;=40)),"HIPOTENSIÓN","")))))))))</f>
        <v>NO APLICA REGISTRO TA-INGRESO TARDIO</v>
      </c>
      <c r="CU244" s="21"/>
      <c r="CV244" s="21"/>
      <c r="CW244" s="217" t="str">
        <f>IF(R244="","",IF(AND(CN244&gt;19,CN244&lt;27,Tabla1[[#This Row],[T.A. SISTOLICA (Entre semana 20 y 26)]]="",Tabla1[[#This Row],[T.A. DIATOLICA (Entre semana 20 y 26)]]=""),"ACUDE A CONTROL SEM 20 A 26 REGISTRE TA AHORA",IF(AND(BS244&gt;1,BS244&lt;27,BU244&gt;19,Tabla1[[#This Row],[T.A. SISTOLICA (Entre semana 20 y 26)]]="",Tabla1[[#This Row],[T.A. DIATOLICA (Entre semana 20 y 26)]]=""),"COMPLETE REGISTRO TA CONTROL SEM 20 A26 ",IF(AND(BS244&gt;26,BS244&lt;43,Tabla1[[#This Row],[T.A. SISTOLICA (Entre semana 20 y 26)]]="",Tabla1[[#This Row],[T.A. DIATOLICA (Entre semana 20 y 26)]]=""),"NO APLICA REGISTRO TA-INGRESO TARDIO",IF(AND(OR(O244&gt;0,R244&gt;0),OR(CU244&gt;=140,CV244&gt;=90)),"ALTO RIESGO PREECLAMPSIA,DEFINIR ESTADIO HTA",IF(AND(OR(O244&gt;0,R244&gt;0),AND(CU244&gt;120,CU244&lt;=139)),"PRE HTA SEGUIMIENTO,RIESGO HIPERTENSION INDUCIDA POR EL EMBARAZO",IF(AND(OR(O244&gt;0,R244&gt;0),AND(CV244&gt;80,CV244&lt;=89)),"PRE HTA SEGUIMIENTO, RIESGO HIPERTENSION INDUCIDA POR EL EMBARAZO",IF(AND(OR(O244&lt;&gt;"",R244&lt;&gt;""),CS244&lt;&gt;"",CV244&lt;&gt;"",CS244&lt;=CV244),"VIGILAR CIFRAS PRESION ARTERIAL",IF(AND(OR(O244&gt;0,R244&gt;0),AND(CU244&gt;120,CU244&lt;=139)),"PRE HTA SEGUIMIENTO",IF(AND(OR(O244&gt;0,R244&gt;0),AND(CU244&gt;1,CU244&lt;=70),AND(CV244&gt;1,CV244&lt;=40)),"HIPOTENSIÓN",IF(AND(OR(O244&lt;&gt;"",R244&lt;&gt;""),CS244&lt;&gt;"",CV244&lt;&gt;"",CS244&gt;CV244),"APARENTEMENTE NORMAL",IF(AND(OR(O244&gt;0,R244&gt;0),AND(CU244&gt;=80,CU244&lt;=120)),"APARENTEMENTE NORMAL",IF(AND(OR(O244&gt;0,R244&gt;0),AND(CV244&gt;=50,CV244&lt;=80)),"APARENTEMENTE NORMAL","")))))))))))))</f>
        <v>ACUDE A CONTROL SEM 20 A 26 REGISTRE TA AHORA</v>
      </c>
      <c r="CX244" s="21">
        <v>90</v>
      </c>
      <c r="CY244" s="21">
        <v>60</v>
      </c>
      <c r="CZ244" s="216" t="str">
        <f t="shared" si="1042"/>
        <v>APARENTEMENTE NORMAL</v>
      </c>
      <c r="DA244" s="21">
        <v>90</v>
      </c>
      <c r="DB244" s="21">
        <v>60</v>
      </c>
      <c r="DC244" s="217" t="str">
        <f t="shared" si="849"/>
        <v>APARENTEMENTE NORMAL</v>
      </c>
      <c r="DD244" s="22">
        <v>45154</v>
      </c>
      <c r="DE244" s="22">
        <v>45154</v>
      </c>
      <c r="DF244" s="22"/>
      <c r="DG244" s="22"/>
      <c r="DH244" s="22"/>
      <c r="DI244" s="22"/>
      <c r="DJ244" s="22"/>
      <c r="DK244" s="22"/>
      <c r="DL244" s="22"/>
      <c r="DM244" s="22"/>
      <c r="DN244" s="22"/>
      <c r="DO244" s="22"/>
      <c r="DP244" s="22"/>
      <c r="DQ244" s="22"/>
      <c r="DR244" s="28"/>
      <c r="DS244" s="22"/>
      <c r="DT244" s="22"/>
      <c r="DU244" s="216" t="str">
        <f t="shared" ca="1" si="917"/>
        <v>CONCERTAR PLAN DE PARTO INMEDIATO</v>
      </c>
      <c r="DV244" s="226" t="str">
        <f t="shared" si="918"/>
        <v>ACTIVA INGRESO A CPN</v>
      </c>
      <c r="DW244"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4" s="216" t="e">
        <f t="shared" ca="1" si="850"/>
        <v>#REF!</v>
      </c>
      <c r="DY244" s="212">
        <f>IF(R244="","",IF(R244&gt;0,MAX(Tabla1[[#This Row],[FECHA C2]:[FECHA C13]],Tabla1[[#This Row],[FECHA CONSULTA PRIMERA VEZ PROGRAMA CPN ]])))</f>
        <v>45154</v>
      </c>
      <c r="DZ244" s="216">
        <f t="shared" si="851"/>
        <v>24</v>
      </c>
      <c r="EA244" s="222">
        <f>IF(R244&gt;0,SUM(COUNTA(DF244:DQ244)+COUNTA(Tabla1[[#This Row],[FECHA CONSULTA PRIMERA VEZ PROGRAMA CPN ]])),"")</f>
        <v>1</v>
      </c>
      <c r="EB244" s="222" t="str">
        <f t="shared" si="852"/>
        <v>NO</v>
      </c>
      <c r="EC244" s="214">
        <f t="shared" si="853"/>
        <v>5</v>
      </c>
      <c r="ED244" s="227">
        <f t="shared" si="854"/>
        <v>0.2</v>
      </c>
      <c r="EE244" s="22">
        <v>45154</v>
      </c>
      <c r="EF244" s="22"/>
      <c r="EG244" s="22">
        <v>45154</v>
      </c>
      <c r="EH244" s="22"/>
      <c r="EI244" s="22">
        <v>45154</v>
      </c>
      <c r="EJ244" s="22"/>
      <c r="EK244" s="22"/>
      <c r="EL244" s="21"/>
      <c r="EM244" s="21"/>
      <c r="EN244" s="22"/>
      <c r="EO244" s="222" t="str">
        <f t="shared" si="855"/>
        <v>TOMAR EXAMEN</v>
      </c>
      <c r="EP244" s="214" t="str">
        <f t="shared" si="856"/>
        <v/>
      </c>
      <c r="EQ244" s="216" t="str">
        <f t="shared" si="857"/>
        <v>POR DEFINIR</v>
      </c>
      <c r="ER244" s="24"/>
      <c r="ES244" s="22"/>
      <c r="ET244" s="29" t="str">
        <f t="shared" ca="1" si="919"/>
        <v>TOMA DE HEMOGLOBINA TARDÍA</v>
      </c>
      <c r="EU244" s="25" t="str">
        <f t="shared" si="858"/>
        <v/>
      </c>
      <c r="EV244" s="24"/>
      <c r="EW244" s="24"/>
      <c r="EX244" s="22"/>
      <c r="EY244" s="29" t="str">
        <f t="shared" si="1040"/>
        <v>TOMAR EXAMEN</v>
      </c>
      <c r="EZ244" s="25" t="str">
        <f t="shared" ca="1" si="1041"/>
        <v/>
      </c>
      <c r="FA244" s="21"/>
      <c r="FB244" s="22"/>
      <c r="FC244" s="29" t="str">
        <f t="shared" si="859"/>
        <v>PIERDE TOMA TAMIZAJE- INGRESO TARDIO</v>
      </c>
      <c r="FD244" s="29"/>
      <c r="FE244" s="29"/>
      <c r="FF244" s="29"/>
      <c r="FG244" s="21" t="str">
        <f t="shared" ca="1" si="860"/>
        <v>TOMAR PTOG</v>
      </c>
      <c r="FH244" s="31"/>
      <c r="FI244" s="29" t="str">
        <f t="shared" si="861"/>
        <v>TOMAR EXAMEN</v>
      </c>
      <c r="FJ244" s="22"/>
      <c r="FK244" s="22"/>
      <c r="FL244" s="29" t="str">
        <f t="shared" ca="1" si="862"/>
        <v>NO APLICA-INGRESO TARDIO</v>
      </c>
      <c r="FM244" s="22"/>
      <c r="FN244" s="32"/>
      <c r="FO244" s="29" t="str">
        <f t="shared" ca="1" si="920"/>
        <v>PIERDE TOMA DE TAMIZAJE</v>
      </c>
      <c r="FP244" s="22"/>
      <c r="FQ244" s="32"/>
      <c r="FR244" s="29" t="str">
        <f t="shared" ca="1" si="921"/>
        <v>TOMA INMEDIATA DE TAMIZAJE</v>
      </c>
      <c r="FS244" s="22"/>
      <c r="FT244" s="32"/>
      <c r="FU244" s="29" t="str">
        <f>IF(AND(FJ244="",FM244="",FP244="",FS244=""),"",IF(OR(OR(Tabla1[[#This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4" s="28"/>
      <c r="FW244" s="22"/>
      <c r="FX244" s="29" t="str">
        <f t="shared" si="863"/>
        <v>TOMAR EXAMEN</v>
      </c>
      <c r="FY244" s="22"/>
      <c r="FZ244" s="22"/>
      <c r="GA244" s="29" t="str">
        <f t="shared" ca="1" si="936"/>
        <v>NO APLICA-INGRESO TARDIO</v>
      </c>
      <c r="GB244" s="22"/>
      <c r="GC244" s="22"/>
      <c r="GD244" s="29" t="str">
        <f t="shared" ca="1" si="1045"/>
        <v>PIERDE TOMA DE TAMIZAJE</v>
      </c>
      <c r="GE244" s="22"/>
      <c r="GF244" s="22"/>
      <c r="GG244" s="29" t="str">
        <f t="shared" ca="1" si="923"/>
        <v>TOMA INMEDIATA DE TAMIZAJE</v>
      </c>
      <c r="GH244" s="22"/>
      <c r="GI244" s="29"/>
      <c r="GJ244" s="22"/>
      <c r="GK244" s="22"/>
      <c r="GL244" s="22"/>
      <c r="GM244" s="22"/>
      <c r="GN244" s="28"/>
      <c r="GO244" s="22"/>
      <c r="GP244" s="29" t="str">
        <f t="shared" si="864"/>
        <v>TOMAR EXAMEN</v>
      </c>
      <c r="GQ244" s="28"/>
      <c r="GR244" s="28"/>
      <c r="GS244" s="22" t="str">
        <f t="shared" si="1044"/>
        <v/>
      </c>
      <c r="GT244" s="22"/>
      <c r="GU244" s="29" t="str">
        <f t="shared" si="865"/>
        <v>TOMAR EXAMEN</v>
      </c>
      <c r="GV244" s="21" t="str">
        <f t="shared" si="866"/>
        <v>POR DEFINIR</v>
      </c>
      <c r="GW244" s="28"/>
      <c r="GX244" s="30"/>
      <c r="GY244" s="21"/>
      <c r="GZ244" s="21"/>
      <c r="HA244" s="21"/>
      <c r="HB244" s="21"/>
      <c r="HC244" s="21"/>
      <c r="HD244" s="21"/>
      <c r="HE244" s="21"/>
      <c r="HF244" s="22"/>
      <c r="HG244" s="22" t="str">
        <f>IF(OR(O244&gt;0,R244&gt;0),CONCATENATE(IF(Tabla1[[#This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4" s="22" t="e">
        <f t="shared" si="867"/>
        <v>#REF!</v>
      </c>
      <c r="HI244" s="22" t="e">
        <f t="shared" ca="1" si="868"/>
        <v>#REF!</v>
      </c>
      <c r="HJ244" s="21"/>
      <c r="HK244" s="21" t="str">
        <f t="shared" si="869"/>
        <v>SIN ANTECEDENTES DE RIESGO</v>
      </c>
      <c r="HL244" s="24" t="str">
        <f t="shared" si="870"/>
        <v>APARENTEMENTE NORMAL</v>
      </c>
      <c r="HM244" s="21" t="e">
        <f t="shared" ca="1" si="871"/>
        <v>#REF!</v>
      </c>
      <c r="HN244" s="30" t="str">
        <f t="shared" si="924"/>
        <v>ACTIVA INGRESO A CPN</v>
      </c>
      <c r="HO244" s="21"/>
      <c r="HP244" s="21"/>
      <c r="HQ244" s="349"/>
      <c r="HR244" s="21" t="str">
        <f>IF(R244="","",IF(Tabla1[[#This Row],[ALARMA FACTORES DE RIESGO COMPLICACIONES HIPERTENSIVAS3]]="SIN ANTECEDENTES DE RIESGO","No Aplica para suministro de ASA",IF(AND(Tabla1[[#This Row],[FECHA INICIO DE SUMINISTRO DE ASA]]&gt;0,RV244&lt;12),"Inicia ASA ANTES de Sem 12",IF(AND(RV244&gt;11,RV244&lt;17,OR(HK244="RIESGO ALTO DE COMPLICACIONES HIPERTENSIVAS VER MANEJO GUIA SUMINISTRO ASA Y CALCIO",HK244="RIESGO MODERADO (2 O MAS CRITERIOS) VER MANEJO GUIA SUMINISTRO ASA Y CALCIO")),"Inicio oportuno de ASA",IF(AND(RV244&gt;12,OR(HK244="RIESGO ALTO DE COMPLICACIONES HIPERTENSIVAS VER MANEJO GUIA SUMINISTRO ASA Y CALCIO",HK244="RIESGO MODERADO (2 O MAS CRITERIOS) VER MANEJO GUIA SUMINISTRO ASA Y CALCIO")),"Inicio no oportuno mayor a 16 semanas",IF(AND(BU244&lt;12,OR(HK244="RIESGO ALTO DE COMPLICACIONES HIPERTENSIVAS VER MANEJO GUIA SUMINISTRO ASA Y CALCIO",HK244="RIESGO MODERADO (2 O MAS CRITERIOS) VER MANEJO GUIA SUMINISTRO ASA Y CALCIO")),"Pendiente Inicio de ASA a la semana 12",IF(AND(BU244&gt;11,BU244&lt;17,OR(HK244="RIESGO ALTO DE COMPLICACIONES HIPERTENSIVAS VER MANEJO GUIA SUMINISTRO ASA Y CALCIO",HK244="RIESGO MODERADO (2 O MAS CRITERIOS) VER MANEJO GUIA SUMINISTRO ASA Y CALCIO")),"Iniciar de inmediato ASA",IF(AND(BU244&gt;16,OR(HK244="RIESGO ALTO DE COMPLICACIONES HIPERTENSIVAS VER MANEJO GUIA SUMINISTRO ASA Y CALCIO",HK244="RIESGO MODERADO (2 O MAS CRITERIOS) VER MANEJO GUIA SUMINISTRO ASA Y CALCIO")),"Pierde Oportunidad, Inicio tardío de ASA","XXXXX"))))))))</f>
        <v>No Aplica para suministro de ASA</v>
      </c>
      <c r="HS244" s="22">
        <v>45154</v>
      </c>
      <c r="HT244" s="22" t="s">
        <v>1518</v>
      </c>
      <c r="HU244" s="22"/>
      <c r="HV244" s="22"/>
      <c r="HW244" s="22">
        <v>45154</v>
      </c>
      <c r="HX244" s="22" t="s">
        <v>1511</v>
      </c>
      <c r="HY244" s="22"/>
      <c r="HZ244" s="28" t="str">
        <f t="shared" si="872"/>
        <v>PENDIENTE CONSULTA</v>
      </c>
      <c r="IA244" s="26"/>
      <c r="IB244" s="26"/>
      <c r="IC244" s="111"/>
      <c r="ID244" s="22"/>
      <c r="IE244" s="22" t="str">
        <f t="shared" ca="1" si="873"/>
        <v>INASISTENTE</v>
      </c>
      <c r="IF244" s="22"/>
      <c r="IG244" s="22">
        <f t="shared" si="874"/>
        <v>45263</v>
      </c>
      <c r="IH244" s="29">
        <f t="shared" ca="1" si="875"/>
        <v>30</v>
      </c>
      <c r="II244" s="22" t="str">
        <f t="shared" ca="1" si="876"/>
        <v>PENDIENTE</v>
      </c>
      <c r="IJ244" s="22"/>
      <c r="IK244" s="21"/>
      <c r="IL244" s="21"/>
      <c r="IM244" s="34"/>
      <c r="IN244" s="22"/>
      <c r="IO244" s="21"/>
      <c r="IP244" s="29" t="str">
        <f t="shared" si="877"/>
        <v/>
      </c>
      <c r="IQ244" s="35"/>
      <c r="IR244" s="21"/>
      <c r="IS244" s="21"/>
      <c r="IT244" s="21"/>
      <c r="IU244" s="21"/>
      <c r="IV244" s="21"/>
      <c r="IW244" s="21"/>
      <c r="IX244" s="21"/>
      <c r="IY244" s="21"/>
      <c r="IZ244" s="21"/>
      <c r="JA244" s="21"/>
      <c r="JB244" s="30"/>
      <c r="JC244" s="21"/>
      <c r="JD244" s="36"/>
      <c r="JE244" s="21" t="str">
        <f t="shared" si="878"/>
        <v/>
      </c>
      <c r="JF244" s="30"/>
      <c r="JG244" s="21"/>
      <c r="JH244" s="21"/>
      <c r="JI244" s="21"/>
      <c r="JJ244" s="30"/>
      <c r="JK244" s="22"/>
      <c r="JL244" s="22"/>
      <c r="JM244" s="21"/>
      <c r="JN244" s="36"/>
      <c r="JO244" s="21" t="str">
        <f t="shared" si="879"/>
        <v/>
      </c>
      <c r="JP244" s="22"/>
      <c r="JQ244" s="21"/>
      <c r="JR244" s="21"/>
      <c r="JS244" s="21"/>
      <c r="JT244" s="30"/>
      <c r="JU244" s="22"/>
      <c r="JV244" s="22"/>
      <c r="JW244" s="33"/>
      <c r="JX244" s="28" t="str">
        <f t="shared" si="880"/>
        <v/>
      </c>
      <c r="JY244" s="159"/>
      <c r="JZ244" s="28" t="str">
        <f t="shared" si="881"/>
        <v/>
      </c>
      <c r="KA244" s="21"/>
      <c r="KB244" s="21"/>
      <c r="KC244" s="21"/>
      <c r="KD244" s="37"/>
      <c r="KE244" s="28"/>
      <c r="KF244" s="28"/>
      <c r="KG244" s="28"/>
      <c r="KH244" s="39"/>
      <c r="KI244" s="39"/>
      <c r="KJ244" s="66"/>
      <c r="KK244" s="39"/>
      <c r="KL244" s="39"/>
      <c r="KM244" s="66"/>
      <c r="KN244" s="39"/>
      <c r="KO244" s="39"/>
      <c r="KP244" s="39"/>
      <c r="KQ244" s="39"/>
      <c r="KR244" s="39"/>
      <c r="KS244" s="39"/>
      <c r="KT244" s="39"/>
      <c r="KU244" s="38"/>
      <c r="KV244" s="38"/>
      <c r="KW244" s="38"/>
      <c r="KX244" s="38"/>
      <c r="KY244" s="38"/>
      <c r="KZ244" s="38"/>
      <c r="LA244" s="38"/>
      <c r="LB244" s="38"/>
      <c r="LC244" s="38"/>
      <c r="LD244" s="38"/>
      <c r="LE244" s="38"/>
      <c r="LF244" s="38"/>
      <c r="LG244" s="38"/>
      <c r="LH244" s="38"/>
      <c r="LI244" s="38"/>
      <c r="LJ244" s="38"/>
      <c r="LK244" s="38"/>
      <c r="LL244" s="38"/>
      <c r="LM244" s="38"/>
      <c r="LN244" s="38"/>
      <c r="LO244" s="38"/>
      <c r="LP244" s="38"/>
      <c r="LQ244" s="38"/>
      <c r="LR244" s="38"/>
      <c r="LS244" s="38"/>
      <c r="LT244" s="38"/>
      <c r="LU244" s="38"/>
      <c r="LV244" s="38"/>
      <c r="LW244" s="38"/>
      <c r="LX244" s="38"/>
      <c r="LY244" s="38"/>
      <c r="LZ244" s="38"/>
      <c r="MA244" s="38"/>
      <c r="MB244" s="38"/>
      <c r="MC244" s="38"/>
      <c r="MD244" s="38"/>
      <c r="ME244" s="38"/>
      <c r="MF244" s="38"/>
      <c r="MG244" s="38"/>
      <c r="MH244" s="43">
        <f t="shared" si="882"/>
        <v>0</v>
      </c>
      <c r="MI244" s="43" t="str">
        <f t="shared" si="926"/>
        <v/>
      </c>
      <c r="MJ244" s="43" t="str">
        <f t="shared" si="884"/>
        <v/>
      </c>
      <c r="MK244" s="43">
        <f t="shared" si="885"/>
        <v>0</v>
      </c>
      <c r="ML244"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4" s="43">
        <f t="shared" si="927"/>
        <v>24.428571428571427</v>
      </c>
      <c r="MN244" s="43">
        <f t="shared" si="928"/>
        <v>8</v>
      </c>
      <c r="MO244" s="43">
        <f t="shared" si="929"/>
        <v>2023</v>
      </c>
      <c r="MP244" s="43" t="str">
        <f t="shared" si="889"/>
        <v>III TRIMESTRE AÑO</v>
      </c>
      <c r="MQ244" s="43">
        <f t="shared" si="930"/>
        <v>28.164695575996493</v>
      </c>
      <c r="MR244" s="43">
        <f t="shared" si="891"/>
        <v>0</v>
      </c>
      <c r="MS244" s="43" t="str">
        <f t="shared" si="892"/>
        <v xml:space="preserve"> DE 25 A 29 AÑOS</v>
      </c>
      <c r="MT244" s="43">
        <f t="shared" si="893"/>
        <v>0</v>
      </c>
      <c r="MU244" s="43">
        <f t="shared" si="894"/>
        <v>1</v>
      </c>
      <c r="MV244" s="43">
        <f t="shared" si="895"/>
        <v>0</v>
      </c>
      <c r="MW244" s="43">
        <f t="shared" si="896"/>
        <v>0</v>
      </c>
      <c r="MX244" s="43" t="str">
        <f t="shared" si="897"/>
        <v/>
      </c>
      <c r="MY244" s="43" t="str">
        <f t="shared" ca="1" si="898"/>
        <v/>
      </c>
      <c r="MZ244" s="43" t="str">
        <f t="shared" si="899"/>
        <v/>
      </c>
      <c r="NA244" s="43" t="str">
        <f t="shared" si="900"/>
        <v/>
      </c>
      <c r="NB244" s="43" t="str">
        <f t="shared" si="901"/>
        <v/>
      </c>
      <c r="NC244" s="43" t="str">
        <f t="shared" si="902"/>
        <v/>
      </c>
      <c r="ND244" s="43">
        <f t="shared" ca="1" si="931"/>
        <v>1</v>
      </c>
      <c r="NE244" s="43">
        <f>IF(OR(O244&gt;0,R244&gt;0),SUM(COUNTIF(Tabla1[[#This Row],[AÑOS AL INICIO5 CPN]],"&gt;=40"),COUNTIF(AS244,"0"),COUNTIF(AR244,"SI"),COUNTIF(CC244,"SI"),COUNTIF(BQ244,"&gt;119"),COUNTIF(CI244,"&gt;=35")),"")</f>
        <v>1</v>
      </c>
      <c r="NF244" s="43" t="str">
        <f t="shared" si="932"/>
        <v/>
      </c>
      <c r="NG244" s="43">
        <f t="shared" si="905"/>
        <v>0</v>
      </c>
      <c r="NH244" s="43" t="str">
        <f t="shared" si="906"/>
        <v/>
      </c>
      <c r="NI244"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CPN",P244="NO"),"Z",IF(AND(Tabla1[[#This Row],[CITA PROXIMO CONTROL]]="CITA MANUAL",Tabla1[[#This Row],[GESTANTES ACTUALES]]="ACTIVA INGRESO A CPN"),"W",IF(AND(Tabla1[[#This Row],[GESTANTES ACTUALES]]="SALIO PROGRAMA",IN244=""),"S",IF(AND(Tabla1[[#This Row],[CITA PROXIMO CONTROL]]&gt;0,IN244=""),(Tabla1[[#This Row],[CITA PROXIMO CONTROL]]-TODAY()),"SD"))))))))</f>
        <v>#REF!</v>
      </c>
      <c r="NJ244" s="43">
        <f>MONTH(Tabla1[[#This Row],[FECHA DE SALIDA  DEL PROGRAMA]])</f>
        <v>1</v>
      </c>
      <c r="NK244" s="43">
        <f>YEAR(Tabla1[[#This Row],[FECHA DE SALIDA  DEL PROGRAMA]])</f>
        <v>1900</v>
      </c>
      <c r="NL244" s="43" t="str">
        <f t="shared" si="933"/>
        <v>X</v>
      </c>
      <c r="NM244" s="43" t="str">
        <f t="shared" si="938"/>
        <v>NO</v>
      </c>
      <c r="NN244" s="43" t="str">
        <f ca="1">IF(AND(O244&gt;0,R244=""),"NO CPN",IF(AND(O244="",R244=""),"",IF(AND(R244&gt;0,Tabla1[[#This Row],[SEMANAS DE GESTACION ACTUALIZADAS]]&lt;=12),"NO APLICA",IF(AND(FH244&lt;&gt;"",FN244&lt;&gt;""),"SI","NO"))))</f>
        <v>NO</v>
      </c>
      <c r="NO244" s="43" t="str">
        <f ca="1">IF(AND(O244&gt;0,R244=""),"NO CPN",IF(AND(O244="",R244=""),"",IF(AND(R244&gt;0,Tabla1[[#This Row],[SEMANAS DE GESTACION ACTUALIZADAS]]&lt;=27),"NO APLICA",IF(AND(ES244&lt;&gt;"",FQ244&lt;&gt;"",GF244&lt;&gt;""),"SI","NO"))))</f>
        <v>NO</v>
      </c>
      <c r="NP244" s="204" t="str">
        <f t="shared" si="909"/>
        <v>DEFINIR CON ECO</v>
      </c>
      <c r="NQ244" s="21" t="str">
        <f t="shared" si="1043"/>
        <v/>
      </c>
      <c r="NR244" s="21">
        <f t="shared" ca="1" si="934"/>
        <v>2</v>
      </c>
      <c r="NS244" s="205">
        <f t="shared" ca="1" si="911"/>
        <v>0</v>
      </c>
      <c r="NT244" s="21">
        <f t="shared" ca="1" si="912"/>
        <v>0</v>
      </c>
      <c r="NU244" s="21" t="str">
        <f t="shared" ca="1" si="913"/>
        <v>INCOMPLETO</v>
      </c>
      <c r="NV244" s="21" t="str">
        <f t="shared" ca="1" si="914"/>
        <v>INCOMPLETO</v>
      </c>
      <c r="NW244" s="206" t="str">
        <f>IF(AND(O244="",R244=""),"",IF(OR(AND(Tabla1[[#This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4" s="207" t="str">
        <f t="shared" ca="1" si="935"/>
        <v>SIN VACUNAR</v>
      </c>
      <c r="NY244" s="43">
        <f>ROW(Tabla1[[#This Row],['# DE TAMIZAJES SIFILIS TOMADOS ]])</f>
        <v>244</v>
      </c>
      <c r="NZ244" s="43">
        <f t="shared" si="939"/>
        <v>24</v>
      </c>
      <c r="OA244" s="43" t="str">
        <f t="shared" si="940"/>
        <v/>
      </c>
      <c r="OB244" s="43" t="str">
        <f t="shared" si="941"/>
        <v/>
      </c>
      <c r="OC244" s="43" t="str">
        <f t="shared" si="942"/>
        <v/>
      </c>
      <c r="OD244" s="43" t="str">
        <f t="shared" si="943"/>
        <v/>
      </c>
      <c r="OE244" s="43" t="str">
        <f t="shared" si="944"/>
        <v/>
      </c>
      <c r="OF244" s="43" t="str">
        <f t="shared" si="945"/>
        <v/>
      </c>
      <c r="OG244" s="43" t="str">
        <f t="shared" si="946"/>
        <v/>
      </c>
      <c r="OH244" s="43" t="str">
        <f t="shared" si="947"/>
        <v/>
      </c>
      <c r="OI244" s="43" t="str">
        <f t="shared" si="948"/>
        <v/>
      </c>
      <c r="OJ244" s="43" t="str">
        <f t="shared" si="949"/>
        <v/>
      </c>
      <c r="OK244" s="43" t="str">
        <f t="shared" si="950"/>
        <v/>
      </c>
      <c r="OL244" s="43" t="str">
        <f t="shared" si="951"/>
        <v/>
      </c>
      <c r="OM244" s="43" t="str">
        <f t="shared" si="952"/>
        <v/>
      </c>
      <c r="ON244" s="43" t="str">
        <f t="shared" si="953"/>
        <v/>
      </c>
      <c r="OO244" s="43" t="str">
        <f t="shared" si="954"/>
        <v/>
      </c>
      <c r="OP244" s="43" t="str">
        <f t="shared" si="955"/>
        <v>SOBREPESO</v>
      </c>
      <c r="OQ244" s="43" t="str">
        <f t="shared" si="956"/>
        <v/>
      </c>
      <c r="OR244" s="43" t="str">
        <f t="shared" si="957"/>
        <v/>
      </c>
      <c r="OS244" s="43" t="str">
        <f t="shared" si="958"/>
        <v/>
      </c>
      <c r="OT244" s="43" t="str">
        <f t="shared" si="959"/>
        <v/>
      </c>
      <c r="OU244" s="43" t="str">
        <f t="shared" si="960"/>
        <v/>
      </c>
      <c r="OV244" s="110" t="str">
        <f t="shared" si="961"/>
        <v/>
      </c>
      <c r="OW244" s="43" t="str">
        <f t="shared" si="962"/>
        <v/>
      </c>
      <c r="OX244" s="43" t="str">
        <f t="shared" si="963"/>
        <v/>
      </c>
      <c r="OY244" s="43" t="str">
        <f t="shared" si="964"/>
        <v/>
      </c>
      <c r="OZ244" s="43" t="str">
        <f t="shared" si="965"/>
        <v/>
      </c>
      <c r="PA244" s="43" t="str">
        <f t="shared" si="966"/>
        <v/>
      </c>
      <c r="PB244" s="43" t="str">
        <f t="shared" si="967"/>
        <v/>
      </c>
      <c r="PC244" s="43" t="str">
        <f t="shared" si="968"/>
        <v/>
      </c>
      <c r="PD244" s="43" t="str">
        <f t="shared" si="969"/>
        <v/>
      </c>
      <c r="PE244" s="43" t="str">
        <f t="shared" si="970"/>
        <v/>
      </c>
      <c r="PF244" s="43" t="str">
        <f t="shared" si="971"/>
        <v/>
      </c>
      <c r="PG244" s="43" t="str">
        <f t="shared" si="972"/>
        <v/>
      </c>
      <c r="PH244" s="43" t="str">
        <f t="shared" si="973"/>
        <v/>
      </c>
      <c r="PI244" s="43">
        <f t="shared" si="974"/>
        <v>24</v>
      </c>
      <c r="PJ244" s="43" t="str">
        <f t="shared" si="975"/>
        <v/>
      </c>
      <c r="PK244" s="43" t="str">
        <f t="shared" si="976"/>
        <v/>
      </c>
      <c r="PL244" s="43" t="str">
        <f t="shared" si="977"/>
        <v/>
      </c>
      <c r="PM244" s="43" t="str">
        <f t="shared" si="978"/>
        <v/>
      </c>
      <c r="PN244" s="43" t="str">
        <f t="shared" si="979"/>
        <v/>
      </c>
      <c r="PO244" s="43" t="str">
        <f t="shared" si="980"/>
        <v/>
      </c>
      <c r="PP244" s="43" t="str">
        <f t="shared" si="981"/>
        <v/>
      </c>
      <c r="PQ244" s="43" t="str">
        <f t="shared" si="982"/>
        <v/>
      </c>
      <c r="PR244" s="43" t="str">
        <f t="shared" si="983"/>
        <v/>
      </c>
      <c r="PS244" s="43" t="str">
        <f t="shared" si="984"/>
        <v/>
      </c>
      <c r="PT244" s="43" t="str">
        <f t="shared" si="985"/>
        <v/>
      </c>
      <c r="PU244" s="43" t="str">
        <f t="shared" si="986"/>
        <v/>
      </c>
      <c r="PV244" s="43" t="str">
        <f t="shared" si="987"/>
        <v/>
      </c>
      <c r="PW244" s="43" t="str">
        <f t="shared" si="988"/>
        <v/>
      </c>
      <c r="PX244" s="43" t="str">
        <f t="shared" si="989"/>
        <v/>
      </c>
      <c r="PY244" s="43" t="str">
        <f t="shared" si="990"/>
        <v>SOBREPESO</v>
      </c>
      <c r="PZ244" s="43" t="str">
        <f t="shared" si="991"/>
        <v/>
      </c>
      <c r="QA244" s="43" t="str">
        <f t="shared" si="992"/>
        <v/>
      </c>
      <c r="QB244" s="43" t="str">
        <f t="shared" si="993"/>
        <v/>
      </c>
      <c r="QC244" s="43" t="str">
        <f t="shared" si="994"/>
        <v/>
      </c>
      <c r="QD244" s="43" t="str">
        <f t="shared" si="995"/>
        <v/>
      </c>
      <c r="QE244" s="43" t="str">
        <f t="shared" si="996"/>
        <v/>
      </c>
      <c r="QF244" s="43" t="str">
        <f t="shared" si="997"/>
        <v/>
      </c>
      <c r="QG244" s="43" t="str">
        <f t="shared" si="998"/>
        <v/>
      </c>
      <c r="QH244" s="43" t="str">
        <f t="shared" si="999"/>
        <v/>
      </c>
      <c r="QI244" s="43" t="str">
        <f t="shared" si="1000"/>
        <v/>
      </c>
      <c r="QJ244" s="43" t="str">
        <f t="shared" si="1001"/>
        <v/>
      </c>
      <c r="QK244" s="43" t="str">
        <f t="shared" si="1002"/>
        <v/>
      </c>
      <c r="QL244" s="43" t="str">
        <f t="shared" si="1003"/>
        <v/>
      </c>
      <c r="QM244" s="43" t="str">
        <f t="shared" si="1004"/>
        <v/>
      </c>
      <c r="QN244" s="43" t="str">
        <f t="shared" si="1005"/>
        <v/>
      </c>
      <c r="QO244" s="43" t="str">
        <f t="shared" si="1006"/>
        <v/>
      </c>
      <c r="QP244" s="43" t="str">
        <f t="shared" si="1007"/>
        <v/>
      </c>
      <c r="QQ244" s="43" t="str">
        <f t="shared" si="1008"/>
        <v/>
      </c>
      <c r="QR244" s="43">
        <f t="shared" si="1009"/>
        <v>24</v>
      </c>
      <c r="QS244" s="43"/>
      <c r="QT244" s="21" t="str">
        <f t="shared" si="1010"/>
        <v/>
      </c>
      <c r="QU244" s="21" t="str">
        <f t="shared" si="1011"/>
        <v/>
      </c>
      <c r="QV244" s="21" t="str">
        <f t="shared" si="1012"/>
        <v/>
      </c>
      <c r="QW244" s="21" t="str">
        <f t="shared" si="1013"/>
        <v/>
      </c>
      <c r="QX244" s="21" t="str">
        <f t="shared" si="1014"/>
        <v/>
      </c>
      <c r="QY244" s="21" t="str">
        <f t="shared" si="1015"/>
        <v/>
      </c>
      <c r="QZ244" s="21" t="str">
        <f t="shared" si="1016"/>
        <v/>
      </c>
      <c r="RA244" s="21" t="str">
        <f t="shared" si="1017"/>
        <v/>
      </c>
      <c r="RB244" s="21" t="str">
        <f t="shared" si="1018"/>
        <v/>
      </c>
      <c r="RC244" s="21" t="str">
        <f t="shared" si="1019"/>
        <v/>
      </c>
      <c r="RD244" s="21" t="str">
        <f t="shared" si="1020"/>
        <v/>
      </c>
      <c r="RE244" s="21" t="str">
        <f t="shared" si="1021"/>
        <v>ALTO PARA EDAD GESTACIONAL</v>
      </c>
      <c r="RF244" s="21" t="str">
        <f t="shared" si="1022"/>
        <v/>
      </c>
      <c r="RG244" s="21" t="str">
        <f t="shared" si="1023"/>
        <v/>
      </c>
      <c r="RH244" s="21" t="str">
        <f t="shared" si="1024"/>
        <v/>
      </c>
      <c r="RI244" s="21" t="str">
        <f t="shared" si="1025"/>
        <v/>
      </c>
      <c r="RJ244" s="21" t="str">
        <f t="shared" si="1026"/>
        <v/>
      </c>
      <c r="RK244" s="21" t="str">
        <f t="shared" si="1027"/>
        <v/>
      </c>
      <c r="RL244" s="21" t="str">
        <f t="shared" si="1028"/>
        <v/>
      </c>
      <c r="RM244" s="21" t="str">
        <f t="shared" si="1029"/>
        <v/>
      </c>
      <c r="RN244" s="21" t="str">
        <f t="shared" si="1030"/>
        <v/>
      </c>
      <c r="RO244" s="21" t="str">
        <f t="shared" si="1031"/>
        <v/>
      </c>
      <c r="RP244" s="21" t="str">
        <f t="shared" si="1032"/>
        <v/>
      </c>
      <c r="RQ244" s="21" t="str">
        <f t="shared" si="1033"/>
        <v/>
      </c>
      <c r="RR244" s="21" t="str">
        <f t="shared" si="1034"/>
        <v/>
      </c>
      <c r="RS244" s="21" t="str">
        <f t="shared" si="1035"/>
        <v/>
      </c>
      <c r="RT244" s="21" t="str">
        <f t="shared" si="1036"/>
        <v/>
      </c>
      <c r="RU244" s="21" t="str">
        <f t="shared" si="1037"/>
        <v/>
      </c>
      <c r="RV244" s="21">
        <f t="shared" si="1038"/>
        <v>-1</v>
      </c>
      <c r="RW244" s="284">
        <f>IF(OR(Tabla1[[#This Row],[FUM FORMULA CONFIABLE]]="",Tabla1[[#This Row],[FUM FORMULA CONFIABLE]]="SD"),"",IF(Tabla1[[#This Row],[FUM FORMULA CONFIABLE]]="CORREGIDA",Tabla1[[#This Row],[FUM X ECO 1]],Tabla1[[#This Row],[FUM x AMENORREA]]))</f>
        <v>44983</v>
      </c>
      <c r="RX244" s="21" t="str">
        <f>IF(AND(Tabla1[[#This Row],[FUM X ECO 1]]="",Tabla1[[#This Row],[FUM x AMENORREA]]=""),"",IF(AND(Tabla1[[#This Row],[FUM X ECO 1]]="",Tabla1[[#This Row],[FUM x AMENORREA]]&lt;&gt;""),"X",SUM(Tabla1[[#This Row],[FUM X ECO 1]]-Tabla1[[#This Row],[FUM x AMENORREA]])))</f>
        <v>X</v>
      </c>
      <c r="RY244" s="21" t="str">
        <f t="shared" si="1039"/>
        <v>x</v>
      </c>
    </row>
    <row r="245" spans="1:493" ht="45" customHeight="1" x14ac:dyDescent="0.25">
      <c r="A245" s="109"/>
      <c r="B245" s="43"/>
      <c r="C245" s="43" t="s">
        <v>845</v>
      </c>
      <c r="D245" s="124"/>
      <c r="E245" s="43" t="s">
        <v>943</v>
      </c>
      <c r="F245" s="43" t="s">
        <v>848</v>
      </c>
      <c r="G245" s="43" t="s">
        <v>1673</v>
      </c>
      <c r="H245" s="43" t="s">
        <v>1674</v>
      </c>
      <c r="I245" s="109" t="s">
        <v>851</v>
      </c>
      <c r="J245" s="342" t="s">
        <v>1672</v>
      </c>
      <c r="K245" s="43" t="s">
        <v>852</v>
      </c>
      <c r="L245" s="175" t="s">
        <v>1509</v>
      </c>
      <c r="M245" s="22">
        <v>31319</v>
      </c>
      <c r="N245" s="213">
        <f t="shared" ca="1" si="839"/>
        <v>38.12054794520548</v>
      </c>
      <c r="O245" s="22">
        <v>45157</v>
      </c>
      <c r="P245" s="214" t="str">
        <f t="shared" si="916"/>
        <v>SI</v>
      </c>
      <c r="Q245" s="26" t="s">
        <v>855</v>
      </c>
      <c r="R245" s="22">
        <v>45157</v>
      </c>
      <c r="S245" s="21" t="s">
        <v>856</v>
      </c>
      <c r="T245" s="24" t="s">
        <v>690</v>
      </c>
      <c r="U245" s="21" t="s">
        <v>857</v>
      </c>
      <c r="V245" s="21" t="s">
        <v>858</v>
      </c>
      <c r="W245" s="21" t="s">
        <v>1200</v>
      </c>
      <c r="X245" s="21" t="s">
        <v>1200</v>
      </c>
      <c r="Y245" s="21"/>
      <c r="Z245" s="21">
        <v>3163402687</v>
      </c>
      <c r="AA245" s="21" t="s">
        <v>860</v>
      </c>
      <c r="AB245" s="27" t="s">
        <v>861</v>
      </c>
      <c r="AC245" s="26" t="s">
        <v>846</v>
      </c>
      <c r="AD245" s="21" t="s">
        <v>1546</v>
      </c>
      <c r="AE245" s="26" t="s">
        <v>854</v>
      </c>
      <c r="AF245" s="26" t="s">
        <v>854</v>
      </c>
      <c r="AG245" s="23" t="s">
        <v>864</v>
      </c>
      <c r="AH245" s="23" t="s">
        <v>864</v>
      </c>
      <c r="AI245" s="24" t="s">
        <v>863</v>
      </c>
      <c r="AJ245" s="23" t="s">
        <v>864</v>
      </c>
      <c r="AK245" s="220" t="str">
        <f>IF(AND(AD245="",AE245="",AF245="",AG245="",AH245="",AI245="",AJ245=""),"",IF(OR(Tabla1[[#This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EVALUACIÓN",IF(AND(O245="",R245=""),"",IF(AND(OR(O245&gt;0,R245&gt;0),NG245&gt;=0,NG245&lt;2),"SIN RIESGO",IF(AND(OR(O245&gt;0,R245&gt;0),NG245&gt;=2),"CON RIESGO","ASD")))))</f>
        <v>SIN RIESGO</v>
      </c>
      <c r="AL245" s="26" t="s">
        <v>864</v>
      </c>
      <c r="AM245" s="26" t="s">
        <v>864</v>
      </c>
      <c r="AN245" s="26" t="s">
        <v>864</v>
      </c>
      <c r="AO245" s="26" t="s">
        <v>864</v>
      </c>
      <c r="AP245" s="26" t="s">
        <v>864</v>
      </c>
      <c r="AQ245" s="26" t="s">
        <v>864</v>
      </c>
      <c r="AR245" s="26" t="s">
        <v>864</v>
      </c>
      <c r="AS245" s="21">
        <v>5</v>
      </c>
      <c r="AT245" s="21">
        <v>4</v>
      </c>
      <c r="AU245" s="21">
        <v>0</v>
      </c>
      <c r="AV245" s="26" t="s">
        <v>864</v>
      </c>
      <c r="AW245" s="21">
        <v>0</v>
      </c>
      <c r="AX245" s="26" t="s">
        <v>854</v>
      </c>
      <c r="AY245" s="26" t="s">
        <v>864</v>
      </c>
      <c r="AZ245" s="26" t="s">
        <v>864</v>
      </c>
      <c r="BA245" s="26" t="s">
        <v>864</v>
      </c>
      <c r="BB245" s="26" t="s">
        <v>864</v>
      </c>
      <c r="BC245" s="26" t="s">
        <v>864</v>
      </c>
      <c r="BD245" s="26" t="s">
        <v>864</v>
      </c>
      <c r="BE245" s="26" t="s">
        <v>864</v>
      </c>
      <c r="BF245" s="26" t="s">
        <v>864</v>
      </c>
      <c r="BG245" s="26" t="s">
        <v>864</v>
      </c>
      <c r="BH245" s="26" t="s">
        <v>864</v>
      </c>
      <c r="BI245" s="26" t="s">
        <v>864</v>
      </c>
      <c r="BJ245" s="26" t="s">
        <v>864</v>
      </c>
      <c r="BK245" s="26" t="s">
        <v>864</v>
      </c>
      <c r="BL245" s="26" t="s">
        <v>864</v>
      </c>
      <c r="BM245" s="26" t="s">
        <v>864</v>
      </c>
      <c r="BN245" s="22"/>
      <c r="BO245" s="22">
        <v>45070</v>
      </c>
      <c r="BP245" s="21" t="s">
        <v>854</v>
      </c>
      <c r="BQ245" s="222">
        <f t="shared" si="840"/>
        <v>0</v>
      </c>
      <c r="BR245" s="223" t="str">
        <f t="shared" si="841"/>
        <v/>
      </c>
      <c r="BS245" s="224">
        <f t="shared" si="842"/>
        <v>12.428571428571429</v>
      </c>
      <c r="BT245" s="216" t="str">
        <f t="shared" si="843"/>
        <v>II TRIM</v>
      </c>
      <c r="BU245" s="214">
        <f t="shared" ca="1" si="925"/>
        <v>23.285714285714285</v>
      </c>
      <c r="BV245" s="25"/>
      <c r="BW245" s="22"/>
      <c r="BX245" s="28"/>
      <c r="BY245" s="28"/>
      <c r="BZ245" s="22"/>
      <c r="CA245" s="21"/>
      <c r="CB245" s="26"/>
      <c r="CC245" s="26"/>
      <c r="CD245" s="26"/>
      <c r="CE245" s="26"/>
      <c r="CF245" s="22" t="s">
        <v>1517</v>
      </c>
      <c r="CG245" s="21">
        <v>1.37</v>
      </c>
      <c r="CH245" s="21">
        <v>45</v>
      </c>
      <c r="CI245" s="214">
        <f t="shared" si="845"/>
        <v>23.975704619319085</v>
      </c>
      <c r="CJ245" s="225" t="e">
        <f>IF(AND(CI245&lt;10,CH245="SD"),"SIN DATO PESO PREGESTACION O I TRIM",IF(AND(OR(R245&gt;0,O245&gt;0),CI245="X"),"INGRESAR DATO DE PESO",IF(CI245="SD","INGRESAR DATO DE TALLA Y PESO",IF(AND(OR(Tabla1[[#This Row],[MOMENTO EN QUE SE REALIZA EL PESO AL INGRESO A CPN]]="PREGESTACIÓN",NZ245="Menor"),CI245&lt;18.5),"BAJO PESO",IF(AND(OR(Tabla1[[#This Row],[MOMENTO EN QUE SE REALIZA EL PESO AL INGRESO A CPN]]="PREGESTACIÓN",NZ245="Menor"),CI245&lt;25),"NORMAL",IF(AND(OR(Tabla1[[#This Row],[MOMENTO EN QUE SE REALIZA EL PESO AL INGRESO A CPN]]="PREGESTACIÓN",NZ245="Menor"),CI245&lt;30),"SOBREPESO",IF(AND(OR(Tabla1[[#This Row],[MOMENTO EN QUE SE REALIZA EL PESO AL INGRESO A CPN]]="PREGESTACIÓN",NZ245="Menor"),CI245&gt;=30,CI245&lt;50),"OBESIDAD",IF(AND(BS245&gt;0,Tabla1[[#This Row],[MOMENTO EN QUE SE REALIZA EL PESO AL INGRESO A CPN]]="GESTACIÓN"),HLOOKUP(NZ245,$OA$2:PH245,NY245),""))))))))</f>
        <v>#REF!</v>
      </c>
      <c r="CK245" s="212">
        <f t="shared" si="846"/>
        <v>45157</v>
      </c>
      <c r="CL245" s="21">
        <v>45</v>
      </c>
      <c r="CM245" s="214">
        <f t="shared" si="847"/>
        <v>23.975704619319085</v>
      </c>
      <c r="CN245" s="216">
        <f t="shared" si="848"/>
        <v>12</v>
      </c>
      <c r="CO245" s="216" t="e">
        <f>IF(PI245="","",IF(PI245&gt;0,HLOOKUP(PI245,$PJ$2:QQ245,NY245),""))</f>
        <v>#REF!</v>
      </c>
      <c r="CP245" s="21">
        <v>12</v>
      </c>
      <c r="CQ245" s="216" t="str">
        <f>IF(QR245="Menor","NO APLICA-MENOR 13 SEM",IF(AND(CC245="SI",CN245&gt;23),"NO APLICA- GEMELAR",IF(QR245="","",IF(QR245&gt;0,HLOOKUP(QR245,$QS$2:RU245,NY245),""))))</f>
        <v>NO APLICA-MENOR 13 SEM</v>
      </c>
      <c r="CR245" s="21"/>
      <c r="CS245" s="21"/>
      <c r="CT245" s="217" t="str">
        <f>IF(R245="","",IF(AND(BS245&gt;1,BS245&lt;12,Tabla1[[#This Row],[T.A. SISTOLICA - ANTES DE SEMANA 12]]="",Tabla1[[#This Row],[T.A. DIASTOLICA - ANTES DE SEMANA 12]]=""),"REGISTRE DATO TA ANTES SEMANA 12",IF(AND(BS245&gt;11,BS245&lt;43,Tabla1[[#This Row],[T.A. SISTOLICA - ANTES DE SEMANA 12]]="",Tabla1[[#This Row],[T.A. DIASTOLICA - ANTES DE SEMANA 12]]=""),"NO APLICA REGISTRO TA-INGRESO TARDIO",IF(AND(OR(O245&gt;0,R245&gt;0),OR(CR245&gt;=140,CS245&gt;=90)),"DEFINIR ESTADIO HTA",IF(AND(OR(O245&gt;0,R245&gt;0),AND(CR245&gt;120,CR245&lt;=139)),"PRE HTA SEGUIMIENTO",IF(AND(OR(O245&gt;0,R245&gt;0),AND(CS245&gt;80,CS245&lt;=89)),"PRE HTA SEGUIMIENTO",IF(AND(OR(O245&gt;0,R245&gt;0),AND(CR245&gt;=80,CR245&lt;=120)),"APARENTEMENTE NORMAL",IF(AND(OR(O245&gt;0,R245&gt;0),AND(CS245&gt;=50,CS245&lt;=80)),"APARENTEMENTE NORMAL",IF(AND(OR(O245&gt;0,R245&gt;0),AND(CR245&gt;1,CR245&lt;=70),AND(CS245&gt;1,CS245&lt;=40)),"HIPOTENSIÓN","")))))))))</f>
        <v>NO APLICA REGISTRO TA-INGRESO TARDIO</v>
      </c>
      <c r="CU245" s="21"/>
      <c r="CV245" s="21"/>
      <c r="CW245" s="217" t="str">
        <f ca="1">IF(R245="","",IF(AND(CN245&gt;19,CN245&lt;27,Tabla1[[#This Row],[T.A. SISTOLICA (Entre semana 20 y 26)]]="",Tabla1[[#This Row],[T.A. DIATOLICA (Entre semana 20 y 26)]]=""),"ACUDE A CONTROL SEM 20 A 26 REGISTRE TA AHORA",IF(AND(BS245&gt;1,BS245&lt;27,BU245&gt;19,Tabla1[[#This Row],[T.A. SISTOLICA (Entre semana 20 y 26)]]="",Tabla1[[#This Row],[T.A. DIATOLICA (Entre semana 20 y 26)]]=""),"COMPLETE REGISTRO TA CONTROL SEM 20 A26 ",IF(AND(BS245&gt;26,BS245&lt;43,Tabla1[[#This Row],[T.A. SISTOLICA (Entre semana 20 y 26)]]="",Tabla1[[#This Row],[T.A. DIATOLICA (Entre semana 20 y 26)]]=""),"NO APLICA REGISTRO TA-INGRESO TARDIO",IF(AND(OR(O245&gt;0,R245&gt;0),OR(CU245&gt;=140,CV245&gt;=90)),"ALTO RIESGO PREECLAMPSIA,DEFINIR ESTADIO HTA",IF(AND(OR(O245&gt;0,R245&gt;0),AND(CU245&gt;120,CU245&lt;=139)),"PRE HTA SEGUIMIENTO,RIESGO HIPERTENSION INDUCIDA POR EL EMBARAZO",IF(AND(OR(O245&gt;0,R245&gt;0),AND(CV245&gt;80,CV245&lt;=89)),"PRE HTA SEGUIMIENTO, RIESGO HIPERTENSION INDUCIDA POR EL EMBARAZO",IF(AND(OR(O245&lt;&gt;"",R245&lt;&gt;""),CS245&lt;&gt;"",CV245&lt;&gt;"",CS245&lt;=CV245),"VIGILAR CIFRAS PRESION ARTERIAL",IF(AND(OR(O245&gt;0,R245&gt;0),AND(CU245&gt;120,CU245&lt;=139)),"PRE HTA SEGUIMIENTO",IF(AND(OR(O245&gt;0,R245&gt;0),AND(CU245&gt;1,CU245&lt;=70),AND(CV245&gt;1,CV245&lt;=40)),"HIPOTENSIÓN",IF(AND(OR(O245&lt;&gt;"",R245&lt;&gt;""),CS245&lt;&gt;"",CV245&lt;&gt;"",CS245&gt;CV245),"APARENTEMENTE NORMAL",IF(AND(OR(O245&gt;0,R245&gt;0),AND(CU245&gt;=80,CU245&lt;=120)),"APARENTEMENTE NORMAL",IF(AND(OR(O245&gt;0,R245&gt;0),AND(CV245&gt;=50,CV245&lt;=80)),"APARENTEMENTE NORMAL","")))))))))))))</f>
        <v xml:space="preserve">COMPLETE REGISTRO TA CONTROL SEM 20 A26 </v>
      </c>
      <c r="CX245" s="21"/>
      <c r="CY245" s="21"/>
      <c r="CZ245" s="216" t="str">
        <f t="shared" si="1042"/>
        <v/>
      </c>
      <c r="DA245" s="21">
        <v>98</v>
      </c>
      <c r="DB245" s="21">
        <v>60</v>
      </c>
      <c r="DC245" s="217" t="str">
        <f t="shared" si="849"/>
        <v>APARENTEMENTE NORMAL</v>
      </c>
      <c r="DD245" s="22">
        <v>45157</v>
      </c>
      <c r="DE245" s="22">
        <v>45157</v>
      </c>
      <c r="DF245" s="22"/>
      <c r="DG245" s="22"/>
      <c r="DH245" s="22"/>
      <c r="DI245" s="22"/>
      <c r="DJ245" s="22"/>
      <c r="DK245" s="22"/>
      <c r="DL245" s="22"/>
      <c r="DM245" s="22"/>
      <c r="DN245" s="22"/>
      <c r="DO245" s="22"/>
      <c r="DP245" s="22"/>
      <c r="DQ245" s="22"/>
      <c r="DR245" s="28"/>
      <c r="DS245" s="22"/>
      <c r="DT245" s="22"/>
      <c r="DU245" s="216" t="str">
        <f t="shared" ca="1" si="917"/>
        <v>EN ESPERA</v>
      </c>
      <c r="DV245" s="226" t="str">
        <f t="shared" si="918"/>
        <v>ACTIVA INGRESO A CPN</v>
      </c>
      <c r="DW245"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5" s="216" t="e">
        <f t="shared" ca="1" si="850"/>
        <v>#REF!</v>
      </c>
      <c r="DY245" s="212">
        <f>IF(R245="","",IF(R245&gt;0,MAX(Tabla1[[#This Row],[FECHA C2]:[FECHA C13]],Tabla1[[#This Row],[FECHA CONSULTA PRIMERA VEZ PROGRAMA CPN ]])))</f>
        <v>45157</v>
      </c>
      <c r="DZ245" s="216">
        <f t="shared" si="851"/>
        <v>12</v>
      </c>
      <c r="EA245" s="222">
        <f>IF(R245&gt;0,SUM(COUNTA(DF245:DQ245)+COUNTA(Tabla1[[#This Row],[FECHA CONSULTA PRIMERA VEZ PROGRAMA CPN ]])),"")</f>
        <v>1</v>
      </c>
      <c r="EB245" s="222" t="str">
        <f t="shared" si="852"/>
        <v>NO</v>
      </c>
      <c r="EC245" s="214">
        <f t="shared" si="853"/>
        <v>8</v>
      </c>
      <c r="ED245" s="227">
        <f t="shared" si="854"/>
        <v>0.125</v>
      </c>
      <c r="EE245" s="22">
        <v>45157</v>
      </c>
      <c r="EF245" s="22"/>
      <c r="EG245" s="22">
        <v>45157</v>
      </c>
      <c r="EH245" s="22"/>
      <c r="EI245" s="22">
        <v>45157</v>
      </c>
      <c r="EJ245" s="22"/>
      <c r="EK245" s="22"/>
      <c r="EL245" s="21"/>
      <c r="EM245" s="21"/>
      <c r="EN245" s="22"/>
      <c r="EO245" s="222" t="str">
        <f t="shared" si="855"/>
        <v>TOMAR EXAMEN</v>
      </c>
      <c r="EP245" s="214" t="str">
        <f t="shared" si="856"/>
        <v/>
      </c>
      <c r="EQ245" s="216" t="str">
        <f t="shared" si="857"/>
        <v>POR DEFINIR</v>
      </c>
      <c r="ER245" s="24"/>
      <c r="ES245" s="22"/>
      <c r="ET245" s="29" t="str">
        <f t="shared" ca="1" si="919"/>
        <v>PROGRAMAR TOMA HEMOGLOBINA A SEM 28</v>
      </c>
      <c r="EU245" s="25" t="str">
        <f t="shared" si="858"/>
        <v/>
      </c>
      <c r="EV245" s="24"/>
      <c r="EW245" s="24"/>
      <c r="EX245" s="22"/>
      <c r="EY245" s="29" t="str">
        <f t="shared" si="1040"/>
        <v>TOMAR EXAMEN</v>
      </c>
      <c r="EZ245" s="25" t="str">
        <f t="shared" ca="1" si="1041"/>
        <v/>
      </c>
      <c r="FA245" s="21"/>
      <c r="FB245" s="22"/>
      <c r="FC245" s="29" t="str">
        <f t="shared" si="859"/>
        <v>TOMAR EXAMEN</v>
      </c>
      <c r="FD245" s="29"/>
      <c r="FE245" s="29"/>
      <c r="FF245" s="29"/>
      <c r="FG245" s="21" t="str">
        <f t="shared" ca="1" si="860"/>
        <v>PROGRAMAR TOMA PTOG SIGUIENTE CONTROL</v>
      </c>
      <c r="FH245" s="31"/>
      <c r="FI245" s="29" t="str">
        <f t="shared" si="861"/>
        <v>TOMAR EXAMEN</v>
      </c>
      <c r="FJ245" s="22"/>
      <c r="FK245" s="22"/>
      <c r="FL245" s="29" t="str">
        <f t="shared" ca="1" si="862"/>
        <v>PIERDE TOMA DE TAMIZAJE</v>
      </c>
      <c r="FM245" s="22"/>
      <c r="FN245" s="32"/>
      <c r="FO245" s="29" t="str">
        <f t="shared" ca="1" si="920"/>
        <v>EN RANGO PARA TOMAR EXAMEN</v>
      </c>
      <c r="FP245" s="22"/>
      <c r="FQ245" s="32"/>
      <c r="FR245" s="29" t="str">
        <f t="shared" ca="1" si="921"/>
        <v>EN ESPERA-ESTÁ I TRIM O II TRIM</v>
      </c>
      <c r="FS245" s="22"/>
      <c r="FT245" s="32"/>
      <c r="FU245" s="29" t="str">
        <f>IF(AND(FJ245="",FM245="",FP245="",FS245=""),"",IF(OR(OR(Tabla1[[#This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5" s="28"/>
      <c r="FW245" s="22"/>
      <c r="FX245" s="29" t="str">
        <f t="shared" si="863"/>
        <v>TOMAR EXAMEN</v>
      </c>
      <c r="FY245" s="22"/>
      <c r="FZ245" s="22"/>
      <c r="GA245" s="29" t="str">
        <f t="shared" ref="GA245" ca="1" si="1048">IF(AND(BT245="ERROR FUM O INGRESO",FZ245&gt;0),"ERROR FUM O INGRESO",IF(AND(FZ245="",R245="",O245=""),"",IF(OR(AND(FZ245&lt;&gt;"",FZ245&lt;RW245),AND(FZ245&lt;&gt;"",AND(SUM((FZ245-RW245)/7)&gt;=13,SUM((FZ245-RW245)/7)&lt;27))),"REGISTRAR EN II TRIMESTRE",IF(OR(AND(FZ245&lt;&gt;"",FZ245&lt;RW245),AND(FZ245&lt;&gt;"",AND(SUM((FZ245-RW245)/7)&gt;=27,SUM((FZ245-RW245)/7)&lt;44))),"REGISTRAR EN III TRIMESTRE",IF(AND(FZ245="",OR(O245&gt;0,R245&gt;0),AND(BU245&gt;1,BU245&lt;10)),"EN RANGO PARA TOMAR EXAMEN",IF(AND(FZ245="",OR(O245&gt;0,R245&gt;0),AND(BU245&gt;=10,BU245&lt;12)),"TOMA INMEDIATA DE TAMIZAJE",IF(AND(FZ245="",BS245&lt;12,OR(O245&gt;0,R245&gt;0)),"PIERDE TOMA DE TAMIZAJE",IF(AND(FZ245="",OR(O245&gt;0,R245&gt;0),AND(BS245&gt;=13,BS245&lt;44)),"NO APLICA-INGRESO TARDIO",IF(FZ245&gt;0,SUM(FZ245-RW245)/7,"")))))))))</f>
        <v/>
      </c>
      <c r="GB245" s="22"/>
      <c r="GC245" s="22"/>
      <c r="GD245" s="29" t="str">
        <f t="shared" ca="1" si="1045"/>
        <v>EN RANGO PARA TOMAR EXAMEN</v>
      </c>
      <c r="GE245" s="22"/>
      <c r="GF245" s="22"/>
      <c r="GG245" s="29" t="str">
        <f t="shared" ca="1" si="923"/>
        <v>EN ESPERA-ESTÁ I TRIM O II TRIM</v>
      </c>
      <c r="GH245" s="22"/>
      <c r="GI245" s="29"/>
      <c r="GJ245" s="22"/>
      <c r="GK245" s="22"/>
      <c r="GL245" s="22"/>
      <c r="GM245" s="22"/>
      <c r="GN245" s="28"/>
      <c r="GO245" s="22"/>
      <c r="GP245" s="29" t="str">
        <f t="shared" si="864"/>
        <v>TOMAR EXAMEN</v>
      </c>
      <c r="GQ245" s="28"/>
      <c r="GR245" s="28"/>
      <c r="GS245" s="22" t="str">
        <f t="shared" si="1044"/>
        <v/>
      </c>
      <c r="GT245" s="22"/>
      <c r="GU245" s="29" t="str">
        <f t="shared" si="865"/>
        <v>TOMAR EXAMEN</v>
      </c>
      <c r="GV245" s="21" t="str">
        <f t="shared" si="866"/>
        <v>POR DEFINIR</v>
      </c>
      <c r="GW245" s="28"/>
      <c r="GX245" s="30"/>
      <c r="GY245" s="21"/>
      <c r="GZ245" s="21"/>
      <c r="HA245" s="21"/>
      <c r="HB245" s="21"/>
      <c r="HC245" s="21"/>
      <c r="HD245" s="21"/>
      <c r="HE245" s="21"/>
      <c r="HF245" s="22"/>
      <c r="HG245" s="22" t="str">
        <f>IF(OR(O245&gt;0,R245&gt;0),CONCATENATE(IF(Tabla1[[#This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5" s="22" t="e">
        <f t="shared" si="867"/>
        <v>#REF!</v>
      </c>
      <c r="HI245" s="22" t="e">
        <f t="shared" ca="1" si="868"/>
        <v>#REF!</v>
      </c>
      <c r="HJ245" s="21"/>
      <c r="HK245" s="21" t="str">
        <f t="shared" si="869"/>
        <v>SIN ANTECEDENTES DE RIESGO</v>
      </c>
      <c r="HL245" s="24" t="str">
        <f t="shared" si="870"/>
        <v>APARENTEMENTE NORMAL</v>
      </c>
      <c r="HM245" s="21" t="e">
        <f t="shared" ca="1" si="871"/>
        <v>#REF!</v>
      </c>
      <c r="HN245" s="30" t="str">
        <f t="shared" si="924"/>
        <v>ACTIVA INGRESO A CPN</v>
      </c>
      <c r="HO245" s="21"/>
      <c r="HP245" s="21"/>
      <c r="HQ245" s="349"/>
      <c r="HR245" s="21" t="str">
        <f>IF(R245="","",IF(Tabla1[[#This Row],[ALARMA FACTORES DE RIESGO COMPLICACIONES HIPERTENSIVAS3]]="SIN ANTECEDENTES DE RIESGO","No Aplica para suministro de ASA",IF(AND(Tabla1[[#This Row],[FECHA INICIO DE SUMINISTRO DE ASA]]&gt;0,RV245&lt;12),"Inicia ASA ANTES de Sem 12",IF(AND(RV245&gt;11,RV245&lt;17,OR(HK245="RIESGO ALTO DE COMPLICACIONES HIPERTENSIVAS VER MANEJO GUIA SUMINISTRO ASA Y CALCIO",HK245="RIESGO MODERADO (2 O MAS CRITERIOS) VER MANEJO GUIA SUMINISTRO ASA Y CALCIO")),"Inicio oportuno de ASA",IF(AND(RV245&gt;12,OR(HK245="RIESGO ALTO DE COMPLICACIONES HIPERTENSIVAS VER MANEJO GUIA SUMINISTRO ASA Y CALCIO",HK245="RIESGO MODERADO (2 O MAS CRITERIOS) VER MANEJO GUIA SUMINISTRO ASA Y CALCIO")),"Inicio no oportuno mayor a 16 semanas",IF(AND(BU245&lt;12,OR(HK245="RIESGO ALTO DE COMPLICACIONES HIPERTENSIVAS VER MANEJO GUIA SUMINISTRO ASA Y CALCIO",HK245="RIESGO MODERADO (2 O MAS CRITERIOS) VER MANEJO GUIA SUMINISTRO ASA Y CALCIO")),"Pendiente Inicio de ASA a la semana 12",IF(AND(BU245&gt;11,BU245&lt;17,OR(HK245="RIESGO ALTO DE COMPLICACIONES HIPERTENSIVAS VER MANEJO GUIA SUMINISTRO ASA Y CALCIO",HK245="RIESGO MODERADO (2 O MAS CRITERIOS) VER MANEJO GUIA SUMINISTRO ASA Y CALCIO")),"Iniciar de inmediato ASA",IF(AND(BU245&gt;16,OR(HK245="RIESGO ALTO DE COMPLICACIONES HIPERTENSIVAS VER MANEJO GUIA SUMINISTRO ASA Y CALCIO",HK245="RIESGO MODERADO (2 O MAS CRITERIOS) VER MANEJO GUIA SUMINISTRO ASA Y CALCIO")),"Pierde Oportunidad, Inicio tardío de ASA","XXXXX"))))))))</f>
        <v>No Aplica para suministro de ASA</v>
      </c>
      <c r="HS245" s="22"/>
      <c r="HT245" s="22"/>
      <c r="HU245" s="22"/>
      <c r="HV245" s="22"/>
      <c r="HW245" s="22">
        <v>45157</v>
      </c>
      <c r="HX245" s="22" t="s">
        <v>1511</v>
      </c>
      <c r="HY245" s="22"/>
      <c r="HZ245" s="28" t="str">
        <f t="shared" si="872"/>
        <v>PENDIENTE CONSULTA</v>
      </c>
      <c r="IA245" s="26"/>
      <c r="IB245" s="26"/>
      <c r="IC245" s="111"/>
      <c r="ID245" s="22"/>
      <c r="IE245" s="22" t="str">
        <f t="shared" ca="1" si="873"/>
        <v>PROGRAMAR APLICACION DE VACUNA</v>
      </c>
      <c r="IF245" s="22"/>
      <c r="IG245" s="22">
        <f t="shared" si="874"/>
        <v>45350</v>
      </c>
      <c r="IH245" s="29">
        <f t="shared" ca="1" si="875"/>
        <v>117</v>
      </c>
      <c r="II245" s="22" t="str">
        <f t="shared" ca="1" si="876"/>
        <v>PENDIENTE</v>
      </c>
      <c r="IJ245" s="22"/>
      <c r="IK245" s="21"/>
      <c r="IL245" s="21"/>
      <c r="IM245" s="34"/>
      <c r="IN245" s="22"/>
      <c r="IO245" s="21"/>
      <c r="IP245" s="29" t="str">
        <f t="shared" si="877"/>
        <v/>
      </c>
      <c r="IQ245" s="35"/>
      <c r="IR245" s="21"/>
      <c r="IS245" s="21"/>
      <c r="IT245" s="21"/>
      <c r="IU245" s="21"/>
      <c r="IV245" s="21"/>
      <c r="IW245" s="21"/>
      <c r="IX245" s="21"/>
      <c r="IY245" s="21"/>
      <c r="IZ245" s="21"/>
      <c r="JA245" s="21"/>
      <c r="JB245" s="30"/>
      <c r="JC245" s="21"/>
      <c r="JD245" s="36"/>
      <c r="JE245" s="21" t="str">
        <f t="shared" si="878"/>
        <v/>
      </c>
      <c r="JF245" s="30"/>
      <c r="JG245" s="21"/>
      <c r="JH245" s="21"/>
      <c r="JI245" s="21"/>
      <c r="JJ245" s="30"/>
      <c r="JK245" s="22"/>
      <c r="JL245" s="22"/>
      <c r="JM245" s="21"/>
      <c r="JN245" s="36"/>
      <c r="JO245" s="21" t="str">
        <f t="shared" si="879"/>
        <v/>
      </c>
      <c r="JP245" s="22"/>
      <c r="JQ245" s="21"/>
      <c r="JR245" s="21"/>
      <c r="JS245" s="21"/>
      <c r="JT245" s="30"/>
      <c r="JU245" s="22"/>
      <c r="JV245" s="22"/>
      <c r="JW245" s="33"/>
      <c r="JX245" s="28" t="str">
        <f t="shared" si="880"/>
        <v/>
      </c>
      <c r="JY245" s="33"/>
      <c r="JZ245" s="28" t="str">
        <f t="shared" si="881"/>
        <v/>
      </c>
      <c r="KA245" s="21"/>
      <c r="KB245" s="21"/>
      <c r="KC245" s="21"/>
      <c r="KD245" s="37"/>
      <c r="KE245" s="28"/>
      <c r="KF245" s="28"/>
      <c r="KG245" s="28"/>
      <c r="KH245" s="39"/>
      <c r="KI245" s="39"/>
      <c r="KJ245" s="66"/>
      <c r="KK245" s="39"/>
      <c r="KL245" s="39"/>
      <c r="KM245" s="66"/>
      <c r="KN245" s="39"/>
      <c r="KO245" s="39"/>
      <c r="KP245" s="39"/>
      <c r="KQ245" s="39"/>
      <c r="KR245" s="39"/>
      <c r="KS245" s="39"/>
      <c r="KT245" s="39"/>
      <c r="KU245" s="38"/>
      <c r="KV245" s="38"/>
      <c r="KW245" s="38"/>
      <c r="KX245" s="38"/>
      <c r="KY245" s="38"/>
      <c r="KZ245" s="38"/>
      <c r="LA245" s="38"/>
      <c r="LB245" s="38"/>
      <c r="LC245" s="38"/>
      <c r="LD245" s="38"/>
      <c r="LE245" s="38"/>
      <c r="LF245" s="38"/>
      <c r="LG245" s="38"/>
      <c r="LH245" s="38"/>
      <c r="LI245" s="38"/>
      <c r="LJ245" s="38"/>
      <c r="LK245" s="38"/>
      <c r="LL245" s="38"/>
      <c r="LM245" s="38"/>
      <c r="LN245" s="38"/>
      <c r="LO245" s="38"/>
      <c r="LP245" s="38"/>
      <c r="LQ245" s="38"/>
      <c r="LR245" s="38"/>
      <c r="LS245" s="38"/>
      <c r="LT245" s="38"/>
      <c r="LU245" s="38"/>
      <c r="LV245" s="38"/>
      <c r="LW245" s="38"/>
      <c r="LX245" s="38"/>
      <c r="LY245" s="38"/>
      <c r="LZ245" s="38"/>
      <c r="MA245" s="38"/>
      <c r="MB245" s="38"/>
      <c r="MC245" s="38"/>
      <c r="MD245" s="38"/>
      <c r="ME245" s="38"/>
      <c r="MF245" s="38"/>
      <c r="MG245" s="38"/>
      <c r="MH245" s="43">
        <f t="shared" si="882"/>
        <v>0</v>
      </c>
      <c r="MI245" s="43" t="str">
        <f t="shared" si="926"/>
        <v/>
      </c>
      <c r="MJ245" s="43" t="str">
        <f t="shared" si="884"/>
        <v/>
      </c>
      <c r="MK245" s="43">
        <f t="shared" si="885"/>
        <v>0</v>
      </c>
      <c r="ML245"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5" s="43">
        <f t="shared" si="927"/>
        <v>12.428571428571429</v>
      </c>
      <c r="MN245" s="43">
        <f t="shared" si="928"/>
        <v>8</v>
      </c>
      <c r="MO245" s="43">
        <f t="shared" si="929"/>
        <v>2023</v>
      </c>
      <c r="MP245" s="43" t="str">
        <f t="shared" si="889"/>
        <v>III TRIMESTRE AÑO</v>
      </c>
      <c r="MQ245" s="43">
        <f t="shared" si="930"/>
        <v>37.341217696014013</v>
      </c>
      <c r="MR245" s="43">
        <f t="shared" si="891"/>
        <v>2</v>
      </c>
      <c r="MS245" s="43" t="str">
        <f t="shared" si="892"/>
        <v xml:space="preserve"> DE 35 A 39 AÑOS</v>
      </c>
      <c r="MT245" s="43">
        <f t="shared" si="893"/>
        <v>1</v>
      </c>
      <c r="MU245" s="43">
        <f t="shared" si="894"/>
        <v>0</v>
      </c>
      <c r="MV245" s="43">
        <f t="shared" si="895"/>
        <v>0</v>
      </c>
      <c r="MW245" s="43">
        <f t="shared" si="896"/>
        <v>0</v>
      </c>
      <c r="MX245" s="43" t="str">
        <f t="shared" si="897"/>
        <v/>
      </c>
      <c r="MY245" s="43" t="str">
        <f t="shared" ca="1" si="898"/>
        <v/>
      </c>
      <c r="MZ245" s="43" t="str">
        <f t="shared" si="899"/>
        <v/>
      </c>
      <c r="NA245" s="43" t="str">
        <f t="shared" si="900"/>
        <v/>
      </c>
      <c r="NB245" s="43" t="str">
        <f t="shared" si="901"/>
        <v/>
      </c>
      <c r="NC245" s="43" t="str">
        <f t="shared" si="902"/>
        <v/>
      </c>
      <c r="ND245" s="43">
        <f t="shared" ca="1" si="931"/>
        <v>3</v>
      </c>
      <c r="NE245" s="43">
        <f>IF(OR(O245&gt;0,R245&gt;0),SUM(COUNTIF(Tabla1[[#This Row],[AÑOS AL INICIO5 CPN]],"&gt;=40"),COUNTIF(AS245,"0"),COUNTIF(AR245,"SI"),COUNTIF(CC245,"SI"),COUNTIF(BQ245,"&gt;119"),COUNTIF(CI245,"&gt;=35")),"")</f>
        <v>0</v>
      </c>
      <c r="NF245" s="43" t="str">
        <f t="shared" si="932"/>
        <v/>
      </c>
      <c r="NG245" s="43">
        <f t="shared" si="905"/>
        <v>0</v>
      </c>
      <c r="NH245" s="43" t="str">
        <f t="shared" si="906"/>
        <v/>
      </c>
      <c r="NI245"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CPN",P245="NO"),"Z",IF(AND(Tabla1[[#This Row],[CITA PROXIMO CONTROL]]="CITA MANUAL",Tabla1[[#This Row],[GESTANTES ACTUALES]]="ACTIVA INGRESO A CPN"),"W",IF(AND(Tabla1[[#This Row],[GESTANTES ACTUALES]]="SALIO PROGRAMA",IN245=""),"S",IF(AND(Tabla1[[#This Row],[CITA PROXIMO CONTROL]]&gt;0,IN245=""),(Tabla1[[#This Row],[CITA PROXIMO CONTROL]]-TODAY()),"SD"))))))))</f>
        <v>#REF!</v>
      </c>
      <c r="NJ245" s="43">
        <f>MONTH(Tabla1[[#This Row],[FECHA DE SALIDA  DEL PROGRAMA]])</f>
        <v>1</v>
      </c>
      <c r="NK245" s="43">
        <f>YEAR(Tabla1[[#This Row],[FECHA DE SALIDA  DEL PROGRAMA]])</f>
        <v>1900</v>
      </c>
      <c r="NL245" s="43" t="str">
        <f t="shared" si="933"/>
        <v>X</v>
      </c>
      <c r="NM245" s="43" t="str">
        <f t="shared" si="938"/>
        <v>NO</v>
      </c>
      <c r="NN245" s="43" t="str">
        <f ca="1">IF(AND(O245&gt;0,R245=""),"NO CPN",IF(AND(O245="",R245=""),"",IF(AND(R245&gt;0,Tabla1[[#This Row],[SEMANAS DE GESTACION ACTUALIZADAS]]&lt;=12),"NO APLICA",IF(AND(FH245&lt;&gt;"",FN245&lt;&gt;""),"SI","NO"))))</f>
        <v>NO</v>
      </c>
      <c r="NO245" s="43" t="str">
        <f ca="1">IF(AND(O245&gt;0,R245=""),"NO CPN",IF(AND(O245="",R245=""),"",IF(AND(R245&gt;0,Tabla1[[#This Row],[SEMANAS DE GESTACION ACTUALIZADAS]]&lt;=27),"NO APLICA",IF(AND(ES245&lt;&gt;"",FQ245&lt;&gt;"",GF245&lt;&gt;""),"SI","NO"))))</f>
        <v>NO APLICA</v>
      </c>
      <c r="NP245" s="204" t="str">
        <f t="shared" si="909"/>
        <v>II TRIM</v>
      </c>
      <c r="NQ245" s="21" t="str">
        <f t="shared" si="1043"/>
        <v/>
      </c>
      <c r="NR245" s="21">
        <f t="shared" ca="1" si="934"/>
        <v>1</v>
      </c>
      <c r="NS245" s="205">
        <f t="shared" ca="1" si="911"/>
        <v>0</v>
      </c>
      <c r="NT245" s="21">
        <f t="shared" ca="1" si="912"/>
        <v>0</v>
      </c>
      <c r="NU245" s="21" t="str">
        <f t="shared" ca="1" si="913"/>
        <v>INCOMPLETO</v>
      </c>
      <c r="NV245" s="21" t="str">
        <f t="shared" ca="1" si="914"/>
        <v>INCOMPLETO</v>
      </c>
      <c r="NW245" s="206" t="str">
        <f>IF(AND(O245="",R245=""),"",IF(OR(AND(Tabla1[[#This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5" s="207" t="str">
        <f t="shared" ca="1" si="935"/>
        <v>SIN VACUNAR</v>
      </c>
      <c r="NY245" s="43">
        <f>ROW(Tabla1[[#This Row],['# DE TAMIZAJES SIFILIS TOMADOS ]])</f>
        <v>245</v>
      </c>
      <c r="NZ245" s="43">
        <f t="shared" si="939"/>
        <v>12</v>
      </c>
      <c r="OA245" s="43" t="str">
        <f t="shared" si="940"/>
        <v/>
      </c>
      <c r="OB245" s="43" t="str">
        <f t="shared" si="941"/>
        <v/>
      </c>
      <c r="OC245" s="43" t="str">
        <f t="shared" si="942"/>
        <v/>
      </c>
      <c r="OD245" s="43" t="str">
        <f t="shared" si="943"/>
        <v>NORMAL</v>
      </c>
      <c r="OE245" s="43" t="str">
        <f t="shared" si="944"/>
        <v/>
      </c>
      <c r="OF245" s="43" t="str">
        <f t="shared" si="945"/>
        <v/>
      </c>
      <c r="OG245" s="43" t="str">
        <f t="shared" si="946"/>
        <v/>
      </c>
      <c r="OH245" s="43" t="str">
        <f t="shared" si="947"/>
        <v/>
      </c>
      <c r="OI245" s="43" t="str">
        <f t="shared" si="948"/>
        <v/>
      </c>
      <c r="OJ245" s="43" t="str">
        <f t="shared" si="949"/>
        <v/>
      </c>
      <c r="OK245" s="43" t="str">
        <f t="shared" si="950"/>
        <v/>
      </c>
      <c r="OL245" s="43" t="str">
        <f t="shared" si="951"/>
        <v/>
      </c>
      <c r="OM245" s="43" t="str">
        <f t="shared" si="952"/>
        <v/>
      </c>
      <c r="ON245" s="43" t="str">
        <f t="shared" si="953"/>
        <v/>
      </c>
      <c r="OO245" s="43" t="str">
        <f t="shared" si="954"/>
        <v/>
      </c>
      <c r="OP245" s="43" t="str">
        <f t="shared" si="955"/>
        <v/>
      </c>
      <c r="OQ245" s="43" t="str">
        <f t="shared" si="956"/>
        <v/>
      </c>
      <c r="OR245" s="43" t="str">
        <f t="shared" si="957"/>
        <v/>
      </c>
      <c r="OS245" s="43" t="str">
        <f t="shared" si="958"/>
        <v/>
      </c>
      <c r="OT245" s="43" t="str">
        <f t="shared" si="959"/>
        <v/>
      </c>
      <c r="OU245" s="43" t="str">
        <f t="shared" si="960"/>
        <v/>
      </c>
      <c r="OV245" s="110" t="str">
        <f t="shared" si="961"/>
        <v/>
      </c>
      <c r="OW245" s="43" t="str">
        <f t="shared" si="962"/>
        <v/>
      </c>
      <c r="OX245" s="43" t="str">
        <f t="shared" si="963"/>
        <v/>
      </c>
      <c r="OY245" s="43" t="str">
        <f t="shared" si="964"/>
        <v/>
      </c>
      <c r="OZ245" s="43" t="str">
        <f t="shared" si="965"/>
        <v/>
      </c>
      <c r="PA245" s="43" t="str">
        <f t="shared" si="966"/>
        <v/>
      </c>
      <c r="PB245" s="43" t="str">
        <f t="shared" si="967"/>
        <v/>
      </c>
      <c r="PC245" s="43" t="str">
        <f t="shared" si="968"/>
        <v/>
      </c>
      <c r="PD245" s="43" t="str">
        <f t="shared" si="969"/>
        <v/>
      </c>
      <c r="PE245" s="43" t="str">
        <f t="shared" si="970"/>
        <v/>
      </c>
      <c r="PF245" s="43" t="str">
        <f t="shared" si="971"/>
        <v/>
      </c>
      <c r="PG245" s="43" t="str">
        <f t="shared" si="972"/>
        <v/>
      </c>
      <c r="PH245" s="43" t="str">
        <f t="shared" si="973"/>
        <v/>
      </c>
      <c r="PI245" s="43">
        <f t="shared" si="974"/>
        <v>12</v>
      </c>
      <c r="PJ245" s="43" t="str">
        <f t="shared" si="975"/>
        <v/>
      </c>
      <c r="PK245" s="43" t="str">
        <f t="shared" si="976"/>
        <v/>
      </c>
      <c r="PL245" s="43" t="str">
        <f t="shared" si="977"/>
        <v/>
      </c>
      <c r="PM245" s="43" t="str">
        <f t="shared" si="978"/>
        <v>NORMAL</v>
      </c>
      <c r="PN245" s="43" t="str">
        <f t="shared" si="979"/>
        <v/>
      </c>
      <c r="PO245" s="43" t="str">
        <f t="shared" si="980"/>
        <v/>
      </c>
      <c r="PP245" s="43" t="str">
        <f t="shared" si="981"/>
        <v/>
      </c>
      <c r="PQ245" s="43" t="str">
        <f t="shared" si="982"/>
        <v/>
      </c>
      <c r="PR245" s="43" t="str">
        <f t="shared" si="983"/>
        <v/>
      </c>
      <c r="PS245" s="43" t="str">
        <f t="shared" si="984"/>
        <v/>
      </c>
      <c r="PT245" s="43" t="str">
        <f t="shared" si="985"/>
        <v/>
      </c>
      <c r="PU245" s="43" t="str">
        <f t="shared" si="986"/>
        <v/>
      </c>
      <c r="PV245" s="43" t="str">
        <f t="shared" si="987"/>
        <v/>
      </c>
      <c r="PW245" s="43" t="str">
        <f t="shared" si="988"/>
        <v/>
      </c>
      <c r="PX245" s="43" t="str">
        <f t="shared" si="989"/>
        <v/>
      </c>
      <c r="PY245" s="43" t="str">
        <f t="shared" si="990"/>
        <v/>
      </c>
      <c r="PZ245" s="43" t="str">
        <f t="shared" si="991"/>
        <v/>
      </c>
      <c r="QA245" s="43" t="str">
        <f t="shared" si="992"/>
        <v/>
      </c>
      <c r="QB245" s="43" t="str">
        <f t="shared" si="993"/>
        <v/>
      </c>
      <c r="QC245" s="43" t="str">
        <f t="shared" si="994"/>
        <v/>
      </c>
      <c r="QD245" s="43" t="str">
        <f t="shared" si="995"/>
        <v/>
      </c>
      <c r="QE245" s="43" t="str">
        <f t="shared" si="996"/>
        <v/>
      </c>
      <c r="QF245" s="43" t="str">
        <f t="shared" si="997"/>
        <v/>
      </c>
      <c r="QG245" s="43" t="str">
        <f t="shared" si="998"/>
        <v/>
      </c>
      <c r="QH245" s="43" t="str">
        <f t="shared" si="999"/>
        <v/>
      </c>
      <c r="QI245" s="43" t="str">
        <f t="shared" si="1000"/>
        <v/>
      </c>
      <c r="QJ245" s="43" t="str">
        <f t="shared" si="1001"/>
        <v/>
      </c>
      <c r="QK245" s="43" t="str">
        <f t="shared" si="1002"/>
        <v/>
      </c>
      <c r="QL245" s="43" t="str">
        <f t="shared" si="1003"/>
        <v/>
      </c>
      <c r="QM245" s="43" t="str">
        <f t="shared" si="1004"/>
        <v/>
      </c>
      <c r="QN245" s="43" t="str">
        <f t="shared" si="1005"/>
        <v/>
      </c>
      <c r="QO245" s="43" t="str">
        <f t="shared" si="1006"/>
        <v/>
      </c>
      <c r="QP245" s="43" t="str">
        <f t="shared" si="1007"/>
        <v/>
      </c>
      <c r="QQ245" s="43" t="str">
        <f t="shared" si="1008"/>
        <v/>
      </c>
      <c r="QR245" s="43" t="str">
        <f t="shared" si="1009"/>
        <v>Menor</v>
      </c>
      <c r="QS245" s="43"/>
      <c r="QT245" s="21" t="str">
        <f t="shared" si="1010"/>
        <v/>
      </c>
      <c r="QU245" s="21" t="str">
        <f t="shared" si="1011"/>
        <v/>
      </c>
      <c r="QV245" s="21" t="str">
        <f t="shared" si="1012"/>
        <v/>
      </c>
      <c r="QW245" s="21" t="str">
        <f t="shared" si="1013"/>
        <v/>
      </c>
      <c r="QX245" s="21" t="str">
        <f t="shared" si="1014"/>
        <v/>
      </c>
      <c r="QY245" s="21" t="str">
        <f t="shared" si="1015"/>
        <v/>
      </c>
      <c r="QZ245" s="21" t="str">
        <f t="shared" si="1016"/>
        <v/>
      </c>
      <c r="RA245" s="21" t="str">
        <f t="shared" si="1017"/>
        <v/>
      </c>
      <c r="RB245" s="21" t="str">
        <f t="shared" si="1018"/>
        <v/>
      </c>
      <c r="RC245" s="21" t="str">
        <f t="shared" si="1019"/>
        <v/>
      </c>
      <c r="RD245" s="21" t="str">
        <f t="shared" si="1020"/>
        <v/>
      </c>
      <c r="RE245" s="21" t="str">
        <f t="shared" si="1021"/>
        <v/>
      </c>
      <c r="RF245" s="21" t="str">
        <f t="shared" si="1022"/>
        <v/>
      </c>
      <c r="RG245" s="21" t="str">
        <f t="shared" si="1023"/>
        <v/>
      </c>
      <c r="RH245" s="21" t="str">
        <f t="shared" si="1024"/>
        <v/>
      </c>
      <c r="RI245" s="21" t="str">
        <f t="shared" si="1025"/>
        <v/>
      </c>
      <c r="RJ245" s="21" t="str">
        <f t="shared" si="1026"/>
        <v/>
      </c>
      <c r="RK245" s="21" t="str">
        <f t="shared" si="1027"/>
        <v/>
      </c>
      <c r="RL245" s="21" t="str">
        <f t="shared" si="1028"/>
        <v/>
      </c>
      <c r="RM245" s="21" t="str">
        <f t="shared" si="1029"/>
        <v/>
      </c>
      <c r="RN245" s="21" t="str">
        <f t="shared" si="1030"/>
        <v/>
      </c>
      <c r="RO245" s="21" t="str">
        <f t="shared" si="1031"/>
        <v/>
      </c>
      <c r="RP245" s="21" t="str">
        <f t="shared" si="1032"/>
        <v/>
      </c>
      <c r="RQ245" s="21" t="str">
        <f t="shared" si="1033"/>
        <v/>
      </c>
      <c r="RR245" s="21" t="str">
        <f t="shared" si="1034"/>
        <v/>
      </c>
      <c r="RS245" s="21" t="str">
        <f t="shared" si="1035"/>
        <v/>
      </c>
      <c r="RT245" s="21" t="str">
        <f t="shared" si="1036"/>
        <v/>
      </c>
      <c r="RU245" s="21" t="str">
        <f t="shared" si="1037"/>
        <v/>
      </c>
      <c r="RV245" s="21">
        <f t="shared" si="1038"/>
        <v>-1</v>
      </c>
      <c r="RW245" s="284">
        <f>IF(OR(Tabla1[[#This Row],[FUM FORMULA CONFIABLE]]="",Tabla1[[#This Row],[FUM FORMULA CONFIABLE]]="SD"),"",IF(Tabla1[[#This Row],[FUM FORMULA CONFIABLE]]="CORREGIDA",Tabla1[[#This Row],[FUM X ECO 1]],Tabla1[[#This Row],[FUM x AMENORREA]]))</f>
        <v>45070</v>
      </c>
      <c r="RX245" s="21" t="str">
        <f>IF(AND(Tabla1[[#This Row],[FUM X ECO 1]]="",Tabla1[[#This Row],[FUM x AMENORREA]]=""),"",IF(AND(Tabla1[[#This Row],[FUM X ECO 1]]="",Tabla1[[#This Row],[FUM x AMENORREA]]&lt;&gt;""),"X",SUM(Tabla1[[#This Row],[FUM X ECO 1]]-Tabla1[[#This Row],[FUM x AMENORREA]])))</f>
        <v>X</v>
      </c>
      <c r="RY245" s="21" t="str">
        <f t="shared" si="1039"/>
        <v>x</v>
      </c>
    </row>
    <row r="246" spans="1:493" ht="45" customHeight="1" x14ac:dyDescent="0.25">
      <c r="A246" s="109"/>
      <c r="B246" s="43"/>
      <c r="C246" s="43" t="s">
        <v>845</v>
      </c>
      <c r="D246" s="124"/>
      <c r="E246" s="43" t="s">
        <v>1677</v>
      </c>
      <c r="F246" s="43" t="s">
        <v>962</v>
      </c>
      <c r="G246" s="43" t="s">
        <v>1678</v>
      </c>
      <c r="H246" s="43" t="s">
        <v>1679</v>
      </c>
      <c r="I246" s="109" t="s">
        <v>1094</v>
      </c>
      <c r="J246" s="343" t="s">
        <v>1676</v>
      </c>
      <c r="K246" s="43" t="s">
        <v>904</v>
      </c>
      <c r="L246" s="175" t="s">
        <v>1509</v>
      </c>
      <c r="M246" s="22">
        <v>40479</v>
      </c>
      <c r="N246" s="213">
        <f t="shared" ca="1" si="839"/>
        <v>13.024657534246575</v>
      </c>
      <c r="O246" s="22">
        <v>45164</v>
      </c>
      <c r="P246" s="214" t="str">
        <f t="shared" si="916"/>
        <v>SI</v>
      </c>
      <c r="Q246" s="26" t="s">
        <v>855</v>
      </c>
      <c r="R246" s="22">
        <v>45164</v>
      </c>
      <c r="S246" s="21" t="s">
        <v>856</v>
      </c>
      <c r="T246" s="24" t="s">
        <v>690</v>
      </c>
      <c r="U246" s="21" t="s">
        <v>857</v>
      </c>
      <c r="V246" s="21" t="s">
        <v>858</v>
      </c>
      <c r="W246" s="21" t="s">
        <v>970</v>
      </c>
      <c r="X246" s="21" t="s">
        <v>970</v>
      </c>
      <c r="Y246" s="21"/>
      <c r="Z246" s="21">
        <v>3204109734</v>
      </c>
      <c r="AA246" s="21" t="s">
        <v>860</v>
      </c>
      <c r="AB246" s="27" t="s">
        <v>861</v>
      </c>
      <c r="AC246" s="26" t="s">
        <v>846</v>
      </c>
      <c r="AD246" s="21" t="s">
        <v>1546</v>
      </c>
      <c r="AE246" s="26" t="s">
        <v>854</v>
      </c>
      <c r="AF246" s="26" t="s">
        <v>854</v>
      </c>
      <c r="AG246" s="23" t="s">
        <v>864</v>
      </c>
      <c r="AH246" s="23" t="s">
        <v>864</v>
      </c>
      <c r="AI246" s="24" t="s">
        <v>863</v>
      </c>
      <c r="AJ246" s="23" t="s">
        <v>864</v>
      </c>
      <c r="AK246" s="220" t="str">
        <f>IF(AND(AD246="",AE246="",AF246="",AG246="",AH246="",AI246="",AJ246=""),"",IF(OR(Tabla1[[#This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EVALUACIÓN",IF(AND(O246="",R246=""),"",IF(AND(OR(O246&gt;0,R246&gt;0),NG246&gt;=0,NG246&lt;2),"SIN RIESGO",IF(AND(OR(O246&gt;0,R246&gt;0),NG246&gt;=2),"CON RIESGO","ASD")))))</f>
        <v>SIN RIESGO</v>
      </c>
      <c r="AL246" s="26" t="s">
        <v>864</v>
      </c>
      <c r="AM246" s="26" t="s">
        <v>864</v>
      </c>
      <c r="AN246" s="26" t="s">
        <v>864</v>
      </c>
      <c r="AO246" s="26" t="s">
        <v>864</v>
      </c>
      <c r="AP246" s="26" t="s">
        <v>864</v>
      </c>
      <c r="AQ246" s="26" t="s">
        <v>864</v>
      </c>
      <c r="AR246" s="26" t="s">
        <v>864</v>
      </c>
      <c r="AS246" s="21">
        <v>0</v>
      </c>
      <c r="AT246" s="21">
        <v>0</v>
      </c>
      <c r="AU246" s="21">
        <v>0</v>
      </c>
      <c r="AV246" s="26" t="s">
        <v>864</v>
      </c>
      <c r="AW246" s="21">
        <v>0</v>
      </c>
      <c r="AX246" s="26" t="s">
        <v>864</v>
      </c>
      <c r="AY246" s="26" t="s">
        <v>864</v>
      </c>
      <c r="AZ246" s="26" t="s">
        <v>864</v>
      </c>
      <c r="BA246" s="26" t="s">
        <v>864</v>
      </c>
      <c r="BB246" s="26" t="s">
        <v>864</v>
      </c>
      <c r="BC246" s="26" t="s">
        <v>864</v>
      </c>
      <c r="BD246" s="26" t="s">
        <v>864</v>
      </c>
      <c r="BE246" s="26" t="s">
        <v>864</v>
      </c>
      <c r="BF246" s="26" t="s">
        <v>864</v>
      </c>
      <c r="BG246" s="26" t="s">
        <v>864</v>
      </c>
      <c r="BH246" s="26" t="s">
        <v>864</v>
      </c>
      <c r="BI246" s="26" t="s">
        <v>864</v>
      </c>
      <c r="BJ246" s="26" t="s">
        <v>864</v>
      </c>
      <c r="BK246" s="26" t="s">
        <v>864</v>
      </c>
      <c r="BL246" s="26" t="s">
        <v>864</v>
      </c>
      <c r="BM246" s="26" t="s">
        <v>864</v>
      </c>
      <c r="BN246" s="22"/>
      <c r="BO246" s="22">
        <v>44965</v>
      </c>
      <c r="BP246" s="21" t="s">
        <v>864</v>
      </c>
      <c r="BQ246" s="222">
        <f t="shared" si="840"/>
        <v>0</v>
      </c>
      <c r="BR246" s="223" t="str">
        <f t="shared" si="841"/>
        <v/>
      </c>
      <c r="BS246" s="224">
        <f t="shared" si="842"/>
        <v>28.428571428571427</v>
      </c>
      <c r="BT246" s="216" t="str">
        <f t="shared" si="843"/>
        <v>DEFINIR CON ECO</v>
      </c>
      <c r="BU246" s="214">
        <f t="shared" ca="1" si="925"/>
        <v>38.285714285714285</v>
      </c>
      <c r="BV246" s="25"/>
      <c r="BW246" s="22"/>
      <c r="BX246" s="28"/>
      <c r="BY246" s="28"/>
      <c r="BZ246" s="22"/>
      <c r="CA246" s="21"/>
      <c r="CB246" s="26"/>
      <c r="CC246" s="26"/>
      <c r="CD246" s="26"/>
      <c r="CE246" s="26"/>
      <c r="CF246" s="22" t="s">
        <v>1517</v>
      </c>
      <c r="CG246" s="21">
        <v>1.41</v>
      </c>
      <c r="CH246" s="21">
        <v>22.1</v>
      </c>
      <c r="CI246" s="214">
        <f t="shared" si="845"/>
        <v>11.116141039183141</v>
      </c>
      <c r="CJ246" s="225" t="e">
        <f>IF(AND(CI246&lt;10,CH246="SD"),"SIN DATO PESO PREGESTACION O I TRIM",IF(AND(OR(R246&gt;0,O246&gt;0),CI246="X"),"INGRESAR DATO DE PESO",IF(CI246="SD","INGRESAR DATO DE TALLA Y PESO",IF(AND(OR(Tabla1[[#This Row],[MOMENTO EN QUE SE REALIZA EL PESO AL INGRESO A CPN]]="PREGESTACIÓN",NZ246="Menor"),CI246&lt;18.5),"BAJO PESO",IF(AND(OR(Tabla1[[#This Row],[MOMENTO EN QUE SE REALIZA EL PESO AL INGRESO A CPN]]="PREGESTACIÓN",NZ246="Menor"),CI246&lt;25),"NORMAL",IF(AND(OR(Tabla1[[#This Row],[MOMENTO EN QUE SE REALIZA EL PESO AL INGRESO A CPN]]="PREGESTACIÓN",NZ246="Menor"),CI246&lt;30),"SOBREPESO",IF(AND(OR(Tabla1[[#This Row],[MOMENTO EN QUE SE REALIZA EL PESO AL INGRESO A CPN]]="PREGESTACIÓN",NZ246="Menor"),CI246&gt;=30,CI246&lt;50),"OBESIDAD",IF(AND(BS246&gt;0,Tabla1[[#This Row],[MOMENTO EN QUE SE REALIZA EL PESO AL INGRESO A CPN]]="GESTACIÓN"),HLOOKUP(NZ246,$OA$2:PH246,NY246),""))))))))</f>
        <v>#REF!</v>
      </c>
      <c r="CK246" s="212">
        <f t="shared" si="846"/>
        <v>45164</v>
      </c>
      <c r="CL246" s="21">
        <v>22.1</v>
      </c>
      <c r="CM246" s="214">
        <f t="shared" si="847"/>
        <v>11.116141039183141</v>
      </c>
      <c r="CN246" s="216">
        <f t="shared" si="848"/>
        <v>28</v>
      </c>
      <c r="CO246" s="216" t="e">
        <f>IF(PI246="","",IF(PI246&gt;0,HLOOKUP(PI246,$PJ$2:QQ246,NY246),""))</f>
        <v>#REF!</v>
      </c>
      <c r="CP246" s="21">
        <v>26</v>
      </c>
      <c r="CQ246" s="216" t="e">
        <f>IF(QR246="Menor","NO APLICA-MENOR 13 SEM",IF(AND(CC246="SI",CN246&gt;23),"NO APLICA- GEMELAR",IF(QR246="","",IF(QR246&gt;0,HLOOKUP(QR246,$QS$2:RU246,NY246),""))))</f>
        <v>#REF!</v>
      </c>
      <c r="CR246" s="21"/>
      <c r="CS246" s="21"/>
      <c r="CT246" s="217" t="str">
        <f>IF(R246="","",IF(AND(BS246&gt;1,BS246&lt;12,Tabla1[[#This Row],[T.A. SISTOLICA - ANTES DE SEMANA 12]]="",Tabla1[[#This Row],[T.A. DIASTOLICA - ANTES DE SEMANA 12]]=""),"REGISTRE DATO TA ANTES SEMANA 12",IF(AND(BS246&gt;11,BS246&lt;43,Tabla1[[#This Row],[T.A. SISTOLICA - ANTES DE SEMANA 12]]="",Tabla1[[#This Row],[T.A. DIASTOLICA - ANTES DE SEMANA 12]]=""),"NO APLICA REGISTRO TA-INGRESO TARDIO",IF(AND(OR(O246&gt;0,R246&gt;0),OR(CR246&gt;=140,CS246&gt;=90)),"DEFINIR ESTADIO HTA",IF(AND(OR(O246&gt;0,R246&gt;0),AND(CR246&gt;120,CR246&lt;=139)),"PRE HTA SEGUIMIENTO",IF(AND(OR(O246&gt;0,R246&gt;0),AND(CS246&gt;80,CS246&lt;=89)),"PRE HTA SEGUIMIENTO",IF(AND(OR(O246&gt;0,R246&gt;0),AND(CR246&gt;=80,CR246&lt;=120)),"APARENTEMENTE NORMAL",IF(AND(OR(O246&gt;0,R246&gt;0),AND(CS246&gt;=50,CS246&lt;=80)),"APARENTEMENTE NORMAL",IF(AND(OR(O246&gt;0,R246&gt;0),AND(CR246&gt;1,CR246&lt;=70),AND(CS246&gt;1,CS246&lt;=40)),"HIPOTENSIÓN","")))))))))</f>
        <v>NO APLICA REGISTRO TA-INGRESO TARDIO</v>
      </c>
      <c r="CU246" s="21"/>
      <c r="CV246" s="21"/>
      <c r="CW246" s="217" t="str">
        <f ca="1">IF(R246="","",IF(AND(CN246&gt;19,CN246&lt;27,Tabla1[[#This Row],[T.A. SISTOLICA (Entre semana 20 y 26)]]="",Tabla1[[#This Row],[T.A. DIATOLICA (Entre semana 20 y 26)]]=""),"ACUDE A CONTROL SEM 20 A 26 REGISTRE TA AHORA",IF(AND(BS246&gt;1,BS246&lt;27,BU246&gt;19,Tabla1[[#This Row],[T.A. SISTOLICA (Entre semana 20 y 26)]]="",Tabla1[[#This Row],[T.A. DIATOLICA (Entre semana 20 y 26)]]=""),"COMPLETE REGISTRO TA CONTROL SEM 20 A26 ",IF(AND(BS246&gt;26,BS246&lt;43,Tabla1[[#This Row],[T.A. SISTOLICA (Entre semana 20 y 26)]]="",Tabla1[[#This Row],[T.A. DIATOLICA (Entre semana 20 y 26)]]=""),"NO APLICA REGISTRO TA-INGRESO TARDIO",IF(AND(OR(O246&gt;0,R246&gt;0),OR(CU246&gt;=140,CV246&gt;=90)),"ALTO RIESGO PREECLAMPSIA,DEFINIR ESTADIO HTA",IF(AND(OR(O246&gt;0,R246&gt;0),AND(CU246&gt;120,CU246&lt;=139)),"PRE HTA SEGUIMIENTO,RIESGO HIPERTENSION INDUCIDA POR EL EMBARAZO",IF(AND(OR(O246&gt;0,R246&gt;0),AND(CV246&gt;80,CV246&lt;=89)),"PRE HTA SEGUIMIENTO, RIESGO HIPERTENSION INDUCIDA POR EL EMBARAZO",IF(AND(OR(O246&lt;&gt;"",R246&lt;&gt;""),CS246&lt;&gt;"",CV246&lt;&gt;"",CS246&lt;=CV246),"VIGILAR CIFRAS PRESION ARTERIAL",IF(AND(OR(O246&gt;0,R246&gt;0),AND(CU246&gt;120,CU246&lt;=139)),"PRE HTA SEGUIMIENTO",IF(AND(OR(O246&gt;0,R246&gt;0),AND(CU246&gt;1,CU246&lt;=70),AND(CV246&gt;1,CV246&lt;=40)),"HIPOTENSIÓN",IF(AND(OR(O246&lt;&gt;"",R246&lt;&gt;""),CS246&lt;&gt;"",CV246&lt;&gt;"",CS246&gt;CV246),"APARENTEMENTE NORMAL",IF(AND(OR(O246&gt;0,R246&gt;0),AND(CU246&gt;=80,CU246&lt;=120)),"APARENTEMENTE NORMAL",IF(AND(OR(O246&gt;0,R246&gt;0),AND(CV246&gt;=50,CV246&lt;=80)),"APARENTEMENTE NORMAL","")))))))))))))</f>
        <v>NO APLICA REGISTRO TA-INGRESO TARDIO</v>
      </c>
      <c r="CX246" s="21"/>
      <c r="CY246" s="21"/>
      <c r="CZ246" s="216" t="str">
        <f t="shared" si="1042"/>
        <v/>
      </c>
      <c r="DA246" s="21">
        <v>90</v>
      </c>
      <c r="DB246" s="21">
        <v>60</v>
      </c>
      <c r="DC246" s="217" t="str">
        <f t="shared" si="849"/>
        <v>APARENTEMENTE NORMAL</v>
      </c>
      <c r="DD246" s="22">
        <v>45164</v>
      </c>
      <c r="DE246" s="22">
        <v>45164</v>
      </c>
      <c r="DF246" s="22"/>
      <c r="DG246" s="22"/>
      <c r="DH246" s="22"/>
      <c r="DI246" s="22"/>
      <c r="DJ246" s="22"/>
      <c r="DK246" s="22"/>
      <c r="DL246" s="22"/>
      <c r="DM246" s="22"/>
      <c r="DN246" s="22"/>
      <c r="DO246" s="22"/>
      <c r="DP246" s="22"/>
      <c r="DQ246" s="22"/>
      <c r="DR246" s="28"/>
      <c r="DS246" s="22"/>
      <c r="DT246" s="22"/>
      <c r="DU246" s="216" t="str">
        <f t="shared" ca="1" si="917"/>
        <v>CONCERTAR PLAN DE PARTO INMEDIATO</v>
      </c>
      <c r="DV246" s="226" t="str">
        <f t="shared" si="918"/>
        <v>ACTIVA INGRESO A CPN</v>
      </c>
      <c r="DW246"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6" s="216" t="e">
        <f t="shared" ca="1" si="850"/>
        <v>#REF!</v>
      </c>
      <c r="DY246" s="212">
        <f>IF(R246="","",IF(R246&gt;0,MAX(Tabla1[[#This Row],[FECHA C2]:[FECHA C13]],Tabla1[[#This Row],[FECHA CONSULTA PRIMERA VEZ PROGRAMA CPN ]])))</f>
        <v>45164</v>
      </c>
      <c r="DZ246" s="216">
        <f t="shared" si="851"/>
        <v>28</v>
      </c>
      <c r="EA246" s="222">
        <f>IF(R246&gt;0,SUM(COUNTA(DF246:DQ246)+COUNTA(Tabla1[[#This Row],[FECHA CONSULTA PRIMERA VEZ PROGRAMA CPN ]])),"")</f>
        <v>1</v>
      </c>
      <c r="EB246" s="222" t="str">
        <f t="shared" si="852"/>
        <v>NO</v>
      </c>
      <c r="EC246" s="214">
        <f t="shared" si="853"/>
        <v>4</v>
      </c>
      <c r="ED246" s="227">
        <f t="shared" si="854"/>
        <v>0.25</v>
      </c>
      <c r="EE246" s="22">
        <v>45164</v>
      </c>
      <c r="EF246" s="22">
        <v>45164</v>
      </c>
      <c r="EG246" s="22">
        <v>45164</v>
      </c>
      <c r="EH246" s="22"/>
      <c r="EI246" s="22">
        <v>45164</v>
      </c>
      <c r="EJ246" s="22"/>
      <c r="EK246" s="22"/>
      <c r="EL246" s="21"/>
      <c r="EM246" s="21"/>
      <c r="EN246" s="22"/>
      <c r="EO246" s="222" t="str">
        <f t="shared" si="855"/>
        <v>TOMAR EXAMEN</v>
      </c>
      <c r="EP246" s="214" t="str">
        <f t="shared" si="856"/>
        <v/>
      </c>
      <c r="EQ246" s="216" t="str">
        <f t="shared" si="857"/>
        <v>POR DEFINIR</v>
      </c>
      <c r="ER246" s="24"/>
      <c r="ES246" s="22"/>
      <c r="ET246" s="29" t="str">
        <f t="shared" ca="1" si="919"/>
        <v>TOMA DE HEMOGLOBINA TARDÍA</v>
      </c>
      <c r="EU246" s="25" t="str">
        <f t="shared" si="858"/>
        <v/>
      </c>
      <c r="EV246" s="24"/>
      <c r="EW246" s="24"/>
      <c r="EX246" s="22"/>
      <c r="EY246" s="29" t="str">
        <f t="shared" si="1040"/>
        <v>TOMAR EXAMEN</v>
      </c>
      <c r="EZ246" s="25" t="str">
        <f t="shared" ca="1" si="1041"/>
        <v/>
      </c>
      <c r="FA246" s="21"/>
      <c r="FB246" s="22"/>
      <c r="FC246" s="29" t="str">
        <f t="shared" si="859"/>
        <v>PIERDE TOMA TAMIZAJE- INGRESO TARDIO</v>
      </c>
      <c r="FD246" s="29"/>
      <c r="FE246" s="29"/>
      <c r="FF246" s="29"/>
      <c r="FG246" s="21" t="str">
        <f t="shared" ca="1" si="860"/>
        <v>TOMAR PTOG</v>
      </c>
      <c r="FH246" s="31"/>
      <c r="FI246" s="29" t="str">
        <f t="shared" si="861"/>
        <v>TOMAR EXAMEN</v>
      </c>
      <c r="FJ246" s="22"/>
      <c r="FK246" s="22"/>
      <c r="FL246" s="29" t="str">
        <f t="shared" ca="1" si="862"/>
        <v>NO APLICA-INGRESO TARDIO</v>
      </c>
      <c r="FM246" s="22"/>
      <c r="FN246" s="32"/>
      <c r="FO246" s="29" t="str">
        <f t="shared" ca="1" si="920"/>
        <v>NO APLICA-INGRESO TARDIO</v>
      </c>
      <c r="FP246" s="22"/>
      <c r="FQ246" s="32"/>
      <c r="FR246" s="29" t="str">
        <f t="shared" ca="1" si="921"/>
        <v>TOMA INMEDIATA DE TAMIZAJE</v>
      </c>
      <c r="FS246" s="22"/>
      <c r="FT246" s="32"/>
      <c r="FU246" s="29" t="str">
        <f>IF(AND(FJ246="",FM246="",FP246="",FS246=""),"",IF(OR(OR(Tabla1[[#This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6" s="28"/>
      <c r="FW246" s="22"/>
      <c r="FX246" s="29" t="str">
        <f t="shared" si="863"/>
        <v>TOMAR EXAMEN</v>
      </c>
      <c r="FY246" s="22"/>
      <c r="FZ246" s="22"/>
      <c r="GA246" s="29" t="str">
        <f t="shared" ca="1" si="936"/>
        <v>NO APLICA-INGRESO TARDIO</v>
      </c>
      <c r="GB246" s="22"/>
      <c r="GC246" s="22"/>
      <c r="GD246" s="29" t="str">
        <f t="shared" ca="1" si="1045"/>
        <v>NO APLICA-INGRESO TARDIO</v>
      </c>
      <c r="GE246" s="22"/>
      <c r="GF246" s="22"/>
      <c r="GG246" s="29" t="str">
        <f t="shared" ca="1" si="923"/>
        <v>TOMA INMEDIATA DE TAMIZAJE</v>
      </c>
      <c r="GH246" s="22"/>
      <c r="GI246" s="29"/>
      <c r="GJ246" s="22"/>
      <c r="GK246" s="22"/>
      <c r="GL246" s="22"/>
      <c r="GM246" s="22"/>
      <c r="GN246" s="28"/>
      <c r="GO246" s="22"/>
      <c r="GP246" s="29" t="str">
        <f t="shared" si="864"/>
        <v>TOMAR EXAMEN</v>
      </c>
      <c r="GQ246" s="28"/>
      <c r="GR246" s="28"/>
      <c r="GS246" s="22" t="str">
        <f t="shared" si="1044"/>
        <v/>
      </c>
      <c r="GT246" s="22"/>
      <c r="GU246" s="29" t="str">
        <f t="shared" si="865"/>
        <v>TOMAR EXAMEN</v>
      </c>
      <c r="GV246" s="21" t="str">
        <f t="shared" si="866"/>
        <v>POR DEFINIR</v>
      </c>
      <c r="GW246" s="28"/>
      <c r="GX246" s="30"/>
      <c r="GY246" s="21"/>
      <c r="GZ246" s="21"/>
      <c r="HA246" s="21"/>
      <c r="HB246" s="21"/>
      <c r="HC246" s="21"/>
      <c r="HD246" s="21"/>
      <c r="HE246" s="21"/>
      <c r="HF246" s="22"/>
      <c r="HG246" s="22" t="str">
        <f>IF(OR(O246&gt;0,R246&gt;0),CONCATENATE(IF(Tabla1[[#This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6" s="22" t="e">
        <f t="shared" si="867"/>
        <v>#REF!</v>
      </c>
      <c r="HI246" s="22" t="e">
        <f t="shared" ca="1" si="868"/>
        <v>#REF!</v>
      </c>
      <c r="HJ246" s="21"/>
      <c r="HK246" s="21" t="str">
        <f t="shared" si="869"/>
        <v>SIN ANTECEDENTES DE RIESGO</v>
      </c>
      <c r="HL246" s="24" t="str">
        <f t="shared" si="870"/>
        <v>APARENTEMENTE NORMAL</v>
      </c>
      <c r="HM246" s="21" t="e">
        <f t="shared" ca="1" si="871"/>
        <v>#REF!</v>
      </c>
      <c r="HN246" s="30" t="str">
        <f t="shared" si="924"/>
        <v>ACTIVA INGRESO A CPN</v>
      </c>
      <c r="HO246" s="21"/>
      <c r="HP246" s="21"/>
      <c r="HQ246" s="349"/>
      <c r="HR246" s="21" t="str">
        <f>IF(R246="","",IF(Tabla1[[#This Row],[ALARMA FACTORES DE RIESGO COMPLICACIONES HIPERTENSIVAS3]]="SIN ANTECEDENTES DE RIESGO","No Aplica para suministro de ASA",IF(AND(Tabla1[[#This Row],[FECHA INICIO DE SUMINISTRO DE ASA]]&gt;0,RV246&lt;12),"Inicia ASA ANTES de Sem 12",IF(AND(RV246&gt;11,RV246&lt;17,OR(HK246="RIESGO ALTO DE COMPLICACIONES HIPERTENSIVAS VER MANEJO GUIA SUMINISTRO ASA Y CALCIO",HK246="RIESGO MODERADO (2 O MAS CRITERIOS) VER MANEJO GUIA SUMINISTRO ASA Y CALCIO")),"Inicio oportuno de ASA",IF(AND(RV246&gt;12,OR(HK246="RIESGO ALTO DE COMPLICACIONES HIPERTENSIVAS VER MANEJO GUIA SUMINISTRO ASA Y CALCIO",HK246="RIESGO MODERADO (2 O MAS CRITERIOS) VER MANEJO GUIA SUMINISTRO ASA Y CALCIO")),"Inicio no oportuno mayor a 16 semanas",IF(AND(BU246&lt;12,OR(HK246="RIESGO ALTO DE COMPLICACIONES HIPERTENSIVAS VER MANEJO GUIA SUMINISTRO ASA Y CALCIO",HK246="RIESGO MODERADO (2 O MAS CRITERIOS) VER MANEJO GUIA SUMINISTRO ASA Y CALCIO")),"Pendiente Inicio de ASA a la semana 12",IF(AND(BU246&gt;11,BU246&lt;17,OR(HK246="RIESGO ALTO DE COMPLICACIONES HIPERTENSIVAS VER MANEJO GUIA SUMINISTRO ASA Y CALCIO",HK246="RIESGO MODERADO (2 O MAS CRITERIOS) VER MANEJO GUIA SUMINISTRO ASA Y CALCIO")),"Iniciar de inmediato ASA",IF(AND(BU246&gt;16,OR(HK246="RIESGO ALTO DE COMPLICACIONES HIPERTENSIVAS VER MANEJO GUIA SUMINISTRO ASA Y CALCIO",HK246="RIESGO MODERADO (2 O MAS CRITERIOS) VER MANEJO GUIA SUMINISTRO ASA Y CALCIO")),"Pierde Oportunidad, Inicio tardío de ASA","XXXXX"))))))))</f>
        <v>No Aplica para suministro de ASA</v>
      </c>
      <c r="HS246" s="22"/>
      <c r="HT246" s="22"/>
      <c r="HU246" s="22"/>
      <c r="HV246" s="22"/>
      <c r="HW246" s="22"/>
      <c r="HX246" s="22"/>
      <c r="HY246" s="22"/>
      <c r="HZ246" s="28" t="str">
        <f t="shared" si="872"/>
        <v>PENDIENTE CONSULTA</v>
      </c>
      <c r="IA246" s="26"/>
      <c r="IB246" s="26"/>
      <c r="IC246" s="111"/>
      <c r="ID246" s="22"/>
      <c r="IE246" s="22" t="str">
        <f t="shared" ca="1" si="873"/>
        <v>INASISTENTE</v>
      </c>
      <c r="IF246" s="22"/>
      <c r="IG246" s="22">
        <f t="shared" si="874"/>
        <v>45245</v>
      </c>
      <c r="IH246" s="29">
        <f t="shared" ca="1" si="875"/>
        <v>12</v>
      </c>
      <c r="II246" s="22" t="str">
        <f t="shared" ca="1" si="876"/>
        <v>MENOS DE 4 SEMANAS</v>
      </c>
      <c r="IJ246" s="22"/>
      <c r="IK246" s="21"/>
      <c r="IL246" s="21"/>
      <c r="IM246" s="34"/>
      <c r="IN246" s="22"/>
      <c r="IO246" s="21"/>
      <c r="IP246" s="29" t="str">
        <f t="shared" si="877"/>
        <v/>
      </c>
      <c r="IQ246" s="35"/>
      <c r="IR246" s="21"/>
      <c r="IS246" s="21"/>
      <c r="IT246" s="21"/>
      <c r="IU246" s="21"/>
      <c r="IV246" s="21"/>
      <c r="IW246" s="21"/>
      <c r="IX246" s="21"/>
      <c r="IY246" s="21"/>
      <c r="IZ246" s="21"/>
      <c r="JA246" s="21"/>
      <c r="JB246" s="30"/>
      <c r="JC246" s="21"/>
      <c r="JD246" s="36"/>
      <c r="JE246" s="21" t="str">
        <f t="shared" si="878"/>
        <v/>
      </c>
      <c r="JF246" s="30"/>
      <c r="JG246" s="21"/>
      <c r="JH246" s="21"/>
      <c r="JI246" s="21"/>
      <c r="JJ246" s="30"/>
      <c r="JK246" s="22"/>
      <c r="JL246" s="22"/>
      <c r="JM246" s="21"/>
      <c r="JN246" s="36"/>
      <c r="JO246" s="21" t="str">
        <f t="shared" si="879"/>
        <v/>
      </c>
      <c r="JP246" s="22"/>
      <c r="JQ246" s="21"/>
      <c r="JR246" s="21"/>
      <c r="JS246" s="21"/>
      <c r="JT246" s="30"/>
      <c r="JU246" s="22"/>
      <c r="JV246" s="22"/>
      <c r="JW246" s="33"/>
      <c r="JX246" s="28" t="str">
        <f t="shared" si="880"/>
        <v/>
      </c>
      <c r="JY246" s="33"/>
      <c r="JZ246" s="28" t="str">
        <f t="shared" si="881"/>
        <v/>
      </c>
      <c r="KA246" s="21"/>
      <c r="KB246" s="21"/>
      <c r="KC246" s="21"/>
      <c r="KD246" s="37"/>
      <c r="KE246" s="28"/>
      <c r="KF246" s="28"/>
      <c r="KG246" s="28"/>
      <c r="KH246" s="39"/>
      <c r="KI246" s="39"/>
      <c r="KJ246" s="66"/>
      <c r="KK246" s="39"/>
      <c r="KL246" s="39"/>
      <c r="KM246" s="66"/>
      <c r="KN246" s="39"/>
      <c r="KO246" s="39"/>
      <c r="KP246" s="39"/>
      <c r="KQ246" s="39"/>
      <c r="KR246" s="39"/>
      <c r="KS246" s="39"/>
      <c r="KT246" s="39"/>
      <c r="KU246" s="38"/>
      <c r="KV246" s="38"/>
      <c r="KW246" s="38"/>
      <c r="KX246" s="38"/>
      <c r="KY246" s="38"/>
      <c r="KZ246" s="38"/>
      <c r="LA246" s="38"/>
      <c r="LB246" s="38"/>
      <c r="LC246" s="38"/>
      <c r="LD246" s="38"/>
      <c r="LE246" s="38"/>
      <c r="LF246" s="38"/>
      <c r="LG246" s="38"/>
      <c r="LH246" s="38"/>
      <c r="LI246" s="38"/>
      <c r="LJ246" s="38"/>
      <c r="LK246" s="38"/>
      <c r="LL246" s="38"/>
      <c r="LM246" s="38"/>
      <c r="LN246" s="38"/>
      <c r="LO246" s="38"/>
      <c r="LP246" s="38"/>
      <c r="LQ246" s="38"/>
      <c r="LR246" s="38"/>
      <c r="LS246" s="38"/>
      <c r="LT246" s="38"/>
      <c r="LU246" s="38"/>
      <c r="LV246" s="38"/>
      <c r="LW246" s="38"/>
      <c r="LX246" s="38"/>
      <c r="LY246" s="38"/>
      <c r="LZ246" s="38"/>
      <c r="MA246" s="38"/>
      <c r="MB246" s="38"/>
      <c r="MC246" s="38"/>
      <c r="MD246" s="38"/>
      <c r="ME246" s="38"/>
      <c r="MF246" s="38"/>
      <c r="MG246" s="38"/>
      <c r="MH246" s="43">
        <f t="shared" si="882"/>
        <v>0</v>
      </c>
      <c r="MI246" s="43" t="str">
        <f t="shared" si="926"/>
        <v/>
      </c>
      <c r="MJ246" s="43" t="str">
        <f t="shared" si="884"/>
        <v/>
      </c>
      <c r="MK246" s="43">
        <f t="shared" si="885"/>
        <v>0</v>
      </c>
      <c r="ML246"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6" s="43">
        <f t="shared" si="927"/>
        <v>28.428571428571427</v>
      </c>
      <c r="MN246" s="43">
        <f t="shared" si="928"/>
        <v>8</v>
      </c>
      <c r="MO246" s="43">
        <f t="shared" si="929"/>
        <v>2023</v>
      </c>
      <c r="MP246" s="43" t="str">
        <f t="shared" si="889"/>
        <v>III TRIMESTRE AÑO</v>
      </c>
      <c r="MQ246" s="43">
        <f t="shared" si="930"/>
        <v>12.642356548401226</v>
      </c>
      <c r="MR246" s="43">
        <f t="shared" si="891"/>
        <v>2</v>
      </c>
      <c r="MS246" s="43" t="str">
        <f t="shared" si="892"/>
        <v>MENOR 14 AÑOS</v>
      </c>
      <c r="MT246" s="43">
        <f t="shared" si="893"/>
        <v>0</v>
      </c>
      <c r="MU246" s="43">
        <f t="shared" si="894"/>
        <v>1</v>
      </c>
      <c r="MV246" s="43">
        <f t="shared" si="895"/>
        <v>0</v>
      </c>
      <c r="MW246" s="43">
        <f t="shared" si="896"/>
        <v>0</v>
      </c>
      <c r="MX246" s="43" t="str">
        <f t="shared" si="897"/>
        <v/>
      </c>
      <c r="MY246" s="43" t="str">
        <f t="shared" ca="1" si="898"/>
        <v/>
      </c>
      <c r="MZ246" s="43" t="str">
        <f t="shared" si="899"/>
        <v/>
      </c>
      <c r="NA246" s="43" t="str">
        <f t="shared" si="900"/>
        <v/>
      </c>
      <c r="NB246" s="43" t="str">
        <f t="shared" si="901"/>
        <v/>
      </c>
      <c r="NC246" s="43" t="str">
        <f t="shared" si="902"/>
        <v/>
      </c>
      <c r="ND246" s="43">
        <f t="shared" ca="1" si="931"/>
        <v>3</v>
      </c>
      <c r="NE246" s="43">
        <f>IF(OR(O246&gt;0,R246&gt;0),SUM(COUNTIF(Tabla1[[#This Row],[AÑOS AL INICIO5 CPN]],"&gt;=40"),COUNTIF(AS246,"0"),COUNTIF(AR246,"SI"),COUNTIF(CC246,"SI"),COUNTIF(BQ246,"&gt;119"),COUNTIF(CI246,"&gt;=35")),"")</f>
        <v>1</v>
      </c>
      <c r="NF246" s="43" t="str">
        <f t="shared" si="932"/>
        <v/>
      </c>
      <c r="NG246" s="43">
        <f t="shared" si="905"/>
        <v>0</v>
      </c>
      <c r="NH246" s="43" t="str">
        <f t="shared" si="906"/>
        <v/>
      </c>
      <c r="NI246"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CPN",P246="NO"),"Z",IF(AND(Tabla1[[#This Row],[CITA PROXIMO CONTROL]]="CITA MANUAL",Tabla1[[#This Row],[GESTANTES ACTUALES]]="ACTIVA INGRESO A CPN"),"W",IF(AND(Tabla1[[#This Row],[GESTANTES ACTUALES]]="SALIO PROGRAMA",IN246=""),"S",IF(AND(Tabla1[[#This Row],[CITA PROXIMO CONTROL]]&gt;0,IN246=""),(Tabla1[[#This Row],[CITA PROXIMO CONTROL]]-TODAY()),"SD"))))))))</f>
        <v>#REF!</v>
      </c>
      <c r="NJ246" s="43">
        <f>MONTH(Tabla1[[#This Row],[FECHA DE SALIDA  DEL PROGRAMA]])</f>
        <v>1</v>
      </c>
      <c r="NK246" s="43">
        <f>YEAR(Tabla1[[#This Row],[FECHA DE SALIDA  DEL PROGRAMA]])</f>
        <v>1900</v>
      </c>
      <c r="NL246" s="43" t="str">
        <f t="shared" si="933"/>
        <v>X</v>
      </c>
      <c r="NM246" s="43" t="str">
        <f t="shared" si="938"/>
        <v>NO</v>
      </c>
      <c r="NN246" s="43" t="str">
        <f ca="1">IF(AND(O246&gt;0,R246=""),"NO CPN",IF(AND(O246="",R246=""),"",IF(AND(R246&gt;0,Tabla1[[#This Row],[SEMANAS DE GESTACION ACTUALIZADAS]]&lt;=12),"NO APLICA",IF(AND(FH246&lt;&gt;"",FN246&lt;&gt;""),"SI","NO"))))</f>
        <v>NO</v>
      </c>
      <c r="NO246" s="43" t="str">
        <f ca="1">IF(AND(O246&gt;0,R246=""),"NO CPN",IF(AND(O246="",R246=""),"",IF(AND(R246&gt;0,Tabla1[[#This Row],[SEMANAS DE GESTACION ACTUALIZADAS]]&lt;=27),"NO APLICA",IF(AND(ES246&lt;&gt;"",FQ246&lt;&gt;"",GF246&lt;&gt;""),"SI","NO"))))</f>
        <v>NO</v>
      </c>
      <c r="NP246" s="204" t="str">
        <f t="shared" si="909"/>
        <v>DEFINIR CON ECO</v>
      </c>
      <c r="NQ246" s="21" t="str">
        <f t="shared" si="1043"/>
        <v/>
      </c>
      <c r="NR246" s="21">
        <f t="shared" si="934"/>
        <v>1</v>
      </c>
      <c r="NS246" s="205">
        <f t="shared" ca="1" si="911"/>
        <v>0</v>
      </c>
      <c r="NT246" s="21">
        <f t="shared" ca="1" si="912"/>
        <v>0</v>
      </c>
      <c r="NU246" s="21" t="str">
        <f t="shared" ca="1" si="913"/>
        <v>INCOMPLETO</v>
      </c>
      <c r="NV246" s="21" t="str">
        <f t="shared" ca="1" si="914"/>
        <v>INCOMPLETO</v>
      </c>
      <c r="NW246" s="206" t="str">
        <f>IF(AND(O246="",R246=""),"",IF(OR(AND(Tabla1[[#This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6" s="207" t="str">
        <f t="shared" ca="1" si="935"/>
        <v>SIN VACUNAR</v>
      </c>
      <c r="NY246" s="43">
        <f>ROW(Tabla1[[#This Row],['# DE TAMIZAJES SIFILIS TOMADOS ]])</f>
        <v>246</v>
      </c>
      <c r="NZ246" s="43">
        <f t="shared" si="939"/>
        <v>28</v>
      </c>
      <c r="OA246" s="43" t="str">
        <f t="shared" si="940"/>
        <v/>
      </c>
      <c r="OB246" s="43" t="str">
        <f t="shared" si="941"/>
        <v/>
      </c>
      <c r="OC246" s="43" t="str">
        <f t="shared" si="942"/>
        <v/>
      </c>
      <c r="OD246" s="43" t="str">
        <f t="shared" si="943"/>
        <v/>
      </c>
      <c r="OE246" s="43" t="str">
        <f t="shared" si="944"/>
        <v/>
      </c>
      <c r="OF246" s="43" t="str">
        <f t="shared" si="945"/>
        <v/>
      </c>
      <c r="OG246" s="43" t="str">
        <f t="shared" si="946"/>
        <v/>
      </c>
      <c r="OH246" s="43" t="str">
        <f t="shared" si="947"/>
        <v/>
      </c>
      <c r="OI246" s="43" t="str">
        <f t="shared" si="948"/>
        <v/>
      </c>
      <c r="OJ246" s="43" t="str">
        <f t="shared" si="949"/>
        <v/>
      </c>
      <c r="OK246" s="43" t="str">
        <f t="shared" si="950"/>
        <v/>
      </c>
      <c r="OL246" s="43" t="str">
        <f t="shared" si="951"/>
        <v/>
      </c>
      <c r="OM246" s="43" t="str">
        <f t="shared" si="952"/>
        <v/>
      </c>
      <c r="ON246" s="43" t="str">
        <f t="shared" si="953"/>
        <v/>
      </c>
      <c r="OO246" s="43" t="str">
        <f t="shared" si="954"/>
        <v/>
      </c>
      <c r="OP246" s="43" t="str">
        <f t="shared" si="955"/>
        <v/>
      </c>
      <c r="OQ246" s="43" t="str">
        <f t="shared" si="956"/>
        <v/>
      </c>
      <c r="OR246" s="43" t="str">
        <f t="shared" si="957"/>
        <v/>
      </c>
      <c r="OS246" s="43" t="str">
        <f t="shared" si="958"/>
        <v/>
      </c>
      <c r="OT246" s="43" t="str">
        <f t="shared" si="959"/>
        <v>BAJO PESO</v>
      </c>
      <c r="OU246" s="43" t="str">
        <f t="shared" si="960"/>
        <v/>
      </c>
      <c r="OV246" s="110" t="str">
        <f t="shared" si="961"/>
        <v/>
      </c>
      <c r="OW246" s="43" t="str">
        <f t="shared" si="962"/>
        <v/>
      </c>
      <c r="OX246" s="43" t="str">
        <f t="shared" si="963"/>
        <v/>
      </c>
      <c r="OY246" s="43" t="str">
        <f t="shared" si="964"/>
        <v/>
      </c>
      <c r="OZ246" s="43" t="str">
        <f t="shared" si="965"/>
        <v/>
      </c>
      <c r="PA246" s="43" t="str">
        <f t="shared" si="966"/>
        <v/>
      </c>
      <c r="PB246" s="43" t="str">
        <f t="shared" si="967"/>
        <v/>
      </c>
      <c r="PC246" s="43" t="str">
        <f t="shared" si="968"/>
        <v/>
      </c>
      <c r="PD246" s="43" t="str">
        <f t="shared" si="969"/>
        <v/>
      </c>
      <c r="PE246" s="43" t="str">
        <f t="shared" si="970"/>
        <v/>
      </c>
      <c r="PF246" s="43" t="str">
        <f t="shared" si="971"/>
        <v/>
      </c>
      <c r="PG246" s="43" t="str">
        <f t="shared" si="972"/>
        <v/>
      </c>
      <c r="PH246" s="43" t="str">
        <f t="shared" si="973"/>
        <v/>
      </c>
      <c r="PI246" s="43">
        <f t="shared" si="974"/>
        <v>28</v>
      </c>
      <c r="PJ246" s="43" t="str">
        <f t="shared" si="975"/>
        <v/>
      </c>
      <c r="PK246" s="43" t="str">
        <f t="shared" si="976"/>
        <v/>
      </c>
      <c r="PL246" s="43" t="str">
        <f t="shared" si="977"/>
        <v/>
      </c>
      <c r="PM246" s="43" t="str">
        <f t="shared" si="978"/>
        <v/>
      </c>
      <c r="PN246" s="43" t="str">
        <f t="shared" si="979"/>
        <v/>
      </c>
      <c r="PO246" s="43" t="str">
        <f t="shared" si="980"/>
        <v/>
      </c>
      <c r="PP246" s="43" t="str">
        <f t="shared" si="981"/>
        <v/>
      </c>
      <c r="PQ246" s="43" t="str">
        <f t="shared" si="982"/>
        <v/>
      </c>
      <c r="PR246" s="43" t="str">
        <f t="shared" si="983"/>
        <v/>
      </c>
      <c r="PS246" s="43" t="str">
        <f t="shared" si="984"/>
        <v/>
      </c>
      <c r="PT246" s="43" t="str">
        <f t="shared" si="985"/>
        <v/>
      </c>
      <c r="PU246" s="43" t="str">
        <f t="shared" si="986"/>
        <v/>
      </c>
      <c r="PV246" s="43" t="str">
        <f t="shared" si="987"/>
        <v/>
      </c>
      <c r="PW246" s="43" t="str">
        <f t="shared" si="988"/>
        <v/>
      </c>
      <c r="PX246" s="43" t="str">
        <f t="shared" si="989"/>
        <v/>
      </c>
      <c r="PY246" s="43" t="str">
        <f t="shared" si="990"/>
        <v/>
      </c>
      <c r="PZ246" s="43" t="str">
        <f t="shared" si="991"/>
        <v/>
      </c>
      <c r="QA246" s="43" t="str">
        <f t="shared" si="992"/>
        <v/>
      </c>
      <c r="QB246" s="43" t="str">
        <f t="shared" si="993"/>
        <v/>
      </c>
      <c r="QC246" s="43" t="str">
        <f t="shared" si="994"/>
        <v>BAJO PESO</v>
      </c>
      <c r="QD246" s="43" t="str">
        <f t="shared" si="995"/>
        <v/>
      </c>
      <c r="QE246" s="43" t="str">
        <f t="shared" si="996"/>
        <v/>
      </c>
      <c r="QF246" s="43" t="str">
        <f t="shared" si="997"/>
        <v/>
      </c>
      <c r="QG246" s="43" t="str">
        <f t="shared" si="998"/>
        <v/>
      </c>
      <c r="QH246" s="43" t="str">
        <f t="shared" si="999"/>
        <v/>
      </c>
      <c r="QI246" s="43" t="str">
        <f t="shared" si="1000"/>
        <v/>
      </c>
      <c r="QJ246" s="43" t="str">
        <f t="shared" si="1001"/>
        <v/>
      </c>
      <c r="QK246" s="43" t="str">
        <f t="shared" si="1002"/>
        <v/>
      </c>
      <c r="QL246" s="43" t="str">
        <f t="shared" si="1003"/>
        <v/>
      </c>
      <c r="QM246" s="43" t="str">
        <f t="shared" si="1004"/>
        <v/>
      </c>
      <c r="QN246" s="43" t="str">
        <f t="shared" si="1005"/>
        <v/>
      </c>
      <c r="QO246" s="43" t="str">
        <f t="shared" si="1006"/>
        <v/>
      </c>
      <c r="QP246" s="43" t="str">
        <f t="shared" si="1007"/>
        <v/>
      </c>
      <c r="QQ246" s="43" t="str">
        <f t="shared" si="1008"/>
        <v/>
      </c>
      <c r="QR246" s="43">
        <f t="shared" si="1009"/>
        <v>28</v>
      </c>
      <c r="QS246" s="43"/>
      <c r="QT246" s="21" t="str">
        <f t="shared" si="1010"/>
        <v/>
      </c>
      <c r="QU246" s="21" t="str">
        <f t="shared" si="1011"/>
        <v/>
      </c>
      <c r="QV246" s="21" t="str">
        <f t="shared" si="1012"/>
        <v/>
      </c>
      <c r="QW246" s="21" t="str">
        <f t="shared" si="1013"/>
        <v/>
      </c>
      <c r="QX246" s="21" t="str">
        <f t="shared" si="1014"/>
        <v/>
      </c>
      <c r="QY246" s="21" t="str">
        <f t="shared" si="1015"/>
        <v/>
      </c>
      <c r="QZ246" s="21" t="str">
        <f t="shared" si="1016"/>
        <v/>
      </c>
      <c r="RA246" s="21" t="str">
        <f t="shared" si="1017"/>
        <v/>
      </c>
      <c r="RB246" s="21" t="str">
        <f t="shared" si="1018"/>
        <v/>
      </c>
      <c r="RC246" s="21" t="str">
        <f t="shared" si="1019"/>
        <v/>
      </c>
      <c r="RD246" s="21" t="str">
        <f t="shared" si="1020"/>
        <v/>
      </c>
      <c r="RE246" s="21" t="str">
        <f t="shared" si="1021"/>
        <v/>
      </c>
      <c r="RF246" s="21" t="str">
        <f t="shared" si="1022"/>
        <v/>
      </c>
      <c r="RG246" s="21" t="str">
        <f t="shared" si="1023"/>
        <v/>
      </c>
      <c r="RH246" s="21" t="str">
        <f t="shared" si="1024"/>
        <v/>
      </c>
      <c r="RI246" s="21" t="str">
        <f t="shared" si="1025"/>
        <v>ADECUADO PARA EDAD GESTACIONAL</v>
      </c>
      <c r="RJ246" s="21" t="str">
        <f t="shared" si="1026"/>
        <v/>
      </c>
      <c r="RK246" s="21" t="str">
        <f t="shared" si="1027"/>
        <v/>
      </c>
      <c r="RL246" s="21" t="str">
        <f t="shared" si="1028"/>
        <v/>
      </c>
      <c r="RM246" s="21" t="str">
        <f t="shared" si="1029"/>
        <v/>
      </c>
      <c r="RN246" s="21" t="str">
        <f t="shared" si="1030"/>
        <v/>
      </c>
      <c r="RO246" s="21" t="str">
        <f t="shared" si="1031"/>
        <v/>
      </c>
      <c r="RP246" s="21" t="str">
        <f t="shared" si="1032"/>
        <v/>
      </c>
      <c r="RQ246" s="21" t="str">
        <f t="shared" si="1033"/>
        <v/>
      </c>
      <c r="RR246" s="21" t="str">
        <f t="shared" si="1034"/>
        <v/>
      </c>
      <c r="RS246" s="21" t="str">
        <f t="shared" si="1035"/>
        <v/>
      </c>
      <c r="RT246" s="21" t="str">
        <f t="shared" si="1036"/>
        <v/>
      </c>
      <c r="RU246" s="21" t="str">
        <f t="shared" si="1037"/>
        <v/>
      </c>
      <c r="RV246" s="21">
        <f t="shared" si="1038"/>
        <v>-1</v>
      </c>
      <c r="RW246" s="284">
        <f>IF(OR(Tabla1[[#This Row],[FUM FORMULA CONFIABLE]]="",Tabla1[[#This Row],[FUM FORMULA CONFIABLE]]="SD"),"",IF(Tabla1[[#This Row],[FUM FORMULA CONFIABLE]]="CORREGIDA",Tabla1[[#This Row],[FUM X ECO 1]],Tabla1[[#This Row],[FUM x AMENORREA]]))</f>
        <v>44965</v>
      </c>
      <c r="RX246" s="21" t="str">
        <f>IF(AND(Tabla1[[#This Row],[FUM X ECO 1]]="",Tabla1[[#This Row],[FUM x AMENORREA]]=""),"",IF(AND(Tabla1[[#This Row],[FUM X ECO 1]]="",Tabla1[[#This Row],[FUM x AMENORREA]]&lt;&gt;""),"X",SUM(Tabla1[[#This Row],[FUM X ECO 1]]-Tabla1[[#This Row],[FUM x AMENORREA]])))</f>
        <v>X</v>
      </c>
      <c r="RY246" s="21" t="str">
        <f t="shared" si="1039"/>
        <v>x</v>
      </c>
    </row>
    <row r="247" spans="1:493" ht="45" customHeight="1" x14ac:dyDescent="0.25">
      <c r="A247" s="109"/>
      <c r="B247" s="43"/>
      <c r="C247" s="43" t="s">
        <v>845</v>
      </c>
      <c r="D247" s="124"/>
      <c r="E247" s="43" t="s">
        <v>1286</v>
      </c>
      <c r="F247" s="43" t="s">
        <v>943</v>
      </c>
      <c r="G247" s="43" t="s">
        <v>1681</v>
      </c>
      <c r="H247" s="43"/>
      <c r="I247" s="109" t="s">
        <v>851</v>
      </c>
      <c r="J247" s="343" t="s">
        <v>1680</v>
      </c>
      <c r="K247" s="43" t="s">
        <v>852</v>
      </c>
      <c r="L247" s="175" t="s">
        <v>1509</v>
      </c>
      <c r="M247" s="22">
        <v>30236</v>
      </c>
      <c r="N247" s="213">
        <f t="shared" ca="1" si="839"/>
        <v>41.087671232876716</v>
      </c>
      <c r="O247" s="22">
        <v>45164</v>
      </c>
      <c r="P247" s="214" t="str">
        <f t="shared" si="916"/>
        <v>SI</v>
      </c>
      <c r="Q247" s="26" t="s">
        <v>855</v>
      </c>
      <c r="R247" s="22">
        <v>45164</v>
      </c>
      <c r="S247" s="21" t="s">
        <v>856</v>
      </c>
      <c r="T247" s="24" t="s">
        <v>690</v>
      </c>
      <c r="U247" s="21" t="s">
        <v>857</v>
      </c>
      <c r="V247" s="21" t="s">
        <v>858</v>
      </c>
      <c r="W247" s="21" t="s">
        <v>1288</v>
      </c>
      <c r="X247" s="21" t="s">
        <v>1288</v>
      </c>
      <c r="Y247" s="21"/>
      <c r="Z247" s="21">
        <v>3128701522</v>
      </c>
      <c r="AA247" s="21" t="s">
        <v>860</v>
      </c>
      <c r="AB247" s="27" t="s">
        <v>861</v>
      </c>
      <c r="AC247" s="26" t="s">
        <v>846</v>
      </c>
      <c r="AD247" s="21" t="s">
        <v>1546</v>
      </c>
      <c r="AE247" s="26" t="s">
        <v>854</v>
      </c>
      <c r="AF247" s="26" t="s">
        <v>854</v>
      </c>
      <c r="AG247" s="23" t="s">
        <v>864</v>
      </c>
      <c r="AH247" s="23" t="s">
        <v>864</v>
      </c>
      <c r="AI247" s="24" t="s">
        <v>863</v>
      </c>
      <c r="AJ247" s="23" t="s">
        <v>864</v>
      </c>
      <c r="AK247" s="220" t="str">
        <f>IF(AND(AD247="",AE247="",AF247="",AG247="",AH247="",AI247="",AJ247=""),"",IF(OR(Tabla1[[#This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EVALUACIÓN",IF(AND(O247="",R247=""),"",IF(AND(OR(O247&gt;0,R247&gt;0),NG247&gt;=0,NG247&lt;2),"SIN RIESGO",IF(AND(OR(O247&gt;0,R247&gt;0),NG247&gt;=2),"CON RIESGO","ASD")))))</f>
        <v>SIN RIESGO</v>
      </c>
      <c r="AL247" s="26" t="s">
        <v>864</v>
      </c>
      <c r="AM247" s="26" t="s">
        <v>864</v>
      </c>
      <c r="AN247" s="26" t="s">
        <v>864</v>
      </c>
      <c r="AO247" s="26" t="s">
        <v>864</v>
      </c>
      <c r="AP247" s="26" t="s">
        <v>864</v>
      </c>
      <c r="AQ247" s="26" t="s">
        <v>864</v>
      </c>
      <c r="AR247" s="26" t="s">
        <v>864</v>
      </c>
      <c r="AS247" s="21">
        <v>2</v>
      </c>
      <c r="AT247" s="21">
        <v>2</v>
      </c>
      <c r="AU247" s="21">
        <v>0</v>
      </c>
      <c r="AV247" s="26" t="s">
        <v>864</v>
      </c>
      <c r="AW247" s="21">
        <v>0</v>
      </c>
      <c r="AX247" s="26" t="s">
        <v>864</v>
      </c>
      <c r="AY247" s="26" t="s">
        <v>864</v>
      </c>
      <c r="AZ247" s="26" t="s">
        <v>864</v>
      </c>
      <c r="BA247" s="26" t="s">
        <v>864</v>
      </c>
      <c r="BB247" s="26" t="s">
        <v>864</v>
      </c>
      <c r="BC247" s="26" t="s">
        <v>864</v>
      </c>
      <c r="BD247" s="26" t="s">
        <v>864</v>
      </c>
      <c r="BE247" s="26" t="s">
        <v>864</v>
      </c>
      <c r="BF247" s="26" t="s">
        <v>864</v>
      </c>
      <c r="BG247" s="26" t="s">
        <v>864</v>
      </c>
      <c r="BH247" s="26" t="s">
        <v>864</v>
      </c>
      <c r="BI247" s="26" t="s">
        <v>864</v>
      </c>
      <c r="BJ247" s="26" t="s">
        <v>864</v>
      </c>
      <c r="BK247" s="26" t="s">
        <v>864</v>
      </c>
      <c r="BL247" s="26" t="s">
        <v>864</v>
      </c>
      <c r="BM247" s="26" t="s">
        <v>864</v>
      </c>
      <c r="BN247" s="22"/>
      <c r="BO247" s="22">
        <v>45128</v>
      </c>
      <c r="BP247" s="21" t="s">
        <v>864</v>
      </c>
      <c r="BQ247" s="222">
        <f t="shared" si="840"/>
        <v>0</v>
      </c>
      <c r="BR247" s="223" t="str">
        <f t="shared" si="841"/>
        <v/>
      </c>
      <c r="BS247" s="224">
        <f t="shared" si="842"/>
        <v>5.1428571428571432</v>
      </c>
      <c r="BT247" s="216" t="str">
        <f t="shared" si="843"/>
        <v>DEFINIR CON ECO</v>
      </c>
      <c r="BU247" s="214">
        <f t="shared" ca="1" si="925"/>
        <v>15</v>
      </c>
      <c r="BV247" s="25"/>
      <c r="BW247" s="22"/>
      <c r="BX247" s="28"/>
      <c r="BY247" s="28"/>
      <c r="BZ247" s="22"/>
      <c r="CA247" s="21"/>
      <c r="CB247" s="26"/>
      <c r="CC247" s="26"/>
      <c r="CD247" s="26"/>
      <c r="CE247" s="26"/>
      <c r="CF247" s="22" t="s">
        <v>1517</v>
      </c>
      <c r="CG247" s="21">
        <v>1.44</v>
      </c>
      <c r="CH247" s="21">
        <v>57</v>
      </c>
      <c r="CI247" s="214">
        <f t="shared" si="845"/>
        <v>27.488425925925927</v>
      </c>
      <c r="CJ247" s="225" t="str">
        <f>IF(AND(CI247&lt;10,CH247="SD"),"SIN DATO PESO PREGESTACION O I TRIM",IF(AND(OR(R247&gt;0,O247&gt;0),CI247="X"),"INGRESAR DATO DE PESO",IF(CI247="SD","INGRESAR DATO DE TALLA Y PESO",IF(AND(OR(Tabla1[[#This Row],[MOMENTO EN QUE SE REALIZA EL PESO AL INGRESO A CPN]]="PREGESTACIÓN",NZ247="Menor"),CI247&lt;18.5),"BAJO PESO",IF(AND(OR(Tabla1[[#This Row],[MOMENTO EN QUE SE REALIZA EL PESO AL INGRESO A CPN]]="PREGESTACIÓN",NZ247="Menor"),CI247&lt;25),"NORMAL",IF(AND(OR(Tabla1[[#This Row],[MOMENTO EN QUE SE REALIZA EL PESO AL INGRESO A CPN]]="PREGESTACIÓN",NZ247="Menor"),CI247&lt;30),"SOBREPESO",IF(AND(OR(Tabla1[[#This Row],[MOMENTO EN QUE SE REALIZA EL PESO AL INGRESO A CPN]]="PREGESTACIÓN",NZ247="Menor"),CI247&gt;=30,CI247&lt;50),"OBESIDAD",IF(AND(BS247&gt;0,Tabla1[[#This Row],[MOMENTO EN QUE SE REALIZA EL PESO AL INGRESO A CPN]]="GESTACIÓN"),HLOOKUP(NZ247,$OA$2:PH247,NY247),""))))))))</f>
        <v>SOBREPESO</v>
      </c>
      <c r="CK247" s="212">
        <f t="shared" si="846"/>
        <v>45164</v>
      </c>
      <c r="CL247" s="21">
        <v>57</v>
      </c>
      <c r="CM247" s="214">
        <f t="shared" si="847"/>
        <v>27.488425925925927</v>
      </c>
      <c r="CN247" s="216">
        <f t="shared" si="848"/>
        <v>5</v>
      </c>
      <c r="CO247" s="216" t="e">
        <f>IF(PI247="","",IF(PI247&gt;0,HLOOKUP(PI247,$PJ$2:QQ247,NY247),""))</f>
        <v>#REF!</v>
      </c>
      <c r="CP247" s="21"/>
      <c r="CQ247" s="216" t="str">
        <f>IF(QR247="Menor","NO APLICA-MENOR 13 SEM",IF(AND(CC247="SI",CN247&gt;23),"NO APLICA- GEMELAR",IF(QR247="","",IF(QR247&gt;0,HLOOKUP(QR247,$QS$2:RU247,NY247),""))))</f>
        <v>NO APLICA-MENOR 13 SEM</v>
      </c>
      <c r="CR247" s="21"/>
      <c r="CS247" s="21"/>
      <c r="CT247" s="217" t="str">
        <f>IF(R247="","",IF(AND(BS247&gt;1,BS247&lt;12,Tabla1[[#This Row],[T.A. SISTOLICA - ANTES DE SEMANA 12]]="",Tabla1[[#This Row],[T.A. DIASTOLICA - ANTES DE SEMANA 12]]=""),"REGISTRE DATO TA ANTES SEMANA 12",IF(AND(BS247&gt;11,BS247&lt;43,Tabla1[[#This Row],[T.A. SISTOLICA - ANTES DE SEMANA 12]]="",Tabla1[[#This Row],[T.A. DIASTOLICA - ANTES DE SEMANA 12]]=""),"NO APLICA REGISTRO TA-INGRESO TARDIO",IF(AND(OR(O247&gt;0,R247&gt;0),OR(CR247&gt;=140,CS247&gt;=90)),"DEFINIR ESTADIO HTA",IF(AND(OR(O247&gt;0,R247&gt;0),AND(CR247&gt;120,CR247&lt;=139)),"PRE HTA SEGUIMIENTO",IF(AND(OR(O247&gt;0,R247&gt;0),AND(CS247&gt;80,CS247&lt;=89)),"PRE HTA SEGUIMIENTO",IF(AND(OR(O247&gt;0,R247&gt;0),AND(CR247&gt;=80,CR247&lt;=120)),"APARENTEMENTE NORMAL",IF(AND(OR(O247&gt;0,R247&gt;0),AND(CS247&gt;=50,CS247&lt;=80)),"APARENTEMENTE NORMAL",IF(AND(OR(O247&gt;0,R247&gt;0),AND(CR247&gt;1,CR247&lt;=70),AND(CS247&gt;1,CS247&lt;=40)),"HIPOTENSIÓN","")))))))))</f>
        <v>REGISTRE DATO TA ANTES SEMANA 12</v>
      </c>
      <c r="CU247" s="21"/>
      <c r="CV247" s="21"/>
      <c r="CW247" s="217" t="str">
        <f ca="1">IF(R247="","",IF(AND(CN247&gt;19,CN247&lt;27,Tabla1[[#This Row],[T.A. SISTOLICA (Entre semana 20 y 26)]]="",Tabla1[[#This Row],[T.A. DIATOLICA (Entre semana 20 y 26)]]=""),"ACUDE A CONTROL SEM 20 A 26 REGISTRE TA AHORA",IF(AND(BS247&gt;1,BS247&lt;27,BU247&gt;19,Tabla1[[#This Row],[T.A. SISTOLICA (Entre semana 20 y 26)]]="",Tabla1[[#This Row],[T.A. DIATOLICA (Entre semana 20 y 26)]]=""),"COMPLETE REGISTRO TA CONTROL SEM 20 A26 ",IF(AND(BS247&gt;26,BS247&lt;43,Tabla1[[#This Row],[T.A. SISTOLICA (Entre semana 20 y 26)]]="",Tabla1[[#This Row],[T.A. DIATOLICA (Entre semana 20 y 26)]]=""),"NO APLICA REGISTRO TA-INGRESO TARDIO",IF(AND(OR(O247&gt;0,R247&gt;0),OR(CU247&gt;=140,CV247&gt;=90)),"ALTO RIESGO PREECLAMPSIA,DEFINIR ESTADIO HTA",IF(AND(OR(O247&gt;0,R247&gt;0),AND(CU247&gt;120,CU247&lt;=139)),"PRE HTA SEGUIMIENTO,RIESGO HIPERTENSION INDUCIDA POR EL EMBARAZO",IF(AND(OR(O247&gt;0,R247&gt;0),AND(CV247&gt;80,CV247&lt;=89)),"PRE HTA SEGUIMIENTO, RIESGO HIPERTENSION INDUCIDA POR EL EMBARAZO",IF(AND(OR(O247&lt;&gt;"",R247&lt;&gt;""),CS247&lt;&gt;"",CV247&lt;&gt;"",CS247&lt;=CV247),"VIGILAR CIFRAS PRESION ARTERIAL",IF(AND(OR(O247&gt;0,R247&gt;0),AND(CU247&gt;120,CU247&lt;=139)),"PRE HTA SEGUIMIENTO",IF(AND(OR(O247&gt;0,R247&gt;0),AND(CU247&gt;1,CU247&lt;=70),AND(CV247&gt;1,CV247&lt;=40)),"HIPOTENSIÓN",IF(AND(OR(O247&lt;&gt;"",R247&lt;&gt;""),CS247&lt;&gt;"",CV247&lt;&gt;"",CS247&gt;CV247),"APARENTEMENTE NORMAL",IF(AND(OR(O247&gt;0,R247&gt;0),AND(CU247&gt;=80,CU247&lt;=120)),"APARENTEMENTE NORMAL",IF(AND(OR(O247&gt;0,R247&gt;0),AND(CV247&gt;=50,CV247&lt;=80)),"APARENTEMENTE NORMAL","")))))))))))))</f>
        <v/>
      </c>
      <c r="CX247" s="21"/>
      <c r="CY247" s="21"/>
      <c r="CZ247" s="216" t="str">
        <f t="shared" si="1042"/>
        <v/>
      </c>
      <c r="DA247" s="21">
        <v>98</v>
      </c>
      <c r="DB247" s="21">
        <v>60</v>
      </c>
      <c r="DC247" s="217" t="str">
        <f t="shared" si="849"/>
        <v>APARENTEMENTE NORMAL</v>
      </c>
      <c r="DD247" s="22">
        <v>45164</v>
      </c>
      <c r="DE247" s="22">
        <v>45164</v>
      </c>
      <c r="DF247" s="22"/>
      <c r="DG247" s="22"/>
      <c r="DH247" s="22"/>
      <c r="DI247" s="22"/>
      <c r="DJ247" s="22"/>
      <c r="DK247" s="22"/>
      <c r="DL247" s="22"/>
      <c r="DM247" s="22"/>
      <c r="DN247" s="22"/>
      <c r="DO247" s="22"/>
      <c r="DP247" s="22"/>
      <c r="DQ247" s="22"/>
      <c r="DR247" s="28"/>
      <c r="DS247" s="22"/>
      <c r="DT247" s="22"/>
      <c r="DU247" s="216" t="str">
        <f t="shared" ca="1" si="917"/>
        <v>EN ESPERA</v>
      </c>
      <c r="DV247" s="226" t="str">
        <f t="shared" si="918"/>
        <v>ACTIVA INGRESO A CPN</v>
      </c>
      <c r="DW247"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7" s="216" t="e">
        <f t="shared" ca="1" si="850"/>
        <v>#REF!</v>
      </c>
      <c r="DY247" s="212">
        <f>IF(R247="","",IF(R247&gt;0,MAX(Tabla1[[#This Row],[FECHA C2]:[FECHA C13]],Tabla1[[#This Row],[FECHA CONSULTA PRIMERA VEZ PROGRAMA CPN ]])))</f>
        <v>45164</v>
      </c>
      <c r="DZ247" s="216">
        <f t="shared" si="851"/>
        <v>5</v>
      </c>
      <c r="EA247" s="222">
        <f>IF(R247&gt;0,SUM(COUNTA(DF247:DQ247)+COUNTA(Tabla1[[#This Row],[FECHA CONSULTA PRIMERA VEZ PROGRAMA CPN ]])),"")</f>
        <v>1</v>
      </c>
      <c r="EB247" s="222" t="str">
        <f t="shared" si="852"/>
        <v>NO</v>
      </c>
      <c r="EC247" s="214">
        <f t="shared" si="853"/>
        <v>10</v>
      </c>
      <c r="ED247" s="227">
        <f t="shared" si="854"/>
        <v>0.1</v>
      </c>
      <c r="EE247" s="22">
        <v>45164</v>
      </c>
      <c r="EF247" s="22"/>
      <c r="EG247" s="22">
        <v>45164</v>
      </c>
      <c r="EH247" s="22"/>
      <c r="EI247" s="22">
        <v>45164</v>
      </c>
      <c r="EJ247" s="22"/>
      <c r="EK247" s="22"/>
      <c r="EL247" s="21"/>
      <c r="EM247" s="21"/>
      <c r="EN247" s="22"/>
      <c r="EO247" s="222" t="str">
        <f t="shared" si="855"/>
        <v>TOMAR EXAMEN</v>
      </c>
      <c r="EP247" s="214" t="str">
        <f t="shared" si="856"/>
        <v/>
      </c>
      <c r="EQ247" s="216" t="str">
        <f t="shared" si="857"/>
        <v>POR DEFINIR</v>
      </c>
      <c r="ER247" s="24"/>
      <c r="ES247" s="22"/>
      <c r="ET247" s="29" t="str">
        <f t="shared" ca="1" si="919"/>
        <v>EN ESPERA PARA TOMA EXAMEN</v>
      </c>
      <c r="EU247" s="25" t="str">
        <f t="shared" si="858"/>
        <v/>
      </c>
      <c r="EV247" s="24"/>
      <c r="EW247" s="24"/>
      <c r="EX247" s="22"/>
      <c r="EY247" s="29" t="str">
        <f t="shared" si="1040"/>
        <v>TOMAR EXAMEN</v>
      </c>
      <c r="EZ247" s="25" t="str">
        <f t="shared" ca="1" si="1041"/>
        <v/>
      </c>
      <c r="FA247" s="21"/>
      <c r="FB247" s="22"/>
      <c r="FC247" s="29" t="str">
        <f t="shared" si="859"/>
        <v>TOMAR EXAMEN</v>
      </c>
      <c r="FD247" s="29"/>
      <c r="FE247" s="29"/>
      <c r="FF247" s="29"/>
      <c r="FG247" s="21" t="str">
        <f t="shared" ca="1" si="860"/>
        <v/>
      </c>
      <c r="FH247" s="31"/>
      <c r="FI247" s="29" t="str">
        <f t="shared" si="861"/>
        <v>TOMAR EXAMEN</v>
      </c>
      <c r="FJ247" s="22"/>
      <c r="FK247" s="22"/>
      <c r="FL247" s="29" t="str">
        <f t="shared" ca="1" si="862"/>
        <v>PIERDE TOMA DE TAMIZAJE</v>
      </c>
      <c r="FM247" s="22"/>
      <c r="FN247" s="32"/>
      <c r="FO247" s="29" t="str">
        <f t="shared" ca="1" si="920"/>
        <v>EN RANGO PARA TOMAR EXAMEN</v>
      </c>
      <c r="FP247" s="22"/>
      <c r="FQ247" s="32"/>
      <c r="FR247" s="29" t="str">
        <f t="shared" ca="1" si="921"/>
        <v>EN ESPERA-ESTÁ I TRIM O II TRIM</v>
      </c>
      <c r="FS247" s="22"/>
      <c r="FT247" s="32"/>
      <c r="FU247" s="29" t="str">
        <f>IF(AND(FJ247="",FM247="",FP247="",FS247=""),"",IF(OR(OR(Tabla1[[#This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7" s="28"/>
      <c r="FW247" s="22"/>
      <c r="FX247" s="29" t="str">
        <f t="shared" si="863"/>
        <v>TOMAR EXAMEN</v>
      </c>
      <c r="FY247" s="22"/>
      <c r="FZ247" s="22"/>
      <c r="GA247" s="29" t="str">
        <f t="shared" ref="GA247" ca="1" si="1049">IF(AND(BT247="ERROR FUM O INGRESO",FZ247&gt;0),"ERROR FUM O INGRESO",IF(AND(FZ247="",R247="",O247=""),"",IF(OR(AND(FZ247&lt;&gt;"",FZ247&lt;RW247),AND(FZ247&lt;&gt;"",AND(SUM((FZ247-RW247)/7)&gt;=13,SUM((FZ247-RW247)/7)&lt;27))),"REGISTRAR EN II TRIMESTRE",IF(OR(AND(FZ247&lt;&gt;"",FZ247&lt;RW247),AND(FZ247&lt;&gt;"",AND(SUM((FZ247-RW247)/7)&gt;=27,SUM((FZ247-RW247)/7)&lt;44))),"REGISTRAR EN III TRIMESTRE",IF(AND(FZ247="",OR(O247&gt;0,R247&gt;0),AND(BU247&gt;1,BU247&lt;10)),"EN RANGO PARA TOMAR EXAMEN",IF(AND(FZ247="",OR(O247&gt;0,R247&gt;0),AND(BU247&gt;=10,BU247&lt;12)),"TOMA INMEDIATA DE TAMIZAJE",IF(AND(FZ247="",BS247&lt;12,OR(O247&gt;0,R247&gt;0)),"PIERDE TOMA DE TAMIZAJE",IF(AND(FZ247="",OR(O247&gt;0,R247&gt;0),AND(BS247&gt;=13,BS247&lt;44)),"NO APLICA-INGRESO TARDIO",IF(FZ247&gt;0,SUM(FZ247-RW247)/7,"")))))))))</f>
        <v>PIERDE TOMA DE TAMIZAJE</v>
      </c>
      <c r="GB247" s="22"/>
      <c r="GC247" s="22"/>
      <c r="GD247" s="29" t="str">
        <f t="shared" ca="1" si="1045"/>
        <v>EN RANGO PARA TOMAR EXAMEN</v>
      </c>
      <c r="GE247" s="22"/>
      <c r="GF247" s="22"/>
      <c r="GG247" s="29" t="str">
        <f t="shared" ca="1" si="923"/>
        <v>EN ESPERA-ESTÁ I TRIM O II TRIM</v>
      </c>
      <c r="GH247" s="22"/>
      <c r="GI247" s="29"/>
      <c r="GJ247" s="22"/>
      <c r="GK247" s="22"/>
      <c r="GL247" s="22"/>
      <c r="GM247" s="22"/>
      <c r="GN247" s="28"/>
      <c r="GO247" s="22"/>
      <c r="GP247" s="29" t="str">
        <f t="shared" si="864"/>
        <v>TOMAR EXAMEN</v>
      </c>
      <c r="GQ247" s="28"/>
      <c r="GR247" s="28"/>
      <c r="GS247" s="22" t="str">
        <f t="shared" si="1044"/>
        <v/>
      </c>
      <c r="GT247" s="22"/>
      <c r="GU247" s="29" t="str">
        <f t="shared" si="865"/>
        <v>TOMAR EXAMEN</v>
      </c>
      <c r="GV247" s="21" t="str">
        <f t="shared" si="866"/>
        <v>POR DEFINIR</v>
      </c>
      <c r="GW247" s="28"/>
      <c r="GX247" s="30"/>
      <c r="GY247" s="21"/>
      <c r="GZ247" s="21"/>
      <c r="HA247" s="21"/>
      <c r="HB247" s="21"/>
      <c r="HC247" s="21"/>
      <c r="HD247" s="21"/>
      <c r="HE247" s="21"/>
      <c r="HF247" s="22"/>
      <c r="HG247" s="22" t="str">
        <f>IF(OR(O247&gt;0,R247&gt;0),CONCATENATE(IF(Tabla1[[#This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7" s="22" t="e">
        <f t="shared" si="867"/>
        <v>#REF!</v>
      </c>
      <c r="HI247" s="22" t="e">
        <f t="shared" ca="1" si="868"/>
        <v>#REF!</v>
      </c>
      <c r="HJ247" s="21"/>
      <c r="HK247" s="21" t="str">
        <f t="shared" si="869"/>
        <v>SIN ANTECEDENTES DE RIESGO</v>
      </c>
      <c r="HL247" s="24" t="str">
        <f t="shared" si="870"/>
        <v>APARENTEMENTE NORMAL</v>
      </c>
      <c r="HM247" s="21" t="e">
        <f t="shared" ca="1" si="871"/>
        <v>#REF!</v>
      </c>
      <c r="HN247" s="30" t="str">
        <f t="shared" si="924"/>
        <v>ACTIVA INGRESO A CPN</v>
      </c>
      <c r="HO247" s="21"/>
      <c r="HP247" s="21"/>
      <c r="HQ247" s="349"/>
      <c r="HR247" s="21" t="str">
        <f>IF(R247="","",IF(Tabla1[[#This Row],[ALARMA FACTORES DE RIESGO COMPLICACIONES HIPERTENSIVAS3]]="SIN ANTECEDENTES DE RIESGO","No Aplica para suministro de ASA",IF(AND(Tabla1[[#This Row],[FECHA INICIO DE SUMINISTRO DE ASA]]&gt;0,RV247&lt;12),"Inicia ASA ANTES de Sem 12",IF(AND(RV247&gt;11,RV247&lt;17,OR(HK247="RIESGO ALTO DE COMPLICACIONES HIPERTENSIVAS VER MANEJO GUIA SUMINISTRO ASA Y CALCIO",HK247="RIESGO MODERADO (2 O MAS CRITERIOS) VER MANEJO GUIA SUMINISTRO ASA Y CALCIO")),"Inicio oportuno de ASA",IF(AND(RV247&gt;12,OR(HK247="RIESGO ALTO DE COMPLICACIONES HIPERTENSIVAS VER MANEJO GUIA SUMINISTRO ASA Y CALCIO",HK247="RIESGO MODERADO (2 O MAS CRITERIOS) VER MANEJO GUIA SUMINISTRO ASA Y CALCIO")),"Inicio no oportuno mayor a 16 semanas",IF(AND(BU247&lt;12,OR(HK247="RIESGO ALTO DE COMPLICACIONES HIPERTENSIVAS VER MANEJO GUIA SUMINISTRO ASA Y CALCIO",HK247="RIESGO MODERADO (2 O MAS CRITERIOS) VER MANEJO GUIA SUMINISTRO ASA Y CALCIO")),"Pendiente Inicio de ASA a la semana 12",IF(AND(BU247&gt;11,BU247&lt;17,OR(HK247="RIESGO ALTO DE COMPLICACIONES HIPERTENSIVAS VER MANEJO GUIA SUMINISTRO ASA Y CALCIO",HK247="RIESGO MODERADO (2 O MAS CRITERIOS) VER MANEJO GUIA SUMINISTRO ASA Y CALCIO")),"Iniciar de inmediato ASA",IF(AND(BU247&gt;16,OR(HK247="RIESGO ALTO DE COMPLICACIONES HIPERTENSIVAS VER MANEJO GUIA SUMINISTRO ASA Y CALCIO",HK247="RIESGO MODERADO (2 O MAS CRITERIOS) VER MANEJO GUIA SUMINISTRO ASA Y CALCIO")),"Pierde Oportunidad, Inicio tardío de ASA","XXXXX"))))))))</f>
        <v>No Aplica para suministro de ASA</v>
      </c>
      <c r="HS247" s="22"/>
      <c r="HT247" s="22"/>
      <c r="HU247" s="22">
        <v>45164</v>
      </c>
      <c r="HV247" s="22" t="s">
        <v>1544</v>
      </c>
      <c r="HW247" s="22">
        <v>45164</v>
      </c>
      <c r="HX247" s="22" t="s">
        <v>1511</v>
      </c>
      <c r="HY247" s="22"/>
      <c r="HZ247" s="28" t="str">
        <f t="shared" si="872"/>
        <v>PENDIENTE CONSULTA</v>
      </c>
      <c r="IA247" s="26"/>
      <c r="IB247" s="26"/>
      <c r="IC247" s="111"/>
      <c r="ID247" s="22"/>
      <c r="IE247" s="22" t="str">
        <f t="shared" ca="1" si="873"/>
        <v>EN ESPERA PARA VACUNAR</v>
      </c>
      <c r="IF247" s="22"/>
      <c r="IG247" s="22">
        <f t="shared" si="874"/>
        <v>45408</v>
      </c>
      <c r="IH247" s="29">
        <f t="shared" ca="1" si="875"/>
        <v>175</v>
      </c>
      <c r="II247" s="22" t="str">
        <f t="shared" ca="1" si="876"/>
        <v>PENDIENTE</v>
      </c>
      <c r="IJ247" s="22"/>
      <c r="IK247" s="21"/>
      <c r="IL247" s="21"/>
      <c r="IM247" s="34"/>
      <c r="IN247" s="22"/>
      <c r="IO247" s="21"/>
      <c r="IP247" s="29" t="str">
        <f t="shared" si="877"/>
        <v/>
      </c>
      <c r="IQ247" s="35"/>
      <c r="IR247" s="21"/>
      <c r="IS247" s="21"/>
      <c r="IT247" s="21"/>
      <c r="IU247" s="21"/>
      <c r="IV247" s="21"/>
      <c r="IW247" s="21"/>
      <c r="IX247" s="21"/>
      <c r="IY247" s="21"/>
      <c r="IZ247" s="21"/>
      <c r="JA247" s="21"/>
      <c r="JB247" s="30"/>
      <c r="JC247" s="21"/>
      <c r="JD247" s="36"/>
      <c r="JE247" s="21" t="str">
        <f t="shared" si="878"/>
        <v/>
      </c>
      <c r="JF247" s="30"/>
      <c r="JG247" s="21"/>
      <c r="JH247" s="21"/>
      <c r="JI247" s="21"/>
      <c r="JJ247" s="30"/>
      <c r="JK247" s="22"/>
      <c r="JL247" s="22"/>
      <c r="JM247" s="21"/>
      <c r="JN247" s="36"/>
      <c r="JO247" s="21" t="str">
        <f t="shared" si="879"/>
        <v/>
      </c>
      <c r="JP247" s="22"/>
      <c r="JQ247" s="21"/>
      <c r="JR247" s="21"/>
      <c r="JS247" s="21"/>
      <c r="JT247" s="30"/>
      <c r="JU247" s="22"/>
      <c r="JV247" s="22"/>
      <c r="JW247" s="33"/>
      <c r="JX247" s="28" t="str">
        <f t="shared" si="880"/>
        <v/>
      </c>
      <c r="JY247" s="159"/>
      <c r="JZ247" s="28" t="str">
        <f t="shared" si="881"/>
        <v/>
      </c>
      <c r="KA247" s="21"/>
      <c r="KB247" s="21"/>
      <c r="KC247" s="21"/>
      <c r="KD247" s="37"/>
      <c r="KE247" s="28"/>
      <c r="KF247" s="28"/>
      <c r="KG247" s="28"/>
      <c r="KH247" s="39"/>
      <c r="KI247" s="39"/>
      <c r="KJ247" s="66"/>
      <c r="KK247" s="39"/>
      <c r="KL247" s="39"/>
      <c r="KM247" s="66"/>
      <c r="KN247" s="39"/>
      <c r="KO247" s="39"/>
      <c r="KP247" s="39"/>
      <c r="KQ247" s="39"/>
      <c r="KR247" s="39"/>
      <c r="KS247" s="39"/>
      <c r="KT247" s="39"/>
      <c r="KU247" s="38"/>
      <c r="KV247" s="38"/>
      <c r="KW247" s="38"/>
      <c r="KX247" s="38"/>
      <c r="KY247" s="38"/>
      <c r="KZ247" s="38"/>
      <c r="LA247" s="38"/>
      <c r="LB247" s="38"/>
      <c r="LC247" s="38"/>
      <c r="LD247" s="38"/>
      <c r="LE247" s="38"/>
      <c r="LF247" s="38"/>
      <c r="LG247" s="38"/>
      <c r="LH247" s="38"/>
      <c r="LI247" s="38"/>
      <c r="LJ247" s="38"/>
      <c r="LK247" s="38"/>
      <c r="LL247" s="38"/>
      <c r="LM247" s="38"/>
      <c r="LN247" s="38"/>
      <c r="LO247" s="38"/>
      <c r="LP247" s="38"/>
      <c r="LQ247" s="38"/>
      <c r="LR247" s="38"/>
      <c r="LS247" s="38"/>
      <c r="LT247" s="38"/>
      <c r="LU247" s="38"/>
      <c r="LV247" s="38"/>
      <c r="LW247" s="38"/>
      <c r="LX247" s="38"/>
      <c r="LY247" s="38"/>
      <c r="LZ247" s="38"/>
      <c r="MA247" s="38"/>
      <c r="MB247" s="38"/>
      <c r="MC247" s="38"/>
      <c r="MD247" s="38"/>
      <c r="ME247" s="38"/>
      <c r="MF247" s="38"/>
      <c r="MG247" s="38"/>
      <c r="MH247" s="43">
        <f t="shared" si="882"/>
        <v>0</v>
      </c>
      <c r="MI247" s="43" t="str">
        <f t="shared" si="926"/>
        <v/>
      </c>
      <c r="MJ247" s="43" t="str">
        <f t="shared" si="884"/>
        <v/>
      </c>
      <c r="MK247" s="43">
        <f t="shared" si="885"/>
        <v>0</v>
      </c>
      <c r="ML247"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7" s="43">
        <f t="shared" si="927"/>
        <v>5.1428571428571432</v>
      </c>
      <c r="MN247" s="43">
        <f t="shared" si="928"/>
        <v>8</v>
      </c>
      <c r="MO247" s="43">
        <f t="shared" si="929"/>
        <v>2023</v>
      </c>
      <c r="MP247" s="43" t="str">
        <f t="shared" si="889"/>
        <v>III TRIMESTRE AÑO</v>
      </c>
      <c r="MQ247" s="43">
        <f t="shared" si="930"/>
        <v>40.2814279456855</v>
      </c>
      <c r="MR247" s="43">
        <f t="shared" si="891"/>
        <v>2</v>
      </c>
      <c r="MS247" s="43" t="str">
        <f t="shared" si="892"/>
        <v xml:space="preserve"> DE 40 Y MAS</v>
      </c>
      <c r="MT247" s="43">
        <f t="shared" si="893"/>
        <v>0</v>
      </c>
      <c r="MU247" s="43">
        <f t="shared" si="894"/>
        <v>0</v>
      </c>
      <c r="MV247" s="43">
        <f t="shared" si="895"/>
        <v>0</v>
      </c>
      <c r="MW247" s="43">
        <f t="shared" si="896"/>
        <v>0</v>
      </c>
      <c r="MX247" s="43" t="str">
        <f t="shared" si="897"/>
        <v/>
      </c>
      <c r="MY247" s="43" t="str">
        <f t="shared" ca="1" si="898"/>
        <v/>
      </c>
      <c r="MZ247" s="43" t="str">
        <f t="shared" si="899"/>
        <v/>
      </c>
      <c r="NA247" s="43" t="str">
        <f t="shared" si="900"/>
        <v/>
      </c>
      <c r="NB247" s="43" t="str">
        <f t="shared" si="901"/>
        <v/>
      </c>
      <c r="NC247" s="43" t="str">
        <f t="shared" si="902"/>
        <v/>
      </c>
      <c r="ND247" s="43">
        <f t="shared" ca="1" si="931"/>
        <v>2</v>
      </c>
      <c r="NE247" s="43">
        <f>IF(OR(O247&gt;0,R247&gt;0),SUM(COUNTIF(Tabla1[[#This Row],[AÑOS AL INICIO5 CPN]],"&gt;=40"),COUNTIF(AS247,"0"),COUNTIF(AR247,"SI"),COUNTIF(CC247,"SI"),COUNTIF(BQ247,"&gt;119"),COUNTIF(CI247,"&gt;=35")),"")</f>
        <v>1</v>
      </c>
      <c r="NF247" s="43" t="str">
        <f t="shared" si="932"/>
        <v/>
      </c>
      <c r="NG247" s="43">
        <f t="shared" si="905"/>
        <v>0</v>
      </c>
      <c r="NH247" s="43" t="str">
        <f t="shared" si="906"/>
        <v/>
      </c>
      <c r="NI247"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CPN",P247="NO"),"Z",IF(AND(Tabla1[[#This Row],[CITA PROXIMO CONTROL]]="CITA MANUAL",Tabla1[[#This Row],[GESTANTES ACTUALES]]="ACTIVA INGRESO A CPN"),"W",IF(AND(Tabla1[[#This Row],[GESTANTES ACTUALES]]="SALIO PROGRAMA",IN247=""),"S",IF(AND(Tabla1[[#This Row],[CITA PROXIMO CONTROL]]&gt;0,IN247=""),(Tabla1[[#This Row],[CITA PROXIMO CONTROL]]-TODAY()),"SD"))))))))</f>
        <v>#REF!</v>
      </c>
      <c r="NJ247" s="43">
        <f>MONTH(Tabla1[[#This Row],[FECHA DE SALIDA  DEL PROGRAMA]])</f>
        <v>1</v>
      </c>
      <c r="NK247" s="43">
        <f>YEAR(Tabla1[[#This Row],[FECHA DE SALIDA  DEL PROGRAMA]])</f>
        <v>1900</v>
      </c>
      <c r="NL247" s="43" t="str">
        <f t="shared" si="933"/>
        <v>X</v>
      </c>
      <c r="NM247" s="43" t="str">
        <f t="shared" si="938"/>
        <v>NO</v>
      </c>
      <c r="NN247" s="43" t="str">
        <f ca="1">IF(AND(O247&gt;0,R247=""),"NO CPN",IF(AND(O247="",R247=""),"",IF(AND(R247&gt;0,Tabla1[[#This Row],[SEMANAS DE GESTACION ACTUALIZADAS]]&lt;=12),"NO APLICA",IF(AND(FH247&lt;&gt;"",FN247&lt;&gt;""),"SI","NO"))))</f>
        <v>NO</v>
      </c>
      <c r="NO247" s="43" t="str">
        <f ca="1">IF(AND(O247&gt;0,R247=""),"NO CPN",IF(AND(O247="",R247=""),"",IF(AND(R247&gt;0,Tabla1[[#This Row],[SEMANAS DE GESTACION ACTUALIZADAS]]&lt;=27),"NO APLICA",IF(AND(ES247&lt;&gt;"",FQ247&lt;&gt;"",GF247&lt;&gt;""),"SI","NO"))))</f>
        <v>NO APLICA</v>
      </c>
      <c r="NP247" s="204" t="str">
        <f t="shared" si="909"/>
        <v>DEFINIR CON ECO</v>
      </c>
      <c r="NQ247" s="21" t="str">
        <f t="shared" si="1043"/>
        <v/>
      </c>
      <c r="NR247" s="21">
        <f t="shared" ca="1" si="934"/>
        <v>2</v>
      </c>
      <c r="NS247" s="205">
        <f t="shared" ca="1" si="911"/>
        <v>0</v>
      </c>
      <c r="NT247" s="21">
        <f t="shared" ca="1" si="912"/>
        <v>0</v>
      </c>
      <c r="NU247" s="21" t="str">
        <f t="shared" ca="1" si="913"/>
        <v>INCOMPLETO</v>
      </c>
      <c r="NV247" s="21" t="str">
        <f t="shared" ca="1" si="914"/>
        <v>INCOMPLETO</v>
      </c>
      <c r="NW247" s="206" t="str">
        <f>IF(AND(O247="",R247=""),"",IF(OR(AND(Tabla1[[#This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7" s="207" t="str">
        <f t="shared" ca="1" si="935"/>
        <v>SIN VACUNAR</v>
      </c>
      <c r="NY247" s="43">
        <f>ROW(Tabla1[[#This Row],['# DE TAMIZAJES SIFILIS TOMADOS ]])</f>
        <v>247</v>
      </c>
      <c r="NZ247" s="43" t="str">
        <f t="shared" si="939"/>
        <v>Menor</v>
      </c>
      <c r="OA247" s="43" t="str">
        <f t="shared" si="940"/>
        <v>SOBREPESO</v>
      </c>
      <c r="OB247" s="43" t="str">
        <f t="shared" si="941"/>
        <v/>
      </c>
      <c r="OC247" s="43" t="str">
        <f t="shared" si="942"/>
        <v/>
      </c>
      <c r="OD247" s="43" t="str">
        <f t="shared" si="943"/>
        <v/>
      </c>
      <c r="OE247" s="43" t="str">
        <f t="shared" si="944"/>
        <v/>
      </c>
      <c r="OF247" s="43" t="str">
        <f t="shared" si="945"/>
        <v/>
      </c>
      <c r="OG247" s="43" t="str">
        <f t="shared" si="946"/>
        <v/>
      </c>
      <c r="OH247" s="43" t="str">
        <f t="shared" si="947"/>
        <v/>
      </c>
      <c r="OI247" s="43" t="str">
        <f t="shared" si="948"/>
        <v/>
      </c>
      <c r="OJ247" s="43" t="str">
        <f t="shared" si="949"/>
        <v/>
      </c>
      <c r="OK247" s="43" t="str">
        <f t="shared" si="950"/>
        <v/>
      </c>
      <c r="OL247" s="43" t="str">
        <f t="shared" si="951"/>
        <v/>
      </c>
      <c r="OM247" s="43" t="str">
        <f t="shared" si="952"/>
        <v/>
      </c>
      <c r="ON247" s="43" t="str">
        <f t="shared" si="953"/>
        <v/>
      </c>
      <c r="OO247" s="43" t="str">
        <f t="shared" si="954"/>
        <v/>
      </c>
      <c r="OP247" s="43" t="str">
        <f t="shared" si="955"/>
        <v/>
      </c>
      <c r="OQ247" s="43" t="str">
        <f t="shared" si="956"/>
        <v/>
      </c>
      <c r="OR247" s="43" t="str">
        <f t="shared" si="957"/>
        <v/>
      </c>
      <c r="OS247" s="43" t="str">
        <f t="shared" si="958"/>
        <v/>
      </c>
      <c r="OT247" s="43" t="str">
        <f t="shared" si="959"/>
        <v/>
      </c>
      <c r="OU247" s="43" t="str">
        <f t="shared" si="960"/>
        <v/>
      </c>
      <c r="OV247" s="110" t="str">
        <f t="shared" si="961"/>
        <v/>
      </c>
      <c r="OW247" s="43" t="str">
        <f t="shared" si="962"/>
        <v/>
      </c>
      <c r="OX247" s="43" t="str">
        <f t="shared" si="963"/>
        <v/>
      </c>
      <c r="OY247" s="43" t="str">
        <f t="shared" si="964"/>
        <v/>
      </c>
      <c r="OZ247" s="43" t="str">
        <f t="shared" si="965"/>
        <v/>
      </c>
      <c r="PA247" s="43" t="str">
        <f t="shared" si="966"/>
        <v/>
      </c>
      <c r="PB247" s="43" t="str">
        <f t="shared" si="967"/>
        <v/>
      </c>
      <c r="PC247" s="43" t="str">
        <f t="shared" si="968"/>
        <v/>
      </c>
      <c r="PD247" s="43" t="str">
        <f t="shared" si="969"/>
        <v/>
      </c>
      <c r="PE247" s="43" t="str">
        <f t="shared" si="970"/>
        <v/>
      </c>
      <c r="PF247" s="43" t="str">
        <f t="shared" si="971"/>
        <v/>
      </c>
      <c r="PG247" s="43" t="str">
        <f t="shared" si="972"/>
        <v/>
      </c>
      <c r="PH247" s="43" t="str">
        <f t="shared" si="973"/>
        <v/>
      </c>
      <c r="PI247" s="43" t="str">
        <f t="shared" si="974"/>
        <v>Menor</v>
      </c>
      <c r="PJ247" s="43" t="str">
        <f t="shared" si="975"/>
        <v>SOBREPESO</v>
      </c>
      <c r="PK247" s="43" t="str">
        <f t="shared" si="976"/>
        <v/>
      </c>
      <c r="PL247" s="43" t="str">
        <f t="shared" si="977"/>
        <v/>
      </c>
      <c r="PM247" s="43" t="str">
        <f t="shared" si="978"/>
        <v/>
      </c>
      <c r="PN247" s="43" t="str">
        <f t="shared" si="979"/>
        <v/>
      </c>
      <c r="PO247" s="43" t="str">
        <f t="shared" si="980"/>
        <v/>
      </c>
      <c r="PP247" s="43" t="str">
        <f t="shared" si="981"/>
        <v/>
      </c>
      <c r="PQ247" s="43" t="str">
        <f t="shared" si="982"/>
        <v/>
      </c>
      <c r="PR247" s="43" t="str">
        <f t="shared" si="983"/>
        <v/>
      </c>
      <c r="PS247" s="43" t="str">
        <f t="shared" si="984"/>
        <v/>
      </c>
      <c r="PT247" s="43" t="str">
        <f t="shared" si="985"/>
        <v/>
      </c>
      <c r="PU247" s="43" t="str">
        <f t="shared" si="986"/>
        <v/>
      </c>
      <c r="PV247" s="43" t="str">
        <f t="shared" si="987"/>
        <v/>
      </c>
      <c r="PW247" s="43" t="str">
        <f t="shared" si="988"/>
        <v/>
      </c>
      <c r="PX247" s="43" t="str">
        <f t="shared" si="989"/>
        <v/>
      </c>
      <c r="PY247" s="43" t="str">
        <f t="shared" si="990"/>
        <v/>
      </c>
      <c r="PZ247" s="43" t="str">
        <f t="shared" si="991"/>
        <v/>
      </c>
      <c r="QA247" s="43" t="str">
        <f t="shared" si="992"/>
        <v/>
      </c>
      <c r="QB247" s="43" t="str">
        <f t="shared" si="993"/>
        <v/>
      </c>
      <c r="QC247" s="43" t="str">
        <f t="shared" si="994"/>
        <v/>
      </c>
      <c r="QD247" s="43" t="str">
        <f t="shared" si="995"/>
        <v/>
      </c>
      <c r="QE247" s="43" t="str">
        <f t="shared" si="996"/>
        <v/>
      </c>
      <c r="QF247" s="43" t="str">
        <f t="shared" si="997"/>
        <v/>
      </c>
      <c r="QG247" s="43" t="str">
        <f t="shared" si="998"/>
        <v/>
      </c>
      <c r="QH247" s="43" t="str">
        <f t="shared" si="999"/>
        <v/>
      </c>
      <c r="QI247" s="43" t="str">
        <f t="shared" si="1000"/>
        <v/>
      </c>
      <c r="QJ247" s="43" t="str">
        <f t="shared" si="1001"/>
        <v/>
      </c>
      <c r="QK247" s="43" t="str">
        <f t="shared" si="1002"/>
        <v/>
      </c>
      <c r="QL247" s="43" t="str">
        <f t="shared" si="1003"/>
        <v/>
      </c>
      <c r="QM247" s="43" t="str">
        <f t="shared" si="1004"/>
        <v/>
      </c>
      <c r="QN247" s="43" t="str">
        <f t="shared" si="1005"/>
        <v/>
      </c>
      <c r="QO247" s="43" t="str">
        <f t="shared" si="1006"/>
        <v/>
      </c>
      <c r="QP247" s="43" t="str">
        <f t="shared" si="1007"/>
        <v/>
      </c>
      <c r="QQ247" s="43" t="str">
        <f t="shared" si="1008"/>
        <v/>
      </c>
      <c r="QR247" s="43" t="str">
        <f t="shared" si="1009"/>
        <v>Menor</v>
      </c>
      <c r="QS247" s="43"/>
      <c r="QT247" s="21" t="str">
        <f t="shared" si="1010"/>
        <v/>
      </c>
      <c r="QU247" s="21" t="str">
        <f t="shared" si="1011"/>
        <v/>
      </c>
      <c r="QV247" s="21" t="str">
        <f t="shared" si="1012"/>
        <v/>
      </c>
      <c r="QW247" s="21" t="str">
        <f t="shared" si="1013"/>
        <v/>
      </c>
      <c r="QX247" s="21" t="str">
        <f t="shared" si="1014"/>
        <v/>
      </c>
      <c r="QY247" s="21" t="str">
        <f t="shared" si="1015"/>
        <v/>
      </c>
      <c r="QZ247" s="21" t="str">
        <f t="shared" si="1016"/>
        <v/>
      </c>
      <c r="RA247" s="21" t="str">
        <f t="shared" si="1017"/>
        <v/>
      </c>
      <c r="RB247" s="21" t="str">
        <f t="shared" si="1018"/>
        <v/>
      </c>
      <c r="RC247" s="21" t="str">
        <f t="shared" si="1019"/>
        <v/>
      </c>
      <c r="RD247" s="21" t="str">
        <f t="shared" si="1020"/>
        <v/>
      </c>
      <c r="RE247" s="21" t="str">
        <f t="shared" si="1021"/>
        <v/>
      </c>
      <c r="RF247" s="21" t="str">
        <f t="shared" si="1022"/>
        <v/>
      </c>
      <c r="RG247" s="21" t="str">
        <f t="shared" si="1023"/>
        <v/>
      </c>
      <c r="RH247" s="21" t="str">
        <f t="shared" si="1024"/>
        <v/>
      </c>
      <c r="RI247" s="21" t="str">
        <f t="shared" si="1025"/>
        <v/>
      </c>
      <c r="RJ247" s="21" t="str">
        <f t="shared" si="1026"/>
        <v/>
      </c>
      <c r="RK247" s="21" t="str">
        <f t="shared" si="1027"/>
        <v/>
      </c>
      <c r="RL247" s="21" t="str">
        <f t="shared" si="1028"/>
        <v/>
      </c>
      <c r="RM247" s="21" t="str">
        <f t="shared" si="1029"/>
        <v/>
      </c>
      <c r="RN247" s="21" t="str">
        <f t="shared" si="1030"/>
        <v/>
      </c>
      <c r="RO247" s="21" t="str">
        <f t="shared" si="1031"/>
        <v/>
      </c>
      <c r="RP247" s="21" t="str">
        <f t="shared" si="1032"/>
        <v/>
      </c>
      <c r="RQ247" s="21" t="str">
        <f t="shared" si="1033"/>
        <v/>
      </c>
      <c r="RR247" s="21" t="str">
        <f t="shared" si="1034"/>
        <v/>
      </c>
      <c r="RS247" s="21" t="str">
        <f t="shared" si="1035"/>
        <v/>
      </c>
      <c r="RT247" s="21" t="str">
        <f t="shared" si="1036"/>
        <v/>
      </c>
      <c r="RU247" s="21" t="str">
        <f t="shared" si="1037"/>
        <v/>
      </c>
      <c r="RV247" s="21">
        <f t="shared" si="1038"/>
        <v>-1</v>
      </c>
      <c r="RW247" s="284">
        <f>IF(OR(Tabla1[[#This Row],[FUM FORMULA CONFIABLE]]="",Tabla1[[#This Row],[FUM FORMULA CONFIABLE]]="SD"),"",IF(Tabla1[[#This Row],[FUM FORMULA CONFIABLE]]="CORREGIDA",Tabla1[[#This Row],[FUM X ECO 1]],Tabla1[[#This Row],[FUM x AMENORREA]]))</f>
        <v>45128</v>
      </c>
      <c r="RX247" s="21" t="str">
        <f>IF(AND(Tabla1[[#This Row],[FUM X ECO 1]]="",Tabla1[[#This Row],[FUM x AMENORREA]]=""),"",IF(AND(Tabla1[[#This Row],[FUM X ECO 1]]="",Tabla1[[#This Row],[FUM x AMENORREA]]&lt;&gt;""),"X",SUM(Tabla1[[#This Row],[FUM X ECO 1]]-Tabla1[[#This Row],[FUM x AMENORREA]])))</f>
        <v>X</v>
      </c>
      <c r="RY247" s="21" t="str">
        <f t="shared" si="1039"/>
        <v>x</v>
      </c>
    </row>
    <row r="248" spans="1:493" ht="45" customHeight="1" x14ac:dyDescent="0.25">
      <c r="A248" s="109"/>
      <c r="B248" s="43"/>
      <c r="C248" s="43" t="s">
        <v>845</v>
      </c>
      <c r="D248" s="124"/>
      <c r="E248" s="43" t="s">
        <v>848</v>
      </c>
      <c r="F248" s="43" t="s">
        <v>914</v>
      </c>
      <c r="G248" s="43" t="s">
        <v>1683</v>
      </c>
      <c r="H248" s="43"/>
      <c r="I248" s="109" t="s">
        <v>851</v>
      </c>
      <c r="J248" s="343" t="s">
        <v>1682</v>
      </c>
      <c r="K248" s="43" t="s">
        <v>852</v>
      </c>
      <c r="L248" s="175" t="s">
        <v>1509</v>
      </c>
      <c r="M248" s="22">
        <v>39320</v>
      </c>
      <c r="N248" s="213">
        <f t="shared" ca="1" si="839"/>
        <v>16.2</v>
      </c>
      <c r="O248" s="22">
        <v>45164</v>
      </c>
      <c r="P248" s="214" t="str">
        <f t="shared" si="916"/>
        <v>SI</v>
      </c>
      <c r="Q248" s="26" t="s">
        <v>855</v>
      </c>
      <c r="R248" s="22">
        <v>45164</v>
      </c>
      <c r="S248" s="21" t="s">
        <v>856</v>
      </c>
      <c r="T248" s="24" t="s">
        <v>690</v>
      </c>
      <c r="U248" s="21" t="s">
        <v>857</v>
      </c>
      <c r="V248" s="21" t="s">
        <v>858</v>
      </c>
      <c r="W248" s="21" t="s">
        <v>999</v>
      </c>
      <c r="X248" s="21" t="s">
        <v>999</v>
      </c>
      <c r="Y248" s="21"/>
      <c r="Z248" s="21">
        <v>3136215587</v>
      </c>
      <c r="AA248" s="21" t="s">
        <v>860</v>
      </c>
      <c r="AB248" s="27" t="s">
        <v>861</v>
      </c>
      <c r="AC248" s="26" t="s">
        <v>846</v>
      </c>
      <c r="AD248" s="21" t="s">
        <v>1546</v>
      </c>
      <c r="AE248" s="26" t="s">
        <v>854</v>
      </c>
      <c r="AF248" s="26" t="s">
        <v>854</v>
      </c>
      <c r="AG248" s="23" t="s">
        <v>864</v>
      </c>
      <c r="AH248" s="23" t="s">
        <v>864</v>
      </c>
      <c r="AI248" s="24" t="s">
        <v>863</v>
      </c>
      <c r="AJ248" s="23" t="s">
        <v>864</v>
      </c>
      <c r="AK248" s="220" t="str">
        <f>IF(AND(AD248="",AE248="",AF248="",AG248="",AH248="",AI248="",AJ248=""),"",IF(OR(Tabla1[[#This Row],[USO DE SUSTANCIAS PSICOACTIVAS]]="SD",Tabla1[[#This Row],[EMBARAZO ACEPTADO Y/O  DESEADO]]="SD",Tabla1[[#This Row],[APOYO FAMILIAR]]="SD",Tabla1[[#This Row],[NIVEL SOCIO ECONOMICO BAJO]]="SD",Tabla1[[#This Row],[ANSIEDAD (Tensión emocional, Humor depresivo y sx angustia).]]="SD",Tabla1[[#This Row],[GRUPO DE POBLACION ESPECIAL]]="SD",Tabla1[[#This Row],[HA SIDO VICTIMA DE VIOLENCIA BASADA EN GENERO]]="SD"),"COMPLETAR EVALUACIÓN",IF(AND(O248="",R248=""),"",IF(AND(OR(O248&gt;0,R248&gt;0),NG248&gt;=0,NG248&lt;2),"SIN RIESGO",IF(AND(OR(O248&gt;0,R248&gt;0),NG248&gt;=2),"CON RIESGO","ASD")))))</f>
        <v>SIN RIESGO</v>
      </c>
      <c r="AL248" s="26" t="s">
        <v>864</v>
      </c>
      <c r="AM248" s="26" t="s">
        <v>864</v>
      </c>
      <c r="AN248" s="26" t="s">
        <v>864</v>
      </c>
      <c r="AO248" s="26" t="s">
        <v>864</v>
      </c>
      <c r="AP248" s="26" t="s">
        <v>864</v>
      </c>
      <c r="AQ248" s="26" t="s">
        <v>864</v>
      </c>
      <c r="AR248" s="26" t="s">
        <v>864</v>
      </c>
      <c r="AS248" s="21">
        <v>0</v>
      </c>
      <c r="AT248" s="21">
        <v>0</v>
      </c>
      <c r="AU248" s="21">
        <v>0</v>
      </c>
      <c r="AV248" s="26" t="s">
        <v>864</v>
      </c>
      <c r="AW248" s="21">
        <v>0</v>
      </c>
      <c r="AX248" s="26" t="s">
        <v>864</v>
      </c>
      <c r="AY248" s="26" t="s">
        <v>864</v>
      </c>
      <c r="AZ248" s="26" t="s">
        <v>864</v>
      </c>
      <c r="BA248" s="26" t="s">
        <v>864</v>
      </c>
      <c r="BB248" s="26" t="s">
        <v>864</v>
      </c>
      <c r="BC248" s="26" t="s">
        <v>864</v>
      </c>
      <c r="BD248" s="26" t="s">
        <v>864</v>
      </c>
      <c r="BE248" s="26" t="s">
        <v>864</v>
      </c>
      <c r="BF248" s="26" t="s">
        <v>864</v>
      </c>
      <c r="BG248" s="26" t="s">
        <v>864</v>
      </c>
      <c r="BH248" s="26" t="s">
        <v>864</v>
      </c>
      <c r="BI248" s="26" t="s">
        <v>864</v>
      </c>
      <c r="BJ248" s="26" t="s">
        <v>864</v>
      </c>
      <c r="BK248" s="26" t="s">
        <v>864</v>
      </c>
      <c r="BL248" s="26" t="s">
        <v>864</v>
      </c>
      <c r="BM248" s="26" t="s">
        <v>864</v>
      </c>
      <c r="BN248" s="22"/>
      <c r="BO248" s="22">
        <v>45092</v>
      </c>
      <c r="BP248" s="21" t="s">
        <v>864</v>
      </c>
      <c r="BQ248" s="222">
        <f t="shared" si="840"/>
        <v>0</v>
      </c>
      <c r="BR248" s="223" t="str">
        <f t="shared" si="841"/>
        <v/>
      </c>
      <c r="BS248" s="224">
        <f t="shared" si="842"/>
        <v>10.285714285714286</v>
      </c>
      <c r="BT248" s="216" t="str">
        <f t="shared" si="843"/>
        <v>DEFINIR CON ECO</v>
      </c>
      <c r="BU248" s="214">
        <f t="shared" ca="1" si="925"/>
        <v>20.142857142857142</v>
      </c>
      <c r="BV248" s="25"/>
      <c r="BW248" s="22"/>
      <c r="BX248" s="28"/>
      <c r="BY248" s="28"/>
      <c r="BZ248" s="22"/>
      <c r="CA248" s="21"/>
      <c r="CB248" s="26"/>
      <c r="CC248" s="26"/>
      <c r="CD248" s="26"/>
      <c r="CE248" s="26"/>
      <c r="CF248" s="22" t="s">
        <v>1517</v>
      </c>
      <c r="CG248" s="21">
        <v>1.5</v>
      </c>
      <c r="CH248" s="21">
        <v>49</v>
      </c>
      <c r="CI248" s="214">
        <f t="shared" si="845"/>
        <v>21.777777777777779</v>
      </c>
      <c r="CJ248" s="225" t="e">
        <f>IF(AND(CI248&lt;10,CH248="SD"),"SIN DATO PESO PREGESTACION O I TRIM",IF(AND(OR(R248&gt;0,O248&gt;0),CI248="X"),"INGRESAR DATO DE PESO",IF(CI248="SD","INGRESAR DATO DE TALLA Y PESO",IF(AND(OR(Tabla1[[#This Row],[MOMENTO EN QUE SE REALIZA EL PESO AL INGRESO A CPN]]="PREGESTACIÓN",NZ248="Menor"),CI248&lt;18.5),"BAJO PESO",IF(AND(OR(Tabla1[[#This Row],[MOMENTO EN QUE SE REALIZA EL PESO AL INGRESO A CPN]]="PREGESTACIÓN",NZ248="Menor"),CI248&lt;25),"NORMAL",IF(AND(OR(Tabla1[[#This Row],[MOMENTO EN QUE SE REALIZA EL PESO AL INGRESO A CPN]]="PREGESTACIÓN",NZ248="Menor"),CI248&lt;30),"SOBREPESO",IF(AND(OR(Tabla1[[#This Row],[MOMENTO EN QUE SE REALIZA EL PESO AL INGRESO A CPN]]="PREGESTACIÓN",NZ248="Menor"),CI248&gt;=30,CI248&lt;50),"OBESIDAD",IF(AND(BS248&gt;0,Tabla1[[#This Row],[MOMENTO EN QUE SE REALIZA EL PESO AL INGRESO A CPN]]="GESTACIÓN"),HLOOKUP(NZ248,$OA$2:PH248,NY248),""))))))))</f>
        <v>#REF!</v>
      </c>
      <c r="CK248" s="212">
        <f t="shared" si="846"/>
        <v>45164</v>
      </c>
      <c r="CL248" s="21">
        <v>49</v>
      </c>
      <c r="CM248" s="214">
        <f t="shared" si="847"/>
        <v>21.777777777777779</v>
      </c>
      <c r="CN248" s="216">
        <f t="shared" si="848"/>
        <v>10</v>
      </c>
      <c r="CO248" s="216" t="e">
        <f>IF(PI248="","",IF(PI248&gt;0,HLOOKUP(PI248,$PJ$2:QQ248,NY248),""))</f>
        <v>#REF!</v>
      </c>
      <c r="CP248" s="21"/>
      <c r="CQ248" s="216" t="str">
        <f>IF(QR248="Menor","NO APLICA-MENOR 13 SEM",IF(AND(CC248="SI",CN248&gt;23),"NO APLICA- GEMELAR",IF(QR248="","",IF(QR248&gt;0,HLOOKUP(QR248,$QS$2:RU248,NY248),""))))</f>
        <v>NO APLICA-MENOR 13 SEM</v>
      </c>
      <c r="CR248" s="21"/>
      <c r="CS248" s="21"/>
      <c r="CT248" s="217" t="str">
        <f>IF(R248="","",IF(AND(BS248&gt;1,BS248&lt;12,Tabla1[[#This Row],[T.A. SISTOLICA - ANTES DE SEMANA 12]]="",Tabla1[[#This Row],[T.A. DIASTOLICA - ANTES DE SEMANA 12]]=""),"REGISTRE DATO TA ANTES SEMANA 12",IF(AND(BS248&gt;11,BS248&lt;43,Tabla1[[#This Row],[T.A. SISTOLICA - ANTES DE SEMANA 12]]="",Tabla1[[#This Row],[T.A. DIASTOLICA - ANTES DE SEMANA 12]]=""),"NO APLICA REGISTRO TA-INGRESO TARDIO",IF(AND(OR(O248&gt;0,R248&gt;0),OR(CR248&gt;=140,CS248&gt;=90)),"DEFINIR ESTADIO HTA",IF(AND(OR(O248&gt;0,R248&gt;0),AND(CR248&gt;120,CR248&lt;=139)),"PRE HTA SEGUIMIENTO",IF(AND(OR(O248&gt;0,R248&gt;0),AND(CS248&gt;80,CS248&lt;=89)),"PRE HTA SEGUIMIENTO",IF(AND(OR(O248&gt;0,R248&gt;0),AND(CR248&gt;=80,CR248&lt;=120)),"APARENTEMENTE NORMAL",IF(AND(OR(O248&gt;0,R248&gt;0),AND(CS248&gt;=50,CS248&lt;=80)),"APARENTEMENTE NORMAL",IF(AND(OR(O248&gt;0,R248&gt;0),AND(CR248&gt;1,CR248&lt;=70),AND(CS248&gt;1,CS248&lt;=40)),"HIPOTENSIÓN","")))))))))</f>
        <v>REGISTRE DATO TA ANTES SEMANA 12</v>
      </c>
      <c r="CU248" s="21"/>
      <c r="CV248" s="21"/>
      <c r="CW248" s="217" t="str">
        <f ca="1">IF(R248="","",IF(AND(CN248&gt;19,CN248&lt;27,Tabla1[[#This Row],[T.A. SISTOLICA (Entre semana 20 y 26)]]="",Tabla1[[#This Row],[T.A. DIATOLICA (Entre semana 20 y 26)]]=""),"ACUDE A CONTROL SEM 20 A 26 REGISTRE TA AHORA",IF(AND(BS248&gt;1,BS248&lt;27,BU248&gt;19,Tabla1[[#This Row],[T.A. SISTOLICA (Entre semana 20 y 26)]]="",Tabla1[[#This Row],[T.A. DIATOLICA (Entre semana 20 y 26)]]=""),"COMPLETE REGISTRO TA CONTROL SEM 20 A26 ",IF(AND(BS248&gt;26,BS248&lt;43,Tabla1[[#This Row],[T.A. SISTOLICA (Entre semana 20 y 26)]]="",Tabla1[[#This Row],[T.A. DIATOLICA (Entre semana 20 y 26)]]=""),"NO APLICA REGISTRO TA-INGRESO TARDIO",IF(AND(OR(O248&gt;0,R248&gt;0),OR(CU248&gt;=140,CV248&gt;=90)),"ALTO RIESGO PREECLAMPSIA,DEFINIR ESTADIO HTA",IF(AND(OR(O248&gt;0,R248&gt;0),AND(CU248&gt;120,CU248&lt;=139)),"PRE HTA SEGUIMIENTO,RIESGO HIPERTENSION INDUCIDA POR EL EMBARAZO",IF(AND(OR(O248&gt;0,R248&gt;0),AND(CV248&gt;80,CV248&lt;=89)),"PRE HTA SEGUIMIENTO, RIESGO HIPERTENSION INDUCIDA POR EL EMBARAZO",IF(AND(OR(O248&lt;&gt;"",R248&lt;&gt;""),CS248&lt;&gt;"",CV248&lt;&gt;"",CS248&lt;=CV248),"VIGILAR CIFRAS PRESION ARTERIAL",IF(AND(OR(O248&gt;0,R248&gt;0),AND(CU248&gt;120,CU248&lt;=139)),"PRE HTA SEGUIMIENTO",IF(AND(OR(O248&gt;0,R248&gt;0),AND(CU248&gt;1,CU248&lt;=70),AND(CV248&gt;1,CV248&lt;=40)),"HIPOTENSIÓN",IF(AND(OR(O248&lt;&gt;"",R248&lt;&gt;""),CS248&lt;&gt;"",CV248&lt;&gt;"",CS248&gt;CV248),"APARENTEMENTE NORMAL",IF(AND(OR(O248&gt;0,R248&gt;0),AND(CU248&gt;=80,CU248&lt;=120)),"APARENTEMENTE NORMAL",IF(AND(OR(O248&gt;0,R248&gt;0),AND(CV248&gt;=50,CV248&lt;=80)),"APARENTEMENTE NORMAL","")))))))))))))</f>
        <v xml:space="preserve">COMPLETE REGISTRO TA CONTROL SEM 20 A26 </v>
      </c>
      <c r="CX248" s="21"/>
      <c r="CY248" s="21"/>
      <c r="CZ248" s="216" t="e">
        <f>IF(R248="","",IF(AND(CN248&gt;31,CN248&lt;35,CX248="",CY248=""),"ACUDE A CONTROL SEM 30 A 34- REGISTRE AHORA",IF(AND(BS248&gt;34,BS248&lt;43,#REF!="",#REF!=""),"NO APLICA-INGRESO TARDIO",IF(AND(OR(O248&gt;0,R248&gt;0),OR(CX248&gt;=140,CY248&gt;=90)),"ESTUDIO INMEDIATO HTA PARA DESCARTAR PREECLAMSIA",IF(AND(OR(O248&gt;0,R248&gt;0),AND(CX248&gt;=130,CX248&lt;=139)),"PRE HTA,RIESGO ALTO PREECLAMPSIA",IF(AND(OR(O248&gt;0,R248&gt;0),AND(CY248&gt;80,CY248&lt;=89)),"PRE HTA,RIESGO ALTO PREECLAMPSIA",IF(AND(OR(O248&gt;0,R248&gt;0),AND(CX248&gt;120,CX248&lt;=129)),"RANGO PREHIPERTENSIVO SEGUIMIENTO HTA",IF(AND(OR(O248&lt;&gt;"",R248&lt;&gt;""),CS248&lt;&gt;"",CY248&lt;&gt;"",CS248&lt;CY248),"VIGILAR CIFRAS PRESION ARTERIAL",IF(AND(OR(O248&lt;&gt;"",R248&lt;&gt;""),CS248&lt;&gt;"",CY248&lt;&gt;"",CS248=CY248),"APARENTEMENTE NORMAL",IF(AND(OR(O248&gt;0,R248&gt;0),CX248&gt;=80,CX248&lt;=120),"APARENTEMENTE NORMAL",IF(AND(OR(O248&gt;0,R248&gt;0),CY248&gt;=50,CY248&lt;=80),"APARENTEMENTE NORMAL","")))))))))))</f>
        <v>#REF!</v>
      </c>
      <c r="DA248" s="21">
        <v>90</v>
      </c>
      <c r="DB248" s="21">
        <v>60</v>
      </c>
      <c r="DC248" s="217" t="str">
        <f t="shared" si="849"/>
        <v>APARENTEMENTE NORMAL</v>
      </c>
      <c r="DD248" s="22">
        <v>45164</v>
      </c>
      <c r="DE248" s="22">
        <v>45164</v>
      </c>
      <c r="DF248" s="22"/>
      <c r="DG248" s="22"/>
      <c r="DH248" s="22"/>
      <c r="DI248" s="22"/>
      <c r="DJ248" s="22"/>
      <c r="DK248" s="22"/>
      <c r="DL248" s="22"/>
      <c r="DM248" s="22"/>
      <c r="DN248" s="22"/>
      <c r="DO248" s="22"/>
      <c r="DP248" s="22"/>
      <c r="DQ248" s="22"/>
      <c r="DR248" s="28"/>
      <c r="DS248" s="22"/>
      <c r="DT248" s="22"/>
      <c r="DU248" s="216" t="str">
        <f t="shared" ca="1" si="917"/>
        <v>EN ESPERA</v>
      </c>
      <c r="DV248" s="226" t="str">
        <f t="shared" si="918"/>
        <v>ACTIVA INGRESO A CPN</v>
      </c>
      <c r="DW248" s="212" t="e">
        <f>IF(Tabla1[[#This Row],[EDAD GESTACIONAL ÚLTIMO CPN]]="SD","CITA MANUAL",IF(Tabla1[[#This Row],[GESTANTES ACTUALES]]="SALIO PROGRAMA","NO APLICA",IF(AND(Tabla1[[#This Row],[EDAD GESTACIONAL ÚLTIMO CPN]]&gt;0,Tabla1[[#This Row],[EDAD GESTACIONAL ÚLTIMO CPN]]&lt;=35),WORKDAY(SUM(Tabla1[[#This Row],[FECHA ULTIMO CPN]]+30),1,#REF!),IF(AND(Tabla1[[#This Row],[EDAD GESTACIONAL ÚLTIMO CPN]]&gt;=36,Tabla1[[#This Row],[EDAD GESTACIONAL ÚLTIMO CPN]]&lt;=42),WORKDAY(SUM(Tabla1[[#This Row],[FECHA ULTIMO CPN]]+14)-3,1,#REF!),""))))</f>
        <v>#REF!</v>
      </c>
      <c r="DX248" s="216" t="e">
        <f t="shared" ca="1" si="850"/>
        <v>#REF!</v>
      </c>
      <c r="DY248" s="212">
        <f>IF(R248="","",IF(R248&gt;0,MAX(Tabla1[[#This Row],[FECHA C2]:[FECHA C13]],Tabla1[[#This Row],[FECHA CONSULTA PRIMERA VEZ PROGRAMA CPN ]])))</f>
        <v>45164</v>
      </c>
      <c r="DZ248" s="216">
        <f t="shared" si="851"/>
        <v>10</v>
      </c>
      <c r="EA248" s="222">
        <f>IF(R248&gt;0,SUM(COUNTA(DF248:DQ248)+COUNTA(Tabla1[[#This Row],[FECHA CONSULTA PRIMERA VEZ PROGRAMA CPN ]])),"")</f>
        <v>1</v>
      </c>
      <c r="EB248" s="222" t="str">
        <f t="shared" si="852"/>
        <v>NO</v>
      </c>
      <c r="EC248" s="214">
        <f t="shared" si="853"/>
        <v>9</v>
      </c>
      <c r="ED248" s="227">
        <f t="shared" si="854"/>
        <v>0.1111111111111111</v>
      </c>
      <c r="EE248" s="22">
        <v>45164</v>
      </c>
      <c r="EF248" s="22">
        <v>45164</v>
      </c>
      <c r="EG248" s="22">
        <v>45164</v>
      </c>
      <c r="EH248" s="22"/>
      <c r="EI248" s="22">
        <v>45164</v>
      </c>
      <c r="EJ248" s="22"/>
      <c r="EK248" s="22"/>
      <c r="EL248" s="21"/>
      <c r="EM248" s="21"/>
      <c r="EN248" s="22"/>
      <c r="EO248" s="222" t="str">
        <f t="shared" si="855"/>
        <v>TOMAR EXAMEN</v>
      </c>
      <c r="EP248" s="214" t="str">
        <f t="shared" si="856"/>
        <v/>
      </c>
      <c r="EQ248" s="216" t="str">
        <f t="shared" si="857"/>
        <v>POR DEFINIR</v>
      </c>
      <c r="ER248" s="24"/>
      <c r="ES248" s="22"/>
      <c r="ET248" s="29" t="str">
        <f t="shared" ca="1" si="919"/>
        <v>EN ESPERA PARA TOMA EXAMEN</v>
      </c>
      <c r="EU248" s="25" t="str">
        <f t="shared" si="858"/>
        <v/>
      </c>
      <c r="EV248" s="24"/>
      <c r="EW248" s="24"/>
      <c r="EX248" s="22"/>
      <c r="EY248" s="29" t="str">
        <f t="shared" si="1040"/>
        <v>TOMAR EXAMEN</v>
      </c>
      <c r="EZ248" s="25" t="str">
        <f t="shared" ca="1" si="1041"/>
        <v/>
      </c>
      <c r="FA248" s="21"/>
      <c r="FB248" s="22"/>
      <c r="FC248" s="29" t="str">
        <f t="shared" si="859"/>
        <v>TOMAR EXAMEN</v>
      </c>
      <c r="FD248" s="29"/>
      <c r="FE248" s="29"/>
      <c r="FF248" s="29"/>
      <c r="FG248" s="21" t="str">
        <f t="shared" ca="1" si="860"/>
        <v>PROGRAMAR TOMA PTOG SIGUIENTE CONTROL</v>
      </c>
      <c r="FH248" s="31"/>
      <c r="FI248" s="29" t="str">
        <f t="shared" si="861"/>
        <v>TOMAR EXAMEN</v>
      </c>
      <c r="FJ248" s="22"/>
      <c r="FK248" s="22"/>
      <c r="FL248" s="29" t="str">
        <f t="shared" ca="1" si="862"/>
        <v>PIERDE TOMA DE TAMIZAJE</v>
      </c>
      <c r="FM248" s="22"/>
      <c r="FN248" s="32"/>
      <c r="FO248" s="29" t="str">
        <f t="shared" ca="1" si="920"/>
        <v>EN RANGO PARA TOMAR EXAMEN</v>
      </c>
      <c r="FP248" s="22"/>
      <c r="FQ248" s="32"/>
      <c r="FR248" s="29" t="str">
        <f t="shared" ca="1" si="921"/>
        <v>EN ESPERA-ESTÁ I TRIM O II TRIM</v>
      </c>
      <c r="FS248" s="22"/>
      <c r="FT248" s="32"/>
      <c r="FU248" s="29" t="str">
        <f>IF(AND(FJ248="",FM248="",FP248="",FS248=""),"",IF(OR(OR(Tabla1[[#This Row],[TAMIZAJE  PARA SIFILIS  SEGÚN GPC SIFILIS I TRIMESTRE]]="P. R POSITIVA CASO SIFILIS",Tabla1[[#This Row],[TAMIZAJE  PARA SIFILIS  SEGÚN GPC SIFILIS II TRIMESTRE]]="P. R POSITIVA CASO SIFILIS",Tabla1[[#This Row],[TAMIZAJE  PARA SIFILIS  SEGÚN GPC SIFILIS III TRIMESTRE]]="P. R POSITIVA CASO SIFILIS",Tabla1[[#This Row],[TAMIZAJE  PARA SIFILIS  SEGÚN GPC SIFILIS INTRAPARTO]]="P. R POSITIVA CASO SIFILIS"),OR(Tabla1[[#This Row],[TAMIZAJE  PARA SIFILIS  SEGÚN GPC SIFILIS I TRIMESTRE]]="REINFECCIÓN-DILUCIONES AUMENTAN",Tabla1[[#This Row],[TAMIZAJE  PARA SIFILIS  SEGÚN GPC SIFILIS II TRIMESTRE]]="REINFECCIÓN-DILUCIONES AUMENTAN",Tabla1[[#This Row],[TAMIZAJE  PARA SIFILIS  SEGÚN GPC SIFILIS III TRIMESTRE]]="REINFECCIÓN-DILUCIONES AUMENTAN",Tabla1[[#This Row],[TAMIZAJE  PARA SIFILIS  SEGÚN GPC SIFILIS INTRAPARTO]]="REINFECCIÓN-DILUCIONES AUMENTAN")),"SIFILIS GESTACIONAL",""))</f>
        <v/>
      </c>
      <c r="FV248" s="28"/>
      <c r="FW248" s="22"/>
      <c r="FX248" s="29" t="str">
        <f t="shared" si="863"/>
        <v>TOMAR EXAMEN</v>
      </c>
      <c r="FY248" s="22"/>
      <c r="FZ248" s="22"/>
      <c r="GA248" s="29" t="str">
        <f t="shared" ca="1" si="936"/>
        <v>PIERDE TOMA DE TAMIZAJE</v>
      </c>
      <c r="GB248" s="22"/>
      <c r="GC248" s="22"/>
      <c r="GD248" s="29" t="str">
        <f t="shared" ca="1" si="1045"/>
        <v>EN RANGO PARA TOMAR EXAMEN</v>
      </c>
      <c r="GE248" s="22"/>
      <c r="GF248" s="22"/>
      <c r="GG248" s="29" t="str">
        <f t="shared" ca="1" si="923"/>
        <v>EN ESPERA-ESTÁ I TRIM O II TRIM</v>
      </c>
      <c r="GH248" s="22"/>
      <c r="GI248" s="29"/>
      <c r="GJ248" s="22"/>
      <c r="GK248" s="22"/>
      <c r="GL248" s="22"/>
      <c r="GM248" s="22"/>
      <c r="GN248" s="28"/>
      <c r="GO248" s="22"/>
      <c r="GP248" s="29" t="str">
        <f t="shared" si="864"/>
        <v>TOMAR EXAMEN</v>
      </c>
      <c r="GQ248" s="28"/>
      <c r="GR248" s="28"/>
      <c r="GS248" s="22" t="str">
        <f t="shared" si="1044"/>
        <v/>
      </c>
      <c r="GT248" s="22"/>
      <c r="GU248" s="29" t="str">
        <f t="shared" si="865"/>
        <v>TOMAR EXAMEN</v>
      </c>
      <c r="GV248" s="21" t="str">
        <f t="shared" si="866"/>
        <v>POR DEFINIR</v>
      </c>
      <c r="GW248" s="28"/>
      <c r="GX248" s="30"/>
      <c r="GY248" s="21"/>
      <c r="GZ248" s="21"/>
      <c r="HA248" s="21"/>
      <c r="HB248" s="21"/>
      <c r="HC248" s="21"/>
      <c r="HD248" s="21"/>
      <c r="HE248" s="21"/>
      <c r="HF248" s="22"/>
      <c r="HG248" s="22" t="str">
        <f>IF(OR(O248&gt;0,R248&gt;0),CONCATENATE(IF(Tabla1[[#This Row],[NECESIDAD O DESARMONIA DESDE LO PROPIO 1]]&lt;&gt;"",Tabla1[[#This Row],[NECESIDAD O DESARMONIA DESDE LO PROPIO 1]],""),"*",CONCATENATE(IF(Tabla1[[#This Row],[NECESIDAD O DESARMONIA DESDE LO PROPIO 12]]&lt;&gt;"",Tabla1[[#This Row],[NECESIDAD O DESARMONIA DESDE LO PROPIO 12]],""),"*",CONCATENATE(IF(Tabla1[[#This Row],[NECESIDAD O DESARMONIA DESDE LO PROPIO 13]]&lt;&gt;"",Tabla1[[#This Row],[NECESIDAD O DESARMONIA DESDE LO PROPIO 13]],""),"*",CONCATENATE(IF(Tabla1[[#This Row],[NECESIDAD O DESARMONIA DESDE LO PROPIO 14]]&lt;&gt;"",Tabla1[[#This Row],[NECESIDAD O DESARMONIA DESDE LO PROPIO 14]],""),"*",CONCATENATE(IF(Tabla1[[#This Row],[NECESIDAD O DESARMONIA DESDE LO PROPIO 15]]&lt;&gt;"",Tabla1[[#This Row],[NECESIDAD O DESARMONIA DESDE LO PROPIO 15]],""),"*",CONCATENATE(IF(Tabla1[[#This Row],[NECESIDAD O DESARMONIA DESDE LO PROPIO 16]]&lt;&gt;"",Tabla1[[#This Row],[NECESIDAD O DESARMONIA DESDE LO PROPIO 16]],""),"*",CONCATENATE(IF(Tabla1[[#This Row],[NECESIDAD O DESARMONIA DESDE LO PROPIO 17444]]&lt;&gt;"",Tabla1[[#This Row],[NECESIDAD O DESARMONIA DESDE LO PROPIO 17444]],"")))))))),"")</f>
        <v>******</v>
      </c>
      <c r="HH248" s="22" t="e">
        <f t="shared" si="867"/>
        <v>#REF!</v>
      </c>
      <c r="HI248" s="22" t="e">
        <f t="shared" ca="1" si="868"/>
        <v>#REF!</v>
      </c>
      <c r="HJ248" s="21"/>
      <c r="HK248" s="21" t="str">
        <f t="shared" si="869"/>
        <v>SIN ANTECEDENTES DE RIESGO</v>
      </c>
      <c r="HL248" s="24" t="str">
        <f t="shared" si="870"/>
        <v>APARENTEMENTE NORMAL</v>
      </c>
      <c r="HM248" s="21" t="e">
        <f t="shared" ca="1" si="871"/>
        <v>#REF!</v>
      </c>
      <c r="HN248" s="30" t="str">
        <f t="shared" si="924"/>
        <v>ACTIVA INGRESO A CPN</v>
      </c>
      <c r="HO248" s="21"/>
      <c r="HP248" s="21"/>
      <c r="HQ248" s="349"/>
      <c r="HR248" s="21" t="str">
        <f>IF(R248="","",IF(Tabla1[[#This Row],[ALARMA FACTORES DE RIESGO COMPLICACIONES HIPERTENSIVAS3]]="SIN ANTECEDENTES DE RIESGO","No Aplica para suministro de ASA",IF(AND(Tabla1[[#This Row],[FECHA INICIO DE SUMINISTRO DE ASA]]&gt;0,RV248&lt;12),"Inicia ASA ANTES de Sem 12",IF(AND(RV248&gt;11,RV248&lt;17,OR(HK248="RIESGO ALTO DE COMPLICACIONES HIPERTENSIVAS VER MANEJO GUIA SUMINISTRO ASA Y CALCIO",HK248="RIESGO MODERADO (2 O MAS CRITERIOS) VER MANEJO GUIA SUMINISTRO ASA Y CALCIO")),"Inicio oportuno de ASA",IF(AND(RV248&gt;12,OR(HK248="RIESGO ALTO DE COMPLICACIONES HIPERTENSIVAS VER MANEJO GUIA SUMINISTRO ASA Y CALCIO",HK248="RIESGO MODERADO (2 O MAS CRITERIOS) VER MANEJO GUIA SUMINISTRO ASA Y CALCIO")),"Inicio no oportuno mayor a 16 semanas",IF(AND(BU248&lt;12,OR(HK248="RIESGO ALTO DE COMPLICACIONES HIPERTENSIVAS VER MANEJO GUIA SUMINISTRO ASA Y CALCIO",HK248="RIESGO MODERADO (2 O MAS CRITERIOS) VER MANEJO GUIA SUMINISTRO ASA Y CALCIO")),"Pendiente Inicio de ASA a la semana 12",IF(AND(BU248&gt;11,BU248&lt;17,OR(HK248="RIESGO ALTO DE COMPLICACIONES HIPERTENSIVAS VER MANEJO GUIA SUMINISTRO ASA Y CALCIO",HK248="RIESGO MODERADO (2 O MAS CRITERIOS) VER MANEJO GUIA SUMINISTRO ASA Y CALCIO")),"Iniciar de inmediato ASA",IF(AND(BU248&gt;16,OR(HK248="RIESGO ALTO DE COMPLICACIONES HIPERTENSIVAS VER MANEJO GUIA SUMINISTRO ASA Y CALCIO",HK248="RIESGO MODERADO (2 O MAS CRITERIOS) VER MANEJO GUIA SUMINISTRO ASA Y CALCIO")),"Pierde Oportunidad, Inicio tardío de ASA","XXXXX"))))))))</f>
        <v>No Aplica para suministro de ASA</v>
      </c>
      <c r="HS248" s="22"/>
      <c r="HT248" s="22"/>
      <c r="HU248" s="22"/>
      <c r="HV248" s="22"/>
      <c r="HW248" s="22">
        <v>45164</v>
      </c>
      <c r="HX248" s="22" t="s">
        <v>1511</v>
      </c>
      <c r="HY248" s="22">
        <v>45164</v>
      </c>
      <c r="HZ248" s="28">
        <f t="shared" si="872"/>
        <v>10.285714285714286</v>
      </c>
      <c r="IA248" s="26"/>
      <c r="IB248" s="26"/>
      <c r="IC248" s="111"/>
      <c r="ID248" s="22"/>
      <c r="IE248" s="22" t="str">
        <f t="shared" ca="1" si="873"/>
        <v>PROGRAMAR APLICACION DE VACUNA</v>
      </c>
      <c r="IF248" s="22"/>
      <c r="IG248" s="22">
        <f t="shared" si="874"/>
        <v>45372</v>
      </c>
      <c r="IH248" s="29">
        <f t="shared" ca="1" si="875"/>
        <v>139</v>
      </c>
      <c r="II248" s="22" t="str">
        <f t="shared" ca="1" si="876"/>
        <v>PENDIENTE</v>
      </c>
      <c r="IJ248" s="22"/>
      <c r="IK248" s="21"/>
      <c r="IL248" s="21"/>
      <c r="IM248" s="34"/>
      <c r="IN248" s="22"/>
      <c r="IO248" s="21"/>
      <c r="IP248" s="29" t="str">
        <f t="shared" si="877"/>
        <v/>
      </c>
      <c r="IQ248" s="35"/>
      <c r="IR248" s="21"/>
      <c r="IS248" s="21"/>
      <c r="IT248" s="21"/>
      <c r="IU248" s="21"/>
      <c r="IV248" s="21"/>
      <c r="IW248" s="21"/>
      <c r="IX248" s="21"/>
      <c r="IY248" s="21"/>
      <c r="IZ248" s="21"/>
      <c r="JA248" s="21"/>
      <c r="JB248" s="30"/>
      <c r="JC248" s="21"/>
      <c r="JD248" s="36"/>
      <c r="JE248" s="21" t="str">
        <f t="shared" si="878"/>
        <v/>
      </c>
      <c r="JF248" s="30"/>
      <c r="JG248" s="21"/>
      <c r="JH248" s="21"/>
      <c r="JI248" s="21"/>
      <c r="JJ248" s="30"/>
      <c r="JK248" s="22"/>
      <c r="JL248" s="22"/>
      <c r="JM248" s="21"/>
      <c r="JN248" s="36"/>
      <c r="JO248" s="21" t="str">
        <f t="shared" si="879"/>
        <v/>
      </c>
      <c r="JP248" s="22"/>
      <c r="JQ248" s="21"/>
      <c r="JR248" s="21"/>
      <c r="JS248" s="21"/>
      <c r="JT248" s="30"/>
      <c r="JU248" s="22"/>
      <c r="JV248" s="22"/>
      <c r="JW248" s="33"/>
      <c r="JX248" s="28" t="str">
        <f t="shared" si="880"/>
        <v/>
      </c>
      <c r="JY248" s="33"/>
      <c r="JZ248" s="28" t="str">
        <f t="shared" si="881"/>
        <v/>
      </c>
      <c r="KA248" s="21"/>
      <c r="KB248" s="21"/>
      <c r="KC248" s="21"/>
      <c r="KD248" s="37"/>
      <c r="KE248" s="28"/>
      <c r="KF248" s="28"/>
      <c r="KG248" s="28"/>
      <c r="KH248" s="39"/>
      <c r="KI248" s="39"/>
      <c r="KJ248" s="66"/>
      <c r="KK248" s="39"/>
      <c r="KL248" s="39"/>
      <c r="KM248" s="66"/>
      <c r="KN248" s="39"/>
      <c r="KO248" s="39"/>
      <c r="KP248" s="39"/>
      <c r="KQ248" s="39"/>
      <c r="KR248" s="39"/>
      <c r="KS248" s="39"/>
      <c r="KT248" s="39"/>
      <c r="KU248" s="38"/>
      <c r="KV248" s="38"/>
      <c r="KW248" s="38"/>
      <c r="KX248" s="38"/>
      <c r="KY248" s="38"/>
      <c r="KZ248" s="38"/>
      <c r="LA248" s="38"/>
      <c r="LB248" s="38"/>
      <c r="LC248" s="38"/>
      <c r="LD248" s="38"/>
      <c r="LE248" s="38"/>
      <c r="LF248" s="38"/>
      <c r="LG248" s="38"/>
      <c r="LH248" s="38"/>
      <c r="LI248" s="38"/>
      <c r="LJ248" s="38"/>
      <c r="LK248" s="38"/>
      <c r="LL248" s="38"/>
      <c r="LM248" s="38"/>
      <c r="LN248" s="38"/>
      <c r="LO248" s="38"/>
      <c r="LP248" s="38"/>
      <c r="LQ248" s="38"/>
      <c r="LR248" s="38"/>
      <c r="LS248" s="38"/>
      <c r="LT248" s="38"/>
      <c r="LU248" s="38"/>
      <c r="LV248" s="38"/>
      <c r="LW248" s="38"/>
      <c r="LX248" s="38"/>
      <c r="LY248" s="38"/>
      <c r="LZ248" s="38"/>
      <c r="MA248" s="38"/>
      <c r="MB248" s="38"/>
      <c r="MC248" s="38"/>
      <c r="MD248" s="38"/>
      <c r="ME248" s="38"/>
      <c r="MF248" s="38"/>
      <c r="MG248" s="38"/>
      <c r="MH248" s="43">
        <f t="shared" si="882"/>
        <v>0</v>
      </c>
      <c r="MI248" s="43" t="str">
        <f t="shared" si="926"/>
        <v/>
      </c>
      <c r="MJ248" s="43" t="str">
        <f t="shared" si="884"/>
        <v/>
      </c>
      <c r="MK248" s="43">
        <f t="shared" si="885"/>
        <v>0</v>
      </c>
      <c r="ML248" s="43">
        <f>IF(AND(Tabla1[[#This Row],[FECHA DE IDENTIFICACION DE LA GESTANTE]]="",Tabla1[[#This Row],[FECHA CONSULTA PRIMERA VEZ PROGRAMA CPN ]]=""),"",IF(AND(Tabla1[[#This Row],[FECHA DE IDENTIFICACION DE LA GESTANTE]]&gt;0,Tabla1[[#This Row],[FECHA CONSULTA PRIMERA VEZ PROGRAMA CPN ]]=""),"SIN INGRESO CPN",IF(AND(Tabla1[[#This Row],[FECHA DE IDENTIFICACION DE LA GESTANTE]]="",Tabla1[[#This Row],[FECHA CONSULTA PRIMERA VEZ PROGRAMA CPN ]]&gt;0),"NO APLICA",SUM(Tabla1[[#This Row],[FECHA CONSULTA PRIMERA VEZ PROGRAMA CPN ]]-Tabla1[[#This Row],[FECHA DE IDENTIFICACION DE LA GESTANTE]]))))</f>
        <v>0</v>
      </c>
      <c r="MM248" s="43">
        <f t="shared" si="927"/>
        <v>10.285714285714286</v>
      </c>
      <c r="MN248" s="43">
        <f t="shared" si="928"/>
        <v>8</v>
      </c>
      <c r="MO248" s="43">
        <f t="shared" si="929"/>
        <v>2023</v>
      </c>
      <c r="MP248" s="43" t="str">
        <f t="shared" si="889"/>
        <v>III TRIMESTRE AÑO</v>
      </c>
      <c r="MQ248" s="43">
        <f t="shared" si="930"/>
        <v>15.768725361366622</v>
      </c>
      <c r="MR248" s="43">
        <f t="shared" si="891"/>
        <v>1</v>
      </c>
      <c r="MS248" s="43" t="str">
        <f t="shared" si="892"/>
        <v>DE 14 A 19AÑOS</v>
      </c>
      <c r="MT248" s="43">
        <f t="shared" si="893"/>
        <v>0</v>
      </c>
      <c r="MU248" s="43">
        <f t="shared" si="894"/>
        <v>1</v>
      </c>
      <c r="MV248" s="43">
        <f t="shared" si="895"/>
        <v>0</v>
      </c>
      <c r="MW248" s="43">
        <f t="shared" si="896"/>
        <v>0</v>
      </c>
      <c r="MX248" s="43" t="str">
        <f t="shared" si="897"/>
        <v/>
      </c>
      <c r="MY248" s="43" t="str">
        <f t="shared" ca="1" si="898"/>
        <v/>
      </c>
      <c r="MZ248" s="43" t="str">
        <f t="shared" si="899"/>
        <v/>
      </c>
      <c r="NA248" s="43" t="str">
        <f t="shared" si="900"/>
        <v/>
      </c>
      <c r="NB248" s="43" t="str">
        <f t="shared" si="901"/>
        <v/>
      </c>
      <c r="NC248" s="43" t="str">
        <f t="shared" si="902"/>
        <v/>
      </c>
      <c r="ND248" s="43">
        <f t="shared" ca="1" si="931"/>
        <v>2</v>
      </c>
      <c r="NE248" s="43">
        <f>IF(OR(O248&gt;0,R248&gt;0),SUM(COUNTIF(Tabla1[[#This Row],[AÑOS AL INICIO5 CPN]],"&gt;=40"),COUNTIF(AS248,"0"),COUNTIF(AR248,"SI"),COUNTIF(CC248,"SI"),COUNTIF(BQ248,"&gt;119"),COUNTIF(CI248,"&gt;=35")),"")</f>
        <v>1</v>
      </c>
      <c r="NF248" s="43" t="str">
        <f t="shared" si="932"/>
        <v/>
      </c>
      <c r="NG248" s="43">
        <f t="shared" si="905"/>
        <v>0</v>
      </c>
      <c r="NH248" s="43" t="str">
        <f t="shared" si="906"/>
        <v/>
      </c>
      <c r="NI248" s="43" t="e">
        <f ca="1">IF(Tabla1[[#This Row],[GESTANTES ACTUALES]]="IVE","I",IF(Tabla1[[#This Row],[GESTANTES ACTUALES]]="","SD",IF(Tabla1[[#This Row],[GESTANTES ACTUALES]]="SEGUIMIENTO REPORTE EPS","Y",IF(Tabla1[[#This Row],[GESTANTES ACTUALES]]="SALE SIN INGRESO CPN","X",IF(AND(Tabla1[[#This Row],[CITA PROXIMO CONTROL]]="",Tabla1[[#This Row],[GESTANTES ACTUALES]]="ACTIVA SIN INGRESO CPN",P248="NO"),"Z",IF(AND(Tabla1[[#This Row],[CITA PROXIMO CONTROL]]="CITA MANUAL",Tabla1[[#This Row],[GESTANTES ACTUALES]]="ACTIVA INGRESO A CPN"),"W",IF(AND(Tabla1[[#This Row],[GESTANTES ACTUALES]]="SALIO PROGRAMA",IN248=""),"S",IF(AND(Tabla1[[#This Row],[CITA PROXIMO CONTROL]]&gt;0,IN248=""),(Tabla1[[#This Row],[CITA PROXIMO CONTROL]]-TODAY()),"SD"))))))))</f>
        <v>#REF!</v>
      </c>
      <c r="NJ248" s="43">
        <f>MONTH(Tabla1[[#This Row],[FECHA DE SALIDA  DEL PROGRAMA]])</f>
        <v>1</v>
      </c>
      <c r="NK248" s="43">
        <f>YEAR(Tabla1[[#This Row],[FECHA DE SALIDA  DEL PROGRAMA]])</f>
        <v>1900</v>
      </c>
      <c r="NL248" s="43" t="str">
        <f t="shared" si="933"/>
        <v>X</v>
      </c>
      <c r="NM248" s="43" t="str">
        <f t="shared" si="938"/>
        <v>NO</v>
      </c>
      <c r="NN248" s="43" t="str">
        <f ca="1">IF(AND(O248&gt;0,R248=""),"NO CPN",IF(AND(O248="",R248=""),"",IF(AND(R248&gt;0,Tabla1[[#This Row],[SEMANAS DE GESTACION ACTUALIZADAS]]&lt;=12),"NO APLICA",IF(AND(FH248&lt;&gt;"",FN248&lt;&gt;""),"SI","NO"))))</f>
        <v>NO</v>
      </c>
      <c r="NO248" s="43" t="str">
        <f ca="1">IF(AND(O248&gt;0,R248=""),"NO CPN",IF(AND(O248="",R248=""),"",IF(AND(R248&gt;0,Tabla1[[#This Row],[SEMANAS DE GESTACION ACTUALIZADAS]]&lt;=27),"NO APLICA",IF(AND(ES248&lt;&gt;"",FQ248&lt;&gt;"",GF248&lt;&gt;""),"SI","NO"))))</f>
        <v>NO APLICA</v>
      </c>
      <c r="NP248" s="204" t="str">
        <f t="shared" si="909"/>
        <v>DEFINIR CON ECO</v>
      </c>
      <c r="NQ248" s="21" t="e">
        <f>IF(AND(#REF!&gt;0,#REF!&lt;37),10,IF(OR(#REF!="Transversa",#REF!="Oblicua"),9,IF(#REF!="SI",8,IF(AND(#REF!=0,#REF!=0,#REF!="NO",#REF!="Cefálica",#REF!&gt;=37,#REF!="INICIO ESPONTÁNEO"),1,IF(AND(AND(#REF!=0,#REF!=0,#REF!="NO",#REF!="Cefálica",#REF!&gt;=37),OR(#REF!="LE HACEN INDUCCIÓN",#REF!="LE HACEN CESÁREA SIN INICIO TRABAJO DE PARTO")),2,IF(AND(#REF!&gt;=1,#REF!=0,#REF!="NO",#REF!="Cefálica",#REF!&gt;=37,#REF!="INICIO ESPONTÁNEO"),3,IF(AND(AND(#REF!&gt;=1,#REF!=0,#REF!="NO",#REF!="Cefálica",#REF!&gt;=37),OR(#REF!="LE HACEN INDUCCIÓN",#REF!="LE HACEN CESÁREA SIN INICIO TRABAJO DE PARTO")),4,IF(AND(AND(#REF!&gt;=1,#REF!&gt;=1,#REF!="NO",#REF!="Cefálica",#REF!&gt;=37),OR(#REF!="LE HACEN INDUCCIÓN",#REF!="LE HACEN CESÁREA SIN INICIO TRABAJO DE PARTO",#REF!="INICIO ESPONTÁNEO")),5,IF(AND(AND(#REF!=0,#REF!=0,#REF!="NO",#REF!="Podálica",#REF!&gt;=1),OR(#REF!="LE HACEN INDUCCIÓN",#REF!="LE HACEN CESÁREA SIN INICIO TRABAJO DE PARTO",#REF!="INICIO ESPONTÁNEO")),6,IF(AND(AND(#REF!&gt;=1,#REF!="NO",#REF!="Podálica",#REF!&gt;=1),OR(#REF!="LE HACEN INDUCCIÓN",#REF!="LE HACEN CESÁREA SIN INICIO TRABAJO DE PARTO",#REF!="INICIO ESPONTÁNEO"),OR(#REF!=0,#REF!&gt;=1)),7,""))))))))))</f>
        <v>#REF!</v>
      </c>
      <c r="NR248" s="21">
        <f t="shared" ca="1" si="934"/>
        <v>2</v>
      </c>
      <c r="NS248" s="205">
        <f t="shared" ca="1" si="911"/>
        <v>0</v>
      </c>
      <c r="NT248" s="21">
        <f t="shared" ca="1" si="912"/>
        <v>0</v>
      </c>
      <c r="NU248" s="21" t="str">
        <f t="shared" ca="1" si="913"/>
        <v>INCOMPLETO</v>
      </c>
      <c r="NV248" s="21" t="str">
        <f t="shared" ca="1" si="914"/>
        <v>INCOMPLETO</v>
      </c>
      <c r="NW248" s="206" t="str">
        <f>IF(AND(O248="",R248=""),"",IF(OR(AND(Tabla1[[#This Row],[SUMINISTRO DE SULFATO FERROSO ]]="ADECUADO SEGÚN GPC",Tabla1[[#This Row],[SUMINISTRO CALCIO ]]="ADECUADO SEGÚN GPC",Tabla1[[#This Row],[SUMINISTRO DE ACIDO FOLICO ]]="ADECUADO SEGÚN GPC"),AND(Tabla1[[#This Row],[SUMINISTRO DE SULFATO FERROSO ]]="NO APLICA",Tabla1[[#This Row],[SUMINISTRO CALCIO ]]="ADECUADO SEGÚN GPC",Tabla1[[#This Row],[SUMINISTRO DE ACIDO FOLICO ]]="ADECUADO SEGÚN GPC"),AND(Tabla1[[#This Row],[SUMINISTRO DE SULFATO FERROSO ]]="ADECUADO SEGÚN GPC",Tabla1[[#This Row],[SUMINISTRO CALCIO ]]="NO APLICA",Tabla1[[#This Row],[SUMINISTRO DE ACIDO FOLICO ]]="ADECUADO SEGÚN GPC"),AND(Tabla1[[#This Row],[SUMINISTRO DE SULFATO FERROSO ]]="ADECUADO SEGÚN GPC",Tabla1[[#This Row],[SUMINISTRO CALCIO ]]="ADECUADO SEGÚN GPC",Tabla1[[#This Row],[SUMINISTRO DE ACIDO FOLICO ]]="NO APLICA"),AND(Tabla1[[#This Row],[SUMINISTRO DE SULFATO FERROSO ]]="NO APLICA",Tabla1[[#This Row],[SUMINISTRO CALCIO ]]="ADECUADO SEGÚN GPC",Tabla1[[#This Row],[SUMINISTRO DE ACIDO FOLICO ]]="NO APLICA"),AND(Tabla1[[#This Row],[SUMINISTRO DE SULFATO FERROSO ]]="NO APLICA",Tabla1[[#This Row],[SUMINISTRO CALCIO ]]="NO APLICA",Tabla1[[#This Row],[SUMINISTRO DE ACIDO FOLICO ]]="ADECUADO SEGÚN GPC"),AND(Tabla1[[#This Row],[SUMINISTRO DE SULFATO FERROSO ]]="ADECUADO SEGÚN GPC",Tabla1[[#This Row],[SUMINISTRO CALCIO ]]="NO APLICA",Tabla1[[#This Row],[SUMINISTRO DE ACIDO FOLICO ]]="NO APLICA"),AND(Tabla1[[#This Row],[SUMINISTRO DE SULFATO FERROSO ]]="NO APLICA",Tabla1[[#This Row],[SUMINISTRO CALCIO ]]="NO APLICA",Tabla1[[#This Row],[SUMINISTRO DE ACIDO FOLICO ]]="NO APLICA")),"COMPLETO","INCOMPLETO"))</f>
        <v>INCOMPLETO</v>
      </c>
      <c r="NX248" s="207" t="str">
        <f t="shared" ca="1" si="935"/>
        <v>SIN VACUNAR</v>
      </c>
      <c r="NY248" s="43">
        <f>ROW(Tabla1[[#This Row],['# DE TAMIZAJES SIFILIS TOMADOS ]])</f>
        <v>248</v>
      </c>
      <c r="NZ248" s="43">
        <f t="shared" si="939"/>
        <v>10</v>
      </c>
      <c r="OA248" s="43" t="str">
        <f t="shared" si="940"/>
        <v/>
      </c>
      <c r="OB248" s="43" t="str">
        <f t="shared" si="941"/>
        <v>NORMAL</v>
      </c>
      <c r="OC248" s="43" t="str">
        <f t="shared" si="942"/>
        <v/>
      </c>
      <c r="OD248" s="43" t="str">
        <f t="shared" si="943"/>
        <v/>
      </c>
      <c r="OE248" s="43" t="str">
        <f t="shared" si="944"/>
        <v/>
      </c>
      <c r="OF248" s="43" t="str">
        <f t="shared" si="945"/>
        <v/>
      </c>
      <c r="OG248" s="43" t="str">
        <f t="shared" si="946"/>
        <v/>
      </c>
      <c r="OH248" s="43" t="str">
        <f t="shared" si="947"/>
        <v/>
      </c>
      <c r="OI248" s="43" t="str">
        <f t="shared" si="948"/>
        <v/>
      </c>
      <c r="OJ248" s="43" t="str">
        <f t="shared" si="949"/>
        <v/>
      </c>
      <c r="OK248" s="43" t="str">
        <f t="shared" si="950"/>
        <v/>
      </c>
      <c r="OL248" s="43" t="str">
        <f t="shared" si="951"/>
        <v/>
      </c>
      <c r="OM248" s="43" t="str">
        <f t="shared" si="952"/>
        <v/>
      </c>
      <c r="ON248" s="43" t="str">
        <f t="shared" si="953"/>
        <v/>
      </c>
      <c r="OO248" s="43" t="str">
        <f t="shared" si="954"/>
        <v/>
      </c>
      <c r="OP248" s="43" t="str">
        <f t="shared" si="955"/>
        <v/>
      </c>
      <c r="OQ248" s="43" t="str">
        <f t="shared" si="956"/>
        <v/>
      </c>
      <c r="OR248" s="43" t="str">
        <f t="shared" si="957"/>
        <v/>
      </c>
      <c r="OS248" s="43" t="str">
        <f t="shared" si="958"/>
        <v/>
      </c>
      <c r="OT248" s="43" t="str">
        <f t="shared" si="959"/>
        <v/>
      </c>
      <c r="OU248" s="43" t="str">
        <f t="shared" si="960"/>
        <v/>
      </c>
      <c r="OV248" s="110" t="str">
        <f t="shared" si="961"/>
        <v/>
      </c>
      <c r="OW248" s="43" t="str">
        <f t="shared" si="962"/>
        <v/>
      </c>
      <c r="OX248" s="43" t="str">
        <f t="shared" si="963"/>
        <v/>
      </c>
      <c r="OY248" s="43" t="str">
        <f t="shared" si="964"/>
        <v/>
      </c>
      <c r="OZ248" s="43" t="str">
        <f t="shared" si="965"/>
        <v/>
      </c>
      <c r="PA248" s="43" t="str">
        <f t="shared" si="966"/>
        <v/>
      </c>
      <c r="PB248" s="43" t="str">
        <f t="shared" si="967"/>
        <v/>
      </c>
      <c r="PC248" s="43" t="str">
        <f t="shared" si="968"/>
        <v/>
      </c>
      <c r="PD248" s="43" t="str">
        <f t="shared" si="969"/>
        <v/>
      </c>
      <c r="PE248" s="43" t="str">
        <f t="shared" si="970"/>
        <v/>
      </c>
      <c r="PF248" s="43" t="str">
        <f t="shared" si="971"/>
        <v/>
      </c>
      <c r="PG248" s="43" t="str">
        <f t="shared" si="972"/>
        <v/>
      </c>
      <c r="PH248" s="43" t="str">
        <f t="shared" si="973"/>
        <v/>
      </c>
      <c r="PI248" s="43">
        <f t="shared" si="974"/>
        <v>10</v>
      </c>
      <c r="PJ248" s="43" t="str">
        <f t="shared" si="975"/>
        <v/>
      </c>
      <c r="PK248" s="43" t="str">
        <f t="shared" si="976"/>
        <v>NORMAL</v>
      </c>
      <c r="PL248" s="43" t="str">
        <f t="shared" si="977"/>
        <v/>
      </c>
      <c r="PM248" s="43" t="str">
        <f t="shared" si="978"/>
        <v/>
      </c>
      <c r="PN248" s="43" t="str">
        <f t="shared" si="979"/>
        <v/>
      </c>
      <c r="PO248" s="43" t="str">
        <f t="shared" si="980"/>
        <v/>
      </c>
      <c r="PP248" s="43" t="str">
        <f t="shared" si="981"/>
        <v/>
      </c>
      <c r="PQ248" s="43" t="str">
        <f t="shared" si="982"/>
        <v/>
      </c>
      <c r="PR248" s="43" t="str">
        <f t="shared" si="983"/>
        <v/>
      </c>
      <c r="PS248" s="43" t="str">
        <f t="shared" si="984"/>
        <v/>
      </c>
      <c r="PT248" s="43" t="str">
        <f t="shared" si="985"/>
        <v/>
      </c>
      <c r="PU248" s="43" t="str">
        <f t="shared" si="986"/>
        <v/>
      </c>
      <c r="PV248" s="43" t="str">
        <f t="shared" si="987"/>
        <v/>
      </c>
      <c r="PW248" s="43" t="str">
        <f t="shared" si="988"/>
        <v/>
      </c>
      <c r="PX248" s="43" t="str">
        <f t="shared" si="989"/>
        <v/>
      </c>
      <c r="PY248" s="43" t="str">
        <f t="shared" si="990"/>
        <v/>
      </c>
      <c r="PZ248" s="43" t="str">
        <f t="shared" si="991"/>
        <v/>
      </c>
      <c r="QA248" s="43" t="str">
        <f t="shared" si="992"/>
        <v/>
      </c>
      <c r="QB248" s="43" t="str">
        <f t="shared" si="993"/>
        <v/>
      </c>
      <c r="QC248" s="43" t="str">
        <f t="shared" si="994"/>
        <v/>
      </c>
      <c r="QD248" s="43" t="str">
        <f t="shared" si="995"/>
        <v/>
      </c>
      <c r="QE248" s="43" t="str">
        <f t="shared" si="996"/>
        <v/>
      </c>
      <c r="QF248" s="43" t="str">
        <f t="shared" si="997"/>
        <v/>
      </c>
      <c r="QG248" s="43" t="str">
        <f t="shared" si="998"/>
        <v/>
      </c>
      <c r="QH248" s="43" t="str">
        <f t="shared" si="999"/>
        <v/>
      </c>
      <c r="QI248" s="43" t="str">
        <f t="shared" si="1000"/>
        <v/>
      </c>
      <c r="QJ248" s="43" t="str">
        <f t="shared" si="1001"/>
        <v/>
      </c>
      <c r="QK248" s="43" t="str">
        <f t="shared" si="1002"/>
        <v/>
      </c>
      <c r="QL248" s="43" t="str">
        <f t="shared" si="1003"/>
        <v/>
      </c>
      <c r="QM248" s="43" t="str">
        <f t="shared" si="1004"/>
        <v/>
      </c>
      <c r="QN248" s="43" t="str">
        <f t="shared" si="1005"/>
        <v/>
      </c>
      <c r="QO248" s="43" t="str">
        <f t="shared" si="1006"/>
        <v/>
      </c>
      <c r="QP248" s="43" t="str">
        <f t="shared" si="1007"/>
        <v/>
      </c>
      <c r="QQ248" s="43" t="str">
        <f t="shared" si="1008"/>
        <v/>
      </c>
      <c r="QR248" s="43" t="str">
        <f t="shared" si="1009"/>
        <v>Menor</v>
      </c>
      <c r="QS248" s="43"/>
      <c r="QT248" s="21" t="str">
        <f t="shared" si="1010"/>
        <v/>
      </c>
      <c r="QU248" s="21" t="str">
        <f t="shared" si="1011"/>
        <v/>
      </c>
      <c r="QV248" s="21" t="str">
        <f t="shared" si="1012"/>
        <v/>
      </c>
      <c r="QW248" s="21" t="str">
        <f t="shared" si="1013"/>
        <v/>
      </c>
      <c r="QX248" s="21" t="str">
        <f t="shared" si="1014"/>
        <v/>
      </c>
      <c r="QY248" s="21" t="str">
        <f t="shared" si="1015"/>
        <v/>
      </c>
      <c r="QZ248" s="21" t="str">
        <f t="shared" si="1016"/>
        <v/>
      </c>
      <c r="RA248" s="21" t="str">
        <f t="shared" si="1017"/>
        <v/>
      </c>
      <c r="RB248" s="21" t="str">
        <f t="shared" si="1018"/>
        <v/>
      </c>
      <c r="RC248" s="21" t="str">
        <f t="shared" si="1019"/>
        <v/>
      </c>
      <c r="RD248" s="21" t="str">
        <f t="shared" si="1020"/>
        <v/>
      </c>
      <c r="RE248" s="21" t="str">
        <f t="shared" si="1021"/>
        <v/>
      </c>
      <c r="RF248" s="21" t="str">
        <f t="shared" si="1022"/>
        <v/>
      </c>
      <c r="RG248" s="21" t="str">
        <f t="shared" si="1023"/>
        <v/>
      </c>
      <c r="RH248" s="21" t="str">
        <f t="shared" si="1024"/>
        <v/>
      </c>
      <c r="RI248" s="21" t="str">
        <f t="shared" si="1025"/>
        <v/>
      </c>
      <c r="RJ248" s="21" t="str">
        <f t="shared" si="1026"/>
        <v/>
      </c>
      <c r="RK248" s="21" t="str">
        <f t="shared" si="1027"/>
        <v/>
      </c>
      <c r="RL248" s="21" t="str">
        <f t="shared" si="1028"/>
        <v/>
      </c>
      <c r="RM248" s="21" t="str">
        <f t="shared" si="1029"/>
        <v/>
      </c>
      <c r="RN248" s="21" t="str">
        <f t="shared" si="1030"/>
        <v/>
      </c>
      <c r="RO248" s="21" t="str">
        <f t="shared" si="1031"/>
        <v/>
      </c>
      <c r="RP248" s="21" t="str">
        <f t="shared" si="1032"/>
        <v/>
      </c>
      <c r="RQ248" s="21" t="str">
        <f t="shared" si="1033"/>
        <v/>
      </c>
      <c r="RR248" s="21" t="str">
        <f t="shared" si="1034"/>
        <v/>
      </c>
      <c r="RS248" s="21" t="str">
        <f t="shared" si="1035"/>
        <v/>
      </c>
      <c r="RT248" s="21" t="str">
        <f t="shared" si="1036"/>
        <v/>
      </c>
      <c r="RU248" s="21" t="str">
        <f t="shared" si="1037"/>
        <v/>
      </c>
      <c r="RV248" s="21">
        <f t="shared" si="1038"/>
        <v>-1</v>
      </c>
      <c r="RW248" s="284">
        <f>IF(OR(Tabla1[[#This Row],[FUM FORMULA CONFIABLE]]="",Tabla1[[#This Row],[FUM FORMULA CONFIABLE]]="SD"),"",IF(Tabla1[[#This Row],[FUM FORMULA CONFIABLE]]="CORREGIDA",Tabla1[[#This Row],[FUM X ECO 1]],Tabla1[[#This Row],[FUM x AMENORREA]]))</f>
        <v>45092</v>
      </c>
      <c r="RX248" s="21" t="str">
        <f>IF(AND(Tabla1[[#This Row],[FUM X ECO 1]]="",Tabla1[[#This Row],[FUM x AMENORREA]]=""),"",IF(AND(Tabla1[[#This Row],[FUM X ECO 1]]="",Tabla1[[#This Row],[FUM x AMENORREA]]&lt;&gt;""),"X",SUM(Tabla1[[#This Row],[FUM X ECO 1]]-Tabla1[[#This Row],[FUM x AMENORREA]])))</f>
        <v>X</v>
      </c>
      <c r="RY248" s="21" t="str">
        <f t="shared" si="1039"/>
        <v>x</v>
      </c>
    </row>
  </sheetData>
  <protectedRanges>
    <protectedRange algorithmName="SHA-512" hashValue="+u8ETP7RnmTFzwP1xRwajJa0k8e4nLv8tEoGW4GVn+3uAiDu7IjPSpc8eJAORlZW6vPJAWwmGRugW8VCG8sO4g==" saltValue="npbfSwlEiEyOodcwZD1w4Q==" spinCount="100000" sqref="DS2:DT2" name="Rango2_78_1"/>
    <protectedRange algorithmName="SHA-512" hashValue="9+DNppQbWrLYYUMoJ+lyQctV2bX3Vq9kZnegLbpjTLP49It2ovUbcartuoQTeXgP+TGpY//7mDH/UQlFCKDGiA==" saltValue="KUnni6YEm00anzSSvyLqQA==" spinCount="100000" sqref="NQ2:NT2 NW2:NX2" name="Rango2_23"/>
    <protectedRange algorithmName="SHA-512" hashValue="9+DNppQbWrLYYUMoJ+lyQctV2bX3Vq9kZnegLbpjTLP49It2ovUbcartuoQTeXgP+TGpY//7mDH/UQlFCKDGiA==" saltValue="KUnni6YEm00anzSSvyLqQA==" spinCount="100000" sqref="IT2" name="Rango2_21"/>
    <protectedRange algorithmName="SHA-512" hashValue="9+DNppQbWrLYYUMoJ+lyQctV2bX3Vq9kZnegLbpjTLP49It2ovUbcartuoQTeXgP+TGpY//7mDH/UQlFCKDGiA==" saltValue="KUnni6YEm00anzSSvyLqQA==" spinCount="100000" sqref="FM295 FM535 FM557" name="Rango2_18"/>
    <protectedRange algorithmName="SHA-512" hashValue="9+DNppQbWrLYYUMoJ+lyQctV2bX3Vq9kZnegLbpjTLP49It2ovUbcartuoQTeXgP+TGpY//7mDH/UQlFCKDGiA==" saltValue="KUnni6YEm00anzSSvyLqQA==" spinCount="100000" sqref="GZ2:HE2" name="Rango2_14"/>
    <protectedRange algorithmName="SHA-512" hashValue="9+DNppQbWrLYYUMoJ+lyQctV2bX3Vq9kZnegLbpjTLP49It2ovUbcartuoQTeXgP+TGpY//7mDH/UQlFCKDGiA==" saltValue="KUnni6YEm00anzSSvyLqQA==" spinCount="100000" sqref="GG2" name="Rango2_13"/>
    <protectedRange algorithmName="SHA-512" hashValue="9+DNppQbWrLYYUMoJ+lyQctV2bX3Vq9kZnegLbpjTLP49It2ovUbcartuoQTeXgP+TGpY//7mDH/UQlFCKDGiA==" saltValue="KUnni6YEm00anzSSvyLqQA==" spinCount="100000" sqref="GD2" name="Rango2_12"/>
    <protectedRange algorithmName="SHA-512" hashValue="9+DNppQbWrLYYUMoJ+lyQctV2bX3Vq9kZnegLbpjTLP49It2ovUbcartuoQTeXgP+TGpY//7mDH/UQlFCKDGiA==" saltValue="KUnni6YEm00anzSSvyLqQA==" spinCount="100000" sqref="GA2" name="Rango2_11"/>
    <protectedRange algorithmName="SHA-512" hashValue="9+DNppQbWrLYYUMoJ+lyQctV2bX3Vq9kZnegLbpjTLP49It2ovUbcartuoQTeXgP+TGpY//7mDH/UQlFCKDGiA==" saltValue="KUnni6YEm00anzSSvyLqQA==" spinCount="100000" sqref="FU2" name="Rango2_8"/>
    <protectedRange algorithmName="SHA-512" hashValue="9+DNppQbWrLYYUMoJ+lyQctV2bX3Vq9kZnegLbpjTLP49It2ovUbcartuoQTeXgP+TGpY//7mDH/UQlFCKDGiA==" saltValue="KUnni6YEm00anzSSvyLqQA==" spinCount="100000" sqref="FR2" name="Rango2_3"/>
    <protectedRange algorithmName="SHA-512" hashValue="9+DNppQbWrLYYUMoJ+lyQctV2bX3Vq9kZnegLbpjTLP49It2ovUbcartuoQTeXgP+TGpY//7mDH/UQlFCKDGiA==" saltValue="KUnni6YEm00anzSSvyLqQA==" spinCount="100000" sqref="FO2" name="Rango2_2"/>
    <protectedRange algorithmName="SHA-512" hashValue="9+DNppQbWrLYYUMoJ+lyQctV2bX3Vq9kZnegLbpjTLP49It2ovUbcartuoQTeXgP+TGpY//7mDH/UQlFCKDGiA==" saltValue="KUnni6YEm00anzSSvyLqQA==" spinCount="100000" sqref="FL2" name="Rango2_1"/>
    <protectedRange algorithmName="SHA-512" hashValue="pQ6vInBI7jDXfrmgGnBjneiSUgubKo9e3UhSr5pntFxC4lQ1L2R7W9mWn9K/xCr9KtD58PriWM0QPl5YbrSUiw==" saltValue="L8IhfO9AhXeu6nkwX8uk8g==" spinCount="100000" sqref="ML2:MM2 NG2 NL2:NP2 ML3:NX1942" name="Rango2_28"/>
    <protectedRange algorithmName="SHA-512" hashValue="2gOcTv8KhhbatWH2J4ld+83e9uojIkSnFb/vPHIX4VEVy4wxI/E7XMqIA+G/US6qZvoaS/ShHA0kq75uL35u7Q==" saltValue="lGxNNsLHiq6QaaaiDiz4eg==" spinCount="100000" sqref="FA2:FB2" name="Rango2_97"/>
    <protectedRange algorithmName="SHA-512" hashValue="cjB0/89+phf70Vhq9PW8mqFIBSi0NBIwb6Nu68c2KHw5qNJONhOzx/CkyH9AcA1QkhnV2r8TzORgeQ70DsWEuQ==" saltValue="HzeP5EzY+7kwoprfNZQSZw==" spinCount="100000" sqref="EV2:EX2" name="Rango2_96"/>
    <protectedRange algorithmName="SHA-512" hashValue="JwKj3a/zHcB6OOxORC1rYfgpKP/CMRF35vaDwtzTtmBZNFABo9rl+UzICIiMUvVtXhbFZVhylar0BVBIrqUYYA==" saltValue="pPGeTouPdUhW9uae14eM0w==" spinCount="100000" sqref="ER2:ES2" name="Rango2_89"/>
    <protectedRange algorithmName="SHA-512" hashValue="aFc1WXUOJlOo+G2n8ZMY7F5piiLTFVnl4myPipBDWxoC1s3J8AWOGcIhveE/wNCm1zt7bC0JDSax037/ZOICnA==" saltValue="Q4P5E34bqyzrOFTtjh+sIg==" spinCount="100000" sqref="EE2:EN2" name="Rango2_79"/>
    <protectedRange algorithmName="SHA-512" hashValue="+u8ETP7RnmTFzwP1xRwajJa0k8e4nLv8tEoGW4GVn+3uAiDu7IjPSpc8eJAORlZW6vPJAWwmGRugW8VCG8sO4g==" saltValue="npbfSwlEiEyOodcwZD1w4Q==" spinCount="100000" sqref="DF2:DR2 DY2:DZ2 DU2" name="Rango2_78"/>
    <protectedRange algorithmName="SHA-512" hashValue="AmShRyS+16Qs2BAZ2jEJmR8q4zwuR3AjsYFWdb6c6aytHxbFJLulrvObDr2kyHHRhPg6fzAQPYzu7q9IrbOxkA==" saltValue="0EK3h3EL96Rl36tD7x/AxA==" spinCount="100000" sqref="DW2" name="Rango2_77"/>
    <protectedRange algorithmName="SHA-512" hashValue="8gRCTdt0CNtAO2dLV7Ct38/1JJKSzBiwhK4l2Em6CDpHvIllFdFzx1YNg/kImKvJJhopgl5OzaGCDGoQ3Seiug==" saltValue="p/Nnn3bmS6wapzp//VS6xw==" spinCount="100000" sqref="DD2:DE2" name="Rango2_75"/>
    <protectedRange algorithmName="SHA-512" hashValue="SWHd6qxoLe+bNriEbglZF1YJHrgjbzfRYXYEkAC/lNyLPenLVZ5nZzJ4kqugo93eLe7TsjNhpscveFFzvhDeXg==" saltValue="0midFXnAtyNshnWzg7j43A==" spinCount="100000" sqref="CX2:CY2 DA2:DB2" name="Rango2_63"/>
    <protectedRange algorithmName="SHA-512" hashValue="vkhPwR+4/byQ/qzcvxgTSwv0zZqkaSroRDhGyI+YhTtMvE0/DSbTvjZN9ZhHZktdTC4DmOgN5qa0D1ikp49lEg==" saltValue="d3jpjbPieahmRekiMD/SSw==" spinCount="100000" sqref="CU2:CV2" name="Rango2_60"/>
    <protectedRange algorithmName="SHA-512" hashValue="t1p36nz9q9KMBzmJFqdunMEiSg1ifvyleFLlXiI3n35hD4pvmEvEyQ0aLv/sFsnuoJI5iTPhALzxlnAUOqMorA==" saltValue="/ans6lUxqRcCPhXNR86ZmQ==" spinCount="100000" sqref="CR2:CS2" name="Rango2_59"/>
    <protectedRange algorithmName="SHA-512" hashValue="a12pJC7sywDpBhhBFqNclpXnG0kDSF+2teaYUx/IkA50kIDDwWTi3ROx6eSgo00jHouMrSxeYC6zq2M3cVX1rA==" saltValue="JxWAHhMbnJFgFI/3ZoTuwA==" spinCount="100000" sqref="CN2" name="Rango2_58"/>
    <protectedRange algorithmName="SHA-512" hashValue="zChlKA2QHLoNazmxQG0BPQVppql2992TAH/DfI7y2lj+Ho95p5JOqiNXfpbO0YhlW/TCDpaEIEyVrS/kQbnQlA==" saltValue="in8Bma4955Tm/LjJCuSDog==" spinCount="100000" sqref="CL2" name="Rango2_57"/>
    <protectedRange algorithmName="SHA-512" hashValue="kWgY2hoF4KcIxdFPxQipujL/Tey4N4aNp7Z1M/Kh7vAUiOnfu8rofah+OZuthxnoikdOBEOB2ozj6nZk5hNzAg==" saltValue="irDz92D4scIQlSA43H+0Hg==" spinCount="100000" sqref="CK2" name="Rango2_56"/>
    <protectedRange algorithmName="SHA-512" hashValue="5InfS2vnDalKnufFiqFUvr4P4JViu8X2tHBM9Y1eg5Bzc96fjwSxrumO4AJMDdb6F+n7/iptghai6C6flopOnw==" saltValue="43IKR18eirSZT50xvmea9Q==" spinCount="100000" sqref="BZ2:CA2 CF2:CH2 CP2" name="Rango2_51"/>
    <protectedRange algorithmName="SHA-512" hashValue="vFJvjG+iQrj8vDWVDifD5qDOHBOSB9V8wt0/5OJVoxWwruwuccUmaqzIh5JUODzpDmxUROk2xJzyAFtKXgcHQg==" saltValue="lgDVsS9IWXRoh0tXSdkS+g==" spinCount="100000" sqref="BV2:BY2" name="Rango2_31"/>
    <protectedRange algorithmName="SHA-512" hashValue="RZ02o6S0Mo4cSN0uwEzcJ/558fbGU6fLMxQojIuecIts7rJg6uw6+43q9f9okZ7VyKkFm2ilAAYEIZzdX+QIyg==" saltValue="XuWkTez3QIGAk7pe3zpNmw==" spinCount="100000" sqref="BO2:BP2" name="Rango2_29"/>
    <protectedRange algorithmName="SHA-512" hashValue="WNZU3jjEATib8ybpiFObhOTRkdEQuE8Jup1V/OYC6qXzSYkXKP/HDDhIGNlcclthkWG9WF2246GAKTIu+PwOyQ==" saltValue="D9mkQ7CIj7KAkiw7OWU/8g==" spinCount="100000" sqref="BN2" name="Rango2_27"/>
    <protectedRange algorithmName="SHA-512" hashValue="YRHPUqMmepU5uJeUadNBpjTbnssMrleyPZ1FIcyRUHikknEWIOuqFlUpFYanUAt+RrR6WdIxfmY53S47/UJA2g==" saltValue="H2y28rMTiCh6/OyAqBW4cA==" spinCount="100000" sqref="CB2:CE2 BD2:BM2" name="Rango2_9"/>
    <protectedRange algorithmName="SHA-512" hashValue="cAqnPN+UCIZzte8I1PR0A+E1NnkaKA1uIlTKaL2Ooq+bsEVoZy+3rFiHfZ83amseg3KrfSyT3g0I28v4fEOZZA==" saltValue="8U9Hp6LW9UleuWFcK7+zGw==" spinCount="100000" sqref="C2 AL2:BC2" name="Rango2_6"/>
    <protectedRange algorithmName="SHA-512" hashValue="sMY+pHLlO5KJvSN2d2UyDF9UqaYlI9+bYSZVe6vzz5hc8EF5TJqLns5LNTZaakwfC7zWg4d61TtgmLrIuw1rJQ==" saltValue="kY3lBDcBh4szOfiRKeVn3w==" spinCount="100000" sqref="S2:AC2 AE2:AJ2" name="Rango2_5"/>
    <protectedRange algorithmName="SHA-512" hashValue="leWdZjnXA1ZUAjY4P4D99in2DAqSbdhZWN2583ktIGRcveG4iPy27xRGLZrv61dceCUHijEcH27zWZkj599aPA==" saltValue="u3ztF6NvYJB1BmfbV7Xk8g==" spinCount="100000" sqref="Q2:R2" name="Rango2_4"/>
    <protectedRange algorithmName="SHA-512" hashValue="6a5oYwZw9WJcgjqXpleUXH8uaqNEuymPPpeOb7lKBc1WoM6IG/DNyDLWmj2lYwxnZO2yhl+B61kwrxD9m9AdhQ==" saltValue="tdNQPzLQd+n9Ww064QJIaQ==" spinCount="100000" sqref="J234 I3:I1942" name="Rango2_61"/>
    <protectedRange algorithmName="SHA-512" hashValue="Gqwr8n5jYbCESAqCFk8dpOzViQICBV+k0xoqBoQaZ5lHaRlvT9TZDB4yXtm+qC6OhD064ZDBOFWkwo+LHXu1sg==" saltValue="gEL9PCN2ekF2IxW9yqAGYA==" spinCount="100000" sqref="IJ4:IJ1942" name="Rango2_40_2"/>
    <protectedRange algorithmName="SHA-512" hashValue="EEHzbvEYwO1eufllBljOz0uf9BJ2ENtvOScQ7IsS321QhYbwKn7qhHKKP8cKj02rTDvVRMWvwQ1ZP0mZWsBprQ==" saltValue="CjXqBRFbKezlWOFV37MnDQ==" spinCount="100000" sqref="GQ202 GQ4:GR98 GQ99 GQ200:GR201 GQ199 GT201 GQ100:GR198 GN4:GN1942 GW4:GW1942 GQ203:GR1942" name="Rango2_30_2"/>
    <protectedRange algorithmName="SHA-512" hashValue="Rgskw+AQdeJ5qbJdarzTa3SCkJfDGziy0Uan5N0F3IWn/H3Z/e+VcB56R7Nes7MPxNHewNP1sSSucVjz3iTLeA==" saltValue="qKZH3DnwaZHBzy3cBZo1qQ==" spinCount="100000" sqref="GF4:GF53 GF55:GF103 GF149:GF159 GF161:GF169 GF105:GF137 GF139:GF147 GF171:GF1942" name="Rango2_31_28"/>
    <protectedRange algorithmName="SHA-512" hashValue="Umj9+5Ys20VQPxBFtc6qE5LtKKSgPKwit+B8dd4XnEUaLfBM2ozpkEC4YxwK0SbBiAHDDex+pY+LomQ0lyuamQ==" saltValue="N2/MCRws+mmA+NXw0axolg==" spinCount="100000" sqref="FY4:FY89 GJ4:GJ1942 GH4:GH1942 GE4:GE1942 GL4:GL1942 GB4:GB1942 FY91:FY1942" name="Rango2_31_2"/>
    <protectedRange algorithmName="SHA-512" hashValue="GQxmOzaTuMFsDZHCl1ODFaXPPghrRZcRpa/1VH3algTqDX4GRiaFFj6Q2wDsqOuE7x55/FLHiiv9LV1tbOzWGQ==" saltValue="cUsFM4zNMtXa1it2k0Up7Q==" spinCount="100000" sqref="CN3:CN1942" name="Rango2_20_3"/>
    <protectedRange algorithmName="SHA-512" hashValue="RQ91b7oAw60DVtcgB2vRpial2kSdzJx5guGCTYUwXYkKrtrUHfiYnLf9R+SNpYXlJDYpyEJLhcWwP0EqNN86dQ==" saltValue="W3RbH3zrcY9sy39xNwXNxg==" spinCount="100000" sqref="AY219:BI219 BA223:BM233 BD249:BM1942 BD3:BM66 BD168:BI168 BL168:BM168 BD67:BI67 BL67:BM67 BD90:BI90 BL90:BM90 BD166:BM167 BL122:BM122 BL137:BM137 BD94:BI94 BL94:BM94 BL155:BM156 BL185:BM185 BL108:BM108 BL164:BM165 BL148:BM148 BL145:BM145 BL101:BM101 BL171:BM171 BD184:BM184 BL180:BM180 BL133:BM133 AX211:BI212 BD173:BM173 BD136:BM136 BD146:BM146 BD158:BM158 BD140:BM142 BD68:BM89 BD95:BM99 BD100:BJ101 BK100:BM100 BD102:BM105 BD106:BJ108 BK106:BM107 BD121:BJ126 BK134:BM135 BD132:BJ135 BD137:BJ139 BK138:BM139 BD143:BJ145 BD147:BJ154 BK147:BM147 BK149:BM154 BD155:BI157 BK157:BM157 BJ156:BJ157 BD159:BJ165 BK159:BM163 BK169:BM170 BD169:BJ172 BK172:BM172 BK181:BM183 BD174:BJ183 BK174:BM179 BD185:BJ185 BK211:BM212 BD202:BI209 BK202:BM209 BJ202:BJ213 BA222:BI222 BK219:BM222 BD91:BM93 BD109:BM120 BK121:BM121 BK123:BM126 BD127:BM131 BK132:BM132 BK143:BM144 BB234:BM248 BJ216:BJ222 AX220:BI221 BD186:BM201 CB3:CE1942" name="Rango2_88_99"/>
    <protectedRange algorithmName="SHA-512" hashValue="fMbmUM1DQ7FuAPRNvFL5mPdHUYjQnlLFhkuaxvHguaqR7aWyDxcmJs0jLYQfQKY+oyhsMb4Lew4VL6i7um3/ew==" saltValue="ydaTm0CeH8+/cYqoL/AMaQ==" spinCount="100000" sqref="AX219 AX222:AZ233 AX249:BC1942 AX210:BI210 BJ168:BK168 BJ67:BK67 BJ90:BK90 BK122 BK137 BJ94:BK94 BJ155:BK155 BK185 BK108 BK164:BK165 BK148 BK145 BK101 BK171 BK180 BK133 BK156 BK210:BN210 AX213:BI213 BK213:BM213 BK216:BM218 AX216:BI218 AX234:BA248 AX3:BC209 AV3:AV1942 AX214:BM215" name="Rango2_88_91"/>
    <protectedRange algorithmName="SHA-512" hashValue="CHipOQaT63FWw628cQcXXJRZlrbNZ7OgmnEbDx38UmmH7z19GRYEzXFiVOzHAy1OAaAbST7g2bHZHDKQp2qm3w==" saltValue="iRVuL+373yLHv0ZHzS9qog==" spinCount="100000" sqref="AM220:AR220 AL220:AL221 AL249:AL1942 AL207:AR210 AN90 AN94 AQ94:AR94 AM218:AR218 AL3:AL206 AJ3:AJ1942 AG3:AH1942 AL212:AL218 AM213:AR216" name="Rango2_88_7_5"/>
    <protectedRange algorithmName="SHA-512" hashValue="NkG6oHuDGvGBEiLAAq8MEJHEfLQUMyjihfH+DBXhT+eQW0r1yri7tOJEFRM9nbOejjjXiviq9RFo7KB7wF+xJA==" saltValue="bpjB0AAANu2X/PeR3eiFkA==" spinCount="100000" sqref="AM202:AR202 AM203:AT206 AM90 AM217:AT217 AO90:AT90 AM91:AT93 AS218:AT218 AM221:AT221 AM212:AT212 AL219:AT219 AS220:AT220 AL222:AT248 AM3:AT89 AM249:AT1942 AS94:AT94 AS207:AT210 AL211:AT211 AM94 AO94:AP94 AM95:AT201 AS213:AT216" name="Rango2_88_65"/>
    <protectedRange algorithmName="SHA-512" hashValue="fPHvtIAf3pQeZUoAI9C2/vdXMHBpqqEq+67P5Ypyu4+9IWqs3yc9TZcMWQ0THLxUwqseQPyVvakuYFtCwJHsxA==" saltValue="QHIogSs2PrwAfdqa9PAOFQ==" spinCount="100000" sqref="AC3:AC1942" name="Rango2_88_5_5"/>
    <protectedRange algorithmName="SHA-512" hashValue="LEEeiU6pKqm7TAP46VGlz0q+evvFwpT/0iLpRuWuQ7MacbP0OGL1/FSmrIEOg2rb6M+Jla2bPbVWiGag27j87w==" saltValue="HEVt+pS5OloNDlqSnzGLLw==" spinCount="100000" sqref="AI3:AI1942" name="Rango2_8_7"/>
    <protectedRange algorithmName="SHA-512" hashValue="q2z5hEFmXS0v2chiPTC/VCoDWNlnhp+Xe6Ybfxe48vIsnB/KTJQxJv+pFUnCXfZ9T6vyJopuqFFNROfQTW/JUw==" saltValue="IctfdGJb5tOTpq+KPi9vww==" spinCount="100000" sqref="IB197 IA4:IB196 AE3:AF1942 IA198:IB1942" name="Rango2_88_39"/>
    <protectedRange algorithmName="SHA-512" hashValue="AYYX88LSDB6RDNMvSqt0KPGWPjBqTk56tMxTOlv5QD61MGTKAAQnSnudvNDWPN0Bbllh2qRQC+P5uq7goxjdrw==" saltValue="i/iPMewnks1FoXYOjKMEVg==" spinCount="100000" sqref="AB3:AB1942" name="Rango2_87_6"/>
    <protectedRange algorithmName="SHA-512" hashValue="NUll9P9xh7KbSfMYpMxsRZLfDw/y/AzW2LSWlpXVscBDqiAxmzo71xjs+a2lh+jRa7pceOC849slke4+ZKx8LA==" saltValue="8qbkKpQ+CiQuLnqgShNvXA==" spinCount="100000" sqref="T3:T1942" name="Rango2_88_6"/>
    <protectedRange algorithmName="SHA-512" hashValue="KHhv3JU/LRdRrRTxxkgFceEHPZ5UzadmpZRZR3zmQRnPvkUJZuanRafIJ+qde0IWwLZSvFIQDyUAHq6v6k7XIg==" saltValue="2GKG1kCzVNNcn+vbOPuhJA==" spinCount="100000" sqref="Q3:Q1942" name="Rango2_2_5"/>
    <protectedRange algorithmName="SHA-512" hashValue="XZw03RosI/l0z9FxmTtF29EdZ7P+4+ybhqoaAAUmURojSR5XbGfjC4f2i8gMqfY+RI9JvfdCA6PSh9TduXfUxA==" saltValue="5TPtLq2WoiRSae/yaDPnTw==" spinCount="100000" sqref="DD3:DZ3 DJ4:DT4 DD4:DE4 FB3 IE3 IG3:II3 FN4:FN58 FY90 HS4:HY63 FZ4:FZ89 HS87:HV87 HX87:HY87 GC195 IA197 GC197 FQ67 FN60:FN66 S202 HV202 HX202:HY202 GC115 EX60 BW203:BX203 BZ203:CA203 HS65:HY86 HS64:HT64 HV64 HX64:HY64 BO210:BR210 EW4:EX59 EX95 EW61:EX94 FN68:FN121 GC94 GC203 GC216 FQ108 GC192 FQ100:FQ101 GR202 GT202:GT211 FN123:FN134 FK4:FK141 FN136:FN153 HT243 HV243 HX243:HY243 DK101 GR99 GR199 DJ5:DK100 HS244:HY1942 FC201 GC201 GU201 GO4:GO211 EW96:EX201 DJ102:DK201 DL5:DT201 DD5:DI201 GT4:GT200 FZ91:FZ176 EV4:EV201 BN3:BR209 AU3:AU201 HG3:HH201 DU4:DZ201 HF4:HF201 BW3:CA202 AW3:AW201 HS88:HY201 O3:O201 R3:S201 ES3:ES1942 IC4:II1942 FW4:FW1942 GM4:GM1942 GK4:GK1942 CU3:CV1942 GY4:GY1942 CR3:CS1942 CK3:CL1942 FA4:FB1942 FN155:FN1942 CX3:DB1942 GT213:GT1942 GO213:GO1942 FZ211:FZ1942 FK202:FK1942 EV202:EX1942 BN211:BR1942 BW204:CA1942 HF202:HH1942 O203:O1942 R203:S1942 AU203:AU1942 AW203:AW1942 DD202:DZ1942 HS203:HY242 CF3:CH1942 U3:AA1942 EE3:EN19 EE21:EN49 EE20:EJ20 EL20:EN20 EE51:EN81 EE50:EJ50 EL50:EN50 EE83:EN89 EE82:EJ82 EL82:EN82 EE93:EN95 EE90:EJ92 EL90:EN92 EE97:EN100 EE96:EJ96 EL96:EN96 EE102:EN103 EE101:EJ101 EL101:EN101 EE105:EN105 EE104:EJ104 EL104:EN104 EE107:EN119 EE106:EJ106 EL106:EN106 EE121:EN123 EE120:EJ120 EL120:EN120 EE138:EN1942 EE137:EJ137 EL137:EN137 EE125:EN136 EE124:EF124 EH124:EN124 FK143:FK200 FQ170 GC209:GC211 FZ178:FZ209" name="Rango2_99"/>
    <protectedRange algorithmName="SHA-512" hashValue="XM8+0Jh5zLWw02PI0Lt8dLqjTcW5ulySion19FAnruDN6QRp4UwcVqdfQxnOQAItgpWG7rNsELzjwy0iXOonxw==" saltValue="Sd4WFUedDfLKoMQTDrxJuQ==" spinCount="100000" sqref="K3:K1942" name="Rango2_88_4_4"/>
    <protectedRange algorithmName="SHA-512" hashValue="EMMPgE8t/az1rHHzaZAQIhz+GQV0k2O/tQGA96sJqEEMzz1efIRa4CcLzC7iY9CCscto3g7dwz41haOE28iXYg==" saltValue="CVzFsG4X4LXUMo7796PiDQ==" spinCount="100000" sqref="J197:J199 J3:J195 J222:J233 J237:J244 J201:J212 IQ33:IQ34 IQ36 IQ38:IQ43 IQ45:IQ47 IQ49:IQ53 IQ56:IQ57 IQ59:IQ64 IQ66:IQ78 IQ80:IQ81 IQ84:IQ85 IQ87:IQ108 IQ110:IQ115 IQ120 IQ131 IQ155 J249:J1942 L3:M1942 B3:H1942" name="Rango2_10"/>
    <protectedRange algorithmName="SHA-512" hashValue="YXHanhqXL0e4jPrzkCF8r/22WmlCviFUW909WKuG1JOcU0mp0/Huh0aP3EaGYxV2ep0WGu48HsShAy4Ka2uOiw==" saltValue="h/7U5iwJm7DLR4tRVfwZYw==" spinCount="100000" sqref="GC4:GC89 GC196 GF54 GC198:GC200 GC202 GC91:GC93 GF138 GC95:GC114 GD216 GF148 GC193:GC194 GO212 GT212 GF170 GF160 GC204:GC208 GC116:GC153 GC217:GD1942 GU3:GU200 GD3:GD211 FC3:FC200 GC155:GC191 GI4:GI1942 EY3:EY1942 FC202:FC1942 EO3:EO1942 GP3:GP1942 GU202:GU1942 FR3:FR1942 FX3:FX1942 GC212:GD215 FO3:FO1942 GA3:GA1942 FZ177 GG3:GG1942" name="Rango2_33"/>
    <protectedRange algorithmName="SHA-512" hashValue="D8TacORwT7iz0mF9GEucchnMHfB5er2FFjQsxyeWWyeJkM6Bt3gYQ3LbcHPxZXFpVAYtFOuTrzYOCJrlZDx16g==" saltValue="QtCzIBktdS4NZkOEGcLTRQ==" spinCount="100000" sqref="IN4:IN71 IN73:IN1942" name="Rango2_41"/>
    <protectedRange algorithmName="SHA-512" hashValue="pL4tgTKqwEsWSIEGFTBd+4pvEhE7d5Q99Eijs+L/Y1rhA0saQGGRJw5Pv2HLOP0quglztFwB6WVnQ1YGxd4AiQ==" saltValue="IF5mhk2RcoEjrcYppes1VA==" spinCount="100000" sqref="FV4:FV1942" name="Rango2_30"/>
    <protectedRange algorithmName="SHA-512" hashValue="62ha4X/QVW9175kB83jpH9hzZy6uWEX3g6Szv+9mbhChlN3r4yygsbXLVarY0QFL+r7x2V9KtdkRVxMDuiXMGw==" saltValue="X2NRImaa8nLHcduAG1+DVw==" spinCount="100000" sqref="AK3:AK1942" name="Rango2_88"/>
    <protectedRange algorithmName="SHA-512" hashValue="9+DNppQbWrLYYUMoJ+lyQctV2bX3Vq9kZnegLbpjTLP49It2ovUbcartuoQTeXgP+TGpY//7mDH/UQlFCKDGiA==" saltValue="KUnni6YEm00anzSSvyLqQA==" spinCount="100000" sqref="AK2 EO2:EQ2 EY2:EZ2 NH2:NK2 MI2:MJ2 B2 DX2 DV2 E2:P2 HM2:HN2 HT2 MN2:MZ2 FC2:FK2 KP2:KS2 HV2 C1944:C1961 FM2:FN2 FP2:FQ2 FS2:FT2 GB2:GC2 GE2:GF2 HF2:HJ2 FV2:FZ2 IU2:KN2 ND2 NU2:NV2 FM296:FM534 FM536:FM556 FM558:FM1942 GH2:GY2 HX2:IS2 BQ2:BU2 CO2 CQ2 OA2:RV2 RZ2:XFD2 JN3:KT3 IP3 JE3 FK142 FN59 GF104 FQ4:FQ66 NY1944:OE1944 BS202:BS205 BU202:BV205 FN135 BY203 HU64 HW64 FQ68:FQ99 FN122 FQ102:FQ107 FN154 GC154 IO4:KT29 IO117:KT119 IQ30:KT32 IR33:KT34 IQ35:KT35 IR36:KT36 IQ37:KT37 IR38:KT43 IQ44:KT44 IR45:KT47 IQ48:KT48 IR49:KT53 IQ54:KT55 IR56:KT57 IQ58:KT58 IR59:KT64 IQ65:KT65 IR66:KT78 IQ79:KT79 IR80:KT81 IQ82:KT83 IO30:IP116 IR84:KT85 IQ86:KT86 IQ109:KT109 IR87:KT108 IR110:KT116 IO120:IP120 IR120:KT120 IO121:KT130 IO131:IP131 IR131:KT131 IO155:IP155 IR155:KT155 IO132:KT154 BS3:BV137 HW243 HS243 HU243 BS138:BU138 BS139:BV201 FQ109:FQ169 HI3:HN201 FU3:FU201 HR3:HR201 HO4:HQ201 KU3:MK201 FS4:FT201 IO156:KT201 AD2:AD1942 GS3:GS1942 FD4:FF1942 FH4:FH1942 FM4:FM294 GZ4:HE1942 NY2:NZ1942 OB3:QS1942 GX4:GX1942 N3:N1942 CI2:CJ1942 CM2:CM1942 CT2:CT1942 CW2:CW1942 DC2:DC1942 EA2:ED1942 EP3:ER1942 ET2:EU1942 EZ3:EZ1942 GV3:GV1942 HZ3:HZ1942 IK4:IM1942 CO3:CQ1942 P3:P1942 IO202:MK1942 FS202:FU1942 FP202:FQ1942 BS206:BV1942 HI202:HR1942 FJ4:FJ1942 FQ171:FQ201 FP4:FP201" name="Rango2"/>
    <protectedRange algorithmName="SHA-512" hashValue="9+DNppQbWrLYYUMoJ+lyQctV2bX3Vq9kZnegLbpjTLP49It2ovUbcartuoQTeXgP+TGpY//7mDH/UQlFCKDGiA==" saltValue="KUnni6YEm00anzSSvyLqQA==" spinCount="100000" sqref="B1944:B1962" name="Rango2_16"/>
    <protectedRange algorithmName="SHA-512" hashValue="XZw03RosI/l0z9FxmTtF29EdZ7P+4+ybhqoaAAUmURojSR5XbGfjC4f2i8gMqfY+RI9JvfdCA6PSh9TduXfUxA==" saltValue="5TPtLq2WoiRSae/yaDPnTw==" spinCount="100000" sqref="DF4:DI4" name="Rango2_99_4"/>
    <protectedRange algorithmName="SHA-512" hashValue="9+DNppQbWrLYYUMoJ+lyQctV2bX3Vq9kZnegLbpjTLP49It2ovUbcartuoQTeXgP+TGpY//7mDH/UQlFCKDGiA==" saltValue="KUnni6YEm00anzSSvyLqQA==" spinCount="100000" sqref="CZ2" name="Rango2_7"/>
    <protectedRange algorithmName="SHA-512" hashValue="9+DNppQbWrLYYUMoJ+lyQctV2bX3Vq9kZnegLbpjTLP49It2ovUbcartuoQTeXgP+TGpY//7mDH/UQlFCKDGiA==" saltValue="KUnni6YEm00anzSSvyLqQA==" spinCount="100000" sqref="RW2" name="Rango2_22"/>
    <protectedRange algorithmName="SHA-512" hashValue="9+DNppQbWrLYYUMoJ+lyQctV2bX3Vq9kZnegLbpjTLP49It2ovUbcartuoQTeXgP+TGpY//7mDH/UQlFCKDGiA==" saltValue="KUnni6YEm00anzSSvyLqQA==" spinCount="100000" sqref="RX2:RY2" name="Rango2_15"/>
  </protectedRanges>
  <autoFilter ref="NY2:RY248" xr:uid="{00000000-0001-0000-0200-000000000000}"/>
  <sortState xmlns:xlrd2="http://schemas.microsoft.com/office/spreadsheetml/2017/richdata2" ref="D87:FS248">
    <sortCondition ref="R91:R248"/>
  </sortState>
  <customSheetViews>
    <customSheetView guid="{87C82D0B-BF3B-4D48-8D40-9A69123EBFA4}" scale="115" showAutoFilter="1" hiddenRows="1" hiddenColumns="1">
      <selection activeCell="B7" sqref="B7:H9"/>
      <pageMargins left="0.7" right="0.7" top="0.75" bottom="0.75" header="0.3" footer="0.3"/>
      <pageSetup orientation="portrait" verticalDpi="300" r:id="rId1"/>
      <autoFilter ref="B13:MJ526" xr:uid="{587489D4-088E-4508-A994-AF1CC332A4FE}"/>
    </customSheetView>
  </customSheetViews>
  <phoneticPr fontId="33" type="noConversion"/>
  <conditionalFormatting sqref="AL194:AX195 AL196:AW196 AS197:AW201 AS203:AU203 AW203 CE209 CB209:CC209 AG204:AH204 AJ204 AL217:AX217 AL218:AY218 BF222:BI222 BJ223:BM223 CE225 BL224:BM224 CB224 CB225:CC226 CE234:CE248 AL227:AX227 CB234:CC248 AL228:AW233 AG206 AS204:AW206 AL207:AX207 BD209:BI209 AL234:AX234 BA234 AL210:BI210 AL209:BB209 AL208:AW208 BD90:BI90 BL90:BM90 AL213:BB215 BD214:BM215 AL216:AW216 BL108:BM108 BD166:BM168 BL165:BM165 BD146:BM146 BL145:BM145 BL101:BM101 BL171:BM171 BL180:BM180 BL133:BM133 BK192:BM194 BD173:BM173 BD219:BI221 AL219:BB221 BL147:BM148 BL154:BM154 BL151:BM151 BL163:BM163 AJ207 AG207:AH207 AG209:AH210 AJ209:AJ210 AJ3:AJ189 AL3:BB189 AG3:AH189 BD3:BM89 BK100:BM100 BD100:BJ101 BD102:BM105 BK106:BM107 BD106:BJ108 BK134:BM135 BD132:BJ135 BD136:BM142 BD143:BJ145 BK152:BM153 BK149:BM150 BD147:BJ154 BD155:BM158 BK159:BM162 BK164:BM164 BD159:BJ165 BK172:BM172 BK169:BM170 BD169:BJ172 BK174:BM179 BK181:BM183 BD174:BJ183 BD184:BM186 BD187:BI189 BJ187:BM191 BD213:BI213 BK213:BM213 BK210:BN210 BK209:BM209 BJ192:BJ213 BD91:BM99 BD109:BM131 BK132:BM132 BK143:BM144 AS235:AW238 AS241 AS243:AU243 AW243 AS245:AU245 AW245:AX245 AS247:AU247 AW247 AL222:AW226 BK219:BM222 BJ216:BJ222 AL190:AW193 CE3:CE203 CB3:CC203 AJ213:AJ221 AG213:AH221 CB212:CC223 CE212:CE222">
    <cfRule type="cellIs" dxfId="5651" priority="7494" operator="equal">
      <formula>"SD"</formula>
    </cfRule>
    <cfRule type="cellIs" dxfId="5650" priority="7504" operator="equal">
      <formula>"NO"</formula>
    </cfRule>
    <cfRule type="cellIs" dxfId="5649" priority="7505" operator="equal">
      <formula>"SI"</formula>
    </cfRule>
  </conditionalFormatting>
  <conditionalFormatting sqref="IU4:IZ248 KA4:KC248">
    <cfRule type="cellIs" dxfId="5648" priority="7467" operator="equal">
      <formula>"SD"</formula>
    </cfRule>
    <cfRule type="cellIs" dxfId="5647" priority="7468" operator="equal">
      <formula>"NO APLICA"</formula>
    </cfRule>
    <cfRule type="cellIs" dxfId="5646" priority="7469" operator="equal">
      <formula>"NO"</formula>
    </cfRule>
    <cfRule type="cellIs" dxfId="5645" priority="7470" operator="equal">
      <formula>"SI"</formula>
    </cfRule>
  </conditionalFormatting>
  <conditionalFormatting sqref="P3:P198 P200:P211 P213:P248">
    <cfRule type="containsText" dxfId="5644" priority="7438" operator="containsText" text="SI">
      <formula>NOT(ISERROR(SEARCH("SI",P3)))</formula>
    </cfRule>
    <cfRule type="containsText" dxfId="5643" priority="7439" operator="containsText" text="NO">
      <formula>NOT(ISERROR(SEARCH("NO",P3)))</formula>
    </cfRule>
    <cfRule type="containsText" dxfId="5642" priority="7440" operator="containsText" text="NA">
      <formula>NOT(ISERROR(SEARCH("NA",P3)))</formula>
    </cfRule>
  </conditionalFormatting>
  <conditionalFormatting sqref="Q3:Q198 Q202:Q211 Q213:Q248">
    <cfRule type="containsText" dxfId="5641" priority="7144" operator="containsText" text="SE TRASLADO DE EPS">
      <formula>NOT(ISERROR(SEARCH("SE TRASLADO DE EPS",Q3)))</formula>
    </cfRule>
    <cfRule type="containsText" dxfId="5640" priority="7433" operator="containsText" text="NOVEDAD">
      <formula>NOT(ISERROR(SEARCH("NOVEDAD",Q3)))</formula>
    </cfRule>
    <cfRule type="containsText" dxfId="5639" priority="7434" operator="containsText" text="IDENTIDAD">
      <formula>NOT(ISERROR(SEARCH("IDENTIDAD",Q3)))</formula>
    </cfRule>
    <cfRule type="containsText" dxfId="5638" priority="7435" operator="containsText" text="CPN">
      <formula>NOT(ISERROR(SEARCH("CPN",Q3)))</formula>
    </cfRule>
    <cfRule type="containsText" dxfId="5637" priority="7436" operator="containsText" text="VIENE">
      <formula>NOT(ISERROR(SEARCH("VIENE",Q3)))</formula>
    </cfRule>
    <cfRule type="cellIs" dxfId="5636" priority="7437" operator="equal">
      <formula>"TRAMITE DE PORTABILIDAD"</formula>
    </cfRule>
  </conditionalFormatting>
  <conditionalFormatting sqref="AC198 AC156:AC159 AC237:AC239 AC154 AC161:AC189 AC203:AC210 AC3:AC152 AC191:AC195 AC213:AC235">
    <cfRule type="containsText" dxfId="5635" priority="7429" operator="containsText" text="SABE">
      <formula>NOT(ISERROR(SEARCH("SABE",AC3)))</formula>
    </cfRule>
    <cfRule type="containsText" dxfId="5634" priority="7430" operator="containsText" text="SECUNDARIA">
      <formula>NOT(ISERROR(SEARCH("SECUNDARIA",AC3)))</formula>
    </cfRule>
    <cfRule type="containsText" dxfId="5633" priority="7431" operator="containsText" text="PRIMARIA INCOMPLETA">
      <formula>NOT(ISERROR(SEARCH("PRIMARIA INCOMPLETA",AC3)))</formula>
    </cfRule>
    <cfRule type="cellIs" dxfId="5632" priority="7432" operator="equal">
      <formula>"ANALFABETA"</formula>
    </cfRule>
  </conditionalFormatting>
  <conditionalFormatting sqref="AW203:AW210 AW243 AW245 AW247 AW3:AW201 AW213:AW238">
    <cfRule type="cellIs" dxfId="5631" priority="7424" operator="equal">
      <formula>1</formula>
    </cfRule>
    <cfRule type="cellIs" dxfId="5630" priority="7425" operator="equal">
      <formula>"3 O MAS"</formula>
    </cfRule>
    <cfRule type="cellIs" dxfId="5629" priority="7426" operator="equal">
      <formula>2</formula>
    </cfRule>
  </conditionalFormatting>
  <conditionalFormatting sqref="BP3:BP211 BP213:BP248">
    <cfRule type="cellIs" dxfId="5628" priority="6372" operator="equal">
      <formula>"NO"</formula>
    </cfRule>
    <cfRule type="cellIs" dxfId="5627" priority="7421" operator="equal">
      <formula>"SI"</formula>
    </cfRule>
    <cfRule type="cellIs" dxfId="5626" priority="7422" operator="equal">
      <formula>"CORREGIDA"</formula>
    </cfRule>
    <cfRule type="expression" dxfId="5625" priority="7423">
      <formula>IF(AND($BX3&gt;=1,$BX3&lt;21,RY3=1),1,0)</formula>
    </cfRule>
  </conditionalFormatting>
  <conditionalFormatting sqref="BT3:BT206 BT208:BT248">
    <cfRule type="cellIs" dxfId="5624" priority="7416" operator="equal">
      <formula>"DEFINIR CON ECO"</formula>
    </cfRule>
    <cfRule type="cellIs" dxfId="5623" priority="7417" operator="equal">
      <formula>"ERROR FUM O INGRESO O ECO"</formula>
    </cfRule>
    <cfRule type="cellIs" dxfId="5622" priority="7418" operator="equal">
      <formula>"III TRIM"</formula>
    </cfRule>
    <cfRule type="cellIs" dxfId="5621" priority="7419" operator="equal">
      <formula>"II TRIM"</formula>
    </cfRule>
    <cfRule type="cellIs" dxfId="5620" priority="7420" operator="equal">
      <formula>"I TRIM"</formula>
    </cfRule>
  </conditionalFormatting>
  <conditionalFormatting sqref="CJ3:CJ248">
    <cfRule type="containsText" dxfId="5619" priority="7410" operator="containsText" text="SOBREPESO">
      <formula>NOT(ISERROR(SEARCH("SOBREPESO",CJ3)))</formula>
    </cfRule>
    <cfRule type="containsText" dxfId="5618" priority="7411" operator="containsText" text="NORMAL">
      <formula>NOT(ISERROR(SEARCH("NORMAL",CJ3)))</formula>
    </cfRule>
    <cfRule type="containsText" dxfId="5617" priority="7412" operator="containsText" text="OBESIDAD">
      <formula>NOT(ISERROR(SEARCH("OBESIDAD",CJ3)))</formula>
    </cfRule>
    <cfRule type="containsText" dxfId="5616" priority="7413" operator="containsText" text="BAJO PESO">
      <formula>NOT(ISERROR(SEARCH("BAJO PESO",CJ3)))</formula>
    </cfRule>
    <cfRule type="containsText" dxfId="5615" priority="7414" operator="containsText" text="PREGESTACION">
      <formula>NOT(ISERROR(SEARCH("PREGESTACION",CJ3)))</formula>
    </cfRule>
    <cfRule type="containsText" dxfId="5614" priority="7415" operator="containsText" text="INGRESAR">
      <formula>NOT(ISERROR(SEARCH("INGRESAR",CJ3)))</formula>
    </cfRule>
  </conditionalFormatting>
  <conditionalFormatting sqref="CT3:CT248">
    <cfRule type="containsText" dxfId="5613" priority="6383" operator="containsText" text="NO APLICA">
      <formula>NOT(ISERROR(SEARCH("NO APLICA",CT3)))</formula>
    </cfRule>
    <cfRule type="containsText" dxfId="5612" priority="6741" operator="containsText" text="REGISTRE DATO TA ANTES SEMANA 12">
      <formula>NOT(ISERROR(SEARCH("REGISTRE DATO TA ANTES SEMANA 12",CT3)))</formula>
    </cfRule>
    <cfRule type="containsText" dxfId="5611" priority="7395" operator="containsText" text="HIPOTENSION">
      <formula>NOT(ISERROR(SEARCH("HIPOTENSION",CT3)))</formula>
    </cfRule>
    <cfRule type="containsText" dxfId="5610" priority="7396" operator="containsText" text="NORMAL">
      <formula>NOT(ISERROR(SEARCH("NORMAL",CT3)))</formula>
    </cfRule>
    <cfRule type="containsText" dxfId="5609" priority="7397" operator="containsText" text="HTA">
      <formula>NOT(ISERROR(SEARCH("HTA",CT3)))</formula>
    </cfRule>
  </conditionalFormatting>
  <conditionalFormatting sqref="CW3:CW248">
    <cfRule type="containsText" dxfId="5608" priority="6382" operator="containsText" text="NO APLICA">
      <formula>NOT(ISERROR(SEARCH("NO APLICA",CW3)))</formula>
    </cfRule>
    <cfRule type="containsText" dxfId="5607" priority="6739" operator="containsText" text="COMPLETE REGISTRO TA CONTROL SEM 20 A26">
      <formula>NOT(ISERROR(SEARCH("COMPLETE REGISTRO TA CONTROL SEM 20 A26",CW3)))</formula>
    </cfRule>
    <cfRule type="containsText" dxfId="5606" priority="6740" operator="containsText" text="ACUDE A CONTROL SEM 20 A 26 REGISTRE TA AHORA">
      <formula>NOT(ISERROR(SEARCH("ACUDE A CONTROL SEM 20 A 26 REGISTRE TA AHORA",CW3)))</formula>
    </cfRule>
    <cfRule type="containsText" dxfId="5605" priority="7391" operator="containsText" text="HIPOTENSION">
      <formula>NOT(ISERROR(SEARCH("HIPOTENSION",CW3)))</formula>
    </cfRule>
    <cfRule type="containsText" dxfId="5604" priority="7392" operator="containsText" text="VIGILAR">
      <formula>NOT(ISERROR(SEARCH("VIGILAR",CW3)))</formula>
    </cfRule>
    <cfRule type="containsText" dxfId="5603" priority="7393" operator="containsText" text="NORMAL">
      <formula>NOT(ISERROR(SEARCH("NORMAL",CW3)))</formula>
    </cfRule>
    <cfRule type="containsText" dxfId="5602" priority="7394" operator="containsText" text="HTA">
      <formula>NOT(ISERROR(SEARCH("HTA",CW3)))</formula>
    </cfRule>
  </conditionalFormatting>
  <conditionalFormatting sqref="DC3:DC248 HL3:HL248">
    <cfRule type="containsText" dxfId="5601" priority="7388" operator="containsText" text="NORMAL">
      <formula>NOT(ISERROR(SEARCH("NORMAL",DC3)))</formula>
    </cfRule>
    <cfRule type="containsText" dxfId="5600" priority="7389" operator="containsText" text="VIGILAR">
      <formula>NOT(ISERROR(SEARCH("VIGILAR",DC3)))</formula>
    </cfRule>
    <cfRule type="containsText" dxfId="5599" priority="7390" operator="containsText" text="HTA">
      <formula>NOT(ISERROR(SEARCH("HTA",DC3)))</formula>
    </cfRule>
  </conditionalFormatting>
  <conditionalFormatting sqref="EU3:EU248 EP3:EP248">
    <cfRule type="containsText" dxfId="5598" priority="7385" operator="containsText" text="DAR">
      <formula>NOT(ISERROR(SEARCH("DAR",EP3)))</formula>
    </cfRule>
    <cfRule type="containsText" dxfId="5597" priority="7386" operator="containsText" text="NORMAL">
      <formula>NOT(ISERROR(SEARCH("NORMAL",EP3)))</formula>
    </cfRule>
    <cfRule type="containsText" dxfId="5596" priority="7387" operator="containsText" text="ANEMIA">
      <formula>NOT(ISERROR(SEARCH("ANEMIA",EP3)))</formula>
    </cfRule>
  </conditionalFormatting>
  <conditionalFormatting sqref="DV3:DV248 HN3:HN248">
    <cfRule type="containsText" dxfId="5595" priority="7375" operator="containsText" text="activa sin">
      <formula>NOT(ISERROR(SEARCH("activa sin",DV3)))</formula>
    </cfRule>
    <cfRule type="containsText" dxfId="5594" priority="7376" operator="containsText" text="Activa ingreso">
      <formula>NOT(ISERROR(SEARCH("Activa ingreso",DV3)))</formula>
    </cfRule>
    <cfRule type="containsText" dxfId="5593" priority="7377" operator="containsText" text="seguimiento">
      <formula>NOT(ISERROR(SEARCH("seguimiento",DV3)))</formula>
    </cfRule>
    <cfRule type="containsText" dxfId="5592" priority="7378" operator="containsText" text="salio">
      <formula>NOT(ISERROR(SEARCH("salio",DV3)))</formula>
    </cfRule>
    <cfRule type="containsText" dxfId="5591" priority="7379" operator="containsText" text="sale">
      <formula>NOT(ISERROR(SEARCH("sale",DV3)))</formula>
    </cfRule>
  </conditionalFormatting>
  <conditionalFormatting sqref="HM3:HM248 DX3:DX248">
    <cfRule type="containsText" dxfId="5590" priority="7172" operator="containsText" text="DEFINIR">
      <formula>NOT(ISERROR(SEARCH("DEFINIR",DX3)))</formula>
    </cfRule>
    <cfRule type="containsText" dxfId="5589" priority="7369" operator="containsText" text="MES">
      <formula>NOT(ISERROR(SEARCH("MES",DX3)))</formula>
    </cfRule>
    <cfRule type="containsText" dxfId="5588" priority="7370" operator="containsText" text="SEMANA">
      <formula>NOT(ISERROR(SEARCH("SEMANA",DX3)))</formula>
    </cfRule>
    <cfRule type="containsText" dxfId="5587" priority="7371" operator="containsText" text="DIA">
      <formula>NOT(ISERROR(SEARCH("DIA",DX3)))</formula>
    </cfRule>
    <cfRule type="containsText" dxfId="5586" priority="7372" operator="containsText" text="FUERA">
      <formula>NOT(ISERROR(SEARCH("FUERA",DX3)))</formula>
    </cfRule>
    <cfRule type="containsText" dxfId="5585" priority="7373" operator="containsText" text="BUSCAR">
      <formula>NOT(ISERROR(SEARCH("BUSCAR",DX3)))</formula>
    </cfRule>
    <cfRule type="containsText" dxfId="5584" priority="7374" operator="containsText" text="INASISTENTE">
      <formula>NOT(ISERROR(SEARCH("INASISTENTE",DX3)))</formula>
    </cfRule>
  </conditionalFormatting>
  <conditionalFormatting sqref="GQ202 GN4:GN137 GQ4:GR98 GQ100:GR137 GQ99 GQ200:GR201 GQ199 GQ139:GR198 GQ203:GR248 FV4:FV248 GW4:GW248 GN139:GN248">
    <cfRule type="containsText" dxfId="5583" priority="7338" operator="containsText" text="POSITIVO">
      <formula>NOT(ISERROR(SEARCH("POSITIVO",FV4)))</formula>
    </cfRule>
    <cfRule type="containsText" dxfId="5582" priority="7339" operator="containsText" text="NEGATIVO">
      <formula>NOT(ISERROR(SEARCH("NEGATIVO",FV4)))</formula>
    </cfRule>
  </conditionalFormatting>
  <conditionalFormatting sqref="FY214:FY248 GE4:GE248 GH4:GH248 GJ4:GJ248 GB4:GB248 FY4:FY212">
    <cfRule type="containsText" dxfId="5581" priority="7335" operator="containsText" text="P.R REACTIVA">
      <formula>NOT(ISERROR(SEARCH("P.R REACTIVA",FY4)))</formula>
    </cfRule>
    <cfRule type="containsText" dxfId="5580" priority="7336" operator="containsText" text="NO REACTIVA">
      <formula>NOT(ISERROR(SEARCH("NO REACTIVA",FY4)))</formula>
    </cfRule>
    <cfRule type="containsText" dxfId="5579" priority="7337" operator="containsText" text="ELISA REACTIVA">
      <formula>NOT(ISERROR(SEARCH("ELISA REACTIVA",FY4)))</formula>
    </cfRule>
  </conditionalFormatting>
  <conditionalFormatting sqref="GL4:GL248">
    <cfRule type="containsText" dxfId="5578" priority="7319" operator="containsText" text="NO APLICA">
      <formula>NOT(ISERROR(SEARCH("NO APLICA",GL4)))</formula>
    </cfRule>
    <cfRule type="containsText" dxfId="5577" priority="7320" operator="containsText" text="NO CONLUYENTE">
      <formula>NOT(ISERROR(SEARCH("NO CONLUYENTE",GL4)))</formula>
    </cfRule>
    <cfRule type="containsText" dxfId="5576" priority="7321" operator="containsText" text="NEGATIVA">
      <formula>NOT(ISERROR(SEARCH("NEGATIVA",GL4)))</formula>
    </cfRule>
    <cfRule type="containsText" dxfId="5575" priority="7322" operator="containsText" text="POSITIVA">
      <formula>NOT(ISERROR(SEARCH("POSITIVA",GL4)))</formula>
    </cfRule>
  </conditionalFormatting>
  <conditionalFormatting sqref="HX200 HV201 HT203:HT206 HV203:HV206 HV236:HV237 HT208 HT210:HT212 HV208:HV212 HX208:HX212 HV4:HV134 HT4:HT134 HT236:HT242 HT245:HT248 HV239:HV248 HX236:HX248 HT136:HT200 HV136:HV198 HX4:HX198 HX202:HX206 HV214:HV234 HT214:HT234 HX214:HX234">
    <cfRule type="containsText" dxfId="5574" priority="7173" operator="containsText" text="NO SE FORMULA">
      <formula>NOT(ISERROR(SEARCH("NO SE FORMULA",HT4)))</formula>
    </cfRule>
    <cfRule type="containsText" dxfId="5573" priority="7280" operator="containsText" text="OTRO">
      <formula>NOT(ISERROR(SEARCH("OTRO",HT4)))</formula>
    </cfRule>
    <cfRule type="containsText" dxfId="5572" priority="7281" operator="containsText" text="IRREGULAR">
      <formula>NOT(ISERROR(SEARCH("IRREGULAR",HT4)))</formula>
    </cfRule>
    <cfRule type="containsText" dxfId="5571" priority="7282" operator="containsText" text="ADECUADO">
      <formula>NOT(ISERROR(SEARCH("ADECUADO",HT4)))</formula>
    </cfRule>
  </conditionalFormatting>
  <conditionalFormatting sqref="IK4:IK248">
    <cfRule type="containsText" dxfId="5570" priority="7266" operator="containsText" text="CAMBIO">
      <formula>NOT(ISERROR(SEARCH("CAMBIO",IK4)))</formula>
    </cfRule>
    <cfRule type="containsText" dxfId="5569" priority="7267" operator="containsText" text="NEGACION">
      <formula>NOT(ISERROR(SEARCH("NEGACION",IK4)))</formula>
    </cfRule>
    <cfRule type="containsText" dxfId="5568" priority="7268" operator="containsText" text="IVE">
      <formula>NOT(ISERROR(SEARCH("IVE",IK4)))</formula>
    </cfRule>
    <cfRule type="containsText" dxfId="5567" priority="7269" operator="containsText" text="ABORTO">
      <formula>NOT(ISERROR(SEARCH("ABORTO",IK4)))</formula>
    </cfRule>
    <cfRule type="containsText" dxfId="5566" priority="7270" operator="containsText" text="CESAREA">
      <formula>NOT(ISERROR(SEARCH("CESAREA",IK4)))</formula>
    </cfRule>
    <cfRule type="containsText" dxfId="5565" priority="7271" operator="containsText" text="PARTO">
      <formula>NOT(ISERROR(SEARCH("PARTO",IK4)))</formula>
    </cfRule>
  </conditionalFormatting>
  <conditionalFormatting sqref="IL4:IL248">
    <cfRule type="cellIs" dxfId="5564" priority="6779" operator="equal">
      <formula>"MORBILIDAD MATERNA EXTREMA"</formula>
    </cfRule>
    <cfRule type="containsText" dxfId="5563" priority="7262" operator="containsText" text="MME">
      <formula>NOT(ISERROR(SEARCH("MME",IL4)))</formula>
    </cfRule>
    <cfRule type="cellIs" dxfId="5562" priority="7263" operator="equal">
      <formula>"MUERTE Y MORBILIDAD MATERNA EXTREMA"</formula>
    </cfRule>
    <cfRule type="containsText" dxfId="5561" priority="7264" operator="containsText" text="MUERTE">
      <formula>NOT(ISERROR(SEARCH("MUERTE",IL4)))</formula>
    </cfRule>
    <cfRule type="containsText" dxfId="5560" priority="7265" operator="containsText" text="SANA">
      <formula>NOT(ISERROR(SEARCH("SANA",IL4)))</formula>
    </cfRule>
  </conditionalFormatting>
  <conditionalFormatting sqref="IM4:IM248">
    <cfRule type="cellIs" dxfId="5559" priority="6778" operator="equal">
      <formula>"MUERTE PERINATAL Y MALFORMACIÓN CONGÉNITA"</formula>
    </cfRule>
    <cfRule type="containsText" dxfId="5558" priority="7256" operator="containsText" text="SIFILIS">
      <formula>NOT(ISERROR(SEARCH("SIFILIS",IM4)))</formula>
    </cfRule>
    <cfRule type="containsText" dxfId="5557" priority="7257" operator="containsText" text="MALFORMACIÓN">
      <formula>NOT(ISERROR(SEARCH("MALFORMACIÓN",IM4)))</formula>
    </cfRule>
    <cfRule type="containsText" dxfId="5556" priority="7258" operator="containsText" text="MUERTE">
      <formula>NOT(ISERROR(SEARCH("MUERTE",IM4)))</formula>
    </cfRule>
    <cfRule type="containsText" dxfId="5555" priority="7259" operator="containsText" text="UCI">
      <formula>NOT(ISERROR(SEARCH("UCI",IM4)))</formula>
    </cfRule>
    <cfRule type="containsText" dxfId="5554" priority="7260" operator="containsText" text="HOSPITALIZACION">
      <formula>NOT(ISERROR(SEARCH("HOSPITALIZACION",IM4)))</formula>
    </cfRule>
    <cfRule type="containsText" dxfId="5553" priority="7261" operator="containsText" text="SANO">
      <formula>NOT(ISERROR(SEARCH("SANO",IM4)))</formula>
    </cfRule>
  </conditionalFormatting>
  <conditionalFormatting sqref="IO4:IO71 IO73:IO248">
    <cfRule type="containsText" dxfId="5552" priority="7252" operator="containsText" text="NO APLICA">
      <formula>NOT(ISERROR(SEARCH("NO APLICA",IO4)))</formula>
    </cfRule>
    <cfRule type="containsText" dxfId="5551" priority="7253" operator="containsText" text="OTRO">
      <formula>NOT(ISERROR(SEARCH("OTRO",IO4)))</formula>
    </cfRule>
    <cfRule type="containsText" dxfId="5550" priority="7254" operator="containsText" text="DOMICILIO">
      <formula>NOT(ISERROR(SEARCH("DOMICILIO",IO4)))</formula>
    </cfRule>
    <cfRule type="containsText" dxfId="5549" priority="7255" operator="containsText" text="INSTITUCIONAL">
      <formula>NOT(ISERROR(SEARCH("INSTITUCIONAL",IO4)))</formula>
    </cfRule>
  </conditionalFormatting>
  <conditionalFormatting sqref="IR4:IR6 IR9 IR14 IR16:IR18 IR21 IR23:IR24 IR28 IR38 IR41 IR46:IR47 IR57 IR61:IR62 IR64 IR71 IR78 IR85 IR88 IR90:IR92 IR94:IR104 IR110:IR119 IR106:IR108 IR121:IR126 IR128:IR130 IR147:IR154 IR156:IR157 IR159:IR165 IR132:IR145 IR168:IR248">
    <cfRule type="containsText" dxfId="5548" priority="7248" operator="containsText" text="NO APLICA">
      <formula>NOT(ISERROR(SEARCH("NO APLICA",IR4)))</formula>
    </cfRule>
    <cfRule type="containsText" dxfId="5547" priority="7249" operator="containsText" text="ALTA">
      <formula>NOT(ISERROR(SEARCH("ALTA",IR4)))</formula>
    </cfRule>
    <cfRule type="containsText" dxfId="5546" priority="7250" operator="containsText" text="MEDIANA">
      <formula>NOT(ISERROR(SEARCH("MEDIANA",IR4)))</formula>
    </cfRule>
    <cfRule type="containsText" dxfId="5545" priority="7251" operator="containsText" text="BAJA">
      <formula>NOT(ISERROR(SEARCH("BAJA",IR4)))</formula>
    </cfRule>
  </conditionalFormatting>
  <conditionalFormatting sqref="IS4:IT6 IS14:IT14 IS9 IS16:IT18 IS21:IT21 IS28:IT28 IS41:IT41 IS46:IT47 IS57:IT57 IS61:IT62 IS64:IT64 IS71:IT71 IS78:IT78 IS85:IT85 IS88:IT88 IS90:IT92 IS94:IT96 IS99:IT104 IS97:IS98 IS110:IT119 IS106:IT108 IS121:IT126 IS128:IT130 IS147:IT154 IS156:IT157 IS159:IT165 IS132:IT145 IS168:IT248">
    <cfRule type="containsText" dxfId="5544" priority="7241" operator="containsText" text="NO APLICA">
      <formula>NOT(ISERROR(SEARCH("NO APLICA",IS4)))</formula>
    </cfRule>
    <cfRule type="containsText" dxfId="5543" priority="7242" operator="containsText" text="SIN">
      <formula>NOT(ISERROR(SEARCH("SIN",IS4)))</formula>
    </cfRule>
    <cfRule type="containsText" dxfId="5542" priority="7243" operator="containsText" text="EQUIPO">
      <formula>NOT(ISERROR(SEARCH("EQUIPO",IS4)))</formula>
    </cfRule>
    <cfRule type="containsText" dxfId="5541" priority="7244" operator="containsText" text="MEDICO TRADICIONAL">
      <formula>NOT(ISERROR(SEARCH("MEDICO TRADICIONAL",IS4)))</formula>
    </cfRule>
    <cfRule type="containsText" dxfId="5540" priority="7245" operator="containsText" text="PARTERA">
      <formula>NOT(ISERROR(SEARCH("PARTERA",IS4)))</formula>
    </cfRule>
    <cfRule type="containsText" dxfId="5539" priority="7246" operator="containsText" text="TÉCNICO">
      <formula>NOT(ISERROR(SEARCH("TÉCNICO",IS4)))</formula>
    </cfRule>
    <cfRule type="containsText" dxfId="5538" priority="7247" operator="containsText" text="PROFESIONAL">
      <formula>NOT(ISERROR(SEARCH("PROFESIONAL",IS4)))</formula>
    </cfRule>
  </conditionalFormatting>
  <conditionalFormatting sqref="JA4:JA248">
    <cfRule type="containsText" dxfId="5537" priority="7238" operator="containsText" text="SIN DATO">
      <formula>NOT(ISERROR(SEARCH("SIN DATO",JA4)))</formula>
    </cfRule>
    <cfRule type="containsText" dxfId="5536" priority="7239" operator="containsText" text="SIN COMPLICACION">
      <formula>NOT(ISERROR(SEARCH("SIN COMPLICACION",JA4)))</formula>
    </cfRule>
    <cfRule type="notContainsBlanks" dxfId="5535" priority="7515">
      <formula>LEN(TRIM(JA4))&gt;0</formula>
    </cfRule>
  </conditionalFormatting>
  <conditionalFormatting sqref="JO3:JO248 JE3:JE248">
    <cfRule type="containsText" dxfId="5534" priority="7234" operator="containsText" text="PREMATURO">
      <formula>NOT(ISERROR(SEARCH("PREMATURO",JE3)))</formula>
    </cfRule>
    <cfRule type="containsText" dxfId="5533" priority="7235" operator="containsText" text="GRANDE">
      <formula>NOT(ISERROR(SEARCH("GRANDE",JE3)))</formula>
    </cfRule>
    <cfRule type="containsText" dxfId="5532" priority="7236" operator="containsText" text="ADECUADO">
      <formula>NOT(ISERROR(SEARCH("ADECUADO",JE3)))</formula>
    </cfRule>
    <cfRule type="containsText" dxfId="5531" priority="7237" operator="containsText" text="BAJO">
      <formula>NOT(ISERROR(SEARCH("BAJO",JE3)))</formula>
    </cfRule>
  </conditionalFormatting>
  <conditionalFormatting sqref="JQ4:JQ248 JG4:JG248">
    <cfRule type="containsText" dxfId="5530" priority="7227" operator="containsText" text="SIN DATO">
      <formula>NOT(ISERROR(SEARCH("SIN DATO",JG4)))</formula>
    </cfRule>
    <cfRule type="containsText" dxfId="5529" priority="7228" operator="containsText" text="ANORMAL">
      <formula>NOT(ISERROR(SEARCH("ANORMAL",JG4)))</formula>
    </cfRule>
    <cfRule type="containsText" dxfId="5528" priority="7229" operator="containsText" text="NORMAL">
      <formula>NOT(ISERROR(SEARCH("NORMAL",JG4)))</formula>
    </cfRule>
  </conditionalFormatting>
  <conditionalFormatting sqref="JI4:JI9 JI12:JI19 JI21:JI23 JI25:JI30 JI32 JI36 JI41 JI43 JI46:JI47 JI49 JI53 JI57 JI59 JI61:JI64 JI70:JI71 JI77:JI78 JI81 JI84:JI85 JI88 JI91:JI92 JI94:JI112 JI114:JI119 JI121:JI135 JI147:JI154 JI156:JI157 JI159:JI165 JI137:JI145 JI168:JI248 JS4:JS248">
    <cfRule type="containsText" dxfId="5527" priority="7223" operator="containsText" text="NO APLICA">
      <formula>NOT(ISERROR(SEARCH("NO APLICA",JI4)))</formula>
    </cfRule>
    <cfRule type="containsText" dxfId="5526" priority="7224" operator="containsText" text="SIN DATO">
      <formula>NOT(ISERROR(SEARCH("SIN DATO",JI4)))</formula>
    </cfRule>
    <cfRule type="containsText" dxfId="5525" priority="7225" operator="containsText" text="NO">
      <formula>NOT(ISERROR(SEARCH("NO",JI4)))</formula>
    </cfRule>
    <cfRule type="containsText" dxfId="5524" priority="7226" operator="containsText" text="SI">
      <formula>NOT(ISERROR(SEARCH("SI",JI4)))</formula>
    </cfRule>
  </conditionalFormatting>
  <conditionalFormatting sqref="AK206:AK210 AK3:AK196 AK202:AK204 AK213:AK234">
    <cfRule type="containsText" dxfId="5523" priority="6763" operator="containsText" text="COMPLETAR EVALUACIÓN">
      <formula>NOT(ISERROR(SEARCH("COMPLETAR EVALUACIÓN",AK3)))</formula>
    </cfRule>
    <cfRule type="containsText" dxfId="5522" priority="7208" operator="containsText" text="CON RIESGO">
      <formula>NOT(ISERROR(SEARCH("CON RIESGO",AK3)))</formula>
    </cfRule>
    <cfRule type="containsText" dxfId="5521" priority="7209" operator="containsText" text="SIN RIESGO">
      <formula>NOT(ISERROR(SEARCH("SIN RIESGO",AK3)))</formula>
    </cfRule>
  </conditionalFormatting>
  <conditionalFormatting sqref="AI207 AI209:AI210 AI3:AI189 AI213:AI221">
    <cfRule type="containsText" dxfId="5520" priority="6734" operator="containsText" text="HABITANTE DE CALLE">
      <formula>NOT(ISERROR(SEARCH("HABITANTE DE CALLE",AI3)))</formula>
    </cfRule>
    <cfRule type="containsText" dxfId="5519" priority="7204" operator="containsText" text="NINGUNO">
      <formula>NOT(ISERROR(SEARCH("NINGUNO",AI3)))</formula>
    </cfRule>
    <cfRule type="containsText" dxfId="5518" priority="7205" operator="containsText" text="MIGRATORIA">
      <formula>NOT(ISERROR(SEARCH("MIGRATORIA",AI3)))</formula>
    </cfRule>
    <cfRule type="containsText" dxfId="5517" priority="7206" operator="containsText" text="DISCAPACIDAD">
      <formula>NOT(ISERROR(SEARCH("DISCAPACIDAD",AI3)))</formula>
    </cfRule>
    <cfRule type="containsText" dxfId="5516" priority="7207" operator="containsText" text="DESPLAZADA">
      <formula>NOT(ISERROR(SEARCH("DESPLAZADA",AI3)))</formula>
    </cfRule>
  </conditionalFormatting>
  <conditionalFormatting sqref="Q3:Q198 Q202:Q211 Q213:Q248">
    <cfRule type="containsText" dxfId="5515" priority="7149" operator="containsText" text="INMIGRANTE VENEZOLANA">
      <formula>NOT(ISERROR(SEARCH("INMIGRANTE VENEZOLANA",Q3)))</formula>
    </cfRule>
    <cfRule type="containsText" dxfId="5514" priority="7150" operator="containsText" text="SIN AFILIACIÓN A EPS">
      <formula>NOT(ISERROR(SEARCH("SIN AFILIACIÓN A EPS",Q3)))</formula>
    </cfRule>
  </conditionalFormatting>
  <conditionalFormatting sqref="HF4:HF248">
    <cfRule type="containsText" dxfId="5513" priority="6969" operator="containsText" text="COVID19 PUERPERIO">
      <formula>NOT(ISERROR(SEARCH("COVID19 PUERPERIO",HF4)))</formula>
    </cfRule>
    <cfRule type="containsText" dxfId="5512" priority="6970" operator="containsText" text="COVID19 TERCER TRIMESTRE">
      <formula>NOT(ISERROR(SEARCH("COVID19 TERCER TRIMESTRE",HF4)))</formula>
    </cfRule>
    <cfRule type="containsText" dxfId="5511" priority="6971" operator="containsText" text="COVID19 SEGUNDO TRIMESTRE">
      <formula>NOT(ISERROR(SEARCH("COVID19 SEGUNDO TRIMESTRE",HF4)))</formula>
    </cfRule>
    <cfRule type="containsText" dxfId="5510" priority="6972" operator="containsText" text="COVID19 PRIMER TRIMESTRE">
      <formula>NOT(ISERROR(SEARCH("COVID19 PRIMER TRIMESTRE",HF4)))</formula>
    </cfRule>
    <cfRule type="containsText" dxfId="5509" priority="6973" operator="containsText" text="FACTOR DE RIESGO">
      <formula>NOT(ISERROR(SEARCH("FACTOR DE RIESGO",HF4)))</formula>
    </cfRule>
    <cfRule type="containsText" dxfId="5508" priority="6974" operator="containsText" text="SIN INFECCIÓN">
      <formula>NOT(ISERROR(SEARCH("SIN INFECCIÓN",HF4)))</formula>
    </cfRule>
    <cfRule type="containsText" dxfId="5507" priority="6975" operator="containsText" text="NO SE EVALUA RIESGO INFECCIÓN COVID19">
      <formula>NOT(ISERROR(SEARCH("NO SE EVALUA RIESGO INFECCIÓN COVID19",HF4)))</formula>
    </cfRule>
  </conditionalFormatting>
  <conditionalFormatting sqref="BS2:BS248">
    <cfRule type="cellIs" dxfId="5506" priority="6968" operator="equal">
      <formula>"SIN SEMANAS X ECO"</formula>
    </cfRule>
  </conditionalFormatting>
  <conditionalFormatting sqref="D3:D248">
    <cfRule type="cellIs" dxfId="5505" priority="6960" operator="equal">
      <formula>"SIN DATO"</formula>
    </cfRule>
    <cfRule type="cellIs" dxfId="5504" priority="6961" operator="equal">
      <formula>"SIN ATENCIÓN"</formula>
    </cfRule>
    <cfRule type="cellIs" dxfId="5503" priority="6962" operator="equal">
      <formula>"PROCESO PARCIAL DE ATENCIÓN"</formula>
    </cfRule>
    <cfRule type="cellIs" dxfId="5502" priority="6963" operator="equal">
      <formula>"PROCESO COMPLETO DE ATENCIÓN"</formula>
    </cfRule>
  </conditionalFormatting>
  <conditionalFormatting sqref="CD206 CD209 CD225 CD230 CD233:CD248 CD3:CD161 CD163:CD203 CD212:CD222">
    <cfRule type="cellIs" dxfId="5501" priority="6955" operator="equal">
      <formula>"SD"</formula>
    </cfRule>
    <cfRule type="cellIs" dxfId="5500" priority="6956" operator="equal">
      <formula>"OBLICUA"</formula>
    </cfRule>
    <cfRule type="cellIs" dxfId="5499" priority="6958" operator="equal">
      <formula>"PODÁLICA"</formula>
    </cfRule>
    <cfRule type="cellIs" dxfId="5498" priority="6959" operator="equal">
      <formula>"CEFÁLICA"</formula>
    </cfRule>
  </conditionalFormatting>
  <conditionalFormatting sqref="FJ4:FJ169 FJ192:FJ212 FJ214:FJ248 FJ172:FJ176 FJ178:FJ189">
    <cfRule type="containsText" dxfId="5497" priority="6906" operator="containsText" text="POSITIVA CICATRIZ">
      <formula>NOT(ISERROR(SEARCH("POSITIVA CICATRIZ",FJ4)))</formula>
    </cfRule>
    <cfRule type="containsText" dxfId="5496" priority="6907" operator="containsText" text="POSITIVA CASO SIFILIS">
      <formula>NOT(ISERROR(SEARCH("POSITIVA CASO SIFILIS",FJ4)))</formula>
    </cfRule>
    <cfRule type="containsText" dxfId="5495" priority="6908" operator="containsText" text="NEGATIVA">
      <formula>NOT(ISERROR(SEARCH("NEGATIVA",FJ4)))</formula>
    </cfRule>
  </conditionalFormatting>
  <conditionalFormatting sqref="FM4:FM186 FM188:FM248 FS4:FS248 FP4:FP169 FP171:FP248">
    <cfRule type="containsText" dxfId="5494" priority="6865" operator="containsText" text="REINFECCIÓN">
      <formula>NOT(ISERROR(SEARCH("REINFECCIÓN",FM4)))</formula>
    </cfRule>
    <cfRule type="containsText" dxfId="5493" priority="6866" operator="containsText" text="DILUCIONES DISMINUYEN">
      <formula>NOT(ISERROR(SEARCH("DILUCIONES DISMINUYEN",FM4)))</formula>
    </cfRule>
    <cfRule type="containsText" dxfId="5492" priority="6867" operator="containsText" text="DILUCIONES ESTABLES">
      <formula>NOT(ISERROR(SEARCH("DILUCIONES ESTABLES",FM4)))</formula>
    </cfRule>
    <cfRule type="containsText" dxfId="5491" priority="6868" operator="containsText" text="POSITIVA CICATRIZ">
      <formula>NOT(ISERROR(SEARCH("POSITIVA CICATRIZ",FM4)))</formula>
    </cfRule>
    <cfRule type="containsText" dxfId="5490" priority="6869" operator="containsText" text="POSITIVA CASO SIFILIS">
      <formula>NOT(ISERROR(SEARCH("POSITIVA CASO SIFILIS",FM4)))</formula>
    </cfRule>
    <cfRule type="containsText" dxfId="5489" priority="6870" operator="containsText" text="NEGATIVA">
      <formula>NOT(ISERROR(SEARCH("NEGATIVA",FM4)))</formula>
    </cfRule>
  </conditionalFormatting>
  <conditionalFormatting sqref="GZ4:GZ248 HB4:HB248 HD4:HD248">
    <cfRule type="containsText" dxfId="5488" priority="6832" operator="containsText" text="INDETERMINADO">
      <formula>NOT(ISERROR(SEARCH("INDETERMINADO",GZ4)))</formula>
    </cfRule>
    <cfRule type="containsText" dxfId="5487" priority="6833" operator="containsText" text="NO TOMADO">
      <formula>NOT(ISERROR(SEARCH("NO TOMADO",GZ4)))</formula>
    </cfRule>
    <cfRule type="cellIs" dxfId="5486" priority="6835" operator="equal">
      <formula>"NEGATIVO"</formula>
    </cfRule>
    <cfRule type="cellIs" dxfId="5485" priority="6836" operator="equal">
      <formula>"POSITIVO"</formula>
    </cfRule>
  </conditionalFormatting>
  <conditionalFormatting sqref="DR3:DR248">
    <cfRule type="containsBlanks" priority="6803" stopIfTrue="1">
      <formula>LEN(TRIM(DR3))=0</formula>
    </cfRule>
    <cfRule type="cellIs" dxfId="5484" priority="6804" operator="greaterThanOrEqual">
      <formula>6</formula>
    </cfRule>
    <cfRule type="cellIs" dxfId="5483" priority="6805" operator="between">
      <formula>4</formula>
      <formula>5</formula>
    </cfRule>
    <cfRule type="cellIs" dxfId="5482" priority="6806" operator="between">
      <formula>0</formula>
      <formula>3</formula>
    </cfRule>
  </conditionalFormatting>
  <conditionalFormatting sqref="DU3:DU248">
    <cfRule type="cellIs" dxfId="5481" priority="6795" operator="between">
      <formula>28</formula>
      <formula>44</formula>
    </cfRule>
    <cfRule type="cellIs" dxfId="5480" priority="6797" operator="equal">
      <formula>"SALE SIN PLAN DE PARTO"</formula>
    </cfRule>
    <cfRule type="cellIs" dxfId="5479" priority="6798" operator="equal">
      <formula>"SALE PROGRAMA ANTES SEMANA 35"</formula>
    </cfRule>
    <cfRule type="cellIs" dxfId="5478" priority="6799" operator="equal">
      <formula>"EN ESPERA"</formula>
    </cfRule>
    <cfRule type="cellIs" dxfId="5477" priority="6800" operator="equal">
      <formula>"CONCERTAR PLAN DE PARTO INMEDIATO"</formula>
    </cfRule>
    <cfRule type="cellIs" dxfId="5476" priority="6801" operator="equal">
      <formula>"PLANEAR PLAN DE PARTO"</formula>
    </cfRule>
    <cfRule type="cellIs" dxfId="5475" priority="6802" operator="equal">
      <formula>"PLAN REALIZADO ANTES III TRIM"</formula>
    </cfRule>
  </conditionalFormatting>
  <conditionalFormatting sqref="HM3:HM248 DX3:DX248">
    <cfRule type="containsText" dxfId="5474" priority="6794" operator="containsText" text="DILIGENCIAR">
      <formula>NOT(ISERROR(SEARCH("DILIGENCIAR",DX3)))</formula>
    </cfRule>
  </conditionalFormatting>
  <conditionalFormatting sqref="IT4:IT6 IT14 IT16:IT18 IT21 IT28 IT41 IT46:IT47 IT57 IT61:IT62 IT64 IT71 IT78 IT85 IT88 IT90:IT92 IT94:IT96 IT99:IT104 IT110:IT119 IT106:IT108 IT121:IT126 IT128:IT130 IT147:IT154 IT156:IT157 IT159:IT165 IT132:IT145 IT168:IT248">
    <cfRule type="containsText" dxfId="5473" priority="6781" operator="containsText" text="LE HACEN CESÁREA SIN INICIO TRABAJO DE PARTO">
      <formula>NOT(ISERROR(SEARCH("LE HACEN CESÁREA SIN INICIO TRABAJO DE PARTO",IT4)))</formula>
    </cfRule>
    <cfRule type="containsText" dxfId="5472" priority="6782" operator="containsText" text="LE HACEN INDUCCIÓN">
      <formula>NOT(ISERROR(SEARCH("LE HACEN INDUCCIÓN",IT4)))</formula>
    </cfRule>
    <cfRule type="containsText" dxfId="5471" priority="6783" operator="containsText" text="ESPONTÁNEO">
      <formula>NOT(ISERROR(SEARCH("ESPONTÁNEO",IT4)))</formula>
    </cfRule>
  </conditionalFormatting>
  <conditionalFormatting sqref="FM187">
    <cfRule type="containsText" dxfId="5470" priority="6769" operator="containsText" text="DILUCIONES DISMINUYEN">
      <formula>NOT(ISERROR(SEARCH("DILUCIONES DISMINUYEN",FM187)))</formula>
    </cfRule>
    <cfRule type="containsText" dxfId="5469" priority="6770" operator="containsText" text="DILUCIONES ESTABLES">
      <formula>NOT(ISERROR(SEARCH("DILUCIONES ESTABLES",FM187)))</formula>
    </cfRule>
    <cfRule type="containsText" dxfId="5468" priority="6771" operator="containsText" text="POSITIVA CICATRIZ">
      <formula>NOT(ISERROR(SEARCH("POSITIVA CICATRIZ",FM187)))</formula>
    </cfRule>
    <cfRule type="containsText" dxfId="5467" priority="6772" operator="containsText" text="POSITIVA CASO SIFILIS">
      <formula>NOT(ISERROR(SEARCH("POSITIVA CASO SIFILIS",FM187)))</formula>
    </cfRule>
    <cfRule type="containsText" dxfId="5466" priority="6773" operator="containsText" text="NEGATIVA">
      <formula>NOT(ISERROR(SEARCH("NEGATIVA",FM187)))</formula>
    </cfRule>
  </conditionalFormatting>
  <conditionalFormatting sqref="AE204:AF204 AE237:AF237 AE208 AE206:AF207 AE209:AF210 AE3:AF189 AE213:AF221">
    <cfRule type="containsText" dxfId="5465" priority="6764" operator="containsText" text="NO">
      <formula>NOT(ISERROR(SEARCH("NO",AE3)))</formula>
    </cfRule>
    <cfRule type="containsText" dxfId="5464" priority="6765" operator="containsText" text="SI">
      <formula>NOT(ISERROR(SEARCH("SI",AE3)))</formula>
    </cfRule>
  </conditionalFormatting>
  <conditionalFormatting sqref="AD3:AD154 AD156:AD183 AD185 AD187:AD239">
    <cfRule type="containsText" dxfId="5463" priority="6760" operator="containsText" text="No Consume">
      <formula>NOT(ISERROR(SEARCH("No Consume",AD3)))</formula>
    </cfRule>
    <cfRule type="containsText" dxfId="5462" priority="6761" operator="containsText" text="Hasta Antes de la Gestación">
      <formula>NOT(ISERROR(SEARCH("Hasta Antes de la Gestación",AD3)))</formula>
    </cfRule>
    <cfRule type="containsText" dxfId="5461" priority="6762" operator="containsText" text="Consumo Actual">
      <formula>NOT(ISERROR(SEARCH("Consumo Actual",AD3)))</formula>
    </cfRule>
  </conditionalFormatting>
  <conditionalFormatting sqref="EV142 EV150:EW162 EV149 EV96:EW98 EV95 EV91:EW94 EV90 EV163 EV194:EV195 EV136:EW141 EV135 EV115 EV131:EW134 EV164:EW191 EV232:EW232 EV210 EV196:EW198 EV4:EW59 EV61:EW89 EV60 EX60 EV205 EV211:EW211 EV217:EW217 EV216 EV218 EV193:EW193 EV192 EV213:EW215 EV212 EV227:EW228 EV203:EW204 EV206:EW209 EV116:EW129 EV143:EW148 EV225:EV226 EV229:EV231 EV233 EV130 EV234:EW241 EV243:EW248 EV242 EV100:EW114 EV99 EV200:EW200 EV199 EV201:EV202 EV219:EW224">
    <cfRule type="containsText" dxfId="5460" priority="6689" operator="containsText" text="RH NEGATIVO SIN COOMB">
      <formula>NOT(ISERROR(SEARCH("RH NEGATIVO SIN COOMB",EV4)))</formula>
    </cfRule>
    <cfRule type="containsText" dxfId="5459" priority="6757" operator="containsText" text="RH NEGATIVO CON COOMBS POSITIVO">
      <formula>NOT(ISERROR(SEARCH("RH NEGATIVO CON COOMBS POSITIVO",EV4)))</formula>
    </cfRule>
    <cfRule type="containsText" dxfId="5458" priority="6758" operator="containsText" text="RH NEGATIVO CON COOMBS NEGATIVO">
      <formula>NOT(ISERROR(SEARCH("RH NEGATIVO CON COOMBS NEGATIVO",EV4)))</formula>
    </cfRule>
    <cfRule type="containsText" dxfId="5457" priority="6759" operator="containsText" text="RH POSITIVO">
      <formula>NOT(ISERROR(SEARCH("RH POSITIVO",EV4)))</formula>
    </cfRule>
  </conditionalFormatting>
  <conditionalFormatting sqref="BC209 BC3:BC189">
    <cfRule type="containsText" dxfId="5456" priority="6749" operator="containsText" text="SD">
      <formula>NOT(ISERROR(SEARCH("SD",BC3)))</formula>
    </cfRule>
    <cfRule type="containsText" dxfId="5455" priority="6750" operator="containsText" text="SI, NO CONTROLADA">
      <formula>NOT(ISERROR(SEARCH("SI, NO CONTROLADA",BC3)))</formula>
    </cfRule>
    <cfRule type="containsText" dxfId="5454" priority="6751" operator="containsText" text="SI, SIN MANEJO">
      <formula>NOT(ISERROR(SEARCH("SI, SIN MANEJO",BC3)))</formula>
    </cfRule>
    <cfRule type="containsText" dxfId="5453" priority="6752" operator="containsText" text="SI, CONTROLADA">
      <formula>NOT(ISERROR(SEARCH("SI, CONTROLADA",BC3)))</formula>
    </cfRule>
    <cfRule type="containsText" dxfId="5452" priority="6753" operator="containsText" text="NO">
      <formula>NOT(ISERROR(SEARCH("NO",BC3)))</formula>
    </cfRule>
  </conditionalFormatting>
  <conditionalFormatting sqref="CR4:CR155 CR157:CR212 CU4:CU204 CR214:CR248 CU206:CU248">
    <cfRule type="expression" dxfId="5451" priority="6745">
      <formula>IF(CT4="NO APLICA REGISTRO TA-INGRESO TARDIO",1,"")</formula>
    </cfRule>
  </conditionalFormatting>
  <conditionalFormatting sqref="CS4:CS155 CS157:CS212 CV4:CV204 CS214:CS248 CV206:CV248">
    <cfRule type="expression" dxfId="5450" priority="6744">
      <formula>IF(CT4="NO APLICA REGISTRO TA-INGRESO TARDIO",1,"")</formula>
    </cfRule>
  </conditionalFormatting>
  <conditionalFormatting sqref="FA4:FA212 FA214:FA248">
    <cfRule type="expression" dxfId="5449" priority="6737">
      <formula>IF(AND(FA4&gt;=126,FC4&lt;24),1,0)</formula>
    </cfRule>
  </conditionalFormatting>
  <conditionalFormatting sqref="BE219:BE221 BE209 BE3:BE189 BE213:BE215">
    <cfRule type="expression" dxfId="5448" priority="6735">
      <formula>IF(AND(FA3&gt;=126,FC3&lt;24),1,0)</formula>
    </cfRule>
  </conditionalFormatting>
  <conditionalFormatting sqref="L230 L232:L235 L207:L210 L3:L125 L164:L175 L157:L162 L152:L155 L127:L150 L177:L199 L213:L227">
    <cfRule type="containsText" dxfId="5447" priority="6711" operator="containsText" text="Empleo informal">
      <formula>NOT(ISERROR(SEARCH("Empleo informal",L3)))</formula>
    </cfRule>
    <cfRule type="containsText" dxfId="5446" priority="6712" operator="containsText" text="Empleada formalmente con riesgo a tóxicos">
      <formula>NOT(ISERROR(SEARCH("Empleada formalmente con riesgo a tóxicos",L3)))</formula>
    </cfRule>
    <cfRule type="containsText" dxfId="5445" priority="6713" operator="containsText" text="Empleada formalmente con riesgo de accidente laboral">
      <formula>NOT(ISERROR(SEARCH("Empleada formalmente con riesgo de accidente laboral",L3)))</formula>
    </cfRule>
    <cfRule type="containsText" dxfId="5444" priority="6714" operator="containsText" text="Empleada formalmente por jornada laboral extensa">
      <formula>NOT(ISERROR(SEARCH("Empleada formalmente por jornada laboral extensa",L3)))</formula>
    </cfRule>
    <cfRule type="containsText" dxfId="5443" priority="6715" operator="containsText" text="Empleada formalmente sin riesgo">
      <formula>NOT(ISERROR(SEARCH("Empleada formalmente sin riesgo",L3)))</formula>
    </cfRule>
    <cfRule type="containsText" dxfId="5442" priority="6716" operator="containsText" text="Actualmente desempleada">
      <formula>NOT(ISERROR(SEARCH("Actualmente desempleada",L3)))</formula>
    </cfRule>
    <cfRule type="containsText" dxfId="5441" priority="6717" operator="containsText" text="Hogar sin apoyo">
      <formula>NOT(ISERROR(SEARCH("Hogar sin apoyo",L3)))</formula>
    </cfRule>
    <cfRule type="containsText" dxfId="5440" priority="6718" operator="containsText" text="Empleada formalmente sin riesgo">
      <formula>NOT(ISERROR(SEARCH("Empleada formalmente sin riesgo",L3)))</formula>
    </cfRule>
    <cfRule type="containsText" dxfId="5439" priority="6719" operator="containsText" text="Hogar Con apoyo">
      <formula>NOT(ISERROR(SEARCH("Hogar Con apoyo",L3)))</formula>
    </cfRule>
  </conditionalFormatting>
  <conditionalFormatting sqref="DT3:DT248">
    <cfRule type="containsText" dxfId="5438" priority="6706" operator="containsText" text="Sin Acuerdo">
      <formula>NOT(ISERROR(SEARCH("Sin Acuerdo",DT3)))</formula>
    </cfRule>
    <cfRule type="containsText" dxfId="5437" priority="6707" operator="containsText" text="Sin Dato">
      <formula>NOT(ISERROR(SEARCH("Sin Dato",DT3)))</formula>
    </cfRule>
    <cfRule type="containsText" dxfId="5436" priority="6708" operator="containsText" text="IPS Remisión fuera Mpio">
      <formula>NOT(ISERROR(SEARCH("IPS Remisión fuera Mpio",DT3)))</formula>
    </cfRule>
    <cfRule type="containsText" dxfId="5435" priority="6709" operator="containsText" text="Domiciliario">
      <formula>NOT(ISERROR(SEARCH("Domiciliario",DT3)))</formula>
    </cfRule>
    <cfRule type="containsText" dxfId="5434" priority="6710" operator="containsText" text="IPS dentro Mpio">
      <formula>NOT(ISERROR(SEARCH("IPS dentro Mpio",DT3)))</formula>
    </cfRule>
  </conditionalFormatting>
  <conditionalFormatting sqref="IB4:IB248">
    <cfRule type="containsText" dxfId="5433" priority="6703" operator="containsText" text="NO Firma Disentimiento">
      <formula>NOT(ISERROR(SEARCH("NO Firma Disentimiento",IB4)))</formula>
    </cfRule>
    <cfRule type="containsText" dxfId="5432" priority="6704" operator="containsText" text="Firma Disentimiento">
      <formula>NOT(ISERROR(SEARCH("Firma Disentimiento",IB4)))</formula>
    </cfRule>
    <cfRule type="containsText" dxfId="5431" priority="6705" operator="containsText" text="No Vacunada">
      <formula>NOT(ISERROR(SEARCH("No Vacunada",IB4)))</formula>
    </cfRule>
  </conditionalFormatting>
  <conditionalFormatting sqref="GY4:GY248">
    <cfRule type="containsText" dxfId="5430" priority="6700" operator="containsText" text="Nunca se ha tomado / No vigente">
      <formula>NOT(ISERROR(SEARCH("Nunca se ha tomado / No vigente",GY4)))</formula>
    </cfRule>
    <cfRule type="containsText" dxfId="5429" priority="6701" operator="containsText" text="Esquema vigente – Alterado">
      <formula>NOT(ISERROR(SEARCH("Esquema vigente – Alterado",GY4)))</formula>
    </cfRule>
    <cfRule type="containsText" dxfId="5428" priority="6702" operator="containsText" text="Esquema vigente – Normal">
      <formula>NOT(ISERROR(SEARCH("Esquema vigente – Normal",GY4)))</formula>
    </cfRule>
  </conditionalFormatting>
  <conditionalFormatting sqref="ET3:ET248">
    <cfRule type="containsText" dxfId="5427" priority="6693" operator="containsText" text="NO APLICA-SALE ANTES SEM 28">
      <formula>NOT(ISERROR(SEARCH("NO APLICA-SALE ANTES SEM 28",ET3)))</formula>
    </cfRule>
    <cfRule type="containsText" dxfId="5426" priority="6694" operator="containsText" text="SALE SIN TAMIZAJE HEMOGLOBINA SEM 28">
      <formula>NOT(ISERROR(SEARCH("SALE SIN TAMIZAJE HEMOGLOBINA SEM 28",ET3)))</formula>
    </cfRule>
    <cfRule type="containsText" dxfId="5425" priority="6695" operator="containsText" text="EN ESPERA PARA TOMA EXAMEN">
      <formula>NOT(ISERROR(SEARCH("EN ESPERA PARA TOMA EXAMEN",ET3)))</formula>
    </cfRule>
    <cfRule type="containsText" dxfId="5424" priority="6696" operator="containsText" text="TOMA DE HEMOGLOBINA TARDÍA">
      <formula>NOT(ISERROR(SEARCH("TOMA DE HEMOGLOBINA TARDÍA",ET3)))</formula>
    </cfRule>
    <cfRule type="containsText" dxfId="5423" priority="6697" operator="containsText" text="EN SEMANA 28 TOMA INMEDIATA DE EXAMEN">
      <formula>NOT(ISERROR(SEARCH("EN SEMANA 28 TOMA INMEDIATA DE EXAMEN",ET3)))</formula>
    </cfRule>
    <cfRule type="containsText" dxfId="5422" priority="6698" operator="containsText" text="TOMA HEMOGLOBINA A SEM 28 EN 1 SEMANA">
      <formula>NOT(ISERROR(SEARCH("TOMA HEMOGLOBINA A SEM 28 EN 1 SEMANA",ET3)))</formula>
    </cfRule>
    <cfRule type="containsText" dxfId="5421" priority="6699" operator="containsText" text="PROGRAMAR TOMA HEMOGLOBINA A SEM 28">
      <formula>NOT(ISERROR(SEARCH("PROGRAMAR TOMA HEMOGLOBINA A SEM 28",ET3)))</formula>
    </cfRule>
  </conditionalFormatting>
  <conditionalFormatting sqref="EV3">
    <cfRule type="containsText" dxfId="5420" priority="6682" operator="containsText" text="RH NEGATIVO SIN COOMB">
      <formula>NOT(ISERROR(SEARCH("RH NEGATIVO SIN COOMB",EV3)))</formula>
    </cfRule>
    <cfRule type="containsText" dxfId="5419" priority="6683" operator="containsText" text="RH NEGATIVO CON COOMBS POSITIVO">
      <formula>NOT(ISERROR(SEARCH("RH NEGATIVO CON COOMBS POSITIVO",EV3)))</formula>
    </cfRule>
    <cfRule type="containsText" dxfId="5418" priority="6684" operator="containsText" text="RH NEGATIVO CON COOMBS NEGATIVO">
      <formula>NOT(ISERROR(SEARCH("RH NEGATIVO CON COOMBS NEGATIVO",EV3)))</formula>
    </cfRule>
    <cfRule type="containsText" dxfId="5417" priority="6685" operator="containsText" text="RH POSITIVO">
      <formula>NOT(ISERROR(SEARCH("RH POSITIVO",EV3)))</formula>
    </cfRule>
  </conditionalFormatting>
  <conditionalFormatting sqref="EZ3:EZ248">
    <cfRule type="cellIs" dxfId="5416" priority="6666" operator="between">
      <formula>1</formula>
      <formula>27.99</formula>
    </cfRule>
    <cfRule type="cellIs" dxfId="5415" priority="6667" operator="between">
      <formula>28</formula>
      <formula>28.99</formula>
    </cfRule>
    <cfRule type="cellIs" dxfId="5414" priority="6668" operator="between">
      <formula>29</formula>
      <formula>42</formula>
    </cfRule>
    <cfRule type="containsText" dxfId="5413" priority="6669" operator="containsText" text="DEBE APLICAR RHESUMAN, ES NO OPORTUNO &gt; 28 SEMANAS">
      <formula>NOT(ISERROR(SEARCH("DEBE APLICAR RHESUMAN, ES NO OPORTUNO &gt; 28 SEMANAS",EZ3)))</formula>
    </cfRule>
    <cfRule type="containsText" dxfId="5412" priority="6670" operator="containsText" text="SEMANA 28 APLICAR DE INMEDIATO RHESUMAN">
      <formula>NOT(ISERROR(SEARCH("SEMANA 28 APLICAR DE INMEDIATO RHESUMAN",EZ3)))</formula>
    </cfRule>
    <cfRule type="containsText" dxfId="5411" priority="6671" operator="containsText" text="FALTAN 1 SEMANAS PARA APLICAR RHESUMAN A SEM 28">
      <formula>NOT(ISERROR(SEARCH("FALTAN 1 SEMANAS PARA APLICAR RHESUMAN A SEM 28",EZ3)))</formula>
    </cfRule>
    <cfRule type="containsText" dxfId="5410" priority="6672" operator="containsText" text="FALTAN DE 4 A 2 SEMANAS PARA APLICAR RHESUMAN A SEM 28">
      <formula>NOT(ISERROR(SEARCH("FALTAN DE 4 A 2 SEMANAS PARA APLICAR RHESUMAN A SEM 28",EZ3)))</formula>
    </cfRule>
    <cfRule type="containsText" dxfId="5409" priority="6681" operator="containsText" text="TOMAR COOMBS INMEDIATO">
      <formula>NOT(ISERROR(SEARCH("TOMAR COOMBS INMEDIATO",EZ3)))</formula>
    </cfRule>
    <cfRule type="containsText" dxfId="5408" priority="6754" operator="containsText" text="TOMAR COOMBS CUANTITATIVO Y REMISIÓN">
      <formula>NOT(ISERROR(SEARCH("TOMAR COOMBS CUANTITATIVO Y REMISIÓN",EZ3)))</formula>
    </cfRule>
    <cfRule type="containsText" dxfId="5407" priority="6755" operator="containsText" text="COOMBS C/MES Y RHESUMAN SEM 28">
      <formula>NOT(ISERROR(SEARCH("COOMBS C/MES Y RHESUMAN SEM 28",EZ3)))</formula>
    </cfRule>
    <cfRule type="containsText" dxfId="5406" priority="6756" operator="containsText" text="SIN RIESGO DE ISOINMUNIZACIÓN">
      <formula>NOT(ISERROR(SEARCH("SIN RIESGO DE ISOINMUNIZACIÓN",EZ3)))</formula>
    </cfRule>
  </conditionalFormatting>
  <conditionalFormatting sqref="EW3">
    <cfRule type="containsText" dxfId="5405" priority="6673" operator="containsText" text="RH NEGATIVO SIN COOMB">
      <formula>NOT(ISERROR(SEARCH("RH NEGATIVO SIN COOMB",EW3)))</formula>
    </cfRule>
    <cfRule type="containsText" dxfId="5404" priority="6674" operator="containsText" text="RH NEGATIVO CON COOMBS POSITIVO">
      <formula>NOT(ISERROR(SEARCH("RH NEGATIVO CON COOMBS POSITIVO",EW3)))</formula>
    </cfRule>
    <cfRule type="containsText" dxfId="5403" priority="6675" operator="containsText" text="RH NEGATIVO CON COOMBS NEGATIVO">
      <formula>NOT(ISERROR(SEARCH("RH NEGATIVO CON COOMBS NEGATIVO",EW3)))</formula>
    </cfRule>
    <cfRule type="containsText" dxfId="5402" priority="6676" operator="containsText" text="RH POSITIVO">
      <formula>NOT(ISERROR(SEARCH("RH POSITIVO",EW3)))</formula>
    </cfRule>
  </conditionalFormatting>
  <conditionalFormatting sqref="FA3">
    <cfRule type="expression" dxfId="5401" priority="6665">
      <formula>IF(AND(FA3&gt;=126,FC3&lt;24),1,0)</formula>
    </cfRule>
  </conditionalFormatting>
  <conditionalFormatting sqref="FR3:FR248 FO3:FO248">
    <cfRule type="containsText" dxfId="5400" priority="6659" operator="containsText" text="NO APLICA">
      <formula>NOT(ISERROR(SEARCH("NO APLICA",FO3)))</formula>
    </cfRule>
    <cfRule type="containsText" dxfId="5399" priority="6660" operator="containsText" text="PIERDE">
      <formula>NOT(ISERROR(SEARCH("PIERDE",FO3)))</formula>
    </cfRule>
    <cfRule type="containsText" dxfId="5398" priority="6661" operator="containsText" text="REGISTRAR">
      <formula>NOT(ISERROR(SEARCH("REGISTRAR",FO3)))</formula>
    </cfRule>
    <cfRule type="containsText" dxfId="5397" priority="6662" operator="containsText" text="EN ESPERA">
      <formula>NOT(ISERROR(SEARCH("EN ESPERA",FO3)))</formula>
    </cfRule>
    <cfRule type="containsText" dxfId="5396" priority="6663" operator="containsText" text="RANGO">
      <formula>NOT(ISERROR(SEARCH("RANGO",FO3)))</formula>
    </cfRule>
    <cfRule type="containsText" dxfId="5395" priority="6664" operator="containsText" text="INMEDIATA">
      <formula>NOT(ISERROR(SEARCH("INMEDIATA",FO3)))</formula>
    </cfRule>
  </conditionalFormatting>
  <conditionalFormatting sqref="FO3:FO248">
    <cfRule type="cellIs" dxfId="5394" priority="6658" operator="between">
      <formula>12</formula>
      <formula>28</formula>
    </cfRule>
  </conditionalFormatting>
  <conditionalFormatting sqref="FR3:FR248">
    <cfRule type="cellIs" dxfId="5393" priority="6654" operator="between">
      <formula>28</formula>
      <formula>44</formula>
    </cfRule>
  </conditionalFormatting>
  <conditionalFormatting sqref="GA3:GA248">
    <cfRule type="containsText" dxfId="5392" priority="6643" operator="containsText" text="NO APLICA">
      <formula>NOT(ISERROR(SEARCH("NO APLICA",GA3)))</formula>
    </cfRule>
    <cfRule type="containsText" dxfId="5391" priority="6644" operator="containsText" text="PIERDE">
      <formula>NOT(ISERROR(SEARCH("PIERDE",GA3)))</formula>
    </cfRule>
    <cfRule type="containsText" dxfId="5390" priority="6645" operator="containsText" text="REGISTRAR">
      <formula>NOT(ISERROR(SEARCH("REGISTRAR",GA3)))</formula>
    </cfRule>
    <cfRule type="cellIs" dxfId="5389" priority="6646" operator="between">
      <formula>0</formula>
      <formula>13</formula>
    </cfRule>
    <cfRule type="containsText" dxfId="5388" priority="6647" operator="containsText" text="EN ESPERA">
      <formula>NOT(ISERROR(SEARCH("EN ESPERA",GA3)))</formula>
    </cfRule>
    <cfRule type="containsText" dxfId="5387" priority="6648" operator="containsText" text="RANGO">
      <formula>NOT(ISERROR(SEARCH("RANGO",GA3)))</formula>
    </cfRule>
    <cfRule type="containsText" dxfId="5386" priority="6649" operator="containsText" text="INMEDIATA">
      <formula>NOT(ISERROR(SEARCH("INMEDIATA",GA3)))</formula>
    </cfRule>
  </conditionalFormatting>
  <conditionalFormatting sqref="GD3:GD248">
    <cfRule type="containsText" dxfId="5385" priority="6636" operator="containsText" text="NO APLICA">
      <formula>NOT(ISERROR(SEARCH("NO APLICA",GD3)))</formula>
    </cfRule>
    <cfRule type="containsText" dxfId="5384" priority="6637" operator="containsText" text="PIERDE">
      <formula>NOT(ISERROR(SEARCH("PIERDE",GD3)))</formula>
    </cfRule>
    <cfRule type="containsText" dxfId="5383" priority="6638" operator="containsText" text="REGISTRAR">
      <formula>NOT(ISERROR(SEARCH("REGISTRAR",GD3)))</formula>
    </cfRule>
    <cfRule type="cellIs" dxfId="5382" priority="6639" operator="between">
      <formula>12</formula>
      <formula>28</formula>
    </cfRule>
    <cfRule type="containsText" dxfId="5381" priority="6640" operator="containsText" text="EN ESPERA">
      <formula>NOT(ISERROR(SEARCH("EN ESPERA",GD3)))</formula>
    </cfRule>
    <cfRule type="containsText" dxfId="5380" priority="6641" operator="containsText" text="RANGO">
      <formula>NOT(ISERROR(SEARCH("RANGO",GD3)))</formula>
    </cfRule>
    <cfRule type="containsText" dxfId="5379" priority="6642" operator="containsText" text="INMEDIATA">
      <formula>NOT(ISERROR(SEARCH("INMEDIATA",GD3)))</formula>
    </cfRule>
  </conditionalFormatting>
  <conditionalFormatting sqref="GG3:GG248">
    <cfRule type="containsText" dxfId="5378" priority="6629" operator="containsText" text="NO APLICA">
      <formula>NOT(ISERROR(SEARCH("NO APLICA",GG3)))</formula>
    </cfRule>
    <cfRule type="containsText" dxfId="5377" priority="6630" operator="containsText" text="PIERDE">
      <formula>NOT(ISERROR(SEARCH("PIERDE",GG3)))</formula>
    </cfRule>
    <cfRule type="containsText" dxfId="5376" priority="6631" operator="containsText" text="REGISTRAR">
      <formula>NOT(ISERROR(SEARCH("REGISTRAR",GG3)))</formula>
    </cfRule>
    <cfRule type="cellIs" dxfId="5375" priority="6632" operator="between">
      <formula>28</formula>
      <formula>44</formula>
    </cfRule>
    <cfRule type="containsText" dxfId="5374" priority="6633" operator="containsText" text="EN ESPERA">
      <formula>NOT(ISERROR(SEARCH("EN ESPERA",GG3)))</formula>
    </cfRule>
    <cfRule type="containsText" dxfId="5373" priority="6634" operator="containsText" text="RANGO">
      <formula>NOT(ISERROR(SEARCH("RANGO",GG3)))</formula>
    </cfRule>
    <cfRule type="containsText" dxfId="5372" priority="6635" operator="containsText" text="INMEDIATA">
      <formula>NOT(ISERROR(SEARCH("INMEDIATA",GG3)))</formula>
    </cfRule>
  </conditionalFormatting>
  <conditionalFormatting sqref="HK3:HK248">
    <cfRule type="cellIs" dxfId="5371" priority="6603" operator="equal">
      <formula>"SIN ANTECEDENTES DE RIESGO"</formula>
    </cfRule>
    <cfRule type="containsText" dxfId="5370" priority="6609" operator="containsText" text="ASA">
      <formula>NOT(ISERROR(SEARCH("ASA",HK3)))</formula>
    </cfRule>
  </conditionalFormatting>
  <conditionalFormatting sqref="HI3:HI248">
    <cfRule type="cellIs" dxfId="5369" priority="6606" operator="equal">
      <formula>"CON RIESGO"</formula>
    </cfRule>
    <cfRule type="containsText" dxfId="5368" priority="6607" operator="containsText" text="BAJO">
      <formula>NOT(ISERROR(SEARCH("BAJO",HI3)))</formula>
    </cfRule>
    <cfRule type="containsText" dxfId="5367" priority="6608" operator="containsText" text="ALTO">
      <formula>NOT(ISERROR(SEARCH("ALTO",HI3)))</formula>
    </cfRule>
  </conditionalFormatting>
  <conditionalFormatting sqref="HG3:HH248">
    <cfRule type="notContainsBlanks" dxfId="5366" priority="6610">
      <formula>LEN(TRIM(HG3))&gt;0</formula>
    </cfRule>
  </conditionalFormatting>
  <conditionalFormatting sqref="HG3:HG248">
    <cfRule type="cellIs" dxfId="5365" priority="6605" operator="equal">
      <formula>"******"</formula>
    </cfRule>
  </conditionalFormatting>
  <conditionalFormatting sqref="HH3:HH248">
    <cfRule type="cellIs" dxfId="5364" priority="6604" operator="equal">
      <formula>"************"</formula>
    </cfRule>
  </conditionalFormatting>
  <conditionalFormatting sqref="HJ3:HJ248">
    <cfRule type="cellIs" dxfId="5363" priority="6601" operator="equal">
      <formula>"***************************************"</formula>
    </cfRule>
    <cfRule type="notContainsBlanks" dxfId="5362" priority="6602">
      <formula>LEN(TRIM(HJ3))&gt;0</formula>
    </cfRule>
  </conditionalFormatting>
  <conditionalFormatting sqref="HR3:HR248">
    <cfRule type="containsText" dxfId="5361" priority="6593" operator="containsText" text="Iniciar de inmediato ASA">
      <formula>NOT(ISERROR(SEARCH("Iniciar de inmediato ASA",HR3)))</formula>
    </cfRule>
    <cfRule type="containsText" dxfId="5360" priority="6594" operator="containsText" text="Inicio no oportuno mayor a 16 semanas">
      <formula>NOT(ISERROR(SEARCH("Inicio no oportuno mayor a 16 semanas",HR3)))</formula>
    </cfRule>
    <cfRule type="containsText" dxfId="5359" priority="6595" operator="containsText" text="Pierde Oportunidad, Inicio tardío de ASA">
      <formula>NOT(ISERROR(SEARCH("Pierde Oportunidad, Inicio tardío de ASA",HR3)))</formula>
    </cfRule>
    <cfRule type="containsText" dxfId="5358" priority="6596" operator="containsText" text="Pendiente Inicio de ASA a la semana 12">
      <formula>NOT(ISERROR(SEARCH("Pendiente Inicio de ASA a la semana 12",HR3)))</formula>
    </cfRule>
    <cfRule type="containsText" dxfId="5357" priority="6597" operator="containsText" text="Inicia ASA ANTES de Sem 12">
      <formula>NOT(ISERROR(SEARCH("Inicia ASA ANTES de Sem 12",HR3)))</formula>
    </cfRule>
    <cfRule type="containsText" dxfId="5356" priority="6598" operator="containsText" text="Inicio oportuno de ASA">
      <formula>NOT(ISERROR(SEARCH("Inicio oportuno de ASA",HR3)))</formula>
    </cfRule>
    <cfRule type="containsText" dxfId="5355" priority="6599" operator="containsText" text="No Aplica para suministro de ASA">
      <formula>NOT(ISERROR(SEARCH("No Aplica para suministro de ASA",HR3)))</formula>
    </cfRule>
  </conditionalFormatting>
  <conditionalFormatting sqref="FG3:FG248">
    <cfRule type="containsText" dxfId="5354" priority="6566" operator="containsText" text="COMPLETA">
      <formula>NOT(ISERROR(SEARCH("COMPLETA",FG3)))</formula>
    </cfRule>
  </conditionalFormatting>
  <conditionalFormatting sqref="FG3:FG248">
    <cfRule type="containsText" dxfId="5353" priority="6561" operator="containsText" text="NORMAL,">
      <formula>NOT(ISERROR(SEARCH("NORMAL,",FG3)))</formula>
    </cfRule>
    <cfRule type="containsText" dxfId="5352" priority="6562" operator="containsText" text="PROGRAMAR">
      <formula>NOT(ISERROR(SEARCH("PROGRAMAR",FG3)))</formula>
    </cfRule>
    <cfRule type="containsText" dxfId="5351" priority="6563" operator="containsText" text="NORMAL">
      <formula>NOT(ISERROR(SEARCH("NORMAL",FG3)))</formula>
    </cfRule>
    <cfRule type="containsText" dxfId="5350" priority="6564" operator="containsText" text="DIABETES">
      <formula>NOT(ISERROR(SEARCH("DIABETES",FG3)))</formula>
    </cfRule>
    <cfRule type="containsText" dxfId="5349" priority="6565" operator="containsText" text="TOMAR">
      <formula>NOT(ISERROR(SEARCH("TOMAR",FG3)))</formula>
    </cfRule>
  </conditionalFormatting>
  <conditionalFormatting sqref="FJ3">
    <cfRule type="containsText" dxfId="5348" priority="6558" operator="containsText" text="POSITIVA CICATRIZ">
      <formula>NOT(ISERROR(SEARCH("POSITIVA CICATRIZ",FJ3)))</formula>
    </cfRule>
    <cfRule type="containsText" dxfId="5347" priority="6559" operator="containsText" text="POSITIVA CASO SIFILIS">
      <formula>NOT(ISERROR(SEARCH("POSITIVA CASO SIFILIS",FJ3)))</formula>
    </cfRule>
    <cfRule type="containsText" dxfId="5346" priority="6560" operator="containsText" text="NEGATIVA">
      <formula>NOT(ISERROR(SEARCH("NEGATIVA",FJ3)))</formula>
    </cfRule>
  </conditionalFormatting>
  <conditionalFormatting sqref="FL3:FL248">
    <cfRule type="containsText" dxfId="5345" priority="6551" operator="containsText" text="NO APLICA">
      <formula>NOT(ISERROR(SEARCH("NO APLICA",FL3)))</formula>
    </cfRule>
    <cfRule type="containsText" dxfId="5344" priority="6552" operator="containsText" text="PIERDE">
      <formula>NOT(ISERROR(SEARCH("PIERDE",FL3)))</formula>
    </cfRule>
    <cfRule type="containsText" dxfId="5343" priority="6553" operator="containsText" text="REGISTRAR">
      <formula>NOT(ISERROR(SEARCH("REGISTRAR",FL3)))</formula>
    </cfRule>
    <cfRule type="cellIs" dxfId="5342" priority="6554" operator="between">
      <formula>0</formula>
      <formula>13</formula>
    </cfRule>
    <cfRule type="containsText" dxfId="5341" priority="6555" operator="containsText" text="EN ESPERA">
      <formula>NOT(ISERROR(SEARCH("EN ESPERA",FL3)))</formula>
    </cfRule>
    <cfRule type="containsText" dxfId="5340" priority="6556" operator="containsText" text="RANGO">
      <formula>NOT(ISERROR(SEARCH("RANGO",FL3)))</formula>
    </cfRule>
    <cfRule type="containsText" dxfId="5339" priority="6557" operator="containsText" text="INMEDIATA">
      <formula>NOT(ISERROR(SEARCH("INMEDIATA",FL3)))</formula>
    </cfRule>
  </conditionalFormatting>
  <conditionalFormatting sqref="FM3">
    <cfRule type="containsText" dxfId="5338" priority="6545" operator="containsText" text="REINFECCIÓN">
      <formula>NOT(ISERROR(SEARCH("REINFECCIÓN",FM3)))</formula>
    </cfRule>
    <cfRule type="containsText" dxfId="5337" priority="6546" operator="containsText" text="DILUCIONES DISMINUYEN">
      <formula>NOT(ISERROR(SEARCH("DILUCIONES DISMINUYEN",FM3)))</formula>
    </cfRule>
    <cfRule type="containsText" dxfId="5336" priority="6547" operator="containsText" text="DILUCIONES ESTABLES">
      <formula>NOT(ISERROR(SEARCH("DILUCIONES ESTABLES",FM3)))</formula>
    </cfRule>
    <cfRule type="containsText" dxfId="5335" priority="6548" operator="containsText" text="POSITIVA CICATRIZ">
      <formula>NOT(ISERROR(SEARCH("POSITIVA CICATRIZ",FM3)))</formula>
    </cfRule>
    <cfRule type="containsText" dxfId="5334" priority="6549" operator="containsText" text="POSITIVA CASO SIFILIS">
      <formula>NOT(ISERROR(SEARCH("POSITIVA CASO SIFILIS",FM3)))</formula>
    </cfRule>
    <cfRule type="containsText" dxfId="5333" priority="6550" operator="containsText" text="NEGATIVA">
      <formula>NOT(ISERROR(SEARCH("NEGATIVA",FM3)))</formula>
    </cfRule>
  </conditionalFormatting>
  <conditionalFormatting sqref="FP3">
    <cfRule type="containsText" dxfId="5332" priority="6539" operator="containsText" text="REINFECCIÓN">
      <formula>NOT(ISERROR(SEARCH("REINFECCIÓN",FP3)))</formula>
    </cfRule>
    <cfRule type="containsText" dxfId="5331" priority="6540" operator="containsText" text="DILUCIONES DISMINUYEN">
      <formula>NOT(ISERROR(SEARCH("DILUCIONES DISMINUYEN",FP3)))</formula>
    </cfRule>
    <cfRule type="containsText" dxfId="5330" priority="6541" operator="containsText" text="DILUCIONES ESTABLES">
      <formula>NOT(ISERROR(SEARCH("DILUCIONES ESTABLES",FP3)))</formula>
    </cfRule>
    <cfRule type="containsText" dxfId="5329" priority="6542" operator="containsText" text="POSITIVA CICATRIZ">
      <formula>NOT(ISERROR(SEARCH("POSITIVA CICATRIZ",FP3)))</formula>
    </cfRule>
    <cfRule type="containsText" dxfId="5328" priority="6543" operator="containsText" text="POSITIVA CASO SIFILIS">
      <formula>NOT(ISERROR(SEARCH("POSITIVA CASO SIFILIS",FP3)))</formula>
    </cfRule>
    <cfRule type="containsText" dxfId="5327" priority="6544" operator="containsText" text="NEGATIVA">
      <formula>NOT(ISERROR(SEARCH("NEGATIVA",FP3)))</formula>
    </cfRule>
  </conditionalFormatting>
  <conditionalFormatting sqref="FU3:FU248">
    <cfRule type="containsText" dxfId="5326" priority="6538" operator="containsText" text="GESTACIONAL">
      <formula>NOT(ISERROR(SEARCH("GESTACIONAL",FU3)))</formula>
    </cfRule>
  </conditionalFormatting>
  <conditionalFormatting sqref="FV3">
    <cfRule type="containsText" dxfId="5325" priority="6536" operator="containsText" text="POSITIVO">
      <formula>NOT(ISERROR(SEARCH("POSITIVO",FV3)))</formula>
    </cfRule>
    <cfRule type="containsText" dxfId="5324" priority="6537" operator="containsText" text="NEGATIVO">
      <formula>NOT(ISERROR(SEARCH("NEGATIVO",FV3)))</formula>
    </cfRule>
  </conditionalFormatting>
  <conditionalFormatting sqref="FS3">
    <cfRule type="containsText" dxfId="5323" priority="6530" operator="containsText" text="REINFECCIÓN">
      <formula>NOT(ISERROR(SEARCH("REINFECCIÓN",FS3)))</formula>
    </cfRule>
    <cfRule type="containsText" dxfId="5322" priority="6531" operator="containsText" text="DILUCIONES DISMINUYEN">
      <formula>NOT(ISERROR(SEARCH("DILUCIONES DISMINUYEN",FS3)))</formula>
    </cfRule>
    <cfRule type="containsText" dxfId="5321" priority="6532" operator="containsText" text="DILUCIONES ESTABLES">
      <formula>NOT(ISERROR(SEARCH("DILUCIONES ESTABLES",FS3)))</formula>
    </cfRule>
    <cfRule type="containsText" dxfId="5320" priority="6533" operator="containsText" text="POSITIVA CICATRIZ">
      <formula>NOT(ISERROR(SEARCH("POSITIVA CICATRIZ",FS3)))</formula>
    </cfRule>
    <cfRule type="containsText" dxfId="5319" priority="6534" operator="containsText" text="POSITIVA CASO SIFILIS">
      <formula>NOT(ISERROR(SEARCH("POSITIVA CASO SIFILIS",FS3)))</formula>
    </cfRule>
    <cfRule type="containsText" dxfId="5318" priority="6535" operator="containsText" text="NEGATIVA">
      <formula>NOT(ISERROR(SEARCH("NEGATIVA",FS3)))</formula>
    </cfRule>
  </conditionalFormatting>
  <conditionalFormatting sqref="FY3">
    <cfRule type="containsText" dxfId="5317" priority="6527" operator="containsText" text="P.R REACTIVA">
      <formula>NOT(ISERROR(SEARCH("P.R REACTIVA",FY3)))</formula>
    </cfRule>
    <cfRule type="containsText" dxfId="5316" priority="6528" operator="containsText" text="NO REACTIVA">
      <formula>NOT(ISERROR(SEARCH("NO REACTIVA",FY3)))</formula>
    </cfRule>
    <cfRule type="containsText" dxfId="5315" priority="6529" operator="containsText" text="ELISA REACTIVA">
      <formula>NOT(ISERROR(SEARCH("ELISA REACTIVA",FY3)))</formula>
    </cfRule>
  </conditionalFormatting>
  <conditionalFormatting sqref="GB3">
    <cfRule type="containsText" dxfId="5314" priority="6524" operator="containsText" text="P.R REACTIVA">
      <formula>NOT(ISERROR(SEARCH("P.R REACTIVA",GB3)))</formula>
    </cfRule>
    <cfRule type="containsText" dxfId="5313" priority="6525" operator="containsText" text="NO REACTIVA">
      <formula>NOT(ISERROR(SEARCH("NO REACTIVA",GB3)))</formula>
    </cfRule>
    <cfRule type="containsText" dxfId="5312" priority="6526" operator="containsText" text="ELISA REACTIVA">
      <formula>NOT(ISERROR(SEARCH("ELISA REACTIVA",GB3)))</formula>
    </cfRule>
  </conditionalFormatting>
  <conditionalFormatting sqref="GE3">
    <cfRule type="containsText" dxfId="5311" priority="6521" operator="containsText" text="P.R REACTIVA">
      <formula>NOT(ISERROR(SEARCH("P.R REACTIVA",GE3)))</formula>
    </cfRule>
    <cfRule type="containsText" dxfId="5310" priority="6522" operator="containsText" text="NO REACTIVA">
      <formula>NOT(ISERROR(SEARCH("NO REACTIVA",GE3)))</formula>
    </cfRule>
    <cfRule type="containsText" dxfId="5309" priority="6523" operator="containsText" text="ELISA REACTIVA">
      <formula>NOT(ISERROR(SEARCH("ELISA REACTIVA",GE3)))</formula>
    </cfRule>
  </conditionalFormatting>
  <conditionalFormatting sqref="GN3">
    <cfRule type="containsText" dxfId="5308" priority="6519" operator="containsText" text="POSITIVO">
      <formula>NOT(ISERROR(SEARCH("POSITIVO",GN3)))</formula>
    </cfRule>
    <cfRule type="containsText" dxfId="5307" priority="6520" operator="containsText" text="NEGATIVO">
      <formula>NOT(ISERROR(SEARCH("NEGATIVO",GN3)))</formula>
    </cfRule>
  </conditionalFormatting>
  <conditionalFormatting sqref="GH3 GJ3">
    <cfRule type="containsText" dxfId="5306" priority="6516" operator="containsText" text="P.R REACTIVA">
      <formula>NOT(ISERROR(SEARCH("P.R REACTIVA",GH3)))</formula>
    </cfRule>
    <cfRule type="containsText" dxfId="5305" priority="6517" operator="containsText" text="NO REACTIVA">
      <formula>NOT(ISERROR(SEARCH("NO REACTIVA",GH3)))</formula>
    </cfRule>
    <cfRule type="containsText" dxfId="5304" priority="6518" operator="containsText" text="ELISA REACTIVA">
      <formula>NOT(ISERROR(SEARCH("ELISA REACTIVA",GH3)))</formula>
    </cfRule>
  </conditionalFormatting>
  <conditionalFormatting sqref="GL3">
    <cfRule type="containsText" dxfId="5303" priority="6512" operator="containsText" text="NO APLICA">
      <formula>NOT(ISERROR(SEARCH("NO APLICA",GL3)))</formula>
    </cfRule>
    <cfRule type="containsText" dxfId="5302" priority="6513" operator="containsText" text="NO CONLUYENTE">
      <formula>NOT(ISERROR(SEARCH("NO CONLUYENTE",GL3)))</formula>
    </cfRule>
    <cfRule type="containsText" dxfId="5301" priority="6514" operator="containsText" text="NEGATIVA">
      <formula>NOT(ISERROR(SEARCH("NEGATIVA",GL3)))</formula>
    </cfRule>
    <cfRule type="containsText" dxfId="5300" priority="6515" operator="containsText" text="POSITIVA">
      <formula>NOT(ISERROR(SEARCH("POSITIVA",GL3)))</formula>
    </cfRule>
  </conditionalFormatting>
  <conditionalFormatting sqref="GQ3:GR3">
    <cfRule type="containsText" dxfId="5299" priority="6510" operator="containsText" text="POSITIVO">
      <formula>NOT(ISERROR(SEARCH("POSITIVO",GQ3)))</formula>
    </cfRule>
    <cfRule type="containsText" dxfId="5298" priority="6511" operator="containsText" text="NEGATIVO">
      <formula>NOT(ISERROR(SEARCH("NEGATIVO",GQ3)))</formula>
    </cfRule>
  </conditionalFormatting>
  <conditionalFormatting sqref="GS3:GS137 GS139:GS248">
    <cfRule type="containsText" dxfId="5297" priority="6507" operator="containsText" text="Igm">
      <formula>NOT(ISERROR(SEARCH("Igm",GS3)))</formula>
    </cfRule>
    <cfRule type="containsText" dxfId="5296" priority="6508" operator="containsText" text="REMITIR">
      <formula>NOT(ISERROR(SEARCH("REMITIR",GS3)))</formula>
    </cfRule>
    <cfRule type="containsText" dxfId="5295" priority="6509" operator="containsText" text="EXCLUYE">
      <formula>NOT(ISERROR(SEARCH("EXCLUYE",GS3)))</formula>
    </cfRule>
  </conditionalFormatting>
  <conditionalFormatting sqref="GW3">
    <cfRule type="containsText" dxfId="5294" priority="6505" operator="containsText" text="POSITIVO">
      <formula>NOT(ISERROR(SEARCH("POSITIVO",GW3)))</formula>
    </cfRule>
    <cfRule type="containsText" dxfId="5293" priority="6506" operator="containsText" text="NEGATIVO">
      <formula>NOT(ISERROR(SEARCH("NEGATIVO",GW3)))</formula>
    </cfRule>
  </conditionalFormatting>
  <conditionalFormatting sqref="HF3">
    <cfRule type="containsText" dxfId="5292" priority="6498" operator="containsText" text="COVID19 PUERPERIO">
      <formula>NOT(ISERROR(SEARCH("COVID19 PUERPERIO",HF3)))</formula>
    </cfRule>
    <cfRule type="containsText" dxfId="5291" priority="6499" operator="containsText" text="COVID19 TERCER TRIMESTRE">
      <formula>NOT(ISERROR(SEARCH("COVID19 TERCER TRIMESTRE",HF3)))</formula>
    </cfRule>
    <cfRule type="containsText" dxfId="5290" priority="6500" operator="containsText" text="COVID19 SEGUNDO TRIMESTRE">
      <formula>NOT(ISERROR(SEARCH("COVID19 SEGUNDO TRIMESTRE",HF3)))</formula>
    </cfRule>
    <cfRule type="containsText" dxfId="5289" priority="6501" operator="containsText" text="COVID19 PRIMER TRIMESTRE">
      <formula>NOT(ISERROR(SEARCH("COVID19 PRIMER TRIMESTRE",HF3)))</formula>
    </cfRule>
    <cfRule type="containsText" dxfId="5288" priority="6502" operator="containsText" text="FACTOR DE RIESGO">
      <formula>NOT(ISERROR(SEARCH("FACTOR DE RIESGO",HF3)))</formula>
    </cfRule>
    <cfRule type="containsText" dxfId="5287" priority="6503" operator="containsText" text="SIN INFECCIÓN">
      <formula>NOT(ISERROR(SEARCH("SIN INFECCIÓN",HF3)))</formula>
    </cfRule>
    <cfRule type="containsText" dxfId="5286" priority="6504" operator="containsText" text="NO SE EVALUA RIESGO INFECCIÓN COVID19">
      <formula>NOT(ISERROR(SEARCH("NO SE EVALUA RIESGO INFECCIÓN COVID19",HF3)))</formula>
    </cfRule>
  </conditionalFormatting>
  <conditionalFormatting sqref="GZ3">
    <cfRule type="containsText" dxfId="5285" priority="6493" operator="containsText" text="INDETERMINADO">
      <formula>NOT(ISERROR(SEARCH("INDETERMINADO",GZ3)))</formula>
    </cfRule>
    <cfRule type="containsText" dxfId="5284" priority="6494" operator="containsText" text="NO TOMADO">
      <formula>NOT(ISERROR(SEARCH("NO TOMADO",GZ3)))</formula>
    </cfRule>
    <cfRule type="cellIs" dxfId="5283" priority="6496" operator="equal">
      <formula>"NEGATIVO"</formula>
    </cfRule>
    <cfRule type="cellIs" dxfId="5282" priority="6497" operator="equal">
      <formula>"POSITIVO"</formula>
    </cfRule>
  </conditionalFormatting>
  <conditionalFormatting sqref="HB3">
    <cfRule type="containsText" dxfId="5281" priority="6488" operator="containsText" text="INDETERMINADO">
      <formula>NOT(ISERROR(SEARCH("INDETERMINADO",HB3)))</formula>
    </cfRule>
    <cfRule type="containsText" dxfId="5280" priority="6489" operator="containsText" text="NO TOMADO">
      <formula>NOT(ISERROR(SEARCH("NO TOMADO",HB3)))</formula>
    </cfRule>
    <cfRule type="cellIs" dxfId="5279" priority="6491" operator="equal">
      <formula>"NEGATIVO"</formula>
    </cfRule>
    <cfRule type="cellIs" dxfId="5278" priority="6492" operator="equal">
      <formula>"POSITIVO"</formula>
    </cfRule>
  </conditionalFormatting>
  <conditionalFormatting sqref="HD3">
    <cfRule type="containsText" dxfId="5277" priority="6483" operator="containsText" text="INDETERMINADO">
      <formula>NOT(ISERROR(SEARCH("INDETERMINADO",HD3)))</formula>
    </cfRule>
    <cfRule type="containsText" dxfId="5276" priority="6484" operator="containsText" text="NO TOMADO">
      <formula>NOT(ISERROR(SEARCH("NO TOMADO",HD3)))</formula>
    </cfRule>
    <cfRule type="cellIs" dxfId="5275" priority="6486" operator="equal">
      <formula>"NEGATIVO"</formula>
    </cfRule>
    <cfRule type="cellIs" dxfId="5274" priority="6487" operator="equal">
      <formula>"POSITIVO"</formula>
    </cfRule>
  </conditionalFormatting>
  <conditionalFormatting sqref="GY3">
    <cfRule type="containsText" dxfId="5273" priority="6480" operator="containsText" text="Nunca se ha tomado / No vigente">
      <formula>NOT(ISERROR(SEARCH("Nunca se ha tomado / No vigente",GY3)))</formula>
    </cfRule>
    <cfRule type="containsText" dxfId="5272" priority="6481" operator="containsText" text="Esquema vigente – Alterado">
      <formula>NOT(ISERROR(SEARCH("Esquema vigente – Alterado",GY3)))</formula>
    </cfRule>
    <cfRule type="containsText" dxfId="5271" priority="6482" operator="containsText" text="Esquema vigente – Normal">
      <formula>NOT(ISERROR(SEARCH("Esquema vigente – Normal",GY3)))</formula>
    </cfRule>
  </conditionalFormatting>
  <conditionalFormatting sqref="HV3 HT3 HX3">
    <cfRule type="containsText" dxfId="5270" priority="6476" operator="containsText" text="NO SE FORMULA">
      <formula>NOT(ISERROR(SEARCH("NO SE FORMULA",HT3)))</formula>
    </cfRule>
    <cfRule type="containsText" dxfId="5269" priority="6477" operator="containsText" text="OTRO">
      <formula>NOT(ISERROR(SEARCH("OTRO",HT3)))</formula>
    </cfRule>
    <cfRule type="containsText" dxfId="5268" priority="6478" operator="containsText" text="IRREGULAR">
      <formula>NOT(ISERROR(SEARCH("IRREGULAR",HT3)))</formula>
    </cfRule>
    <cfRule type="containsText" dxfId="5267" priority="6479" operator="containsText" text="ADECUADO">
      <formula>NOT(ISERROR(SEARCH("ADECUADO",HT3)))</formula>
    </cfRule>
  </conditionalFormatting>
  <conditionalFormatting sqref="IE3:IE248">
    <cfRule type="containsText" dxfId="5266" priority="6468" operator="containsText" text="APLICADA ANTES">
      <formula>NOT(ISERROR(SEARCH("APLICADA ANTES",IE3)))</formula>
    </cfRule>
    <cfRule type="containsText" dxfId="5265" priority="6469" operator="containsText" text="EDAD">
      <formula>NOT(ISERROR(SEARCH("EDAD",IE3)))</formula>
    </cfRule>
    <cfRule type="containsText" dxfId="5264" priority="6470" operator="containsText" text="SALE">
      <formula>NOT(ISERROR(SEARCH("SALE",IE3)))</formula>
    </cfRule>
    <cfRule type="containsText" dxfId="5263" priority="6471" operator="containsText" text="SEMANA 26">
      <formula>NOT(ISERROR(SEARCH("SEMANA 26",IE3)))</formula>
    </cfRule>
    <cfRule type="containsText" dxfId="5262" priority="6472" operator="containsText" text="SEMANA 27">
      <formula>NOT(ISERROR(SEARCH("SEMANA 27",IE3)))</formula>
    </cfRule>
    <cfRule type="containsText" dxfId="5261" priority="6473" operator="containsText" text="INASISTENTE">
      <formula>NOT(ISERROR(SEARCH("INASISTENTE",IE3)))</formula>
    </cfRule>
    <cfRule type="containsText" dxfId="5260" priority="6474" operator="containsText" text="COLOCACIÓN">
      <formula>NOT(ISERROR(SEARCH("COLOCACIÓN",IE3)))</formula>
    </cfRule>
    <cfRule type="containsText" dxfId="5259" priority="6475" operator="containsText" text="ESPERA">
      <formula>NOT(ISERROR(SEARCH("ESPERA",IE3)))</formula>
    </cfRule>
  </conditionalFormatting>
  <conditionalFormatting sqref="IB3">
    <cfRule type="containsText" dxfId="5258" priority="6465" operator="containsText" text="NO Firma Disentimiento">
      <formula>NOT(ISERROR(SEARCH("NO Firma Disentimiento",IB3)))</formula>
    </cfRule>
    <cfRule type="containsText" dxfId="5257" priority="6466" operator="containsText" text="Firma Disentimiento">
      <formula>NOT(ISERROR(SEARCH("Firma Disentimiento",IB3)))</formula>
    </cfRule>
    <cfRule type="containsText" dxfId="5256" priority="6467" operator="containsText" text="No Vacunada">
      <formula>NOT(ISERROR(SEARCH("No Vacunada",IB3)))</formula>
    </cfRule>
  </conditionalFormatting>
  <conditionalFormatting sqref="II3:II248">
    <cfRule type="containsText" dxfId="5255" priority="6461" operator="containsText" text="PENDIENTE">
      <formula>NOT(ISERROR(SEARCH("PENDIENTE",II3)))</formula>
    </cfRule>
    <cfRule type="containsText" dxfId="5254" priority="6462" operator="containsText" text="SEMANA">
      <formula>NOT(ISERROR(SEARCH("SEMANA",II3)))</formula>
    </cfRule>
    <cfRule type="containsText" dxfId="5253" priority="6463" operator="containsText" text="MENOS">
      <formula>NOT(ISERROR(SEARCH("MENOS",II3)))</formula>
    </cfRule>
    <cfRule type="containsText" dxfId="5252" priority="6464" operator="containsText" text="POSIBLEMENTE">
      <formula>NOT(ISERROR(SEARCH("POSIBLEMENTE",II3)))</formula>
    </cfRule>
  </conditionalFormatting>
  <conditionalFormatting sqref="IU3:IZ3 KA3:KC3">
    <cfRule type="cellIs" dxfId="5251" priority="6456" operator="equal">
      <formula>"SD"</formula>
    </cfRule>
    <cfRule type="cellIs" dxfId="5250" priority="6457" operator="equal">
      <formula>"NO APLICA"</formula>
    </cfRule>
    <cfRule type="cellIs" dxfId="5249" priority="6458" operator="equal">
      <formula>"NO"</formula>
    </cfRule>
    <cfRule type="cellIs" dxfId="5248" priority="6459" operator="equal">
      <formula>"SI"</formula>
    </cfRule>
  </conditionalFormatting>
  <conditionalFormatting sqref="IK3">
    <cfRule type="containsText" dxfId="5247" priority="6450" operator="containsText" text="CAMBIO">
      <formula>NOT(ISERROR(SEARCH("CAMBIO",IK3)))</formula>
    </cfRule>
    <cfRule type="containsText" dxfId="5246" priority="6451" operator="containsText" text="NEGACION">
      <formula>NOT(ISERROR(SEARCH("NEGACION",IK3)))</formula>
    </cfRule>
    <cfRule type="containsText" dxfId="5245" priority="6452" operator="containsText" text="IVE">
      <formula>NOT(ISERROR(SEARCH("IVE",IK3)))</formula>
    </cfRule>
    <cfRule type="containsText" dxfId="5244" priority="6453" operator="containsText" text="ABORTO">
      <formula>NOT(ISERROR(SEARCH("ABORTO",IK3)))</formula>
    </cfRule>
    <cfRule type="containsText" dxfId="5243" priority="6454" operator="containsText" text="CESAREA">
      <formula>NOT(ISERROR(SEARCH("CESAREA",IK3)))</formula>
    </cfRule>
    <cfRule type="containsText" dxfId="5242" priority="6455" operator="containsText" text="PARTO">
      <formula>NOT(ISERROR(SEARCH("PARTO",IK3)))</formula>
    </cfRule>
  </conditionalFormatting>
  <conditionalFormatting sqref="IL3">
    <cfRule type="cellIs" dxfId="5241" priority="6401" operator="equal">
      <formula>"MORBILIDAD MATERNA EXTREMA"</formula>
    </cfRule>
    <cfRule type="containsText" dxfId="5240" priority="6446" operator="containsText" text="MME">
      <formula>NOT(ISERROR(SEARCH("MME",IL3)))</formula>
    </cfRule>
    <cfRule type="cellIs" dxfId="5239" priority="6447" operator="equal">
      <formula>"MUERTE Y MORBILIDAD MATERNA EXTREMA"</formula>
    </cfRule>
    <cfRule type="containsText" dxfId="5238" priority="6448" operator="containsText" text="MUERTE">
      <formula>NOT(ISERROR(SEARCH("MUERTE",IL3)))</formula>
    </cfRule>
    <cfRule type="containsText" dxfId="5237" priority="6449" operator="containsText" text="SANA">
      <formula>NOT(ISERROR(SEARCH("SANA",IL3)))</formula>
    </cfRule>
  </conditionalFormatting>
  <conditionalFormatting sqref="IM3">
    <cfRule type="cellIs" dxfId="5236" priority="6400" operator="equal">
      <formula>"MUERTE PERINATAL Y MALFORMACIÓN CONGÉNITA"</formula>
    </cfRule>
    <cfRule type="containsText" dxfId="5235" priority="6440" operator="containsText" text="SIFILIS">
      <formula>NOT(ISERROR(SEARCH("SIFILIS",IM3)))</formula>
    </cfRule>
    <cfRule type="containsText" dxfId="5234" priority="6441" operator="containsText" text="MALFORMACIÓN">
      <formula>NOT(ISERROR(SEARCH("MALFORMACIÓN",IM3)))</formula>
    </cfRule>
    <cfRule type="containsText" dxfId="5233" priority="6442" operator="containsText" text="MUERTE">
      <formula>NOT(ISERROR(SEARCH("MUERTE",IM3)))</formula>
    </cfRule>
    <cfRule type="containsText" dxfId="5232" priority="6443" operator="containsText" text="UCI">
      <formula>NOT(ISERROR(SEARCH("UCI",IM3)))</formula>
    </cfRule>
    <cfRule type="containsText" dxfId="5231" priority="6444" operator="containsText" text="HOSPITALIZACION">
      <formula>NOT(ISERROR(SEARCH("HOSPITALIZACION",IM3)))</formula>
    </cfRule>
    <cfRule type="containsText" dxfId="5230" priority="6445" operator="containsText" text="SANO">
      <formula>NOT(ISERROR(SEARCH("SANO",IM3)))</formula>
    </cfRule>
  </conditionalFormatting>
  <conditionalFormatting sqref="IO3">
    <cfRule type="containsText" dxfId="5229" priority="6436" operator="containsText" text="NO APLICA">
      <formula>NOT(ISERROR(SEARCH("NO APLICA",IO3)))</formula>
    </cfRule>
    <cfRule type="containsText" dxfId="5228" priority="6437" operator="containsText" text="OTRO">
      <formula>NOT(ISERROR(SEARCH("OTRO",IO3)))</formula>
    </cfRule>
    <cfRule type="containsText" dxfId="5227" priority="6438" operator="containsText" text="DOMICILIO">
      <formula>NOT(ISERROR(SEARCH("DOMICILIO",IO3)))</formula>
    </cfRule>
    <cfRule type="containsText" dxfId="5226" priority="6439" operator="containsText" text="INSTITUCIONAL">
      <formula>NOT(ISERROR(SEARCH("INSTITUCIONAL",IO3)))</formula>
    </cfRule>
  </conditionalFormatting>
  <conditionalFormatting sqref="IR3">
    <cfRule type="containsText" dxfId="5225" priority="6432" operator="containsText" text="NO APLICA">
      <formula>NOT(ISERROR(SEARCH("NO APLICA",IR3)))</formula>
    </cfRule>
    <cfRule type="containsText" dxfId="5224" priority="6433" operator="containsText" text="ALTA">
      <formula>NOT(ISERROR(SEARCH("ALTA",IR3)))</formula>
    </cfRule>
    <cfRule type="containsText" dxfId="5223" priority="6434" operator="containsText" text="MEDIANA">
      <formula>NOT(ISERROR(SEARCH("MEDIANA",IR3)))</formula>
    </cfRule>
    <cfRule type="containsText" dxfId="5222" priority="6435" operator="containsText" text="BAJA">
      <formula>NOT(ISERROR(SEARCH("BAJA",IR3)))</formula>
    </cfRule>
  </conditionalFormatting>
  <conditionalFormatting sqref="IS3:IT3">
    <cfRule type="containsText" dxfId="5221" priority="6425" operator="containsText" text="NO APLICA">
      <formula>NOT(ISERROR(SEARCH("NO APLICA",IS3)))</formula>
    </cfRule>
    <cfRule type="containsText" dxfId="5220" priority="6426" operator="containsText" text="SIN">
      <formula>NOT(ISERROR(SEARCH("SIN",IS3)))</formula>
    </cfRule>
    <cfRule type="containsText" dxfId="5219" priority="6427" operator="containsText" text="EQUIPO">
      <formula>NOT(ISERROR(SEARCH("EQUIPO",IS3)))</formula>
    </cfRule>
    <cfRule type="containsText" dxfId="5218" priority="6428" operator="containsText" text="MEDICO TRADICIONAL">
      <formula>NOT(ISERROR(SEARCH("MEDICO TRADICIONAL",IS3)))</formula>
    </cfRule>
    <cfRule type="containsText" dxfId="5217" priority="6429" operator="containsText" text="PARTERA">
      <formula>NOT(ISERROR(SEARCH("PARTERA",IS3)))</formula>
    </cfRule>
    <cfRule type="containsText" dxfId="5216" priority="6430" operator="containsText" text="TÉCNICO">
      <formula>NOT(ISERROR(SEARCH("TÉCNICO",IS3)))</formula>
    </cfRule>
    <cfRule type="containsText" dxfId="5215" priority="6431" operator="containsText" text="PROFESIONAL">
      <formula>NOT(ISERROR(SEARCH("PROFESIONAL",IS3)))</formula>
    </cfRule>
  </conditionalFormatting>
  <conditionalFormatting sqref="JA3">
    <cfRule type="containsText" dxfId="5214" priority="6423" operator="containsText" text="SIN DATO">
      <formula>NOT(ISERROR(SEARCH("SIN DATO",JA3)))</formula>
    </cfRule>
    <cfRule type="containsText" dxfId="5213" priority="6424" operator="containsText" text="SIN COMPLICACION">
      <formula>NOT(ISERROR(SEARCH("SIN COMPLICACION",JA3)))</formula>
    </cfRule>
    <cfRule type="notContainsBlanks" dxfId="5212" priority="6460">
      <formula>LEN(TRIM(JA3))&gt;0</formula>
    </cfRule>
  </conditionalFormatting>
  <conditionalFormatting sqref="JG3 JQ3">
    <cfRule type="containsText" dxfId="5211" priority="6416" operator="containsText" text="SIN DATO">
      <formula>NOT(ISERROR(SEARCH("SIN DATO",JG3)))</formula>
    </cfRule>
    <cfRule type="containsText" dxfId="5210" priority="6417" operator="containsText" text="ANORMAL">
      <formula>NOT(ISERROR(SEARCH("ANORMAL",JG3)))</formula>
    </cfRule>
    <cfRule type="containsText" dxfId="5209" priority="6418" operator="containsText" text="NORMAL">
      <formula>NOT(ISERROR(SEARCH("NORMAL",JG3)))</formula>
    </cfRule>
  </conditionalFormatting>
  <conditionalFormatting sqref="JI3 JS3">
    <cfRule type="containsText" dxfId="5208" priority="6412" operator="containsText" text="NO APLICA">
      <formula>NOT(ISERROR(SEARCH("NO APLICA",JI3)))</formula>
    </cfRule>
    <cfRule type="containsText" dxfId="5207" priority="6413" operator="containsText" text="SIN DATO">
      <formula>NOT(ISERROR(SEARCH("SIN DATO",JI3)))</formula>
    </cfRule>
    <cfRule type="containsText" dxfId="5206" priority="6414" operator="containsText" text="NO">
      <formula>NOT(ISERROR(SEARCH("NO",JI3)))</formula>
    </cfRule>
    <cfRule type="containsText" dxfId="5205" priority="6415" operator="containsText" text="SI">
      <formula>NOT(ISERROR(SEARCH("SI",JI3)))</formula>
    </cfRule>
  </conditionalFormatting>
  <conditionalFormatting sqref="JX3:JX248 JZ3:JZ248">
    <cfRule type="containsText" dxfId="5204" priority="6411" operator="containsText" text="INASISTENTE">
      <formula>NOT(ISERROR(SEARCH("INASISTENTE",JX3)))</formula>
    </cfRule>
  </conditionalFormatting>
  <conditionalFormatting sqref="IP3:IP248">
    <cfRule type="containsBlanks" priority="6399" stopIfTrue="1">
      <formula>LEN(TRIM(IP3))=0</formula>
    </cfRule>
    <cfRule type="cellIs" dxfId="5203" priority="6405" operator="greaterThanOrEqual">
      <formula>43</formula>
    </cfRule>
    <cfRule type="cellIs" dxfId="5202" priority="6406" operator="between">
      <formula>37</formula>
      <formula>40.5</formula>
    </cfRule>
    <cfRule type="cellIs" dxfId="5201" priority="6407" operator="between">
      <formula>"&gt;40,5"</formula>
      <formula>42</formula>
    </cfRule>
    <cfRule type="cellIs" dxfId="5200" priority="6408" operator="between">
      <formula>33</formula>
      <formula>"&lt;37"</formula>
    </cfRule>
    <cfRule type="cellIs" dxfId="5199" priority="6409" operator="between">
      <formula>22</formula>
      <formula>"&lt;33"</formula>
    </cfRule>
    <cfRule type="cellIs" dxfId="5198" priority="6410" operator="between">
      <formula>1</formula>
      <formula>21</formula>
    </cfRule>
  </conditionalFormatting>
  <conditionalFormatting sqref="IT3">
    <cfRule type="containsText" dxfId="5197" priority="6402" operator="containsText" text="LE HACEN CESÁREA SIN INICIO TRABAJO DE PARTO">
      <formula>NOT(ISERROR(SEARCH("LE HACEN CESÁREA SIN INICIO TRABAJO DE PARTO",IT3)))</formula>
    </cfRule>
    <cfRule type="containsText" dxfId="5196" priority="6403" operator="containsText" text="LE HACEN INDUCCIÓN">
      <formula>NOT(ISERROR(SEARCH("LE HACEN INDUCCIÓN",IT3)))</formula>
    </cfRule>
    <cfRule type="containsText" dxfId="5195" priority="6404" operator="containsText" text="ESPONTÁNEO">
      <formula>NOT(ISERROR(SEARCH("ESPONTÁNEO",IT3)))</formula>
    </cfRule>
  </conditionalFormatting>
  <conditionalFormatting sqref="JX3:JX248 JZ3:JZ248">
    <cfRule type="containsText" dxfId="5194" priority="6398" operator="containsText" text="INCONSISTENCIA">
      <formula>NOT(ISERROR(SEARCH("INCONSISTENCIA",JX3)))</formula>
    </cfRule>
  </conditionalFormatting>
  <conditionalFormatting sqref="HP3:HP248">
    <cfRule type="containsText" dxfId="5193" priority="6392" operator="containsText" text="Si Desp. SEM 16">
      <formula>NOT(ISERROR(SEARCH("Si Desp. SEM 16",HP3)))</formula>
    </cfRule>
    <cfRule type="containsText" dxfId="5192" priority="6393" operator="containsText" text="Suministro Irregular">
      <formula>NOT(ISERROR(SEARCH("Suministro Irregular",HP3)))</formula>
    </cfRule>
    <cfRule type="endsWith" dxfId="5191" priority="6394" operator="endsWith" text="Aplica">
      <formula>RIGHT(HP3,LEN("Aplica"))="Aplica"</formula>
    </cfRule>
    <cfRule type="containsText" dxfId="5190" priority="6395" operator="containsText" text="NO">
      <formula>NOT(ISERROR(SEARCH("NO",HP3)))</formula>
    </cfRule>
    <cfRule type="containsText" dxfId="5189" priority="6396" operator="containsText" text="Si entre SEM 12 y 16">
      <formula>NOT(ISERROR(SEARCH("Si entre SEM 12 y 16",HP3)))</formula>
    </cfRule>
  </conditionalFormatting>
  <conditionalFormatting sqref="CO3:CO248">
    <cfRule type="containsText" dxfId="5188" priority="7398" operator="containsText" text="BAJO PESO">
      <formula>NOT(ISERROR(SEARCH("BAJO PESO",CO3)))</formula>
    </cfRule>
    <cfRule type="containsText" dxfId="5187" priority="7399" operator="containsText" text="NORMAL">
      <formula>NOT(ISERROR(SEARCH("NORMAL",CO3)))</formula>
    </cfRule>
    <cfRule type="containsText" dxfId="5186" priority="7400" operator="containsText" text="OBESIDAD">
      <formula>NOT(ISERROR(SEARCH("OBESIDAD",CO3)))</formula>
    </cfRule>
    <cfRule type="containsText" dxfId="5185" priority="7401" operator="containsText" text="SOBREPESO">
      <formula>NOT(ISERROR(SEARCH("SOBREPESO",CO3)))</formula>
    </cfRule>
    <cfRule type="containsText" dxfId="5184" priority="7402" operator="containsText" text="REVISAR">
      <formula>NOT(ISERROR(SEARCH("REVISAR",CO3)))</formula>
    </cfRule>
    <cfRule type="containsText" dxfId="5183" priority="7403" operator="containsText" text="REGISTRAR">
      <formula>NOT(ISERROR(SEARCH("REGISTRAR",CO3)))</formula>
    </cfRule>
  </conditionalFormatting>
  <conditionalFormatting sqref="CQ3:CQ248">
    <cfRule type="containsText" dxfId="5182" priority="6389" operator="containsText" text="ALTO">
      <formula>NOT(ISERROR(SEARCH("ALTO",CQ3)))</formula>
    </cfRule>
    <cfRule type="containsText" dxfId="5181" priority="6390" operator="containsText" text="BAJO">
      <formula>NOT(ISERROR(SEARCH("BAJO",CQ3)))</formula>
    </cfRule>
    <cfRule type="containsText" dxfId="5180" priority="6391" operator="containsText" text="ADECUADO ">
      <formula>NOT(ISERROR(SEARCH("ADECUADO ",CQ3)))</formula>
    </cfRule>
  </conditionalFormatting>
  <conditionalFormatting sqref="CS3">
    <cfRule type="expression" dxfId="5179" priority="6388">
      <formula>IF(CT3="NO APLICA REGISTRO TA-INGRESO TARDIO",1,"")</formula>
    </cfRule>
  </conditionalFormatting>
  <conditionalFormatting sqref="CR3">
    <cfRule type="expression" dxfId="5178" priority="6387">
      <formula>IF(CT3="NO APLICA REGISTRO TA-INGRESO TARDIO",1,"")</formula>
    </cfRule>
  </conditionalFormatting>
  <conditionalFormatting sqref="CU3">
    <cfRule type="expression" dxfId="5177" priority="6386">
      <formula>IF(CW3="NO APLICA REGISTRO TA-INGRESO TARDIO",1,"")</formula>
    </cfRule>
  </conditionalFormatting>
  <conditionalFormatting sqref="CV3">
    <cfRule type="expression" dxfId="5176" priority="6385">
      <formula>IF(CW3="NO APLICA REGISTRO TA-INGRESO TARDIO",1,"")</formula>
    </cfRule>
  </conditionalFormatting>
  <conditionalFormatting sqref="CX3:CY113 CX115:CY248">
    <cfRule type="expression" dxfId="5175" priority="6384">
      <formula>IF(CZ3="NO APLICA-INGRESO TARDIO",1,"")</formula>
    </cfRule>
  </conditionalFormatting>
  <conditionalFormatting sqref="CZ3:CZ248">
    <cfRule type="containsText" dxfId="5174" priority="6377" operator="containsText" text="NORMAL">
      <formula>NOT(ISERROR(SEARCH("NORMAL",CZ3)))</formula>
    </cfRule>
    <cfRule type="containsText" dxfId="5173" priority="6378" operator="containsText" text="VIGILAR">
      <formula>NOT(ISERROR(SEARCH("VIGILAR",CZ3)))</formula>
    </cfRule>
    <cfRule type="containsText" dxfId="5172" priority="6379" operator="containsText" text="HTA">
      <formula>NOT(ISERROR(SEARCH("HTA",CZ3)))</formula>
    </cfRule>
    <cfRule type="containsText" dxfId="5171" priority="6380" operator="containsText" text="ACUDE A CONTROL SEM 30 A 34- REGISTRE AHORA">
      <formula>NOT(ISERROR(SEARCH("ACUDE A CONTROL SEM 30 A 34- REGISTRE AHORA",CZ3)))</formula>
    </cfRule>
    <cfRule type="containsText" dxfId="5170" priority="6381" operator="containsText" text="NO APLICA">
      <formula>NOT(ISERROR(SEARCH("NO APLICA",CZ3)))</formula>
    </cfRule>
  </conditionalFormatting>
  <conditionalFormatting sqref="DC3:DC248">
    <cfRule type="containsText" dxfId="5169" priority="6376" operator="containsText" text="REGISTRE">
      <formula>NOT(ISERROR(SEARCH("REGISTRE",DC3)))</formula>
    </cfRule>
  </conditionalFormatting>
  <conditionalFormatting sqref="HQ3:HQ248">
    <cfRule type="expression" dxfId="5168" priority="6375">
      <formula>IF(HR3="No Aplica para suministro de ASA",1,"")</formula>
    </cfRule>
  </conditionalFormatting>
  <conditionalFormatting sqref="JE3:JE248">
    <cfRule type="containsText" dxfId="5167" priority="6374" operator="containsText" text="VERIFICAR">
      <formula>NOT(ISERROR(SEARCH("VERIFICAR",JE3)))</formula>
    </cfRule>
  </conditionalFormatting>
  <conditionalFormatting sqref="AC190">
    <cfRule type="containsText" dxfId="5166" priority="6368" operator="containsText" text="SABE">
      <formula>NOT(ISERROR(SEARCH("SABE",AC190)))</formula>
    </cfRule>
    <cfRule type="containsText" dxfId="5165" priority="6369" operator="containsText" text="SECUNDARIA">
      <formula>NOT(ISERROR(SEARCH("SECUNDARIA",AC190)))</formula>
    </cfRule>
    <cfRule type="containsText" dxfId="5164" priority="6370" operator="containsText" text="PRIMARIA INCOMPLETA">
      <formula>NOT(ISERROR(SEARCH("PRIMARIA INCOMPLETA",AC190)))</formula>
    </cfRule>
    <cfRule type="cellIs" dxfId="5163" priority="6371" operator="equal">
      <formula>"ANALFABETA"</formula>
    </cfRule>
  </conditionalFormatting>
  <conditionalFormatting sqref="AD184 AD186">
    <cfRule type="containsText" dxfId="5162" priority="6365" operator="containsText" text="No Consume">
      <formula>NOT(ISERROR(SEARCH("No Consume",AD184)))</formula>
    </cfRule>
    <cfRule type="containsText" dxfId="5161" priority="6366" operator="containsText" text="Hasta Antes de la Gestación">
      <formula>NOT(ISERROR(SEARCH("Hasta Antes de la Gestación",AD184)))</formula>
    </cfRule>
    <cfRule type="containsText" dxfId="5160" priority="6367" operator="containsText" text="Consumo Actual">
      <formula>NOT(ISERROR(SEARCH("Consumo Actual",AD184)))</formula>
    </cfRule>
  </conditionalFormatting>
  <conditionalFormatting sqref="AG190:AH190 AJ190">
    <cfRule type="cellIs" dxfId="5159" priority="6362" operator="equal">
      <formula>"SD"</formula>
    </cfRule>
    <cfRule type="cellIs" dxfId="5158" priority="6363" operator="equal">
      <formula>"NO"</formula>
    </cfRule>
    <cfRule type="cellIs" dxfId="5157" priority="6364" operator="equal">
      <formula>"SI"</formula>
    </cfRule>
  </conditionalFormatting>
  <conditionalFormatting sqref="AI190">
    <cfRule type="containsText" dxfId="5156" priority="6355" operator="containsText" text="HABITANTE DE CALLE">
      <formula>NOT(ISERROR(SEARCH("HABITANTE DE CALLE",AI190)))</formula>
    </cfRule>
    <cfRule type="containsText" dxfId="5155" priority="6358" operator="containsText" text="NINGUNO">
      <formula>NOT(ISERROR(SEARCH("NINGUNO",AI190)))</formula>
    </cfRule>
    <cfRule type="containsText" dxfId="5154" priority="6359" operator="containsText" text="MIGRATORIA">
      <formula>NOT(ISERROR(SEARCH("MIGRATORIA",AI190)))</formula>
    </cfRule>
    <cfRule type="containsText" dxfId="5153" priority="6360" operator="containsText" text="DISCAPACIDAD">
      <formula>NOT(ISERROR(SEARCH("DISCAPACIDAD",AI190)))</formula>
    </cfRule>
    <cfRule type="containsText" dxfId="5152" priority="6361" operator="containsText" text="DESPLAZADA">
      <formula>NOT(ISERROR(SEARCH("DESPLAZADA",AI190)))</formula>
    </cfRule>
  </conditionalFormatting>
  <conditionalFormatting sqref="AE190:AF190">
    <cfRule type="containsText" dxfId="5151" priority="6356" operator="containsText" text="NO">
      <formula>NOT(ISERROR(SEARCH("NO",AE190)))</formula>
    </cfRule>
    <cfRule type="containsText" dxfId="5150" priority="6357" operator="containsText" text="SI">
      <formula>NOT(ISERROR(SEARCH("SI",AE190)))</formula>
    </cfRule>
  </conditionalFormatting>
  <conditionalFormatting sqref="BD190:BI190 AX190:BB190">
    <cfRule type="cellIs" dxfId="5149" priority="6352" operator="equal">
      <formula>"SD"</formula>
    </cfRule>
    <cfRule type="cellIs" dxfId="5148" priority="6353" operator="equal">
      <formula>"NO"</formula>
    </cfRule>
    <cfRule type="cellIs" dxfId="5147" priority="6354" operator="equal">
      <formula>"SI"</formula>
    </cfRule>
  </conditionalFormatting>
  <conditionalFormatting sqref="BC190">
    <cfRule type="containsText" dxfId="5146" priority="6347" operator="containsText" text="SD">
      <formula>NOT(ISERROR(SEARCH("SD",BC190)))</formula>
    </cfRule>
    <cfRule type="containsText" dxfId="5145" priority="6348" operator="containsText" text="SI, NO CONTROLADA">
      <formula>NOT(ISERROR(SEARCH("SI, NO CONTROLADA",BC190)))</formula>
    </cfRule>
    <cfRule type="containsText" dxfId="5144" priority="6349" operator="containsText" text="SI, SIN MANEJO">
      <formula>NOT(ISERROR(SEARCH("SI, SIN MANEJO",BC190)))</formula>
    </cfRule>
    <cfRule type="containsText" dxfId="5143" priority="6350" operator="containsText" text="SI, CONTROLADA">
      <formula>NOT(ISERROR(SEARCH("SI, CONTROLADA",BC190)))</formula>
    </cfRule>
    <cfRule type="containsText" dxfId="5142" priority="6351" operator="containsText" text="NO">
      <formula>NOT(ISERROR(SEARCH("NO",BC190)))</formula>
    </cfRule>
  </conditionalFormatting>
  <conditionalFormatting sqref="BE190">
    <cfRule type="expression" dxfId="5141" priority="6346">
      <formula>IF(AND(FA190&gt;=126,FC190&lt;24),1,0)</formula>
    </cfRule>
  </conditionalFormatting>
  <conditionalFormatting sqref="FJ190">
    <cfRule type="containsText" dxfId="5140" priority="6343" operator="containsText" text="POSITIVA CICATRIZ">
      <formula>NOT(ISERROR(SEARCH("POSITIVA CICATRIZ",FJ190)))</formula>
    </cfRule>
    <cfRule type="containsText" dxfId="5139" priority="6344" operator="containsText" text="POSITIVA CASO SIFILIS">
      <formula>NOT(ISERROR(SEARCH("POSITIVA CASO SIFILIS",FJ190)))</formula>
    </cfRule>
    <cfRule type="containsText" dxfId="5138" priority="6345" operator="containsText" text="NEGATIVA">
      <formula>NOT(ISERROR(SEARCH("NEGATIVA",FJ190)))</formula>
    </cfRule>
  </conditionalFormatting>
  <conditionalFormatting sqref="AG191:AH191 AJ191">
    <cfRule type="cellIs" dxfId="5137" priority="6340" operator="equal">
      <formula>"SD"</formula>
    </cfRule>
    <cfRule type="cellIs" dxfId="5136" priority="6341" operator="equal">
      <formula>"NO"</formula>
    </cfRule>
    <cfRule type="cellIs" dxfId="5135" priority="6342" operator="equal">
      <formula>"SI"</formula>
    </cfRule>
  </conditionalFormatting>
  <conditionalFormatting sqref="AI191">
    <cfRule type="containsText" dxfId="5134" priority="6333" operator="containsText" text="HABITANTE DE CALLE">
      <formula>NOT(ISERROR(SEARCH("HABITANTE DE CALLE",AI191)))</formula>
    </cfRule>
    <cfRule type="containsText" dxfId="5133" priority="6336" operator="containsText" text="NINGUNO">
      <formula>NOT(ISERROR(SEARCH("NINGUNO",AI191)))</formula>
    </cfRule>
    <cfRule type="containsText" dxfId="5132" priority="6337" operator="containsText" text="MIGRATORIA">
      <formula>NOT(ISERROR(SEARCH("MIGRATORIA",AI191)))</formula>
    </cfRule>
    <cfRule type="containsText" dxfId="5131" priority="6338" operator="containsText" text="DISCAPACIDAD">
      <formula>NOT(ISERROR(SEARCH("DISCAPACIDAD",AI191)))</formula>
    </cfRule>
    <cfRule type="containsText" dxfId="5130" priority="6339" operator="containsText" text="DESPLAZADA">
      <formula>NOT(ISERROR(SEARCH("DESPLAZADA",AI191)))</formula>
    </cfRule>
  </conditionalFormatting>
  <conditionalFormatting sqref="AE191:AF191">
    <cfRule type="containsText" dxfId="5129" priority="6334" operator="containsText" text="NO">
      <formula>NOT(ISERROR(SEARCH("NO",AE191)))</formula>
    </cfRule>
    <cfRule type="containsText" dxfId="5128" priority="6335" operator="containsText" text="SI">
      <formula>NOT(ISERROR(SEARCH("SI",AE191)))</formula>
    </cfRule>
  </conditionalFormatting>
  <conditionalFormatting sqref="BD191:BI191 AX191:BB191">
    <cfRule type="cellIs" dxfId="5127" priority="6330" operator="equal">
      <formula>"SD"</formula>
    </cfRule>
    <cfRule type="cellIs" dxfId="5126" priority="6331" operator="equal">
      <formula>"NO"</formula>
    </cfRule>
    <cfRule type="cellIs" dxfId="5125" priority="6332" operator="equal">
      <formula>"SI"</formula>
    </cfRule>
  </conditionalFormatting>
  <conditionalFormatting sqref="BC191">
    <cfRule type="containsText" dxfId="5124" priority="6325" operator="containsText" text="SD">
      <formula>NOT(ISERROR(SEARCH("SD",BC191)))</formula>
    </cfRule>
    <cfRule type="containsText" dxfId="5123" priority="6326" operator="containsText" text="SI, NO CONTROLADA">
      <formula>NOT(ISERROR(SEARCH("SI, NO CONTROLADA",BC191)))</formula>
    </cfRule>
    <cfRule type="containsText" dxfId="5122" priority="6327" operator="containsText" text="SI, SIN MANEJO">
      <formula>NOT(ISERROR(SEARCH("SI, SIN MANEJO",BC191)))</formula>
    </cfRule>
    <cfRule type="containsText" dxfId="5121" priority="6328" operator="containsText" text="SI, CONTROLADA">
      <formula>NOT(ISERROR(SEARCH("SI, CONTROLADA",BC191)))</formula>
    </cfRule>
    <cfRule type="containsText" dxfId="5120" priority="6329" operator="containsText" text="NO">
      <formula>NOT(ISERROR(SEARCH("NO",BC191)))</formula>
    </cfRule>
  </conditionalFormatting>
  <conditionalFormatting sqref="BE191">
    <cfRule type="expression" dxfId="5119" priority="6324">
      <formula>IF(AND(FA191&gt;=126,FC191&lt;24),1,0)</formula>
    </cfRule>
  </conditionalFormatting>
  <conditionalFormatting sqref="FJ191">
    <cfRule type="containsText" dxfId="5118" priority="6321" operator="containsText" text="POSITIVA CICATRIZ">
      <formula>NOT(ISERROR(SEARCH("POSITIVA CICATRIZ",FJ191)))</formula>
    </cfRule>
    <cfRule type="containsText" dxfId="5117" priority="6322" operator="containsText" text="POSITIVA CASO SIFILIS">
      <formula>NOT(ISERROR(SEARCH("POSITIVA CASO SIFILIS",FJ191)))</formula>
    </cfRule>
    <cfRule type="containsText" dxfId="5116" priority="6323" operator="containsText" text="NEGATIVA">
      <formula>NOT(ISERROR(SEARCH("NEGATIVA",FJ191)))</formula>
    </cfRule>
  </conditionalFormatting>
  <conditionalFormatting sqref="AG192:AH192 AJ192">
    <cfRule type="cellIs" dxfId="5115" priority="6299" operator="equal">
      <formula>"SD"</formula>
    </cfRule>
    <cfRule type="cellIs" dxfId="5114" priority="6300" operator="equal">
      <formula>"NO"</formula>
    </cfRule>
    <cfRule type="cellIs" dxfId="5113" priority="6301" operator="equal">
      <formula>"SI"</formula>
    </cfRule>
  </conditionalFormatting>
  <conditionalFormatting sqref="AI192">
    <cfRule type="containsText" dxfId="5112" priority="6292" operator="containsText" text="HABITANTE DE CALLE">
      <formula>NOT(ISERROR(SEARCH("HABITANTE DE CALLE",AI192)))</formula>
    </cfRule>
    <cfRule type="containsText" dxfId="5111" priority="6295" operator="containsText" text="NINGUNO">
      <formula>NOT(ISERROR(SEARCH("NINGUNO",AI192)))</formula>
    </cfRule>
    <cfRule type="containsText" dxfId="5110" priority="6296" operator="containsText" text="MIGRATORIA">
      <formula>NOT(ISERROR(SEARCH("MIGRATORIA",AI192)))</formula>
    </cfRule>
    <cfRule type="containsText" dxfId="5109" priority="6297" operator="containsText" text="DISCAPACIDAD">
      <formula>NOT(ISERROR(SEARCH("DISCAPACIDAD",AI192)))</formula>
    </cfRule>
    <cfRule type="containsText" dxfId="5108" priority="6298" operator="containsText" text="DESPLAZADA">
      <formula>NOT(ISERROR(SEARCH("DESPLAZADA",AI192)))</formula>
    </cfRule>
  </conditionalFormatting>
  <conditionalFormatting sqref="AE192:AF192">
    <cfRule type="containsText" dxfId="5107" priority="6293" operator="containsText" text="NO">
      <formula>NOT(ISERROR(SEARCH("NO",AE192)))</formula>
    </cfRule>
    <cfRule type="containsText" dxfId="5106" priority="6294" operator="containsText" text="SI">
      <formula>NOT(ISERROR(SEARCH("SI",AE192)))</formula>
    </cfRule>
  </conditionalFormatting>
  <conditionalFormatting sqref="BD192:BI192 AX192:BB192">
    <cfRule type="cellIs" dxfId="5105" priority="6289" operator="equal">
      <formula>"SD"</formula>
    </cfRule>
    <cfRule type="cellIs" dxfId="5104" priority="6290" operator="equal">
      <formula>"NO"</formula>
    </cfRule>
    <cfRule type="cellIs" dxfId="5103" priority="6291" operator="equal">
      <formula>"SI"</formula>
    </cfRule>
  </conditionalFormatting>
  <conditionalFormatting sqref="BC192">
    <cfRule type="containsText" dxfId="5102" priority="6284" operator="containsText" text="SD">
      <formula>NOT(ISERROR(SEARCH("SD",BC192)))</formula>
    </cfRule>
    <cfRule type="containsText" dxfId="5101" priority="6285" operator="containsText" text="SI, NO CONTROLADA">
      <formula>NOT(ISERROR(SEARCH("SI, NO CONTROLADA",BC192)))</formula>
    </cfRule>
    <cfRule type="containsText" dxfId="5100" priority="6286" operator="containsText" text="SI, SIN MANEJO">
      <formula>NOT(ISERROR(SEARCH("SI, SIN MANEJO",BC192)))</formula>
    </cfRule>
    <cfRule type="containsText" dxfId="5099" priority="6287" operator="containsText" text="SI, CONTROLADA">
      <formula>NOT(ISERROR(SEARCH("SI, CONTROLADA",BC192)))</formula>
    </cfRule>
    <cfRule type="containsText" dxfId="5098" priority="6288" operator="containsText" text="NO">
      <formula>NOT(ISERROR(SEARCH("NO",BC192)))</formula>
    </cfRule>
  </conditionalFormatting>
  <conditionalFormatting sqref="BE192">
    <cfRule type="expression" dxfId="5097" priority="6283">
      <formula>IF(AND(FA192&gt;=126,FC192&lt;24),1,0)</formula>
    </cfRule>
  </conditionalFormatting>
  <conditionalFormatting sqref="AG193:AH193 AJ193">
    <cfRule type="cellIs" dxfId="5096" priority="6280" operator="equal">
      <formula>"SD"</formula>
    </cfRule>
    <cfRule type="cellIs" dxfId="5095" priority="6281" operator="equal">
      <formula>"NO"</formula>
    </cfRule>
    <cfRule type="cellIs" dxfId="5094" priority="6282" operator="equal">
      <formula>"SI"</formula>
    </cfRule>
  </conditionalFormatting>
  <conditionalFormatting sqref="AI193">
    <cfRule type="containsText" dxfId="5093" priority="6273" operator="containsText" text="HABITANTE DE CALLE">
      <formula>NOT(ISERROR(SEARCH("HABITANTE DE CALLE",AI193)))</formula>
    </cfRule>
    <cfRule type="containsText" dxfId="5092" priority="6276" operator="containsText" text="NINGUNO">
      <formula>NOT(ISERROR(SEARCH("NINGUNO",AI193)))</formula>
    </cfRule>
    <cfRule type="containsText" dxfId="5091" priority="6277" operator="containsText" text="MIGRATORIA">
      <formula>NOT(ISERROR(SEARCH("MIGRATORIA",AI193)))</formula>
    </cfRule>
    <cfRule type="containsText" dxfId="5090" priority="6278" operator="containsText" text="DISCAPACIDAD">
      <formula>NOT(ISERROR(SEARCH("DISCAPACIDAD",AI193)))</formula>
    </cfRule>
    <cfRule type="containsText" dxfId="5089" priority="6279" operator="containsText" text="DESPLAZADA">
      <formula>NOT(ISERROR(SEARCH("DESPLAZADA",AI193)))</formula>
    </cfRule>
  </conditionalFormatting>
  <conditionalFormatting sqref="AE193:AF193">
    <cfRule type="containsText" dxfId="5088" priority="6274" operator="containsText" text="NO">
      <formula>NOT(ISERROR(SEARCH("NO",AE193)))</formula>
    </cfRule>
    <cfRule type="containsText" dxfId="5087" priority="6275" operator="containsText" text="SI">
      <formula>NOT(ISERROR(SEARCH("SI",AE193)))</formula>
    </cfRule>
  </conditionalFormatting>
  <conditionalFormatting sqref="BD193:BI193 AX193:BB193">
    <cfRule type="cellIs" dxfId="5086" priority="6270" operator="equal">
      <formula>"SD"</formula>
    </cfRule>
    <cfRule type="cellIs" dxfId="5085" priority="6271" operator="equal">
      <formula>"NO"</formula>
    </cfRule>
    <cfRule type="cellIs" dxfId="5084" priority="6272" operator="equal">
      <formula>"SI"</formula>
    </cfRule>
  </conditionalFormatting>
  <conditionalFormatting sqref="BC193">
    <cfRule type="containsText" dxfId="5083" priority="6265" operator="containsText" text="SD">
      <formula>NOT(ISERROR(SEARCH("SD",BC193)))</formula>
    </cfRule>
    <cfRule type="containsText" dxfId="5082" priority="6266" operator="containsText" text="SI, NO CONTROLADA">
      <formula>NOT(ISERROR(SEARCH("SI, NO CONTROLADA",BC193)))</formula>
    </cfRule>
    <cfRule type="containsText" dxfId="5081" priority="6267" operator="containsText" text="SI, SIN MANEJO">
      <formula>NOT(ISERROR(SEARCH("SI, SIN MANEJO",BC193)))</formula>
    </cfRule>
    <cfRule type="containsText" dxfId="5080" priority="6268" operator="containsText" text="SI, CONTROLADA">
      <formula>NOT(ISERROR(SEARCH("SI, CONTROLADA",BC193)))</formula>
    </cfRule>
    <cfRule type="containsText" dxfId="5079" priority="6269" operator="containsText" text="NO">
      <formula>NOT(ISERROR(SEARCH("NO",BC193)))</formula>
    </cfRule>
  </conditionalFormatting>
  <conditionalFormatting sqref="BE193">
    <cfRule type="expression" dxfId="5078" priority="6264">
      <formula>IF(AND(FA193&gt;=126,FC193&lt;24),1,0)</formula>
    </cfRule>
  </conditionalFormatting>
  <conditionalFormatting sqref="AG194:AH194 AJ194">
    <cfRule type="cellIs" dxfId="5077" priority="6261" operator="equal">
      <formula>"SD"</formula>
    </cfRule>
    <cfRule type="cellIs" dxfId="5076" priority="6262" operator="equal">
      <formula>"NO"</formula>
    </cfRule>
    <cfRule type="cellIs" dxfId="5075" priority="6263" operator="equal">
      <formula>"SI"</formula>
    </cfRule>
  </conditionalFormatting>
  <conditionalFormatting sqref="AI194">
    <cfRule type="containsText" dxfId="5074" priority="6254" operator="containsText" text="HABITANTE DE CALLE">
      <formula>NOT(ISERROR(SEARCH("HABITANTE DE CALLE",AI194)))</formula>
    </cfRule>
    <cfRule type="containsText" dxfId="5073" priority="6257" operator="containsText" text="NINGUNO">
      <formula>NOT(ISERROR(SEARCH("NINGUNO",AI194)))</formula>
    </cfRule>
    <cfRule type="containsText" dxfId="5072" priority="6258" operator="containsText" text="MIGRATORIA">
      <formula>NOT(ISERROR(SEARCH("MIGRATORIA",AI194)))</formula>
    </cfRule>
    <cfRule type="containsText" dxfId="5071" priority="6259" operator="containsText" text="DISCAPACIDAD">
      <formula>NOT(ISERROR(SEARCH("DISCAPACIDAD",AI194)))</formula>
    </cfRule>
    <cfRule type="containsText" dxfId="5070" priority="6260" operator="containsText" text="DESPLAZADA">
      <formula>NOT(ISERROR(SEARCH("DESPLAZADA",AI194)))</formula>
    </cfRule>
  </conditionalFormatting>
  <conditionalFormatting sqref="AE194:AF194">
    <cfRule type="containsText" dxfId="5069" priority="6255" operator="containsText" text="NO">
      <formula>NOT(ISERROR(SEARCH("NO",AE194)))</formula>
    </cfRule>
    <cfRule type="containsText" dxfId="5068" priority="6256" operator="containsText" text="SI">
      <formula>NOT(ISERROR(SEARCH("SI",AE194)))</formula>
    </cfRule>
  </conditionalFormatting>
  <conditionalFormatting sqref="AY194:BA194">
    <cfRule type="cellIs" dxfId="5067" priority="6251" operator="equal">
      <formula>"SD"</formula>
    </cfRule>
    <cfRule type="cellIs" dxfId="5066" priority="6252" operator="equal">
      <formula>"NO"</formula>
    </cfRule>
    <cfRule type="cellIs" dxfId="5065" priority="6253" operator="equal">
      <formula>"SI"</formula>
    </cfRule>
  </conditionalFormatting>
  <conditionalFormatting sqref="BD194:BI194 BB194">
    <cfRule type="cellIs" dxfId="5064" priority="6248" operator="equal">
      <formula>"SD"</formula>
    </cfRule>
    <cfRule type="cellIs" dxfId="5063" priority="6249" operator="equal">
      <formula>"NO"</formula>
    </cfRule>
    <cfRule type="cellIs" dxfId="5062" priority="6250" operator="equal">
      <formula>"SI"</formula>
    </cfRule>
  </conditionalFormatting>
  <conditionalFormatting sqref="BC194">
    <cfRule type="containsText" dxfId="5061" priority="6243" operator="containsText" text="SD">
      <formula>NOT(ISERROR(SEARCH("SD",BC194)))</formula>
    </cfRule>
    <cfRule type="containsText" dxfId="5060" priority="6244" operator="containsText" text="SI, NO CONTROLADA">
      <formula>NOT(ISERROR(SEARCH("SI, NO CONTROLADA",BC194)))</formula>
    </cfRule>
    <cfRule type="containsText" dxfId="5059" priority="6245" operator="containsText" text="SI, SIN MANEJO">
      <formula>NOT(ISERROR(SEARCH("SI, SIN MANEJO",BC194)))</formula>
    </cfRule>
    <cfRule type="containsText" dxfId="5058" priority="6246" operator="containsText" text="SI, CONTROLADA">
      <formula>NOT(ISERROR(SEARCH("SI, CONTROLADA",BC194)))</formula>
    </cfRule>
    <cfRule type="containsText" dxfId="5057" priority="6247" operator="containsText" text="NO">
      <formula>NOT(ISERROR(SEARCH("NO",BC194)))</formula>
    </cfRule>
  </conditionalFormatting>
  <conditionalFormatting sqref="BE194">
    <cfRule type="expression" dxfId="5056" priority="6242">
      <formula>IF(AND(FA194&gt;=126,FC194&lt;24),1,0)</formula>
    </cfRule>
  </conditionalFormatting>
  <conditionalFormatting sqref="AG195:AH195 AJ195">
    <cfRule type="cellIs" dxfId="5055" priority="6239" operator="equal">
      <formula>"SD"</formula>
    </cfRule>
    <cfRule type="cellIs" dxfId="5054" priority="6240" operator="equal">
      <formula>"NO"</formula>
    </cfRule>
    <cfRule type="cellIs" dxfId="5053" priority="6241" operator="equal">
      <formula>"SI"</formula>
    </cfRule>
  </conditionalFormatting>
  <conditionalFormatting sqref="AI195">
    <cfRule type="containsText" dxfId="5052" priority="6232" operator="containsText" text="HABITANTE DE CALLE">
      <formula>NOT(ISERROR(SEARCH("HABITANTE DE CALLE",AI195)))</formula>
    </cfRule>
    <cfRule type="containsText" dxfId="5051" priority="6235" operator="containsText" text="NINGUNO">
      <formula>NOT(ISERROR(SEARCH("NINGUNO",AI195)))</formula>
    </cfRule>
    <cfRule type="containsText" dxfId="5050" priority="6236" operator="containsText" text="MIGRATORIA">
      <formula>NOT(ISERROR(SEARCH("MIGRATORIA",AI195)))</formula>
    </cfRule>
    <cfRule type="containsText" dxfId="5049" priority="6237" operator="containsText" text="DISCAPACIDAD">
      <formula>NOT(ISERROR(SEARCH("DISCAPACIDAD",AI195)))</formula>
    </cfRule>
    <cfRule type="containsText" dxfId="5048" priority="6238" operator="containsText" text="DESPLAZADA">
      <formula>NOT(ISERROR(SEARCH("DESPLAZADA",AI195)))</formula>
    </cfRule>
  </conditionalFormatting>
  <conditionalFormatting sqref="AE195:AF195">
    <cfRule type="containsText" dxfId="5047" priority="6233" operator="containsText" text="NO">
      <formula>NOT(ISERROR(SEARCH("NO",AE195)))</formula>
    </cfRule>
    <cfRule type="containsText" dxfId="5046" priority="6234" operator="containsText" text="SI">
      <formula>NOT(ISERROR(SEARCH("SI",AE195)))</formula>
    </cfRule>
  </conditionalFormatting>
  <conditionalFormatting sqref="BK195:BM195">
    <cfRule type="cellIs" dxfId="5045" priority="6229" operator="equal">
      <formula>"SD"</formula>
    </cfRule>
    <cfRule type="cellIs" dxfId="5044" priority="6230" operator="equal">
      <formula>"NO"</formula>
    </cfRule>
    <cfRule type="cellIs" dxfId="5043" priority="6231" operator="equal">
      <formula>"SI"</formula>
    </cfRule>
  </conditionalFormatting>
  <conditionalFormatting sqref="AY195:BA195">
    <cfRule type="cellIs" dxfId="5042" priority="6226" operator="equal">
      <formula>"SD"</formula>
    </cfRule>
    <cfRule type="cellIs" dxfId="5041" priority="6227" operator="equal">
      <formula>"NO"</formula>
    </cfRule>
    <cfRule type="cellIs" dxfId="5040" priority="6228" operator="equal">
      <formula>"SI"</formula>
    </cfRule>
  </conditionalFormatting>
  <conditionalFormatting sqref="BD195:BI195 BB195">
    <cfRule type="cellIs" dxfId="5039" priority="6223" operator="equal">
      <formula>"SD"</formula>
    </cfRule>
    <cfRule type="cellIs" dxfId="5038" priority="6224" operator="equal">
      <formula>"NO"</formula>
    </cfRule>
    <cfRule type="cellIs" dxfId="5037" priority="6225" operator="equal">
      <formula>"SI"</formula>
    </cfRule>
  </conditionalFormatting>
  <conditionalFormatting sqref="BC195">
    <cfRule type="containsText" dxfId="5036" priority="6218" operator="containsText" text="SD">
      <formula>NOT(ISERROR(SEARCH("SD",BC195)))</formula>
    </cfRule>
    <cfRule type="containsText" dxfId="5035" priority="6219" operator="containsText" text="SI, NO CONTROLADA">
      <formula>NOT(ISERROR(SEARCH("SI, NO CONTROLADA",BC195)))</formula>
    </cfRule>
    <cfRule type="containsText" dxfId="5034" priority="6220" operator="containsText" text="SI, SIN MANEJO">
      <formula>NOT(ISERROR(SEARCH("SI, SIN MANEJO",BC195)))</formula>
    </cfRule>
    <cfRule type="containsText" dxfId="5033" priority="6221" operator="containsText" text="SI, CONTROLADA">
      <formula>NOT(ISERROR(SEARCH("SI, CONTROLADA",BC195)))</formula>
    </cfRule>
    <cfRule type="containsText" dxfId="5032" priority="6222" operator="containsText" text="NO">
      <formula>NOT(ISERROR(SEARCH("NO",BC195)))</formula>
    </cfRule>
  </conditionalFormatting>
  <conditionalFormatting sqref="BE195">
    <cfRule type="expression" dxfId="5031" priority="6217">
      <formula>IF(AND(FA195&gt;=126,FC195&lt;24),1,0)</formula>
    </cfRule>
  </conditionalFormatting>
  <conditionalFormatting sqref="AG196:AH196 AJ196">
    <cfRule type="cellIs" dxfId="5030" priority="6207" operator="equal">
      <formula>"SD"</formula>
    </cfRule>
    <cfRule type="cellIs" dxfId="5029" priority="6208" operator="equal">
      <formula>"NO"</formula>
    </cfRule>
    <cfRule type="cellIs" dxfId="5028" priority="6209" operator="equal">
      <formula>"SI"</formula>
    </cfRule>
  </conditionalFormatting>
  <conditionalFormatting sqref="AI196">
    <cfRule type="containsText" dxfId="5027" priority="6200" operator="containsText" text="HABITANTE DE CALLE">
      <formula>NOT(ISERROR(SEARCH("HABITANTE DE CALLE",AI196)))</formula>
    </cfRule>
    <cfRule type="containsText" dxfId="5026" priority="6203" operator="containsText" text="NINGUNO">
      <formula>NOT(ISERROR(SEARCH("NINGUNO",AI196)))</formula>
    </cfRule>
    <cfRule type="containsText" dxfId="5025" priority="6204" operator="containsText" text="MIGRATORIA">
      <formula>NOT(ISERROR(SEARCH("MIGRATORIA",AI196)))</formula>
    </cfRule>
    <cfRule type="containsText" dxfId="5024" priority="6205" operator="containsText" text="DISCAPACIDAD">
      <formula>NOT(ISERROR(SEARCH("DISCAPACIDAD",AI196)))</formula>
    </cfRule>
    <cfRule type="containsText" dxfId="5023" priority="6206" operator="containsText" text="DESPLAZADA">
      <formula>NOT(ISERROR(SEARCH("DESPLAZADA",AI196)))</formula>
    </cfRule>
  </conditionalFormatting>
  <conditionalFormatting sqref="AE196:AF196">
    <cfRule type="containsText" dxfId="5022" priority="6201" operator="containsText" text="NO">
      <formula>NOT(ISERROR(SEARCH("NO",AE196)))</formula>
    </cfRule>
    <cfRule type="containsText" dxfId="5021" priority="6202" operator="containsText" text="SI">
      <formula>NOT(ISERROR(SEARCH("SI",AE196)))</formula>
    </cfRule>
  </conditionalFormatting>
  <conditionalFormatting sqref="AX196">
    <cfRule type="cellIs" dxfId="5020" priority="6197" operator="equal">
      <formula>"SD"</formula>
    </cfRule>
    <cfRule type="cellIs" dxfId="5019" priority="6198" operator="equal">
      <formula>"NO"</formula>
    </cfRule>
    <cfRule type="cellIs" dxfId="5018" priority="6199" operator="equal">
      <formula>"SI"</formula>
    </cfRule>
  </conditionalFormatting>
  <conditionalFormatting sqref="BK196:BM196">
    <cfRule type="cellIs" dxfId="5017" priority="6194" operator="equal">
      <formula>"SD"</formula>
    </cfRule>
    <cfRule type="cellIs" dxfId="5016" priority="6195" operator="equal">
      <formula>"NO"</formula>
    </cfRule>
    <cfRule type="cellIs" dxfId="5015" priority="6196" operator="equal">
      <formula>"SI"</formula>
    </cfRule>
  </conditionalFormatting>
  <conditionalFormatting sqref="AY196:BA196">
    <cfRule type="cellIs" dxfId="5014" priority="6191" operator="equal">
      <formula>"SD"</formula>
    </cfRule>
    <cfRule type="cellIs" dxfId="5013" priority="6192" operator="equal">
      <formula>"NO"</formula>
    </cfRule>
    <cfRule type="cellIs" dxfId="5012" priority="6193" operator="equal">
      <formula>"SI"</formula>
    </cfRule>
  </conditionalFormatting>
  <conditionalFormatting sqref="BD196:BI196 BB196">
    <cfRule type="cellIs" dxfId="5011" priority="6188" operator="equal">
      <formula>"SD"</formula>
    </cfRule>
    <cfRule type="cellIs" dxfId="5010" priority="6189" operator="equal">
      <formula>"NO"</formula>
    </cfRule>
    <cfRule type="cellIs" dxfId="5009" priority="6190" operator="equal">
      <formula>"SI"</formula>
    </cfRule>
  </conditionalFormatting>
  <conditionalFormatting sqref="BC196">
    <cfRule type="containsText" dxfId="5008" priority="6183" operator="containsText" text="SD">
      <formula>NOT(ISERROR(SEARCH("SD",BC196)))</formula>
    </cfRule>
    <cfRule type="containsText" dxfId="5007" priority="6184" operator="containsText" text="SI, NO CONTROLADA">
      <formula>NOT(ISERROR(SEARCH("SI, NO CONTROLADA",BC196)))</formula>
    </cfRule>
    <cfRule type="containsText" dxfId="5006" priority="6185" operator="containsText" text="SI, SIN MANEJO">
      <formula>NOT(ISERROR(SEARCH("SI, SIN MANEJO",BC196)))</formula>
    </cfRule>
    <cfRule type="containsText" dxfId="5005" priority="6186" operator="containsText" text="SI, CONTROLADA">
      <formula>NOT(ISERROR(SEARCH("SI, CONTROLADA",BC196)))</formula>
    </cfRule>
    <cfRule type="containsText" dxfId="5004" priority="6187" operator="containsText" text="NO">
      <formula>NOT(ISERROR(SEARCH("NO",BC196)))</formula>
    </cfRule>
  </conditionalFormatting>
  <conditionalFormatting sqref="BE196">
    <cfRule type="expression" dxfId="5003" priority="6182">
      <formula>IF(AND(FA196&gt;=126,FC196&lt;24),1,0)</formula>
    </cfRule>
  </conditionalFormatting>
  <conditionalFormatting sqref="AC197">
    <cfRule type="containsText" dxfId="5002" priority="6178" operator="containsText" text="SABE">
      <formula>NOT(ISERROR(SEARCH("SABE",AC197)))</formula>
    </cfRule>
    <cfRule type="containsText" dxfId="5001" priority="6179" operator="containsText" text="SECUNDARIA">
      <formula>NOT(ISERROR(SEARCH("SECUNDARIA",AC197)))</formula>
    </cfRule>
    <cfRule type="containsText" dxfId="5000" priority="6180" operator="containsText" text="PRIMARIA INCOMPLETA">
      <formula>NOT(ISERROR(SEARCH("PRIMARIA INCOMPLETA",AC197)))</formula>
    </cfRule>
    <cfRule type="cellIs" dxfId="4999" priority="6181" operator="equal">
      <formula>"ANALFABETA"</formula>
    </cfRule>
  </conditionalFormatting>
  <conditionalFormatting sqref="AL197:AR197">
    <cfRule type="cellIs" dxfId="4998" priority="6172" operator="equal">
      <formula>"SD"</formula>
    </cfRule>
    <cfRule type="cellIs" dxfId="4997" priority="6173" operator="equal">
      <formula>"NO"</formula>
    </cfRule>
    <cfRule type="cellIs" dxfId="4996" priority="6174" operator="equal">
      <formula>"SI"</formula>
    </cfRule>
  </conditionalFormatting>
  <conditionalFormatting sqref="AK197">
    <cfRule type="containsText" dxfId="4995" priority="6169" operator="containsText" text="COMPLETAR EVALUACIÓN">
      <formula>NOT(ISERROR(SEARCH("COMPLETAR EVALUACIÓN",AK197)))</formula>
    </cfRule>
    <cfRule type="containsText" dxfId="4994" priority="6170" operator="containsText" text="CON RIESGO">
      <formula>NOT(ISERROR(SEARCH("CON RIESGO",AK197)))</formula>
    </cfRule>
    <cfRule type="containsText" dxfId="4993" priority="6171" operator="containsText" text="SIN RIESGO">
      <formula>NOT(ISERROR(SEARCH("SIN RIESGO",AK197)))</formula>
    </cfRule>
  </conditionalFormatting>
  <conditionalFormatting sqref="AG197:AH197 AJ197">
    <cfRule type="cellIs" dxfId="4992" priority="6166" operator="equal">
      <formula>"SD"</formula>
    </cfRule>
    <cfRule type="cellIs" dxfId="4991" priority="6167" operator="equal">
      <formula>"NO"</formula>
    </cfRule>
    <cfRule type="cellIs" dxfId="4990" priority="6168" operator="equal">
      <formula>"SI"</formula>
    </cfRule>
  </conditionalFormatting>
  <conditionalFormatting sqref="AI197">
    <cfRule type="containsText" dxfId="4989" priority="6159" operator="containsText" text="HABITANTE DE CALLE">
      <formula>NOT(ISERROR(SEARCH("HABITANTE DE CALLE",AI197)))</formula>
    </cfRule>
    <cfRule type="containsText" dxfId="4988" priority="6162" operator="containsText" text="NINGUNO">
      <formula>NOT(ISERROR(SEARCH("NINGUNO",AI197)))</formula>
    </cfRule>
    <cfRule type="containsText" dxfId="4987" priority="6163" operator="containsText" text="MIGRATORIA">
      <formula>NOT(ISERROR(SEARCH("MIGRATORIA",AI197)))</formula>
    </cfRule>
    <cfRule type="containsText" dxfId="4986" priority="6164" operator="containsText" text="DISCAPACIDAD">
      <formula>NOT(ISERROR(SEARCH("DISCAPACIDAD",AI197)))</formula>
    </cfRule>
    <cfRule type="containsText" dxfId="4985" priority="6165" operator="containsText" text="DESPLAZADA">
      <formula>NOT(ISERROR(SEARCH("DESPLAZADA",AI197)))</formula>
    </cfRule>
  </conditionalFormatting>
  <conditionalFormatting sqref="AE197:AF197">
    <cfRule type="containsText" dxfId="4984" priority="6160" operator="containsText" text="NO">
      <formula>NOT(ISERROR(SEARCH("NO",AE197)))</formula>
    </cfRule>
    <cfRule type="containsText" dxfId="4983" priority="6161" operator="containsText" text="SI">
      <formula>NOT(ISERROR(SEARCH("SI",AE197)))</formula>
    </cfRule>
  </conditionalFormatting>
  <conditionalFormatting sqref="AX197">
    <cfRule type="cellIs" dxfId="4982" priority="6156" operator="equal">
      <formula>"SD"</formula>
    </cfRule>
    <cfRule type="cellIs" dxfId="4981" priority="6157" operator="equal">
      <formula>"NO"</formula>
    </cfRule>
    <cfRule type="cellIs" dxfId="4980" priority="6158" operator="equal">
      <formula>"SI"</formula>
    </cfRule>
  </conditionalFormatting>
  <conditionalFormatting sqref="BK197:BM197">
    <cfRule type="cellIs" dxfId="4979" priority="6153" operator="equal">
      <formula>"SD"</formula>
    </cfRule>
    <cfRule type="cellIs" dxfId="4978" priority="6154" operator="equal">
      <formula>"NO"</formula>
    </cfRule>
    <cfRule type="cellIs" dxfId="4977" priority="6155" operator="equal">
      <formula>"SI"</formula>
    </cfRule>
  </conditionalFormatting>
  <conditionalFormatting sqref="AY197:BA197">
    <cfRule type="cellIs" dxfId="4976" priority="6150" operator="equal">
      <formula>"SD"</formula>
    </cfRule>
    <cfRule type="cellIs" dxfId="4975" priority="6151" operator="equal">
      <formula>"NO"</formula>
    </cfRule>
    <cfRule type="cellIs" dxfId="4974" priority="6152" operator="equal">
      <formula>"SI"</formula>
    </cfRule>
  </conditionalFormatting>
  <conditionalFormatting sqref="BD197:BI197 BB197">
    <cfRule type="cellIs" dxfId="4973" priority="6147" operator="equal">
      <formula>"SD"</formula>
    </cfRule>
    <cfRule type="cellIs" dxfId="4972" priority="6148" operator="equal">
      <formula>"NO"</formula>
    </cfRule>
    <cfRule type="cellIs" dxfId="4971" priority="6149" operator="equal">
      <formula>"SI"</formula>
    </cfRule>
  </conditionalFormatting>
  <conditionalFormatting sqref="BC197">
    <cfRule type="containsText" dxfId="4970" priority="6142" operator="containsText" text="SD">
      <formula>NOT(ISERROR(SEARCH("SD",BC197)))</formula>
    </cfRule>
    <cfRule type="containsText" dxfId="4969" priority="6143" operator="containsText" text="SI, NO CONTROLADA">
      <formula>NOT(ISERROR(SEARCH("SI, NO CONTROLADA",BC197)))</formula>
    </cfRule>
    <cfRule type="containsText" dxfId="4968" priority="6144" operator="containsText" text="SI, SIN MANEJO">
      <formula>NOT(ISERROR(SEARCH("SI, SIN MANEJO",BC197)))</formula>
    </cfRule>
    <cfRule type="containsText" dxfId="4967" priority="6145" operator="containsText" text="SI, CONTROLADA">
      <formula>NOT(ISERROR(SEARCH("SI, CONTROLADA",BC197)))</formula>
    </cfRule>
    <cfRule type="containsText" dxfId="4966" priority="6146" operator="containsText" text="NO">
      <formula>NOT(ISERROR(SEARCH("NO",BC197)))</formula>
    </cfRule>
  </conditionalFormatting>
  <conditionalFormatting sqref="BE197">
    <cfRule type="expression" dxfId="4965" priority="6141">
      <formula>IF(AND(FA197&gt;=126,FC197&lt;24),1,0)</formula>
    </cfRule>
  </conditionalFormatting>
  <conditionalFormatting sqref="FB197">
    <cfRule type="containsText" dxfId="4964" priority="6137" operator="containsText" text="RH NEGATIVO SIN COOMB">
      <formula>NOT(ISERROR(SEARCH("RH NEGATIVO SIN COOMB",FB197)))</formula>
    </cfRule>
    <cfRule type="containsText" dxfId="4963" priority="6138" operator="containsText" text="RH NEGATIVO CON COOMBS POSITIVO">
      <formula>NOT(ISERROR(SEARCH("RH NEGATIVO CON COOMBS POSITIVO",FB197)))</formula>
    </cfRule>
    <cfRule type="containsText" dxfId="4962" priority="6139" operator="containsText" text="RH NEGATIVO CON COOMBS NEGATIVO">
      <formula>NOT(ISERROR(SEARCH("RH NEGATIVO CON COOMBS NEGATIVO",FB197)))</formula>
    </cfRule>
    <cfRule type="containsText" dxfId="4961" priority="6140" operator="containsText" text="RH POSITIVO">
      <formula>NOT(ISERROR(SEARCH("RH POSITIVO",FB197)))</formula>
    </cfRule>
  </conditionalFormatting>
  <conditionalFormatting sqref="FK197">
    <cfRule type="containsText" dxfId="4960" priority="6133" operator="containsText" text="RH NEGATIVO SIN COOMB">
      <formula>NOT(ISERROR(SEARCH("RH NEGATIVO SIN COOMB",FK197)))</formula>
    </cfRule>
    <cfRule type="containsText" dxfId="4959" priority="6134" operator="containsText" text="RH NEGATIVO CON COOMBS POSITIVO">
      <formula>NOT(ISERROR(SEARCH("RH NEGATIVO CON COOMBS POSITIVO",FK197)))</formula>
    </cfRule>
    <cfRule type="containsText" dxfId="4958" priority="6135" operator="containsText" text="RH NEGATIVO CON COOMBS NEGATIVO">
      <formula>NOT(ISERROR(SEARCH("RH NEGATIVO CON COOMBS NEGATIVO",FK197)))</formula>
    </cfRule>
    <cfRule type="containsText" dxfId="4957" priority="6136" operator="containsText" text="RH POSITIVO">
      <formula>NOT(ISERROR(SEARCH("RH POSITIVO",FK197)))</formula>
    </cfRule>
  </conditionalFormatting>
  <conditionalFormatting sqref="AL198:AR198">
    <cfRule type="cellIs" dxfId="4956" priority="6130" operator="equal">
      <formula>"SD"</formula>
    </cfRule>
    <cfRule type="cellIs" dxfId="4955" priority="6131" operator="equal">
      <formula>"NO"</formula>
    </cfRule>
    <cfRule type="cellIs" dxfId="4954" priority="6132" operator="equal">
      <formula>"SI"</formula>
    </cfRule>
  </conditionalFormatting>
  <conditionalFormatting sqref="AK198">
    <cfRule type="containsText" dxfId="4953" priority="6127" operator="containsText" text="COMPLETAR EVALUACIÓN">
      <formula>NOT(ISERROR(SEARCH("COMPLETAR EVALUACIÓN",AK198)))</formula>
    </cfRule>
    <cfRule type="containsText" dxfId="4952" priority="6128" operator="containsText" text="CON RIESGO">
      <formula>NOT(ISERROR(SEARCH("CON RIESGO",AK198)))</formula>
    </cfRule>
    <cfRule type="containsText" dxfId="4951" priority="6129" operator="containsText" text="SIN RIESGO">
      <formula>NOT(ISERROR(SEARCH("SIN RIESGO",AK198)))</formula>
    </cfRule>
  </conditionalFormatting>
  <conditionalFormatting sqref="AG198:AH198 AJ198">
    <cfRule type="cellIs" dxfId="4950" priority="6124" operator="equal">
      <formula>"SD"</formula>
    </cfRule>
    <cfRule type="cellIs" dxfId="4949" priority="6125" operator="equal">
      <formula>"NO"</formula>
    </cfRule>
    <cfRule type="cellIs" dxfId="4948" priority="6126" operator="equal">
      <formula>"SI"</formula>
    </cfRule>
  </conditionalFormatting>
  <conditionalFormatting sqref="AI198">
    <cfRule type="containsText" dxfId="4947" priority="6117" operator="containsText" text="HABITANTE DE CALLE">
      <formula>NOT(ISERROR(SEARCH("HABITANTE DE CALLE",AI198)))</formula>
    </cfRule>
    <cfRule type="containsText" dxfId="4946" priority="6120" operator="containsText" text="NINGUNO">
      <formula>NOT(ISERROR(SEARCH("NINGUNO",AI198)))</formula>
    </cfRule>
    <cfRule type="containsText" dxfId="4945" priority="6121" operator="containsText" text="MIGRATORIA">
      <formula>NOT(ISERROR(SEARCH("MIGRATORIA",AI198)))</formula>
    </cfRule>
    <cfRule type="containsText" dxfId="4944" priority="6122" operator="containsText" text="DISCAPACIDAD">
      <formula>NOT(ISERROR(SEARCH("DISCAPACIDAD",AI198)))</formula>
    </cfRule>
    <cfRule type="containsText" dxfId="4943" priority="6123" operator="containsText" text="DESPLAZADA">
      <formula>NOT(ISERROR(SEARCH("DESPLAZADA",AI198)))</formula>
    </cfRule>
  </conditionalFormatting>
  <conditionalFormatting sqref="AE198:AF198">
    <cfRule type="containsText" dxfId="4942" priority="6118" operator="containsText" text="NO">
      <formula>NOT(ISERROR(SEARCH("NO",AE198)))</formula>
    </cfRule>
    <cfRule type="containsText" dxfId="4941" priority="6119" operator="containsText" text="SI">
      <formula>NOT(ISERROR(SEARCH("SI",AE198)))</formula>
    </cfRule>
  </conditionalFormatting>
  <conditionalFormatting sqref="AX198">
    <cfRule type="cellIs" dxfId="4940" priority="6114" operator="equal">
      <formula>"SD"</formula>
    </cfRule>
    <cfRule type="cellIs" dxfId="4939" priority="6115" operator="equal">
      <formula>"NO"</formula>
    </cfRule>
    <cfRule type="cellIs" dxfId="4938" priority="6116" operator="equal">
      <formula>"SI"</formula>
    </cfRule>
  </conditionalFormatting>
  <conditionalFormatting sqref="BK198:BM198">
    <cfRule type="cellIs" dxfId="4937" priority="6111" operator="equal">
      <formula>"SD"</formula>
    </cfRule>
    <cfRule type="cellIs" dxfId="4936" priority="6112" operator="equal">
      <formula>"NO"</formula>
    </cfRule>
    <cfRule type="cellIs" dxfId="4935" priority="6113" operator="equal">
      <formula>"SI"</formula>
    </cfRule>
  </conditionalFormatting>
  <conditionalFormatting sqref="AY198:BA198">
    <cfRule type="cellIs" dxfId="4934" priority="6108" operator="equal">
      <formula>"SD"</formula>
    </cfRule>
    <cfRule type="cellIs" dxfId="4933" priority="6109" operator="equal">
      <formula>"NO"</formula>
    </cfRule>
    <cfRule type="cellIs" dxfId="4932" priority="6110" operator="equal">
      <formula>"SI"</formula>
    </cfRule>
  </conditionalFormatting>
  <conditionalFormatting sqref="BD198:BI198 BB198">
    <cfRule type="cellIs" dxfId="4931" priority="6105" operator="equal">
      <formula>"SD"</formula>
    </cfRule>
    <cfRule type="cellIs" dxfId="4930" priority="6106" operator="equal">
      <formula>"NO"</formula>
    </cfRule>
    <cfRule type="cellIs" dxfId="4929" priority="6107" operator="equal">
      <formula>"SI"</formula>
    </cfRule>
  </conditionalFormatting>
  <conditionalFormatting sqref="BC198">
    <cfRule type="containsText" dxfId="4928" priority="6100" operator="containsText" text="SD">
      <formula>NOT(ISERROR(SEARCH("SD",BC198)))</formula>
    </cfRule>
    <cfRule type="containsText" dxfId="4927" priority="6101" operator="containsText" text="SI, NO CONTROLADA">
      <formula>NOT(ISERROR(SEARCH("SI, NO CONTROLADA",BC198)))</formula>
    </cfRule>
    <cfRule type="containsText" dxfId="4926" priority="6102" operator="containsText" text="SI, SIN MANEJO">
      <formula>NOT(ISERROR(SEARCH("SI, SIN MANEJO",BC198)))</formula>
    </cfRule>
    <cfRule type="containsText" dxfId="4925" priority="6103" operator="containsText" text="SI, CONTROLADA">
      <formula>NOT(ISERROR(SEARCH("SI, CONTROLADA",BC198)))</formula>
    </cfRule>
    <cfRule type="containsText" dxfId="4924" priority="6104" operator="containsText" text="NO">
      <formula>NOT(ISERROR(SEARCH("NO",BC198)))</formula>
    </cfRule>
  </conditionalFormatting>
  <conditionalFormatting sqref="BE198">
    <cfRule type="expression" dxfId="4923" priority="6099">
      <formula>IF(AND(FA198&gt;=126,FC198&lt;24),1,0)</formula>
    </cfRule>
  </conditionalFormatting>
  <conditionalFormatting sqref="P199">
    <cfRule type="containsText" dxfId="4922" priority="6095" operator="containsText" text="SI">
      <formula>NOT(ISERROR(SEARCH("SI",P199)))</formula>
    </cfRule>
    <cfRule type="containsText" dxfId="4921" priority="6096" operator="containsText" text="NO">
      <formula>NOT(ISERROR(SEARCH("NO",P199)))</formula>
    </cfRule>
    <cfRule type="containsText" dxfId="4920" priority="6097" operator="containsText" text="NA">
      <formula>NOT(ISERROR(SEARCH("NA",P199)))</formula>
    </cfRule>
  </conditionalFormatting>
  <conditionalFormatting sqref="Q199">
    <cfRule type="containsText" dxfId="4919" priority="6087" operator="containsText" text="SE TRASLADO DE EPS">
      <formula>NOT(ISERROR(SEARCH("SE TRASLADO DE EPS",Q199)))</formula>
    </cfRule>
    <cfRule type="containsText" dxfId="4918" priority="6090" operator="containsText" text="NOVEDAD">
      <formula>NOT(ISERROR(SEARCH("NOVEDAD",Q199)))</formula>
    </cfRule>
    <cfRule type="containsText" dxfId="4917" priority="6091" operator="containsText" text="IDENTIDAD">
      <formula>NOT(ISERROR(SEARCH("IDENTIDAD",Q199)))</formula>
    </cfRule>
    <cfRule type="containsText" dxfId="4916" priority="6092" operator="containsText" text="CPN">
      <formula>NOT(ISERROR(SEARCH("CPN",Q199)))</formula>
    </cfRule>
    <cfRule type="containsText" dxfId="4915" priority="6093" operator="containsText" text="VIENE">
      <formula>NOT(ISERROR(SEARCH("VIENE",Q199)))</formula>
    </cfRule>
    <cfRule type="cellIs" dxfId="4914" priority="6094" operator="equal">
      <formula>"TRAMITE DE PORTABILIDAD"</formula>
    </cfRule>
  </conditionalFormatting>
  <conditionalFormatting sqref="Q199">
    <cfRule type="containsText" dxfId="4913" priority="6088" operator="containsText" text="INMIGRANTE VENEZOLANA">
      <formula>NOT(ISERROR(SEARCH("INMIGRANTE VENEZOLANA",Q199)))</formula>
    </cfRule>
    <cfRule type="containsText" dxfId="4912" priority="6089" operator="containsText" text="SIN AFILIACIÓN A EPS">
      <formula>NOT(ISERROR(SEARCH("SIN AFILIACIÓN A EPS",Q199)))</formula>
    </cfRule>
  </conditionalFormatting>
  <conditionalFormatting sqref="AC199">
    <cfRule type="containsText" dxfId="4911" priority="6083" operator="containsText" text="SABE">
      <formula>NOT(ISERROR(SEARCH("SABE",AC199)))</formula>
    </cfRule>
    <cfRule type="containsText" dxfId="4910" priority="6084" operator="containsText" text="SECUNDARIA">
      <formula>NOT(ISERROR(SEARCH("SECUNDARIA",AC199)))</formula>
    </cfRule>
    <cfRule type="containsText" dxfId="4909" priority="6085" operator="containsText" text="PRIMARIA INCOMPLETA">
      <formula>NOT(ISERROR(SEARCH("PRIMARIA INCOMPLETA",AC199)))</formula>
    </cfRule>
    <cfRule type="cellIs" dxfId="4908" priority="6086" operator="equal">
      <formula>"ANALFABETA"</formula>
    </cfRule>
  </conditionalFormatting>
  <conditionalFormatting sqref="AL199:AR199">
    <cfRule type="cellIs" dxfId="4907" priority="6077" operator="equal">
      <formula>"SD"</formula>
    </cfRule>
    <cfRule type="cellIs" dxfId="4906" priority="6078" operator="equal">
      <formula>"NO"</formula>
    </cfRule>
    <cfRule type="cellIs" dxfId="4905" priority="6079" operator="equal">
      <formula>"SI"</formula>
    </cfRule>
  </conditionalFormatting>
  <conditionalFormatting sqref="AK199">
    <cfRule type="containsText" dxfId="4904" priority="6074" operator="containsText" text="COMPLETAR EVALUACIÓN">
      <formula>NOT(ISERROR(SEARCH("COMPLETAR EVALUACIÓN",AK199)))</formula>
    </cfRule>
    <cfRule type="containsText" dxfId="4903" priority="6075" operator="containsText" text="CON RIESGO">
      <formula>NOT(ISERROR(SEARCH("CON RIESGO",AK199)))</formula>
    </cfRule>
    <cfRule type="containsText" dxfId="4902" priority="6076" operator="containsText" text="SIN RIESGO">
      <formula>NOT(ISERROR(SEARCH("SIN RIESGO",AK199)))</formula>
    </cfRule>
  </conditionalFormatting>
  <conditionalFormatting sqref="AG199:AH199 AJ199">
    <cfRule type="cellIs" dxfId="4901" priority="6071" operator="equal">
      <formula>"SD"</formula>
    </cfRule>
    <cfRule type="cellIs" dxfId="4900" priority="6072" operator="equal">
      <formula>"NO"</formula>
    </cfRule>
    <cfRule type="cellIs" dxfId="4899" priority="6073" operator="equal">
      <formula>"SI"</formula>
    </cfRule>
  </conditionalFormatting>
  <conditionalFormatting sqref="AI199">
    <cfRule type="containsText" dxfId="4898" priority="6064" operator="containsText" text="HABITANTE DE CALLE">
      <formula>NOT(ISERROR(SEARCH("HABITANTE DE CALLE",AI199)))</formula>
    </cfRule>
    <cfRule type="containsText" dxfId="4897" priority="6067" operator="containsText" text="NINGUNO">
      <formula>NOT(ISERROR(SEARCH("NINGUNO",AI199)))</formula>
    </cfRule>
    <cfRule type="containsText" dxfId="4896" priority="6068" operator="containsText" text="MIGRATORIA">
      <formula>NOT(ISERROR(SEARCH("MIGRATORIA",AI199)))</formula>
    </cfRule>
    <cfRule type="containsText" dxfId="4895" priority="6069" operator="containsText" text="DISCAPACIDAD">
      <formula>NOT(ISERROR(SEARCH("DISCAPACIDAD",AI199)))</formula>
    </cfRule>
    <cfRule type="containsText" dxfId="4894" priority="6070" operator="containsText" text="DESPLAZADA">
      <formula>NOT(ISERROR(SEARCH("DESPLAZADA",AI199)))</formula>
    </cfRule>
  </conditionalFormatting>
  <conditionalFormatting sqref="AE199:AF199">
    <cfRule type="containsText" dxfId="4893" priority="6065" operator="containsText" text="NO">
      <formula>NOT(ISERROR(SEARCH("NO",AE199)))</formula>
    </cfRule>
    <cfRule type="containsText" dxfId="4892" priority="6066" operator="containsText" text="SI">
      <formula>NOT(ISERROR(SEARCH("SI",AE199)))</formula>
    </cfRule>
  </conditionalFormatting>
  <conditionalFormatting sqref="AX199">
    <cfRule type="cellIs" dxfId="4891" priority="6061" operator="equal">
      <formula>"SD"</formula>
    </cfRule>
    <cfRule type="cellIs" dxfId="4890" priority="6062" operator="equal">
      <formula>"NO"</formula>
    </cfRule>
    <cfRule type="cellIs" dxfId="4889" priority="6063" operator="equal">
      <formula>"SI"</formula>
    </cfRule>
  </conditionalFormatting>
  <conditionalFormatting sqref="BK199:BM199">
    <cfRule type="cellIs" dxfId="4888" priority="6058" operator="equal">
      <formula>"SD"</formula>
    </cfRule>
    <cfRule type="cellIs" dxfId="4887" priority="6059" operator="equal">
      <formula>"NO"</formula>
    </cfRule>
    <cfRule type="cellIs" dxfId="4886" priority="6060" operator="equal">
      <formula>"SI"</formula>
    </cfRule>
  </conditionalFormatting>
  <conditionalFormatting sqref="AY199:BA199">
    <cfRule type="cellIs" dxfId="4885" priority="6055" operator="equal">
      <formula>"SD"</formula>
    </cfRule>
    <cfRule type="cellIs" dxfId="4884" priority="6056" operator="equal">
      <formula>"NO"</formula>
    </cfRule>
    <cfRule type="cellIs" dxfId="4883" priority="6057" operator="equal">
      <formula>"SI"</formula>
    </cfRule>
  </conditionalFormatting>
  <conditionalFormatting sqref="BD199:BI199 BB199">
    <cfRule type="cellIs" dxfId="4882" priority="6052" operator="equal">
      <formula>"SD"</formula>
    </cfRule>
    <cfRule type="cellIs" dxfId="4881" priority="6053" operator="equal">
      <formula>"NO"</formula>
    </cfRule>
    <cfRule type="cellIs" dxfId="4880" priority="6054" operator="equal">
      <formula>"SI"</formula>
    </cfRule>
  </conditionalFormatting>
  <conditionalFormatting sqref="BC199">
    <cfRule type="containsText" dxfId="4879" priority="6047" operator="containsText" text="SD">
      <formula>NOT(ISERROR(SEARCH("SD",BC199)))</formula>
    </cfRule>
    <cfRule type="containsText" dxfId="4878" priority="6048" operator="containsText" text="SI, NO CONTROLADA">
      <formula>NOT(ISERROR(SEARCH("SI, NO CONTROLADA",BC199)))</formula>
    </cfRule>
    <cfRule type="containsText" dxfId="4877" priority="6049" operator="containsText" text="SI, SIN MANEJO">
      <formula>NOT(ISERROR(SEARCH("SI, SIN MANEJO",BC199)))</formula>
    </cfRule>
    <cfRule type="containsText" dxfId="4876" priority="6050" operator="containsText" text="SI, CONTROLADA">
      <formula>NOT(ISERROR(SEARCH("SI, CONTROLADA",BC199)))</formula>
    </cfRule>
    <cfRule type="containsText" dxfId="4875" priority="6051" operator="containsText" text="NO">
      <formula>NOT(ISERROR(SEARCH("NO",BC199)))</formula>
    </cfRule>
  </conditionalFormatting>
  <conditionalFormatting sqref="BE199">
    <cfRule type="expression" dxfId="4874" priority="6046">
      <formula>IF(AND(FA199&gt;=126,FC199&lt;24),1,0)</formula>
    </cfRule>
  </conditionalFormatting>
  <conditionalFormatting sqref="HV199 HX199">
    <cfRule type="containsText" dxfId="4873" priority="6042" operator="containsText" text="NO SE FORMULA">
      <formula>NOT(ISERROR(SEARCH("NO SE FORMULA",HV199)))</formula>
    </cfRule>
    <cfRule type="containsText" dxfId="4872" priority="6043" operator="containsText" text="OTRO">
      <formula>NOT(ISERROR(SEARCH("OTRO",HV199)))</formula>
    </cfRule>
    <cfRule type="containsText" dxfId="4871" priority="6044" operator="containsText" text="IRREGULAR">
      <formula>NOT(ISERROR(SEARCH("IRREGULAR",HV199)))</formula>
    </cfRule>
    <cfRule type="containsText" dxfId="4870" priority="6045" operator="containsText" text="ADECUADO">
      <formula>NOT(ISERROR(SEARCH("ADECUADO",HV199)))</formula>
    </cfRule>
  </conditionalFormatting>
  <conditionalFormatting sqref="L200">
    <cfRule type="containsText" dxfId="4869" priority="6024" operator="containsText" text="Empleo informal">
      <formula>NOT(ISERROR(SEARCH("Empleo informal",L200)))</formula>
    </cfRule>
    <cfRule type="containsText" dxfId="4868" priority="6025" operator="containsText" text="Empleada formalmente con riesgo a tóxicos">
      <formula>NOT(ISERROR(SEARCH("Empleada formalmente con riesgo a tóxicos",L200)))</formula>
    </cfRule>
    <cfRule type="containsText" dxfId="4867" priority="6026" operator="containsText" text="Empleada formalmente con riesgo de accidente laboral">
      <formula>NOT(ISERROR(SEARCH("Empleada formalmente con riesgo de accidente laboral",L200)))</formula>
    </cfRule>
    <cfRule type="containsText" dxfId="4866" priority="6027" operator="containsText" text="Empleada formalmente por jornada laboral extensa">
      <formula>NOT(ISERROR(SEARCH("Empleada formalmente por jornada laboral extensa",L200)))</formula>
    </cfRule>
    <cfRule type="containsText" dxfId="4865" priority="6028" operator="containsText" text="Empleada formalmente sin riesgo">
      <formula>NOT(ISERROR(SEARCH("Empleada formalmente sin riesgo",L200)))</formula>
    </cfRule>
    <cfRule type="containsText" dxfId="4864" priority="6029" operator="containsText" text="Actualmente desempleada">
      <formula>NOT(ISERROR(SEARCH("Actualmente desempleada",L200)))</formula>
    </cfRule>
    <cfRule type="containsText" dxfId="4863" priority="6030" operator="containsText" text="Hogar sin apoyo">
      <formula>NOT(ISERROR(SEARCH("Hogar sin apoyo",L200)))</formula>
    </cfRule>
    <cfRule type="containsText" dxfId="4862" priority="6031" operator="containsText" text="Empleada formalmente sin riesgo">
      <formula>NOT(ISERROR(SEARCH("Empleada formalmente sin riesgo",L200)))</formula>
    </cfRule>
    <cfRule type="containsText" dxfId="4861" priority="6032" operator="containsText" text="Hogar Con apoyo">
      <formula>NOT(ISERROR(SEARCH("Hogar Con apoyo",L200)))</formula>
    </cfRule>
  </conditionalFormatting>
  <conditionalFormatting sqref="Q200">
    <cfRule type="containsText" dxfId="4860" priority="6016" operator="containsText" text="SE TRASLADO DE EPS">
      <formula>NOT(ISERROR(SEARCH("SE TRASLADO DE EPS",Q200)))</formula>
    </cfRule>
    <cfRule type="containsText" dxfId="4859" priority="6019" operator="containsText" text="NOVEDAD">
      <formula>NOT(ISERROR(SEARCH("NOVEDAD",Q200)))</formula>
    </cfRule>
    <cfRule type="containsText" dxfId="4858" priority="6020" operator="containsText" text="IDENTIDAD">
      <formula>NOT(ISERROR(SEARCH("IDENTIDAD",Q200)))</formula>
    </cfRule>
    <cfRule type="containsText" dxfId="4857" priority="6021" operator="containsText" text="CPN">
      <formula>NOT(ISERROR(SEARCH("CPN",Q200)))</formula>
    </cfRule>
    <cfRule type="containsText" dxfId="4856" priority="6022" operator="containsText" text="VIENE">
      <formula>NOT(ISERROR(SEARCH("VIENE",Q200)))</formula>
    </cfRule>
    <cfRule type="cellIs" dxfId="4855" priority="6023" operator="equal">
      <formula>"TRAMITE DE PORTABILIDAD"</formula>
    </cfRule>
  </conditionalFormatting>
  <conditionalFormatting sqref="Q200">
    <cfRule type="containsText" dxfId="4854" priority="6017" operator="containsText" text="INMIGRANTE VENEZOLANA">
      <formula>NOT(ISERROR(SEARCH("INMIGRANTE VENEZOLANA",Q200)))</formula>
    </cfRule>
    <cfRule type="containsText" dxfId="4853" priority="6018" operator="containsText" text="SIN AFILIACIÓN A EPS">
      <formula>NOT(ISERROR(SEARCH("SIN AFILIACIÓN A EPS",Q200)))</formula>
    </cfRule>
  </conditionalFormatting>
  <conditionalFormatting sqref="AC200">
    <cfRule type="containsText" dxfId="4852" priority="6012" operator="containsText" text="SABE">
      <formula>NOT(ISERROR(SEARCH("SABE",AC200)))</formula>
    </cfRule>
    <cfRule type="containsText" dxfId="4851" priority="6013" operator="containsText" text="SECUNDARIA">
      <formula>NOT(ISERROR(SEARCH("SECUNDARIA",AC200)))</formula>
    </cfRule>
    <cfRule type="containsText" dxfId="4850" priority="6014" operator="containsText" text="PRIMARIA INCOMPLETA">
      <formula>NOT(ISERROR(SEARCH("PRIMARIA INCOMPLETA",AC200)))</formula>
    </cfRule>
    <cfRule type="cellIs" dxfId="4849" priority="6015" operator="equal">
      <formula>"ANALFABETA"</formula>
    </cfRule>
  </conditionalFormatting>
  <conditionalFormatting sqref="AL200:AR200">
    <cfRule type="cellIs" dxfId="4848" priority="6006" operator="equal">
      <formula>"SD"</formula>
    </cfRule>
    <cfRule type="cellIs" dxfId="4847" priority="6007" operator="equal">
      <formula>"NO"</formula>
    </cfRule>
    <cfRule type="cellIs" dxfId="4846" priority="6008" operator="equal">
      <formula>"SI"</formula>
    </cfRule>
  </conditionalFormatting>
  <conditionalFormatting sqref="AK200">
    <cfRule type="containsText" dxfId="4845" priority="6003" operator="containsText" text="COMPLETAR EVALUACIÓN">
      <formula>NOT(ISERROR(SEARCH("COMPLETAR EVALUACIÓN",AK200)))</formula>
    </cfRule>
    <cfRule type="containsText" dxfId="4844" priority="6004" operator="containsText" text="CON RIESGO">
      <formula>NOT(ISERROR(SEARCH("CON RIESGO",AK200)))</formula>
    </cfRule>
    <cfRule type="containsText" dxfId="4843" priority="6005" operator="containsText" text="SIN RIESGO">
      <formula>NOT(ISERROR(SEARCH("SIN RIESGO",AK200)))</formula>
    </cfRule>
  </conditionalFormatting>
  <conditionalFormatting sqref="AG200:AH200 AJ200">
    <cfRule type="cellIs" dxfId="4842" priority="6000" operator="equal">
      <formula>"SD"</formula>
    </cfRule>
    <cfRule type="cellIs" dxfId="4841" priority="6001" operator="equal">
      <formula>"NO"</formula>
    </cfRule>
    <cfRule type="cellIs" dxfId="4840" priority="6002" operator="equal">
      <formula>"SI"</formula>
    </cfRule>
  </conditionalFormatting>
  <conditionalFormatting sqref="AI200">
    <cfRule type="containsText" dxfId="4839" priority="5993" operator="containsText" text="HABITANTE DE CALLE">
      <formula>NOT(ISERROR(SEARCH("HABITANTE DE CALLE",AI200)))</formula>
    </cfRule>
    <cfRule type="containsText" dxfId="4838" priority="5996" operator="containsText" text="NINGUNO">
      <formula>NOT(ISERROR(SEARCH("NINGUNO",AI200)))</formula>
    </cfRule>
    <cfRule type="containsText" dxfId="4837" priority="5997" operator="containsText" text="MIGRATORIA">
      <formula>NOT(ISERROR(SEARCH("MIGRATORIA",AI200)))</formula>
    </cfRule>
    <cfRule type="containsText" dxfId="4836" priority="5998" operator="containsText" text="DISCAPACIDAD">
      <formula>NOT(ISERROR(SEARCH("DISCAPACIDAD",AI200)))</formula>
    </cfRule>
    <cfRule type="containsText" dxfId="4835" priority="5999" operator="containsText" text="DESPLAZADA">
      <formula>NOT(ISERROR(SEARCH("DESPLAZADA",AI200)))</formula>
    </cfRule>
  </conditionalFormatting>
  <conditionalFormatting sqref="AE200:AF200">
    <cfRule type="containsText" dxfId="4834" priority="5994" operator="containsText" text="NO">
      <formula>NOT(ISERROR(SEARCH("NO",AE200)))</formula>
    </cfRule>
    <cfRule type="containsText" dxfId="4833" priority="5995" operator="containsText" text="SI">
      <formula>NOT(ISERROR(SEARCH("SI",AE200)))</formula>
    </cfRule>
  </conditionalFormatting>
  <conditionalFormatting sqref="AX200">
    <cfRule type="cellIs" dxfId="4832" priority="5990" operator="equal">
      <formula>"SD"</formula>
    </cfRule>
    <cfRule type="cellIs" dxfId="4831" priority="5991" operator="equal">
      <formula>"NO"</formula>
    </cfRule>
    <cfRule type="cellIs" dxfId="4830" priority="5992" operator="equal">
      <formula>"SI"</formula>
    </cfRule>
  </conditionalFormatting>
  <conditionalFormatting sqref="BK200:BM200">
    <cfRule type="cellIs" dxfId="4829" priority="5987" operator="equal">
      <formula>"SD"</formula>
    </cfRule>
    <cfRule type="cellIs" dxfId="4828" priority="5988" operator="equal">
      <formula>"NO"</formula>
    </cfRule>
    <cfRule type="cellIs" dxfId="4827" priority="5989" operator="equal">
      <formula>"SI"</formula>
    </cfRule>
  </conditionalFormatting>
  <conditionalFormatting sqref="AY200:BA200">
    <cfRule type="cellIs" dxfId="4826" priority="5984" operator="equal">
      <formula>"SD"</formula>
    </cfRule>
    <cfRule type="cellIs" dxfId="4825" priority="5985" operator="equal">
      <formula>"NO"</formula>
    </cfRule>
    <cfRule type="cellIs" dxfId="4824" priority="5986" operator="equal">
      <formula>"SI"</formula>
    </cfRule>
  </conditionalFormatting>
  <conditionalFormatting sqref="BD200:BI200 BB200">
    <cfRule type="cellIs" dxfId="4823" priority="5981" operator="equal">
      <formula>"SD"</formula>
    </cfRule>
    <cfRule type="cellIs" dxfId="4822" priority="5982" operator="equal">
      <formula>"NO"</formula>
    </cfRule>
    <cfRule type="cellIs" dxfId="4821" priority="5983" operator="equal">
      <formula>"SI"</formula>
    </cfRule>
  </conditionalFormatting>
  <conditionalFormatting sqref="BC200">
    <cfRule type="containsText" dxfId="4820" priority="5976" operator="containsText" text="SD">
      <formula>NOT(ISERROR(SEARCH("SD",BC200)))</formula>
    </cfRule>
    <cfRule type="containsText" dxfId="4819" priority="5977" operator="containsText" text="SI, NO CONTROLADA">
      <formula>NOT(ISERROR(SEARCH("SI, NO CONTROLADA",BC200)))</formula>
    </cfRule>
    <cfRule type="containsText" dxfId="4818" priority="5978" operator="containsText" text="SI, SIN MANEJO">
      <formula>NOT(ISERROR(SEARCH("SI, SIN MANEJO",BC200)))</formula>
    </cfRule>
    <cfRule type="containsText" dxfId="4817" priority="5979" operator="containsText" text="SI, CONTROLADA">
      <formula>NOT(ISERROR(SEARCH("SI, CONTROLADA",BC200)))</formula>
    </cfRule>
    <cfRule type="containsText" dxfId="4816" priority="5980" operator="containsText" text="NO">
      <formula>NOT(ISERROR(SEARCH("NO",BC200)))</formula>
    </cfRule>
  </conditionalFormatting>
  <conditionalFormatting sqref="BE200">
    <cfRule type="expression" dxfId="4815" priority="5975">
      <formula>IF(AND(FA200&gt;=126,FC200&lt;24),1,0)</formula>
    </cfRule>
  </conditionalFormatting>
  <conditionalFormatting sqref="HV200">
    <cfRule type="containsText" dxfId="4814" priority="5971" operator="containsText" text="NO SE FORMULA">
      <formula>NOT(ISERROR(SEARCH("NO SE FORMULA",HV200)))</formula>
    </cfRule>
    <cfRule type="containsText" dxfId="4813" priority="5972" operator="containsText" text="OTRO">
      <formula>NOT(ISERROR(SEARCH("OTRO",HV200)))</formula>
    </cfRule>
    <cfRule type="containsText" dxfId="4812" priority="5973" operator="containsText" text="IRREGULAR">
      <formula>NOT(ISERROR(SEARCH("IRREGULAR",HV200)))</formula>
    </cfRule>
    <cfRule type="containsText" dxfId="4811" priority="5974" operator="containsText" text="ADECUADO">
      <formula>NOT(ISERROR(SEARCH("ADECUADO",HV200)))</formula>
    </cfRule>
  </conditionalFormatting>
  <conditionalFormatting sqref="L201">
    <cfRule type="containsText" dxfId="4810" priority="5962" operator="containsText" text="Empleo informal">
      <formula>NOT(ISERROR(SEARCH("Empleo informal",L201)))</formula>
    </cfRule>
    <cfRule type="containsText" dxfId="4809" priority="5963" operator="containsText" text="Empleada formalmente con riesgo a tóxicos">
      <formula>NOT(ISERROR(SEARCH("Empleada formalmente con riesgo a tóxicos",L201)))</formula>
    </cfRule>
    <cfRule type="containsText" dxfId="4808" priority="5964" operator="containsText" text="Empleada formalmente con riesgo de accidente laboral">
      <formula>NOT(ISERROR(SEARCH("Empleada formalmente con riesgo de accidente laboral",L201)))</formula>
    </cfRule>
    <cfRule type="containsText" dxfId="4807" priority="5965" operator="containsText" text="Empleada formalmente por jornada laboral extensa">
      <formula>NOT(ISERROR(SEARCH("Empleada formalmente por jornada laboral extensa",L201)))</formula>
    </cfRule>
    <cfRule type="containsText" dxfId="4806" priority="5966" operator="containsText" text="Empleada formalmente sin riesgo">
      <formula>NOT(ISERROR(SEARCH("Empleada formalmente sin riesgo",L201)))</formula>
    </cfRule>
    <cfRule type="containsText" dxfId="4805" priority="5967" operator="containsText" text="Actualmente desempleada">
      <formula>NOT(ISERROR(SEARCH("Actualmente desempleada",L201)))</formula>
    </cfRule>
    <cfRule type="containsText" dxfId="4804" priority="5968" operator="containsText" text="Hogar sin apoyo">
      <formula>NOT(ISERROR(SEARCH("Hogar sin apoyo",L201)))</formula>
    </cfRule>
    <cfRule type="containsText" dxfId="4803" priority="5969" operator="containsText" text="Empleada formalmente sin riesgo">
      <formula>NOT(ISERROR(SEARCH("Empleada formalmente sin riesgo",L201)))</formula>
    </cfRule>
    <cfRule type="containsText" dxfId="4802" priority="5970" operator="containsText" text="Hogar Con apoyo">
      <formula>NOT(ISERROR(SEARCH("Hogar Con apoyo",L201)))</formula>
    </cfRule>
  </conditionalFormatting>
  <conditionalFormatting sqref="Q201">
    <cfRule type="containsText" dxfId="4801" priority="5954" operator="containsText" text="SE TRASLADO DE EPS">
      <formula>NOT(ISERROR(SEARCH("SE TRASLADO DE EPS",Q201)))</formula>
    </cfRule>
    <cfRule type="containsText" dxfId="4800" priority="5957" operator="containsText" text="NOVEDAD">
      <formula>NOT(ISERROR(SEARCH("NOVEDAD",Q201)))</formula>
    </cfRule>
    <cfRule type="containsText" dxfId="4799" priority="5958" operator="containsText" text="IDENTIDAD">
      <formula>NOT(ISERROR(SEARCH("IDENTIDAD",Q201)))</formula>
    </cfRule>
    <cfRule type="containsText" dxfId="4798" priority="5959" operator="containsText" text="CPN">
      <formula>NOT(ISERROR(SEARCH("CPN",Q201)))</formula>
    </cfRule>
    <cfRule type="containsText" dxfId="4797" priority="5960" operator="containsText" text="VIENE">
      <formula>NOT(ISERROR(SEARCH("VIENE",Q201)))</formula>
    </cfRule>
    <cfRule type="cellIs" dxfId="4796" priority="5961" operator="equal">
      <formula>"TRAMITE DE PORTABILIDAD"</formula>
    </cfRule>
  </conditionalFormatting>
  <conditionalFormatting sqref="Q201">
    <cfRule type="containsText" dxfId="4795" priority="5955" operator="containsText" text="INMIGRANTE VENEZOLANA">
      <formula>NOT(ISERROR(SEARCH("INMIGRANTE VENEZOLANA",Q201)))</formula>
    </cfRule>
    <cfRule type="containsText" dxfId="4794" priority="5956" operator="containsText" text="SIN AFILIACIÓN A EPS">
      <formula>NOT(ISERROR(SEARCH("SIN AFILIACIÓN A EPS",Q201)))</formula>
    </cfRule>
  </conditionalFormatting>
  <conditionalFormatting sqref="AC201">
    <cfRule type="containsText" dxfId="4793" priority="5950" operator="containsText" text="SABE">
      <formula>NOT(ISERROR(SEARCH("SABE",AC201)))</formula>
    </cfRule>
    <cfRule type="containsText" dxfId="4792" priority="5951" operator="containsText" text="SECUNDARIA">
      <formula>NOT(ISERROR(SEARCH("SECUNDARIA",AC201)))</formula>
    </cfRule>
    <cfRule type="containsText" dxfId="4791" priority="5952" operator="containsText" text="PRIMARIA INCOMPLETA">
      <formula>NOT(ISERROR(SEARCH("PRIMARIA INCOMPLETA",AC201)))</formula>
    </cfRule>
    <cfRule type="cellIs" dxfId="4790" priority="5953" operator="equal">
      <formula>"ANALFABETA"</formula>
    </cfRule>
  </conditionalFormatting>
  <conditionalFormatting sqref="AL201:AR201">
    <cfRule type="cellIs" dxfId="4789" priority="5944" operator="equal">
      <formula>"SD"</formula>
    </cfRule>
    <cfRule type="cellIs" dxfId="4788" priority="5945" operator="equal">
      <formula>"NO"</formula>
    </cfRule>
    <cfRule type="cellIs" dxfId="4787" priority="5946" operator="equal">
      <formula>"SI"</formula>
    </cfRule>
  </conditionalFormatting>
  <conditionalFormatting sqref="AK201">
    <cfRule type="containsText" dxfId="4786" priority="5941" operator="containsText" text="COMPLETAR EVALUACIÓN">
      <formula>NOT(ISERROR(SEARCH("COMPLETAR EVALUACIÓN",AK201)))</formula>
    </cfRule>
    <cfRule type="containsText" dxfId="4785" priority="5942" operator="containsText" text="CON RIESGO">
      <formula>NOT(ISERROR(SEARCH("CON RIESGO",AK201)))</formula>
    </cfRule>
    <cfRule type="containsText" dxfId="4784" priority="5943" operator="containsText" text="SIN RIESGO">
      <formula>NOT(ISERROR(SEARCH("SIN RIESGO",AK201)))</formula>
    </cfRule>
  </conditionalFormatting>
  <conditionalFormatting sqref="AG201:AH201 AJ201">
    <cfRule type="cellIs" dxfId="4783" priority="5938" operator="equal">
      <formula>"SD"</formula>
    </cfRule>
    <cfRule type="cellIs" dxfId="4782" priority="5939" operator="equal">
      <formula>"NO"</formula>
    </cfRule>
    <cfRule type="cellIs" dxfId="4781" priority="5940" operator="equal">
      <formula>"SI"</formula>
    </cfRule>
  </conditionalFormatting>
  <conditionalFormatting sqref="AI201">
    <cfRule type="containsText" dxfId="4780" priority="5931" operator="containsText" text="HABITANTE DE CALLE">
      <formula>NOT(ISERROR(SEARCH("HABITANTE DE CALLE",AI201)))</formula>
    </cfRule>
    <cfRule type="containsText" dxfId="4779" priority="5934" operator="containsText" text="NINGUNO">
      <formula>NOT(ISERROR(SEARCH("NINGUNO",AI201)))</formula>
    </cfRule>
    <cfRule type="containsText" dxfId="4778" priority="5935" operator="containsText" text="MIGRATORIA">
      <formula>NOT(ISERROR(SEARCH("MIGRATORIA",AI201)))</formula>
    </cfRule>
    <cfRule type="containsText" dxfId="4777" priority="5936" operator="containsText" text="DISCAPACIDAD">
      <formula>NOT(ISERROR(SEARCH("DISCAPACIDAD",AI201)))</formula>
    </cfRule>
    <cfRule type="containsText" dxfId="4776" priority="5937" operator="containsText" text="DESPLAZADA">
      <formula>NOT(ISERROR(SEARCH("DESPLAZADA",AI201)))</formula>
    </cfRule>
  </conditionalFormatting>
  <conditionalFormatting sqref="AE201:AF201">
    <cfRule type="containsText" dxfId="4775" priority="5932" operator="containsText" text="NO">
      <formula>NOT(ISERROR(SEARCH("NO",AE201)))</formula>
    </cfRule>
    <cfRule type="containsText" dxfId="4774" priority="5933" operator="containsText" text="SI">
      <formula>NOT(ISERROR(SEARCH("SI",AE201)))</formula>
    </cfRule>
  </conditionalFormatting>
  <conditionalFormatting sqref="AX201">
    <cfRule type="cellIs" dxfId="4773" priority="5928" operator="equal">
      <formula>"SD"</formula>
    </cfRule>
    <cfRule type="cellIs" dxfId="4772" priority="5929" operator="equal">
      <formula>"NO"</formula>
    </cfRule>
    <cfRule type="cellIs" dxfId="4771" priority="5930" operator="equal">
      <formula>"SI"</formula>
    </cfRule>
  </conditionalFormatting>
  <conditionalFormatting sqref="BK201:BM201">
    <cfRule type="cellIs" dxfId="4770" priority="5925" operator="equal">
      <formula>"SD"</formula>
    </cfRule>
    <cfRule type="cellIs" dxfId="4769" priority="5926" operator="equal">
      <formula>"NO"</formula>
    </cfRule>
    <cfRule type="cellIs" dxfId="4768" priority="5927" operator="equal">
      <formula>"SI"</formula>
    </cfRule>
  </conditionalFormatting>
  <conditionalFormatting sqref="AY201:BA201">
    <cfRule type="cellIs" dxfId="4767" priority="5922" operator="equal">
      <formula>"SD"</formula>
    </cfRule>
    <cfRule type="cellIs" dxfId="4766" priority="5923" operator="equal">
      <formula>"NO"</formula>
    </cfRule>
    <cfRule type="cellIs" dxfId="4765" priority="5924" operator="equal">
      <formula>"SI"</formula>
    </cfRule>
  </conditionalFormatting>
  <conditionalFormatting sqref="BD201:BI201 BB201">
    <cfRule type="cellIs" dxfId="4764" priority="5919" operator="equal">
      <formula>"SD"</formula>
    </cfRule>
    <cfRule type="cellIs" dxfId="4763" priority="5920" operator="equal">
      <formula>"NO"</formula>
    </cfRule>
    <cfRule type="cellIs" dxfId="4762" priority="5921" operator="equal">
      <formula>"SI"</formula>
    </cfRule>
  </conditionalFormatting>
  <conditionalFormatting sqref="BC201">
    <cfRule type="containsText" dxfId="4761" priority="5914" operator="containsText" text="SD">
      <formula>NOT(ISERROR(SEARCH("SD",BC201)))</formula>
    </cfRule>
    <cfRule type="containsText" dxfId="4760" priority="5915" operator="containsText" text="SI, NO CONTROLADA">
      <formula>NOT(ISERROR(SEARCH("SI, NO CONTROLADA",BC201)))</formula>
    </cfRule>
    <cfRule type="containsText" dxfId="4759" priority="5916" operator="containsText" text="SI, SIN MANEJO">
      <formula>NOT(ISERROR(SEARCH("SI, SIN MANEJO",BC201)))</formula>
    </cfRule>
    <cfRule type="containsText" dxfId="4758" priority="5917" operator="containsText" text="SI, CONTROLADA">
      <formula>NOT(ISERROR(SEARCH("SI, CONTROLADA",BC201)))</formula>
    </cfRule>
    <cfRule type="containsText" dxfId="4757" priority="5918" operator="containsText" text="NO">
      <formula>NOT(ISERROR(SEARCH("NO",BC201)))</formula>
    </cfRule>
  </conditionalFormatting>
  <conditionalFormatting sqref="BE201">
    <cfRule type="expression" dxfId="4756" priority="5913">
      <formula>IF(AND(FA201&gt;=126,FC201&lt;24),1,0)</formula>
    </cfRule>
  </conditionalFormatting>
  <conditionalFormatting sqref="HT201">
    <cfRule type="containsText" dxfId="4755" priority="5909" operator="containsText" text="NO SE FORMULA">
      <formula>NOT(ISERROR(SEARCH("NO SE FORMULA",HT201)))</formula>
    </cfRule>
    <cfRule type="containsText" dxfId="4754" priority="5910" operator="containsText" text="OTRO">
      <formula>NOT(ISERROR(SEARCH("OTRO",HT201)))</formula>
    </cfRule>
    <cfRule type="containsText" dxfId="4753" priority="5911" operator="containsText" text="IRREGULAR">
      <formula>NOT(ISERROR(SEARCH("IRREGULAR",HT201)))</formula>
    </cfRule>
    <cfRule type="containsText" dxfId="4752" priority="5912" operator="containsText" text="ADECUADO">
      <formula>NOT(ISERROR(SEARCH("ADECUADO",HT201)))</formula>
    </cfRule>
  </conditionalFormatting>
  <conditionalFormatting sqref="HX201">
    <cfRule type="containsText" dxfId="4751" priority="5905" operator="containsText" text="NO SE FORMULA">
      <formula>NOT(ISERROR(SEARCH("NO SE FORMULA",HX201)))</formula>
    </cfRule>
    <cfRule type="containsText" dxfId="4750" priority="5906" operator="containsText" text="OTRO">
      <formula>NOT(ISERROR(SEARCH("OTRO",HX201)))</formula>
    </cfRule>
    <cfRule type="containsText" dxfId="4749" priority="5907" operator="containsText" text="IRREGULAR">
      <formula>NOT(ISERROR(SEARCH("IRREGULAR",HX201)))</formula>
    </cfRule>
    <cfRule type="containsText" dxfId="4748" priority="5908" operator="containsText" text="ADECUADO">
      <formula>NOT(ISERROR(SEARCH("ADECUADO",HX201)))</formula>
    </cfRule>
  </conditionalFormatting>
  <conditionalFormatting sqref="L166:L167 L158 L155 L146 L142 L140 L136 L131">
    <cfRule type="containsText" dxfId="4747" priority="5896" operator="containsText" text="Empleo informal">
      <formula>NOT(ISERROR(SEARCH("Empleo informal",L131)))</formula>
    </cfRule>
    <cfRule type="containsText" dxfId="4746" priority="5897" operator="containsText" text="Empleada formalmente con riesgo a tóxicos">
      <formula>NOT(ISERROR(SEARCH("Empleada formalmente con riesgo a tóxicos",L131)))</formula>
    </cfRule>
    <cfRule type="containsText" dxfId="4745" priority="5898" operator="containsText" text="Empleada formalmente con riesgo de accidente laboral">
      <formula>NOT(ISERROR(SEARCH("Empleada formalmente con riesgo de accidente laboral",L131)))</formula>
    </cfRule>
    <cfRule type="containsText" dxfId="4744" priority="5899" operator="containsText" text="Empleada formalmente por jornada laboral extensa">
      <formula>NOT(ISERROR(SEARCH("Empleada formalmente por jornada laboral extensa",L131)))</formula>
    </cfRule>
    <cfRule type="containsText" dxfId="4743" priority="5900" operator="containsText" text="Empleada formalmente sin riesgo">
      <formula>NOT(ISERROR(SEARCH("Empleada formalmente sin riesgo",L131)))</formula>
    </cfRule>
    <cfRule type="containsText" dxfId="4742" priority="5901" operator="containsText" text="Actualmente desempleada">
      <formula>NOT(ISERROR(SEARCH("Actualmente desempleada",L131)))</formula>
    </cfRule>
    <cfRule type="containsText" dxfId="4741" priority="5902" operator="containsText" text="Hogar sin apoyo">
      <formula>NOT(ISERROR(SEARCH("Hogar sin apoyo",L131)))</formula>
    </cfRule>
    <cfRule type="containsText" dxfId="4740" priority="5903" operator="containsText" text="Empleada formalmente sin riesgo">
      <formula>NOT(ISERROR(SEARCH("Empleada formalmente sin riesgo",L131)))</formula>
    </cfRule>
    <cfRule type="containsText" dxfId="4739" priority="5904" operator="containsText" text="Hogar Con apoyo">
      <formula>NOT(ISERROR(SEARCH("Hogar Con apoyo",L131)))</formula>
    </cfRule>
  </conditionalFormatting>
  <conditionalFormatting sqref="L202">
    <cfRule type="containsText" dxfId="4738" priority="5827" operator="containsText" text="Empleo informal">
      <formula>NOT(ISERROR(SEARCH("Empleo informal",L202)))</formula>
    </cfRule>
    <cfRule type="containsText" dxfId="4737" priority="5828" operator="containsText" text="Empleada formalmente con riesgo a tóxicos">
      <formula>NOT(ISERROR(SEARCH("Empleada formalmente con riesgo a tóxicos",L202)))</formula>
    </cfRule>
    <cfRule type="containsText" dxfId="4736" priority="5829" operator="containsText" text="Empleada formalmente con riesgo de accidente laboral">
      <formula>NOT(ISERROR(SEARCH("Empleada formalmente con riesgo de accidente laboral",L202)))</formula>
    </cfRule>
    <cfRule type="containsText" dxfId="4735" priority="5830" operator="containsText" text="Empleada formalmente por jornada laboral extensa">
      <formula>NOT(ISERROR(SEARCH("Empleada formalmente por jornada laboral extensa",L202)))</formula>
    </cfRule>
    <cfRule type="containsText" dxfId="4734" priority="5831" operator="containsText" text="Empleada formalmente sin riesgo">
      <formula>NOT(ISERROR(SEARCH("Empleada formalmente sin riesgo",L202)))</formula>
    </cfRule>
    <cfRule type="containsText" dxfId="4733" priority="5832" operator="containsText" text="Actualmente desempleada">
      <formula>NOT(ISERROR(SEARCH("Actualmente desempleada",L202)))</formula>
    </cfRule>
    <cfRule type="containsText" dxfId="4732" priority="5833" operator="containsText" text="Hogar sin apoyo">
      <formula>NOT(ISERROR(SEARCH("Hogar sin apoyo",L202)))</formula>
    </cfRule>
    <cfRule type="containsText" dxfId="4731" priority="5834" operator="containsText" text="Empleada formalmente sin riesgo">
      <formula>NOT(ISERROR(SEARCH("Empleada formalmente sin riesgo",L202)))</formula>
    </cfRule>
    <cfRule type="containsText" dxfId="4730" priority="5835" operator="containsText" text="Hogar Con apoyo">
      <formula>NOT(ISERROR(SEARCH("Hogar Con apoyo",L202)))</formula>
    </cfRule>
  </conditionalFormatting>
  <conditionalFormatting sqref="L202">
    <cfRule type="containsText" dxfId="4729" priority="5818" operator="containsText" text="Empleo informal">
      <formula>NOT(ISERROR(SEARCH("Empleo informal",L202)))</formula>
    </cfRule>
    <cfRule type="containsText" dxfId="4728" priority="5819" operator="containsText" text="Empleada formalmente con riesgo a tóxicos">
      <formula>NOT(ISERROR(SEARCH("Empleada formalmente con riesgo a tóxicos",L202)))</formula>
    </cfRule>
    <cfRule type="containsText" dxfId="4727" priority="5820" operator="containsText" text="Empleada formalmente con riesgo de accidente laboral">
      <formula>NOT(ISERROR(SEARCH("Empleada formalmente con riesgo de accidente laboral",L202)))</formula>
    </cfRule>
    <cfRule type="containsText" dxfId="4726" priority="5821" operator="containsText" text="Empleada formalmente por jornada laboral extensa">
      <formula>NOT(ISERROR(SEARCH("Empleada formalmente por jornada laboral extensa",L202)))</formula>
    </cfRule>
    <cfRule type="containsText" dxfId="4725" priority="5822" operator="containsText" text="Empleada formalmente sin riesgo">
      <formula>NOT(ISERROR(SEARCH("Empleada formalmente sin riesgo",L202)))</formula>
    </cfRule>
    <cfRule type="containsText" dxfId="4724" priority="5823" operator="containsText" text="Actualmente desempleada">
      <formula>NOT(ISERROR(SEARCH("Actualmente desempleada",L202)))</formula>
    </cfRule>
    <cfRule type="containsText" dxfId="4723" priority="5824" operator="containsText" text="Hogar sin apoyo">
      <formula>NOT(ISERROR(SEARCH("Hogar sin apoyo",L202)))</formula>
    </cfRule>
    <cfRule type="containsText" dxfId="4722" priority="5825" operator="containsText" text="Empleada formalmente sin riesgo">
      <formula>NOT(ISERROR(SEARCH("Empleada formalmente sin riesgo",L202)))</formula>
    </cfRule>
    <cfRule type="containsText" dxfId="4721" priority="5826" operator="containsText" text="Hogar Con apoyo">
      <formula>NOT(ISERROR(SEARCH("Hogar Con apoyo",L202)))</formula>
    </cfRule>
  </conditionalFormatting>
  <conditionalFormatting sqref="Q202">
    <cfRule type="containsText" dxfId="4720" priority="5810" operator="containsText" text="SE TRASLADO DE EPS">
      <formula>NOT(ISERROR(SEARCH("SE TRASLADO DE EPS",Q202)))</formula>
    </cfRule>
    <cfRule type="containsText" dxfId="4719" priority="5813" operator="containsText" text="NOVEDAD">
      <formula>NOT(ISERROR(SEARCH("NOVEDAD",Q202)))</formula>
    </cfRule>
    <cfRule type="containsText" dxfId="4718" priority="5814" operator="containsText" text="IDENTIDAD">
      <formula>NOT(ISERROR(SEARCH("IDENTIDAD",Q202)))</formula>
    </cfRule>
    <cfRule type="containsText" dxfId="4717" priority="5815" operator="containsText" text="CPN">
      <formula>NOT(ISERROR(SEARCH("CPN",Q202)))</formula>
    </cfRule>
    <cfRule type="containsText" dxfId="4716" priority="5816" operator="containsText" text="VIENE">
      <formula>NOT(ISERROR(SEARCH("VIENE",Q202)))</formula>
    </cfRule>
    <cfRule type="cellIs" dxfId="4715" priority="5817" operator="equal">
      <formula>"TRAMITE DE PORTABILIDAD"</formula>
    </cfRule>
  </conditionalFormatting>
  <conditionalFormatting sqref="Q202">
    <cfRule type="containsText" dxfId="4714" priority="5811" operator="containsText" text="INMIGRANTE VENEZOLANA">
      <formula>NOT(ISERROR(SEARCH("INMIGRANTE VENEZOLANA",Q202)))</formula>
    </cfRule>
    <cfRule type="containsText" dxfId="4713" priority="5812" operator="containsText" text="SIN AFILIACIÓN A EPS">
      <formula>NOT(ISERROR(SEARCH("SIN AFILIACIÓN A EPS",Q202)))</formula>
    </cfRule>
  </conditionalFormatting>
  <conditionalFormatting sqref="AJ202 AG202:AH202 BD202:BI202 AL202:BB202 BK202:BM202">
    <cfRule type="cellIs" dxfId="4712" priority="5807" operator="equal">
      <formula>"SD"</formula>
    </cfRule>
    <cfRule type="cellIs" dxfId="4711" priority="5808" operator="equal">
      <formula>"NO"</formula>
    </cfRule>
    <cfRule type="cellIs" dxfId="4710" priority="5809" operator="equal">
      <formula>"SI"</formula>
    </cfRule>
  </conditionalFormatting>
  <conditionalFormatting sqref="AC202">
    <cfRule type="containsText" dxfId="4709" priority="5803" operator="containsText" text="SABE">
      <formula>NOT(ISERROR(SEARCH("SABE",AC202)))</formula>
    </cfRule>
    <cfRule type="containsText" dxfId="4708" priority="5804" operator="containsText" text="SECUNDARIA">
      <formula>NOT(ISERROR(SEARCH("SECUNDARIA",AC202)))</formula>
    </cfRule>
    <cfRule type="containsText" dxfId="4707" priority="5805" operator="containsText" text="PRIMARIA INCOMPLETA">
      <formula>NOT(ISERROR(SEARCH("PRIMARIA INCOMPLETA",AC202)))</formula>
    </cfRule>
    <cfRule type="cellIs" dxfId="4706" priority="5806" operator="equal">
      <formula>"ANALFABETA"</formula>
    </cfRule>
  </conditionalFormatting>
  <conditionalFormatting sqref="AW202">
    <cfRule type="cellIs" dxfId="4705" priority="5800" operator="equal">
      <formula>1</formula>
    </cfRule>
    <cfRule type="cellIs" dxfId="4704" priority="5801" operator="equal">
      <formula>"3 O MAS"</formula>
    </cfRule>
    <cfRule type="cellIs" dxfId="4703" priority="5802" operator="equal">
      <formula>2</formula>
    </cfRule>
  </conditionalFormatting>
  <conditionalFormatting sqref="AI202">
    <cfRule type="containsText" dxfId="4702" priority="5782" operator="containsText" text="HABITANTE DE CALLE">
      <formula>NOT(ISERROR(SEARCH("HABITANTE DE CALLE",AI202)))</formula>
    </cfRule>
    <cfRule type="containsText" dxfId="4701" priority="5794" operator="containsText" text="NINGUNO">
      <formula>NOT(ISERROR(SEARCH("NINGUNO",AI202)))</formula>
    </cfRule>
    <cfRule type="containsText" dxfId="4700" priority="5795" operator="containsText" text="MIGRATORIA">
      <formula>NOT(ISERROR(SEARCH("MIGRATORIA",AI202)))</formula>
    </cfRule>
    <cfRule type="containsText" dxfId="4699" priority="5796" operator="containsText" text="DISCAPACIDAD">
      <formula>NOT(ISERROR(SEARCH("DISCAPACIDAD",AI202)))</formula>
    </cfRule>
    <cfRule type="containsText" dxfId="4698" priority="5797" operator="containsText" text="DESPLAZADA">
      <formula>NOT(ISERROR(SEARCH("DESPLAZADA",AI202)))</formula>
    </cfRule>
  </conditionalFormatting>
  <conditionalFormatting sqref="AE202:AF202">
    <cfRule type="containsText" dxfId="4697" priority="5792" operator="containsText" text="NO">
      <formula>NOT(ISERROR(SEARCH("NO",AE202)))</formula>
    </cfRule>
    <cfRule type="containsText" dxfId="4696" priority="5793" operator="containsText" text="SI">
      <formula>NOT(ISERROR(SEARCH("SI",AE202)))</formula>
    </cfRule>
  </conditionalFormatting>
  <conditionalFormatting sqref="BC202">
    <cfRule type="containsText" dxfId="4695" priority="5783" operator="containsText" text="SD">
      <formula>NOT(ISERROR(SEARCH("SD",BC202)))</formula>
    </cfRule>
    <cfRule type="containsText" dxfId="4694" priority="5784" operator="containsText" text="SI, NO CONTROLADA">
      <formula>NOT(ISERROR(SEARCH("SI, NO CONTROLADA",BC202)))</formula>
    </cfRule>
    <cfRule type="containsText" dxfId="4693" priority="5785" operator="containsText" text="SI, SIN MANEJO">
      <formula>NOT(ISERROR(SEARCH("SI, SIN MANEJO",BC202)))</formula>
    </cfRule>
    <cfRule type="containsText" dxfId="4692" priority="5786" operator="containsText" text="SI, CONTROLADA">
      <formula>NOT(ISERROR(SEARCH("SI, CONTROLADA",BC202)))</formula>
    </cfRule>
    <cfRule type="containsText" dxfId="4691" priority="5787" operator="containsText" text="NO">
      <formula>NOT(ISERROR(SEARCH("NO",BC202)))</formula>
    </cfRule>
  </conditionalFormatting>
  <conditionalFormatting sqref="AC202">
    <cfRule type="containsText" dxfId="4690" priority="5778" operator="containsText" text="SABE">
      <formula>NOT(ISERROR(SEARCH("SABE",AC202)))</formula>
    </cfRule>
    <cfRule type="containsText" dxfId="4689" priority="5779" operator="containsText" text="SECUNDARIA">
      <formula>NOT(ISERROR(SEARCH("SECUNDARIA",AC202)))</formula>
    </cfRule>
    <cfRule type="containsText" dxfId="4688" priority="5780" operator="containsText" text="PRIMARIA INCOMPLETA">
      <formula>NOT(ISERROR(SEARCH("PRIMARIA INCOMPLETA",AC202)))</formula>
    </cfRule>
    <cfRule type="cellIs" dxfId="4687" priority="5781" operator="equal">
      <formula>"ANALFABETA"</formula>
    </cfRule>
  </conditionalFormatting>
  <conditionalFormatting sqref="AL202:AR202">
    <cfRule type="cellIs" dxfId="4686" priority="5772" operator="equal">
      <formula>"SD"</formula>
    </cfRule>
    <cfRule type="cellIs" dxfId="4685" priority="5773" operator="equal">
      <formula>"NO"</formula>
    </cfRule>
    <cfRule type="cellIs" dxfId="4684" priority="5774" operator="equal">
      <formula>"SI"</formula>
    </cfRule>
  </conditionalFormatting>
  <conditionalFormatting sqref="AG202:AH202 AJ202">
    <cfRule type="cellIs" dxfId="4683" priority="5766" operator="equal">
      <formula>"SD"</formula>
    </cfRule>
    <cfRule type="cellIs" dxfId="4682" priority="5767" operator="equal">
      <formula>"NO"</formula>
    </cfRule>
    <cfRule type="cellIs" dxfId="4681" priority="5768" operator="equal">
      <formula>"SI"</formula>
    </cfRule>
  </conditionalFormatting>
  <conditionalFormatting sqref="AI202">
    <cfRule type="containsText" dxfId="4680" priority="5759" operator="containsText" text="HABITANTE DE CALLE">
      <formula>NOT(ISERROR(SEARCH("HABITANTE DE CALLE",AI202)))</formula>
    </cfRule>
    <cfRule type="containsText" dxfId="4679" priority="5762" operator="containsText" text="NINGUNO">
      <formula>NOT(ISERROR(SEARCH("NINGUNO",AI202)))</formula>
    </cfRule>
    <cfRule type="containsText" dxfId="4678" priority="5763" operator="containsText" text="MIGRATORIA">
      <formula>NOT(ISERROR(SEARCH("MIGRATORIA",AI202)))</formula>
    </cfRule>
    <cfRule type="containsText" dxfId="4677" priority="5764" operator="containsText" text="DISCAPACIDAD">
      <formula>NOT(ISERROR(SEARCH("DISCAPACIDAD",AI202)))</formula>
    </cfRule>
    <cfRule type="containsText" dxfId="4676" priority="5765" operator="containsText" text="DESPLAZADA">
      <formula>NOT(ISERROR(SEARCH("DESPLAZADA",AI202)))</formula>
    </cfRule>
  </conditionalFormatting>
  <conditionalFormatting sqref="AE202:AF202">
    <cfRule type="containsText" dxfId="4675" priority="5760" operator="containsText" text="NO">
      <formula>NOT(ISERROR(SEARCH("NO",AE202)))</formula>
    </cfRule>
    <cfRule type="containsText" dxfId="4674" priority="5761" operator="containsText" text="SI">
      <formula>NOT(ISERROR(SEARCH("SI",AE202)))</formula>
    </cfRule>
  </conditionalFormatting>
  <conditionalFormatting sqref="AV202">
    <cfRule type="cellIs" dxfId="4673" priority="5756" operator="equal">
      <formula>"SD"</formula>
    </cfRule>
    <cfRule type="cellIs" dxfId="4672" priority="5757" operator="equal">
      <formula>"NO"</formula>
    </cfRule>
    <cfRule type="cellIs" dxfId="4671" priority="5758" operator="equal">
      <formula>"SI"</formula>
    </cfRule>
  </conditionalFormatting>
  <conditionalFormatting sqref="AX202">
    <cfRule type="cellIs" dxfId="4670" priority="5753" operator="equal">
      <formula>"SD"</formula>
    </cfRule>
    <cfRule type="cellIs" dxfId="4669" priority="5754" operator="equal">
      <formula>"NO"</formula>
    </cfRule>
    <cfRule type="cellIs" dxfId="4668" priority="5755" operator="equal">
      <formula>"SI"</formula>
    </cfRule>
  </conditionalFormatting>
  <conditionalFormatting sqref="BK202:BM202">
    <cfRule type="cellIs" dxfId="4667" priority="5750" operator="equal">
      <formula>"SD"</formula>
    </cfRule>
    <cfRule type="cellIs" dxfId="4666" priority="5751" operator="equal">
      <formula>"NO"</formula>
    </cfRule>
    <cfRule type="cellIs" dxfId="4665" priority="5752" operator="equal">
      <formula>"SI"</formula>
    </cfRule>
  </conditionalFormatting>
  <conditionalFormatting sqref="AY202:BA202">
    <cfRule type="cellIs" dxfId="4664" priority="5747" operator="equal">
      <formula>"SD"</formula>
    </cfRule>
    <cfRule type="cellIs" dxfId="4663" priority="5748" operator="equal">
      <formula>"NO"</formula>
    </cfRule>
    <cfRule type="cellIs" dxfId="4662" priority="5749" operator="equal">
      <formula>"SI"</formula>
    </cfRule>
  </conditionalFormatting>
  <conditionalFormatting sqref="BD202:BI202 BB202">
    <cfRule type="cellIs" dxfId="4661" priority="5744" operator="equal">
      <formula>"SD"</formula>
    </cfRule>
    <cfRule type="cellIs" dxfId="4660" priority="5745" operator="equal">
      <formula>"NO"</formula>
    </cfRule>
    <cfRule type="cellIs" dxfId="4659" priority="5746" operator="equal">
      <formula>"SI"</formula>
    </cfRule>
  </conditionalFormatting>
  <conditionalFormatting sqref="BC202">
    <cfRule type="containsText" dxfId="4658" priority="5739" operator="containsText" text="SD">
      <formula>NOT(ISERROR(SEARCH("SD",BC202)))</formula>
    </cfRule>
    <cfRule type="containsText" dxfId="4657" priority="5740" operator="containsText" text="SI, NO CONTROLADA">
      <formula>NOT(ISERROR(SEARCH("SI, NO CONTROLADA",BC202)))</formula>
    </cfRule>
    <cfRule type="containsText" dxfId="4656" priority="5741" operator="containsText" text="SI, SIN MANEJO">
      <formula>NOT(ISERROR(SEARCH("SI, SIN MANEJO",BC202)))</formula>
    </cfRule>
    <cfRule type="containsText" dxfId="4655" priority="5742" operator="containsText" text="SI, CONTROLADA">
      <formula>NOT(ISERROR(SEARCH("SI, CONTROLADA",BC202)))</formula>
    </cfRule>
    <cfRule type="containsText" dxfId="4654" priority="5743" operator="containsText" text="NO">
      <formula>NOT(ISERROR(SEARCH("NO",BC202)))</formula>
    </cfRule>
  </conditionalFormatting>
  <conditionalFormatting sqref="BE202">
    <cfRule type="expression" dxfId="4653" priority="5738">
      <formula>IF(AND(FA202&gt;=126,FC202&lt;24),1,0)</formula>
    </cfRule>
  </conditionalFormatting>
  <conditionalFormatting sqref="HV202 HT202">
    <cfRule type="containsText" dxfId="4652" priority="5734" operator="containsText" text="NO SE FORMULA">
      <formula>NOT(ISERROR(SEARCH("NO SE FORMULA",HT202)))</formula>
    </cfRule>
    <cfRule type="containsText" dxfId="4651" priority="5735" operator="containsText" text="OTRO">
      <formula>NOT(ISERROR(SEARCH("OTRO",HT202)))</formula>
    </cfRule>
    <cfRule type="containsText" dxfId="4650" priority="5736" operator="containsText" text="IRREGULAR">
      <formula>NOT(ISERROR(SEARCH("IRREGULAR",HT202)))</formula>
    </cfRule>
    <cfRule type="containsText" dxfId="4649" priority="5737" operator="containsText" text="ADECUADO">
      <formula>NOT(ISERROR(SEARCH("ADECUADO",HT202)))</formula>
    </cfRule>
  </conditionalFormatting>
  <conditionalFormatting sqref="HV202">
    <cfRule type="containsText" dxfId="4648" priority="5730" operator="containsText" text="NO SE FORMULA">
      <formula>NOT(ISERROR(SEARCH("NO SE FORMULA",HV202)))</formula>
    </cfRule>
    <cfRule type="containsText" dxfId="4647" priority="5731" operator="containsText" text="OTRO">
      <formula>NOT(ISERROR(SEARCH("OTRO",HV202)))</formula>
    </cfRule>
    <cfRule type="containsText" dxfId="4646" priority="5732" operator="containsText" text="IRREGULAR">
      <formula>NOT(ISERROR(SEARCH("IRREGULAR",HV202)))</formula>
    </cfRule>
    <cfRule type="containsText" dxfId="4645" priority="5733" operator="containsText" text="ADECUADO">
      <formula>NOT(ISERROR(SEARCH("ADECUADO",HV202)))</formula>
    </cfRule>
  </conditionalFormatting>
  <conditionalFormatting sqref="L203">
    <cfRule type="containsText" dxfId="4644" priority="5721" operator="containsText" text="Empleo informal">
      <formula>NOT(ISERROR(SEARCH("Empleo informal",L203)))</formula>
    </cfRule>
    <cfRule type="containsText" dxfId="4643" priority="5722" operator="containsText" text="Empleada formalmente con riesgo a tóxicos">
      <formula>NOT(ISERROR(SEARCH("Empleada formalmente con riesgo a tóxicos",L203)))</formula>
    </cfRule>
    <cfRule type="containsText" dxfId="4642" priority="5723" operator="containsText" text="Empleada formalmente con riesgo de accidente laboral">
      <formula>NOT(ISERROR(SEARCH("Empleada formalmente con riesgo de accidente laboral",L203)))</formula>
    </cfRule>
    <cfRule type="containsText" dxfId="4641" priority="5724" operator="containsText" text="Empleada formalmente por jornada laboral extensa">
      <formula>NOT(ISERROR(SEARCH("Empleada formalmente por jornada laboral extensa",L203)))</formula>
    </cfRule>
    <cfRule type="containsText" dxfId="4640" priority="5725" operator="containsText" text="Empleada formalmente sin riesgo">
      <formula>NOT(ISERROR(SEARCH("Empleada formalmente sin riesgo",L203)))</formula>
    </cfRule>
    <cfRule type="containsText" dxfId="4639" priority="5726" operator="containsText" text="Actualmente desempleada">
      <formula>NOT(ISERROR(SEARCH("Actualmente desempleada",L203)))</formula>
    </cfRule>
    <cfRule type="containsText" dxfId="4638" priority="5727" operator="containsText" text="Hogar sin apoyo">
      <formula>NOT(ISERROR(SEARCH("Hogar sin apoyo",L203)))</formula>
    </cfRule>
    <cfRule type="containsText" dxfId="4637" priority="5728" operator="containsText" text="Empleada formalmente sin riesgo">
      <formula>NOT(ISERROR(SEARCH("Empleada formalmente sin riesgo",L203)))</formula>
    </cfRule>
    <cfRule type="containsText" dxfId="4636" priority="5729" operator="containsText" text="Hogar Con apoyo">
      <formula>NOT(ISERROR(SEARCH("Hogar Con apoyo",L203)))</formula>
    </cfRule>
  </conditionalFormatting>
  <conditionalFormatting sqref="L203">
    <cfRule type="containsText" dxfId="4635" priority="5712" operator="containsText" text="Empleo informal">
      <formula>NOT(ISERROR(SEARCH("Empleo informal",L203)))</formula>
    </cfRule>
    <cfRule type="containsText" dxfId="4634" priority="5713" operator="containsText" text="Empleada formalmente con riesgo a tóxicos">
      <formula>NOT(ISERROR(SEARCH("Empleada formalmente con riesgo a tóxicos",L203)))</formula>
    </cfRule>
    <cfRule type="containsText" dxfId="4633" priority="5714" operator="containsText" text="Empleada formalmente con riesgo de accidente laboral">
      <formula>NOT(ISERROR(SEARCH("Empleada formalmente con riesgo de accidente laboral",L203)))</formula>
    </cfRule>
    <cfRule type="containsText" dxfId="4632" priority="5715" operator="containsText" text="Empleada formalmente por jornada laboral extensa">
      <formula>NOT(ISERROR(SEARCH("Empleada formalmente por jornada laboral extensa",L203)))</formula>
    </cfRule>
    <cfRule type="containsText" dxfId="4631" priority="5716" operator="containsText" text="Empleada formalmente sin riesgo">
      <formula>NOT(ISERROR(SEARCH("Empleada formalmente sin riesgo",L203)))</formula>
    </cfRule>
    <cfRule type="containsText" dxfId="4630" priority="5717" operator="containsText" text="Actualmente desempleada">
      <formula>NOT(ISERROR(SEARCH("Actualmente desempleada",L203)))</formula>
    </cfRule>
    <cfRule type="containsText" dxfId="4629" priority="5718" operator="containsText" text="Hogar sin apoyo">
      <formula>NOT(ISERROR(SEARCH("Hogar sin apoyo",L203)))</formula>
    </cfRule>
    <cfRule type="containsText" dxfId="4628" priority="5719" operator="containsText" text="Empleada formalmente sin riesgo">
      <formula>NOT(ISERROR(SEARCH("Empleada formalmente sin riesgo",L203)))</formula>
    </cfRule>
    <cfRule type="containsText" dxfId="4627" priority="5720" operator="containsText" text="Hogar Con apoyo">
      <formula>NOT(ISERROR(SEARCH("Hogar Con apoyo",L203)))</formula>
    </cfRule>
  </conditionalFormatting>
  <conditionalFormatting sqref="Q203">
    <cfRule type="containsText" dxfId="4626" priority="5704" operator="containsText" text="SE TRASLADO DE EPS">
      <formula>NOT(ISERROR(SEARCH("SE TRASLADO DE EPS",Q203)))</formula>
    </cfRule>
    <cfRule type="containsText" dxfId="4625" priority="5707" operator="containsText" text="NOVEDAD">
      <formula>NOT(ISERROR(SEARCH("NOVEDAD",Q203)))</formula>
    </cfRule>
    <cfRule type="containsText" dxfId="4624" priority="5708" operator="containsText" text="IDENTIDAD">
      <formula>NOT(ISERROR(SEARCH("IDENTIDAD",Q203)))</formula>
    </cfRule>
    <cfRule type="containsText" dxfId="4623" priority="5709" operator="containsText" text="CPN">
      <formula>NOT(ISERROR(SEARCH("CPN",Q203)))</formula>
    </cfRule>
    <cfRule type="containsText" dxfId="4622" priority="5710" operator="containsText" text="VIENE">
      <formula>NOT(ISERROR(SEARCH("VIENE",Q203)))</formula>
    </cfRule>
    <cfRule type="cellIs" dxfId="4621" priority="5711" operator="equal">
      <formula>"TRAMITE DE PORTABILIDAD"</formula>
    </cfRule>
  </conditionalFormatting>
  <conditionalFormatting sqref="Q203">
    <cfRule type="containsText" dxfId="4620" priority="5705" operator="containsText" text="INMIGRANTE VENEZOLANA">
      <formula>NOT(ISERROR(SEARCH("INMIGRANTE VENEZOLANA",Q203)))</formula>
    </cfRule>
    <cfRule type="containsText" dxfId="4619" priority="5706" operator="containsText" text="SIN AFILIACIÓN A EPS">
      <formula>NOT(ISERROR(SEARCH("SIN AFILIACIÓN A EPS",Q203)))</formula>
    </cfRule>
  </conditionalFormatting>
  <conditionalFormatting sqref="AJ203 AG203:AH203 AL203:AR203">
    <cfRule type="cellIs" dxfId="4618" priority="5701" operator="equal">
      <formula>"SD"</formula>
    </cfRule>
    <cfRule type="cellIs" dxfId="4617" priority="5702" operator="equal">
      <formula>"NO"</formula>
    </cfRule>
    <cfRule type="cellIs" dxfId="4616" priority="5703" operator="equal">
      <formula>"SI"</formula>
    </cfRule>
  </conditionalFormatting>
  <conditionalFormatting sqref="AI203">
    <cfRule type="containsText" dxfId="4615" priority="5688" operator="containsText" text="HABITANTE DE CALLE">
      <formula>NOT(ISERROR(SEARCH("HABITANTE DE CALLE",AI203)))</formula>
    </cfRule>
    <cfRule type="containsText" dxfId="4614" priority="5695" operator="containsText" text="NINGUNO">
      <formula>NOT(ISERROR(SEARCH("NINGUNO",AI203)))</formula>
    </cfRule>
    <cfRule type="containsText" dxfId="4613" priority="5696" operator="containsText" text="MIGRATORIA">
      <formula>NOT(ISERROR(SEARCH("MIGRATORIA",AI203)))</formula>
    </cfRule>
    <cfRule type="containsText" dxfId="4612" priority="5697" operator="containsText" text="DISCAPACIDAD">
      <formula>NOT(ISERROR(SEARCH("DISCAPACIDAD",AI203)))</formula>
    </cfRule>
    <cfRule type="containsText" dxfId="4611" priority="5698" operator="containsText" text="DESPLAZADA">
      <formula>NOT(ISERROR(SEARCH("DESPLAZADA",AI203)))</formula>
    </cfRule>
  </conditionalFormatting>
  <conditionalFormatting sqref="AE203:AF203">
    <cfRule type="containsText" dxfId="4610" priority="5693" operator="containsText" text="NO">
      <formula>NOT(ISERROR(SEARCH("NO",AE203)))</formula>
    </cfRule>
    <cfRule type="containsText" dxfId="4609" priority="5694" operator="containsText" text="SI">
      <formula>NOT(ISERROR(SEARCH("SI",AE203)))</formula>
    </cfRule>
  </conditionalFormatting>
  <conditionalFormatting sqref="AL203:AR203">
    <cfRule type="cellIs" dxfId="4608" priority="5682" operator="equal">
      <formula>"SD"</formula>
    </cfRule>
    <cfRule type="cellIs" dxfId="4607" priority="5683" operator="equal">
      <formula>"NO"</formula>
    </cfRule>
    <cfRule type="cellIs" dxfId="4606" priority="5684" operator="equal">
      <formula>"SI"</formula>
    </cfRule>
  </conditionalFormatting>
  <conditionalFormatting sqref="AG203:AH203 AJ203">
    <cfRule type="cellIs" dxfId="4605" priority="5676" operator="equal">
      <formula>"SD"</formula>
    </cfRule>
    <cfRule type="cellIs" dxfId="4604" priority="5677" operator="equal">
      <formula>"NO"</formula>
    </cfRule>
    <cfRule type="cellIs" dxfId="4603" priority="5678" operator="equal">
      <formula>"SI"</formula>
    </cfRule>
  </conditionalFormatting>
  <conditionalFormatting sqref="AI203">
    <cfRule type="containsText" dxfId="4602" priority="5669" operator="containsText" text="HABITANTE DE CALLE">
      <formula>NOT(ISERROR(SEARCH("HABITANTE DE CALLE",AI203)))</formula>
    </cfRule>
    <cfRule type="containsText" dxfId="4601" priority="5672" operator="containsText" text="NINGUNO">
      <formula>NOT(ISERROR(SEARCH("NINGUNO",AI203)))</formula>
    </cfRule>
    <cfRule type="containsText" dxfId="4600" priority="5673" operator="containsText" text="MIGRATORIA">
      <formula>NOT(ISERROR(SEARCH("MIGRATORIA",AI203)))</formula>
    </cfRule>
    <cfRule type="containsText" dxfId="4599" priority="5674" operator="containsText" text="DISCAPACIDAD">
      <formula>NOT(ISERROR(SEARCH("DISCAPACIDAD",AI203)))</formula>
    </cfRule>
    <cfRule type="containsText" dxfId="4598" priority="5675" operator="containsText" text="DESPLAZADA">
      <formula>NOT(ISERROR(SEARCH("DESPLAZADA",AI203)))</formula>
    </cfRule>
  </conditionalFormatting>
  <conditionalFormatting sqref="AE203:AF203">
    <cfRule type="containsText" dxfId="4597" priority="5670" operator="containsText" text="NO">
      <formula>NOT(ISERROR(SEARCH("NO",AE203)))</formula>
    </cfRule>
    <cfRule type="containsText" dxfId="4596" priority="5671" operator="containsText" text="SI">
      <formula>NOT(ISERROR(SEARCH("SI",AE203)))</formula>
    </cfRule>
  </conditionalFormatting>
  <conditionalFormatting sqref="AV203">
    <cfRule type="cellIs" dxfId="4595" priority="5666" operator="equal">
      <formula>"SD"</formula>
    </cfRule>
    <cfRule type="cellIs" dxfId="4594" priority="5667" operator="equal">
      <formula>"NO"</formula>
    </cfRule>
    <cfRule type="cellIs" dxfId="4593" priority="5668" operator="equal">
      <formula>"SI"</formula>
    </cfRule>
  </conditionalFormatting>
  <conditionalFormatting sqref="AV203">
    <cfRule type="cellIs" dxfId="4592" priority="5663" operator="equal">
      <formula>"SD"</formula>
    </cfRule>
    <cfRule type="cellIs" dxfId="4591" priority="5664" operator="equal">
      <formula>"NO"</formula>
    </cfRule>
    <cfRule type="cellIs" dxfId="4590" priority="5665" operator="equal">
      <formula>"SI"</formula>
    </cfRule>
  </conditionalFormatting>
  <conditionalFormatting sqref="BD203:BI203 AX203:BB203 BK203:BM203">
    <cfRule type="cellIs" dxfId="4589" priority="5660" operator="equal">
      <formula>"SD"</formula>
    </cfRule>
    <cfRule type="cellIs" dxfId="4588" priority="5661" operator="equal">
      <formula>"NO"</formula>
    </cfRule>
    <cfRule type="cellIs" dxfId="4587" priority="5662" operator="equal">
      <formula>"SI"</formula>
    </cfRule>
  </conditionalFormatting>
  <conditionalFormatting sqref="BC203">
    <cfRule type="containsText" dxfId="4586" priority="5655" operator="containsText" text="SD">
      <formula>NOT(ISERROR(SEARCH("SD",BC203)))</formula>
    </cfRule>
    <cfRule type="containsText" dxfId="4585" priority="5656" operator="containsText" text="SI, NO CONTROLADA">
      <formula>NOT(ISERROR(SEARCH("SI, NO CONTROLADA",BC203)))</formula>
    </cfRule>
    <cfRule type="containsText" dxfId="4584" priority="5657" operator="containsText" text="SI, SIN MANEJO">
      <formula>NOT(ISERROR(SEARCH("SI, SIN MANEJO",BC203)))</formula>
    </cfRule>
    <cfRule type="containsText" dxfId="4583" priority="5658" operator="containsText" text="SI, CONTROLADA">
      <formula>NOT(ISERROR(SEARCH("SI, CONTROLADA",BC203)))</formula>
    </cfRule>
    <cfRule type="containsText" dxfId="4582" priority="5659" operator="containsText" text="NO">
      <formula>NOT(ISERROR(SEARCH("NO",BC203)))</formula>
    </cfRule>
  </conditionalFormatting>
  <conditionalFormatting sqref="AX203">
    <cfRule type="cellIs" dxfId="4581" priority="5652" operator="equal">
      <formula>"SD"</formula>
    </cfRule>
    <cfRule type="cellIs" dxfId="4580" priority="5653" operator="equal">
      <formula>"NO"</formula>
    </cfRule>
    <cfRule type="cellIs" dxfId="4579" priority="5654" operator="equal">
      <formula>"SI"</formula>
    </cfRule>
  </conditionalFormatting>
  <conditionalFormatting sqref="BK203:BM203">
    <cfRule type="cellIs" dxfId="4578" priority="5649" operator="equal">
      <formula>"SD"</formula>
    </cfRule>
    <cfRule type="cellIs" dxfId="4577" priority="5650" operator="equal">
      <formula>"NO"</formula>
    </cfRule>
    <cfRule type="cellIs" dxfId="4576" priority="5651" operator="equal">
      <formula>"SI"</formula>
    </cfRule>
  </conditionalFormatting>
  <conditionalFormatting sqref="AY203:BA203">
    <cfRule type="cellIs" dxfId="4575" priority="5646" operator="equal">
      <formula>"SD"</formula>
    </cfRule>
    <cfRule type="cellIs" dxfId="4574" priority="5647" operator="equal">
      <formula>"NO"</formula>
    </cfRule>
    <cfRule type="cellIs" dxfId="4573" priority="5648" operator="equal">
      <formula>"SI"</formula>
    </cfRule>
  </conditionalFormatting>
  <conditionalFormatting sqref="BD203:BI203 BB203">
    <cfRule type="cellIs" dxfId="4572" priority="5643" operator="equal">
      <formula>"SD"</formula>
    </cfRule>
    <cfRule type="cellIs" dxfId="4571" priority="5644" operator="equal">
      <formula>"NO"</formula>
    </cfRule>
    <cfRule type="cellIs" dxfId="4570" priority="5645" operator="equal">
      <formula>"SI"</formula>
    </cfRule>
  </conditionalFormatting>
  <conditionalFormatting sqref="BC203">
    <cfRule type="containsText" dxfId="4569" priority="5638" operator="containsText" text="SD">
      <formula>NOT(ISERROR(SEARCH("SD",BC203)))</formula>
    </cfRule>
    <cfRule type="containsText" dxfId="4568" priority="5639" operator="containsText" text="SI, NO CONTROLADA">
      <formula>NOT(ISERROR(SEARCH("SI, NO CONTROLADA",BC203)))</formula>
    </cfRule>
    <cfRule type="containsText" dxfId="4567" priority="5640" operator="containsText" text="SI, SIN MANEJO">
      <formula>NOT(ISERROR(SEARCH("SI, SIN MANEJO",BC203)))</formula>
    </cfRule>
    <cfRule type="containsText" dxfId="4566" priority="5641" operator="containsText" text="SI, CONTROLADA">
      <formula>NOT(ISERROR(SEARCH("SI, CONTROLADA",BC203)))</formula>
    </cfRule>
    <cfRule type="containsText" dxfId="4565" priority="5642" operator="containsText" text="NO">
      <formula>NOT(ISERROR(SEARCH("NO",BC203)))</formula>
    </cfRule>
  </conditionalFormatting>
  <conditionalFormatting sqref="BE203">
    <cfRule type="expression" dxfId="4564" priority="5637">
      <formula>IF(AND(FA203&gt;=126,FC203&lt;24),1,0)</formula>
    </cfRule>
  </conditionalFormatting>
  <conditionalFormatting sqref="L204">
    <cfRule type="containsText" dxfId="4563" priority="5628" operator="containsText" text="Empleo informal">
      <formula>NOT(ISERROR(SEARCH("Empleo informal",L204)))</formula>
    </cfRule>
    <cfRule type="containsText" dxfId="4562" priority="5629" operator="containsText" text="Empleada formalmente con riesgo a tóxicos">
      <formula>NOT(ISERROR(SEARCH("Empleada formalmente con riesgo a tóxicos",L204)))</formula>
    </cfRule>
    <cfRule type="containsText" dxfId="4561" priority="5630" operator="containsText" text="Empleada formalmente con riesgo de accidente laboral">
      <formula>NOT(ISERROR(SEARCH("Empleada formalmente con riesgo de accidente laboral",L204)))</formula>
    </cfRule>
    <cfRule type="containsText" dxfId="4560" priority="5631" operator="containsText" text="Empleada formalmente por jornada laboral extensa">
      <formula>NOT(ISERROR(SEARCH("Empleada formalmente por jornada laboral extensa",L204)))</formula>
    </cfRule>
    <cfRule type="containsText" dxfId="4559" priority="5632" operator="containsText" text="Empleada formalmente sin riesgo">
      <formula>NOT(ISERROR(SEARCH("Empleada formalmente sin riesgo",L204)))</formula>
    </cfRule>
    <cfRule type="containsText" dxfId="4558" priority="5633" operator="containsText" text="Actualmente desempleada">
      <formula>NOT(ISERROR(SEARCH("Actualmente desempleada",L204)))</formula>
    </cfRule>
    <cfRule type="containsText" dxfId="4557" priority="5634" operator="containsText" text="Hogar sin apoyo">
      <formula>NOT(ISERROR(SEARCH("Hogar sin apoyo",L204)))</formula>
    </cfRule>
    <cfRule type="containsText" dxfId="4556" priority="5635" operator="containsText" text="Empleada formalmente sin riesgo">
      <formula>NOT(ISERROR(SEARCH("Empleada formalmente sin riesgo",L204)))</formula>
    </cfRule>
    <cfRule type="containsText" dxfId="4555" priority="5636" operator="containsText" text="Hogar Con apoyo">
      <formula>NOT(ISERROR(SEARCH("Hogar Con apoyo",L204)))</formula>
    </cfRule>
  </conditionalFormatting>
  <conditionalFormatting sqref="L204">
    <cfRule type="containsText" dxfId="4554" priority="5619" operator="containsText" text="Empleo informal">
      <formula>NOT(ISERROR(SEARCH("Empleo informal",L204)))</formula>
    </cfRule>
    <cfRule type="containsText" dxfId="4553" priority="5620" operator="containsText" text="Empleada formalmente con riesgo a tóxicos">
      <formula>NOT(ISERROR(SEARCH("Empleada formalmente con riesgo a tóxicos",L204)))</formula>
    </cfRule>
    <cfRule type="containsText" dxfId="4552" priority="5621" operator="containsText" text="Empleada formalmente con riesgo de accidente laboral">
      <formula>NOT(ISERROR(SEARCH("Empleada formalmente con riesgo de accidente laboral",L204)))</formula>
    </cfRule>
    <cfRule type="containsText" dxfId="4551" priority="5622" operator="containsText" text="Empleada formalmente por jornada laboral extensa">
      <formula>NOT(ISERROR(SEARCH("Empleada formalmente por jornada laboral extensa",L204)))</formula>
    </cfRule>
    <cfRule type="containsText" dxfId="4550" priority="5623" operator="containsText" text="Empleada formalmente sin riesgo">
      <formula>NOT(ISERROR(SEARCH("Empleada formalmente sin riesgo",L204)))</formula>
    </cfRule>
    <cfRule type="containsText" dxfId="4549" priority="5624" operator="containsText" text="Actualmente desempleada">
      <formula>NOT(ISERROR(SEARCH("Actualmente desempleada",L204)))</formula>
    </cfRule>
    <cfRule type="containsText" dxfId="4548" priority="5625" operator="containsText" text="Hogar sin apoyo">
      <formula>NOT(ISERROR(SEARCH("Hogar sin apoyo",L204)))</formula>
    </cfRule>
    <cfRule type="containsText" dxfId="4547" priority="5626" operator="containsText" text="Empleada formalmente sin riesgo">
      <formula>NOT(ISERROR(SEARCH("Empleada formalmente sin riesgo",L204)))</formula>
    </cfRule>
    <cfRule type="containsText" dxfId="4546" priority="5627" operator="containsText" text="Hogar Con apoyo">
      <formula>NOT(ISERROR(SEARCH("Hogar Con apoyo",L204)))</formula>
    </cfRule>
  </conditionalFormatting>
  <conditionalFormatting sqref="CB204:CC204 CE204">
    <cfRule type="cellIs" dxfId="4545" priority="5616" operator="equal">
      <formula>"SD"</formula>
    </cfRule>
    <cfRule type="cellIs" dxfId="4544" priority="5617" operator="equal">
      <formula>"NO"</formula>
    </cfRule>
    <cfRule type="cellIs" dxfId="4543" priority="5618" operator="equal">
      <formula>"SI"</formula>
    </cfRule>
  </conditionalFormatting>
  <conditionalFormatting sqref="CD204">
    <cfRule type="cellIs" dxfId="4542" priority="5611" operator="equal">
      <formula>"SD"</formula>
    </cfRule>
    <cfRule type="cellIs" dxfId="4541" priority="5612" operator="equal">
      <formula>"OBLICUA"</formula>
    </cfRule>
    <cfRule type="cellIs" dxfId="4540" priority="5614" operator="equal">
      <formula>"PODÁLICA"</formula>
    </cfRule>
    <cfRule type="cellIs" dxfId="4539" priority="5615" operator="equal">
      <formula>"CEFÁLICA"</formula>
    </cfRule>
  </conditionalFormatting>
  <conditionalFormatting sqref="CD205">
    <cfRule type="cellIs" dxfId="4538" priority="5603" operator="equal">
      <formula>"SD"</formula>
    </cfRule>
    <cfRule type="cellIs" dxfId="4537" priority="5604" operator="equal">
      <formula>"OBLICUA"</formula>
    </cfRule>
    <cfRule type="cellIs" dxfId="4536" priority="5606" operator="equal">
      <formula>"PODÁLICA"</formula>
    </cfRule>
    <cfRule type="cellIs" dxfId="4535" priority="5607" operator="equal">
      <formula>"CEFÁLICA"</formula>
    </cfRule>
  </conditionalFormatting>
  <conditionalFormatting sqref="CB205:CC205">
    <cfRule type="cellIs" dxfId="4534" priority="5600" operator="equal">
      <formula>"SD"</formula>
    </cfRule>
    <cfRule type="cellIs" dxfId="4533" priority="5601" operator="equal">
      <formula>"NO"</formula>
    </cfRule>
    <cfRule type="cellIs" dxfId="4532" priority="5602" operator="equal">
      <formula>"SI"</formula>
    </cfRule>
  </conditionalFormatting>
  <conditionalFormatting sqref="CE205">
    <cfRule type="cellIs" dxfId="4531" priority="5597" operator="equal">
      <formula>"SD"</formula>
    </cfRule>
    <cfRule type="cellIs" dxfId="4530" priority="5598" operator="equal">
      <formula>"NO"</formula>
    </cfRule>
    <cfRule type="cellIs" dxfId="4529" priority="5599" operator="equal">
      <formula>"SI"</formula>
    </cfRule>
  </conditionalFormatting>
  <conditionalFormatting sqref="L205">
    <cfRule type="containsText" dxfId="4528" priority="5588" operator="containsText" text="Empleo informal">
      <formula>NOT(ISERROR(SEARCH("Empleo informal",L205)))</formula>
    </cfRule>
    <cfRule type="containsText" dxfId="4527" priority="5589" operator="containsText" text="Empleada formalmente con riesgo a tóxicos">
      <formula>NOT(ISERROR(SEARCH("Empleada formalmente con riesgo a tóxicos",L205)))</formula>
    </cfRule>
    <cfRule type="containsText" dxfId="4526" priority="5590" operator="containsText" text="Empleada formalmente con riesgo de accidente laboral">
      <formula>NOT(ISERROR(SEARCH("Empleada formalmente con riesgo de accidente laboral",L205)))</formula>
    </cfRule>
    <cfRule type="containsText" dxfId="4525" priority="5591" operator="containsText" text="Empleada formalmente por jornada laboral extensa">
      <formula>NOT(ISERROR(SEARCH("Empleada formalmente por jornada laboral extensa",L205)))</formula>
    </cfRule>
    <cfRule type="containsText" dxfId="4524" priority="5592" operator="containsText" text="Empleada formalmente sin riesgo">
      <formula>NOT(ISERROR(SEARCH("Empleada formalmente sin riesgo",L205)))</formula>
    </cfRule>
    <cfRule type="containsText" dxfId="4523" priority="5593" operator="containsText" text="Actualmente desempleada">
      <formula>NOT(ISERROR(SEARCH("Actualmente desempleada",L205)))</formula>
    </cfRule>
    <cfRule type="containsText" dxfId="4522" priority="5594" operator="containsText" text="Hogar sin apoyo">
      <formula>NOT(ISERROR(SEARCH("Hogar sin apoyo",L205)))</formula>
    </cfRule>
    <cfRule type="containsText" dxfId="4521" priority="5595" operator="containsText" text="Empleada formalmente sin riesgo">
      <formula>NOT(ISERROR(SEARCH("Empleada formalmente sin riesgo",L205)))</formula>
    </cfRule>
    <cfRule type="containsText" dxfId="4520" priority="5596" operator="containsText" text="Hogar Con apoyo">
      <formula>NOT(ISERROR(SEARCH("Hogar Con apoyo",L205)))</formula>
    </cfRule>
  </conditionalFormatting>
  <conditionalFormatting sqref="L205">
    <cfRule type="containsText" dxfId="4519" priority="5579" operator="containsText" text="Empleo informal">
      <formula>NOT(ISERROR(SEARCH("Empleo informal",L205)))</formula>
    </cfRule>
    <cfRule type="containsText" dxfId="4518" priority="5580" operator="containsText" text="Empleada formalmente con riesgo a tóxicos">
      <formula>NOT(ISERROR(SEARCH("Empleada formalmente con riesgo a tóxicos",L205)))</formula>
    </cfRule>
    <cfRule type="containsText" dxfId="4517" priority="5581" operator="containsText" text="Empleada formalmente con riesgo de accidente laboral">
      <formula>NOT(ISERROR(SEARCH("Empleada formalmente con riesgo de accidente laboral",L205)))</formula>
    </cfRule>
    <cfRule type="containsText" dxfId="4516" priority="5582" operator="containsText" text="Empleada formalmente por jornada laboral extensa">
      <formula>NOT(ISERROR(SEARCH("Empleada formalmente por jornada laboral extensa",L205)))</formula>
    </cfRule>
    <cfRule type="containsText" dxfId="4515" priority="5583" operator="containsText" text="Empleada formalmente sin riesgo">
      <formula>NOT(ISERROR(SEARCH("Empleada formalmente sin riesgo",L205)))</formula>
    </cfRule>
    <cfRule type="containsText" dxfId="4514" priority="5584" operator="containsText" text="Actualmente desempleada">
      <formula>NOT(ISERROR(SEARCH("Actualmente desempleada",L205)))</formula>
    </cfRule>
    <cfRule type="containsText" dxfId="4513" priority="5585" operator="containsText" text="Hogar sin apoyo">
      <formula>NOT(ISERROR(SEARCH("Hogar sin apoyo",L205)))</formula>
    </cfRule>
    <cfRule type="containsText" dxfId="4512" priority="5586" operator="containsText" text="Empleada formalmente sin riesgo">
      <formula>NOT(ISERROR(SEARCH("Empleada formalmente sin riesgo",L205)))</formula>
    </cfRule>
    <cfRule type="containsText" dxfId="4511" priority="5587" operator="containsText" text="Hogar Con apoyo">
      <formula>NOT(ISERROR(SEARCH("Hogar Con apoyo",L205)))</formula>
    </cfRule>
  </conditionalFormatting>
  <conditionalFormatting sqref="CB206:CC206">
    <cfRule type="cellIs" dxfId="4510" priority="5576" operator="equal">
      <formula>"SD"</formula>
    </cfRule>
    <cfRule type="cellIs" dxfId="4509" priority="5577" operator="equal">
      <formula>"NO"</formula>
    </cfRule>
    <cfRule type="cellIs" dxfId="4508" priority="5578" operator="equal">
      <formula>"SI"</formula>
    </cfRule>
  </conditionalFormatting>
  <conditionalFormatting sqref="CE206">
    <cfRule type="cellIs" dxfId="4507" priority="5573" operator="equal">
      <formula>"SD"</formula>
    </cfRule>
    <cfRule type="cellIs" dxfId="4506" priority="5574" operator="equal">
      <formula>"NO"</formula>
    </cfRule>
    <cfRule type="cellIs" dxfId="4505" priority="5575" operator="equal">
      <formula>"SI"</formula>
    </cfRule>
  </conditionalFormatting>
  <conditionalFormatting sqref="Q205">
    <cfRule type="containsText" dxfId="4504" priority="5565" operator="containsText" text="SE TRASLADO DE EPS">
      <formula>NOT(ISERROR(SEARCH("SE TRASLADO DE EPS",Q205)))</formula>
    </cfRule>
    <cfRule type="containsText" dxfId="4503" priority="5568" operator="containsText" text="NOVEDAD">
      <formula>NOT(ISERROR(SEARCH("NOVEDAD",Q205)))</formula>
    </cfRule>
    <cfRule type="containsText" dxfId="4502" priority="5569" operator="containsText" text="IDENTIDAD">
      <formula>NOT(ISERROR(SEARCH("IDENTIDAD",Q205)))</formula>
    </cfRule>
    <cfRule type="containsText" dxfId="4501" priority="5570" operator="containsText" text="CPN">
      <formula>NOT(ISERROR(SEARCH("CPN",Q205)))</formula>
    </cfRule>
    <cfRule type="containsText" dxfId="4500" priority="5571" operator="containsText" text="VIENE">
      <formula>NOT(ISERROR(SEARCH("VIENE",Q205)))</formula>
    </cfRule>
    <cfRule type="cellIs" dxfId="4499" priority="5572" operator="equal">
      <formula>"TRAMITE DE PORTABILIDAD"</formula>
    </cfRule>
  </conditionalFormatting>
  <conditionalFormatting sqref="Q205">
    <cfRule type="containsText" dxfId="4498" priority="5566" operator="containsText" text="INMIGRANTE VENEZOLANA">
      <formula>NOT(ISERROR(SEARCH("INMIGRANTE VENEZOLANA",Q205)))</formula>
    </cfRule>
    <cfRule type="containsText" dxfId="4497" priority="5567" operator="containsText" text="SIN AFILIACIÓN A EPS">
      <formula>NOT(ISERROR(SEARCH("SIN AFILIACIÓN A EPS",Q205)))</formula>
    </cfRule>
  </conditionalFormatting>
  <conditionalFormatting sqref="Q206">
    <cfRule type="containsText" dxfId="4496" priority="5557" operator="containsText" text="SE TRASLADO DE EPS">
      <formula>NOT(ISERROR(SEARCH("SE TRASLADO DE EPS",Q206)))</formula>
    </cfRule>
    <cfRule type="containsText" dxfId="4495" priority="5560" operator="containsText" text="NOVEDAD">
      <formula>NOT(ISERROR(SEARCH("NOVEDAD",Q206)))</formula>
    </cfRule>
    <cfRule type="containsText" dxfId="4494" priority="5561" operator="containsText" text="IDENTIDAD">
      <formula>NOT(ISERROR(SEARCH("IDENTIDAD",Q206)))</formula>
    </cfRule>
    <cfRule type="containsText" dxfId="4493" priority="5562" operator="containsText" text="CPN">
      <formula>NOT(ISERROR(SEARCH("CPN",Q206)))</formula>
    </cfRule>
    <cfRule type="containsText" dxfId="4492" priority="5563" operator="containsText" text="VIENE">
      <formula>NOT(ISERROR(SEARCH("VIENE",Q206)))</formula>
    </cfRule>
    <cfRule type="cellIs" dxfId="4491" priority="5564" operator="equal">
      <formula>"TRAMITE DE PORTABILIDAD"</formula>
    </cfRule>
  </conditionalFormatting>
  <conditionalFormatting sqref="Q206">
    <cfRule type="containsText" dxfId="4490" priority="5558" operator="containsText" text="INMIGRANTE VENEZOLANA">
      <formula>NOT(ISERROR(SEARCH("INMIGRANTE VENEZOLANA",Q206)))</formula>
    </cfRule>
    <cfRule type="containsText" dxfId="4489" priority="5559" operator="containsText" text="SIN AFILIACIÓN A EPS">
      <formula>NOT(ISERROR(SEARCH("SIN AFILIACIÓN A EPS",Q206)))</formula>
    </cfRule>
  </conditionalFormatting>
  <conditionalFormatting sqref="Q207">
    <cfRule type="containsText" dxfId="4488" priority="5538" operator="containsText" text="SE TRASLADO DE EPS">
      <formula>NOT(ISERROR(SEARCH("SE TRASLADO DE EPS",Q207)))</formula>
    </cfRule>
    <cfRule type="containsText" dxfId="4487" priority="5541" operator="containsText" text="NOVEDAD">
      <formula>NOT(ISERROR(SEARCH("NOVEDAD",Q207)))</formula>
    </cfRule>
    <cfRule type="containsText" dxfId="4486" priority="5542" operator="containsText" text="IDENTIDAD">
      <formula>NOT(ISERROR(SEARCH("IDENTIDAD",Q207)))</formula>
    </cfRule>
    <cfRule type="containsText" dxfId="4485" priority="5543" operator="containsText" text="CPN">
      <formula>NOT(ISERROR(SEARCH("CPN",Q207)))</formula>
    </cfRule>
    <cfRule type="containsText" dxfId="4484" priority="5544" operator="containsText" text="VIENE">
      <formula>NOT(ISERROR(SEARCH("VIENE",Q207)))</formula>
    </cfRule>
    <cfRule type="cellIs" dxfId="4483" priority="5545" operator="equal">
      <formula>"TRAMITE DE PORTABILIDAD"</formula>
    </cfRule>
  </conditionalFormatting>
  <conditionalFormatting sqref="Q207">
    <cfRule type="containsText" dxfId="4482" priority="5539" operator="containsText" text="INMIGRANTE VENEZOLANA">
      <formula>NOT(ISERROR(SEARCH("INMIGRANTE VENEZOLANA",Q207)))</formula>
    </cfRule>
    <cfRule type="containsText" dxfId="4481" priority="5540" operator="containsText" text="SIN AFILIACIÓN A EPS">
      <formula>NOT(ISERROR(SEARCH("SIN AFILIACIÓN A EPS",Q207)))</formula>
    </cfRule>
  </conditionalFormatting>
  <conditionalFormatting sqref="CD207">
    <cfRule type="cellIs" dxfId="4480" priority="5533" operator="equal">
      <formula>"SD"</formula>
    </cfRule>
    <cfRule type="cellIs" dxfId="4479" priority="5534" operator="equal">
      <formula>"OBLICUA"</formula>
    </cfRule>
    <cfRule type="cellIs" dxfId="4478" priority="5536" operator="equal">
      <formula>"PODÁLICA"</formula>
    </cfRule>
    <cfRule type="cellIs" dxfId="4477" priority="5537" operator="equal">
      <formula>"CEFÁLICA"</formula>
    </cfRule>
  </conditionalFormatting>
  <conditionalFormatting sqref="CB207:CC207">
    <cfRule type="cellIs" dxfId="4476" priority="5530" operator="equal">
      <formula>"SD"</formula>
    </cfRule>
    <cfRule type="cellIs" dxfId="4475" priority="5531" operator="equal">
      <formula>"NO"</formula>
    </cfRule>
    <cfRule type="cellIs" dxfId="4474" priority="5532" operator="equal">
      <formula>"SI"</formula>
    </cfRule>
  </conditionalFormatting>
  <conditionalFormatting sqref="CE207">
    <cfRule type="cellIs" dxfId="4473" priority="5527" operator="equal">
      <formula>"SD"</formula>
    </cfRule>
    <cfRule type="cellIs" dxfId="4472" priority="5528" operator="equal">
      <formula>"NO"</formula>
    </cfRule>
    <cfRule type="cellIs" dxfId="4471" priority="5529" operator="equal">
      <formula>"SI"</formula>
    </cfRule>
  </conditionalFormatting>
  <conditionalFormatting sqref="BT207">
    <cfRule type="cellIs" dxfId="4470" priority="5522" operator="equal">
      <formula>"DEFINIR CON ECO"</formula>
    </cfRule>
    <cfRule type="cellIs" dxfId="4469" priority="5523" operator="equal">
      <formula>"ERROR FUM O INGRESO O ECO"</formula>
    </cfRule>
    <cfRule type="cellIs" dxfId="4468" priority="5524" operator="equal">
      <formula>"III TRIM"</formula>
    </cfRule>
    <cfRule type="cellIs" dxfId="4467" priority="5525" operator="equal">
      <formula>"II TRIM"</formula>
    </cfRule>
    <cfRule type="cellIs" dxfId="4466" priority="5526" operator="equal">
      <formula>"I TRIM"</formula>
    </cfRule>
  </conditionalFormatting>
  <conditionalFormatting sqref="CD208">
    <cfRule type="cellIs" dxfId="4465" priority="5517" operator="equal">
      <formula>"SD"</formula>
    </cfRule>
    <cfRule type="cellIs" dxfId="4464" priority="5518" operator="equal">
      <formula>"OBLICUA"</formula>
    </cfRule>
    <cfRule type="cellIs" dxfId="4463" priority="5520" operator="equal">
      <formula>"PODÁLICA"</formula>
    </cfRule>
    <cfRule type="cellIs" dxfId="4462" priority="5521" operator="equal">
      <formula>"CEFÁLICA"</formula>
    </cfRule>
  </conditionalFormatting>
  <conditionalFormatting sqref="CB208:CC208">
    <cfRule type="cellIs" dxfId="4461" priority="5514" operator="equal">
      <formula>"SD"</formula>
    </cfRule>
    <cfRule type="cellIs" dxfId="4460" priority="5515" operator="equal">
      <formula>"NO"</formula>
    </cfRule>
    <cfRule type="cellIs" dxfId="4459" priority="5516" operator="equal">
      <formula>"SI"</formula>
    </cfRule>
  </conditionalFormatting>
  <conditionalFormatting sqref="CE208">
    <cfRule type="cellIs" dxfId="4458" priority="5511" operator="equal">
      <formula>"SD"</formula>
    </cfRule>
    <cfRule type="cellIs" dxfId="4457" priority="5512" operator="equal">
      <formula>"NO"</formula>
    </cfRule>
    <cfRule type="cellIs" dxfId="4456" priority="5513" operator="equal">
      <formula>"SI"</formula>
    </cfRule>
  </conditionalFormatting>
  <conditionalFormatting sqref="CE210 CB210:CC210">
    <cfRule type="cellIs" dxfId="4455" priority="5500" operator="equal">
      <formula>"SD"</formula>
    </cfRule>
    <cfRule type="cellIs" dxfId="4454" priority="5501" operator="equal">
      <formula>"NO"</formula>
    </cfRule>
    <cfRule type="cellIs" dxfId="4453" priority="5502" operator="equal">
      <formula>"SI"</formula>
    </cfRule>
  </conditionalFormatting>
  <conditionalFormatting sqref="CD210">
    <cfRule type="cellIs" dxfId="4452" priority="5495" operator="equal">
      <formula>"SD"</formula>
    </cfRule>
    <cfRule type="cellIs" dxfId="4451" priority="5496" operator="equal">
      <formula>"OBLICUA"</formula>
    </cfRule>
    <cfRule type="cellIs" dxfId="4450" priority="5498" operator="equal">
      <formula>"PODÁLICA"</formula>
    </cfRule>
    <cfRule type="cellIs" dxfId="4449" priority="5499" operator="equal">
      <formula>"CEFÁLICA"</formula>
    </cfRule>
  </conditionalFormatting>
  <conditionalFormatting sqref="CE211 CB211:CC211">
    <cfRule type="cellIs" dxfId="4448" priority="5492" operator="equal">
      <formula>"SD"</formula>
    </cfRule>
    <cfRule type="cellIs" dxfId="4447" priority="5493" operator="equal">
      <formula>"NO"</formula>
    </cfRule>
    <cfRule type="cellIs" dxfId="4446" priority="5494" operator="equal">
      <formula>"SI"</formula>
    </cfRule>
  </conditionalFormatting>
  <conditionalFormatting sqref="CD211">
    <cfRule type="cellIs" dxfId="4445" priority="5487" operator="equal">
      <formula>"SD"</formula>
    </cfRule>
    <cfRule type="cellIs" dxfId="4444" priority="5488" operator="equal">
      <formula>"OBLICUA"</formula>
    </cfRule>
    <cfRule type="cellIs" dxfId="4443" priority="5490" operator="equal">
      <formula>"PODÁLICA"</formula>
    </cfRule>
    <cfRule type="cellIs" dxfId="4442" priority="5491" operator="equal">
      <formula>"CEFÁLICA"</formula>
    </cfRule>
  </conditionalFormatting>
  <conditionalFormatting sqref="FB211">
    <cfRule type="containsText" dxfId="4441" priority="5483" operator="containsText" text="RH NEGATIVO SIN COOMB">
      <formula>NOT(ISERROR(SEARCH("RH NEGATIVO SIN COOMB",FB211)))</formula>
    </cfRule>
    <cfRule type="containsText" dxfId="4440" priority="5484" operator="containsText" text="RH NEGATIVO CON COOMBS POSITIVO">
      <formula>NOT(ISERROR(SEARCH("RH NEGATIVO CON COOMBS POSITIVO",FB211)))</formula>
    </cfRule>
    <cfRule type="containsText" dxfId="4439" priority="5485" operator="containsText" text="RH NEGATIVO CON COOMBS NEGATIVO">
      <formula>NOT(ISERROR(SEARCH("RH NEGATIVO CON COOMBS NEGATIVO",FB211)))</formula>
    </cfRule>
    <cfRule type="containsText" dxfId="4438" priority="5486" operator="containsText" text="RH POSITIVO">
      <formula>NOT(ISERROR(SEARCH("RH POSITIVO",FB211)))</formula>
    </cfRule>
  </conditionalFormatting>
  <conditionalFormatting sqref="FZ211">
    <cfRule type="containsText" dxfId="4437" priority="5479" operator="containsText" text="RH NEGATIVO SIN COOMB">
      <formula>NOT(ISERROR(SEARCH("RH NEGATIVO SIN COOMB",FZ211)))</formula>
    </cfRule>
    <cfRule type="containsText" dxfId="4436" priority="5480" operator="containsText" text="RH NEGATIVO CON COOMBS POSITIVO">
      <formula>NOT(ISERROR(SEARCH("RH NEGATIVO CON COOMBS POSITIVO",FZ211)))</formula>
    </cfRule>
    <cfRule type="containsText" dxfId="4435" priority="5481" operator="containsText" text="RH NEGATIVO CON COOMBS NEGATIVO">
      <formula>NOT(ISERROR(SEARCH("RH NEGATIVO CON COOMBS NEGATIVO",FZ211)))</formula>
    </cfRule>
    <cfRule type="containsText" dxfId="4434" priority="5482" operator="containsText" text="RH POSITIVO">
      <formula>NOT(ISERROR(SEARCH("RH POSITIVO",FZ211)))</formula>
    </cfRule>
  </conditionalFormatting>
  <conditionalFormatting sqref="GC211">
    <cfRule type="containsText" dxfId="4433" priority="5475" operator="containsText" text="RH NEGATIVO SIN COOMB">
      <formula>NOT(ISERROR(SEARCH("RH NEGATIVO SIN COOMB",GC211)))</formula>
    </cfRule>
    <cfRule type="containsText" dxfId="4432" priority="5476" operator="containsText" text="RH NEGATIVO CON COOMBS POSITIVO">
      <formula>NOT(ISERROR(SEARCH("RH NEGATIVO CON COOMBS POSITIVO",GC211)))</formula>
    </cfRule>
    <cfRule type="containsText" dxfId="4431" priority="5477" operator="containsText" text="RH NEGATIVO CON COOMBS NEGATIVO">
      <formula>NOT(ISERROR(SEARCH("RH NEGATIVO CON COOMBS NEGATIVO",GC211)))</formula>
    </cfRule>
    <cfRule type="containsText" dxfId="4430" priority="5478" operator="containsText" text="RH POSITIVO">
      <formula>NOT(ISERROR(SEARCH("RH POSITIVO",GC211)))</formula>
    </cfRule>
  </conditionalFormatting>
  <conditionalFormatting sqref="L206">
    <cfRule type="containsText" dxfId="4429" priority="5466" operator="containsText" text="Empleo informal">
      <formula>NOT(ISERROR(SEARCH("Empleo informal",L206)))</formula>
    </cfRule>
    <cfRule type="containsText" dxfId="4428" priority="5467" operator="containsText" text="Empleada formalmente con riesgo a tóxicos">
      <formula>NOT(ISERROR(SEARCH("Empleada formalmente con riesgo a tóxicos",L206)))</formula>
    </cfRule>
    <cfRule type="containsText" dxfId="4427" priority="5468" operator="containsText" text="Empleada formalmente con riesgo de accidente laboral">
      <formula>NOT(ISERROR(SEARCH("Empleada formalmente con riesgo de accidente laboral",L206)))</formula>
    </cfRule>
    <cfRule type="containsText" dxfId="4426" priority="5469" operator="containsText" text="Empleada formalmente por jornada laboral extensa">
      <formula>NOT(ISERROR(SEARCH("Empleada formalmente por jornada laboral extensa",L206)))</formula>
    </cfRule>
    <cfRule type="containsText" dxfId="4425" priority="5470" operator="containsText" text="Empleada formalmente sin riesgo">
      <formula>NOT(ISERROR(SEARCH("Empleada formalmente sin riesgo",L206)))</formula>
    </cfRule>
    <cfRule type="containsText" dxfId="4424" priority="5471" operator="containsText" text="Actualmente desempleada">
      <formula>NOT(ISERROR(SEARCH("Actualmente desempleada",L206)))</formula>
    </cfRule>
    <cfRule type="containsText" dxfId="4423" priority="5472" operator="containsText" text="Hogar sin apoyo">
      <formula>NOT(ISERROR(SEARCH("Hogar sin apoyo",L206)))</formula>
    </cfRule>
    <cfRule type="containsText" dxfId="4422" priority="5473" operator="containsText" text="Empleada formalmente sin riesgo">
      <formula>NOT(ISERROR(SEARCH("Empleada formalmente sin riesgo",L206)))</formula>
    </cfRule>
    <cfRule type="containsText" dxfId="4421" priority="5474" operator="containsText" text="Hogar Con apoyo">
      <formula>NOT(ISERROR(SEARCH("Hogar Con apoyo",L206)))</formula>
    </cfRule>
  </conditionalFormatting>
  <conditionalFormatting sqref="L206">
    <cfRule type="containsText" dxfId="4420" priority="5457" operator="containsText" text="Empleo informal">
      <formula>NOT(ISERROR(SEARCH("Empleo informal",L206)))</formula>
    </cfRule>
    <cfRule type="containsText" dxfId="4419" priority="5458" operator="containsText" text="Empleada formalmente con riesgo a tóxicos">
      <formula>NOT(ISERROR(SEARCH("Empleada formalmente con riesgo a tóxicos",L206)))</formula>
    </cfRule>
    <cfRule type="containsText" dxfId="4418" priority="5459" operator="containsText" text="Empleada formalmente con riesgo de accidente laboral">
      <formula>NOT(ISERROR(SEARCH("Empleada formalmente con riesgo de accidente laboral",L206)))</formula>
    </cfRule>
    <cfRule type="containsText" dxfId="4417" priority="5460" operator="containsText" text="Empleada formalmente por jornada laboral extensa">
      <formula>NOT(ISERROR(SEARCH("Empleada formalmente por jornada laboral extensa",L206)))</formula>
    </cfRule>
    <cfRule type="containsText" dxfId="4416" priority="5461" operator="containsText" text="Empleada formalmente sin riesgo">
      <formula>NOT(ISERROR(SEARCH("Empleada formalmente sin riesgo",L206)))</formula>
    </cfRule>
    <cfRule type="containsText" dxfId="4415" priority="5462" operator="containsText" text="Actualmente desempleada">
      <formula>NOT(ISERROR(SEARCH("Actualmente desempleada",L206)))</formula>
    </cfRule>
    <cfRule type="containsText" dxfId="4414" priority="5463" operator="containsText" text="Hogar sin apoyo">
      <formula>NOT(ISERROR(SEARCH("Hogar sin apoyo",L206)))</formula>
    </cfRule>
    <cfRule type="containsText" dxfId="4413" priority="5464" operator="containsText" text="Empleada formalmente sin riesgo">
      <formula>NOT(ISERROR(SEARCH("Empleada formalmente sin riesgo",L206)))</formula>
    </cfRule>
    <cfRule type="containsText" dxfId="4412" priority="5465" operator="containsText" text="Hogar Con apoyo">
      <formula>NOT(ISERROR(SEARCH("Hogar Con apoyo",L206)))</formula>
    </cfRule>
  </conditionalFormatting>
  <conditionalFormatting sqref="BC213">
    <cfRule type="cellIs" dxfId="4411" priority="5248" operator="equal">
      <formula>"SD"</formula>
    </cfRule>
    <cfRule type="cellIs" dxfId="4410" priority="5249" operator="equal">
      <formula>"NO"</formula>
    </cfRule>
    <cfRule type="cellIs" dxfId="4409" priority="5250" operator="equal">
      <formula>"SI"</formula>
    </cfRule>
  </conditionalFormatting>
  <conditionalFormatting sqref="BC214">
    <cfRule type="cellIs" dxfId="4408" priority="5239" operator="equal">
      <formula>"SD"</formula>
    </cfRule>
    <cfRule type="cellIs" dxfId="4407" priority="5240" operator="equal">
      <formula>"NO"</formula>
    </cfRule>
    <cfRule type="cellIs" dxfId="4406" priority="5241" operator="equal">
      <formula>"SI"</formula>
    </cfRule>
  </conditionalFormatting>
  <conditionalFormatting sqref="BC215">
    <cfRule type="cellIs" dxfId="4405" priority="5233" operator="equal">
      <formula>"SD"</formula>
    </cfRule>
    <cfRule type="cellIs" dxfId="4404" priority="5234" operator="equal">
      <formula>"NO"</formula>
    </cfRule>
    <cfRule type="cellIs" dxfId="4403" priority="5235" operator="equal">
      <formula>"SI"</formula>
    </cfRule>
  </conditionalFormatting>
  <conditionalFormatting sqref="AY216">
    <cfRule type="cellIs" dxfId="4402" priority="5225" operator="equal">
      <formula>"SD"</formula>
    </cfRule>
    <cfRule type="cellIs" dxfId="4401" priority="5226" operator="equal">
      <formula>"NO"</formula>
    </cfRule>
    <cfRule type="cellIs" dxfId="4400" priority="5227" operator="equal">
      <formula>"SI"</formula>
    </cfRule>
  </conditionalFormatting>
  <conditionalFormatting sqref="AZ216">
    <cfRule type="cellIs" dxfId="4399" priority="5222" operator="equal">
      <formula>"SD"</formula>
    </cfRule>
    <cfRule type="cellIs" dxfId="4398" priority="5223" operator="equal">
      <formula>"NO"</formula>
    </cfRule>
    <cfRule type="cellIs" dxfId="4397" priority="5224" operator="equal">
      <formula>"SI"</formula>
    </cfRule>
  </conditionalFormatting>
  <conditionalFormatting sqref="BA216">
    <cfRule type="cellIs" dxfId="4396" priority="5219" operator="equal">
      <formula>"SD"</formula>
    </cfRule>
    <cfRule type="cellIs" dxfId="4395" priority="5220" operator="equal">
      <formula>"NO"</formula>
    </cfRule>
    <cfRule type="cellIs" dxfId="4394" priority="5221" operator="equal">
      <formula>"SI"</formula>
    </cfRule>
  </conditionalFormatting>
  <conditionalFormatting sqref="BB216">
    <cfRule type="cellIs" dxfId="4393" priority="5216" operator="equal">
      <formula>"SD"</formula>
    </cfRule>
    <cfRule type="cellIs" dxfId="4392" priority="5217" operator="equal">
      <formula>"NO"</formula>
    </cfRule>
    <cfRule type="cellIs" dxfId="4391" priority="5218" operator="equal">
      <formula>"SI"</formula>
    </cfRule>
  </conditionalFormatting>
  <conditionalFormatting sqref="BC216">
    <cfRule type="cellIs" dxfId="4390" priority="5213" operator="equal">
      <formula>"SD"</formula>
    </cfRule>
    <cfRule type="cellIs" dxfId="4389" priority="5214" operator="equal">
      <formula>"NO"</formula>
    </cfRule>
    <cfRule type="cellIs" dxfId="4388" priority="5215" operator="equal">
      <formula>"SI"</formula>
    </cfRule>
  </conditionalFormatting>
  <conditionalFormatting sqref="BD216">
    <cfRule type="cellIs" dxfId="4387" priority="5210" operator="equal">
      <formula>"SD"</formula>
    </cfRule>
    <cfRule type="cellIs" dxfId="4386" priority="5211" operator="equal">
      <formula>"NO"</formula>
    </cfRule>
    <cfRule type="cellIs" dxfId="4385" priority="5212" operator="equal">
      <formula>"SI"</formula>
    </cfRule>
  </conditionalFormatting>
  <conditionalFormatting sqref="BE216">
    <cfRule type="cellIs" dxfId="4384" priority="5207" operator="equal">
      <formula>"SD"</formula>
    </cfRule>
    <cfRule type="cellIs" dxfId="4383" priority="5208" operator="equal">
      <formula>"NO"</formula>
    </cfRule>
    <cfRule type="cellIs" dxfId="4382" priority="5209" operator="equal">
      <formula>"SI"</formula>
    </cfRule>
  </conditionalFormatting>
  <conditionalFormatting sqref="BF216">
    <cfRule type="cellIs" dxfId="4381" priority="5204" operator="equal">
      <formula>"SD"</formula>
    </cfRule>
    <cfRule type="cellIs" dxfId="4380" priority="5205" operator="equal">
      <formula>"NO"</formula>
    </cfRule>
    <cfRule type="cellIs" dxfId="4379" priority="5206" operator="equal">
      <formula>"SI"</formula>
    </cfRule>
  </conditionalFormatting>
  <conditionalFormatting sqref="BG216">
    <cfRule type="cellIs" dxfId="4378" priority="5201" operator="equal">
      <formula>"SD"</formula>
    </cfRule>
    <cfRule type="cellIs" dxfId="4377" priority="5202" operator="equal">
      <formula>"NO"</formula>
    </cfRule>
    <cfRule type="cellIs" dxfId="4376" priority="5203" operator="equal">
      <formula>"SI"</formula>
    </cfRule>
  </conditionalFormatting>
  <conditionalFormatting sqref="BH216">
    <cfRule type="cellIs" dxfId="4375" priority="5198" operator="equal">
      <formula>"SD"</formula>
    </cfRule>
    <cfRule type="cellIs" dxfId="4374" priority="5199" operator="equal">
      <formula>"NO"</formula>
    </cfRule>
    <cfRule type="cellIs" dxfId="4373" priority="5200" operator="equal">
      <formula>"SI"</formula>
    </cfRule>
  </conditionalFormatting>
  <conditionalFormatting sqref="BI216">
    <cfRule type="cellIs" dxfId="4372" priority="5195" operator="equal">
      <formula>"SD"</formula>
    </cfRule>
    <cfRule type="cellIs" dxfId="4371" priority="5196" operator="equal">
      <formula>"NO"</formula>
    </cfRule>
    <cfRule type="cellIs" dxfId="4370" priority="5197" operator="equal">
      <formula>"SI"</formula>
    </cfRule>
  </conditionalFormatting>
  <conditionalFormatting sqref="BK216">
    <cfRule type="cellIs" dxfId="4369" priority="5189" operator="equal">
      <formula>"SD"</formula>
    </cfRule>
    <cfRule type="cellIs" dxfId="4368" priority="5190" operator="equal">
      <formula>"NO"</formula>
    </cfRule>
    <cfRule type="cellIs" dxfId="4367" priority="5191" operator="equal">
      <formula>"SI"</formula>
    </cfRule>
  </conditionalFormatting>
  <conditionalFormatting sqref="BL216">
    <cfRule type="cellIs" dxfId="4366" priority="5186" operator="equal">
      <formula>"SD"</formula>
    </cfRule>
    <cfRule type="cellIs" dxfId="4365" priority="5187" operator="equal">
      <formula>"NO"</formula>
    </cfRule>
    <cfRule type="cellIs" dxfId="4364" priority="5188" operator="equal">
      <formula>"SI"</formula>
    </cfRule>
  </conditionalFormatting>
  <conditionalFormatting sqref="BM216">
    <cfRule type="cellIs" dxfId="4363" priority="5183" operator="equal">
      <formula>"SD"</formula>
    </cfRule>
    <cfRule type="cellIs" dxfId="4362" priority="5184" operator="equal">
      <formula>"NO"</formula>
    </cfRule>
    <cfRule type="cellIs" dxfId="4361" priority="5185" operator="equal">
      <formula>"SI"</formula>
    </cfRule>
  </conditionalFormatting>
  <conditionalFormatting sqref="AY217">
    <cfRule type="cellIs" dxfId="4360" priority="5180" operator="equal">
      <formula>"SD"</formula>
    </cfRule>
    <cfRule type="cellIs" dxfId="4359" priority="5181" operator="equal">
      <formula>"NO"</formula>
    </cfRule>
    <cfRule type="cellIs" dxfId="4358" priority="5182" operator="equal">
      <formula>"SI"</formula>
    </cfRule>
  </conditionalFormatting>
  <conditionalFormatting sqref="AZ217">
    <cfRule type="cellIs" dxfId="4357" priority="5177" operator="equal">
      <formula>"SD"</formula>
    </cfRule>
    <cfRule type="cellIs" dxfId="4356" priority="5178" operator="equal">
      <formula>"NO"</formula>
    </cfRule>
    <cfRule type="cellIs" dxfId="4355" priority="5179" operator="equal">
      <formula>"SI"</formula>
    </cfRule>
  </conditionalFormatting>
  <conditionalFormatting sqref="BA217">
    <cfRule type="cellIs" dxfId="4354" priority="5174" operator="equal">
      <formula>"SD"</formula>
    </cfRule>
    <cfRule type="cellIs" dxfId="4353" priority="5175" operator="equal">
      <formula>"NO"</formula>
    </cfRule>
    <cfRule type="cellIs" dxfId="4352" priority="5176" operator="equal">
      <formula>"SI"</formula>
    </cfRule>
  </conditionalFormatting>
  <conditionalFormatting sqref="BB217">
    <cfRule type="cellIs" dxfId="4351" priority="5171" operator="equal">
      <formula>"SD"</formula>
    </cfRule>
    <cfRule type="cellIs" dxfId="4350" priority="5172" operator="equal">
      <formula>"NO"</formula>
    </cfRule>
    <cfRule type="cellIs" dxfId="4349" priority="5173" operator="equal">
      <formula>"SI"</formula>
    </cfRule>
  </conditionalFormatting>
  <conditionalFormatting sqref="BC217">
    <cfRule type="cellIs" dxfId="4348" priority="5168" operator="equal">
      <formula>"SD"</formula>
    </cfRule>
    <cfRule type="cellIs" dxfId="4347" priority="5169" operator="equal">
      <formula>"NO"</formula>
    </cfRule>
    <cfRule type="cellIs" dxfId="4346" priority="5170" operator="equal">
      <formula>"SI"</formula>
    </cfRule>
  </conditionalFormatting>
  <conditionalFormatting sqref="BD217">
    <cfRule type="cellIs" dxfId="4345" priority="5165" operator="equal">
      <formula>"SD"</formula>
    </cfRule>
    <cfRule type="cellIs" dxfId="4344" priority="5166" operator="equal">
      <formula>"NO"</formula>
    </cfRule>
    <cfRule type="cellIs" dxfId="4343" priority="5167" operator="equal">
      <formula>"SI"</formula>
    </cfRule>
  </conditionalFormatting>
  <conditionalFormatting sqref="BE217">
    <cfRule type="cellIs" dxfId="4342" priority="5162" operator="equal">
      <formula>"SD"</formula>
    </cfRule>
    <cfRule type="cellIs" dxfId="4341" priority="5163" operator="equal">
      <formula>"NO"</formula>
    </cfRule>
    <cfRule type="cellIs" dxfId="4340" priority="5164" operator="equal">
      <formula>"SI"</formula>
    </cfRule>
  </conditionalFormatting>
  <conditionalFormatting sqref="BF217">
    <cfRule type="cellIs" dxfId="4339" priority="5159" operator="equal">
      <formula>"SD"</formula>
    </cfRule>
    <cfRule type="cellIs" dxfId="4338" priority="5160" operator="equal">
      <formula>"NO"</formula>
    </cfRule>
    <cfRule type="cellIs" dxfId="4337" priority="5161" operator="equal">
      <formula>"SI"</formula>
    </cfRule>
  </conditionalFormatting>
  <conditionalFormatting sqref="BG217">
    <cfRule type="cellIs" dxfId="4336" priority="5156" operator="equal">
      <formula>"SD"</formula>
    </cfRule>
    <cfRule type="cellIs" dxfId="4335" priority="5157" operator="equal">
      <formula>"NO"</formula>
    </cfRule>
    <cfRule type="cellIs" dxfId="4334" priority="5158" operator="equal">
      <formula>"SI"</formula>
    </cfRule>
  </conditionalFormatting>
  <conditionalFormatting sqref="BH217">
    <cfRule type="cellIs" dxfId="4333" priority="5153" operator="equal">
      <formula>"SD"</formula>
    </cfRule>
    <cfRule type="cellIs" dxfId="4332" priority="5154" operator="equal">
      <formula>"NO"</formula>
    </cfRule>
    <cfRule type="cellIs" dxfId="4331" priority="5155" operator="equal">
      <formula>"SI"</formula>
    </cfRule>
  </conditionalFormatting>
  <conditionalFormatting sqref="BI217">
    <cfRule type="cellIs" dxfId="4330" priority="5150" operator="equal">
      <formula>"SD"</formula>
    </cfRule>
    <cfRule type="cellIs" dxfId="4329" priority="5151" operator="equal">
      <formula>"NO"</formula>
    </cfRule>
    <cfRule type="cellIs" dxfId="4328" priority="5152" operator="equal">
      <formula>"SI"</formula>
    </cfRule>
  </conditionalFormatting>
  <conditionalFormatting sqref="BK217">
    <cfRule type="cellIs" dxfId="4327" priority="5144" operator="equal">
      <formula>"SD"</formula>
    </cfRule>
    <cfRule type="cellIs" dxfId="4326" priority="5145" operator="equal">
      <formula>"NO"</formula>
    </cfRule>
    <cfRule type="cellIs" dxfId="4325" priority="5146" operator="equal">
      <formula>"SI"</formula>
    </cfRule>
  </conditionalFormatting>
  <conditionalFormatting sqref="BL217">
    <cfRule type="cellIs" dxfId="4324" priority="5141" operator="equal">
      <formula>"SD"</formula>
    </cfRule>
    <cfRule type="cellIs" dxfId="4323" priority="5142" operator="equal">
      <formula>"NO"</formula>
    </cfRule>
    <cfRule type="cellIs" dxfId="4322" priority="5143" operator="equal">
      <formula>"SI"</formula>
    </cfRule>
  </conditionalFormatting>
  <conditionalFormatting sqref="BM217">
    <cfRule type="cellIs" dxfId="4321" priority="5138" operator="equal">
      <formula>"SD"</formula>
    </cfRule>
    <cfRule type="cellIs" dxfId="4320" priority="5139" operator="equal">
      <formula>"NO"</formula>
    </cfRule>
    <cfRule type="cellIs" dxfId="4319" priority="5140" operator="equal">
      <formula>"SI"</formula>
    </cfRule>
  </conditionalFormatting>
  <conditionalFormatting sqref="AZ218">
    <cfRule type="cellIs" dxfId="4318" priority="5135" operator="equal">
      <formula>"SD"</formula>
    </cfRule>
    <cfRule type="cellIs" dxfId="4317" priority="5136" operator="equal">
      <formula>"NO"</formula>
    </cfRule>
    <cfRule type="cellIs" dxfId="4316" priority="5137" operator="equal">
      <formula>"SI"</formula>
    </cfRule>
  </conditionalFormatting>
  <conditionalFormatting sqref="BA218">
    <cfRule type="cellIs" dxfId="4315" priority="5132" operator="equal">
      <formula>"SD"</formula>
    </cfRule>
    <cfRule type="cellIs" dxfId="4314" priority="5133" operator="equal">
      <formula>"NO"</formula>
    </cfRule>
    <cfRule type="cellIs" dxfId="4313" priority="5134" operator="equal">
      <formula>"SI"</formula>
    </cfRule>
  </conditionalFormatting>
  <conditionalFormatting sqref="BB218">
    <cfRule type="cellIs" dxfId="4312" priority="5129" operator="equal">
      <formula>"SD"</formula>
    </cfRule>
    <cfRule type="cellIs" dxfId="4311" priority="5130" operator="equal">
      <formula>"NO"</formula>
    </cfRule>
    <cfRule type="cellIs" dxfId="4310" priority="5131" operator="equal">
      <formula>"SI"</formula>
    </cfRule>
  </conditionalFormatting>
  <conditionalFormatting sqref="BC218">
    <cfRule type="cellIs" dxfId="4309" priority="5126" operator="equal">
      <formula>"SD"</formula>
    </cfRule>
    <cfRule type="cellIs" dxfId="4308" priority="5127" operator="equal">
      <formula>"NO"</formula>
    </cfRule>
    <cfRule type="cellIs" dxfId="4307" priority="5128" operator="equal">
      <formula>"SI"</formula>
    </cfRule>
  </conditionalFormatting>
  <conditionalFormatting sqref="BD218">
    <cfRule type="cellIs" dxfId="4306" priority="5123" operator="equal">
      <formula>"SD"</formula>
    </cfRule>
    <cfRule type="cellIs" dxfId="4305" priority="5124" operator="equal">
      <formula>"NO"</formula>
    </cfRule>
    <cfRule type="cellIs" dxfId="4304" priority="5125" operator="equal">
      <formula>"SI"</formula>
    </cfRule>
  </conditionalFormatting>
  <conditionalFormatting sqref="BE218">
    <cfRule type="cellIs" dxfId="4303" priority="5120" operator="equal">
      <formula>"SD"</formula>
    </cfRule>
    <cfRule type="cellIs" dxfId="4302" priority="5121" operator="equal">
      <formula>"NO"</formula>
    </cfRule>
    <cfRule type="cellIs" dxfId="4301" priority="5122" operator="equal">
      <formula>"SI"</formula>
    </cfRule>
  </conditionalFormatting>
  <conditionalFormatting sqref="BF218">
    <cfRule type="cellIs" dxfId="4300" priority="5117" operator="equal">
      <formula>"SD"</formula>
    </cfRule>
    <cfRule type="cellIs" dxfId="4299" priority="5118" operator="equal">
      <formula>"NO"</formula>
    </cfRule>
    <cfRule type="cellIs" dxfId="4298" priority="5119" operator="equal">
      <formula>"SI"</formula>
    </cfRule>
  </conditionalFormatting>
  <conditionalFormatting sqref="BG218">
    <cfRule type="cellIs" dxfId="4297" priority="5114" operator="equal">
      <formula>"SD"</formula>
    </cfRule>
    <cfRule type="cellIs" dxfId="4296" priority="5115" operator="equal">
      <formula>"NO"</formula>
    </cfRule>
    <cfRule type="cellIs" dxfId="4295" priority="5116" operator="equal">
      <formula>"SI"</formula>
    </cfRule>
  </conditionalFormatting>
  <conditionalFormatting sqref="BH218">
    <cfRule type="cellIs" dxfId="4294" priority="5111" operator="equal">
      <formula>"SD"</formula>
    </cfRule>
    <cfRule type="cellIs" dxfId="4293" priority="5112" operator="equal">
      <formula>"NO"</formula>
    </cfRule>
    <cfRule type="cellIs" dxfId="4292" priority="5113" operator="equal">
      <formula>"SI"</formula>
    </cfRule>
  </conditionalFormatting>
  <conditionalFormatting sqref="BI218">
    <cfRule type="cellIs" dxfId="4291" priority="5108" operator="equal">
      <formula>"SD"</formula>
    </cfRule>
    <cfRule type="cellIs" dxfId="4290" priority="5109" operator="equal">
      <formula>"NO"</formula>
    </cfRule>
    <cfRule type="cellIs" dxfId="4289" priority="5110" operator="equal">
      <formula>"SI"</formula>
    </cfRule>
  </conditionalFormatting>
  <conditionalFormatting sqref="BK218">
    <cfRule type="cellIs" dxfId="4288" priority="5102" operator="equal">
      <formula>"SD"</formula>
    </cfRule>
    <cfRule type="cellIs" dxfId="4287" priority="5103" operator="equal">
      <formula>"NO"</formula>
    </cfRule>
    <cfRule type="cellIs" dxfId="4286" priority="5104" operator="equal">
      <formula>"SI"</formula>
    </cfRule>
  </conditionalFormatting>
  <conditionalFormatting sqref="BL218">
    <cfRule type="cellIs" dxfId="4285" priority="5099" operator="equal">
      <formula>"SD"</formula>
    </cfRule>
    <cfRule type="cellIs" dxfId="4284" priority="5100" operator="equal">
      <formula>"NO"</formula>
    </cfRule>
    <cfRule type="cellIs" dxfId="4283" priority="5101" operator="equal">
      <formula>"SI"</formula>
    </cfRule>
  </conditionalFormatting>
  <conditionalFormatting sqref="BM218">
    <cfRule type="cellIs" dxfId="4282" priority="5096" operator="equal">
      <formula>"SD"</formula>
    </cfRule>
    <cfRule type="cellIs" dxfId="4281" priority="5097" operator="equal">
      <formula>"NO"</formula>
    </cfRule>
    <cfRule type="cellIs" dxfId="4280" priority="5098" operator="equal">
      <formula>"SI"</formula>
    </cfRule>
  </conditionalFormatting>
  <conditionalFormatting sqref="BC219">
    <cfRule type="cellIs" dxfId="4279" priority="4513" operator="equal">
      <formula>"SD"</formula>
    </cfRule>
    <cfRule type="cellIs" dxfId="4278" priority="4514" operator="equal">
      <formula>"NO"</formula>
    </cfRule>
    <cfRule type="cellIs" dxfId="4277" priority="4515" operator="equal">
      <formula>"SI"</formula>
    </cfRule>
  </conditionalFormatting>
  <conditionalFormatting sqref="BC220">
    <cfRule type="cellIs" dxfId="4276" priority="4510" operator="equal">
      <formula>"SD"</formula>
    </cfRule>
    <cfRule type="cellIs" dxfId="4275" priority="4511" operator="equal">
      <formula>"NO"</formula>
    </cfRule>
    <cfRule type="cellIs" dxfId="4274" priority="4512" operator="equal">
      <formula>"SI"</formula>
    </cfRule>
  </conditionalFormatting>
  <conditionalFormatting sqref="BC221">
    <cfRule type="cellIs" dxfId="4273" priority="4507" operator="equal">
      <formula>"SD"</formula>
    </cfRule>
    <cfRule type="cellIs" dxfId="4272" priority="4508" operator="equal">
      <formula>"NO"</formula>
    </cfRule>
    <cfRule type="cellIs" dxfId="4271" priority="4509" operator="equal">
      <formula>"SI"</formula>
    </cfRule>
  </conditionalFormatting>
  <conditionalFormatting sqref="CR213">
    <cfRule type="expression" dxfId="4270" priority="4224">
      <formula>IF(CT213="NO APLICA REGISTRO TA-INGRESO TARDIO",1,"")</formula>
    </cfRule>
  </conditionalFormatting>
  <conditionalFormatting sqref="CS213">
    <cfRule type="expression" dxfId="4269" priority="4223">
      <formula>IF(CT213="NO APLICA REGISTRO TA-INGRESO TARDIO",1,"")</formula>
    </cfRule>
  </conditionalFormatting>
  <conditionalFormatting sqref="FA213">
    <cfRule type="expression" dxfId="4268" priority="4222">
      <formula>IF(AND(FA213&gt;=126,FC213&lt;24),1,0)</formula>
    </cfRule>
  </conditionalFormatting>
  <conditionalFormatting sqref="FJ213">
    <cfRule type="containsText" dxfId="4267" priority="4219" operator="containsText" text="POSITIVA CICATRIZ">
      <formula>NOT(ISERROR(SEARCH("POSITIVA CICATRIZ",FJ213)))</formula>
    </cfRule>
    <cfRule type="containsText" dxfId="4266" priority="4220" operator="containsText" text="POSITIVA CASO SIFILIS">
      <formula>NOT(ISERROR(SEARCH("POSITIVA CASO SIFILIS",FJ213)))</formula>
    </cfRule>
    <cfRule type="containsText" dxfId="4265" priority="4221" operator="containsText" text="NEGATIVA">
      <formula>NOT(ISERROR(SEARCH("NEGATIVA",FJ213)))</formula>
    </cfRule>
  </conditionalFormatting>
  <conditionalFormatting sqref="FY213">
    <cfRule type="containsText" dxfId="4264" priority="4216" operator="containsText" text="P.R REACTIVA">
      <formula>NOT(ISERROR(SEARCH("P.R REACTIVA",FY213)))</formula>
    </cfRule>
    <cfRule type="containsText" dxfId="4263" priority="4217" operator="containsText" text="NO REACTIVA">
      <formula>NOT(ISERROR(SEARCH("NO REACTIVA",FY213)))</formula>
    </cfRule>
    <cfRule type="containsText" dxfId="4262" priority="4218" operator="containsText" text="ELISA REACTIVA">
      <formula>NOT(ISERROR(SEARCH("ELISA REACTIVA",FY213)))</formula>
    </cfRule>
  </conditionalFormatting>
  <conditionalFormatting sqref="HT213 HV213">
    <cfRule type="containsText" dxfId="4261" priority="4212" operator="containsText" text="NO SE FORMULA">
      <formula>NOT(ISERROR(SEARCH("NO SE FORMULA",HT213)))</formula>
    </cfRule>
    <cfRule type="containsText" dxfId="4260" priority="4213" operator="containsText" text="OTRO">
      <formula>NOT(ISERROR(SEARCH("OTRO",HT213)))</formula>
    </cfRule>
    <cfRule type="containsText" dxfId="4259" priority="4214" operator="containsText" text="IRREGULAR">
      <formula>NOT(ISERROR(SEARCH("IRREGULAR",HT213)))</formula>
    </cfRule>
    <cfRule type="containsText" dxfId="4258" priority="4215" operator="containsText" text="ADECUADO">
      <formula>NOT(ISERROR(SEARCH("ADECUADO",HT213)))</formula>
    </cfRule>
  </conditionalFormatting>
  <conditionalFormatting sqref="HX213">
    <cfRule type="containsText" dxfId="4257" priority="4208" operator="containsText" text="NO SE FORMULA">
      <formula>NOT(ISERROR(SEARCH("NO SE FORMULA",HX213)))</formula>
    </cfRule>
    <cfRule type="containsText" dxfId="4256" priority="4209" operator="containsText" text="OTRO">
      <formula>NOT(ISERROR(SEARCH("OTRO",HX213)))</formula>
    </cfRule>
    <cfRule type="containsText" dxfId="4255" priority="4210" operator="containsText" text="IRREGULAR">
      <formula>NOT(ISERROR(SEARCH("IRREGULAR",HX213)))</formula>
    </cfRule>
    <cfRule type="containsText" dxfId="4254" priority="4211" operator="containsText" text="ADECUADO">
      <formula>NOT(ISERROR(SEARCH("ADECUADO",HX213)))</formula>
    </cfRule>
  </conditionalFormatting>
  <conditionalFormatting sqref="FB219">
    <cfRule type="containsText" dxfId="4253" priority="4204" operator="containsText" text="RH NEGATIVO SIN COOMB">
      <formula>NOT(ISERROR(SEARCH("RH NEGATIVO SIN COOMB",FB219)))</formula>
    </cfRule>
    <cfRule type="containsText" dxfId="4252" priority="4205" operator="containsText" text="RH NEGATIVO CON COOMBS POSITIVO">
      <formula>NOT(ISERROR(SEARCH("RH NEGATIVO CON COOMBS POSITIVO",FB219)))</formula>
    </cfRule>
    <cfRule type="containsText" dxfId="4251" priority="4206" operator="containsText" text="RH NEGATIVO CON COOMBS NEGATIVO">
      <formula>NOT(ISERROR(SEARCH("RH NEGATIVO CON COOMBS NEGATIVO",FB219)))</formula>
    </cfRule>
    <cfRule type="containsText" dxfId="4250" priority="4207" operator="containsText" text="RH POSITIVO">
      <formula>NOT(ISERROR(SEARCH("RH POSITIVO",FB219)))</formula>
    </cfRule>
  </conditionalFormatting>
  <conditionalFormatting sqref="AG222:AH222 AJ222">
    <cfRule type="cellIs" dxfId="4249" priority="4201" operator="equal">
      <formula>"SD"</formula>
    </cfRule>
    <cfRule type="cellIs" dxfId="4248" priority="4202" operator="equal">
      <formula>"NO"</formula>
    </cfRule>
    <cfRule type="cellIs" dxfId="4247" priority="4203" operator="equal">
      <formula>"SI"</formula>
    </cfRule>
  </conditionalFormatting>
  <conditionalFormatting sqref="AI222">
    <cfRule type="containsText" dxfId="4246" priority="4191" operator="containsText" text="HABITANTE DE CALLE">
      <formula>NOT(ISERROR(SEARCH("HABITANTE DE CALLE",AI222)))</formula>
    </cfRule>
    <cfRule type="containsText" dxfId="4245" priority="4197" operator="containsText" text="NINGUNO">
      <formula>NOT(ISERROR(SEARCH("NINGUNO",AI222)))</formula>
    </cfRule>
    <cfRule type="containsText" dxfId="4244" priority="4198" operator="containsText" text="MIGRATORIA">
      <formula>NOT(ISERROR(SEARCH("MIGRATORIA",AI222)))</formula>
    </cfRule>
    <cfRule type="containsText" dxfId="4243" priority="4199" operator="containsText" text="DISCAPACIDAD">
      <formula>NOT(ISERROR(SEARCH("DISCAPACIDAD",AI222)))</formula>
    </cfRule>
    <cfRule type="containsText" dxfId="4242" priority="4200" operator="containsText" text="DESPLAZADA">
      <formula>NOT(ISERROR(SEARCH("DESPLAZADA",AI222)))</formula>
    </cfRule>
  </conditionalFormatting>
  <conditionalFormatting sqref="AE222:AF222">
    <cfRule type="containsText" dxfId="4241" priority="4195" operator="containsText" text="NO">
      <formula>NOT(ISERROR(SEARCH("NO",AE222)))</formula>
    </cfRule>
    <cfRule type="containsText" dxfId="4240" priority="4196" operator="containsText" text="SI">
      <formula>NOT(ISERROR(SEARCH("SI",AE222)))</formula>
    </cfRule>
  </conditionalFormatting>
  <conditionalFormatting sqref="AX222 BA222:BB222 BD222:BE222">
    <cfRule type="cellIs" dxfId="4239" priority="4188" operator="equal">
      <formula>"SD"</formula>
    </cfRule>
    <cfRule type="cellIs" dxfId="4238" priority="4189" operator="equal">
      <formula>"NO"</formula>
    </cfRule>
    <cfRule type="cellIs" dxfId="4237" priority="4190" operator="equal">
      <formula>"SI"</formula>
    </cfRule>
  </conditionalFormatting>
  <conditionalFormatting sqref="BE222">
    <cfRule type="expression" dxfId="4236" priority="4187">
      <formula>IF(AND(FA222&gt;=126,FC222&lt;24),1,0)</formula>
    </cfRule>
  </conditionalFormatting>
  <conditionalFormatting sqref="AY222">
    <cfRule type="containsText" dxfId="4235" priority="4182" operator="containsText" text="SD">
      <formula>NOT(ISERROR(SEARCH("SD",AY222)))</formula>
    </cfRule>
    <cfRule type="containsText" dxfId="4234" priority="4183" operator="containsText" text="SI, NO CONTROLADA">
      <formula>NOT(ISERROR(SEARCH("SI, NO CONTROLADA",AY222)))</formula>
    </cfRule>
    <cfRule type="containsText" dxfId="4233" priority="4184" operator="containsText" text="SI, SIN MANEJO">
      <formula>NOT(ISERROR(SEARCH("SI, SIN MANEJO",AY222)))</formula>
    </cfRule>
    <cfRule type="containsText" dxfId="4232" priority="4185" operator="containsText" text="SI, CONTROLADA">
      <formula>NOT(ISERROR(SEARCH("SI, CONTROLADA",AY222)))</formula>
    </cfRule>
    <cfRule type="containsText" dxfId="4231" priority="4186" operator="containsText" text="NO">
      <formula>NOT(ISERROR(SEARCH("NO",AY222)))</formula>
    </cfRule>
  </conditionalFormatting>
  <conditionalFormatting sqref="AZ222">
    <cfRule type="containsText" dxfId="4230" priority="4177" operator="containsText" text="SD">
      <formula>NOT(ISERROR(SEARCH("SD",AZ222)))</formula>
    </cfRule>
    <cfRule type="containsText" dxfId="4229" priority="4178" operator="containsText" text="SI, NO CONTROLADA">
      <formula>NOT(ISERROR(SEARCH("SI, NO CONTROLADA",AZ222)))</formula>
    </cfRule>
    <cfRule type="containsText" dxfId="4228" priority="4179" operator="containsText" text="SI, SIN MANEJO">
      <formula>NOT(ISERROR(SEARCH("SI, SIN MANEJO",AZ222)))</formula>
    </cfRule>
    <cfRule type="containsText" dxfId="4227" priority="4180" operator="containsText" text="SI, CONTROLADA">
      <formula>NOT(ISERROR(SEARCH("SI, CONTROLADA",AZ222)))</formula>
    </cfRule>
    <cfRule type="containsText" dxfId="4226" priority="4181" operator="containsText" text="NO">
      <formula>NOT(ISERROR(SEARCH("NO",AZ222)))</formula>
    </cfRule>
  </conditionalFormatting>
  <conditionalFormatting sqref="BC222">
    <cfRule type="cellIs" dxfId="4225" priority="4174" operator="equal">
      <formula>"SD"</formula>
    </cfRule>
    <cfRule type="cellIs" dxfId="4224" priority="4175" operator="equal">
      <formula>"NO"</formula>
    </cfRule>
    <cfRule type="cellIs" dxfId="4223" priority="4176" operator="equal">
      <formula>"SI"</formula>
    </cfRule>
  </conditionalFormatting>
  <conditionalFormatting sqref="AG223:AH223 AJ223">
    <cfRule type="cellIs" dxfId="4222" priority="4171" operator="equal">
      <formula>"SD"</formula>
    </cfRule>
    <cfRule type="cellIs" dxfId="4221" priority="4172" operator="equal">
      <formula>"NO"</formula>
    </cfRule>
    <cfRule type="cellIs" dxfId="4220" priority="4173" operator="equal">
      <formula>"SI"</formula>
    </cfRule>
  </conditionalFormatting>
  <conditionalFormatting sqref="AI223">
    <cfRule type="containsText" dxfId="4219" priority="4161" operator="containsText" text="HABITANTE DE CALLE">
      <formula>NOT(ISERROR(SEARCH("HABITANTE DE CALLE",AI223)))</formula>
    </cfRule>
    <cfRule type="containsText" dxfId="4218" priority="4167" operator="containsText" text="NINGUNO">
      <formula>NOT(ISERROR(SEARCH("NINGUNO",AI223)))</formula>
    </cfRule>
    <cfRule type="containsText" dxfId="4217" priority="4168" operator="containsText" text="MIGRATORIA">
      <formula>NOT(ISERROR(SEARCH("MIGRATORIA",AI223)))</formula>
    </cfRule>
    <cfRule type="containsText" dxfId="4216" priority="4169" operator="containsText" text="DISCAPACIDAD">
      <formula>NOT(ISERROR(SEARCH("DISCAPACIDAD",AI223)))</formula>
    </cfRule>
    <cfRule type="containsText" dxfId="4215" priority="4170" operator="containsText" text="DESPLAZADA">
      <formula>NOT(ISERROR(SEARCH("DESPLAZADA",AI223)))</formula>
    </cfRule>
  </conditionalFormatting>
  <conditionalFormatting sqref="AE223:AF223">
    <cfRule type="containsText" dxfId="4214" priority="4165" operator="containsText" text="NO">
      <formula>NOT(ISERROR(SEARCH("NO",AE223)))</formula>
    </cfRule>
    <cfRule type="containsText" dxfId="4213" priority="4166" operator="containsText" text="SI">
      <formula>NOT(ISERROR(SEARCH("SI",AE223)))</formula>
    </cfRule>
  </conditionalFormatting>
  <conditionalFormatting sqref="BF223:BI223">
    <cfRule type="cellIs" dxfId="4212" priority="4158" operator="equal">
      <formula>"SD"</formula>
    </cfRule>
    <cfRule type="cellIs" dxfId="4211" priority="4159" operator="equal">
      <formula>"NO"</formula>
    </cfRule>
    <cfRule type="cellIs" dxfId="4210" priority="4160" operator="equal">
      <formula>"SI"</formula>
    </cfRule>
  </conditionalFormatting>
  <conditionalFormatting sqref="AX223 BA223:BB223 BD223:BE223">
    <cfRule type="cellIs" dxfId="4209" priority="4155" operator="equal">
      <formula>"SD"</formula>
    </cfRule>
    <cfRule type="cellIs" dxfId="4208" priority="4156" operator="equal">
      <formula>"NO"</formula>
    </cfRule>
    <cfRule type="cellIs" dxfId="4207" priority="4157" operator="equal">
      <formula>"SI"</formula>
    </cfRule>
  </conditionalFormatting>
  <conditionalFormatting sqref="BE223">
    <cfRule type="expression" dxfId="4206" priority="4154">
      <formula>IF(AND(FA223&gt;=126,FC223&lt;24),1,0)</formula>
    </cfRule>
  </conditionalFormatting>
  <conditionalFormatting sqref="AY223">
    <cfRule type="containsText" dxfId="4205" priority="4149" operator="containsText" text="SD">
      <formula>NOT(ISERROR(SEARCH("SD",AY223)))</formula>
    </cfRule>
    <cfRule type="containsText" dxfId="4204" priority="4150" operator="containsText" text="SI, NO CONTROLADA">
      <formula>NOT(ISERROR(SEARCH("SI, NO CONTROLADA",AY223)))</formula>
    </cfRule>
    <cfRule type="containsText" dxfId="4203" priority="4151" operator="containsText" text="SI, SIN MANEJO">
      <formula>NOT(ISERROR(SEARCH("SI, SIN MANEJO",AY223)))</formula>
    </cfRule>
    <cfRule type="containsText" dxfId="4202" priority="4152" operator="containsText" text="SI, CONTROLADA">
      <formula>NOT(ISERROR(SEARCH("SI, CONTROLADA",AY223)))</formula>
    </cfRule>
    <cfRule type="containsText" dxfId="4201" priority="4153" operator="containsText" text="NO">
      <formula>NOT(ISERROR(SEARCH("NO",AY223)))</formula>
    </cfRule>
  </conditionalFormatting>
  <conditionalFormatting sqref="AZ223">
    <cfRule type="containsText" dxfId="4200" priority="4144" operator="containsText" text="SD">
      <formula>NOT(ISERROR(SEARCH("SD",AZ223)))</formula>
    </cfRule>
    <cfRule type="containsText" dxfId="4199" priority="4145" operator="containsText" text="SI, NO CONTROLADA">
      <formula>NOT(ISERROR(SEARCH("SI, NO CONTROLADA",AZ223)))</formula>
    </cfRule>
    <cfRule type="containsText" dxfId="4198" priority="4146" operator="containsText" text="SI, SIN MANEJO">
      <formula>NOT(ISERROR(SEARCH("SI, SIN MANEJO",AZ223)))</formula>
    </cfRule>
    <cfRule type="containsText" dxfId="4197" priority="4147" operator="containsText" text="SI, CONTROLADA">
      <formula>NOT(ISERROR(SEARCH("SI, CONTROLADA",AZ223)))</formula>
    </cfRule>
    <cfRule type="containsText" dxfId="4196" priority="4148" operator="containsText" text="NO">
      <formula>NOT(ISERROR(SEARCH("NO",AZ223)))</formula>
    </cfRule>
  </conditionalFormatting>
  <conditionalFormatting sqref="BC223">
    <cfRule type="cellIs" dxfId="4195" priority="4141" operator="equal">
      <formula>"SD"</formula>
    </cfRule>
    <cfRule type="cellIs" dxfId="4194" priority="4142" operator="equal">
      <formula>"NO"</formula>
    </cfRule>
    <cfRule type="cellIs" dxfId="4193" priority="4143" operator="equal">
      <formula>"SI"</formula>
    </cfRule>
  </conditionalFormatting>
  <conditionalFormatting sqref="CE223">
    <cfRule type="cellIs" dxfId="4192" priority="4138" operator="equal">
      <formula>"SD"</formula>
    </cfRule>
    <cfRule type="cellIs" dxfId="4191" priority="4139" operator="equal">
      <formula>"NO"</formula>
    </cfRule>
    <cfRule type="cellIs" dxfId="4190" priority="4140" operator="equal">
      <formula>"SI"</formula>
    </cfRule>
  </conditionalFormatting>
  <conditionalFormatting sqref="CD223">
    <cfRule type="cellIs" dxfId="4189" priority="4133" operator="equal">
      <formula>"SD"</formula>
    </cfRule>
    <cfRule type="cellIs" dxfId="4188" priority="4134" operator="equal">
      <formula>"OBLICUA"</formula>
    </cfRule>
    <cfRule type="cellIs" dxfId="4187" priority="4136" operator="equal">
      <formula>"PODÁLICA"</formula>
    </cfRule>
    <cfRule type="cellIs" dxfId="4186" priority="4137" operator="equal">
      <formula>"CEFÁLICA"</formula>
    </cfRule>
  </conditionalFormatting>
  <conditionalFormatting sqref="AG224:AH224 AJ224">
    <cfRule type="cellIs" dxfId="4185" priority="4130" operator="equal">
      <formula>"SD"</formula>
    </cfRule>
    <cfRule type="cellIs" dxfId="4184" priority="4131" operator="equal">
      <formula>"NO"</formula>
    </cfRule>
    <cfRule type="cellIs" dxfId="4183" priority="4132" operator="equal">
      <formula>"SI"</formula>
    </cfRule>
  </conditionalFormatting>
  <conditionalFormatting sqref="AI224">
    <cfRule type="containsText" dxfId="4182" priority="4120" operator="containsText" text="HABITANTE DE CALLE">
      <formula>NOT(ISERROR(SEARCH("HABITANTE DE CALLE",AI224)))</formula>
    </cfRule>
    <cfRule type="containsText" dxfId="4181" priority="4126" operator="containsText" text="NINGUNO">
      <formula>NOT(ISERROR(SEARCH("NINGUNO",AI224)))</formula>
    </cfRule>
    <cfRule type="containsText" dxfId="4180" priority="4127" operator="containsText" text="MIGRATORIA">
      <formula>NOT(ISERROR(SEARCH("MIGRATORIA",AI224)))</formula>
    </cfRule>
    <cfRule type="containsText" dxfId="4179" priority="4128" operator="containsText" text="DISCAPACIDAD">
      <formula>NOT(ISERROR(SEARCH("DISCAPACIDAD",AI224)))</formula>
    </cfRule>
    <cfRule type="containsText" dxfId="4178" priority="4129" operator="containsText" text="DESPLAZADA">
      <formula>NOT(ISERROR(SEARCH("DESPLAZADA",AI224)))</formula>
    </cfRule>
  </conditionalFormatting>
  <conditionalFormatting sqref="AE224:AF224">
    <cfRule type="containsText" dxfId="4177" priority="4124" operator="containsText" text="NO">
      <formula>NOT(ISERROR(SEARCH("NO",AE224)))</formula>
    </cfRule>
    <cfRule type="containsText" dxfId="4176" priority="4125" operator="containsText" text="SI">
      <formula>NOT(ISERROR(SEARCH("SI",AE224)))</formula>
    </cfRule>
  </conditionalFormatting>
  <conditionalFormatting sqref="BJ224:BK224">
    <cfRule type="cellIs" dxfId="4175" priority="4117" operator="equal">
      <formula>"SD"</formula>
    </cfRule>
    <cfRule type="cellIs" dxfId="4174" priority="4118" operator="equal">
      <formula>"NO"</formula>
    </cfRule>
    <cfRule type="cellIs" dxfId="4173" priority="4119" operator="equal">
      <formula>"SI"</formula>
    </cfRule>
  </conditionalFormatting>
  <conditionalFormatting sqref="BF224:BI224">
    <cfRule type="cellIs" dxfId="4172" priority="4114" operator="equal">
      <formula>"SD"</formula>
    </cfRule>
    <cfRule type="cellIs" dxfId="4171" priority="4115" operator="equal">
      <formula>"NO"</formula>
    </cfRule>
    <cfRule type="cellIs" dxfId="4170" priority="4116" operator="equal">
      <formula>"SI"</formula>
    </cfRule>
  </conditionalFormatting>
  <conditionalFormatting sqref="AX224 BA224:BB224 BD224:BE224">
    <cfRule type="cellIs" dxfId="4169" priority="4111" operator="equal">
      <formula>"SD"</formula>
    </cfRule>
    <cfRule type="cellIs" dxfId="4168" priority="4112" operator="equal">
      <formula>"NO"</formula>
    </cfRule>
    <cfRule type="cellIs" dxfId="4167" priority="4113" operator="equal">
      <formula>"SI"</formula>
    </cfRule>
  </conditionalFormatting>
  <conditionalFormatting sqref="BE224">
    <cfRule type="expression" dxfId="4166" priority="4110">
      <formula>IF(AND(FA224&gt;=126,FC224&lt;24),1,0)</formula>
    </cfRule>
  </conditionalFormatting>
  <conditionalFormatting sqref="AY224">
    <cfRule type="containsText" dxfId="4165" priority="4105" operator="containsText" text="SD">
      <formula>NOT(ISERROR(SEARCH("SD",AY224)))</formula>
    </cfRule>
    <cfRule type="containsText" dxfId="4164" priority="4106" operator="containsText" text="SI, NO CONTROLADA">
      <formula>NOT(ISERROR(SEARCH("SI, NO CONTROLADA",AY224)))</formula>
    </cfRule>
    <cfRule type="containsText" dxfId="4163" priority="4107" operator="containsText" text="SI, SIN MANEJO">
      <formula>NOT(ISERROR(SEARCH("SI, SIN MANEJO",AY224)))</formula>
    </cfRule>
    <cfRule type="containsText" dxfId="4162" priority="4108" operator="containsText" text="SI, CONTROLADA">
      <formula>NOT(ISERROR(SEARCH("SI, CONTROLADA",AY224)))</formula>
    </cfRule>
    <cfRule type="containsText" dxfId="4161" priority="4109" operator="containsText" text="NO">
      <formula>NOT(ISERROR(SEARCH("NO",AY224)))</formula>
    </cfRule>
  </conditionalFormatting>
  <conditionalFormatting sqref="AZ224">
    <cfRule type="containsText" dxfId="4160" priority="4100" operator="containsText" text="SD">
      <formula>NOT(ISERROR(SEARCH("SD",AZ224)))</formula>
    </cfRule>
    <cfRule type="containsText" dxfId="4159" priority="4101" operator="containsText" text="SI, NO CONTROLADA">
      <formula>NOT(ISERROR(SEARCH("SI, NO CONTROLADA",AZ224)))</formula>
    </cfRule>
    <cfRule type="containsText" dxfId="4158" priority="4102" operator="containsText" text="SI, SIN MANEJO">
      <formula>NOT(ISERROR(SEARCH("SI, SIN MANEJO",AZ224)))</formula>
    </cfRule>
    <cfRule type="containsText" dxfId="4157" priority="4103" operator="containsText" text="SI, CONTROLADA">
      <formula>NOT(ISERROR(SEARCH("SI, CONTROLADA",AZ224)))</formula>
    </cfRule>
    <cfRule type="containsText" dxfId="4156" priority="4104" operator="containsText" text="NO">
      <formula>NOT(ISERROR(SEARCH("NO",AZ224)))</formula>
    </cfRule>
  </conditionalFormatting>
  <conditionalFormatting sqref="BC224">
    <cfRule type="cellIs" dxfId="4155" priority="4097" operator="equal">
      <formula>"SD"</formula>
    </cfRule>
    <cfRule type="cellIs" dxfId="4154" priority="4098" operator="equal">
      <formula>"NO"</formula>
    </cfRule>
    <cfRule type="cellIs" dxfId="4153" priority="4099" operator="equal">
      <formula>"SI"</formula>
    </cfRule>
  </conditionalFormatting>
  <conditionalFormatting sqref="CC224">
    <cfRule type="cellIs" dxfId="4152" priority="4094" operator="equal">
      <formula>"SD"</formula>
    </cfRule>
    <cfRule type="cellIs" dxfId="4151" priority="4095" operator="equal">
      <formula>"NO"</formula>
    </cfRule>
    <cfRule type="cellIs" dxfId="4150" priority="4096" operator="equal">
      <formula>"SI"</formula>
    </cfRule>
  </conditionalFormatting>
  <conditionalFormatting sqref="CE224">
    <cfRule type="cellIs" dxfId="4149" priority="4091" operator="equal">
      <formula>"SD"</formula>
    </cfRule>
    <cfRule type="cellIs" dxfId="4148" priority="4092" operator="equal">
      <formula>"NO"</formula>
    </cfRule>
    <cfRule type="cellIs" dxfId="4147" priority="4093" operator="equal">
      <formula>"SI"</formula>
    </cfRule>
  </conditionalFormatting>
  <conditionalFormatting sqref="CD224">
    <cfRule type="cellIs" dxfId="4146" priority="4086" operator="equal">
      <formula>"SD"</formula>
    </cfRule>
    <cfRule type="cellIs" dxfId="4145" priority="4087" operator="equal">
      <formula>"OBLICUA"</formula>
    </cfRule>
    <cfRule type="cellIs" dxfId="4144" priority="4089" operator="equal">
      <formula>"PODÁLICA"</formula>
    </cfRule>
    <cfRule type="cellIs" dxfId="4143" priority="4090" operator="equal">
      <formula>"CEFÁLICA"</formula>
    </cfRule>
  </conditionalFormatting>
  <conditionalFormatting sqref="AE225">
    <cfRule type="containsText" dxfId="4142" priority="4084" operator="containsText" text="NO">
      <formula>NOT(ISERROR(SEARCH("NO",AE225)))</formula>
    </cfRule>
    <cfRule type="containsText" dxfId="4141" priority="4085" operator="containsText" text="SI">
      <formula>NOT(ISERROR(SEARCH("SI",AE225)))</formula>
    </cfRule>
  </conditionalFormatting>
  <conditionalFormatting sqref="AG225:AH225 AJ225">
    <cfRule type="cellIs" dxfId="4140" priority="4078" operator="equal">
      <formula>"SD"</formula>
    </cfRule>
    <cfRule type="cellIs" dxfId="4139" priority="4079" operator="equal">
      <formula>"NO"</formula>
    </cfRule>
    <cfRule type="cellIs" dxfId="4138" priority="4080" operator="equal">
      <formula>"SI"</formula>
    </cfRule>
  </conditionalFormatting>
  <conditionalFormatting sqref="AI225">
    <cfRule type="containsText" dxfId="4137" priority="4071" operator="containsText" text="HABITANTE DE CALLE">
      <formula>NOT(ISERROR(SEARCH("HABITANTE DE CALLE",AI225)))</formula>
    </cfRule>
    <cfRule type="containsText" dxfId="4136" priority="4074" operator="containsText" text="NINGUNO">
      <formula>NOT(ISERROR(SEARCH("NINGUNO",AI225)))</formula>
    </cfRule>
    <cfRule type="containsText" dxfId="4135" priority="4075" operator="containsText" text="MIGRATORIA">
      <formula>NOT(ISERROR(SEARCH("MIGRATORIA",AI225)))</formula>
    </cfRule>
    <cfRule type="containsText" dxfId="4134" priority="4076" operator="containsText" text="DISCAPACIDAD">
      <formula>NOT(ISERROR(SEARCH("DISCAPACIDAD",AI225)))</formula>
    </cfRule>
    <cfRule type="containsText" dxfId="4133" priority="4077" operator="containsText" text="DESPLAZADA">
      <formula>NOT(ISERROR(SEARCH("DESPLAZADA",AI225)))</formula>
    </cfRule>
  </conditionalFormatting>
  <conditionalFormatting sqref="AF225">
    <cfRule type="containsText" dxfId="4132" priority="4072" operator="containsText" text="NO">
      <formula>NOT(ISERROR(SEARCH("NO",AF225)))</formula>
    </cfRule>
    <cfRule type="containsText" dxfId="4131" priority="4073" operator="containsText" text="SI">
      <formula>NOT(ISERROR(SEARCH("SI",AF225)))</formula>
    </cfRule>
  </conditionalFormatting>
  <conditionalFormatting sqref="BJ225">
    <cfRule type="cellIs" dxfId="4130" priority="4068" operator="equal">
      <formula>"SD"</formula>
    </cfRule>
    <cfRule type="cellIs" dxfId="4129" priority="4069" operator="equal">
      <formula>"NO"</formula>
    </cfRule>
    <cfRule type="cellIs" dxfId="4128" priority="4070" operator="equal">
      <formula>"SI"</formula>
    </cfRule>
  </conditionalFormatting>
  <conditionalFormatting sqref="BF225:BI225">
    <cfRule type="cellIs" dxfId="4127" priority="4065" operator="equal">
      <formula>"SD"</formula>
    </cfRule>
    <cfRule type="cellIs" dxfId="4126" priority="4066" operator="equal">
      <formula>"NO"</formula>
    </cfRule>
    <cfRule type="cellIs" dxfId="4125" priority="4067" operator="equal">
      <formula>"SI"</formula>
    </cfRule>
  </conditionalFormatting>
  <conditionalFormatting sqref="AX225 BA225:BB225 BD225:BE225">
    <cfRule type="cellIs" dxfId="4124" priority="4062" operator="equal">
      <formula>"SD"</formula>
    </cfRule>
    <cfRule type="cellIs" dxfId="4123" priority="4063" operator="equal">
      <formula>"NO"</formula>
    </cfRule>
    <cfRule type="cellIs" dxfId="4122" priority="4064" operator="equal">
      <formula>"SI"</formula>
    </cfRule>
  </conditionalFormatting>
  <conditionalFormatting sqref="BE225">
    <cfRule type="expression" dxfId="4121" priority="4061">
      <formula>IF(AND(FA225&gt;=126,FC225&lt;24),1,0)</formula>
    </cfRule>
  </conditionalFormatting>
  <conditionalFormatting sqref="AY225">
    <cfRule type="containsText" dxfId="4120" priority="4056" operator="containsText" text="SD">
      <formula>NOT(ISERROR(SEARCH("SD",AY225)))</formula>
    </cfRule>
    <cfRule type="containsText" dxfId="4119" priority="4057" operator="containsText" text="SI, NO CONTROLADA">
      <formula>NOT(ISERROR(SEARCH("SI, NO CONTROLADA",AY225)))</formula>
    </cfRule>
    <cfRule type="containsText" dxfId="4118" priority="4058" operator="containsText" text="SI, SIN MANEJO">
      <formula>NOT(ISERROR(SEARCH("SI, SIN MANEJO",AY225)))</formula>
    </cfRule>
    <cfRule type="containsText" dxfId="4117" priority="4059" operator="containsText" text="SI, CONTROLADA">
      <formula>NOT(ISERROR(SEARCH("SI, CONTROLADA",AY225)))</formula>
    </cfRule>
    <cfRule type="containsText" dxfId="4116" priority="4060" operator="containsText" text="NO">
      <formula>NOT(ISERROR(SEARCH("NO",AY225)))</formula>
    </cfRule>
  </conditionalFormatting>
  <conditionalFormatting sqref="AZ225">
    <cfRule type="containsText" dxfId="4115" priority="4051" operator="containsText" text="SD">
      <formula>NOT(ISERROR(SEARCH("SD",AZ225)))</formula>
    </cfRule>
    <cfRule type="containsText" dxfId="4114" priority="4052" operator="containsText" text="SI, NO CONTROLADA">
      <formula>NOT(ISERROR(SEARCH("SI, NO CONTROLADA",AZ225)))</formula>
    </cfRule>
    <cfRule type="containsText" dxfId="4113" priority="4053" operator="containsText" text="SI, SIN MANEJO">
      <formula>NOT(ISERROR(SEARCH("SI, SIN MANEJO",AZ225)))</formula>
    </cfRule>
    <cfRule type="containsText" dxfId="4112" priority="4054" operator="containsText" text="SI, CONTROLADA">
      <formula>NOT(ISERROR(SEARCH("SI, CONTROLADA",AZ225)))</formula>
    </cfRule>
    <cfRule type="containsText" dxfId="4111" priority="4055" operator="containsText" text="NO">
      <formula>NOT(ISERROR(SEARCH("NO",AZ225)))</formula>
    </cfRule>
  </conditionalFormatting>
  <conditionalFormatting sqref="BC225">
    <cfRule type="cellIs" dxfId="4110" priority="4048" operator="equal">
      <formula>"SD"</formula>
    </cfRule>
    <cfRule type="cellIs" dxfId="4109" priority="4049" operator="equal">
      <formula>"NO"</formula>
    </cfRule>
    <cfRule type="cellIs" dxfId="4108" priority="4050" operator="equal">
      <formula>"SI"</formula>
    </cfRule>
  </conditionalFormatting>
  <conditionalFormatting sqref="BL225:BM225">
    <cfRule type="cellIs" dxfId="4107" priority="4045" operator="equal">
      <formula>"SD"</formula>
    </cfRule>
    <cfRule type="cellIs" dxfId="4106" priority="4046" operator="equal">
      <formula>"NO"</formula>
    </cfRule>
    <cfRule type="cellIs" dxfId="4105" priority="4047" operator="equal">
      <formula>"SI"</formula>
    </cfRule>
  </conditionalFormatting>
  <conditionalFormatting sqref="BK225">
    <cfRule type="cellIs" dxfId="4104" priority="4042" operator="equal">
      <formula>"SD"</formula>
    </cfRule>
    <cfRule type="cellIs" dxfId="4103" priority="4043" operator="equal">
      <formula>"NO"</formula>
    </cfRule>
    <cfRule type="cellIs" dxfId="4102" priority="4044" operator="equal">
      <formula>"SI"</formula>
    </cfRule>
  </conditionalFormatting>
  <conditionalFormatting sqref="AE226">
    <cfRule type="containsText" dxfId="4101" priority="4040" operator="containsText" text="NO">
      <formula>NOT(ISERROR(SEARCH("NO",AE226)))</formula>
    </cfRule>
    <cfRule type="containsText" dxfId="4100" priority="4041" operator="containsText" text="SI">
      <formula>NOT(ISERROR(SEARCH("SI",AE226)))</formula>
    </cfRule>
  </conditionalFormatting>
  <conditionalFormatting sqref="AG226:AH226 AJ226">
    <cfRule type="cellIs" dxfId="4099" priority="4034" operator="equal">
      <formula>"SD"</formula>
    </cfRule>
    <cfRule type="cellIs" dxfId="4098" priority="4035" operator="equal">
      <formula>"NO"</formula>
    </cfRule>
    <cfRule type="cellIs" dxfId="4097" priority="4036" operator="equal">
      <formula>"SI"</formula>
    </cfRule>
  </conditionalFormatting>
  <conditionalFormatting sqref="AI226">
    <cfRule type="containsText" dxfId="4096" priority="4027" operator="containsText" text="HABITANTE DE CALLE">
      <formula>NOT(ISERROR(SEARCH("HABITANTE DE CALLE",AI226)))</formula>
    </cfRule>
    <cfRule type="containsText" dxfId="4095" priority="4030" operator="containsText" text="NINGUNO">
      <formula>NOT(ISERROR(SEARCH("NINGUNO",AI226)))</formula>
    </cfRule>
    <cfRule type="containsText" dxfId="4094" priority="4031" operator="containsText" text="MIGRATORIA">
      <formula>NOT(ISERROR(SEARCH("MIGRATORIA",AI226)))</formula>
    </cfRule>
    <cfRule type="containsText" dxfId="4093" priority="4032" operator="containsText" text="DISCAPACIDAD">
      <formula>NOT(ISERROR(SEARCH("DISCAPACIDAD",AI226)))</formula>
    </cfRule>
    <cfRule type="containsText" dxfId="4092" priority="4033" operator="containsText" text="DESPLAZADA">
      <formula>NOT(ISERROR(SEARCH("DESPLAZADA",AI226)))</formula>
    </cfRule>
  </conditionalFormatting>
  <conditionalFormatting sqref="AF226">
    <cfRule type="containsText" dxfId="4091" priority="4028" operator="containsText" text="NO">
      <formula>NOT(ISERROR(SEARCH("NO",AF226)))</formula>
    </cfRule>
    <cfRule type="containsText" dxfId="4090" priority="4029" operator="containsText" text="SI">
      <formula>NOT(ISERROR(SEARCH("SI",AF226)))</formula>
    </cfRule>
  </conditionalFormatting>
  <conditionalFormatting sqref="BF226:BH226">
    <cfRule type="cellIs" dxfId="4089" priority="4024" operator="equal">
      <formula>"SD"</formula>
    </cfRule>
    <cfRule type="cellIs" dxfId="4088" priority="4025" operator="equal">
      <formula>"NO"</formula>
    </cfRule>
    <cfRule type="cellIs" dxfId="4087" priority="4026" operator="equal">
      <formula>"SI"</formula>
    </cfRule>
  </conditionalFormatting>
  <conditionalFormatting sqref="AX226 BA226:BB226 BD226:BE226">
    <cfRule type="cellIs" dxfId="4086" priority="4021" operator="equal">
      <formula>"SD"</formula>
    </cfRule>
    <cfRule type="cellIs" dxfId="4085" priority="4022" operator="equal">
      <formula>"NO"</formula>
    </cfRule>
    <cfRule type="cellIs" dxfId="4084" priority="4023" operator="equal">
      <formula>"SI"</formula>
    </cfRule>
  </conditionalFormatting>
  <conditionalFormatting sqref="BE226">
    <cfRule type="expression" dxfId="4083" priority="4020">
      <formula>IF(AND(FA226&gt;=126,FC226&lt;24),1,0)</formula>
    </cfRule>
  </conditionalFormatting>
  <conditionalFormatting sqref="AY226">
    <cfRule type="containsText" dxfId="4082" priority="4015" operator="containsText" text="SD">
      <formula>NOT(ISERROR(SEARCH("SD",AY226)))</formula>
    </cfRule>
    <cfRule type="containsText" dxfId="4081" priority="4016" operator="containsText" text="SI, NO CONTROLADA">
      <formula>NOT(ISERROR(SEARCH("SI, NO CONTROLADA",AY226)))</formula>
    </cfRule>
    <cfRule type="containsText" dxfId="4080" priority="4017" operator="containsText" text="SI, SIN MANEJO">
      <formula>NOT(ISERROR(SEARCH("SI, SIN MANEJO",AY226)))</formula>
    </cfRule>
    <cfRule type="containsText" dxfId="4079" priority="4018" operator="containsText" text="SI, CONTROLADA">
      <formula>NOT(ISERROR(SEARCH("SI, CONTROLADA",AY226)))</formula>
    </cfRule>
    <cfRule type="containsText" dxfId="4078" priority="4019" operator="containsText" text="NO">
      <formula>NOT(ISERROR(SEARCH("NO",AY226)))</formula>
    </cfRule>
  </conditionalFormatting>
  <conditionalFormatting sqref="AZ226">
    <cfRule type="containsText" dxfId="4077" priority="4010" operator="containsText" text="SD">
      <formula>NOT(ISERROR(SEARCH("SD",AZ226)))</formula>
    </cfRule>
    <cfRule type="containsText" dxfId="4076" priority="4011" operator="containsText" text="SI, NO CONTROLADA">
      <formula>NOT(ISERROR(SEARCH("SI, NO CONTROLADA",AZ226)))</formula>
    </cfRule>
    <cfRule type="containsText" dxfId="4075" priority="4012" operator="containsText" text="SI, SIN MANEJO">
      <formula>NOT(ISERROR(SEARCH("SI, SIN MANEJO",AZ226)))</formula>
    </cfRule>
    <cfRule type="containsText" dxfId="4074" priority="4013" operator="containsText" text="SI, CONTROLADA">
      <formula>NOT(ISERROR(SEARCH("SI, CONTROLADA",AZ226)))</formula>
    </cfRule>
    <cfRule type="containsText" dxfId="4073" priority="4014" operator="containsText" text="NO">
      <formula>NOT(ISERROR(SEARCH("NO",AZ226)))</formula>
    </cfRule>
  </conditionalFormatting>
  <conditionalFormatting sqref="BC226">
    <cfRule type="cellIs" dxfId="4072" priority="4007" operator="equal">
      <formula>"SD"</formula>
    </cfRule>
    <cfRule type="cellIs" dxfId="4071" priority="4008" operator="equal">
      <formula>"NO"</formula>
    </cfRule>
    <cfRule type="cellIs" dxfId="4070" priority="4009" operator="equal">
      <formula>"SI"</formula>
    </cfRule>
  </conditionalFormatting>
  <conditionalFormatting sqref="BJ226">
    <cfRule type="cellIs" dxfId="4069" priority="4004" operator="equal">
      <formula>"SD"</formula>
    </cfRule>
    <cfRule type="cellIs" dxfId="4068" priority="4005" operator="equal">
      <formula>"NO"</formula>
    </cfRule>
    <cfRule type="cellIs" dxfId="4067" priority="4006" operator="equal">
      <formula>"SI"</formula>
    </cfRule>
  </conditionalFormatting>
  <conditionalFormatting sqref="BI226">
    <cfRule type="cellIs" dxfId="4066" priority="4001" operator="equal">
      <formula>"SD"</formula>
    </cfRule>
    <cfRule type="cellIs" dxfId="4065" priority="4002" operator="equal">
      <formula>"NO"</formula>
    </cfRule>
    <cfRule type="cellIs" dxfId="4064" priority="4003" operator="equal">
      <formula>"SI"</formula>
    </cfRule>
  </conditionalFormatting>
  <conditionalFormatting sqref="BL226:BM226">
    <cfRule type="cellIs" dxfId="4063" priority="3998" operator="equal">
      <formula>"SD"</formula>
    </cfRule>
    <cfRule type="cellIs" dxfId="4062" priority="3999" operator="equal">
      <formula>"NO"</formula>
    </cfRule>
    <cfRule type="cellIs" dxfId="4061" priority="4000" operator="equal">
      <formula>"SI"</formula>
    </cfRule>
  </conditionalFormatting>
  <conditionalFormatting sqref="BK226">
    <cfRule type="cellIs" dxfId="4060" priority="3995" operator="equal">
      <formula>"SD"</formula>
    </cfRule>
    <cfRule type="cellIs" dxfId="4059" priority="3996" operator="equal">
      <formula>"NO"</formula>
    </cfRule>
    <cfRule type="cellIs" dxfId="4058" priority="3997" operator="equal">
      <formula>"SI"</formula>
    </cfRule>
  </conditionalFormatting>
  <conditionalFormatting sqref="CD226">
    <cfRule type="cellIs" dxfId="4057" priority="3990" operator="equal">
      <formula>"SD"</formula>
    </cfRule>
    <cfRule type="cellIs" dxfId="4056" priority="3991" operator="equal">
      <formula>"OBLICUA"</formula>
    </cfRule>
    <cfRule type="cellIs" dxfId="4055" priority="3993" operator="equal">
      <formula>"PODÁLICA"</formula>
    </cfRule>
    <cfRule type="cellIs" dxfId="4054" priority="3994" operator="equal">
      <formula>"CEFÁLICA"</formula>
    </cfRule>
  </conditionalFormatting>
  <conditionalFormatting sqref="CE226">
    <cfRule type="cellIs" dxfId="4053" priority="3987" operator="equal">
      <formula>"SD"</formula>
    </cfRule>
    <cfRule type="cellIs" dxfId="4052" priority="3988" operator="equal">
      <formula>"NO"</formula>
    </cfRule>
    <cfRule type="cellIs" dxfId="4051" priority="3989" operator="equal">
      <formula>"SI"</formula>
    </cfRule>
  </conditionalFormatting>
  <conditionalFormatting sqref="AE227">
    <cfRule type="containsText" dxfId="4050" priority="3985" operator="containsText" text="NO">
      <formula>NOT(ISERROR(SEARCH("NO",AE227)))</formula>
    </cfRule>
    <cfRule type="containsText" dxfId="4049" priority="3986" operator="containsText" text="SI">
      <formula>NOT(ISERROR(SEARCH("SI",AE227)))</formula>
    </cfRule>
  </conditionalFormatting>
  <conditionalFormatting sqref="AG227:AH227 AJ227">
    <cfRule type="cellIs" dxfId="4048" priority="3979" operator="equal">
      <formula>"SD"</formula>
    </cfRule>
    <cfRule type="cellIs" dxfId="4047" priority="3980" operator="equal">
      <formula>"NO"</formula>
    </cfRule>
    <cfRule type="cellIs" dxfId="4046" priority="3981" operator="equal">
      <formula>"SI"</formula>
    </cfRule>
  </conditionalFormatting>
  <conditionalFormatting sqref="AI227">
    <cfRule type="containsText" dxfId="4045" priority="3972" operator="containsText" text="HABITANTE DE CALLE">
      <formula>NOT(ISERROR(SEARCH("HABITANTE DE CALLE",AI227)))</formula>
    </cfRule>
    <cfRule type="containsText" dxfId="4044" priority="3975" operator="containsText" text="NINGUNO">
      <formula>NOT(ISERROR(SEARCH("NINGUNO",AI227)))</formula>
    </cfRule>
    <cfRule type="containsText" dxfId="4043" priority="3976" operator="containsText" text="MIGRATORIA">
      <formula>NOT(ISERROR(SEARCH("MIGRATORIA",AI227)))</formula>
    </cfRule>
    <cfRule type="containsText" dxfId="4042" priority="3977" operator="containsText" text="DISCAPACIDAD">
      <formula>NOT(ISERROR(SEARCH("DISCAPACIDAD",AI227)))</formula>
    </cfRule>
    <cfRule type="containsText" dxfId="4041" priority="3978" operator="containsText" text="DESPLAZADA">
      <formula>NOT(ISERROR(SEARCH("DESPLAZADA",AI227)))</formula>
    </cfRule>
  </conditionalFormatting>
  <conditionalFormatting sqref="AF227">
    <cfRule type="containsText" dxfId="4040" priority="3973" operator="containsText" text="NO">
      <formula>NOT(ISERROR(SEARCH("NO",AF227)))</formula>
    </cfRule>
    <cfRule type="containsText" dxfId="4039" priority="3974" operator="containsText" text="SI">
      <formula>NOT(ISERROR(SEARCH("SI",AF227)))</formula>
    </cfRule>
  </conditionalFormatting>
  <conditionalFormatting sqref="BF227:BG227">
    <cfRule type="cellIs" dxfId="4038" priority="3969" operator="equal">
      <formula>"SD"</formula>
    </cfRule>
    <cfRule type="cellIs" dxfId="4037" priority="3970" operator="equal">
      <formula>"NO"</formula>
    </cfRule>
    <cfRule type="cellIs" dxfId="4036" priority="3971" operator="equal">
      <formula>"SI"</formula>
    </cfRule>
  </conditionalFormatting>
  <conditionalFormatting sqref="BA227:BB227 BD227:BE227">
    <cfRule type="cellIs" dxfId="4035" priority="3966" operator="equal">
      <formula>"SD"</formula>
    </cfRule>
    <cfRule type="cellIs" dxfId="4034" priority="3967" operator="equal">
      <formula>"NO"</formula>
    </cfRule>
    <cfRule type="cellIs" dxfId="4033" priority="3968" operator="equal">
      <formula>"SI"</formula>
    </cfRule>
  </conditionalFormatting>
  <conditionalFormatting sqref="BE227">
    <cfRule type="expression" dxfId="4032" priority="3965">
      <formula>IF(AND(FA227&gt;=126,FC227&lt;24),1,0)</formula>
    </cfRule>
  </conditionalFormatting>
  <conditionalFormatting sqref="AY227">
    <cfRule type="containsText" dxfId="4031" priority="3960" operator="containsText" text="SD">
      <formula>NOT(ISERROR(SEARCH("SD",AY227)))</formula>
    </cfRule>
    <cfRule type="containsText" dxfId="4030" priority="3961" operator="containsText" text="SI, NO CONTROLADA">
      <formula>NOT(ISERROR(SEARCH("SI, NO CONTROLADA",AY227)))</formula>
    </cfRule>
    <cfRule type="containsText" dxfId="4029" priority="3962" operator="containsText" text="SI, SIN MANEJO">
      <formula>NOT(ISERROR(SEARCH("SI, SIN MANEJO",AY227)))</formula>
    </cfRule>
    <cfRule type="containsText" dxfId="4028" priority="3963" operator="containsText" text="SI, CONTROLADA">
      <formula>NOT(ISERROR(SEARCH("SI, CONTROLADA",AY227)))</formula>
    </cfRule>
    <cfRule type="containsText" dxfId="4027" priority="3964" operator="containsText" text="NO">
      <formula>NOT(ISERROR(SEARCH("NO",AY227)))</formula>
    </cfRule>
  </conditionalFormatting>
  <conditionalFormatting sqref="AZ227">
    <cfRule type="containsText" dxfId="4026" priority="3955" operator="containsText" text="SD">
      <formula>NOT(ISERROR(SEARCH("SD",AZ227)))</formula>
    </cfRule>
    <cfRule type="containsText" dxfId="4025" priority="3956" operator="containsText" text="SI, NO CONTROLADA">
      <formula>NOT(ISERROR(SEARCH("SI, NO CONTROLADA",AZ227)))</formula>
    </cfRule>
    <cfRule type="containsText" dxfId="4024" priority="3957" operator="containsText" text="SI, SIN MANEJO">
      <formula>NOT(ISERROR(SEARCH("SI, SIN MANEJO",AZ227)))</formula>
    </cfRule>
    <cfRule type="containsText" dxfId="4023" priority="3958" operator="containsText" text="SI, CONTROLADA">
      <formula>NOT(ISERROR(SEARCH("SI, CONTROLADA",AZ227)))</formula>
    </cfRule>
    <cfRule type="containsText" dxfId="4022" priority="3959" operator="containsText" text="NO">
      <formula>NOT(ISERROR(SEARCH("NO",AZ227)))</formula>
    </cfRule>
  </conditionalFormatting>
  <conditionalFormatting sqref="BC227">
    <cfRule type="cellIs" dxfId="4021" priority="3952" operator="equal">
      <formula>"SD"</formula>
    </cfRule>
    <cfRule type="cellIs" dxfId="4020" priority="3953" operator="equal">
      <formula>"NO"</formula>
    </cfRule>
    <cfRule type="cellIs" dxfId="4019" priority="3954" operator="equal">
      <formula>"SI"</formula>
    </cfRule>
  </conditionalFormatting>
  <conditionalFormatting sqref="BH227">
    <cfRule type="cellIs" dxfId="4018" priority="3949" operator="equal">
      <formula>"SD"</formula>
    </cfRule>
    <cfRule type="cellIs" dxfId="4017" priority="3950" operator="equal">
      <formula>"NO"</formula>
    </cfRule>
    <cfRule type="cellIs" dxfId="4016" priority="3951" operator="equal">
      <formula>"SI"</formula>
    </cfRule>
  </conditionalFormatting>
  <conditionalFormatting sqref="BJ227">
    <cfRule type="cellIs" dxfId="4015" priority="3946" operator="equal">
      <formula>"SD"</formula>
    </cfRule>
    <cfRule type="cellIs" dxfId="4014" priority="3947" operator="equal">
      <formula>"NO"</formula>
    </cfRule>
    <cfRule type="cellIs" dxfId="4013" priority="3948" operator="equal">
      <formula>"SI"</formula>
    </cfRule>
  </conditionalFormatting>
  <conditionalFormatting sqref="BI227">
    <cfRule type="cellIs" dxfId="4012" priority="3943" operator="equal">
      <formula>"SD"</formula>
    </cfRule>
    <cfRule type="cellIs" dxfId="4011" priority="3944" operator="equal">
      <formula>"NO"</formula>
    </cfRule>
    <cfRule type="cellIs" dxfId="4010" priority="3945" operator="equal">
      <formula>"SI"</formula>
    </cfRule>
  </conditionalFormatting>
  <conditionalFormatting sqref="BL227:BM227">
    <cfRule type="cellIs" dxfId="4009" priority="3940" operator="equal">
      <formula>"SD"</formula>
    </cfRule>
    <cfRule type="cellIs" dxfId="4008" priority="3941" operator="equal">
      <formula>"NO"</formula>
    </cfRule>
    <cfRule type="cellIs" dxfId="4007" priority="3942" operator="equal">
      <formula>"SI"</formula>
    </cfRule>
  </conditionalFormatting>
  <conditionalFormatting sqref="BK227">
    <cfRule type="cellIs" dxfId="4006" priority="3937" operator="equal">
      <formula>"SD"</formula>
    </cfRule>
    <cfRule type="cellIs" dxfId="4005" priority="3938" operator="equal">
      <formula>"NO"</formula>
    </cfRule>
    <cfRule type="cellIs" dxfId="4004" priority="3939" operator="equal">
      <formula>"SI"</formula>
    </cfRule>
  </conditionalFormatting>
  <conditionalFormatting sqref="CB227:CC227">
    <cfRule type="cellIs" dxfId="4003" priority="3934" operator="equal">
      <formula>"SD"</formula>
    </cfRule>
    <cfRule type="cellIs" dxfId="4002" priority="3935" operator="equal">
      <formula>"NO"</formula>
    </cfRule>
    <cfRule type="cellIs" dxfId="4001" priority="3936" operator="equal">
      <formula>"SI"</formula>
    </cfRule>
  </conditionalFormatting>
  <conditionalFormatting sqref="CD227">
    <cfRule type="cellIs" dxfId="4000" priority="3929" operator="equal">
      <formula>"SD"</formula>
    </cfRule>
    <cfRule type="cellIs" dxfId="3999" priority="3930" operator="equal">
      <formula>"OBLICUA"</formula>
    </cfRule>
    <cfRule type="cellIs" dxfId="3998" priority="3932" operator="equal">
      <formula>"PODÁLICA"</formula>
    </cfRule>
    <cfRule type="cellIs" dxfId="3997" priority="3933" operator="equal">
      <formula>"CEFÁLICA"</formula>
    </cfRule>
  </conditionalFormatting>
  <conditionalFormatting sqref="CE227">
    <cfRule type="cellIs" dxfId="3996" priority="3926" operator="equal">
      <formula>"SD"</formula>
    </cfRule>
    <cfRule type="cellIs" dxfId="3995" priority="3927" operator="equal">
      <formula>"NO"</formula>
    </cfRule>
    <cfRule type="cellIs" dxfId="3994" priority="3928" operator="equal">
      <formula>"SI"</formula>
    </cfRule>
  </conditionalFormatting>
  <conditionalFormatting sqref="L228">
    <cfRule type="containsText" dxfId="3993" priority="3917" operator="containsText" text="Empleo informal">
      <formula>NOT(ISERROR(SEARCH("Empleo informal",L228)))</formula>
    </cfRule>
    <cfRule type="containsText" dxfId="3992" priority="3918" operator="containsText" text="Empleada formalmente con riesgo a tóxicos">
      <formula>NOT(ISERROR(SEARCH("Empleada formalmente con riesgo a tóxicos",L228)))</formula>
    </cfRule>
    <cfRule type="containsText" dxfId="3991" priority="3919" operator="containsText" text="Empleada formalmente con riesgo de accidente laboral">
      <formula>NOT(ISERROR(SEARCH("Empleada formalmente con riesgo de accidente laboral",L228)))</formula>
    </cfRule>
    <cfRule type="containsText" dxfId="3990" priority="3920" operator="containsText" text="Empleada formalmente por jornada laboral extensa">
      <formula>NOT(ISERROR(SEARCH("Empleada formalmente por jornada laboral extensa",L228)))</formula>
    </cfRule>
    <cfRule type="containsText" dxfId="3989" priority="3921" operator="containsText" text="Empleada formalmente sin riesgo">
      <formula>NOT(ISERROR(SEARCH("Empleada formalmente sin riesgo",L228)))</formula>
    </cfRule>
    <cfRule type="containsText" dxfId="3988" priority="3922" operator="containsText" text="Actualmente desempleada">
      <formula>NOT(ISERROR(SEARCH("Actualmente desempleada",L228)))</formula>
    </cfRule>
    <cfRule type="containsText" dxfId="3987" priority="3923" operator="containsText" text="Hogar sin apoyo">
      <formula>NOT(ISERROR(SEARCH("Hogar sin apoyo",L228)))</formula>
    </cfRule>
    <cfRule type="containsText" dxfId="3986" priority="3924" operator="containsText" text="Empleada formalmente sin riesgo">
      <formula>NOT(ISERROR(SEARCH("Empleada formalmente sin riesgo",L228)))</formula>
    </cfRule>
    <cfRule type="containsText" dxfId="3985" priority="3925" operator="containsText" text="Hogar Con apoyo">
      <formula>NOT(ISERROR(SEARCH("Hogar Con apoyo",L228)))</formula>
    </cfRule>
  </conditionalFormatting>
  <conditionalFormatting sqref="AE228">
    <cfRule type="containsText" dxfId="3984" priority="3915" operator="containsText" text="NO">
      <formula>NOT(ISERROR(SEARCH("NO",AE228)))</formula>
    </cfRule>
    <cfRule type="containsText" dxfId="3983" priority="3916" operator="containsText" text="SI">
      <formula>NOT(ISERROR(SEARCH("SI",AE228)))</formula>
    </cfRule>
  </conditionalFormatting>
  <conditionalFormatting sqref="AG228:AH228">
    <cfRule type="cellIs" dxfId="3982" priority="3909" operator="equal">
      <formula>"SD"</formula>
    </cfRule>
    <cfRule type="cellIs" dxfId="3981" priority="3910" operator="equal">
      <formula>"NO"</formula>
    </cfRule>
    <cfRule type="cellIs" dxfId="3980" priority="3911" operator="equal">
      <formula>"SI"</formula>
    </cfRule>
  </conditionalFormatting>
  <conditionalFormatting sqref="AI228">
    <cfRule type="containsText" dxfId="3979" priority="3902" operator="containsText" text="HABITANTE DE CALLE">
      <formula>NOT(ISERROR(SEARCH("HABITANTE DE CALLE",AI228)))</formula>
    </cfRule>
    <cfRule type="containsText" dxfId="3978" priority="3905" operator="containsText" text="NINGUNO">
      <formula>NOT(ISERROR(SEARCH("NINGUNO",AI228)))</formula>
    </cfRule>
    <cfRule type="containsText" dxfId="3977" priority="3906" operator="containsText" text="MIGRATORIA">
      <formula>NOT(ISERROR(SEARCH("MIGRATORIA",AI228)))</formula>
    </cfRule>
    <cfRule type="containsText" dxfId="3976" priority="3907" operator="containsText" text="DISCAPACIDAD">
      <formula>NOT(ISERROR(SEARCH("DISCAPACIDAD",AI228)))</formula>
    </cfRule>
    <cfRule type="containsText" dxfId="3975" priority="3908" operator="containsText" text="DESPLAZADA">
      <formula>NOT(ISERROR(SEARCH("DESPLAZADA",AI228)))</formula>
    </cfRule>
  </conditionalFormatting>
  <conditionalFormatting sqref="AF228">
    <cfRule type="containsText" dxfId="3974" priority="3903" operator="containsText" text="NO">
      <formula>NOT(ISERROR(SEARCH("NO",AF228)))</formula>
    </cfRule>
    <cfRule type="containsText" dxfId="3973" priority="3904" operator="containsText" text="SI">
      <formula>NOT(ISERROR(SEARCH("SI",AF228)))</formula>
    </cfRule>
  </conditionalFormatting>
  <conditionalFormatting sqref="AJ228">
    <cfRule type="cellIs" dxfId="3972" priority="3899" operator="equal">
      <formula>"SD"</formula>
    </cfRule>
    <cfRule type="cellIs" dxfId="3971" priority="3900" operator="equal">
      <formula>"NO"</formula>
    </cfRule>
    <cfRule type="cellIs" dxfId="3970" priority="3901" operator="equal">
      <formula>"SI"</formula>
    </cfRule>
  </conditionalFormatting>
  <conditionalFormatting sqref="AX228">
    <cfRule type="cellIs" dxfId="3969" priority="3896" operator="equal">
      <formula>"SD"</formula>
    </cfRule>
    <cfRule type="cellIs" dxfId="3968" priority="3897" operator="equal">
      <formula>"NO"</formula>
    </cfRule>
    <cfRule type="cellIs" dxfId="3967" priority="3898" operator="equal">
      <formula>"SI"</formula>
    </cfRule>
  </conditionalFormatting>
  <conditionalFormatting sqref="BF228">
    <cfRule type="cellIs" dxfId="3966" priority="3893" operator="equal">
      <formula>"SD"</formula>
    </cfRule>
    <cfRule type="cellIs" dxfId="3965" priority="3894" operator="equal">
      <formula>"NO"</formula>
    </cfRule>
    <cfRule type="cellIs" dxfId="3964" priority="3895" operator="equal">
      <formula>"SI"</formula>
    </cfRule>
  </conditionalFormatting>
  <conditionalFormatting sqref="BA228:BB228 BD228:BE228">
    <cfRule type="cellIs" dxfId="3963" priority="3890" operator="equal">
      <formula>"SD"</formula>
    </cfRule>
    <cfRule type="cellIs" dxfId="3962" priority="3891" operator="equal">
      <formula>"NO"</formula>
    </cfRule>
    <cfRule type="cellIs" dxfId="3961" priority="3892" operator="equal">
      <formula>"SI"</formula>
    </cfRule>
  </conditionalFormatting>
  <conditionalFormatting sqref="BE228">
    <cfRule type="expression" dxfId="3960" priority="3889">
      <formula>IF(AND(FA228&gt;=126,FC228&lt;24),1,0)</formula>
    </cfRule>
  </conditionalFormatting>
  <conditionalFormatting sqref="AY228">
    <cfRule type="containsText" dxfId="3959" priority="3884" operator="containsText" text="SD">
      <formula>NOT(ISERROR(SEARCH("SD",AY228)))</formula>
    </cfRule>
    <cfRule type="containsText" dxfId="3958" priority="3885" operator="containsText" text="SI, NO CONTROLADA">
      <formula>NOT(ISERROR(SEARCH("SI, NO CONTROLADA",AY228)))</formula>
    </cfRule>
    <cfRule type="containsText" dxfId="3957" priority="3886" operator="containsText" text="SI, SIN MANEJO">
      <formula>NOT(ISERROR(SEARCH("SI, SIN MANEJO",AY228)))</formula>
    </cfRule>
    <cfRule type="containsText" dxfId="3956" priority="3887" operator="containsText" text="SI, CONTROLADA">
      <formula>NOT(ISERROR(SEARCH("SI, CONTROLADA",AY228)))</formula>
    </cfRule>
    <cfRule type="containsText" dxfId="3955" priority="3888" operator="containsText" text="NO">
      <formula>NOT(ISERROR(SEARCH("NO",AY228)))</formula>
    </cfRule>
  </conditionalFormatting>
  <conditionalFormatting sqref="AZ228">
    <cfRule type="containsText" dxfId="3954" priority="3879" operator="containsText" text="SD">
      <formula>NOT(ISERROR(SEARCH("SD",AZ228)))</formula>
    </cfRule>
    <cfRule type="containsText" dxfId="3953" priority="3880" operator="containsText" text="SI, NO CONTROLADA">
      <formula>NOT(ISERROR(SEARCH("SI, NO CONTROLADA",AZ228)))</formula>
    </cfRule>
    <cfRule type="containsText" dxfId="3952" priority="3881" operator="containsText" text="SI, SIN MANEJO">
      <formula>NOT(ISERROR(SEARCH("SI, SIN MANEJO",AZ228)))</formula>
    </cfRule>
    <cfRule type="containsText" dxfId="3951" priority="3882" operator="containsText" text="SI, CONTROLADA">
      <formula>NOT(ISERROR(SEARCH("SI, CONTROLADA",AZ228)))</formula>
    </cfRule>
    <cfRule type="containsText" dxfId="3950" priority="3883" operator="containsText" text="NO">
      <formula>NOT(ISERROR(SEARCH("NO",AZ228)))</formula>
    </cfRule>
  </conditionalFormatting>
  <conditionalFormatting sqref="BC228">
    <cfRule type="cellIs" dxfId="3949" priority="3876" operator="equal">
      <formula>"SD"</formula>
    </cfRule>
    <cfRule type="cellIs" dxfId="3948" priority="3877" operator="equal">
      <formula>"NO"</formula>
    </cfRule>
    <cfRule type="cellIs" dxfId="3947" priority="3878" operator="equal">
      <formula>"SI"</formula>
    </cfRule>
  </conditionalFormatting>
  <conditionalFormatting sqref="BG228">
    <cfRule type="cellIs" dxfId="3946" priority="3873" operator="equal">
      <formula>"SD"</formula>
    </cfRule>
    <cfRule type="cellIs" dxfId="3945" priority="3874" operator="equal">
      <formula>"NO"</formula>
    </cfRule>
    <cfRule type="cellIs" dxfId="3944" priority="3875" operator="equal">
      <formula>"SI"</formula>
    </cfRule>
  </conditionalFormatting>
  <conditionalFormatting sqref="BH228">
    <cfRule type="cellIs" dxfId="3943" priority="3870" operator="equal">
      <formula>"SD"</formula>
    </cfRule>
    <cfRule type="cellIs" dxfId="3942" priority="3871" operator="equal">
      <formula>"NO"</formula>
    </cfRule>
    <cfRule type="cellIs" dxfId="3941" priority="3872" operator="equal">
      <formula>"SI"</formula>
    </cfRule>
  </conditionalFormatting>
  <conditionalFormatting sqref="BJ228">
    <cfRule type="cellIs" dxfId="3940" priority="3867" operator="equal">
      <formula>"SD"</formula>
    </cfRule>
    <cfRule type="cellIs" dxfId="3939" priority="3868" operator="equal">
      <formula>"NO"</formula>
    </cfRule>
    <cfRule type="cellIs" dxfId="3938" priority="3869" operator="equal">
      <formula>"SI"</formula>
    </cfRule>
  </conditionalFormatting>
  <conditionalFormatting sqref="BI228">
    <cfRule type="cellIs" dxfId="3937" priority="3864" operator="equal">
      <formula>"SD"</formula>
    </cfRule>
    <cfRule type="cellIs" dxfId="3936" priority="3865" operator="equal">
      <formula>"NO"</formula>
    </cfRule>
    <cfRule type="cellIs" dxfId="3935" priority="3866" operator="equal">
      <formula>"SI"</formula>
    </cfRule>
  </conditionalFormatting>
  <conditionalFormatting sqref="BL228:BM228">
    <cfRule type="cellIs" dxfId="3934" priority="3861" operator="equal">
      <formula>"SD"</formula>
    </cfRule>
    <cfRule type="cellIs" dxfId="3933" priority="3862" operator="equal">
      <formula>"NO"</formula>
    </cfRule>
    <cfRule type="cellIs" dxfId="3932" priority="3863" operator="equal">
      <formula>"SI"</formula>
    </cfRule>
  </conditionalFormatting>
  <conditionalFormatting sqref="BK228">
    <cfRule type="cellIs" dxfId="3931" priority="3858" operator="equal">
      <formula>"SD"</formula>
    </cfRule>
    <cfRule type="cellIs" dxfId="3930" priority="3859" operator="equal">
      <formula>"NO"</formula>
    </cfRule>
    <cfRule type="cellIs" dxfId="3929" priority="3860" operator="equal">
      <formula>"SI"</formula>
    </cfRule>
  </conditionalFormatting>
  <conditionalFormatting sqref="CB228:CC228">
    <cfRule type="cellIs" dxfId="3928" priority="3855" operator="equal">
      <formula>"SD"</formula>
    </cfRule>
    <cfRule type="cellIs" dxfId="3927" priority="3856" operator="equal">
      <formula>"NO"</formula>
    </cfRule>
    <cfRule type="cellIs" dxfId="3926" priority="3857" operator="equal">
      <formula>"SI"</formula>
    </cfRule>
  </conditionalFormatting>
  <conditionalFormatting sqref="CD228">
    <cfRule type="cellIs" dxfId="3925" priority="3850" operator="equal">
      <formula>"SD"</formula>
    </cfRule>
    <cfRule type="cellIs" dxfId="3924" priority="3851" operator="equal">
      <formula>"OBLICUA"</formula>
    </cfRule>
    <cfRule type="cellIs" dxfId="3923" priority="3853" operator="equal">
      <formula>"PODÁLICA"</formula>
    </cfRule>
    <cfRule type="cellIs" dxfId="3922" priority="3854" operator="equal">
      <formula>"CEFÁLICA"</formula>
    </cfRule>
  </conditionalFormatting>
  <conditionalFormatting sqref="CE228">
    <cfRule type="cellIs" dxfId="3921" priority="3847" operator="equal">
      <formula>"SD"</formula>
    </cfRule>
    <cfRule type="cellIs" dxfId="3920" priority="3848" operator="equal">
      <formula>"NO"</formula>
    </cfRule>
    <cfRule type="cellIs" dxfId="3919" priority="3849" operator="equal">
      <formula>"SI"</formula>
    </cfRule>
  </conditionalFormatting>
  <conditionalFormatting sqref="L229">
    <cfRule type="containsText" dxfId="3918" priority="3838" operator="containsText" text="Empleo informal">
      <formula>NOT(ISERROR(SEARCH("Empleo informal",L229)))</formula>
    </cfRule>
    <cfRule type="containsText" dxfId="3917" priority="3839" operator="containsText" text="Empleada formalmente con riesgo a tóxicos">
      <formula>NOT(ISERROR(SEARCH("Empleada formalmente con riesgo a tóxicos",L229)))</formula>
    </cfRule>
    <cfRule type="containsText" dxfId="3916" priority="3840" operator="containsText" text="Empleada formalmente con riesgo de accidente laboral">
      <formula>NOT(ISERROR(SEARCH("Empleada formalmente con riesgo de accidente laboral",L229)))</formula>
    </cfRule>
    <cfRule type="containsText" dxfId="3915" priority="3841" operator="containsText" text="Empleada formalmente por jornada laboral extensa">
      <formula>NOT(ISERROR(SEARCH("Empleada formalmente por jornada laboral extensa",L229)))</formula>
    </cfRule>
    <cfRule type="containsText" dxfId="3914" priority="3842" operator="containsText" text="Empleada formalmente sin riesgo">
      <formula>NOT(ISERROR(SEARCH("Empleada formalmente sin riesgo",L229)))</formula>
    </cfRule>
    <cfRule type="containsText" dxfId="3913" priority="3843" operator="containsText" text="Actualmente desempleada">
      <formula>NOT(ISERROR(SEARCH("Actualmente desempleada",L229)))</formula>
    </cfRule>
    <cfRule type="containsText" dxfId="3912" priority="3844" operator="containsText" text="Hogar sin apoyo">
      <formula>NOT(ISERROR(SEARCH("Hogar sin apoyo",L229)))</formula>
    </cfRule>
    <cfRule type="containsText" dxfId="3911" priority="3845" operator="containsText" text="Empleada formalmente sin riesgo">
      <formula>NOT(ISERROR(SEARCH("Empleada formalmente sin riesgo",L229)))</formula>
    </cfRule>
    <cfRule type="containsText" dxfId="3910" priority="3846" operator="containsText" text="Hogar Con apoyo">
      <formula>NOT(ISERROR(SEARCH("Hogar Con apoyo",L229)))</formula>
    </cfRule>
  </conditionalFormatting>
  <conditionalFormatting sqref="AE229">
    <cfRule type="containsText" dxfId="3909" priority="3836" operator="containsText" text="NO">
      <formula>NOT(ISERROR(SEARCH("NO",AE229)))</formula>
    </cfRule>
    <cfRule type="containsText" dxfId="3908" priority="3837" operator="containsText" text="SI">
      <formula>NOT(ISERROR(SEARCH("SI",AE229)))</formula>
    </cfRule>
  </conditionalFormatting>
  <conditionalFormatting sqref="AG229:AH229">
    <cfRule type="cellIs" dxfId="3907" priority="3830" operator="equal">
      <formula>"SD"</formula>
    </cfRule>
    <cfRule type="cellIs" dxfId="3906" priority="3831" operator="equal">
      <formula>"NO"</formula>
    </cfRule>
    <cfRule type="cellIs" dxfId="3905" priority="3832" operator="equal">
      <formula>"SI"</formula>
    </cfRule>
  </conditionalFormatting>
  <conditionalFormatting sqref="AI229">
    <cfRule type="containsText" dxfId="3904" priority="3823" operator="containsText" text="HABITANTE DE CALLE">
      <formula>NOT(ISERROR(SEARCH("HABITANTE DE CALLE",AI229)))</formula>
    </cfRule>
    <cfRule type="containsText" dxfId="3903" priority="3826" operator="containsText" text="NINGUNO">
      <formula>NOT(ISERROR(SEARCH("NINGUNO",AI229)))</formula>
    </cfRule>
    <cfRule type="containsText" dxfId="3902" priority="3827" operator="containsText" text="MIGRATORIA">
      <formula>NOT(ISERROR(SEARCH("MIGRATORIA",AI229)))</formula>
    </cfRule>
    <cfRule type="containsText" dxfId="3901" priority="3828" operator="containsText" text="DISCAPACIDAD">
      <formula>NOT(ISERROR(SEARCH("DISCAPACIDAD",AI229)))</formula>
    </cfRule>
    <cfRule type="containsText" dxfId="3900" priority="3829" operator="containsText" text="DESPLAZADA">
      <formula>NOT(ISERROR(SEARCH("DESPLAZADA",AI229)))</formula>
    </cfRule>
  </conditionalFormatting>
  <conditionalFormatting sqref="AF229">
    <cfRule type="containsText" dxfId="3899" priority="3824" operator="containsText" text="NO">
      <formula>NOT(ISERROR(SEARCH("NO",AF229)))</formula>
    </cfRule>
    <cfRule type="containsText" dxfId="3898" priority="3825" operator="containsText" text="SI">
      <formula>NOT(ISERROR(SEARCH("SI",AF229)))</formula>
    </cfRule>
  </conditionalFormatting>
  <conditionalFormatting sqref="AJ229">
    <cfRule type="cellIs" dxfId="3897" priority="3820" operator="equal">
      <formula>"SD"</formula>
    </cfRule>
    <cfRule type="cellIs" dxfId="3896" priority="3821" operator="equal">
      <formula>"NO"</formula>
    </cfRule>
    <cfRule type="cellIs" dxfId="3895" priority="3822" operator="equal">
      <formula>"SI"</formula>
    </cfRule>
  </conditionalFormatting>
  <conditionalFormatting sqref="AX229">
    <cfRule type="cellIs" dxfId="3894" priority="3817" operator="equal">
      <formula>"SD"</formula>
    </cfRule>
    <cfRule type="cellIs" dxfId="3893" priority="3818" operator="equal">
      <formula>"NO"</formula>
    </cfRule>
    <cfRule type="cellIs" dxfId="3892" priority="3819" operator="equal">
      <formula>"SI"</formula>
    </cfRule>
  </conditionalFormatting>
  <conditionalFormatting sqref="BF229">
    <cfRule type="cellIs" dxfId="3891" priority="3814" operator="equal">
      <formula>"SD"</formula>
    </cfRule>
    <cfRule type="cellIs" dxfId="3890" priority="3815" operator="equal">
      <formula>"NO"</formula>
    </cfRule>
    <cfRule type="cellIs" dxfId="3889" priority="3816" operator="equal">
      <formula>"SI"</formula>
    </cfRule>
  </conditionalFormatting>
  <conditionalFormatting sqref="BA229:BB229 BD229:BE229">
    <cfRule type="cellIs" dxfId="3888" priority="3811" operator="equal">
      <formula>"SD"</formula>
    </cfRule>
    <cfRule type="cellIs" dxfId="3887" priority="3812" operator="equal">
      <formula>"NO"</formula>
    </cfRule>
    <cfRule type="cellIs" dxfId="3886" priority="3813" operator="equal">
      <formula>"SI"</formula>
    </cfRule>
  </conditionalFormatting>
  <conditionalFormatting sqref="BE229">
    <cfRule type="expression" dxfId="3885" priority="3810">
      <formula>IF(AND(FA229&gt;=126,FC229&lt;24),1,0)</formula>
    </cfRule>
  </conditionalFormatting>
  <conditionalFormatting sqref="AY229">
    <cfRule type="containsText" dxfId="3884" priority="3805" operator="containsText" text="SD">
      <formula>NOT(ISERROR(SEARCH("SD",AY229)))</formula>
    </cfRule>
    <cfRule type="containsText" dxfId="3883" priority="3806" operator="containsText" text="SI, NO CONTROLADA">
      <formula>NOT(ISERROR(SEARCH("SI, NO CONTROLADA",AY229)))</formula>
    </cfRule>
    <cfRule type="containsText" dxfId="3882" priority="3807" operator="containsText" text="SI, SIN MANEJO">
      <formula>NOT(ISERROR(SEARCH("SI, SIN MANEJO",AY229)))</formula>
    </cfRule>
    <cfRule type="containsText" dxfId="3881" priority="3808" operator="containsText" text="SI, CONTROLADA">
      <formula>NOT(ISERROR(SEARCH("SI, CONTROLADA",AY229)))</formula>
    </cfRule>
    <cfRule type="containsText" dxfId="3880" priority="3809" operator="containsText" text="NO">
      <formula>NOT(ISERROR(SEARCH("NO",AY229)))</formula>
    </cfRule>
  </conditionalFormatting>
  <conditionalFormatting sqref="AZ229">
    <cfRule type="containsText" dxfId="3879" priority="3800" operator="containsText" text="SD">
      <formula>NOT(ISERROR(SEARCH("SD",AZ229)))</formula>
    </cfRule>
    <cfRule type="containsText" dxfId="3878" priority="3801" operator="containsText" text="SI, NO CONTROLADA">
      <formula>NOT(ISERROR(SEARCH("SI, NO CONTROLADA",AZ229)))</formula>
    </cfRule>
    <cfRule type="containsText" dxfId="3877" priority="3802" operator="containsText" text="SI, SIN MANEJO">
      <formula>NOT(ISERROR(SEARCH("SI, SIN MANEJO",AZ229)))</formula>
    </cfRule>
    <cfRule type="containsText" dxfId="3876" priority="3803" operator="containsText" text="SI, CONTROLADA">
      <formula>NOT(ISERROR(SEARCH("SI, CONTROLADA",AZ229)))</formula>
    </cfRule>
    <cfRule type="containsText" dxfId="3875" priority="3804" operator="containsText" text="NO">
      <formula>NOT(ISERROR(SEARCH("NO",AZ229)))</formula>
    </cfRule>
  </conditionalFormatting>
  <conditionalFormatting sqref="BC229">
    <cfRule type="cellIs" dxfId="3874" priority="3797" operator="equal">
      <formula>"SD"</formula>
    </cfRule>
    <cfRule type="cellIs" dxfId="3873" priority="3798" operator="equal">
      <formula>"NO"</formula>
    </cfRule>
    <cfRule type="cellIs" dxfId="3872" priority="3799" operator="equal">
      <formula>"SI"</formula>
    </cfRule>
  </conditionalFormatting>
  <conditionalFormatting sqref="BG229">
    <cfRule type="cellIs" dxfId="3871" priority="3794" operator="equal">
      <formula>"SD"</formula>
    </cfRule>
    <cfRule type="cellIs" dxfId="3870" priority="3795" operator="equal">
      <formula>"NO"</formula>
    </cfRule>
    <cfRule type="cellIs" dxfId="3869" priority="3796" operator="equal">
      <formula>"SI"</formula>
    </cfRule>
  </conditionalFormatting>
  <conditionalFormatting sqref="BH229">
    <cfRule type="cellIs" dxfId="3868" priority="3791" operator="equal">
      <formula>"SD"</formula>
    </cfRule>
    <cfRule type="cellIs" dxfId="3867" priority="3792" operator="equal">
      <formula>"NO"</formula>
    </cfRule>
    <cfRule type="cellIs" dxfId="3866" priority="3793" operator="equal">
      <formula>"SI"</formula>
    </cfRule>
  </conditionalFormatting>
  <conditionalFormatting sqref="BI229">
    <cfRule type="cellIs" dxfId="3865" priority="3788" operator="equal">
      <formula>"SD"</formula>
    </cfRule>
    <cfRule type="cellIs" dxfId="3864" priority="3789" operator="equal">
      <formula>"NO"</formula>
    </cfRule>
    <cfRule type="cellIs" dxfId="3863" priority="3790" operator="equal">
      <formula>"SI"</formula>
    </cfRule>
  </conditionalFormatting>
  <conditionalFormatting sqref="BJ229">
    <cfRule type="cellIs" dxfId="3862" priority="3785" operator="equal">
      <formula>"SD"</formula>
    </cfRule>
    <cfRule type="cellIs" dxfId="3861" priority="3786" operator="equal">
      <formula>"NO"</formula>
    </cfRule>
    <cfRule type="cellIs" dxfId="3860" priority="3787" operator="equal">
      <formula>"SI"</formula>
    </cfRule>
  </conditionalFormatting>
  <conditionalFormatting sqref="BL229:BM229">
    <cfRule type="cellIs" dxfId="3859" priority="3782" operator="equal">
      <formula>"SD"</formula>
    </cfRule>
    <cfRule type="cellIs" dxfId="3858" priority="3783" operator="equal">
      <formula>"NO"</formula>
    </cfRule>
    <cfRule type="cellIs" dxfId="3857" priority="3784" operator="equal">
      <formula>"SI"</formula>
    </cfRule>
  </conditionalFormatting>
  <conditionalFormatting sqref="BK229">
    <cfRule type="cellIs" dxfId="3856" priority="3779" operator="equal">
      <formula>"SD"</formula>
    </cfRule>
    <cfRule type="cellIs" dxfId="3855" priority="3780" operator="equal">
      <formula>"NO"</formula>
    </cfRule>
    <cfRule type="cellIs" dxfId="3854" priority="3781" operator="equal">
      <formula>"SI"</formula>
    </cfRule>
  </conditionalFormatting>
  <conditionalFormatting sqref="CB229:CC229">
    <cfRule type="cellIs" dxfId="3853" priority="3776" operator="equal">
      <formula>"SD"</formula>
    </cfRule>
    <cfRule type="cellIs" dxfId="3852" priority="3777" operator="equal">
      <formula>"NO"</formula>
    </cfRule>
    <cfRule type="cellIs" dxfId="3851" priority="3778" operator="equal">
      <formula>"SI"</formula>
    </cfRule>
  </conditionalFormatting>
  <conditionalFormatting sqref="CD229">
    <cfRule type="cellIs" dxfId="3850" priority="3771" operator="equal">
      <formula>"SD"</formula>
    </cfRule>
    <cfRule type="cellIs" dxfId="3849" priority="3772" operator="equal">
      <formula>"OBLICUA"</formula>
    </cfRule>
    <cfRule type="cellIs" dxfId="3848" priority="3774" operator="equal">
      <formula>"PODÁLICA"</formula>
    </cfRule>
    <cfRule type="cellIs" dxfId="3847" priority="3775" operator="equal">
      <formula>"CEFÁLICA"</formula>
    </cfRule>
  </conditionalFormatting>
  <conditionalFormatting sqref="CE229">
    <cfRule type="cellIs" dxfId="3846" priority="3768" operator="equal">
      <formula>"SD"</formula>
    </cfRule>
    <cfRule type="cellIs" dxfId="3845" priority="3769" operator="equal">
      <formula>"NO"</formula>
    </cfRule>
    <cfRule type="cellIs" dxfId="3844" priority="3770" operator="equal">
      <formula>"SI"</formula>
    </cfRule>
  </conditionalFormatting>
  <conditionalFormatting sqref="AE230">
    <cfRule type="containsText" dxfId="3843" priority="3766" operator="containsText" text="NO">
      <formula>NOT(ISERROR(SEARCH("NO",AE230)))</formula>
    </cfRule>
    <cfRule type="containsText" dxfId="3842" priority="3767" operator="containsText" text="SI">
      <formula>NOT(ISERROR(SEARCH("SI",AE230)))</formula>
    </cfRule>
  </conditionalFormatting>
  <conditionalFormatting sqref="AG230:AH230">
    <cfRule type="cellIs" dxfId="3841" priority="3760" operator="equal">
      <formula>"SD"</formula>
    </cfRule>
    <cfRule type="cellIs" dxfId="3840" priority="3761" operator="equal">
      <formula>"NO"</formula>
    </cfRule>
    <cfRule type="cellIs" dxfId="3839" priority="3762" operator="equal">
      <formula>"SI"</formula>
    </cfRule>
  </conditionalFormatting>
  <conditionalFormatting sqref="AI230">
    <cfRule type="containsText" dxfId="3838" priority="3753" operator="containsText" text="HABITANTE DE CALLE">
      <formula>NOT(ISERROR(SEARCH("HABITANTE DE CALLE",AI230)))</formula>
    </cfRule>
    <cfRule type="containsText" dxfId="3837" priority="3756" operator="containsText" text="NINGUNO">
      <formula>NOT(ISERROR(SEARCH("NINGUNO",AI230)))</formula>
    </cfRule>
    <cfRule type="containsText" dxfId="3836" priority="3757" operator="containsText" text="MIGRATORIA">
      <formula>NOT(ISERROR(SEARCH("MIGRATORIA",AI230)))</formula>
    </cfRule>
    <cfRule type="containsText" dxfId="3835" priority="3758" operator="containsText" text="DISCAPACIDAD">
      <formula>NOT(ISERROR(SEARCH("DISCAPACIDAD",AI230)))</formula>
    </cfRule>
    <cfRule type="containsText" dxfId="3834" priority="3759" operator="containsText" text="DESPLAZADA">
      <formula>NOT(ISERROR(SEARCH("DESPLAZADA",AI230)))</formula>
    </cfRule>
  </conditionalFormatting>
  <conditionalFormatting sqref="AF230">
    <cfRule type="containsText" dxfId="3833" priority="3754" operator="containsText" text="NO">
      <formula>NOT(ISERROR(SEARCH("NO",AF230)))</formula>
    </cfRule>
    <cfRule type="containsText" dxfId="3832" priority="3755" operator="containsText" text="SI">
      <formula>NOT(ISERROR(SEARCH("SI",AF230)))</formula>
    </cfRule>
  </conditionalFormatting>
  <conditionalFormatting sqref="AJ230">
    <cfRule type="cellIs" dxfId="3831" priority="3750" operator="equal">
      <formula>"SD"</formula>
    </cfRule>
    <cfRule type="cellIs" dxfId="3830" priority="3751" operator="equal">
      <formula>"NO"</formula>
    </cfRule>
    <cfRule type="cellIs" dxfId="3829" priority="3752" operator="equal">
      <formula>"SI"</formula>
    </cfRule>
  </conditionalFormatting>
  <conditionalFormatting sqref="AX230">
    <cfRule type="cellIs" dxfId="3828" priority="3747" operator="equal">
      <formula>"SD"</formula>
    </cfRule>
    <cfRule type="cellIs" dxfId="3827" priority="3748" operator="equal">
      <formula>"NO"</formula>
    </cfRule>
    <cfRule type="cellIs" dxfId="3826" priority="3749" operator="equal">
      <formula>"SI"</formula>
    </cfRule>
  </conditionalFormatting>
  <conditionalFormatting sqref="BF230">
    <cfRule type="cellIs" dxfId="3825" priority="3744" operator="equal">
      <formula>"SD"</formula>
    </cfRule>
    <cfRule type="cellIs" dxfId="3824" priority="3745" operator="equal">
      <formula>"NO"</formula>
    </cfRule>
    <cfRule type="cellIs" dxfId="3823" priority="3746" operator="equal">
      <formula>"SI"</formula>
    </cfRule>
  </conditionalFormatting>
  <conditionalFormatting sqref="BA230:BB230 BD230:BE230">
    <cfRule type="cellIs" dxfId="3822" priority="3741" operator="equal">
      <formula>"SD"</formula>
    </cfRule>
    <cfRule type="cellIs" dxfId="3821" priority="3742" operator="equal">
      <formula>"NO"</formula>
    </cfRule>
    <cfRule type="cellIs" dxfId="3820" priority="3743" operator="equal">
      <formula>"SI"</formula>
    </cfRule>
  </conditionalFormatting>
  <conditionalFormatting sqref="BE230">
    <cfRule type="expression" dxfId="3819" priority="3740">
      <formula>IF(AND(FA230&gt;=126,FC230&lt;24),1,0)</formula>
    </cfRule>
  </conditionalFormatting>
  <conditionalFormatting sqref="AY230">
    <cfRule type="containsText" dxfId="3818" priority="3735" operator="containsText" text="SD">
      <formula>NOT(ISERROR(SEARCH("SD",AY230)))</formula>
    </cfRule>
    <cfRule type="containsText" dxfId="3817" priority="3736" operator="containsText" text="SI, NO CONTROLADA">
      <formula>NOT(ISERROR(SEARCH("SI, NO CONTROLADA",AY230)))</formula>
    </cfRule>
    <cfRule type="containsText" dxfId="3816" priority="3737" operator="containsText" text="SI, SIN MANEJO">
      <formula>NOT(ISERROR(SEARCH("SI, SIN MANEJO",AY230)))</formula>
    </cfRule>
    <cfRule type="containsText" dxfId="3815" priority="3738" operator="containsText" text="SI, CONTROLADA">
      <formula>NOT(ISERROR(SEARCH("SI, CONTROLADA",AY230)))</formula>
    </cfRule>
    <cfRule type="containsText" dxfId="3814" priority="3739" operator="containsText" text="NO">
      <formula>NOT(ISERROR(SEARCH("NO",AY230)))</formula>
    </cfRule>
  </conditionalFormatting>
  <conditionalFormatting sqref="AZ230">
    <cfRule type="containsText" dxfId="3813" priority="3730" operator="containsText" text="SD">
      <formula>NOT(ISERROR(SEARCH("SD",AZ230)))</formula>
    </cfRule>
    <cfRule type="containsText" dxfId="3812" priority="3731" operator="containsText" text="SI, NO CONTROLADA">
      <formula>NOT(ISERROR(SEARCH("SI, NO CONTROLADA",AZ230)))</formula>
    </cfRule>
    <cfRule type="containsText" dxfId="3811" priority="3732" operator="containsText" text="SI, SIN MANEJO">
      <formula>NOT(ISERROR(SEARCH("SI, SIN MANEJO",AZ230)))</formula>
    </cfRule>
    <cfRule type="containsText" dxfId="3810" priority="3733" operator="containsText" text="SI, CONTROLADA">
      <formula>NOT(ISERROR(SEARCH("SI, CONTROLADA",AZ230)))</formula>
    </cfRule>
    <cfRule type="containsText" dxfId="3809" priority="3734" operator="containsText" text="NO">
      <formula>NOT(ISERROR(SEARCH("NO",AZ230)))</formula>
    </cfRule>
  </conditionalFormatting>
  <conditionalFormatting sqref="BC230">
    <cfRule type="cellIs" dxfId="3808" priority="3727" operator="equal">
      <formula>"SD"</formula>
    </cfRule>
    <cfRule type="cellIs" dxfId="3807" priority="3728" operator="equal">
      <formula>"NO"</formula>
    </cfRule>
    <cfRule type="cellIs" dxfId="3806" priority="3729" operator="equal">
      <formula>"SI"</formula>
    </cfRule>
  </conditionalFormatting>
  <conditionalFormatting sqref="BG230">
    <cfRule type="cellIs" dxfId="3805" priority="3724" operator="equal">
      <formula>"SD"</formula>
    </cfRule>
    <cfRule type="cellIs" dxfId="3804" priority="3725" operator="equal">
      <formula>"NO"</formula>
    </cfRule>
    <cfRule type="cellIs" dxfId="3803" priority="3726" operator="equal">
      <formula>"SI"</formula>
    </cfRule>
  </conditionalFormatting>
  <conditionalFormatting sqref="BH230">
    <cfRule type="cellIs" dxfId="3802" priority="3721" operator="equal">
      <formula>"SD"</formula>
    </cfRule>
    <cfRule type="cellIs" dxfId="3801" priority="3722" operator="equal">
      <formula>"NO"</formula>
    </cfRule>
    <cfRule type="cellIs" dxfId="3800" priority="3723" operator="equal">
      <formula>"SI"</formula>
    </cfRule>
  </conditionalFormatting>
  <conditionalFormatting sqref="BI230">
    <cfRule type="cellIs" dxfId="3799" priority="3718" operator="equal">
      <formula>"SD"</formula>
    </cfRule>
    <cfRule type="cellIs" dxfId="3798" priority="3719" operator="equal">
      <formula>"NO"</formula>
    </cfRule>
    <cfRule type="cellIs" dxfId="3797" priority="3720" operator="equal">
      <formula>"SI"</formula>
    </cfRule>
  </conditionalFormatting>
  <conditionalFormatting sqref="BJ230">
    <cfRule type="cellIs" dxfId="3796" priority="3715" operator="equal">
      <formula>"SD"</formula>
    </cfRule>
    <cfRule type="cellIs" dxfId="3795" priority="3716" operator="equal">
      <formula>"NO"</formula>
    </cfRule>
    <cfRule type="cellIs" dxfId="3794" priority="3717" operator="equal">
      <formula>"SI"</formula>
    </cfRule>
  </conditionalFormatting>
  <conditionalFormatting sqref="BL230:BM230">
    <cfRule type="cellIs" dxfId="3793" priority="3712" operator="equal">
      <formula>"SD"</formula>
    </cfRule>
    <cfRule type="cellIs" dxfId="3792" priority="3713" operator="equal">
      <formula>"NO"</formula>
    </cfRule>
    <cfRule type="cellIs" dxfId="3791" priority="3714" operator="equal">
      <formula>"SI"</formula>
    </cfRule>
  </conditionalFormatting>
  <conditionalFormatting sqref="BK230">
    <cfRule type="cellIs" dxfId="3790" priority="3709" operator="equal">
      <formula>"SD"</formula>
    </cfRule>
    <cfRule type="cellIs" dxfId="3789" priority="3710" operator="equal">
      <formula>"NO"</formula>
    </cfRule>
    <cfRule type="cellIs" dxfId="3788" priority="3711" operator="equal">
      <formula>"SI"</formula>
    </cfRule>
  </conditionalFormatting>
  <conditionalFormatting sqref="CB230:CC230">
    <cfRule type="cellIs" dxfId="3787" priority="3706" operator="equal">
      <formula>"SD"</formula>
    </cfRule>
    <cfRule type="cellIs" dxfId="3786" priority="3707" operator="equal">
      <formula>"NO"</formula>
    </cfRule>
    <cfRule type="cellIs" dxfId="3785" priority="3708" operator="equal">
      <formula>"SI"</formula>
    </cfRule>
  </conditionalFormatting>
  <conditionalFormatting sqref="CE230">
    <cfRule type="cellIs" dxfId="3784" priority="3703" operator="equal">
      <formula>"SD"</formula>
    </cfRule>
    <cfRule type="cellIs" dxfId="3783" priority="3704" operator="equal">
      <formula>"NO"</formula>
    </cfRule>
    <cfRule type="cellIs" dxfId="3782" priority="3705" operator="equal">
      <formula>"SI"</formula>
    </cfRule>
  </conditionalFormatting>
  <conditionalFormatting sqref="L231">
    <cfRule type="containsText" dxfId="3781" priority="3694" operator="containsText" text="Empleo informal">
      <formula>NOT(ISERROR(SEARCH("Empleo informal",L231)))</formula>
    </cfRule>
    <cfRule type="containsText" dxfId="3780" priority="3695" operator="containsText" text="Empleada formalmente con riesgo a tóxicos">
      <formula>NOT(ISERROR(SEARCH("Empleada formalmente con riesgo a tóxicos",L231)))</formula>
    </cfRule>
    <cfRule type="containsText" dxfId="3779" priority="3696" operator="containsText" text="Empleada formalmente con riesgo de accidente laboral">
      <formula>NOT(ISERROR(SEARCH("Empleada formalmente con riesgo de accidente laboral",L231)))</formula>
    </cfRule>
    <cfRule type="containsText" dxfId="3778" priority="3697" operator="containsText" text="Empleada formalmente por jornada laboral extensa">
      <formula>NOT(ISERROR(SEARCH("Empleada formalmente por jornada laboral extensa",L231)))</formula>
    </cfRule>
    <cfRule type="containsText" dxfId="3777" priority="3698" operator="containsText" text="Empleada formalmente sin riesgo">
      <formula>NOT(ISERROR(SEARCH("Empleada formalmente sin riesgo",L231)))</formula>
    </cfRule>
    <cfRule type="containsText" dxfId="3776" priority="3699" operator="containsText" text="Actualmente desempleada">
      <formula>NOT(ISERROR(SEARCH("Actualmente desempleada",L231)))</formula>
    </cfRule>
    <cfRule type="containsText" dxfId="3775" priority="3700" operator="containsText" text="Hogar sin apoyo">
      <formula>NOT(ISERROR(SEARCH("Hogar sin apoyo",L231)))</formula>
    </cfRule>
    <cfRule type="containsText" dxfId="3774" priority="3701" operator="containsText" text="Empleada formalmente sin riesgo">
      <formula>NOT(ISERROR(SEARCH("Empleada formalmente sin riesgo",L231)))</formula>
    </cfRule>
    <cfRule type="containsText" dxfId="3773" priority="3702" operator="containsText" text="Hogar Con apoyo">
      <formula>NOT(ISERROR(SEARCH("Hogar Con apoyo",L231)))</formula>
    </cfRule>
  </conditionalFormatting>
  <conditionalFormatting sqref="AE231">
    <cfRule type="containsText" dxfId="3772" priority="3692" operator="containsText" text="NO">
      <formula>NOT(ISERROR(SEARCH("NO",AE231)))</formula>
    </cfRule>
    <cfRule type="containsText" dxfId="3771" priority="3693" operator="containsText" text="SI">
      <formula>NOT(ISERROR(SEARCH("SI",AE231)))</formula>
    </cfRule>
  </conditionalFormatting>
  <conditionalFormatting sqref="AG231:AH231">
    <cfRule type="cellIs" dxfId="3770" priority="3686" operator="equal">
      <formula>"SD"</formula>
    </cfRule>
    <cfRule type="cellIs" dxfId="3769" priority="3687" operator="equal">
      <formula>"NO"</formula>
    </cfRule>
    <cfRule type="cellIs" dxfId="3768" priority="3688" operator="equal">
      <formula>"SI"</formula>
    </cfRule>
  </conditionalFormatting>
  <conditionalFormatting sqref="AI231">
    <cfRule type="containsText" dxfId="3767" priority="3679" operator="containsText" text="HABITANTE DE CALLE">
      <formula>NOT(ISERROR(SEARCH("HABITANTE DE CALLE",AI231)))</formula>
    </cfRule>
    <cfRule type="containsText" dxfId="3766" priority="3682" operator="containsText" text="NINGUNO">
      <formula>NOT(ISERROR(SEARCH("NINGUNO",AI231)))</formula>
    </cfRule>
    <cfRule type="containsText" dxfId="3765" priority="3683" operator="containsText" text="MIGRATORIA">
      <formula>NOT(ISERROR(SEARCH("MIGRATORIA",AI231)))</formula>
    </cfRule>
    <cfRule type="containsText" dxfId="3764" priority="3684" operator="containsText" text="DISCAPACIDAD">
      <formula>NOT(ISERROR(SEARCH("DISCAPACIDAD",AI231)))</formula>
    </cfRule>
    <cfRule type="containsText" dxfId="3763" priority="3685" operator="containsText" text="DESPLAZADA">
      <formula>NOT(ISERROR(SEARCH("DESPLAZADA",AI231)))</formula>
    </cfRule>
  </conditionalFormatting>
  <conditionalFormatting sqref="AF231">
    <cfRule type="containsText" dxfId="3762" priority="3680" operator="containsText" text="NO">
      <formula>NOT(ISERROR(SEARCH("NO",AF231)))</formula>
    </cfRule>
    <cfRule type="containsText" dxfId="3761" priority="3681" operator="containsText" text="SI">
      <formula>NOT(ISERROR(SEARCH("SI",AF231)))</formula>
    </cfRule>
  </conditionalFormatting>
  <conditionalFormatting sqref="AJ231">
    <cfRule type="cellIs" dxfId="3760" priority="3676" operator="equal">
      <formula>"SD"</formula>
    </cfRule>
    <cfRule type="cellIs" dxfId="3759" priority="3677" operator="equal">
      <formula>"NO"</formula>
    </cfRule>
    <cfRule type="cellIs" dxfId="3758" priority="3678" operator="equal">
      <formula>"SI"</formula>
    </cfRule>
  </conditionalFormatting>
  <conditionalFormatting sqref="AX231">
    <cfRule type="cellIs" dxfId="3757" priority="3673" operator="equal">
      <formula>"SD"</formula>
    </cfRule>
    <cfRule type="cellIs" dxfId="3756" priority="3674" operator="equal">
      <formula>"NO"</formula>
    </cfRule>
    <cfRule type="cellIs" dxfId="3755" priority="3675" operator="equal">
      <formula>"SI"</formula>
    </cfRule>
  </conditionalFormatting>
  <conditionalFormatting sqref="BF231">
    <cfRule type="cellIs" dxfId="3754" priority="3670" operator="equal">
      <formula>"SD"</formula>
    </cfRule>
    <cfRule type="cellIs" dxfId="3753" priority="3671" operator="equal">
      <formula>"NO"</formula>
    </cfRule>
    <cfRule type="cellIs" dxfId="3752" priority="3672" operator="equal">
      <formula>"SI"</formula>
    </cfRule>
  </conditionalFormatting>
  <conditionalFormatting sqref="BA231:BB231 BD231:BE231">
    <cfRule type="cellIs" dxfId="3751" priority="3667" operator="equal">
      <formula>"SD"</formula>
    </cfRule>
    <cfRule type="cellIs" dxfId="3750" priority="3668" operator="equal">
      <formula>"NO"</formula>
    </cfRule>
    <cfRule type="cellIs" dxfId="3749" priority="3669" operator="equal">
      <formula>"SI"</formula>
    </cfRule>
  </conditionalFormatting>
  <conditionalFormatting sqref="BE231">
    <cfRule type="expression" dxfId="3748" priority="3666">
      <formula>IF(AND(FA231&gt;=126,FC231&lt;24),1,0)</formula>
    </cfRule>
  </conditionalFormatting>
  <conditionalFormatting sqref="AY231">
    <cfRule type="containsText" dxfId="3747" priority="3661" operator="containsText" text="SD">
      <formula>NOT(ISERROR(SEARCH("SD",AY231)))</formula>
    </cfRule>
    <cfRule type="containsText" dxfId="3746" priority="3662" operator="containsText" text="SI, NO CONTROLADA">
      <formula>NOT(ISERROR(SEARCH("SI, NO CONTROLADA",AY231)))</formula>
    </cfRule>
    <cfRule type="containsText" dxfId="3745" priority="3663" operator="containsText" text="SI, SIN MANEJO">
      <formula>NOT(ISERROR(SEARCH("SI, SIN MANEJO",AY231)))</formula>
    </cfRule>
    <cfRule type="containsText" dxfId="3744" priority="3664" operator="containsText" text="SI, CONTROLADA">
      <formula>NOT(ISERROR(SEARCH("SI, CONTROLADA",AY231)))</formula>
    </cfRule>
    <cfRule type="containsText" dxfId="3743" priority="3665" operator="containsText" text="NO">
      <formula>NOT(ISERROR(SEARCH("NO",AY231)))</formula>
    </cfRule>
  </conditionalFormatting>
  <conditionalFormatting sqref="AZ231">
    <cfRule type="containsText" dxfId="3742" priority="3656" operator="containsText" text="SD">
      <formula>NOT(ISERROR(SEARCH("SD",AZ231)))</formula>
    </cfRule>
    <cfRule type="containsText" dxfId="3741" priority="3657" operator="containsText" text="SI, NO CONTROLADA">
      <formula>NOT(ISERROR(SEARCH("SI, NO CONTROLADA",AZ231)))</formula>
    </cfRule>
    <cfRule type="containsText" dxfId="3740" priority="3658" operator="containsText" text="SI, SIN MANEJO">
      <formula>NOT(ISERROR(SEARCH("SI, SIN MANEJO",AZ231)))</formula>
    </cfRule>
    <cfRule type="containsText" dxfId="3739" priority="3659" operator="containsText" text="SI, CONTROLADA">
      <formula>NOT(ISERROR(SEARCH("SI, CONTROLADA",AZ231)))</formula>
    </cfRule>
    <cfRule type="containsText" dxfId="3738" priority="3660" operator="containsText" text="NO">
      <formula>NOT(ISERROR(SEARCH("NO",AZ231)))</formula>
    </cfRule>
  </conditionalFormatting>
  <conditionalFormatting sqref="BC231">
    <cfRule type="cellIs" dxfId="3737" priority="3653" operator="equal">
      <formula>"SD"</formula>
    </cfRule>
    <cfRule type="cellIs" dxfId="3736" priority="3654" operator="equal">
      <formula>"NO"</formula>
    </cfRule>
    <cfRule type="cellIs" dxfId="3735" priority="3655" operator="equal">
      <formula>"SI"</formula>
    </cfRule>
  </conditionalFormatting>
  <conditionalFormatting sqref="BG231">
    <cfRule type="cellIs" dxfId="3734" priority="3650" operator="equal">
      <formula>"SD"</formula>
    </cfRule>
    <cfRule type="cellIs" dxfId="3733" priority="3651" operator="equal">
      <formula>"NO"</formula>
    </cfRule>
    <cfRule type="cellIs" dxfId="3732" priority="3652" operator="equal">
      <formula>"SI"</formula>
    </cfRule>
  </conditionalFormatting>
  <conditionalFormatting sqref="CB231:CC231">
    <cfRule type="cellIs" dxfId="3731" priority="3647" operator="equal">
      <formula>"SD"</formula>
    </cfRule>
    <cfRule type="cellIs" dxfId="3730" priority="3648" operator="equal">
      <formula>"NO"</formula>
    </cfRule>
    <cfRule type="cellIs" dxfId="3729" priority="3649" operator="equal">
      <formula>"SI"</formula>
    </cfRule>
  </conditionalFormatting>
  <conditionalFormatting sqref="CD231">
    <cfRule type="cellIs" dxfId="3728" priority="3642" operator="equal">
      <formula>"SD"</formula>
    </cfRule>
    <cfRule type="cellIs" dxfId="3727" priority="3643" operator="equal">
      <formula>"OBLICUA"</formula>
    </cfRule>
    <cfRule type="cellIs" dxfId="3726" priority="3645" operator="equal">
      <formula>"PODÁLICA"</formula>
    </cfRule>
    <cfRule type="cellIs" dxfId="3725" priority="3646" operator="equal">
      <formula>"CEFÁLICA"</formula>
    </cfRule>
  </conditionalFormatting>
  <conditionalFormatting sqref="CE231">
    <cfRule type="cellIs" dxfId="3724" priority="3639" operator="equal">
      <formula>"SD"</formula>
    </cfRule>
    <cfRule type="cellIs" dxfId="3723" priority="3640" operator="equal">
      <formula>"NO"</formula>
    </cfRule>
    <cfRule type="cellIs" dxfId="3722" priority="3641" operator="equal">
      <formula>"SI"</formula>
    </cfRule>
  </conditionalFormatting>
  <conditionalFormatting sqref="AE232">
    <cfRule type="containsText" dxfId="3721" priority="3637" operator="containsText" text="NO">
      <formula>NOT(ISERROR(SEARCH("NO",AE232)))</formula>
    </cfRule>
    <cfRule type="containsText" dxfId="3720" priority="3638" operator="containsText" text="SI">
      <formula>NOT(ISERROR(SEARCH("SI",AE232)))</formula>
    </cfRule>
  </conditionalFormatting>
  <conditionalFormatting sqref="AG232:AH232">
    <cfRule type="cellIs" dxfId="3719" priority="3631" operator="equal">
      <formula>"SD"</formula>
    </cfRule>
    <cfRule type="cellIs" dxfId="3718" priority="3632" operator="equal">
      <formula>"NO"</formula>
    </cfRule>
    <cfRule type="cellIs" dxfId="3717" priority="3633" operator="equal">
      <formula>"SI"</formula>
    </cfRule>
  </conditionalFormatting>
  <conditionalFormatting sqref="AI232">
    <cfRule type="containsText" dxfId="3716" priority="3624" operator="containsText" text="HABITANTE DE CALLE">
      <formula>NOT(ISERROR(SEARCH("HABITANTE DE CALLE",AI232)))</formula>
    </cfRule>
    <cfRule type="containsText" dxfId="3715" priority="3627" operator="containsText" text="NINGUNO">
      <formula>NOT(ISERROR(SEARCH("NINGUNO",AI232)))</formula>
    </cfRule>
    <cfRule type="containsText" dxfId="3714" priority="3628" operator="containsText" text="MIGRATORIA">
      <formula>NOT(ISERROR(SEARCH("MIGRATORIA",AI232)))</formula>
    </cfRule>
    <cfRule type="containsText" dxfId="3713" priority="3629" operator="containsText" text="DISCAPACIDAD">
      <formula>NOT(ISERROR(SEARCH("DISCAPACIDAD",AI232)))</formula>
    </cfRule>
    <cfRule type="containsText" dxfId="3712" priority="3630" operator="containsText" text="DESPLAZADA">
      <formula>NOT(ISERROR(SEARCH("DESPLAZADA",AI232)))</formula>
    </cfRule>
  </conditionalFormatting>
  <conditionalFormatting sqref="AF232">
    <cfRule type="containsText" dxfId="3711" priority="3625" operator="containsText" text="NO">
      <formula>NOT(ISERROR(SEARCH("NO",AF232)))</formula>
    </cfRule>
    <cfRule type="containsText" dxfId="3710" priority="3626" operator="containsText" text="SI">
      <formula>NOT(ISERROR(SEARCH("SI",AF232)))</formula>
    </cfRule>
  </conditionalFormatting>
  <conditionalFormatting sqref="AJ232">
    <cfRule type="cellIs" dxfId="3709" priority="3621" operator="equal">
      <formula>"SD"</formula>
    </cfRule>
    <cfRule type="cellIs" dxfId="3708" priority="3622" operator="equal">
      <formula>"NO"</formula>
    </cfRule>
    <cfRule type="cellIs" dxfId="3707" priority="3623" operator="equal">
      <formula>"SI"</formula>
    </cfRule>
  </conditionalFormatting>
  <conditionalFormatting sqref="AX232">
    <cfRule type="cellIs" dxfId="3706" priority="3618" operator="equal">
      <formula>"SD"</formula>
    </cfRule>
    <cfRule type="cellIs" dxfId="3705" priority="3619" operator="equal">
      <formula>"NO"</formula>
    </cfRule>
    <cfRule type="cellIs" dxfId="3704" priority="3620" operator="equal">
      <formula>"SI"</formula>
    </cfRule>
  </conditionalFormatting>
  <conditionalFormatting sqref="BF232">
    <cfRule type="cellIs" dxfId="3703" priority="3615" operator="equal">
      <formula>"SD"</formula>
    </cfRule>
    <cfRule type="cellIs" dxfId="3702" priority="3616" operator="equal">
      <formula>"NO"</formula>
    </cfRule>
    <cfRule type="cellIs" dxfId="3701" priority="3617" operator="equal">
      <formula>"SI"</formula>
    </cfRule>
  </conditionalFormatting>
  <conditionalFormatting sqref="BA232:BB232 BD232:BE232">
    <cfRule type="cellIs" dxfId="3700" priority="3612" operator="equal">
      <formula>"SD"</formula>
    </cfRule>
    <cfRule type="cellIs" dxfId="3699" priority="3613" operator="equal">
      <formula>"NO"</formula>
    </cfRule>
    <cfRule type="cellIs" dxfId="3698" priority="3614" operator="equal">
      <formula>"SI"</formula>
    </cfRule>
  </conditionalFormatting>
  <conditionalFormatting sqref="BE232">
    <cfRule type="expression" dxfId="3697" priority="3611">
      <formula>IF(AND(FA232&gt;=126,FC232&lt;24),1,0)</formula>
    </cfRule>
  </conditionalFormatting>
  <conditionalFormatting sqref="AY232">
    <cfRule type="containsText" dxfId="3696" priority="3606" operator="containsText" text="SD">
      <formula>NOT(ISERROR(SEARCH("SD",AY232)))</formula>
    </cfRule>
    <cfRule type="containsText" dxfId="3695" priority="3607" operator="containsText" text="SI, NO CONTROLADA">
      <formula>NOT(ISERROR(SEARCH("SI, NO CONTROLADA",AY232)))</formula>
    </cfRule>
    <cfRule type="containsText" dxfId="3694" priority="3608" operator="containsText" text="SI, SIN MANEJO">
      <formula>NOT(ISERROR(SEARCH("SI, SIN MANEJO",AY232)))</formula>
    </cfRule>
    <cfRule type="containsText" dxfId="3693" priority="3609" operator="containsText" text="SI, CONTROLADA">
      <formula>NOT(ISERROR(SEARCH("SI, CONTROLADA",AY232)))</formula>
    </cfRule>
    <cfRule type="containsText" dxfId="3692" priority="3610" operator="containsText" text="NO">
      <formula>NOT(ISERROR(SEARCH("NO",AY232)))</formula>
    </cfRule>
  </conditionalFormatting>
  <conditionalFormatting sqref="AZ232">
    <cfRule type="containsText" dxfId="3691" priority="3601" operator="containsText" text="SD">
      <formula>NOT(ISERROR(SEARCH("SD",AZ232)))</formula>
    </cfRule>
    <cfRule type="containsText" dxfId="3690" priority="3602" operator="containsText" text="SI, NO CONTROLADA">
      <formula>NOT(ISERROR(SEARCH("SI, NO CONTROLADA",AZ232)))</formula>
    </cfRule>
    <cfRule type="containsText" dxfId="3689" priority="3603" operator="containsText" text="SI, SIN MANEJO">
      <formula>NOT(ISERROR(SEARCH("SI, SIN MANEJO",AZ232)))</formula>
    </cfRule>
    <cfRule type="containsText" dxfId="3688" priority="3604" operator="containsText" text="SI, CONTROLADA">
      <formula>NOT(ISERROR(SEARCH("SI, CONTROLADA",AZ232)))</formula>
    </cfRule>
    <cfRule type="containsText" dxfId="3687" priority="3605" operator="containsText" text="NO">
      <formula>NOT(ISERROR(SEARCH("NO",AZ232)))</formula>
    </cfRule>
  </conditionalFormatting>
  <conditionalFormatting sqref="BC232">
    <cfRule type="cellIs" dxfId="3686" priority="3598" operator="equal">
      <formula>"SD"</formula>
    </cfRule>
    <cfRule type="cellIs" dxfId="3685" priority="3599" operator="equal">
      <formula>"NO"</formula>
    </cfRule>
    <cfRule type="cellIs" dxfId="3684" priority="3600" operator="equal">
      <formula>"SI"</formula>
    </cfRule>
  </conditionalFormatting>
  <conditionalFormatting sqref="BG232">
    <cfRule type="cellIs" dxfId="3683" priority="3595" operator="equal">
      <formula>"SD"</formula>
    </cfRule>
    <cfRule type="cellIs" dxfId="3682" priority="3596" operator="equal">
      <formula>"NO"</formula>
    </cfRule>
    <cfRule type="cellIs" dxfId="3681" priority="3597" operator="equal">
      <formula>"SI"</formula>
    </cfRule>
  </conditionalFormatting>
  <conditionalFormatting sqref="BH231:BH232">
    <cfRule type="cellIs" dxfId="3680" priority="3577" operator="equal">
      <formula>"SD"</formula>
    </cfRule>
    <cfRule type="cellIs" dxfId="3679" priority="3578" operator="equal">
      <formula>"NO"</formula>
    </cfRule>
    <cfRule type="cellIs" dxfId="3678" priority="3579" operator="equal">
      <formula>"SI"</formula>
    </cfRule>
  </conditionalFormatting>
  <conditionalFormatting sqref="BI231:BI232">
    <cfRule type="cellIs" dxfId="3677" priority="3574" operator="equal">
      <formula>"SD"</formula>
    </cfRule>
    <cfRule type="cellIs" dxfId="3676" priority="3575" operator="equal">
      <formula>"NO"</formula>
    </cfRule>
    <cfRule type="cellIs" dxfId="3675" priority="3576" operator="equal">
      <formula>"SI"</formula>
    </cfRule>
  </conditionalFormatting>
  <conditionalFormatting sqref="BJ231:BJ232">
    <cfRule type="cellIs" dxfId="3674" priority="3571" operator="equal">
      <formula>"SD"</formula>
    </cfRule>
    <cfRule type="cellIs" dxfId="3673" priority="3572" operator="equal">
      <formula>"NO"</formula>
    </cfRule>
    <cfRule type="cellIs" dxfId="3672" priority="3573" operator="equal">
      <formula>"SI"</formula>
    </cfRule>
  </conditionalFormatting>
  <conditionalFormatting sqref="BL231:BM232">
    <cfRule type="cellIs" dxfId="3671" priority="3568" operator="equal">
      <formula>"SD"</formula>
    </cfRule>
    <cfRule type="cellIs" dxfId="3670" priority="3569" operator="equal">
      <formula>"NO"</formula>
    </cfRule>
    <cfRule type="cellIs" dxfId="3669" priority="3570" operator="equal">
      <formula>"SI"</formula>
    </cfRule>
  </conditionalFormatting>
  <conditionalFormatting sqref="BK231:BK232">
    <cfRule type="cellIs" dxfId="3668" priority="3565" operator="equal">
      <formula>"SD"</formula>
    </cfRule>
    <cfRule type="cellIs" dxfId="3667" priority="3566" operator="equal">
      <formula>"NO"</formula>
    </cfRule>
    <cfRule type="cellIs" dxfId="3666" priority="3567" operator="equal">
      <formula>"SI"</formula>
    </cfRule>
  </conditionalFormatting>
  <conditionalFormatting sqref="CB232:CC232">
    <cfRule type="cellIs" dxfId="3665" priority="3562" operator="equal">
      <formula>"SD"</formula>
    </cfRule>
    <cfRule type="cellIs" dxfId="3664" priority="3563" operator="equal">
      <formula>"NO"</formula>
    </cfRule>
    <cfRule type="cellIs" dxfId="3663" priority="3564" operator="equal">
      <formula>"SI"</formula>
    </cfRule>
  </conditionalFormatting>
  <conditionalFormatting sqref="CD232">
    <cfRule type="cellIs" dxfId="3662" priority="3557" operator="equal">
      <formula>"SD"</formula>
    </cfRule>
    <cfRule type="cellIs" dxfId="3661" priority="3558" operator="equal">
      <formula>"OBLICUA"</formula>
    </cfRule>
    <cfRule type="cellIs" dxfId="3660" priority="3560" operator="equal">
      <formula>"PODÁLICA"</formula>
    </cfRule>
    <cfRule type="cellIs" dxfId="3659" priority="3561" operator="equal">
      <formula>"CEFÁLICA"</formula>
    </cfRule>
  </conditionalFormatting>
  <conditionalFormatting sqref="CE232">
    <cfRule type="cellIs" dxfId="3658" priority="3554" operator="equal">
      <formula>"SD"</formula>
    </cfRule>
    <cfRule type="cellIs" dxfId="3657" priority="3555" operator="equal">
      <formula>"NO"</formula>
    </cfRule>
    <cfRule type="cellIs" dxfId="3656" priority="3556" operator="equal">
      <formula>"SI"</formula>
    </cfRule>
  </conditionalFormatting>
  <conditionalFormatting sqref="AE233">
    <cfRule type="containsText" dxfId="3655" priority="3552" operator="containsText" text="NO">
      <formula>NOT(ISERROR(SEARCH("NO",AE233)))</formula>
    </cfRule>
    <cfRule type="containsText" dxfId="3654" priority="3553" operator="containsText" text="SI">
      <formula>NOT(ISERROR(SEARCH("SI",AE233)))</formula>
    </cfRule>
  </conditionalFormatting>
  <conditionalFormatting sqref="AG233:AH233">
    <cfRule type="cellIs" dxfId="3653" priority="3546" operator="equal">
      <formula>"SD"</formula>
    </cfRule>
    <cfRule type="cellIs" dxfId="3652" priority="3547" operator="equal">
      <formula>"NO"</formula>
    </cfRule>
    <cfRule type="cellIs" dxfId="3651" priority="3548" operator="equal">
      <formula>"SI"</formula>
    </cfRule>
  </conditionalFormatting>
  <conditionalFormatting sqref="AI233">
    <cfRule type="containsText" dxfId="3650" priority="3539" operator="containsText" text="HABITANTE DE CALLE">
      <formula>NOT(ISERROR(SEARCH("HABITANTE DE CALLE",AI233)))</formula>
    </cfRule>
    <cfRule type="containsText" dxfId="3649" priority="3542" operator="containsText" text="NINGUNO">
      <formula>NOT(ISERROR(SEARCH("NINGUNO",AI233)))</formula>
    </cfRule>
    <cfRule type="containsText" dxfId="3648" priority="3543" operator="containsText" text="MIGRATORIA">
      <formula>NOT(ISERROR(SEARCH("MIGRATORIA",AI233)))</formula>
    </cfRule>
    <cfRule type="containsText" dxfId="3647" priority="3544" operator="containsText" text="DISCAPACIDAD">
      <formula>NOT(ISERROR(SEARCH("DISCAPACIDAD",AI233)))</formula>
    </cfRule>
    <cfRule type="containsText" dxfId="3646" priority="3545" operator="containsText" text="DESPLAZADA">
      <formula>NOT(ISERROR(SEARCH("DESPLAZADA",AI233)))</formula>
    </cfRule>
  </conditionalFormatting>
  <conditionalFormatting sqref="AF233">
    <cfRule type="containsText" dxfId="3645" priority="3540" operator="containsText" text="NO">
      <formula>NOT(ISERROR(SEARCH("NO",AF233)))</formula>
    </cfRule>
    <cfRule type="containsText" dxfId="3644" priority="3541" operator="containsText" text="SI">
      <formula>NOT(ISERROR(SEARCH("SI",AF233)))</formula>
    </cfRule>
  </conditionalFormatting>
  <conditionalFormatting sqref="AJ233">
    <cfRule type="cellIs" dxfId="3643" priority="3536" operator="equal">
      <formula>"SD"</formula>
    </cfRule>
    <cfRule type="cellIs" dxfId="3642" priority="3537" operator="equal">
      <formula>"NO"</formula>
    </cfRule>
    <cfRule type="cellIs" dxfId="3641" priority="3538" operator="equal">
      <formula>"SI"</formula>
    </cfRule>
  </conditionalFormatting>
  <conditionalFormatting sqref="AX233">
    <cfRule type="cellIs" dxfId="3640" priority="3533" operator="equal">
      <formula>"SD"</formula>
    </cfRule>
    <cfRule type="cellIs" dxfId="3639" priority="3534" operator="equal">
      <formula>"NO"</formula>
    </cfRule>
    <cfRule type="cellIs" dxfId="3638" priority="3535" operator="equal">
      <formula>"SI"</formula>
    </cfRule>
  </conditionalFormatting>
  <conditionalFormatting sqref="BA233:BB233">
    <cfRule type="cellIs" dxfId="3637" priority="3530" operator="equal">
      <formula>"SD"</formula>
    </cfRule>
    <cfRule type="cellIs" dxfId="3636" priority="3531" operator="equal">
      <formula>"NO"</formula>
    </cfRule>
    <cfRule type="cellIs" dxfId="3635" priority="3532" operator="equal">
      <formula>"SI"</formula>
    </cfRule>
  </conditionalFormatting>
  <conditionalFormatting sqref="AY233">
    <cfRule type="containsText" dxfId="3634" priority="3525" operator="containsText" text="SD">
      <formula>NOT(ISERROR(SEARCH("SD",AY233)))</formula>
    </cfRule>
    <cfRule type="containsText" dxfId="3633" priority="3526" operator="containsText" text="SI, NO CONTROLADA">
      <formula>NOT(ISERROR(SEARCH("SI, NO CONTROLADA",AY233)))</formula>
    </cfRule>
    <cfRule type="containsText" dxfId="3632" priority="3527" operator="containsText" text="SI, SIN MANEJO">
      <formula>NOT(ISERROR(SEARCH("SI, SIN MANEJO",AY233)))</formula>
    </cfRule>
    <cfRule type="containsText" dxfId="3631" priority="3528" operator="containsText" text="SI, CONTROLADA">
      <formula>NOT(ISERROR(SEARCH("SI, CONTROLADA",AY233)))</formula>
    </cfRule>
    <cfRule type="containsText" dxfId="3630" priority="3529" operator="containsText" text="NO">
      <formula>NOT(ISERROR(SEARCH("NO",AY233)))</formula>
    </cfRule>
  </conditionalFormatting>
  <conditionalFormatting sqref="AZ233">
    <cfRule type="containsText" dxfId="3629" priority="3520" operator="containsText" text="SD">
      <formula>NOT(ISERROR(SEARCH("SD",AZ233)))</formula>
    </cfRule>
    <cfRule type="containsText" dxfId="3628" priority="3521" operator="containsText" text="SI, NO CONTROLADA">
      <formula>NOT(ISERROR(SEARCH("SI, NO CONTROLADA",AZ233)))</formula>
    </cfRule>
    <cfRule type="containsText" dxfId="3627" priority="3522" operator="containsText" text="SI, SIN MANEJO">
      <formula>NOT(ISERROR(SEARCH("SI, SIN MANEJO",AZ233)))</formula>
    </cfRule>
    <cfRule type="containsText" dxfId="3626" priority="3523" operator="containsText" text="SI, CONTROLADA">
      <formula>NOT(ISERROR(SEARCH("SI, CONTROLADA",AZ233)))</formula>
    </cfRule>
    <cfRule type="containsText" dxfId="3625" priority="3524" operator="containsText" text="NO">
      <formula>NOT(ISERROR(SEARCH("NO",AZ233)))</formula>
    </cfRule>
  </conditionalFormatting>
  <conditionalFormatting sqref="BC233">
    <cfRule type="cellIs" dxfId="3624" priority="3517" operator="equal">
      <formula>"SD"</formula>
    </cfRule>
    <cfRule type="cellIs" dxfId="3623" priority="3518" operator="equal">
      <formula>"NO"</formula>
    </cfRule>
    <cfRule type="cellIs" dxfId="3622" priority="3519" operator="equal">
      <formula>"SI"</formula>
    </cfRule>
  </conditionalFormatting>
  <conditionalFormatting sqref="BF233">
    <cfRule type="cellIs" dxfId="3621" priority="3514" operator="equal">
      <formula>"SD"</formula>
    </cfRule>
    <cfRule type="cellIs" dxfId="3620" priority="3515" operator="equal">
      <formula>"NO"</formula>
    </cfRule>
    <cfRule type="cellIs" dxfId="3619" priority="3516" operator="equal">
      <formula>"SI"</formula>
    </cfRule>
  </conditionalFormatting>
  <conditionalFormatting sqref="BD233:BE233">
    <cfRule type="cellIs" dxfId="3618" priority="3511" operator="equal">
      <formula>"SD"</formula>
    </cfRule>
    <cfRule type="cellIs" dxfId="3617" priority="3512" operator="equal">
      <formula>"NO"</formula>
    </cfRule>
    <cfRule type="cellIs" dxfId="3616" priority="3513" operator="equal">
      <formula>"SI"</formula>
    </cfRule>
  </conditionalFormatting>
  <conditionalFormatting sqref="BE233">
    <cfRule type="expression" dxfId="3615" priority="3510">
      <formula>IF(AND(FA233&gt;=126,FC233&lt;24),1,0)</formula>
    </cfRule>
  </conditionalFormatting>
  <conditionalFormatting sqref="BG233">
    <cfRule type="cellIs" dxfId="3614" priority="3507" operator="equal">
      <formula>"SD"</formula>
    </cfRule>
    <cfRule type="cellIs" dxfId="3613" priority="3508" operator="equal">
      <formula>"NO"</formula>
    </cfRule>
    <cfRule type="cellIs" dxfId="3612" priority="3509" operator="equal">
      <formula>"SI"</formula>
    </cfRule>
  </conditionalFormatting>
  <conditionalFormatting sqref="BH233">
    <cfRule type="cellIs" dxfId="3611" priority="3504" operator="equal">
      <formula>"SD"</formula>
    </cfRule>
    <cfRule type="cellIs" dxfId="3610" priority="3505" operator="equal">
      <formula>"NO"</formula>
    </cfRule>
    <cfRule type="cellIs" dxfId="3609" priority="3506" operator="equal">
      <formula>"SI"</formula>
    </cfRule>
  </conditionalFormatting>
  <conditionalFormatting sqref="BI233">
    <cfRule type="cellIs" dxfId="3608" priority="3501" operator="equal">
      <formula>"SD"</formula>
    </cfRule>
    <cfRule type="cellIs" dxfId="3607" priority="3502" operator="equal">
      <formula>"NO"</formula>
    </cfRule>
    <cfRule type="cellIs" dxfId="3606" priority="3503" operator="equal">
      <formula>"SI"</formula>
    </cfRule>
  </conditionalFormatting>
  <conditionalFormatting sqref="BJ233">
    <cfRule type="cellIs" dxfId="3605" priority="3498" operator="equal">
      <formula>"SD"</formula>
    </cfRule>
    <cfRule type="cellIs" dxfId="3604" priority="3499" operator="equal">
      <formula>"NO"</formula>
    </cfRule>
    <cfRule type="cellIs" dxfId="3603" priority="3500" operator="equal">
      <formula>"SI"</formula>
    </cfRule>
  </conditionalFormatting>
  <conditionalFormatting sqref="BL233:BM233">
    <cfRule type="cellIs" dxfId="3602" priority="3495" operator="equal">
      <formula>"SD"</formula>
    </cfRule>
    <cfRule type="cellIs" dxfId="3601" priority="3496" operator="equal">
      <formula>"NO"</formula>
    </cfRule>
    <cfRule type="cellIs" dxfId="3600" priority="3497" operator="equal">
      <formula>"SI"</formula>
    </cfRule>
  </conditionalFormatting>
  <conditionalFormatting sqref="BK233">
    <cfRule type="cellIs" dxfId="3599" priority="3492" operator="equal">
      <formula>"SD"</formula>
    </cfRule>
    <cfRule type="cellIs" dxfId="3598" priority="3493" operator="equal">
      <formula>"NO"</formula>
    </cfRule>
    <cfRule type="cellIs" dxfId="3597" priority="3494" operator="equal">
      <formula>"SI"</formula>
    </cfRule>
  </conditionalFormatting>
  <conditionalFormatting sqref="CB233:CC233">
    <cfRule type="cellIs" dxfId="3596" priority="3489" operator="equal">
      <formula>"SD"</formula>
    </cfRule>
    <cfRule type="cellIs" dxfId="3595" priority="3490" operator="equal">
      <formula>"NO"</formula>
    </cfRule>
    <cfRule type="cellIs" dxfId="3594" priority="3491" operator="equal">
      <formula>"SI"</formula>
    </cfRule>
  </conditionalFormatting>
  <conditionalFormatting sqref="CE233">
    <cfRule type="cellIs" dxfId="3593" priority="3486" operator="equal">
      <formula>"SD"</formula>
    </cfRule>
    <cfRule type="cellIs" dxfId="3592" priority="3487" operator="equal">
      <formula>"NO"</formula>
    </cfRule>
    <cfRule type="cellIs" dxfId="3591" priority="3488" operator="equal">
      <formula>"SI"</formula>
    </cfRule>
  </conditionalFormatting>
  <conditionalFormatting sqref="AI204">
    <cfRule type="containsText" dxfId="3590" priority="3481" operator="containsText" text="HABITANTE DE CALLE">
      <formula>NOT(ISERROR(SEARCH("HABITANTE DE CALLE",AI204)))</formula>
    </cfRule>
    <cfRule type="containsText" dxfId="3589" priority="3482" operator="containsText" text="NINGUNO">
      <formula>NOT(ISERROR(SEARCH("NINGUNO",AI204)))</formula>
    </cfRule>
    <cfRule type="containsText" dxfId="3588" priority="3483" operator="containsText" text="MIGRATORIA">
      <formula>NOT(ISERROR(SEARCH("MIGRATORIA",AI204)))</formula>
    </cfRule>
    <cfRule type="containsText" dxfId="3587" priority="3484" operator="containsText" text="DISCAPACIDAD">
      <formula>NOT(ISERROR(SEARCH("DISCAPACIDAD",AI204)))</formula>
    </cfRule>
    <cfRule type="containsText" dxfId="3586" priority="3485" operator="containsText" text="DESPLAZADA">
      <formula>NOT(ISERROR(SEARCH("DESPLAZADA",AI204)))</formula>
    </cfRule>
  </conditionalFormatting>
  <conditionalFormatting sqref="AI204">
    <cfRule type="containsText" dxfId="3585" priority="3476" operator="containsText" text="HABITANTE DE CALLE">
      <formula>NOT(ISERROR(SEARCH("HABITANTE DE CALLE",AI204)))</formula>
    </cfRule>
    <cfRule type="containsText" dxfId="3584" priority="3477" operator="containsText" text="NINGUNO">
      <formula>NOT(ISERROR(SEARCH("NINGUNO",AI204)))</formula>
    </cfRule>
    <cfRule type="containsText" dxfId="3583" priority="3478" operator="containsText" text="MIGRATORIA">
      <formula>NOT(ISERROR(SEARCH("MIGRATORIA",AI204)))</formula>
    </cfRule>
    <cfRule type="containsText" dxfId="3582" priority="3479" operator="containsText" text="DISCAPACIDAD">
      <formula>NOT(ISERROR(SEARCH("DISCAPACIDAD",AI204)))</formula>
    </cfRule>
    <cfRule type="containsText" dxfId="3581" priority="3480" operator="containsText" text="DESPLAZADA">
      <formula>NOT(ISERROR(SEARCH("DESPLAZADA",AI204)))</formula>
    </cfRule>
  </conditionalFormatting>
  <conditionalFormatting sqref="AL204:AR204">
    <cfRule type="cellIs" dxfId="3580" priority="3473" operator="equal">
      <formula>"SD"</formula>
    </cfRule>
    <cfRule type="cellIs" dxfId="3579" priority="3474" operator="equal">
      <formula>"NO"</formula>
    </cfRule>
    <cfRule type="cellIs" dxfId="3578" priority="3475" operator="equal">
      <formula>"SI"</formula>
    </cfRule>
  </conditionalFormatting>
  <conditionalFormatting sqref="AL204:AR204">
    <cfRule type="cellIs" dxfId="3577" priority="3470" operator="equal">
      <formula>"SD"</formula>
    </cfRule>
    <cfRule type="cellIs" dxfId="3576" priority="3471" operator="equal">
      <formula>"NO"</formula>
    </cfRule>
    <cfRule type="cellIs" dxfId="3575" priority="3472" operator="equal">
      <formula>"SI"</formula>
    </cfRule>
  </conditionalFormatting>
  <conditionalFormatting sqref="BD204:BI204 AX204:BB204 BK204:BM204">
    <cfRule type="cellIs" dxfId="3574" priority="3467" operator="equal">
      <formula>"SD"</formula>
    </cfRule>
    <cfRule type="cellIs" dxfId="3573" priority="3468" operator="equal">
      <formula>"NO"</formula>
    </cfRule>
    <cfRule type="cellIs" dxfId="3572" priority="3469" operator="equal">
      <formula>"SI"</formula>
    </cfRule>
  </conditionalFormatting>
  <conditionalFormatting sqref="BC204">
    <cfRule type="containsText" dxfId="3571" priority="3462" operator="containsText" text="SD">
      <formula>NOT(ISERROR(SEARCH("SD",BC204)))</formula>
    </cfRule>
    <cfRule type="containsText" dxfId="3570" priority="3463" operator="containsText" text="SI, NO CONTROLADA">
      <formula>NOT(ISERROR(SEARCH("SI, NO CONTROLADA",BC204)))</formula>
    </cfRule>
    <cfRule type="containsText" dxfId="3569" priority="3464" operator="containsText" text="SI, SIN MANEJO">
      <formula>NOT(ISERROR(SEARCH("SI, SIN MANEJO",BC204)))</formula>
    </cfRule>
    <cfRule type="containsText" dxfId="3568" priority="3465" operator="containsText" text="SI, CONTROLADA">
      <formula>NOT(ISERROR(SEARCH("SI, CONTROLADA",BC204)))</formula>
    </cfRule>
    <cfRule type="containsText" dxfId="3567" priority="3466" operator="containsText" text="NO">
      <formula>NOT(ISERROR(SEARCH("NO",BC204)))</formula>
    </cfRule>
  </conditionalFormatting>
  <conditionalFormatting sqref="AX204">
    <cfRule type="cellIs" dxfId="3566" priority="3459" operator="equal">
      <formula>"SD"</formula>
    </cfRule>
    <cfRule type="cellIs" dxfId="3565" priority="3460" operator="equal">
      <formula>"NO"</formula>
    </cfRule>
    <cfRule type="cellIs" dxfId="3564" priority="3461" operator="equal">
      <formula>"SI"</formula>
    </cfRule>
  </conditionalFormatting>
  <conditionalFormatting sqref="BK204:BM204">
    <cfRule type="cellIs" dxfId="3563" priority="3456" operator="equal">
      <formula>"SD"</formula>
    </cfRule>
    <cfRule type="cellIs" dxfId="3562" priority="3457" operator="equal">
      <formula>"NO"</formula>
    </cfRule>
    <cfRule type="cellIs" dxfId="3561" priority="3458" operator="equal">
      <formula>"SI"</formula>
    </cfRule>
  </conditionalFormatting>
  <conditionalFormatting sqref="AY204:BA204">
    <cfRule type="cellIs" dxfId="3560" priority="3453" operator="equal">
      <formula>"SD"</formula>
    </cfRule>
    <cfRule type="cellIs" dxfId="3559" priority="3454" operator="equal">
      <formula>"NO"</formula>
    </cfRule>
    <cfRule type="cellIs" dxfId="3558" priority="3455" operator="equal">
      <formula>"SI"</formula>
    </cfRule>
  </conditionalFormatting>
  <conditionalFormatting sqref="BD204:BI204 BB204">
    <cfRule type="cellIs" dxfId="3557" priority="3450" operator="equal">
      <formula>"SD"</formula>
    </cfRule>
    <cfRule type="cellIs" dxfId="3556" priority="3451" operator="equal">
      <formula>"NO"</formula>
    </cfRule>
    <cfRule type="cellIs" dxfId="3555" priority="3452" operator="equal">
      <formula>"SI"</formula>
    </cfRule>
  </conditionalFormatting>
  <conditionalFormatting sqref="BC204">
    <cfRule type="containsText" dxfId="3554" priority="3445" operator="containsText" text="SD">
      <formula>NOT(ISERROR(SEARCH("SD",BC204)))</formula>
    </cfRule>
    <cfRule type="containsText" dxfId="3553" priority="3446" operator="containsText" text="SI, NO CONTROLADA">
      <formula>NOT(ISERROR(SEARCH("SI, NO CONTROLADA",BC204)))</formula>
    </cfRule>
    <cfRule type="containsText" dxfId="3552" priority="3447" operator="containsText" text="SI, SIN MANEJO">
      <formula>NOT(ISERROR(SEARCH("SI, SIN MANEJO",BC204)))</formula>
    </cfRule>
    <cfRule type="containsText" dxfId="3551" priority="3448" operator="containsText" text="SI, CONTROLADA">
      <formula>NOT(ISERROR(SEARCH("SI, CONTROLADA",BC204)))</formula>
    </cfRule>
    <cfRule type="containsText" dxfId="3550" priority="3449" operator="containsText" text="NO">
      <formula>NOT(ISERROR(SEARCH("NO",BC204)))</formula>
    </cfRule>
  </conditionalFormatting>
  <conditionalFormatting sqref="BE204">
    <cfRule type="expression" dxfId="3549" priority="3444">
      <formula>IF(AND(FA204&gt;=126,FC204&lt;24),1,0)</formula>
    </cfRule>
  </conditionalFormatting>
  <conditionalFormatting sqref="AG205:AH205 AJ205">
    <cfRule type="cellIs" dxfId="3548" priority="3441" operator="equal">
      <formula>"SD"</formula>
    </cfRule>
    <cfRule type="cellIs" dxfId="3547" priority="3442" operator="equal">
      <formula>"NO"</formula>
    </cfRule>
    <cfRule type="cellIs" dxfId="3546" priority="3443" operator="equal">
      <formula>"SI"</formula>
    </cfRule>
  </conditionalFormatting>
  <conditionalFormatting sqref="AK205">
    <cfRule type="containsText" dxfId="3545" priority="3436" operator="containsText" text="COMPLETAR EVALUACIÓN">
      <formula>NOT(ISERROR(SEARCH("COMPLETAR EVALUACIÓN",AK205)))</formula>
    </cfRule>
    <cfRule type="containsText" dxfId="3544" priority="3439" operator="containsText" text="CON RIESGO">
      <formula>NOT(ISERROR(SEARCH("CON RIESGO",AK205)))</formula>
    </cfRule>
    <cfRule type="containsText" dxfId="3543" priority="3440" operator="containsText" text="SIN RIESGO">
      <formula>NOT(ISERROR(SEARCH("SIN RIESGO",AK205)))</formula>
    </cfRule>
  </conditionalFormatting>
  <conditionalFormatting sqref="AE205:AF205">
    <cfRule type="containsText" dxfId="3542" priority="3437" operator="containsText" text="NO">
      <formula>NOT(ISERROR(SEARCH("NO",AE205)))</formula>
    </cfRule>
    <cfRule type="containsText" dxfId="3541" priority="3438" operator="containsText" text="SI">
      <formula>NOT(ISERROR(SEARCH("SI",AE205)))</formula>
    </cfRule>
  </conditionalFormatting>
  <conditionalFormatting sqref="AI205">
    <cfRule type="containsText" dxfId="3540" priority="3428" operator="containsText" text="HABITANTE DE CALLE">
      <formula>NOT(ISERROR(SEARCH("HABITANTE DE CALLE",AI205)))</formula>
    </cfRule>
    <cfRule type="containsText" dxfId="3539" priority="3429" operator="containsText" text="NINGUNO">
      <formula>NOT(ISERROR(SEARCH("NINGUNO",AI205)))</formula>
    </cfRule>
    <cfRule type="containsText" dxfId="3538" priority="3430" operator="containsText" text="MIGRATORIA">
      <formula>NOT(ISERROR(SEARCH("MIGRATORIA",AI205)))</formula>
    </cfRule>
    <cfRule type="containsText" dxfId="3537" priority="3431" operator="containsText" text="DISCAPACIDAD">
      <formula>NOT(ISERROR(SEARCH("DISCAPACIDAD",AI205)))</formula>
    </cfRule>
    <cfRule type="containsText" dxfId="3536" priority="3432" operator="containsText" text="DESPLAZADA">
      <formula>NOT(ISERROR(SEARCH("DESPLAZADA",AI205)))</formula>
    </cfRule>
  </conditionalFormatting>
  <conditionalFormatting sqref="AI205">
    <cfRule type="containsText" dxfId="3535" priority="3423" operator="containsText" text="HABITANTE DE CALLE">
      <formula>NOT(ISERROR(SEARCH("HABITANTE DE CALLE",AI205)))</formula>
    </cfRule>
    <cfRule type="containsText" dxfId="3534" priority="3424" operator="containsText" text="NINGUNO">
      <formula>NOT(ISERROR(SEARCH("NINGUNO",AI205)))</formula>
    </cfRule>
    <cfRule type="containsText" dxfId="3533" priority="3425" operator="containsText" text="MIGRATORIA">
      <formula>NOT(ISERROR(SEARCH("MIGRATORIA",AI205)))</formula>
    </cfRule>
    <cfRule type="containsText" dxfId="3532" priority="3426" operator="containsText" text="DISCAPACIDAD">
      <formula>NOT(ISERROR(SEARCH("DISCAPACIDAD",AI205)))</formula>
    </cfRule>
    <cfRule type="containsText" dxfId="3531" priority="3427" operator="containsText" text="DESPLAZADA">
      <formula>NOT(ISERROR(SEARCH("DESPLAZADA",AI205)))</formula>
    </cfRule>
  </conditionalFormatting>
  <conditionalFormatting sqref="AL205:AN205">
    <cfRule type="cellIs" dxfId="3530" priority="3420" operator="equal">
      <formula>"SD"</formula>
    </cfRule>
    <cfRule type="cellIs" dxfId="3529" priority="3421" operator="equal">
      <formula>"NO"</formula>
    </cfRule>
    <cfRule type="cellIs" dxfId="3528" priority="3422" operator="equal">
      <formula>"SI"</formula>
    </cfRule>
  </conditionalFormatting>
  <conditionalFormatting sqref="AL205:AN205">
    <cfRule type="cellIs" dxfId="3527" priority="3417" operator="equal">
      <formula>"SD"</formula>
    </cfRule>
    <cfRule type="cellIs" dxfId="3526" priority="3418" operator="equal">
      <formula>"NO"</formula>
    </cfRule>
    <cfRule type="cellIs" dxfId="3525" priority="3419" operator="equal">
      <formula>"SI"</formula>
    </cfRule>
  </conditionalFormatting>
  <conditionalFormatting sqref="AO205:AR205">
    <cfRule type="cellIs" dxfId="3524" priority="3414" operator="equal">
      <formula>"SD"</formula>
    </cfRule>
    <cfRule type="cellIs" dxfId="3523" priority="3415" operator="equal">
      <formula>"NO"</formula>
    </cfRule>
    <cfRule type="cellIs" dxfId="3522" priority="3416" operator="equal">
      <formula>"SI"</formula>
    </cfRule>
  </conditionalFormatting>
  <conditionalFormatting sqref="AO205:AR205">
    <cfRule type="cellIs" dxfId="3521" priority="3411" operator="equal">
      <formula>"SD"</formula>
    </cfRule>
    <cfRule type="cellIs" dxfId="3520" priority="3412" operator="equal">
      <formula>"NO"</formula>
    </cfRule>
    <cfRule type="cellIs" dxfId="3519" priority="3413" operator="equal">
      <formula>"SI"</formula>
    </cfRule>
  </conditionalFormatting>
  <conditionalFormatting sqref="BD205:BI205 AX205:BB205 BK205:BM205">
    <cfRule type="cellIs" dxfId="3518" priority="3408" operator="equal">
      <formula>"SD"</formula>
    </cfRule>
    <cfRule type="cellIs" dxfId="3517" priority="3409" operator="equal">
      <formula>"NO"</formula>
    </cfRule>
    <cfRule type="cellIs" dxfId="3516" priority="3410" operator="equal">
      <formula>"SI"</formula>
    </cfRule>
  </conditionalFormatting>
  <conditionalFormatting sqref="BC205">
    <cfRule type="containsText" dxfId="3515" priority="3403" operator="containsText" text="SD">
      <formula>NOT(ISERROR(SEARCH("SD",BC205)))</formula>
    </cfRule>
    <cfRule type="containsText" dxfId="3514" priority="3404" operator="containsText" text="SI, NO CONTROLADA">
      <formula>NOT(ISERROR(SEARCH("SI, NO CONTROLADA",BC205)))</formula>
    </cfRule>
    <cfRule type="containsText" dxfId="3513" priority="3405" operator="containsText" text="SI, SIN MANEJO">
      <formula>NOT(ISERROR(SEARCH("SI, SIN MANEJO",BC205)))</formula>
    </cfRule>
    <cfRule type="containsText" dxfId="3512" priority="3406" operator="containsText" text="SI, CONTROLADA">
      <formula>NOT(ISERROR(SEARCH("SI, CONTROLADA",BC205)))</formula>
    </cfRule>
    <cfRule type="containsText" dxfId="3511" priority="3407" operator="containsText" text="NO">
      <formula>NOT(ISERROR(SEARCH("NO",BC205)))</formula>
    </cfRule>
  </conditionalFormatting>
  <conditionalFormatting sqref="AX205">
    <cfRule type="cellIs" dxfId="3510" priority="3400" operator="equal">
      <formula>"SD"</formula>
    </cfRule>
    <cfRule type="cellIs" dxfId="3509" priority="3401" operator="equal">
      <formula>"NO"</formula>
    </cfRule>
    <cfRule type="cellIs" dxfId="3508" priority="3402" operator="equal">
      <formula>"SI"</formula>
    </cfRule>
  </conditionalFormatting>
  <conditionalFormatting sqref="BK205:BM205">
    <cfRule type="cellIs" dxfId="3507" priority="3397" operator="equal">
      <formula>"SD"</formula>
    </cfRule>
    <cfRule type="cellIs" dxfId="3506" priority="3398" operator="equal">
      <formula>"NO"</formula>
    </cfRule>
    <cfRule type="cellIs" dxfId="3505" priority="3399" operator="equal">
      <formula>"SI"</formula>
    </cfRule>
  </conditionalFormatting>
  <conditionalFormatting sqref="AY205:BA205">
    <cfRule type="cellIs" dxfId="3504" priority="3394" operator="equal">
      <formula>"SD"</formula>
    </cfRule>
    <cfRule type="cellIs" dxfId="3503" priority="3395" operator="equal">
      <formula>"NO"</formula>
    </cfRule>
    <cfRule type="cellIs" dxfId="3502" priority="3396" operator="equal">
      <formula>"SI"</formula>
    </cfRule>
  </conditionalFormatting>
  <conditionalFormatting sqref="BD205:BI205 BB205">
    <cfRule type="cellIs" dxfId="3501" priority="3391" operator="equal">
      <formula>"SD"</formula>
    </cfRule>
    <cfRule type="cellIs" dxfId="3500" priority="3392" operator="equal">
      <formula>"NO"</formula>
    </cfRule>
    <cfRule type="cellIs" dxfId="3499" priority="3393" operator="equal">
      <formula>"SI"</formula>
    </cfRule>
  </conditionalFormatting>
  <conditionalFormatting sqref="BC205">
    <cfRule type="containsText" dxfId="3498" priority="3386" operator="containsText" text="SD">
      <formula>NOT(ISERROR(SEARCH("SD",BC205)))</formula>
    </cfRule>
    <cfRule type="containsText" dxfId="3497" priority="3387" operator="containsText" text="SI, NO CONTROLADA">
      <formula>NOT(ISERROR(SEARCH("SI, NO CONTROLADA",BC205)))</formula>
    </cfRule>
    <cfRule type="containsText" dxfId="3496" priority="3388" operator="containsText" text="SI, SIN MANEJO">
      <formula>NOT(ISERROR(SEARCH("SI, SIN MANEJO",BC205)))</formula>
    </cfRule>
    <cfRule type="containsText" dxfId="3495" priority="3389" operator="containsText" text="SI, CONTROLADA">
      <formula>NOT(ISERROR(SEARCH("SI, CONTROLADA",BC205)))</formula>
    </cfRule>
    <cfRule type="containsText" dxfId="3494" priority="3390" operator="containsText" text="NO">
      <formula>NOT(ISERROR(SEARCH("NO",BC205)))</formula>
    </cfRule>
  </conditionalFormatting>
  <conditionalFormatting sqref="BE205">
    <cfRule type="expression" dxfId="3493" priority="3385">
      <formula>IF(AND(FA205&gt;=126,FC205&lt;24),1,0)</formula>
    </cfRule>
  </conditionalFormatting>
  <conditionalFormatting sqref="AH206 AJ206">
    <cfRule type="cellIs" dxfId="3492" priority="3382" operator="equal">
      <formula>"SD"</formula>
    </cfRule>
    <cfRule type="cellIs" dxfId="3491" priority="3383" operator="equal">
      <formula>"NO"</formula>
    </cfRule>
    <cfRule type="cellIs" dxfId="3490" priority="3384" operator="equal">
      <formula>"SI"</formula>
    </cfRule>
  </conditionalFormatting>
  <conditionalFormatting sqref="AI206">
    <cfRule type="containsText" dxfId="3489" priority="3377" operator="containsText" text="HABITANTE DE CALLE">
      <formula>NOT(ISERROR(SEARCH("HABITANTE DE CALLE",AI206)))</formula>
    </cfRule>
    <cfRule type="containsText" dxfId="3488" priority="3378" operator="containsText" text="NINGUNO">
      <formula>NOT(ISERROR(SEARCH("NINGUNO",AI206)))</formula>
    </cfRule>
    <cfRule type="containsText" dxfId="3487" priority="3379" operator="containsText" text="MIGRATORIA">
      <formula>NOT(ISERROR(SEARCH("MIGRATORIA",AI206)))</formula>
    </cfRule>
    <cfRule type="containsText" dxfId="3486" priority="3380" operator="containsText" text="DISCAPACIDAD">
      <formula>NOT(ISERROR(SEARCH("DISCAPACIDAD",AI206)))</formula>
    </cfRule>
    <cfRule type="containsText" dxfId="3485" priority="3381" operator="containsText" text="DESPLAZADA">
      <formula>NOT(ISERROR(SEARCH("DESPLAZADA",AI206)))</formula>
    </cfRule>
  </conditionalFormatting>
  <conditionalFormatting sqref="AI206">
    <cfRule type="containsText" dxfId="3484" priority="3372" operator="containsText" text="HABITANTE DE CALLE">
      <formula>NOT(ISERROR(SEARCH("HABITANTE DE CALLE",AI206)))</formula>
    </cfRule>
    <cfRule type="containsText" dxfId="3483" priority="3373" operator="containsText" text="NINGUNO">
      <formula>NOT(ISERROR(SEARCH("NINGUNO",AI206)))</formula>
    </cfRule>
    <cfRule type="containsText" dxfId="3482" priority="3374" operator="containsText" text="MIGRATORIA">
      <formula>NOT(ISERROR(SEARCH("MIGRATORIA",AI206)))</formula>
    </cfRule>
    <cfRule type="containsText" dxfId="3481" priority="3375" operator="containsText" text="DISCAPACIDAD">
      <formula>NOT(ISERROR(SEARCH("DISCAPACIDAD",AI206)))</formula>
    </cfRule>
    <cfRule type="containsText" dxfId="3480" priority="3376" operator="containsText" text="DESPLAZADA">
      <formula>NOT(ISERROR(SEARCH("DESPLAZADA",AI206)))</formula>
    </cfRule>
  </conditionalFormatting>
  <conditionalFormatting sqref="AL206:AN206">
    <cfRule type="cellIs" dxfId="3479" priority="3369" operator="equal">
      <formula>"SD"</formula>
    </cfRule>
    <cfRule type="cellIs" dxfId="3478" priority="3370" operator="equal">
      <formula>"NO"</formula>
    </cfRule>
    <cfRule type="cellIs" dxfId="3477" priority="3371" operator="equal">
      <formula>"SI"</formula>
    </cfRule>
  </conditionalFormatting>
  <conditionalFormatting sqref="AL206:AN206">
    <cfRule type="cellIs" dxfId="3476" priority="3366" operator="equal">
      <formula>"SD"</formula>
    </cfRule>
    <cfRule type="cellIs" dxfId="3475" priority="3367" operator="equal">
      <formula>"NO"</formula>
    </cfRule>
    <cfRule type="cellIs" dxfId="3474" priority="3368" operator="equal">
      <formula>"SI"</formula>
    </cfRule>
  </conditionalFormatting>
  <conditionalFormatting sqref="AO206:AR206">
    <cfRule type="cellIs" dxfId="3473" priority="3363" operator="equal">
      <formula>"SD"</formula>
    </cfRule>
    <cfRule type="cellIs" dxfId="3472" priority="3364" operator="equal">
      <formula>"NO"</formula>
    </cfRule>
    <cfRule type="cellIs" dxfId="3471" priority="3365" operator="equal">
      <formula>"SI"</formula>
    </cfRule>
  </conditionalFormatting>
  <conditionalFormatting sqref="AO206:AR206">
    <cfRule type="cellIs" dxfId="3470" priority="3360" operator="equal">
      <formula>"SD"</formula>
    </cfRule>
    <cfRule type="cellIs" dxfId="3469" priority="3361" operator="equal">
      <formula>"NO"</formula>
    </cfRule>
    <cfRule type="cellIs" dxfId="3468" priority="3362" operator="equal">
      <formula>"SI"</formula>
    </cfRule>
  </conditionalFormatting>
  <conditionalFormatting sqref="BD206:BI206 AX206:BB206 BK206:BM206">
    <cfRule type="cellIs" dxfId="3467" priority="3357" operator="equal">
      <formula>"SD"</formula>
    </cfRule>
    <cfRule type="cellIs" dxfId="3466" priority="3358" operator="equal">
      <formula>"NO"</formula>
    </cfRule>
    <cfRule type="cellIs" dxfId="3465" priority="3359" operator="equal">
      <formula>"SI"</formula>
    </cfRule>
  </conditionalFormatting>
  <conditionalFormatting sqref="BC206">
    <cfRule type="containsText" dxfId="3464" priority="3352" operator="containsText" text="SD">
      <formula>NOT(ISERROR(SEARCH("SD",BC206)))</formula>
    </cfRule>
    <cfRule type="containsText" dxfId="3463" priority="3353" operator="containsText" text="SI, NO CONTROLADA">
      <formula>NOT(ISERROR(SEARCH("SI, NO CONTROLADA",BC206)))</formula>
    </cfRule>
    <cfRule type="containsText" dxfId="3462" priority="3354" operator="containsText" text="SI, SIN MANEJO">
      <formula>NOT(ISERROR(SEARCH("SI, SIN MANEJO",BC206)))</formula>
    </cfRule>
    <cfRule type="containsText" dxfId="3461" priority="3355" operator="containsText" text="SI, CONTROLADA">
      <formula>NOT(ISERROR(SEARCH("SI, CONTROLADA",BC206)))</formula>
    </cfRule>
    <cfRule type="containsText" dxfId="3460" priority="3356" operator="containsText" text="NO">
      <formula>NOT(ISERROR(SEARCH("NO",BC206)))</formula>
    </cfRule>
  </conditionalFormatting>
  <conditionalFormatting sqref="AX206">
    <cfRule type="cellIs" dxfId="3459" priority="3349" operator="equal">
      <formula>"SD"</formula>
    </cfRule>
    <cfRule type="cellIs" dxfId="3458" priority="3350" operator="equal">
      <formula>"NO"</formula>
    </cfRule>
    <cfRule type="cellIs" dxfId="3457" priority="3351" operator="equal">
      <formula>"SI"</formula>
    </cfRule>
  </conditionalFormatting>
  <conditionalFormatting sqref="BK206:BM206">
    <cfRule type="cellIs" dxfId="3456" priority="3346" operator="equal">
      <formula>"SD"</formula>
    </cfRule>
    <cfRule type="cellIs" dxfId="3455" priority="3347" operator="equal">
      <formula>"NO"</formula>
    </cfRule>
    <cfRule type="cellIs" dxfId="3454" priority="3348" operator="equal">
      <formula>"SI"</formula>
    </cfRule>
  </conditionalFormatting>
  <conditionalFormatting sqref="AY206:BA206">
    <cfRule type="cellIs" dxfId="3453" priority="3343" operator="equal">
      <formula>"SD"</formula>
    </cfRule>
    <cfRule type="cellIs" dxfId="3452" priority="3344" operator="equal">
      <formula>"NO"</formula>
    </cfRule>
    <cfRule type="cellIs" dxfId="3451" priority="3345" operator="equal">
      <formula>"SI"</formula>
    </cfRule>
  </conditionalFormatting>
  <conditionalFormatting sqref="BD206:BI206 BB206">
    <cfRule type="cellIs" dxfId="3450" priority="3340" operator="equal">
      <formula>"SD"</formula>
    </cfRule>
    <cfRule type="cellIs" dxfId="3449" priority="3341" operator="equal">
      <formula>"NO"</formula>
    </cfRule>
    <cfRule type="cellIs" dxfId="3448" priority="3342" operator="equal">
      <formula>"SI"</formula>
    </cfRule>
  </conditionalFormatting>
  <conditionalFormatting sqref="BC206">
    <cfRule type="containsText" dxfId="3447" priority="3335" operator="containsText" text="SD">
      <formula>NOT(ISERROR(SEARCH("SD",BC206)))</formula>
    </cfRule>
    <cfRule type="containsText" dxfId="3446" priority="3336" operator="containsText" text="SI, NO CONTROLADA">
      <formula>NOT(ISERROR(SEARCH("SI, NO CONTROLADA",BC206)))</formula>
    </cfRule>
    <cfRule type="containsText" dxfId="3445" priority="3337" operator="containsText" text="SI, SIN MANEJO">
      <formula>NOT(ISERROR(SEARCH("SI, SIN MANEJO",BC206)))</formula>
    </cfRule>
    <cfRule type="containsText" dxfId="3444" priority="3338" operator="containsText" text="SI, CONTROLADA">
      <formula>NOT(ISERROR(SEARCH("SI, CONTROLADA",BC206)))</formula>
    </cfRule>
    <cfRule type="containsText" dxfId="3443" priority="3339" operator="containsText" text="NO">
      <formula>NOT(ISERROR(SEARCH("NO",BC206)))</formula>
    </cfRule>
  </conditionalFormatting>
  <conditionalFormatting sqref="BE206">
    <cfRule type="expression" dxfId="3442" priority="3334">
      <formula>IF(AND(FA206&gt;=126,FC206&lt;24),1,0)</formula>
    </cfRule>
  </conditionalFormatting>
  <conditionalFormatting sqref="BD207:BI207 AY207:BB207 BK207:BM207">
    <cfRule type="cellIs" dxfId="3441" priority="3331" operator="equal">
      <formula>"SD"</formula>
    </cfRule>
    <cfRule type="cellIs" dxfId="3440" priority="3332" operator="equal">
      <formula>"NO"</formula>
    </cfRule>
    <cfRule type="cellIs" dxfId="3439" priority="3333" operator="equal">
      <formula>"SI"</formula>
    </cfRule>
  </conditionalFormatting>
  <conditionalFormatting sqref="BC207">
    <cfRule type="containsText" dxfId="3438" priority="3326" operator="containsText" text="SD">
      <formula>NOT(ISERROR(SEARCH("SD",BC207)))</formula>
    </cfRule>
    <cfRule type="containsText" dxfId="3437" priority="3327" operator="containsText" text="SI, NO CONTROLADA">
      <formula>NOT(ISERROR(SEARCH("SI, NO CONTROLADA",BC207)))</formula>
    </cfRule>
    <cfRule type="containsText" dxfId="3436" priority="3328" operator="containsText" text="SI, SIN MANEJO">
      <formula>NOT(ISERROR(SEARCH("SI, SIN MANEJO",BC207)))</formula>
    </cfRule>
    <cfRule type="containsText" dxfId="3435" priority="3329" operator="containsText" text="SI, CONTROLADA">
      <formula>NOT(ISERROR(SEARCH("SI, CONTROLADA",BC207)))</formula>
    </cfRule>
    <cfRule type="containsText" dxfId="3434" priority="3330" operator="containsText" text="NO">
      <formula>NOT(ISERROR(SEARCH("NO",BC207)))</formula>
    </cfRule>
  </conditionalFormatting>
  <conditionalFormatting sqref="BK207:BM207">
    <cfRule type="cellIs" dxfId="3433" priority="3323" operator="equal">
      <formula>"SD"</formula>
    </cfRule>
    <cfRule type="cellIs" dxfId="3432" priority="3324" operator="equal">
      <formula>"NO"</formula>
    </cfRule>
    <cfRule type="cellIs" dxfId="3431" priority="3325" operator="equal">
      <formula>"SI"</formula>
    </cfRule>
  </conditionalFormatting>
  <conditionalFormatting sqref="AY207:BA207">
    <cfRule type="cellIs" dxfId="3430" priority="3320" operator="equal">
      <formula>"SD"</formula>
    </cfRule>
    <cfRule type="cellIs" dxfId="3429" priority="3321" operator="equal">
      <formula>"NO"</formula>
    </cfRule>
    <cfRule type="cellIs" dxfId="3428" priority="3322" operator="equal">
      <formula>"SI"</formula>
    </cfRule>
  </conditionalFormatting>
  <conditionalFormatting sqref="BD207:BI207 BB207">
    <cfRule type="cellIs" dxfId="3427" priority="3317" operator="equal">
      <formula>"SD"</formula>
    </cfRule>
    <cfRule type="cellIs" dxfId="3426" priority="3318" operator="equal">
      <formula>"NO"</formula>
    </cfRule>
    <cfRule type="cellIs" dxfId="3425" priority="3319" operator="equal">
      <formula>"SI"</formula>
    </cfRule>
  </conditionalFormatting>
  <conditionalFormatting sqref="BC207">
    <cfRule type="containsText" dxfId="3424" priority="3312" operator="containsText" text="SD">
      <formula>NOT(ISERROR(SEARCH("SD",BC207)))</formula>
    </cfRule>
    <cfRule type="containsText" dxfId="3423" priority="3313" operator="containsText" text="SI, NO CONTROLADA">
      <formula>NOT(ISERROR(SEARCH("SI, NO CONTROLADA",BC207)))</formula>
    </cfRule>
    <cfRule type="containsText" dxfId="3422" priority="3314" operator="containsText" text="SI, SIN MANEJO">
      <formula>NOT(ISERROR(SEARCH("SI, SIN MANEJO",BC207)))</formula>
    </cfRule>
    <cfRule type="containsText" dxfId="3421" priority="3315" operator="containsText" text="SI, CONTROLADA">
      <formula>NOT(ISERROR(SEARCH("SI, CONTROLADA",BC207)))</formula>
    </cfRule>
    <cfRule type="containsText" dxfId="3420" priority="3316" operator="containsText" text="NO">
      <formula>NOT(ISERROR(SEARCH("NO",BC207)))</formula>
    </cfRule>
  </conditionalFormatting>
  <conditionalFormatting sqref="BE207">
    <cfRule type="expression" dxfId="3419" priority="3311">
      <formula>IF(AND(FA207&gt;=126,FC207&lt;24),1,0)</formula>
    </cfRule>
  </conditionalFormatting>
  <conditionalFormatting sqref="HU64">
    <cfRule type="expression" dxfId="3418" priority="3310">
      <formula>IF(HV64="No Aplica para suministro de ASA",1,"")</formula>
    </cfRule>
  </conditionalFormatting>
  <conditionalFormatting sqref="HW64">
    <cfRule type="expression" dxfId="3417" priority="3309">
      <formula>IF(HX64="No Aplica para suministro de ASA",1,"")</formula>
    </cfRule>
  </conditionalFormatting>
  <conditionalFormatting sqref="FB209">
    <cfRule type="containsText" dxfId="3416" priority="3305" operator="containsText" text="RH NEGATIVO SIN COOMB">
      <formula>NOT(ISERROR(SEARCH("RH NEGATIVO SIN COOMB",FB209)))</formula>
    </cfRule>
    <cfRule type="containsText" dxfId="3415" priority="3306" operator="containsText" text="RH NEGATIVO CON COOMBS POSITIVO">
      <formula>NOT(ISERROR(SEARCH("RH NEGATIVO CON COOMBS POSITIVO",FB209)))</formula>
    </cfRule>
    <cfRule type="containsText" dxfId="3414" priority="3307" operator="containsText" text="RH NEGATIVO CON COOMBS NEGATIVO">
      <formula>NOT(ISERROR(SEARCH("RH NEGATIVO CON COOMBS NEGATIVO",FB209)))</formula>
    </cfRule>
    <cfRule type="containsText" dxfId="3413" priority="3308" operator="containsText" text="RH POSITIVO">
      <formula>NOT(ISERROR(SEARCH("RH POSITIVO",FB209)))</formula>
    </cfRule>
  </conditionalFormatting>
  <conditionalFormatting sqref="FK209">
    <cfRule type="containsText" dxfId="3412" priority="3301" operator="containsText" text="RH NEGATIVO SIN COOMB">
      <formula>NOT(ISERROR(SEARCH("RH NEGATIVO SIN COOMB",FK209)))</formula>
    </cfRule>
    <cfRule type="containsText" dxfId="3411" priority="3302" operator="containsText" text="RH NEGATIVO CON COOMBS POSITIVO">
      <formula>NOT(ISERROR(SEARCH("RH NEGATIVO CON COOMBS POSITIVO",FK209)))</formula>
    </cfRule>
    <cfRule type="containsText" dxfId="3410" priority="3303" operator="containsText" text="RH NEGATIVO CON COOMBS NEGATIVO">
      <formula>NOT(ISERROR(SEARCH("RH NEGATIVO CON COOMBS NEGATIVO",FK209)))</formula>
    </cfRule>
    <cfRule type="containsText" dxfId="3409" priority="3304" operator="containsText" text="RH POSITIVO">
      <formula>NOT(ISERROR(SEARCH("RH POSITIVO",FK209)))</formula>
    </cfRule>
  </conditionalFormatting>
  <conditionalFormatting sqref="FN209">
    <cfRule type="containsText" dxfId="3408" priority="3297" operator="containsText" text="RH NEGATIVO SIN COOMB">
      <formula>NOT(ISERROR(SEARCH("RH NEGATIVO SIN COOMB",FN209)))</formula>
    </cfRule>
    <cfRule type="containsText" dxfId="3407" priority="3298" operator="containsText" text="RH NEGATIVO CON COOMBS POSITIVO">
      <formula>NOT(ISERROR(SEARCH("RH NEGATIVO CON COOMBS POSITIVO",FN209)))</formula>
    </cfRule>
    <cfRule type="containsText" dxfId="3406" priority="3299" operator="containsText" text="RH NEGATIVO CON COOMBS NEGATIVO">
      <formula>NOT(ISERROR(SEARCH("RH NEGATIVO CON COOMBS NEGATIVO",FN209)))</formula>
    </cfRule>
    <cfRule type="containsText" dxfId="3405" priority="3300" operator="containsText" text="RH POSITIVO">
      <formula>NOT(ISERROR(SEARCH("RH POSITIVO",FN209)))</formula>
    </cfRule>
  </conditionalFormatting>
  <conditionalFormatting sqref="FB206">
    <cfRule type="containsText" dxfId="3404" priority="3293" operator="containsText" text="RH NEGATIVO SIN COOMB">
      <formula>NOT(ISERROR(SEARCH("RH NEGATIVO SIN COOMB",FB206)))</formula>
    </cfRule>
    <cfRule type="containsText" dxfId="3403" priority="3294" operator="containsText" text="RH NEGATIVO CON COOMBS POSITIVO">
      <formula>NOT(ISERROR(SEARCH("RH NEGATIVO CON COOMBS POSITIVO",FB206)))</formula>
    </cfRule>
    <cfRule type="containsText" dxfId="3402" priority="3295" operator="containsText" text="RH NEGATIVO CON COOMBS NEGATIVO">
      <formula>NOT(ISERROR(SEARCH("RH NEGATIVO CON COOMBS NEGATIVO",FB206)))</formula>
    </cfRule>
    <cfRule type="containsText" dxfId="3401" priority="3296" operator="containsText" text="RH POSITIVO">
      <formula>NOT(ISERROR(SEARCH("RH POSITIVO",FB206)))</formula>
    </cfRule>
  </conditionalFormatting>
  <conditionalFormatting sqref="FK206">
    <cfRule type="containsText" dxfId="3400" priority="3289" operator="containsText" text="RH NEGATIVO SIN COOMB">
      <formula>NOT(ISERROR(SEARCH("RH NEGATIVO SIN COOMB",FK206)))</formula>
    </cfRule>
    <cfRule type="containsText" dxfId="3399" priority="3290" operator="containsText" text="RH NEGATIVO CON COOMBS POSITIVO">
      <formula>NOT(ISERROR(SEARCH("RH NEGATIVO CON COOMBS POSITIVO",FK206)))</formula>
    </cfRule>
    <cfRule type="containsText" dxfId="3398" priority="3291" operator="containsText" text="RH NEGATIVO CON COOMBS NEGATIVO">
      <formula>NOT(ISERROR(SEARCH("RH NEGATIVO CON COOMBS NEGATIVO",FK206)))</formula>
    </cfRule>
    <cfRule type="containsText" dxfId="3397" priority="3292" operator="containsText" text="RH POSITIVO">
      <formula>NOT(ISERROR(SEARCH("RH POSITIVO",FK206)))</formula>
    </cfRule>
  </conditionalFormatting>
  <conditionalFormatting sqref="FZ206">
    <cfRule type="containsText" dxfId="3396" priority="3285" operator="containsText" text="RH NEGATIVO SIN COOMB">
      <formula>NOT(ISERROR(SEARCH("RH NEGATIVO SIN COOMB",FZ206)))</formula>
    </cfRule>
    <cfRule type="containsText" dxfId="3395" priority="3286" operator="containsText" text="RH NEGATIVO CON COOMBS POSITIVO">
      <formula>NOT(ISERROR(SEARCH("RH NEGATIVO CON COOMBS POSITIVO",FZ206)))</formula>
    </cfRule>
    <cfRule type="containsText" dxfId="3394" priority="3287" operator="containsText" text="RH NEGATIVO CON COOMBS NEGATIVO">
      <formula>NOT(ISERROR(SEARCH("RH NEGATIVO CON COOMBS NEGATIVO",FZ206)))</formula>
    </cfRule>
    <cfRule type="containsText" dxfId="3393" priority="3288" operator="containsText" text="RH POSITIVO">
      <formula>NOT(ISERROR(SEARCH("RH POSITIVO",FZ206)))</formula>
    </cfRule>
  </conditionalFormatting>
  <conditionalFormatting sqref="GO206">
    <cfRule type="containsText" dxfId="3392" priority="3281" operator="containsText" text="RH NEGATIVO SIN COOMB">
      <formula>NOT(ISERROR(SEARCH("RH NEGATIVO SIN COOMB",GO206)))</formula>
    </cfRule>
    <cfRule type="containsText" dxfId="3391" priority="3282" operator="containsText" text="RH NEGATIVO CON COOMBS POSITIVO">
      <formula>NOT(ISERROR(SEARCH("RH NEGATIVO CON COOMBS POSITIVO",GO206)))</formula>
    </cfRule>
    <cfRule type="containsText" dxfId="3390" priority="3283" operator="containsText" text="RH NEGATIVO CON COOMBS NEGATIVO">
      <formula>NOT(ISERROR(SEARCH("RH NEGATIVO CON COOMBS NEGATIVO",GO206)))</formula>
    </cfRule>
    <cfRule type="containsText" dxfId="3389" priority="3284" operator="containsText" text="RH POSITIVO">
      <formula>NOT(ISERROR(SEARCH("RH POSITIVO",GO206)))</formula>
    </cfRule>
  </conditionalFormatting>
  <conditionalFormatting sqref="AE234">
    <cfRule type="containsText" dxfId="3388" priority="3279" operator="containsText" text="NO">
      <formula>NOT(ISERROR(SEARCH("NO",AE234)))</formula>
    </cfRule>
    <cfRule type="containsText" dxfId="3387" priority="3280" operator="containsText" text="SI">
      <formula>NOT(ISERROR(SEARCH("SI",AE234)))</formula>
    </cfRule>
  </conditionalFormatting>
  <conditionalFormatting sqref="AG234:AH234">
    <cfRule type="cellIs" dxfId="3386" priority="3273" operator="equal">
      <formula>"SD"</formula>
    </cfRule>
    <cfRule type="cellIs" dxfId="3385" priority="3274" operator="equal">
      <formula>"NO"</formula>
    </cfRule>
    <cfRule type="cellIs" dxfId="3384" priority="3275" operator="equal">
      <formula>"SI"</formula>
    </cfRule>
  </conditionalFormatting>
  <conditionalFormatting sqref="AI234">
    <cfRule type="containsText" dxfId="3383" priority="3266" operator="containsText" text="HABITANTE DE CALLE">
      <formula>NOT(ISERROR(SEARCH("HABITANTE DE CALLE",AI234)))</formula>
    </cfRule>
    <cfRule type="containsText" dxfId="3382" priority="3269" operator="containsText" text="NINGUNO">
      <formula>NOT(ISERROR(SEARCH("NINGUNO",AI234)))</formula>
    </cfRule>
    <cfRule type="containsText" dxfId="3381" priority="3270" operator="containsText" text="MIGRATORIA">
      <formula>NOT(ISERROR(SEARCH("MIGRATORIA",AI234)))</formula>
    </cfRule>
    <cfRule type="containsText" dxfId="3380" priority="3271" operator="containsText" text="DISCAPACIDAD">
      <formula>NOT(ISERROR(SEARCH("DISCAPACIDAD",AI234)))</formula>
    </cfRule>
    <cfRule type="containsText" dxfId="3379" priority="3272" operator="containsText" text="DESPLAZADA">
      <formula>NOT(ISERROR(SEARCH("DESPLAZADA",AI234)))</formula>
    </cfRule>
  </conditionalFormatting>
  <conditionalFormatting sqref="AF234">
    <cfRule type="containsText" dxfId="3378" priority="3267" operator="containsText" text="NO">
      <formula>NOT(ISERROR(SEARCH("NO",AF234)))</formula>
    </cfRule>
    <cfRule type="containsText" dxfId="3377" priority="3268" operator="containsText" text="SI">
      <formula>NOT(ISERROR(SEARCH("SI",AF234)))</formula>
    </cfRule>
  </conditionalFormatting>
  <conditionalFormatting sqref="AJ234">
    <cfRule type="cellIs" dxfId="3376" priority="3263" operator="equal">
      <formula>"SD"</formula>
    </cfRule>
    <cfRule type="cellIs" dxfId="3375" priority="3264" operator="equal">
      <formula>"NO"</formula>
    </cfRule>
    <cfRule type="cellIs" dxfId="3374" priority="3265" operator="equal">
      <formula>"SI"</formula>
    </cfRule>
  </conditionalFormatting>
  <conditionalFormatting sqref="AY234">
    <cfRule type="containsText" dxfId="3373" priority="3258" operator="containsText" text="SD">
      <formula>NOT(ISERROR(SEARCH("SD",AY234)))</formula>
    </cfRule>
    <cfRule type="containsText" dxfId="3372" priority="3259" operator="containsText" text="SI, NO CONTROLADA">
      <formula>NOT(ISERROR(SEARCH("SI, NO CONTROLADA",AY234)))</formula>
    </cfRule>
    <cfRule type="containsText" dxfId="3371" priority="3260" operator="containsText" text="SI, SIN MANEJO">
      <formula>NOT(ISERROR(SEARCH("SI, SIN MANEJO",AY234)))</formula>
    </cfRule>
    <cfRule type="containsText" dxfId="3370" priority="3261" operator="containsText" text="SI, CONTROLADA">
      <formula>NOT(ISERROR(SEARCH("SI, CONTROLADA",AY234)))</formula>
    </cfRule>
    <cfRule type="containsText" dxfId="3369" priority="3262" operator="containsText" text="NO">
      <formula>NOT(ISERROR(SEARCH("NO",AY234)))</formula>
    </cfRule>
  </conditionalFormatting>
  <conditionalFormatting sqref="AZ234">
    <cfRule type="containsText" dxfId="3368" priority="3253" operator="containsText" text="SD">
      <formula>NOT(ISERROR(SEARCH("SD",AZ234)))</formula>
    </cfRule>
    <cfRule type="containsText" dxfId="3367" priority="3254" operator="containsText" text="SI, NO CONTROLADA">
      <formula>NOT(ISERROR(SEARCH("SI, NO CONTROLADA",AZ234)))</formula>
    </cfRule>
    <cfRule type="containsText" dxfId="3366" priority="3255" operator="containsText" text="SI, SIN MANEJO">
      <formula>NOT(ISERROR(SEARCH("SI, SIN MANEJO",AZ234)))</formula>
    </cfRule>
    <cfRule type="containsText" dxfId="3365" priority="3256" operator="containsText" text="SI, CONTROLADA">
      <formula>NOT(ISERROR(SEARCH("SI, CONTROLADA",AZ234)))</formula>
    </cfRule>
    <cfRule type="containsText" dxfId="3364" priority="3257" operator="containsText" text="NO">
      <formula>NOT(ISERROR(SEARCH("NO",AZ234)))</formula>
    </cfRule>
  </conditionalFormatting>
  <conditionalFormatting sqref="BB234">
    <cfRule type="cellIs" dxfId="3363" priority="3250" operator="equal">
      <formula>"SD"</formula>
    </cfRule>
    <cfRule type="cellIs" dxfId="3362" priority="3251" operator="equal">
      <formula>"NO"</formula>
    </cfRule>
    <cfRule type="cellIs" dxfId="3361" priority="3252" operator="equal">
      <formula>"SI"</formula>
    </cfRule>
  </conditionalFormatting>
  <conditionalFormatting sqref="BC234">
    <cfRule type="cellIs" dxfId="3360" priority="3247" operator="equal">
      <formula>"SD"</formula>
    </cfRule>
    <cfRule type="cellIs" dxfId="3359" priority="3248" operator="equal">
      <formula>"NO"</formula>
    </cfRule>
    <cfRule type="cellIs" dxfId="3358" priority="3249" operator="equal">
      <formula>"SI"</formula>
    </cfRule>
  </conditionalFormatting>
  <conditionalFormatting sqref="BF234">
    <cfRule type="cellIs" dxfId="3357" priority="3244" operator="equal">
      <formula>"SD"</formula>
    </cfRule>
    <cfRule type="cellIs" dxfId="3356" priority="3245" operator="equal">
      <formula>"NO"</formula>
    </cfRule>
    <cfRule type="cellIs" dxfId="3355" priority="3246" operator="equal">
      <formula>"SI"</formula>
    </cfRule>
  </conditionalFormatting>
  <conditionalFormatting sqref="BD234:BE234">
    <cfRule type="cellIs" dxfId="3354" priority="3241" operator="equal">
      <formula>"SD"</formula>
    </cfRule>
    <cfRule type="cellIs" dxfId="3353" priority="3242" operator="equal">
      <formula>"NO"</formula>
    </cfRule>
    <cfRule type="cellIs" dxfId="3352" priority="3243" operator="equal">
      <formula>"SI"</formula>
    </cfRule>
  </conditionalFormatting>
  <conditionalFormatting sqref="BE234">
    <cfRule type="expression" dxfId="3351" priority="3240">
      <formula>IF(AND(FA234&gt;=126,FC234&lt;24),1,0)</formula>
    </cfRule>
  </conditionalFormatting>
  <conditionalFormatting sqref="BG234">
    <cfRule type="cellIs" dxfId="3350" priority="3237" operator="equal">
      <formula>"SD"</formula>
    </cfRule>
    <cfRule type="cellIs" dxfId="3349" priority="3238" operator="equal">
      <formula>"NO"</formula>
    </cfRule>
    <cfRule type="cellIs" dxfId="3348" priority="3239" operator="equal">
      <formula>"SI"</formula>
    </cfRule>
  </conditionalFormatting>
  <conditionalFormatting sqref="BH234">
    <cfRule type="cellIs" dxfId="3347" priority="3234" operator="equal">
      <formula>"SD"</formula>
    </cfRule>
    <cfRule type="cellIs" dxfId="3346" priority="3235" operator="equal">
      <formula>"NO"</formula>
    </cfRule>
    <cfRule type="cellIs" dxfId="3345" priority="3236" operator="equal">
      <formula>"SI"</formula>
    </cfRule>
  </conditionalFormatting>
  <conditionalFormatting sqref="BI234">
    <cfRule type="cellIs" dxfId="3344" priority="3231" operator="equal">
      <formula>"SD"</formula>
    </cfRule>
    <cfRule type="cellIs" dxfId="3343" priority="3232" operator="equal">
      <formula>"NO"</formula>
    </cfRule>
    <cfRule type="cellIs" dxfId="3342" priority="3233" operator="equal">
      <formula>"SI"</formula>
    </cfRule>
  </conditionalFormatting>
  <conditionalFormatting sqref="BJ234">
    <cfRule type="cellIs" dxfId="3341" priority="3228" operator="equal">
      <formula>"SD"</formula>
    </cfRule>
    <cfRule type="cellIs" dxfId="3340" priority="3229" operator="equal">
      <formula>"NO"</formula>
    </cfRule>
    <cfRule type="cellIs" dxfId="3339" priority="3230" operator="equal">
      <formula>"SI"</formula>
    </cfRule>
  </conditionalFormatting>
  <conditionalFormatting sqref="BL234:BM234">
    <cfRule type="cellIs" dxfId="3338" priority="3225" operator="equal">
      <formula>"SD"</formula>
    </cfRule>
    <cfRule type="cellIs" dxfId="3337" priority="3226" operator="equal">
      <formula>"NO"</formula>
    </cfRule>
    <cfRule type="cellIs" dxfId="3336" priority="3227" operator="equal">
      <formula>"SI"</formula>
    </cfRule>
  </conditionalFormatting>
  <conditionalFormatting sqref="BK234">
    <cfRule type="cellIs" dxfId="3335" priority="3222" operator="equal">
      <formula>"SD"</formula>
    </cfRule>
    <cfRule type="cellIs" dxfId="3334" priority="3223" operator="equal">
      <formula>"NO"</formula>
    </cfRule>
    <cfRule type="cellIs" dxfId="3333" priority="3224" operator="equal">
      <formula>"SI"</formula>
    </cfRule>
  </conditionalFormatting>
  <conditionalFormatting sqref="AL235:AR235">
    <cfRule type="cellIs" dxfId="3332" priority="3219" operator="equal">
      <formula>"SD"</formula>
    </cfRule>
    <cfRule type="cellIs" dxfId="3331" priority="3220" operator="equal">
      <formula>"NO"</formula>
    </cfRule>
    <cfRule type="cellIs" dxfId="3330" priority="3221" operator="equal">
      <formula>"SI"</formula>
    </cfRule>
  </conditionalFormatting>
  <conditionalFormatting sqref="AK235">
    <cfRule type="containsText" dxfId="3329" priority="3216" operator="containsText" text="COMPLETAR EVALUACIÓN">
      <formula>NOT(ISERROR(SEARCH("COMPLETAR EVALUACIÓN",AK235)))</formula>
    </cfRule>
    <cfRule type="containsText" dxfId="3328" priority="3217" operator="containsText" text="CON RIESGO">
      <formula>NOT(ISERROR(SEARCH("CON RIESGO",AK235)))</formula>
    </cfRule>
    <cfRule type="containsText" dxfId="3327" priority="3218" operator="containsText" text="SIN RIESGO">
      <formula>NOT(ISERROR(SEARCH("SIN RIESGO",AK235)))</formula>
    </cfRule>
  </conditionalFormatting>
  <conditionalFormatting sqref="AE235">
    <cfRule type="containsText" dxfId="3326" priority="3214" operator="containsText" text="NO">
      <formula>NOT(ISERROR(SEARCH("NO",AE235)))</formula>
    </cfRule>
    <cfRule type="containsText" dxfId="3325" priority="3215" operator="containsText" text="SI">
      <formula>NOT(ISERROR(SEARCH("SI",AE235)))</formula>
    </cfRule>
  </conditionalFormatting>
  <conditionalFormatting sqref="AG235:AH235">
    <cfRule type="cellIs" dxfId="3324" priority="3208" operator="equal">
      <formula>"SD"</formula>
    </cfRule>
    <cfRule type="cellIs" dxfId="3323" priority="3209" operator="equal">
      <formula>"NO"</formula>
    </cfRule>
    <cfRule type="cellIs" dxfId="3322" priority="3210" operator="equal">
      <formula>"SI"</formula>
    </cfRule>
  </conditionalFormatting>
  <conditionalFormatting sqref="AI235">
    <cfRule type="containsText" dxfId="3321" priority="3201" operator="containsText" text="HABITANTE DE CALLE">
      <formula>NOT(ISERROR(SEARCH("HABITANTE DE CALLE",AI235)))</formula>
    </cfRule>
    <cfRule type="containsText" dxfId="3320" priority="3204" operator="containsText" text="NINGUNO">
      <formula>NOT(ISERROR(SEARCH("NINGUNO",AI235)))</formula>
    </cfRule>
    <cfRule type="containsText" dxfId="3319" priority="3205" operator="containsText" text="MIGRATORIA">
      <formula>NOT(ISERROR(SEARCH("MIGRATORIA",AI235)))</formula>
    </cfRule>
    <cfRule type="containsText" dxfId="3318" priority="3206" operator="containsText" text="DISCAPACIDAD">
      <formula>NOT(ISERROR(SEARCH("DISCAPACIDAD",AI235)))</formula>
    </cfRule>
    <cfRule type="containsText" dxfId="3317" priority="3207" operator="containsText" text="DESPLAZADA">
      <formula>NOT(ISERROR(SEARCH("DESPLAZADA",AI235)))</formula>
    </cfRule>
  </conditionalFormatting>
  <conditionalFormatting sqref="AF235">
    <cfRule type="containsText" dxfId="3316" priority="3202" operator="containsText" text="NO">
      <formula>NOT(ISERROR(SEARCH("NO",AF235)))</formula>
    </cfRule>
    <cfRule type="containsText" dxfId="3315" priority="3203" operator="containsText" text="SI">
      <formula>NOT(ISERROR(SEARCH("SI",AF235)))</formula>
    </cfRule>
  </conditionalFormatting>
  <conditionalFormatting sqref="AJ235">
    <cfRule type="cellIs" dxfId="3314" priority="3198" operator="equal">
      <formula>"SD"</formula>
    </cfRule>
    <cfRule type="cellIs" dxfId="3313" priority="3199" operator="equal">
      <formula>"NO"</formula>
    </cfRule>
    <cfRule type="cellIs" dxfId="3312" priority="3200" operator="equal">
      <formula>"SI"</formula>
    </cfRule>
  </conditionalFormatting>
  <conditionalFormatting sqref="AX235 BA235">
    <cfRule type="cellIs" dxfId="3311" priority="3195" operator="equal">
      <formula>"SD"</formula>
    </cfRule>
    <cfRule type="cellIs" dxfId="3310" priority="3196" operator="equal">
      <formula>"NO"</formula>
    </cfRule>
    <cfRule type="cellIs" dxfId="3309" priority="3197" operator="equal">
      <formula>"SI"</formula>
    </cfRule>
  </conditionalFormatting>
  <conditionalFormatting sqref="AY235">
    <cfRule type="containsText" dxfId="3308" priority="3190" operator="containsText" text="SD">
      <formula>NOT(ISERROR(SEARCH("SD",AY235)))</formula>
    </cfRule>
    <cfRule type="containsText" dxfId="3307" priority="3191" operator="containsText" text="SI, NO CONTROLADA">
      <formula>NOT(ISERROR(SEARCH("SI, NO CONTROLADA",AY235)))</formula>
    </cfRule>
    <cfRule type="containsText" dxfId="3306" priority="3192" operator="containsText" text="SI, SIN MANEJO">
      <formula>NOT(ISERROR(SEARCH("SI, SIN MANEJO",AY235)))</formula>
    </cfRule>
    <cfRule type="containsText" dxfId="3305" priority="3193" operator="containsText" text="SI, CONTROLADA">
      <formula>NOT(ISERROR(SEARCH("SI, CONTROLADA",AY235)))</formula>
    </cfRule>
    <cfRule type="containsText" dxfId="3304" priority="3194" operator="containsText" text="NO">
      <formula>NOT(ISERROR(SEARCH("NO",AY235)))</formula>
    </cfRule>
  </conditionalFormatting>
  <conditionalFormatting sqref="AZ235">
    <cfRule type="containsText" dxfId="3303" priority="3185" operator="containsText" text="SD">
      <formula>NOT(ISERROR(SEARCH("SD",AZ235)))</formula>
    </cfRule>
    <cfRule type="containsText" dxfId="3302" priority="3186" operator="containsText" text="SI, NO CONTROLADA">
      <formula>NOT(ISERROR(SEARCH("SI, NO CONTROLADA",AZ235)))</formula>
    </cfRule>
    <cfRule type="containsText" dxfId="3301" priority="3187" operator="containsText" text="SI, SIN MANEJO">
      <formula>NOT(ISERROR(SEARCH("SI, SIN MANEJO",AZ235)))</formula>
    </cfRule>
    <cfRule type="containsText" dxfId="3300" priority="3188" operator="containsText" text="SI, CONTROLADA">
      <formula>NOT(ISERROR(SEARCH("SI, CONTROLADA",AZ235)))</formula>
    </cfRule>
    <cfRule type="containsText" dxfId="3299" priority="3189" operator="containsText" text="NO">
      <formula>NOT(ISERROR(SEARCH("NO",AZ235)))</formula>
    </cfRule>
  </conditionalFormatting>
  <conditionalFormatting sqref="BB235">
    <cfRule type="cellIs" dxfId="3298" priority="3182" operator="equal">
      <formula>"SD"</formula>
    </cfRule>
    <cfRule type="cellIs" dxfId="3297" priority="3183" operator="equal">
      <formula>"NO"</formula>
    </cfRule>
    <cfRule type="cellIs" dxfId="3296" priority="3184" operator="equal">
      <formula>"SI"</formula>
    </cfRule>
  </conditionalFormatting>
  <conditionalFormatting sqref="BC235">
    <cfRule type="cellIs" dxfId="3295" priority="3179" operator="equal">
      <formula>"SD"</formula>
    </cfRule>
    <cfRule type="cellIs" dxfId="3294" priority="3180" operator="equal">
      <formula>"NO"</formula>
    </cfRule>
    <cfRule type="cellIs" dxfId="3293" priority="3181" operator="equal">
      <formula>"SI"</formula>
    </cfRule>
  </conditionalFormatting>
  <conditionalFormatting sqref="BF235">
    <cfRule type="cellIs" dxfId="3292" priority="3176" operator="equal">
      <formula>"SD"</formula>
    </cfRule>
    <cfRule type="cellIs" dxfId="3291" priority="3177" operator="equal">
      <formula>"NO"</formula>
    </cfRule>
    <cfRule type="cellIs" dxfId="3290" priority="3178" operator="equal">
      <formula>"SI"</formula>
    </cfRule>
  </conditionalFormatting>
  <conditionalFormatting sqref="BD235:BE235">
    <cfRule type="cellIs" dxfId="3289" priority="3173" operator="equal">
      <formula>"SD"</formula>
    </cfRule>
    <cfRule type="cellIs" dxfId="3288" priority="3174" operator="equal">
      <formula>"NO"</formula>
    </cfRule>
    <cfRule type="cellIs" dxfId="3287" priority="3175" operator="equal">
      <formula>"SI"</formula>
    </cfRule>
  </conditionalFormatting>
  <conditionalFormatting sqref="BE235">
    <cfRule type="expression" dxfId="3286" priority="3172">
      <formula>IF(AND(FA235&gt;=126,FC235&lt;24),1,0)</formula>
    </cfRule>
  </conditionalFormatting>
  <conditionalFormatting sqref="BG235">
    <cfRule type="cellIs" dxfId="3285" priority="3169" operator="equal">
      <formula>"SD"</formula>
    </cfRule>
    <cfRule type="cellIs" dxfId="3284" priority="3170" operator="equal">
      <formula>"NO"</formula>
    </cfRule>
    <cfRule type="cellIs" dxfId="3283" priority="3171" operator="equal">
      <formula>"SI"</formula>
    </cfRule>
  </conditionalFormatting>
  <conditionalFormatting sqref="BH235">
    <cfRule type="cellIs" dxfId="3282" priority="3166" operator="equal">
      <formula>"SD"</formula>
    </cfRule>
    <cfRule type="cellIs" dxfId="3281" priority="3167" operator="equal">
      <formula>"NO"</formula>
    </cfRule>
    <cfRule type="cellIs" dxfId="3280" priority="3168" operator="equal">
      <formula>"SI"</formula>
    </cfRule>
  </conditionalFormatting>
  <conditionalFormatting sqref="BI235">
    <cfRule type="cellIs" dxfId="3279" priority="3163" operator="equal">
      <formula>"SD"</formula>
    </cfRule>
    <cfRule type="cellIs" dxfId="3278" priority="3164" operator="equal">
      <formula>"NO"</formula>
    </cfRule>
    <cfRule type="cellIs" dxfId="3277" priority="3165" operator="equal">
      <formula>"SI"</formula>
    </cfRule>
  </conditionalFormatting>
  <conditionalFormatting sqref="BJ235">
    <cfRule type="cellIs" dxfId="3276" priority="3160" operator="equal">
      <formula>"SD"</formula>
    </cfRule>
    <cfRule type="cellIs" dxfId="3275" priority="3161" operator="equal">
      <formula>"NO"</formula>
    </cfRule>
    <cfRule type="cellIs" dxfId="3274" priority="3162" operator="equal">
      <formula>"SI"</formula>
    </cfRule>
  </conditionalFormatting>
  <conditionalFormatting sqref="BL235:BM235">
    <cfRule type="cellIs" dxfId="3273" priority="3157" operator="equal">
      <formula>"SD"</formula>
    </cfRule>
    <cfRule type="cellIs" dxfId="3272" priority="3158" operator="equal">
      <formula>"NO"</formula>
    </cfRule>
    <cfRule type="cellIs" dxfId="3271" priority="3159" operator="equal">
      <formula>"SI"</formula>
    </cfRule>
  </conditionalFormatting>
  <conditionalFormatting sqref="BK235">
    <cfRule type="cellIs" dxfId="3270" priority="3154" operator="equal">
      <formula>"SD"</formula>
    </cfRule>
    <cfRule type="cellIs" dxfId="3269" priority="3155" operator="equal">
      <formula>"NO"</formula>
    </cfRule>
    <cfRule type="cellIs" dxfId="3268" priority="3156" operator="equal">
      <formula>"SI"</formula>
    </cfRule>
  </conditionalFormatting>
  <conditionalFormatting sqref="FB235">
    <cfRule type="containsText" dxfId="3267" priority="3150" operator="containsText" text="RH NEGATIVO SIN COOMB">
      <formula>NOT(ISERROR(SEARCH("RH NEGATIVO SIN COOMB",FB235)))</formula>
    </cfRule>
    <cfRule type="containsText" dxfId="3266" priority="3151" operator="containsText" text="RH NEGATIVO CON COOMBS POSITIVO">
      <formula>NOT(ISERROR(SEARCH("RH NEGATIVO CON COOMBS POSITIVO",FB235)))</formula>
    </cfRule>
    <cfRule type="containsText" dxfId="3265" priority="3152" operator="containsText" text="RH NEGATIVO CON COOMBS NEGATIVO">
      <formula>NOT(ISERROR(SEARCH("RH NEGATIVO CON COOMBS NEGATIVO",FB235)))</formula>
    </cfRule>
    <cfRule type="containsText" dxfId="3264" priority="3153" operator="containsText" text="RH POSITIVO">
      <formula>NOT(ISERROR(SEARCH("RH POSITIVO",FB235)))</formula>
    </cfRule>
  </conditionalFormatting>
  <conditionalFormatting sqref="FK235">
    <cfRule type="containsText" dxfId="3263" priority="3146" operator="containsText" text="RH NEGATIVO SIN COOMB">
      <formula>NOT(ISERROR(SEARCH("RH NEGATIVO SIN COOMB",FK235)))</formula>
    </cfRule>
    <cfRule type="containsText" dxfId="3262" priority="3147" operator="containsText" text="RH NEGATIVO CON COOMBS POSITIVO">
      <formula>NOT(ISERROR(SEARCH("RH NEGATIVO CON COOMBS POSITIVO",FK235)))</formula>
    </cfRule>
    <cfRule type="containsText" dxfId="3261" priority="3148" operator="containsText" text="RH NEGATIVO CON COOMBS NEGATIVO">
      <formula>NOT(ISERROR(SEARCH("RH NEGATIVO CON COOMBS NEGATIVO",FK235)))</formula>
    </cfRule>
    <cfRule type="containsText" dxfId="3260" priority="3149" operator="containsText" text="RH POSITIVO">
      <formula>NOT(ISERROR(SEARCH("RH POSITIVO",FK235)))</formula>
    </cfRule>
  </conditionalFormatting>
  <conditionalFormatting sqref="FZ235">
    <cfRule type="containsText" dxfId="3259" priority="3142" operator="containsText" text="RH NEGATIVO SIN COOMB">
      <formula>NOT(ISERROR(SEARCH("RH NEGATIVO SIN COOMB",FZ235)))</formula>
    </cfRule>
    <cfRule type="containsText" dxfId="3258" priority="3143" operator="containsText" text="RH NEGATIVO CON COOMBS POSITIVO">
      <formula>NOT(ISERROR(SEARCH("RH NEGATIVO CON COOMBS POSITIVO",FZ235)))</formula>
    </cfRule>
    <cfRule type="containsText" dxfId="3257" priority="3144" operator="containsText" text="RH NEGATIVO CON COOMBS NEGATIVO">
      <formula>NOT(ISERROR(SEARCH("RH NEGATIVO CON COOMBS NEGATIVO",FZ235)))</formula>
    </cfRule>
    <cfRule type="containsText" dxfId="3256" priority="3145" operator="containsText" text="RH POSITIVO">
      <formula>NOT(ISERROR(SEARCH("RH POSITIVO",FZ235)))</formula>
    </cfRule>
  </conditionalFormatting>
  <conditionalFormatting sqref="GO235">
    <cfRule type="containsText" dxfId="3255" priority="3138" operator="containsText" text="RH NEGATIVO SIN COOMB">
      <formula>NOT(ISERROR(SEARCH("RH NEGATIVO SIN COOMB",GO235)))</formula>
    </cfRule>
    <cfRule type="containsText" dxfId="3254" priority="3139" operator="containsText" text="RH NEGATIVO CON COOMBS POSITIVO">
      <formula>NOT(ISERROR(SEARCH("RH NEGATIVO CON COOMBS POSITIVO",GO235)))</formula>
    </cfRule>
    <cfRule type="containsText" dxfId="3253" priority="3140" operator="containsText" text="RH NEGATIVO CON COOMBS NEGATIVO">
      <formula>NOT(ISERROR(SEARCH("RH NEGATIVO CON COOMBS NEGATIVO",GO235)))</formula>
    </cfRule>
    <cfRule type="containsText" dxfId="3252" priority="3141" operator="containsText" text="RH POSITIVO">
      <formula>NOT(ISERROR(SEARCH("RH POSITIVO",GO235)))</formula>
    </cfRule>
  </conditionalFormatting>
  <conditionalFormatting sqref="GT235">
    <cfRule type="containsText" dxfId="3251" priority="3134" operator="containsText" text="RH NEGATIVO SIN COOMB">
      <formula>NOT(ISERROR(SEARCH("RH NEGATIVO SIN COOMB",GT235)))</formula>
    </cfRule>
    <cfRule type="containsText" dxfId="3250" priority="3135" operator="containsText" text="RH NEGATIVO CON COOMBS POSITIVO">
      <formula>NOT(ISERROR(SEARCH("RH NEGATIVO CON COOMBS POSITIVO",GT235)))</formula>
    </cfRule>
    <cfRule type="containsText" dxfId="3249" priority="3136" operator="containsText" text="RH NEGATIVO CON COOMBS NEGATIVO">
      <formula>NOT(ISERROR(SEARCH("RH NEGATIVO CON COOMBS NEGATIVO",GT235)))</formula>
    </cfRule>
    <cfRule type="containsText" dxfId="3248" priority="3137" operator="containsText" text="RH POSITIVO">
      <formula>NOT(ISERROR(SEARCH("RH POSITIVO",GT235)))</formula>
    </cfRule>
  </conditionalFormatting>
  <conditionalFormatting sqref="HV235 HT235 HX235">
    <cfRule type="containsText" dxfId="3247" priority="3130" operator="containsText" text="NO SE FORMULA">
      <formula>NOT(ISERROR(SEARCH("NO SE FORMULA",HT235)))</formula>
    </cfRule>
    <cfRule type="containsText" dxfId="3246" priority="3131" operator="containsText" text="OTRO">
      <formula>NOT(ISERROR(SEARCH("OTRO",HT235)))</formula>
    </cfRule>
    <cfRule type="containsText" dxfId="3245" priority="3132" operator="containsText" text="IRREGULAR">
      <formula>NOT(ISERROR(SEARCH("IRREGULAR",HT235)))</formula>
    </cfRule>
    <cfRule type="containsText" dxfId="3244" priority="3133" operator="containsText" text="ADECUADO">
      <formula>NOT(ISERROR(SEARCH("ADECUADO",HT235)))</formula>
    </cfRule>
  </conditionalFormatting>
  <conditionalFormatting sqref="FB207">
    <cfRule type="containsText" dxfId="3243" priority="3110" operator="containsText" text="RH NEGATIVO SIN COOMB">
      <formula>NOT(ISERROR(SEARCH("RH NEGATIVO SIN COOMB",FB207)))</formula>
    </cfRule>
    <cfRule type="containsText" dxfId="3242" priority="3111" operator="containsText" text="RH NEGATIVO CON COOMBS POSITIVO">
      <formula>NOT(ISERROR(SEARCH("RH NEGATIVO CON COOMBS POSITIVO",FB207)))</formula>
    </cfRule>
    <cfRule type="containsText" dxfId="3241" priority="3112" operator="containsText" text="RH NEGATIVO CON COOMBS NEGATIVO">
      <formula>NOT(ISERROR(SEARCH("RH NEGATIVO CON COOMBS NEGATIVO",FB207)))</formula>
    </cfRule>
    <cfRule type="containsText" dxfId="3240" priority="3113" operator="containsText" text="RH POSITIVO">
      <formula>NOT(ISERROR(SEARCH("RH POSITIVO",FB207)))</formula>
    </cfRule>
  </conditionalFormatting>
  <conditionalFormatting sqref="FK207">
    <cfRule type="containsText" dxfId="3239" priority="3106" operator="containsText" text="RH NEGATIVO SIN COOMB">
      <formula>NOT(ISERROR(SEARCH("RH NEGATIVO SIN COOMB",FK207)))</formula>
    </cfRule>
    <cfRule type="containsText" dxfId="3238" priority="3107" operator="containsText" text="RH NEGATIVO CON COOMBS POSITIVO">
      <formula>NOT(ISERROR(SEARCH("RH NEGATIVO CON COOMBS POSITIVO",FK207)))</formula>
    </cfRule>
    <cfRule type="containsText" dxfId="3237" priority="3108" operator="containsText" text="RH NEGATIVO CON COOMBS NEGATIVO">
      <formula>NOT(ISERROR(SEARCH("RH NEGATIVO CON COOMBS NEGATIVO",FK207)))</formula>
    </cfRule>
    <cfRule type="containsText" dxfId="3236" priority="3109" operator="containsText" text="RH POSITIVO">
      <formula>NOT(ISERROR(SEARCH("RH POSITIVO",FK207)))</formula>
    </cfRule>
  </conditionalFormatting>
  <conditionalFormatting sqref="FZ207:FZ209">
    <cfRule type="containsText" dxfId="3235" priority="3102" operator="containsText" text="RH NEGATIVO SIN COOMB">
      <formula>NOT(ISERROR(SEARCH("RH NEGATIVO SIN COOMB",FZ207)))</formula>
    </cfRule>
    <cfRule type="containsText" dxfId="3234" priority="3103" operator="containsText" text="RH NEGATIVO CON COOMBS POSITIVO">
      <formula>NOT(ISERROR(SEARCH("RH NEGATIVO CON COOMBS POSITIVO",FZ207)))</formula>
    </cfRule>
    <cfRule type="containsText" dxfId="3233" priority="3104" operator="containsText" text="RH NEGATIVO CON COOMBS NEGATIVO">
      <formula>NOT(ISERROR(SEARCH("RH NEGATIVO CON COOMBS NEGATIVO",FZ207)))</formula>
    </cfRule>
    <cfRule type="containsText" dxfId="3232" priority="3105" operator="containsText" text="RH POSITIVO">
      <formula>NOT(ISERROR(SEARCH("RH POSITIVO",FZ207)))</formula>
    </cfRule>
  </conditionalFormatting>
  <conditionalFormatting sqref="GO207">
    <cfRule type="containsText" dxfId="3231" priority="3098" operator="containsText" text="RH NEGATIVO SIN COOMB">
      <formula>NOT(ISERROR(SEARCH("RH NEGATIVO SIN COOMB",GO207)))</formula>
    </cfRule>
    <cfRule type="containsText" dxfId="3230" priority="3099" operator="containsText" text="RH NEGATIVO CON COOMBS POSITIVO">
      <formula>NOT(ISERROR(SEARCH("RH NEGATIVO CON COOMBS POSITIVO",GO207)))</formula>
    </cfRule>
    <cfRule type="containsText" dxfId="3229" priority="3100" operator="containsText" text="RH NEGATIVO CON COOMBS NEGATIVO">
      <formula>NOT(ISERROR(SEARCH("RH NEGATIVO CON COOMBS NEGATIVO",GO207)))</formula>
    </cfRule>
    <cfRule type="containsText" dxfId="3228" priority="3101" operator="containsText" text="RH POSITIVO">
      <formula>NOT(ISERROR(SEARCH("RH POSITIVO",GO207)))</formula>
    </cfRule>
  </conditionalFormatting>
  <conditionalFormatting sqref="HX207 HT207 HV207">
    <cfRule type="containsText" dxfId="3227" priority="3094" operator="containsText" text="NO SE FORMULA">
      <formula>NOT(ISERROR(SEARCH("NO SE FORMULA",HT207)))</formula>
    </cfRule>
    <cfRule type="containsText" dxfId="3226" priority="3095" operator="containsText" text="OTRO">
      <formula>NOT(ISERROR(SEARCH("OTRO",HT207)))</formula>
    </cfRule>
    <cfRule type="containsText" dxfId="3225" priority="3096" operator="containsText" text="IRREGULAR">
      <formula>NOT(ISERROR(SEARCH("IRREGULAR",HT207)))</formula>
    </cfRule>
    <cfRule type="containsText" dxfId="3224" priority="3097" operator="containsText" text="ADECUADO">
      <formula>NOT(ISERROR(SEARCH("ADECUADO",HT207)))</formula>
    </cfRule>
  </conditionalFormatting>
  <conditionalFormatting sqref="AJ208 AG208:AH208">
    <cfRule type="cellIs" dxfId="3223" priority="3091" operator="equal">
      <formula>"SD"</formula>
    </cfRule>
    <cfRule type="cellIs" dxfId="3222" priority="3092" operator="equal">
      <formula>"NO"</formula>
    </cfRule>
    <cfRule type="cellIs" dxfId="3221" priority="3093" operator="equal">
      <formula>"SI"</formula>
    </cfRule>
  </conditionalFormatting>
  <conditionalFormatting sqref="AI208">
    <cfRule type="containsText" dxfId="3220" priority="3084" operator="containsText" text="HABITANTE DE CALLE">
      <formula>NOT(ISERROR(SEARCH("HABITANTE DE CALLE",AI208)))</formula>
    </cfRule>
    <cfRule type="containsText" dxfId="3219" priority="3087" operator="containsText" text="NINGUNO">
      <formula>NOT(ISERROR(SEARCH("NINGUNO",AI208)))</formula>
    </cfRule>
    <cfRule type="containsText" dxfId="3218" priority="3088" operator="containsText" text="MIGRATORIA">
      <formula>NOT(ISERROR(SEARCH("MIGRATORIA",AI208)))</formula>
    </cfRule>
    <cfRule type="containsText" dxfId="3217" priority="3089" operator="containsText" text="DISCAPACIDAD">
      <formula>NOT(ISERROR(SEARCH("DISCAPACIDAD",AI208)))</formula>
    </cfRule>
    <cfRule type="containsText" dxfId="3216" priority="3090" operator="containsText" text="DESPLAZADA">
      <formula>NOT(ISERROR(SEARCH("DESPLAZADA",AI208)))</formula>
    </cfRule>
  </conditionalFormatting>
  <conditionalFormatting sqref="AF208">
    <cfRule type="containsText" dxfId="3215" priority="3085" operator="containsText" text="NO">
      <formula>NOT(ISERROR(SEARCH("NO",AF208)))</formula>
    </cfRule>
    <cfRule type="containsText" dxfId="3214" priority="3086" operator="containsText" text="SI">
      <formula>NOT(ISERROR(SEARCH("SI",AF208)))</formula>
    </cfRule>
  </conditionalFormatting>
  <conditionalFormatting sqref="AX208">
    <cfRule type="cellIs" dxfId="3213" priority="3081" operator="equal">
      <formula>"SD"</formula>
    </cfRule>
    <cfRule type="cellIs" dxfId="3212" priority="3082" operator="equal">
      <formula>"NO"</formula>
    </cfRule>
    <cfRule type="cellIs" dxfId="3211" priority="3083" operator="equal">
      <formula>"SI"</formula>
    </cfRule>
  </conditionalFormatting>
  <conditionalFormatting sqref="BD208:BI208 AY208:BB208 BK208:BM208">
    <cfRule type="cellIs" dxfId="3210" priority="3078" operator="equal">
      <formula>"SD"</formula>
    </cfRule>
    <cfRule type="cellIs" dxfId="3209" priority="3079" operator="equal">
      <formula>"NO"</formula>
    </cfRule>
    <cfRule type="cellIs" dxfId="3208" priority="3080" operator="equal">
      <formula>"SI"</formula>
    </cfRule>
  </conditionalFormatting>
  <conditionalFormatting sqref="BC208">
    <cfRule type="containsText" dxfId="3207" priority="3073" operator="containsText" text="SD">
      <formula>NOT(ISERROR(SEARCH("SD",BC208)))</formula>
    </cfRule>
    <cfRule type="containsText" dxfId="3206" priority="3074" operator="containsText" text="SI, NO CONTROLADA">
      <formula>NOT(ISERROR(SEARCH("SI, NO CONTROLADA",BC208)))</formula>
    </cfRule>
    <cfRule type="containsText" dxfId="3205" priority="3075" operator="containsText" text="SI, SIN MANEJO">
      <formula>NOT(ISERROR(SEARCH("SI, SIN MANEJO",BC208)))</formula>
    </cfRule>
    <cfRule type="containsText" dxfId="3204" priority="3076" operator="containsText" text="SI, CONTROLADA">
      <formula>NOT(ISERROR(SEARCH("SI, CONTROLADA",BC208)))</formula>
    </cfRule>
    <cfRule type="containsText" dxfId="3203" priority="3077" operator="containsText" text="NO">
      <formula>NOT(ISERROR(SEARCH("NO",BC208)))</formula>
    </cfRule>
  </conditionalFormatting>
  <conditionalFormatting sqref="BK208:BM208">
    <cfRule type="cellIs" dxfId="3202" priority="3070" operator="equal">
      <formula>"SD"</formula>
    </cfRule>
    <cfRule type="cellIs" dxfId="3201" priority="3071" operator="equal">
      <formula>"NO"</formula>
    </cfRule>
    <cfRule type="cellIs" dxfId="3200" priority="3072" operator="equal">
      <formula>"SI"</formula>
    </cfRule>
  </conditionalFormatting>
  <conditionalFormatting sqref="AY208:BA208">
    <cfRule type="cellIs" dxfId="3199" priority="3067" operator="equal">
      <formula>"SD"</formula>
    </cfRule>
    <cfRule type="cellIs" dxfId="3198" priority="3068" operator="equal">
      <formula>"NO"</formula>
    </cfRule>
    <cfRule type="cellIs" dxfId="3197" priority="3069" operator="equal">
      <formula>"SI"</formula>
    </cfRule>
  </conditionalFormatting>
  <conditionalFormatting sqref="BD208:BI208 BB208">
    <cfRule type="cellIs" dxfId="3196" priority="3064" operator="equal">
      <formula>"SD"</formula>
    </cfRule>
    <cfRule type="cellIs" dxfId="3195" priority="3065" operator="equal">
      <formula>"NO"</formula>
    </cfRule>
    <cfRule type="cellIs" dxfId="3194" priority="3066" operator="equal">
      <formula>"SI"</formula>
    </cfRule>
  </conditionalFormatting>
  <conditionalFormatting sqref="BC208">
    <cfRule type="containsText" dxfId="3193" priority="3059" operator="containsText" text="SD">
      <formula>NOT(ISERROR(SEARCH("SD",BC208)))</formula>
    </cfRule>
    <cfRule type="containsText" dxfId="3192" priority="3060" operator="containsText" text="SI, NO CONTROLADA">
      <formula>NOT(ISERROR(SEARCH("SI, NO CONTROLADA",BC208)))</formula>
    </cfRule>
    <cfRule type="containsText" dxfId="3191" priority="3061" operator="containsText" text="SI, SIN MANEJO">
      <formula>NOT(ISERROR(SEARCH("SI, SIN MANEJO",BC208)))</formula>
    </cfRule>
    <cfRule type="containsText" dxfId="3190" priority="3062" operator="containsText" text="SI, CONTROLADA">
      <formula>NOT(ISERROR(SEARCH("SI, CONTROLADA",BC208)))</formula>
    </cfRule>
    <cfRule type="containsText" dxfId="3189" priority="3063" operator="containsText" text="NO">
      <formula>NOT(ISERROR(SEARCH("NO",BC208)))</formula>
    </cfRule>
  </conditionalFormatting>
  <conditionalFormatting sqref="BE208">
    <cfRule type="expression" dxfId="3188" priority="3058">
      <formula>IF(AND(FA208&gt;=126,FC208&lt;24),1,0)</formula>
    </cfRule>
  </conditionalFormatting>
  <conditionalFormatting sqref="FB208">
    <cfRule type="containsText" dxfId="3187" priority="3054" operator="containsText" text="RH NEGATIVO SIN COOMB">
      <formula>NOT(ISERROR(SEARCH("RH NEGATIVO SIN COOMB",FB208)))</formula>
    </cfRule>
    <cfRule type="containsText" dxfId="3186" priority="3055" operator="containsText" text="RH NEGATIVO CON COOMBS POSITIVO">
      <formula>NOT(ISERROR(SEARCH("RH NEGATIVO CON COOMBS POSITIVO",FB208)))</formula>
    </cfRule>
    <cfRule type="containsText" dxfId="3185" priority="3056" operator="containsText" text="RH NEGATIVO CON COOMBS NEGATIVO">
      <formula>NOT(ISERROR(SEARCH("RH NEGATIVO CON COOMBS NEGATIVO",FB208)))</formula>
    </cfRule>
    <cfRule type="containsText" dxfId="3184" priority="3057" operator="containsText" text="RH POSITIVO">
      <formula>NOT(ISERROR(SEARCH("RH POSITIVO",FB208)))</formula>
    </cfRule>
  </conditionalFormatting>
  <conditionalFormatting sqref="FK208">
    <cfRule type="containsText" dxfId="3183" priority="3050" operator="containsText" text="RH NEGATIVO SIN COOMB">
      <formula>NOT(ISERROR(SEARCH("RH NEGATIVO SIN COOMB",FK208)))</formula>
    </cfRule>
    <cfRule type="containsText" dxfId="3182" priority="3051" operator="containsText" text="RH NEGATIVO CON COOMBS POSITIVO">
      <formula>NOT(ISERROR(SEARCH("RH NEGATIVO CON COOMBS POSITIVO",FK208)))</formula>
    </cfRule>
    <cfRule type="containsText" dxfId="3181" priority="3052" operator="containsText" text="RH NEGATIVO CON COOMBS NEGATIVO">
      <formula>NOT(ISERROR(SEARCH("RH NEGATIVO CON COOMBS NEGATIVO",FK208)))</formula>
    </cfRule>
    <cfRule type="containsText" dxfId="3180" priority="3053" operator="containsText" text="RH POSITIVO">
      <formula>NOT(ISERROR(SEARCH("RH POSITIVO",FK208)))</formula>
    </cfRule>
  </conditionalFormatting>
  <conditionalFormatting sqref="GO208">
    <cfRule type="containsText" dxfId="3179" priority="3042" operator="containsText" text="RH NEGATIVO SIN COOMB">
      <formula>NOT(ISERROR(SEARCH("RH NEGATIVO SIN COOMB",GO208)))</formula>
    </cfRule>
    <cfRule type="containsText" dxfId="3178" priority="3043" operator="containsText" text="RH NEGATIVO CON COOMBS POSITIVO">
      <formula>NOT(ISERROR(SEARCH("RH NEGATIVO CON COOMBS POSITIVO",GO208)))</formula>
    </cfRule>
    <cfRule type="containsText" dxfId="3177" priority="3044" operator="containsText" text="RH NEGATIVO CON COOMBS NEGATIVO">
      <formula>NOT(ISERROR(SEARCH("RH NEGATIVO CON COOMBS NEGATIVO",GO208)))</formula>
    </cfRule>
    <cfRule type="containsText" dxfId="3176" priority="3045" operator="containsText" text="RH POSITIVO">
      <formula>NOT(ISERROR(SEARCH("RH POSITIVO",GO208)))</formula>
    </cfRule>
  </conditionalFormatting>
  <conditionalFormatting sqref="CU205">
    <cfRule type="expression" dxfId="3175" priority="3041">
      <formula>IF(CW205="NO APLICA REGISTRO TA-INGRESO TARDIO",1,"")</formula>
    </cfRule>
  </conditionalFormatting>
  <conditionalFormatting sqref="CV205">
    <cfRule type="expression" dxfId="3174" priority="3040">
      <formula>IF(CW205="NO APLICA REGISTRO TA-INGRESO TARDIO",1,"")</formula>
    </cfRule>
  </conditionalFormatting>
  <conditionalFormatting sqref="BJ90">
    <cfRule type="cellIs" dxfId="3173" priority="3034" operator="equal">
      <formula>"SD"</formula>
    </cfRule>
    <cfRule type="cellIs" dxfId="3172" priority="3035" operator="equal">
      <formula>"NO"</formula>
    </cfRule>
    <cfRule type="cellIs" dxfId="3171" priority="3036" operator="equal">
      <formula>"SI"</formula>
    </cfRule>
  </conditionalFormatting>
  <conditionalFormatting sqref="BK90">
    <cfRule type="cellIs" dxfId="3170" priority="3031" operator="equal">
      <formula>"SD"</formula>
    </cfRule>
    <cfRule type="cellIs" dxfId="3169" priority="3032" operator="equal">
      <formula>"NO"</formula>
    </cfRule>
    <cfRule type="cellIs" dxfId="3168" priority="3033" operator="equal">
      <formula>"SI"</formula>
    </cfRule>
  </conditionalFormatting>
  <conditionalFormatting sqref="GN138">
    <cfRule type="containsText" dxfId="3167" priority="3029" operator="containsText" text="POSITIVO">
      <formula>NOT(ISERROR(SEARCH("POSITIVO",GN138)))</formula>
    </cfRule>
    <cfRule type="containsText" dxfId="3166" priority="3030" operator="containsText" text="NEGATIVO">
      <formula>NOT(ISERROR(SEARCH("NEGATIVO",GN138)))</formula>
    </cfRule>
  </conditionalFormatting>
  <conditionalFormatting sqref="GQ138:GR138">
    <cfRule type="containsText" dxfId="3165" priority="3027" operator="containsText" text="POSITIVO">
      <formula>NOT(ISERROR(SEARCH("POSITIVO",GQ138)))</formula>
    </cfRule>
    <cfRule type="containsText" dxfId="3164" priority="3028" operator="containsText" text="NEGATIVO">
      <formula>NOT(ISERROR(SEARCH("NEGATIVO",GQ138)))</formula>
    </cfRule>
  </conditionalFormatting>
  <conditionalFormatting sqref="GS138">
    <cfRule type="containsText" dxfId="3163" priority="3024" operator="containsText" text="Igm">
      <formula>NOT(ISERROR(SEARCH("Igm",GS138)))</formula>
    </cfRule>
    <cfRule type="containsText" dxfId="3162" priority="3025" operator="containsText" text="REMITIR">
      <formula>NOT(ISERROR(SEARCH("REMITIR",GS138)))</formula>
    </cfRule>
    <cfRule type="containsText" dxfId="3161" priority="3026" operator="containsText" text="EXCLUYE">
      <formula>NOT(ISERROR(SEARCH("EXCLUYE",GS138)))</formula>
    </cfRule>
  </conditionalFormatting>
  <conditionalFormatting sqref="AC155">
    <cfRule type="containsText" dxfId="3160" priority="3020" operator="containsText" text="SABE">
      <formula>NOT(ISERROR(SEARCH("SABE",AC155)))</formula>
    </cfRule>
    <cfRule type="containsText" dxfId="3159" priority="3021" operator="containsText" text="SECUNDARIA">
      <formula>NOT(ISERROR(SEARCH("SECUNDARIA",AC155)))</formula>
    </cfRule>
    <cfRule type="containsText" dxfId="3158" priority="3022" operator="containsText" text="PRIMARIA INCOMPLETA">
      <formula>NOT(ISERROR(SEARCH("PRIMARIA INCOMPLETA",AC155)))</formula>
    </cfRule>
    <cfRule type="cellIs" dxfId="3157" priority="3023" operator="equal">
      <formula>"ANALFABETA"</formula>
    </cfRule>
  </conditionalFormatting>
  <conditionalFormatting sqref="AD155">
    <cfRule type="containsText" dxfId="3156" priority="3017" operator="containsText" text="No Consume">
      <formula>NOT(ISERROR(SEARCH("No Consume",AD155)))</formula>
    </cfRule>
    <cfRule type="containsText" dxfId="3155" priority="3018" operator="containsText" text="Hasta Antes de la Gestación">
      <formula>NOT(ISERROR(SEARCH("Hasta Antes de la Gestación",AD155)))</formula>
    </cfRule>
    <cfRule type="containsText" dxfId="3154" priority="3019" operator="containsText" text="Consumo Actual">
      <formula>NOT(ISERROR(SEARCH("Consumo Actual",AD155)))</formula>
    </cfRule>
  </conditionalFormatting>
  <conditionalFormatting sqref="L156">
    <cfRule type="containsText" dxfId="3153" priority="2999" operator="containsText" text="Empleo informal">
      <formula>NOT(ISERROR(SEARCH("Empleo informal",L156)))</formula>
    </cfRule>
    <cfRule type="containsText" dxfId="3152" priority="3000" operator="containsText" text="Empleada formalmente con riesgo a tóxicos">
      <formula>NOT(ISERROR(SEARCH("Empleada formalmente con riesgo a tóxicos",L156)))</formula>
    </cfRule>
    <cfRule type="containsText" dxfId="3151" priority="3001" operator="containsText" text="Empleada formalmente con riesgo de accidente laboral">
      <formula>NOT(ISERROR(SEARCH("Empleada formalmente con riesgo de accidente laboral",L156)))</formula>
    </cfRule>
    <cfRule type="containsText" dxfId="3150" priority="3002" operator="containsText" text="Empleada formalmente por jornada laboral extensa">
      <formula>NOT(ISERROR(SEARCH("Empleada formalmente por jornada laboral extensa",L156)))</formula>
    </cfRule>
    <cfRule type="containsText" dxfId="3149" priority="3003" operator="containsText" text="Empleada formalmente sin riesgo">
      <formula>NOT(ISERROR(SEARCH("Empleada formalmente sin riesgo",L156)))</formula>
    </cfRule>
    <cfRule type="containsText" dxfId="3148" priority="3004" operator="containsText" text="Actualmente desempleada">
      <formula>NOT(ISERROR(SEARCH("Actualmente desempleada",L156)))</formula>
    </cfRule>
    <cfRule type="containsText" dxfId="3147" priority="3005" operator="containsText" text="Hogar sin apoyo">
      <formula>NOT(ISERROR(SEARCH("Hogar sin apoyo",L156)))</formula>
    </cfRule>
    <cfRule type="containsText" dxfId="3146" priority="3006" operator="containsText" text="Empleada formalmente sin riesgo">
      <formula>NOT(ISERROR(SEARCH("Empleada formalmente sin riesgo",L156)))</formula>
    </cfRule>
    <cfRule type="containsText" dxfId="3145" priority="3007" operator="containsText" text="Hogar Con apoyo">
      <formula>NOT(ISERROR(SEARCH("Hogar Con apoyo",L156)))</formula>
    </cfRule>
  </conditionalFormatting>
  <conditionalFormatting sqref="CR156">
    <cfRule type="expression" dxfId="3144" priority="2998">
      <formula>IF(CT156="NO APLICA REGISTRO TA-INGRESO TARDIO",1,"")</formula>
    </cfRule>
  </conditionalFormatting>
  <conditionalFormatting sqref="CS156">
    <cfRule type="expression" dxfId="3143" priority="2997">
      <formula>IF(CT156="NO APLICA REGISTRO TA-INGRESO TARDIO",1,"")</formula>
    </cfRule>
  </conditionalFormatting>
  <conditionalFormatting sqref="FB203">
    <cfRule type="containsText" dxfId="3142" priority="2990" operator="containsText" text="RH NEGATIVO SIN COOMB">
      <formula>NOT(ISERROR(SEARCH("RH NEGATIVO SIN COOMB",FB203)))</formula>
    </cfRule>
    <cfRule type="containsText" dxfId="3141" priority="2991" operator="containsText" text="RH NEGATIVO CON COOMBS POSITIVO">
      <formula>NOT(ISERROR(SEARCH("RH NEGATIVO CON COOMBS POSITIVO",FB203)))</formula>
    </cfRule>
    <cfRule type="containsText" dxfId="3140" priority="2992" operator="containsText" text="RH NEGATIVO CON COOMBS NEGATIVO">
      <formula>NOT(ISERROR(SEARCH("RH NEGATIVO CON COOMBS NEGATIVO",FB203)))</formula>
    </cfRule>
    <cfRule type="containsText" dxfId="3139" priority="2993" operator="containsText" text="RH POSITIVO">
      <formula>NOT(ISERROR(SEARCH("RH POSITIVO",FB203)))</formula>
    </cfRule>
  </conditionalFormatting>
  <conditionalFormatting sqref="FB215">
    <cfRule type="containsText" dxfId="3138" priority="2986" operator="containsText" text="RH NEGATIVO SIN COOMB">
      <formula>NOT(ISERROR(SEARCH("RH NEGATIVO SIN COOMB",FB215)))</formula>
    </cfRule>
    <cfRule type="containsText" dxfId="3137" priority="2987" operator="containsText" text="RH NEGATIVO CON COOMBS POSITIVO">
      <formula>NOT(ISERROR(SEARCH("RH NEGATIVO CON COOMBS POSITIVO",FB215)))</formula>
    </cfRule>
    <cfRule type="containsText" dxfId="3136" priority="2988" operator="containsText" text="RH NEGATIVO CON COOMBS NEGATIVO">
      <formula>NOT(ISERROR(SEARCH("RH NEGATIVO CON COOMBS NEGATIVO",FB215)))</formula>
    </cfRule>
    <cfRule type="containsText" dxfId="3135" priority="2989" operator="containsText" text="RH POSITIVO">
      <formula>NOT(ISERROR(SEARCH("RH POSITIVO",FB215)))</formula>
    </cfRule>
  </conditionalFormatting>
  <conditionalFormatting sqref="AX216">
    <cfRule type="cellIs" dxfId="3134" priority="2983" operator="equal">
      <formula>"SD"</formula>
    </cfRule>
    <cfRule type="cellIs" dxfId="3133" priority="2984" operator="equal">
      <formula>"NO"</formula>
    </cfRule>
    <cfRule type="cellIs" dxfId="3132" priority="2985" operator="equal">
      <formula>"SI"</formula>
    </cfRule>
  </conditionalFormatting>
  <conditionalFormatting sqref="BK108">
    <cfRule type="cellIs" dxfId="3131" priority="2980" operator="equal">
      <formula>"SD"</formula>
    </cfRule>
    <cfRule type="cellIs" dxfId="3130" priority="2981" operator="equal">
      <formula>"NO"</formula>
    </cfRule>
    <cfRule type="cellIs" dxfId="3129" priority="2982" operator="equal">
      <formula>"SI"</formula>
    </cfRule>
  </conditionalFormatting>
  <conditionalFormatting sqref="BK165">
    <cfRule type="cellIs" dxfId="3128" priority="2974" operator="equal">
      <formula>"SD"</formula>
    </cfRule>
    <cfRule type="cellIs" dxfId="3127" priority="2975" operator="equal">
      <formula>"NO"</formula>
    </cfRule>
    <cfRule type="cellIs" dxfId="3126" priority="2976" operator="equal">
      <formula>"SI"</formula>
    </cfRule>
  </conditionalFormatting>
  <conditionalFormatting sqref="BK148">
    <cfRule type="cellIs" dxfId="3125" priority="2968" operator="equal">
      <formula>"SD"</formula>
    </cfRule>
    <cfRule type="cellIs" dxfId="3124" priority="2969" operator="equal">
      <formula>"NO"</formula>
    </cfRule>
    <cfRule type="cellIs" dxfId="3123" priority="2970" operator="equal">
      <formula>"SI"</formula>
    </cfRule>
  </conditionalFormatting>
  <conditionalFormatting sqref="BK145">
    <cfRule type="cellIs" dxfId="3122" priority="2962" operator="equal">
      <formula>"SD"</formula>
    </cfRule>
    <cfRule type="cellIs" dxfId="3121" priority="2963" operator="equal">
      <formula>"NO"</formula>
    </cfRule>
    <cfRule type="cellIs" dxfId="3120" priority="2964" operator="equal">
      <formula>"SI"</formula>
    </cfRule>
  </conditionalFormatting>
  <conditionalFormatting sqref="BK101">
    <cfRule type="cellIs" dxfId="3119" priority="2956" operator="equal">
      <formula>"SD"</formula>
    </cfRule>
    <cfRule type="cellIs" dxfId="3118" priority="2957" operator="equal">
      <formula>"NO"</formula>
    </cfRule>
    <cfRule type="cellIs" dxfId="3117" priority="2958" operator="equal">
      <formula>"SI"</formula>
    </cfRule>
  </conditionalFormatting>
  <conditionalFormatting sqref="BK171">
    <cfRule type="cellIs" dxfId="3116" priority="2950" operator="equal">
      <formula>"SD"</formula>
    </cfRule>
    <cfRule type="cellIs" dxfId="3115" priority="2951" operator="equal">
      <formula>"NO"</formula>
    </cfRule>
    <cfRule type="cellIs" dxfId="3114" priority="2952" operator="equal">
      <formula>"SI"</formula>
    </cfRule>
  </conditionalFormatting>
  <conditionalFormatting sqref="BK180">
    <cfRule type="cellIs" dxfId="3113" priority="2944" operator="equal">
      <formula>"SD"</formula>
    </cfRule>
    <cfRule type="cellIs" dxfId="3112" priority="2945" operator="equal">
      <formula>"NO"</formula>
    </cfRule>
    <cfRule type="cellIs" dxfId="3111" priority="2946" operator="equal">
      <formula>"SI"</formula>
    </cfRule>
  </conditionalFormatting>
  <conditionalFormatting sqref="BK133">
    <cfRule type="cellIs" dxfId="3110" priority="2938" operator="equal">
      <formula>"SD"</formula>
    </cfRule>
    <cfRule type="cellIs" dxfId="3109" priority="2939" operator="equal">
      <formula>"NO"</formula>
    </cfRule>
    <cfRule type="cellIs" dxfId="3108" priority="2940" operator="equal">
      <formula>"SI"</formula>
    </cfRule>
  </conditionalFormatting>
  <conditionalFormatting sqref="L126">
    <cfRule type="containsText" dxfId="3107" priority="2923" operator="containsText" text="Empleo informal">
      <formula>NOT(ISERROR(SEARCH("Empleo informal",L126)))</formula>
    </cfRule>
    <cfRule type="containsText" dxfId="3106" priority="2924" operator="containsText" text="Empleada formalmente con riesgo a tóxicos">
      <formula>NOT(ISERROR(SEARCH("Empleada formalmente con riesgo a tóxicos",L126)))</formula>
    </cfRule>
    <cfRule type="containsText" dxfId="3105" priority="2925" operator="containsText" text="Empleada formalmente con riesgo de accidente laboral">
      <formula>NOT(ISERROR(SEARCH("Empleada formalmente con riesgo de accidente laboral",L126)))</formula>
    </cfRule>
    <cfRule type="containsText" dxfId="3104" priority="2926" operator="containsText" text="Empleada formalmente por jornada laboral extensa">
      <formula>NOT(ISERROR(SEARCH("Empleada formalmente por jornada laboral extensa",L126)))</formula>
    </cfRule>
    <cfRule type="containsText" dxfId="3103" priority="2927" operator="containsText" text="Empleada formalmente sin riesgo">
      <formula>NOT(ISERROR(SEARCH("Empleada formalmente sin riesgo",L126)))</formula>
    </cfRule>
    <cfRule type="containsText" dxfId="3102" priority="2928" operator="containsText" text="Actualmente desempleada">
      <formula>NOT(ISERROR(SEARCH("Actualmente desempleada",L126)))</formula>
    </cfRule>
    <cfRule type="containsText" dxfId="3101" priority="2929" operator="containsText" text="Hogar sin apoyo">
      <formula>NOT(ISERROR(SEARCH("Hogar sin apoyo",L126)))</formula>
    </cfRule>
    <cfRule type="containsText" dxfId="3100" priority="2930" operator="containsText" text="Empleada formalmente sin riesgo">
      <formula>NOT(ISERROR(SEARCH("Empleada formalmente sin riesgo",L126)))</formula>
    </cfRule>
    <cfRule type="containsText" dxfId="3099" priority="2931" operator="containsText" text="Hogar Con apoyo">
      <formula>NOT(ISERROR(SEARCH("Hogar Con apoyo",L126)))</formula>
    </cfRule>
  </conditionalFormatting>
  <conditionalFormatting sqref="AC196">
    <cfRule type="containsText" dxfId="3098" priority="2919" operator="containsText" text="SABE">
      <formula>NOT(ISERROR(SEARCH("SABE",AC196)))</formula>
    </cfRule>
    <cfRule type="containsText" dxfId="3097" priority="2920" operator="containsText" text="SECUNDARIA">
      <formula>NOT(ISERROR(SEARCH("SECUNDARIA",AC196)))</formula>
    </cfRule>
    <cfRule type="containsText" dxfId="3096" priority="2921" operator="containsText" text="PRIMARIA INCOMPLETA">
      <formula>NOT(ISERROR(SEARCH("PRIMARIA INCOMPLETA",AC196)))</formula>
    </cfRule>
    <cfRule type="cellIs" dxfId="3095" priority="2922" operator="equal">
      <formula>"ANALFABETA"</formula>
    </cfRule>
  </conditionalFormatting>
  <conditionalFormatting sqref="L211">
    <cfRule type="containsText" dxfId="3094" priority="2907" operator="containsText" text="Empleo informal">
      <formula>NOT(ISERROR(SEARCH("Empleo informal",L211)))</formula>
    </cfRule>
    <cfRule type="containsText" dxfId="3093" priority="2908" operator="containsText" text="Empleada formalmente con riesgo a tóxicos">
      <formula>NOT(ISERROR(SEARCH("Empleada formalmente con riesgo a tóxicos",L211)))</formula>
    </cfRule>
    <cfRule type="containsText" dxfId="3092" priority="2909" operator="containsText" text="Empleada formalmente con riesgo de accidente laboral">
      <formula>NOT(ISERROR(SEARCH("Empleada formalmente con riesgo de accidente laboral",L211)))</formula>
    </cfRule>
    <cfRule type="containsText" dxfId="3091" priority="2910" operator="containsText" text="Empleada formalmente por jornada laboral extensa">
      <formula>NOT(ISERROR(SEARCH("Empleada formalmente por jornada laboral extensa",L211)))</formula>
    </cfRule>
    <cfRule type="containsText" dxfId="3090" priority="2911" operator="containsText" text="Empleada formalmente sin riesgo">
      <formula>NOT(ISERROR(SEARCH("Empleada formalmente sin riesgo",L211)))</formula>
    </cfRule>
    <cfRule type="containsText" dxfId="3089" priority="2912" operator="containsText" text="Actualmente desempleada">
      <formula>NOT(ISERROR(SEARCH("Actualmente desempleada",L211)))</formula>
    </cfRule>
    <cfRule type="containsText" dxfId="3088" priority="2913" operator="containsText" text="Hogar sin apoyo">
      <formula>NOT(ISERROR(SEARCH("Hogar sin apoyo",L211)))</formula>
    </cfRule>
    <cfRule type="containsText" dxfId="3087" priority="2914" operator="containsText" text="Empleada formalmente sin riesgo">
      <formula>NOT(ISERROR(SEARCH("Empleada formalmente sin riesgo",L211)))</formula>
    </cfRule>
    <cfRule type="containsText" dxfId="3086" priority="2915" operator="containsText" text="Hogar Con apoyo">
      <formula>NOT(ISERROR(SEARCH("Hogar Con apoyo",L211)))</formula>
    </cfRule>
  </conditionalFormatting>
  <conditionalFormatting sqref="BD211:BI211 AL211:BB211 AG211:AH211 AJ211 BK211:BM211">
    <cfRule type="cellIs" dxfId="3085" priority="2904" operator="equal">
      <formula>"SD"</formula>
    </cfRule>
    <cfRule type="cellIs" dxfId="3084" priority="2905" operator="equal">
      <formula>"NO"</formula>
    </cfRule>
    <cfRule type="cellIs" dxfId="3083" priority="2906" operator="equal">
      <formula>"SI"</formula>
    </cfRule>
  </conditionalFormatting>
  <conditionalFormatting sqref="AC211">
    <cfRule type="containsText" dxfId="3082" priority="2900" operator="containsText" text="SABE">
      <formula>NOT(ISERROR(SEARCH("SABE",AC211)))</formula>
    </cfRule>
    <cfRule type="containsText" dxfId="3081" priority="2901" operator="containsText" text="SECUNDARIA">
      <formula>NOT(ISERROR(SEARCH("SECUNDARIA",AC211)))</formula>
    </cfRule>
    <cfRule type="containsText" dxfId="3080" priority="2902" operator="containsText" text="PRIMARIA INCOMPLETA">
      <formula>NOT(ISERROR(SEARCH("PRIMARIA INCOMPLETA",AC211)))</formula>
    </cfRule>
    <cfRule type="cellIs" dxfId="3079" priority="2903" operator="equal">
      <formula>"ANALFABETA"</formula>
    </cfRule>
  </conditionalFormatting>
  <conditionalFormatting sqref="AW211">
    <cfRule type="cellIs" dxfId="3078" priority="2897" operator="equal">
      <formula>1</formula>
    </cfRule>
    <cfRule type="cellIs" dxfId="3077" priority="2898" operator="equal">
      <formula>"3 O MAS"</formula>
    </cfRule>
    <cfRule type="cellIs" dxfId="3076" priority="2899" operator="equal">
      <formula>2</formula>
    </cfRule>
  </conditionalFormatting>
  <conditionalFormatting sqref="AK211">
    <cfRule type="containsText" dxfId="3075" priority="2888" operator="containsText" text="COMPLETAR EVALUACIÓN">
      <formula>NOT(ISERROR(SEARCH("COMPLETAR EVALUACIÓN",AK211)))</formula>
    </cfRule>
    <cfRule type="containsText" dxfId="3074" priority="2895" operator="containsText" text="CON RIESGO">
      <formula>NOT(ISERROR(SEARCH("CON RIESGO",AK211)))</formula>
    </cfRule>
    <cfRule type="containsText" dxfId="3073" priority="2896" operator="containsText" text="SIN RIESGO">
      <formula>NOT(ISERROR(SEARCH("SIN RIESGO",AK211)))</formula>
    </cfRule>
  </conditionalFormatting>
  <conditionalFormatting sqref="AI211">
    <cfRule type="containsText" dxfId="3072" priority="2883" operator="containsText" text="HABITANTE DE CALLE">
      <formula>NOT(ISERROR(SEARCH("HABITANTE DE CALLE",AI211)))</formula>
    </cfRule>
    <cfRule type="containsText" dxfId="3071" priority="2891" operator="containsText" text="NINGUNO">
      <formula>NOT(ISERROR(SEARCH("NINGUNO",AI211)))</formula>
    </cfRule>
    <cfRule type="containsText" dxfId="3070" priority="2892" operator="containsText" text="MIGRATORIA">
      <formula>NOT(ISERROR(SEARCH("MIGRATORIA",AI211)))</formula>
    </cfRule>
    <cfRule type="containsText" dxfId="3069" priority="2893" operator="containsText" text="DISCAPACIDAD">
      <formula>NOT(ISERROR(SEARCH("DISCAPACIDAD",AI211)))</formula>
    </cfRule>
    <cfRule type="containsText" dxfId="3068" priority="2894" operator="containsText" text="DESPLAZADA">
      <formula>NOT(ISERROR(SEARCH("DESPLAZADA",AI211)))</formula>
    </cfRule>
  </conditionalFormatting>
  <conditionalFormatting sqref="AE211:AF211">
    <cfRule type="containsText" dxfId="3067" priority="2889" operator="containsText" text="NO">
      <formula>NOT(ISERROR(SEARCH("NO",AE211)))</formula>
    </cfRule>
    <cfRule type="containsText" dxfId="3066" priority="2890" operator="containsText" text="SI">
      <formula>NOT(ISERROR(SEARCH("SI",AE211)))</formula>
    </cfRule>
  </conditionalFormatting>
  <conditionalFormatting sqref="BE211">
    <cfRule type="expression" dxfId="3065" priority="2884">
      <formula>IF(AND(FA211&gt;=126,FC211&lt;24),1,0)</formula>
    </cfRule>
  </conditionalFormatting>
  <conditionalFormatting sqref="BC211">
    <cfRule type="cellIs" dxfId="3064" priority="2880" operator="equal">
      <formula>"SD"</formula>
    </cfRule>
    <cfRule type="cellIs" dxfId="3063" priority="2881" operator="equal">
      <formula>"NO"</formula>
    </cfRule>
    <cfRule type="cellIs" dxfId="3062" priority="2882" operator="equal">
      <formula>"SI"</formula>
    </cfRule>
  </conditionalFormatting>
  <conditionalFormatting sqref="L212">
    <cfRule type="containsText" dxfId="3061" priority="2868" operator="containsText" text="Empleo informal">
      <formula>NOT(ISERROR(SEARCH("Empleo informal",L212)))</formula>
    </cfRule>
    <cfRule type="containsText" dxfId="3060" priority="2869" operator="containsText" text="Empleada formalmente con riesgo a tóxicos">
      <formula>NOT(ISERROR(SEARCH("Empleada formalmente con riesgo a tóxicos",L212)))</formula>
    </cfRule>
    <cfRule type="containsText" dxfId="3059" priority="2870" operator="containsText" text="Empleada formalmente con riesgo de accidente laboral">
      <formula>NOT(ISERROR(SEARCH("Empleada formalmente con riesgo de accidente laboral",L212)))</formula>
    </cfRule>
    <cfRule type="containsText" dxfId="3058" priority="2871" operator="containsText" text="Empleada formalmente por jornada laboral extensa">
      <formula>NOT(ISERROR(SEARCH("Empleada formalmente por jornada laboral extensa",L212)))</formula>
    </cfRule>
    <cfRule type="containsText" dxfId="3057" priority="2872" operator="containsText" text="Empleada formalmente sin riesgo">
      <formula>NOT(ISERROR(SEARCH("Empleada formalmente sin riesgo",L212)))</formula>
    </cfRule>
    <cfRule type="containsText" dxfId="3056" priority="2873" operator="containsText" text="Actualmente desempleada">
      <formula>NOT(ISERROR(SEARCH("Actualmente desempleada",L212)))</formula>
    </cfRule>
    <cfRule type="containsText" dxfId="3055" priority="2874" operator="containsText" text="Hogar sin apoyo">
      <formula>NOT(ISERROR(SEARCH("Hogar sin apoyo",L212)))</formula>
    </cfRule>
    <cfRule type="containsText" dxfId="3054" priority="2875" operator="containsText" text="Empleada formalmente sin riesgo">
      <formula>NOT(ISERROR(SEARCH("Empleada formalmente sin riesgo",L212)))</formula>
    </cfRule>
    <cfRule type="containsText" dxfId="3053" priority="2876" operator="containsText" text="Hogar Con apoyo">
      <formula>NOT(ISERROR(SEARCH("Hogar Con apoyo",L212)))</formula>
    </cfRule>
  </conditionalFormatting>
  <conditionalFormatting sqref="BD212:BI212 AL212:BB212 AJ212 AG212:AH212 BK212:BM212">
    <cfRule type="cellIs" dxfId="3052" priority="2865" operator="equal">
      <formula>"SD"</formula>
    </cfRule>
    <cfRule type="cellIs" dxfId="3051" priority="2866" operator="equal">
      <formula>"NO"</formula>
    </cfRule>
    <cfRule type="cellIs" dxfId="3050" priority="2867" operator="equal">
      <formula>"SI"</formula>
    </cfRule>
  </conditionalFormatting>
  <conditionalFormatting sqref="P212">
    <cfRule type="containsText" dxfId="3049" priority="2861" operator="containsText" text="SI">
      <formula>NOT(ISERROR(SEARCH("SI",P212)))</formula>
    </cfRule>
    <cfRule type="containsText" dxfId="3048" priority="2862" operator="containsText" text="NO">
      <formula>NOT(ISERROR(SEARCH("NO",P212)))</formula>
    </cfRule>
    <cfRule type="containsText" dxfId="3047" priority="2863" operator="containsText" text="NA">
      <formula>NOT(ISERROR(SEARCH("NA",P212)))</formula>
    </cfRule>
  </conditionalFormatting>
  <conditionalFormatting sqref="Q212">
    <cfRule type="containsText" dxfId="3046" priority="2837" operator="containsText" text="SE TRASLADO DE EPS">
      <formula>NOT(ISERROR(SEARCH("SE TRASLADO DE EPS",Q212)))</formula>
    </cfRule>
    <cfRule type="containsText" dxfId="3045" priority="2856" operator="containsText" text="NOVEDAD">
      <formula>NOT(ISERROR(SEARCH("NOVEDAD",Q212)))</formula>
    </cfRule>
    <cfRule type="containsText" dxfId="3044" priority="2857" operator="containsText" text="IDENTIDAD">
      <formula>NOT(ISERROR(SEARCH("IDENTIDAD",Q212)))</formula>
    </cfRule>
    <cfRule type="containsText" dxfId="3043" priority="2858" operator="containsText" text="CPN">
      <formula>NOT(ISERROR(SEARCH("CPN",Q212)))</formula>
    </cfRule>
    <cfRule type="containsText" dxfId="3042" priority="2859" operator="containsText" text="VIENE">
      <formula>NOT(ISERROR(SEARCH("VIENE",Q212)))</formula>
    </cfRule>
    <cfRule type="cellIs" dxfId="3041" priority="2860" operator="equal">
      <formula>"TRAMITE DE PORTABILIDAD"</formula>
    </cfRule>
  </conditionalFormatting>
  <conditionalFormatting sqref="AC212">
    <cfRule type="containsText" dxfId="3040" priority="2852" operator="containsText" text="SABE">
      <formula>NOT(ISERROR(SEARCH("SABE",AC212)))</formula>
    </cfRule>
    <cfRule type="containsText" dxfId="3039" priority="2853" operator="containsText" text="SECUNDARIA">
      <formula>NOT(ISERROR(SEARCH("SECUNDARIA",AC212)))</formula>
    </cfRule>
    <cfRule type="containsText" dxfId="3038" priority="2854" operator="containsText" text="PRIMARIA INCOMPLETA">
      <formula>NOT(ISERROR(SEARCH("PRIMARIA INCOMPLETA",AC212)))</formula>
    </cfRule>
    <cfRule type="cellIs" dxfId="3037" priority="2855" operator="equal">
      <formula>"ANALFABETA"</formula>
    </cfRule>
  </conditionalFormatting>
  <conditionalFormatting sqref="AW212">
    <cfRule type="cellIs" dxfId="3036" priority="2849" operator="equal">
      <formula>1</formula>
    </cfRule>
    <cfRule type="cellIs" dxfId="3035" priority="2850" operator="equal">
      <formula>"3 O MAS"</formula>
    </cfRule>
    <cfRule type="cellIs" dxfId="3034" priority="2851" operator="equal">
      <formula>2</formula>
    </cfRule>
  </conditionalFormatting>
  <conditionalFormatting sqref="BP212">
    <cfRule type="cellIs" dxfId="3033" priority="2828" operator="equal">
      <formula>"NO"</formula>
    </cfRule>
    <cfRule type="cellIs" dxfId="3032" priority="2846" operator="equal">
      <formula>"SI"</formula>
    </cfRule>
    <cfRule type="cellIs" dxfId="3031" priority="2847" operator="equal">
      <formula>"CORREGIDA"</formula>
    </cfRule>
    <cfRule type="expression" dxfId="3030" priority="2848">
      <formula>IF(AND($BX212&gt;=1,$BX212&lt;21,RY212=1),1,0)</formula>
    </cfRule>
  </conditionalFormatting>
  <conditionalFormatting sqref="AK212">
    <cfRule type="containsText" dxfId="3029" priority="2834" operator="containsText" text="COMPLETAR EVALUACIÓN">
      <formula>NOT(ISERROR(SEARCH("COMPLETAR EVALUACIÓN",AK212)))</formula>
    </cfRule>
    <cfRule type="containsText" dxfId="3028" priority="2844" operator="containsText" text="CON RIESGO">
      <formula>NOT(ISERROR(SEARCH("CON RIESGO",AK212)))</formula>
    </cfRule>
    <cfRule type="containsText" dxfId="3027" priority="2845" operator="containsText" text="SIN RIESGO">
      <formula>NOT(ISERROR(SEARCH("SIN RIESGO",AK212)))</formula>
    </cfRule>
  </conditionalFormatting>
  <conditionalFormatting sqref="AI212">
    <cfRule type="containsText" dxfId="3026" priority="2829" operator="containsText" text="HABITANTE DE CALLE">
      <formula>NOT(ISERROR(SEARCH("HABITANTE DE CALLE",AI212)))</formula>
    </cfRule>
    <cfRule type="containsText" dxfId="3025" priority="2840" operator="containsText" text="NINGUNO">
      <formula>NOT(ISERROR(SEARCH("NINGUNO",AI212)))</formula>
    </cfRule>
    <cfRule type="containsText" dxfId="3024" priority="2841" operator="containsText" text="MIGRATORIA">
      <formula>NOT(ISERROR(SEARCH("MIGRATORIA",AI212)))</formula>
    </cfRule>
    <cfRule type="containsText" dxfId="3023" priority="2842" operator="containsText" text="DISCAPACIDAD">
      <formula>NOT(ISERROR(SEARCH("DISCAPACIDAD",AI212)))</formula>
    </cfRule>
    <cfRule type="containsText" dxfId="3022" priority="2843" operator="containsText" text="DESPLAZADA">
      <formula>NOT(ISERROR(SEARCH("DESPLAZADA",AI212)))</formula>
    </cfRule>
  </conditionalFormatting>
  <conditionalFormatting sqref="Q212">
    <cfRule type="containsText" dxfId="3021" priority="2838" operator="containsText" text="INMIGRANTE VENEZOLANA">
      <formula>NOT(ISERROR(SEARCH("INMIGRANTE VENEZOLANA",Q212)))</formula>
    </cfRule>
    <cfRule type="containsText" dxfId="3020" priority="2839" operator="containsText" text="SIN AFILIACIÓN A EPS">
      <formula>NOT(ISERROR(SEARCH("SIN AFILIACIÓN A EPS",Q212)))</formula>
    </cfRule>
  </conditionalFormatting>
  <conditionalFormatting sqref="AE212:AF212">
    <cfRule type="containsText" dxfId="3019" priority="2835" operator="containsText" text="NO">
      <formula>NOT(ISERROR(SEARCH("NO",AE212)))</formula>
    </cfRule>
    <cfRule type="containsText" dxfId="3018" priority="2836" operator="containsText" text="SI">
      <formula>NOT(ISERROR(SEARCH("SI",AE212)))</formula>
    </cfRule>
  </conditionalFormatting>
  <conditionalFormatting sqref="BE212">
    <cfRule type="expression" dxfId="3017" priority="2830">
      <formula>IF(AND(FA212&gt;=126,FC212&lt;24),1,0)</formula>
    </cfRule>
  </conditionalFormatting>
  <conditionalFormatting sqref="BC212">
    <cfRule type="cellIs" dxfId="3016" priority="2825" operator="equal">
      <formula>"SD"</formula>
    </cfRule>
    <cfRule type="cellIs" dxfId="3015" priority="2826" operator="equal">
      <formula>"NO"</formula>
    </cfRule>
    <cfRule type="cellIs" dxfId="3014" priority="2827" operator="equal">
      <formula>"SI"</formula>
    </cfRule>
  </conditionalFormatting>
  <conditionalFormatting sqref="AC153">
    <cfRule type="containsText" dxfId="3013" priority="2821" operator="containsText" text="SABE">
      <formula>NOT(ISERROR(SEARCH("SABE",AC153)))</formula>
    </cfRule>
    <cfRule type="containsText" dxfId="3012" priority="2822" operator="containsText" text="SECUNDARIA">
      <formula>NOT(ISERROR(SEARCH("SECUNDARIA",AC153)))</formula>
    </cfRule>
    <cfRule type="containsText" dxfId="3011" priority="2823" operator="containsText" text="PRIMARIA INCOMPLETA">
      <formula>NOT(ISERROR(SEARCH("PRIMARIA INCOMPLETA",AC153)))</formula>
    </cfRule>
    <cfRule type="cellIs" dxfId="3010" priority="2824" operator="equal">
      <formula>"ANALFABETA"</formula>
    </cfRule>
  </conditionalFormatting>
  <conditionalFormatting sqref="L176">
    <cfRule type="containsText" dxfId="3009" priority="2809" operator="containsText" text="Empleo informal">
      <formula>NOT(ISERROR(SEARCH("Empleo informal",L176)))</formula>
    </cfRule>
    <cfRule type="containsText" dxfId="3008" priority="2810" operator="containsText" text="Empleada formalmente con riesgo a tóxicos">
      <formula>NOT(ISERROR(SEARCH("Empleada formalmente con riesgo a tóxicos",L176)))</formula>
    </cfRule>
    <cfRule type="containsText" dxfId="3007" priority="2811" operator="containsText" text="Empleada formalmente con riesgo de accidente laboral">
      <formula>NOT(ISERROR(SEARCH("Empleada formalmente con riesgo de accidente laboral",L176)))</formula>
    </cfRule>
    <cfRule type="containsText" dxfId="3006" priority="2812" operator="containsText" text="Empleada formalmente por jornada laboral extensa">
      <formula>NOT(ISERROR(SEARCH("Empleada formalmente por jornada laboral extensa",L176)))</formula>
    </cfRule>
    <cfRule type="containsText" dxfId="3005" priority="2813" operator="containsText" text="Empleada formalmente sin riesgo">
      <formula>NOT(ISERROR(SEARCH("Empleada formalmente sin riesgo",L176)))</formula>
    </cfRule>
    <cfRule type="containsText" dxfId="3004" priority="2814" operator="containsText" text="Actualmente desempleada">
      <formula>NOT(ISERROR(SEARCH("Actualmente desempleada",L176)))</formula>
    </cfRule>
    <cfRule type="containsText" dxfId="3003" priority="2815" operator="containsText" text="Hogar sin apoyo">
      <formula>NOT(ISERROR(SEARCH("Hogar sin apoyo",L176)))</formula>
    </cfRule>
    <cfRule type="containsText" dxfId="3002" priority="2816" operator="containsText" text="Empleada formalmente sin riesgo">
      <formula>NOT(ISERROR(SEARCH("Empleada formalmente sin riesgo",L176)))</formula>
    </cfRule>
    <cfRule type="containsText" dxfId="3001" priority="2817" operator="containsText" text="Hogar Con apoyo">
      <formula>NOT(ISERROR(SEARCH("Hogar Con apoyo",L176)))</formula>
    </cfRule>
  </conditionalFormatting>
  <conditionalFormatting sqref="L236">
    <cfRule type="containsText" dxfId="3000" priority="2800" operator="containsText" text="Empleo informal">
      <formula>NOT(ISERROR(SEARCH("Empleo informal",L236)))</formula>
    </cfRule>
    <cfRule type="containsText" dxfId="2999" priority="2801" operator="containsText" text="Empleada formalmente con riesgo a tóxicos">
      <formula>NOT(ISERROR(SEARCH("Empleada formalmente con riesgo a tóxicos",L236)))</formula>
    </cfRule>
    <cfRule type="containsText" dxfId="2998" priority="2802" operator="containsText" text="Empleada formalmente con riesgo de accidente laboral">
      <formula>NOT(ISERROR(SEARCH("Empleada formalmente con riesgo de accidente laboral",L236)))</formula>
    </cfRule>
    <cfRule type="containsText" dxfId="2997" priority="2803" operator="containsText" text="Empleada formalmente por jornada laboral extensa">
      <formula>NOT(ISERROR(SEARCH("Empleada formalmente por jornada laboral extensa",L236)))</formula>
    </cfRule>
    <cfRule type="containsText" dxfId="2996" priority="2804" operator="containsText" text="Empleada formalmente sin riesgo">
      <formula>NOT(ISERROR(SEARCH("Empleada formalmente sin riesgo",L236)))</formula>
    </cfRule>
    <cfRule type="containsText" dxfId="2995" priority="2805" operator="containsText" text="Actualmente desempleada">
      <formula>NOT(ISERROR(SEARCH("Actualmente desempleada",L236)))</formula>
    </cfRule>
    <cfRule type="containsText" dxfId="2994" priority="2806" operator="containsText" text="Hogar sin apoyo">
      <formula>NOT(ISERROR(SEARCH("Hogar sin apoyo",L236)))</formula>
    </cfRule>
    <cfRule type="containsText" dxfId="2993" priority="2807" operator="containsText" text="Empleada formalmente sin riesgo">
      <formula>NOT(ISERROR(SEARCH("Empleada formalmente sin riesgo",L236)))</formula>
    </cfRule>
    <cfRule type="containsText" dxfId="2992" priority="2808" operator="containsText" text="Hogar Con apoyo">
      <formula>NOT(ISERROR(SEARCH("Hogar Con apoyo",L236)))</formula>
    </cfRule>
  </conditionalFormatting>
  <conditionalFormatting sqref="AC236">
    <cfRule type="containsText" dxfId="2991" priority="2796" operator="containsText" text="SABE">
      <formula>NOT(ISERROR(SEARCH("SABE",AC236)))</formula>
    </cfRule>
    <cfRule type="containsText" dxfId="2990" priority="2797" operator="containsText" text="SECUNDARIA">
      <formula>NOT(ISERROR(SEARCH("SECUNDARIA",AC236)))</formula>
    </cfRule>
    <cfRule type="containsText" dxfId="2989" priority="2798" operator="containsText" text="PRIMARIA INCOMPLETA">
      <formula>NOT(ISERROR(SEARCH("PRIMARIA INCOMPLETA",AC236)))</formula>
    </cfRule>
    <cfRule type="cellIs" dxfId="2988" priority="2799" operator="equal">
      <formula>"ANALFABETA"</formula>
    </cfRule>
  </conditionalFormatting>
  <conditionalFormatting sqref="AL236:AR236">
    <cfRule type="cellIs" dxfId="2987" priority="2793" operator="equal">
      <formula>"SD"</formula>
    </cfRule>
    <cfRule type="cellIs" dxfId="2986" priority="2794" operator="equal">
      <formula>"NO"</formula>
    </cfRule>
    <cfRule type="cellIs" dxfId="2985" priority="2795" operator="equal">
      <formula>"SI"</formula>
    </cfRule>
  </conditionalFormatting>
  <conditionalFormatting sqref="AK236">
    <cfRule type="containsText" dxfId="2984" priority="2790" operator="containsText" text="COMPLETAR EVALUACIÓN">
      <formula>NOT(ISERROR(SEARCH("COMPLETAR EVALUACIÓN",AK236)))</formula>
    </cfRule>
    <cfRule type="containsText" dxfId="2983" priority="2791" operator="containsText" text="CON RIESGO">
      <formula>NOT(ISERROR(SEARCH("CON RIESGO",AK236)))</formula>
    </cfRule>
    <cfRule type="containsText" dxfId="2982" priority="2792" operator="containsText" text="SIN RIESGO">
      <formula>NOT(ISERROR(SEARCH("SIN RIESGO",AK236)))</formula>
    </cfRule>
  </conditionalFormatting>
  <conditionalFormatting sqref="AE236">
    <cfRule type="containsText" dxfId="2981" priority="2788" operator="containsText" text="NO">
      <formula>NOT(ISERROR(SEARCH("NO",AE236)))</formula>
    </cfRule>
    <cfRule type="containsText" dxfId="2980" priority="2789" operator="containsText" text="SI">
      <formula>NOT(ISERROR(SEARCH("SI",AE236)))</formula>
    </cfRule>
  </conditionalFormatting>
  <conditionalFormatting sqref="AG236:AH236">
    <cfRule type="cellIs" dxfId="2979" priority="2782" operator="equal">
      <formula>"SD"</formula>
    </cfRule>
    <cfRule type="cellIs" dxfId="2978" priority="2783" operator="equal">
      <formula>"NO"</formula>
    </cfRule>
    <cfRule type="cellIs" dxfId="2977" priority="2784" operator="equal">
      <formula>"SI"</formula>
    </cfRule>
  </conditionalFormatting>
  <conditionalFormatting sqref="AI236">
    <cfRule type="containsText" dxfId="2976" priority="2775" operator="containsText" text="HABITANTE DE CALLE">
      <formula>NOT(ISERROR(SEARCH("HABITANTE DE CALLE",AI236)))</formula>
    </cfRule>
    <cfRule type="containsText" dxfId="2975" priority="2778" operator="containsText" text="NINGUNO">
      <formula>NOT(ISERROR(SEARCH("NINGUNO",AI236)))</formula>
    </cfRule>
    <cfRule type="containsText" dxfId="2974" priority="2779" operator="containsText" text="MIGRATORIA">
      <formula>NOT(ISERROR(SEARCH("MIGRATORIA",AI236)))</formula>
    </cfRule>
    <cfRule type="containsText" dxfId="2973" priority="2780" operator="containsText" text="DISCAPACIDAD">
      <formula>NOT(ISERROR(SEARCH("DISCAPACIDAD",AI236)))</formula>
    </cfRule>
    <cfRule type="containsText" dxfId="2972" priority="2781" operator="containsText" text="DESPLAZADA">
      <formula>NOT(ISERROR(SEARCH("DESPLAZADA",AI236)))</formula>
    </cfRule>
  </conditionalFormatting>
  <conditionalFormatting sqref="AF236">
    <cfRule type="containsText" dxfId="2971" priority="2776" operator="containsText" text="NO">
      <formula>NOT(ISERROR(SEARCH("NO",AF236)))</formula>
    </cfRule>
    <cfRule type="containsText" dxfId="2970" priority="2777" operator="containsText" text="SI">
      <formula>NOT(ISERROR(SEARCH("SI",AF236)))</formula>
    </cfRule>
  </conditionalFormatting>
  <conditionalFormatting sqref="AJ236">
    <cfRule type="cellIs" dxfId="2969" priority="2772" operator="equal">
      <formula>"SD"</formula>
    </cfRule>
    <cfRule type="cellIs" dxfId="2968" priority="2773" operator="equal">
      <formula>"NO"</formula>
    </cfRule>
    <cfRule type="cellIs" dxfId="2967" priority="2774" operator="equal">
      <formula>"SI"</formula>
    </cfRule>
  </conditionalFormatting>
  <conditionalFormatting sqref="AX236 BA236">
    <cfRule type="cellIs" dxfId="2966" priority="2769" operator="equal">
      <formula>"SD"</formula>
    </cfRule>
    <cfRule type="cellIs" dxfId="2965" priority="2770" operator="equal">
      <formula>"NO"</formula>
    </cfRule>
    <cfRule type="cellIs" dxfId="2964" priority="2771" operator="equal">
      <formula>"SI"</formula>
    </cfRule>
  </conditionalFormatting>
  <conditionalFormatting sqref="AY236">
    <cfRule type="containsText" dxfId="2963" priority="2764" operator="containsText" text="SD">
      <formula>NOT(ISERROR(SEARCH("SD",AY236)))</formula>
    </cfRule>
    <cfRule type="containsText" dxfId="2962" priority="2765" operator="containsText" text="SI, NO CONTROLADA">
      <formula>NOT(ISERROR(SEARCH("SI, NO CONTROLADA",AY236)))</formula>
    </cfRule>
    <cfRule type="containsText" dxfId="2961" priority="2766" operator="containsText" text="SI, SIN MANEJO">
      <formula>NOT(ISERROR(SEARCH("SI, SIN MANEJO",AY236)))</formula>
    </cfRule>
    <cfRule type="containsText" dxfId="2960" priority="2767" operator="containsText" text="SI, CONTROLADA">
      <formula>NOT(ISERROR(SEARCH("SI, CONTROLADA",AY236)))</formula>
    </cfRule>
    <cfRule type="containsText" dxfId="2959" priority="2768" operator="containsText" text="NO">
      <formula>NOT(ISERROR(SEARCH("NO",AY236)))</formula>
    </cfRule>
  </conditionalFormatting>
  <conditionalFormatting sqref="AZ236">
    <cfRule type="containsText" dxfId="2958" priority="2759" operator="containsText" text="SD">
      <formula>NOT(ISERROR(SEARCH("SD",AZ236)))</formula>
    </cfRule>
    <cfRule type="containsText" dxfId="2957" priority="2760" operator="containsText" text="SI, NO CONTROLADA">
      <formula>NOT(ISERROR(SEARCH("SI, NO CONTROLADA",AZ236)))</formula>
    </cfRule>
    <cfRule type="containsText" dxfId="2956" priority="2761" operator="containsText" text="SI, SIN MANEJO">
      <formula>NOT(ISERROR(SEARCH("SI, SIN MANEJO",AZ236)))</formula>
    </cfRule>
    <cfRule type="containsText" dxfId="2955" priority="2762" operator="containsText" text="SI, CONTROLADA">
      <formula>NOT(ISERROR(SEARCH("SI, CONTROLADA",AZ236)))</formula>
    </cfRule>
    <cfRule type="containsText" dxfId="2954" priority="2763" operator="containsText" text="NO">
      <formula>NOT(ISERROR(SEARCH("NO",AZ236)))</formula>
    </cfRule>
  </conditionalFormatting>
  <conditionalFormatting sqref="BB236">
    <cfRule type="cellIs" dxfId="2953" priority="2756" operator="equal">
      <formula>"SD"</formula>
    </cfRule>
    <cfRule type="cellIs" dxfId="2952" priority="2757" operator="equal">
      <formula>"NO"</formula>
    </cfRule>
    <cfRule type="cellIs" dxfId="2951" priority="2758" operator="equal">
      <formula>"SI"</formula>
    </cfRule>
  </conditionalFormatting>
  <conditionalFormatting sqref="BC236">
    <cfRule type="cellIs" dxfId="2950" priority="2753" operator="equal">
      <formula>"SD"</formula>
    </cfRule>
    <cfRule type="cellIs" dxfId="2949" priority="2754" operator="equal">
      <formula>"NO"</formula>
    </cfRule>
    <cfRule type="cellIs" dxfId="2948" priority="2755" operator="equal">
      <formula>"SI"</formula>
    </cfRule>
  </conditionalFormatting>
  <conditionalFormatting sqref="BF236">
    <cfRule type="cellIs" dxfId="2947" priority="2750" operator="equal">
      <formula>"SD"</formula>
    </cfRule>
    <cfRule type="cellIs" dxfId="2946" priority="2751" operator="equal">
      <formula>"NO"</formula>
    </cfRule>
    <cfRule type="cellIs" dxfId="2945" priority="2752" operator="equal">
      <formula>"SI"</formula>
    </cfRule>
  </conditionalFormatting>
  <conditionalFormatting sqref="BD236:BE236">
    <cfRule type="cellIs" dxfId="2944" priority="2747" operator="equal">
      <formula>"SD"</formula>
    </cfRule>
    <cfRule type="cellIs" dxfId="2943" priority="2748" operator="equal">
      <formula>"NO"</formula>
    </cfRule>
    <cfRule type="cellIs" dxfId="2942" priority="2749" operator="equal">
      <formula>"SI"</formula>
    </cfRule>
  </conditionalFormatting>
  <conditionalFormatting sqref="BE236">
    <cfRule type="expression" dxfId="2941" priority="2746">
      <formula>IF(AND(FA236&gt;=126,FC236&lt;24),1,0)</formula>
    </cfRule>
  </conditionalFormatting>
  <conditionalFormatting sqref="BG236">
    <cfRule type="cellIs" dxfId="2940" priority="2743" operator="equal">
      <formula>"SD"</formula>
    </cfRule>
    <cfRule type="cellIs" dxfId="2939" priority="2744" operator="equal">
      <formula>"NO"</formula>
    </cfRule>
    <cfRule type="cellIs" dxfId="2938" priority="2745" operator="equal">
      <formula>"SI"</formula>
    </cfRule>
  </conditionalFormatting>
  <conditionalFormatting sqref="BH236">
    <cfRule type="cellIs" dxfId="2937" priority="2740" operator="equal">
      <formula>"SD"</formula>
    </cfRule>
    <cfRule type="cellIs" dxfId="2936" priority="2741" operator="equal">
      <formula>"NO"</formula>
    </cfRule>
    <cfRule type="cellIs" dxfId="2935" priority="2742" operator="equal">
      <formula>"SI"</formula>
    </cfRule>
  </conditionalFormatting>
  <conditionalFormatting sqref="BI236">
    <cfRule type="cellIs" dxfId="2934" priority="2737" operator="equal">
      <formula>"SD"</formula>
    </cfRule>
    <cfRule type="cellIs" dxfId="2933" priority="2738" operator="equal">
      <formula>"NO"</formula>
    </cfRule>
    <cfRule type="cellIs" dxfId="2932" priority="2739" operator="equal">
      <formula>"SI"</formula>
    </cfRule>
  </conditionalFormatting>
  <conditionalFormatting sqref="BJ236">
    <cfRule type="cellIs" dxfId="2931" priority="2734" operator="equal">
      <formula>"SD"</formula>
    </cfRule>
    <cfRule type="cellIs" dxfId="2930" priority="2735" operator="equal">
      <formula>"NO"</formula>
    </cfRule>
    <cfRule type="cellIs" dxfId="2929" priority="2736" operator="equal">
      <formula>"SI"</formula>
    </cfRule>
  </conditionalFormatting>
  <conditionalFormatting sqref="BL236:BM236">
    <cfRule type="cellIs" dxfId="2928" priority="2731" operator="equal">
      <formula>"SD"</formula>
    </cfRule>
    <cfRule type="cellIs" dxfId="2927" priority="2732" operator="equal">
      <formula>"NO"</formula>
    </cfRule>
    <cfRule type="cellIs" dxfId="2926" priority="2733" operator="equal">
      <formula>"SI"</formula>
    </cfRule>
  </conditionalFormatting>
  <conditionalFormatting sqref="BK236">
    <cfRule type="cellIs" dxfId="2925" priority="2728" operator="equal">
      <formula>"SD"</formula>
    </cfRule>
    <cfRule type="cellIs" dxfId="2924" priority="2729" operator="equal">
      <formula>"NO"</formula>
    </cfRule>
    <cfRule type="cellIs" dxfId="2923" priority="2730" operator="equal">
      <formula>"SI"</formula>
    </cfRule>
  </conditionalFormatting>
  <conditionalFormatting sqref="FB236">
    <cfRule type="containsText" dxfId="2922" priority="2724" operator="containsText" text="RH NEGATIVO SIN COOMB">
      <formula>NOT(ISERROR(SEARCH("RH NEGATIVO SIN COOMB",FB236)))</formula>
    </cfRule>
    <cfRule type="containsText" dxfId="2921" priority="2725" operator="containsText" text="RH NEGATIVO CON COOMBS POSITIVO">
      <formula>NOT(ISERROR(SEARCH("RH NEGATIVO CON COOMBS POSITIVO",FB236)))</formula>
    </cfRule>
    <cfRule type="containsText" dxfId="2920" priority="2726" operator="containsText" text="RH NEGATIVO CON COOMBS NEGATIVO">
      <formula>NOT(ISERROR(SEARCH("RH NEGATIVO CON COOMBS NEGATIVO",FB236)))</formula>
    </cfRule>
    <cfRule type="containsText" dxfId="2919" priority="2727" operator="containsText" text="RH POSITIVO">
      <formula>NOT(ISERROR(SEARCH("RH POSITIVO",FB236)))</formula>
    </cfRule>
  </conditionalFormatting>
  <conditionalFormatting sqref="FB223">
    <cfRule type="containsText" dxfId="2918" priority="2720" operator="containsText" text="RH NEGATIVO SIN COOMB">
      <formula>NOT(ISERROR(SEARCH("RH NEGATIVO SIN COOMB",FB223)))</formula>
    </cfRule>
    <cfRule type="containsText" dxfId="2917" priority="2721" operator="containsText" text="RH NEGATIVO CON COOMBS POSITIVO">
      <formula>NOT(ISERROR(SEARCH("RH NEGATIVO CON COOMBS POSITIVO",FB223)))</formula>
    </cfRule>
    <cfRule type="containsText" dxfId="2916" priority="2722" operator="containsText" text="RH NEGATIVO CON COOMBS NEGATIVO">
      <formula>NOT(ISERROR(SEARCH("RH NEGATIVO CON COOMBS NEGATIVO",FB223)))</formula>
    </cfRule>
    <cfRule type="containsText" dxfId="2915" priority="2723" operator="containsText" text="RH POSITIVO">
      <formula>NOT(ISERROR(SEARCH("RH POSITIVO",FB223)))</formula>
    </cfRule>
  </conditionalFormatting>
  <conditionalFormatting sqref="BK147">
    <cfRule type="cellIs" dxfId="2914" priority="2709" operator="equal">
      <formula>"SD"</formula>
    </cfRule>
    <cfRule type="cellIs" dxfId="2913" priority="2710" operator="equal">
      <formula>"NO"</formula>
    </cfRule>
    <cfRule type="cellIs" dxfId="2912" priority="2711" operator="equal">
      <formula>"SI"</formula>
    </cfRule>
  </conditionalFormatting>
  <conditionalFormatting sqref="BK154">
    <cfRule type="cellIs" dxfId="2911" priority="2700" operator="equal">
      <formula>"SD"</formula>
    </cfRule>
    <cfRule type="cellIs" dxfId="2910" priority="2701" operator="equal">
      <formula>"NO"</formula>
    </cfRule>
    <cfRule type="cellIs" dxfId="2909" priority="2702" operator="equal">
      <formula>"SI"</formula>
    </cfRule>
  </conditionalFormatting>
  <conditionalFormatting sqref="L151">
    <cfRule type="containsText" dxfId="2908" priority="2691" operator="containsText" text="Empleo informal">
      <formula>NOT(ISERROR(SEARCH("Empleo informal",L151)))</formula>
    </cfRule>
    <cfRule type="containsText" dxfId="2907" priority="2692" operator="containsText" text="Empleada formalmente con riesgo a tóxicos">
      <formula>NOT(ISERROR(SEARCH("Empleada formalmente con riesgo a tóxicos",L151)))</formula>
    </cfRule>
    <cfRule type="containsText" dxfId="2906" priority="2693" operator="containsText" text="Empleada formalmente con riesgo de accidente laboral">
      <formula>NOT(ISERROR(SEARCH("Empleada formalmente con riesgo de accidente laboral",L151)))</formula>
    </cfRule>
    <cfRule type="containsText" dxfId="2905" priority="2694" operator="containsText" text="Empleada formalmente por jornada laboral extensa">
      <formula>NOT(ISERROR(SEARCH("Empleada formalmente por jornada laboral extensa",L151)))</formula>
    </cfRule>
    <cfRule type="containsText" dxfId="2904" priority="2695" operator="containsText" text="Empleada formalmente sin riesgo">
      <formula>NOT(ISERROR(SEARCH("Empleada formalmente sin riesgo",L151)))</formula>
    </cfRule>
    <cfRule type="containsText" dxfId="2903" priority="2696" operator="containsText" text="Actualmente desempleada">
      <formula>NOT(ISERROR(SEARCH("Actualmente desempleada",L151)))</formula>
    </cfRule>
    <cfRule type="containsText" dxfId="2902" priority="2697" operator="containsText" text="Hogar sin apoyo">
      <formula>NOT(ISERROR(SEARCH("Hogar sin apoyo",L151)))</formula>
    </cfRule>
    <cfRule type="containsText" dxfId="2901" priority="2698" operator="containsText" text="Empleada formalmente sin riesgo">
      <formula>NOT(ISERROR(SEARCH("Empleada formalmente sin riesgo",L151)))</formula>
    </cfRule>
    <cfRule type="containsText" dxfId="2900" priority="2699" operator="containsText" text="Hogar Con apoyo">
      <formula>NOT(ISERROR(SEARCH("Hogar Con apoyo",L151)))</formula>
    </cfRule>
  </conditionalFormatting>
  <conditionalFormatting sqref="BK151">
    <cfRule type="cellIs" dxfId="2899" priority="2685" operator="equal">
      <formula>"SD"</formula>
    </cfRule>
    <cfRule type="cellIs" dxfId="2898" priority="2686" operator="equal">
      <formula>"NO"</formula>
    </cfRule>
    <cfRule type="cellIs" dxfId="2897" priority="2687" operator="equal">
      <formula>"SI"</formula>
    </cfRule>
  </conditionalFormatting>
  <conditionalFormatting sqref="L163">
    <cfRule type="containsText" dxfId="2896" priority="2676" operator="containsText" text="Empleo informal">
      <formula>NOT(ISERROR(SEARCH("Empleo informal",L163)))</formula>
    </cfRule>
    <cfRule type="containsText" dxfId="2895" priority="2677" operator="containsText" text="Empleada formalmente con riesgo a tóxicos">
      <formula>NOT(ISERROR(SEARCH("Empleada formalmente con riesgo a tóxicos",L163)))</formula>
    </cfRule>
    <cfRule type="containsText" dxfId="2894" priority="2678" operator="containsText" text="Empleada formalmente con riesgo de accidente laboral">
      <formula>NOT(ISERROR(SEARCH("Empleada formalmente con riesgo de accidente laboral",L163)))</formula>
    </cfRule>
    <cfRule type="containsText" dxfId="2893" priority="2679" operator="containsText" text="Empleada formalmente por jornada laboral extensa">
      <formula>NOT(ISERROR(SEARCH("Empleada formalmente por jornada laboral extensa",L163)))</formula>
    </cfRule>
    <cfRule type="containsText" dxfId="2892" priority="2680" operator="containsText" text="Empleada formalmente sin riesgo">
      <formula>NOT(ISERROR(SEARCH("Empleada formalmente sin riesgo",L163)))</formula>
    </cfRule>
    <cfRule type="containsText" dxfId="2891" priority="2681" operator="containsText" text="Actualmente desempleada">
      <formula>NOT(ISERROR(SEARCH("Actualmente desempleada",L163)))</formula>
    </cfRule>
    <cfRule type="containsText" dxfId="2890" priority="2682" operator="containsText" text="Hogar sin apoyo">
      <formula>NOT(ISERROR(SEARCH("Hogar sin apoyo",L163)))</formula>
    </cfRule>
    <cfRule type="containsText" dxfId="2889" priority="2683" operator="containsText" text="Empleada formalmente sin riesgo">
      <formula>NOT(ISERROR(SEARCH("Empleada formalmente sin riesgo",L163)))</formula>
    </cfRule>
    <cfRule type="containsText" dxfId="2888" priority="2684" operator="containsText" text="Hogar Con apoyo">
      <formula>NOT(ISERROR(SEARCH("Hogar Con apoyo",L163)))</formula>
    </cfRule>
  </conditionalFormatting>
  <conditionalFormatting sqref="BK163">
    <cfRule type="cellIs" dxfId="2887" priority="2670" operator="equal">
      <formula>"SD"</formula>
    </cfRule>
    <cfRule type="cellIs" dxfId="2886" priority="2671" operator="equal">
      <formula>"NO"</formula>
    </cfRule>
    <cfRule type="cellIs" dxfId="2885" priority="2672" operator="equal">
      <formula>"SI"</formula>
    </cfRule>
  </conditionalFormatting>
  <conditionalFormatting sqref="AC160">
    <cfRule type="containsText" dxfId="2884" priority="2666" operator="containsText" text="SABE">
      <formula>NOT(ISERROR(SEARCH("SABE",AC160)))</formula>
    </cfRule>
    <cfRule type="containsText" dxfId="2883" priority="2667" operator="containsText" text="SECUNDARIA">
      <formula>NOT(ISERROR(SEARCH("SECUNDARIA",AC160)))</formula>
    </cfRule>
    <cfRule type="containsText" dxfId="2882" priority="2668" operator="containsText" text="PRIMARIA INCOMPLETA">
      <formula>NOT(ISERROR(SEARCH("PRIMARIA INCOMPLETA",AC160)))</formula>
    </cfRule>
    <cfRule type="cellIs" dxfId="2881" priority="2669" operator="equal">
      <formula>"ANALFABETA"</formula>
    </cfRule>
  </conditionalFormatting>
  <conditionalFormatting sqref="IR7">
    <cfRule type="containsText" dxfId="2880" priority="2659" operator="containsText" text="NO APLICA">
      <formula>NOT(ISERROR(SEARCH("NO APLICA",IR7)))</formula>
    </cfRule>
    <cfRule type="containsText" dxfId="2879" priority="2660" operator="containsText" text="ALTA">
      <formula>NOT(ISERROR(SEARCH("ALTA",IR7)))</formula>
    </cfRule>
    <cfRule type="containsText" dxfId="2878" priority="2661" operator="containsText" text="MEDIANA">
      <formula>NOT(ISERROR(SEARCH("MEDIANA",IR7)))</formula>
    </cfRule>
    <cfRule type="containsText" dxfId="2877" priority="2662" operator="containsText" text="BAJA">
      <formula>NOT(ISERROR(SEARCH("BAJA",IR7)))</formula>
    </cfRule>
  </conditionalFormatting>
  <conditionalFormatting sqref="IS7:IT7">
    <cfRule type="containsText" dxfId="2876" priority="2652" operator="containsText" text="NO APLICA">
      <formula>NOT(ISERROR(SEARCH("NO APLICA",IS7)))</formula>
    </cfRule>
    <cfRule type="containsText" dxfId="2875" priority="2653" operator="containsText" text="SIN">
      <formula>NOT(ISERROR(SEARCH("SIN",IS7)))</formula>
    </cfRule>
    <cfRule type="containsText" dxfId="2874" priority="2654" operator="containsText" text="EQUIPO">
      <formula>NOT(ISERROR(SEARCH("EQUIPO",IS7)))</formula>
    </cfRule>
    <cfRule type="containsText" dxfId="2873" priority="2655" operator="containsText" text="MEDICO TRADICIONAL">
      <formula>NOT(ISERROR(SEARCH("MEDICO TRADICIONAL",IS7)))</formula>
    </cfRule>
    <cfRule type="containsText" dxfId="2872" priority="2656" operator="containsText" text="PARTERA">
      <formula>NOT(ISERROR(SEARCH("PARTERA",IS7)))</formula>
    </cfRule>
    <cfRule type="containsText" dxfId="2871" priority="2657" operator="containsText" text="TÉCNICO">
      <formula>NOT(ISERROR(SEARCH("TÉCNICO",IS7)))</formula>
    </cfRule>
    <cfRule type="containsText" dxfId="2870" priority="2658" operator="containsText" text="PROFESIONAL">
      <formula>NOT(ISERROR(SEARCH("PROFESIONAL",IS7)))</formula>
    </cfRule>
  </conditionalFormatting>
  <conditionalFormatting sqref="IT7">
    <cfRule type="containsText" dxfId="2869" priority="2649" operator="containsText" text="LE HACEN CESÁREA SIN INICIO TRABAJO DE PARTO">
      <formula>NOT(ISERROR(SEARCH("LE HACEN CESÁREA SIN INICIO TRABAJO DE PARTO",IT7)))</formula>
    </cfRule>
    <cfRule type="containsText" dxfId="2868" priority="2650" operator="containsText" text="LE HACEN INDUCCIÓN">
      <formula>NOT(ISERROR(SEARCH("LE HACEN INDUCCIÓN",IT7)))</formula>
    </cfRule>
    <cfRule type="containsText" dxfId="2867" priority="2651" operator="containsText" text="ESPONTÁNEO">
      <formula>NOT(ISERROR(SEARCH("ESPONTÁNEO",IT7)))</formula>
    </cfRule>
  </conditionalFormatting>
  <conditionalFormatting sqref="IR8">
    <cfRule type="containsText" dxfId="2866" priority="2645" operator="containsText" text="NO APLICA">
      <formula>NOT(ISERROR(SEARCH("NO APLICA",IR8)))</formula>
    </cfRule>
    <cfRule type="containsText" dxfId="2865" priority="2646" operator="containsText" text="ALTA">
      <formula>NOT(ISERROR(SEARCH("ALTA",IR8)))</formula>
    </cfRule>
    <cfRule type="containsText" dxfId="2864" priority="2647" operator="containsText" text="MEDIANA">
      <formula>NOT(ISERROR(SEARCH("MEDIANA",IR8)))</formula>
    </cfRule>
    <cfRule type="containsText" dxfId="2863" priority="2648" operator="containsText" text="BAJA">
      <formula>NOT(ISERROR(SEARCH("BAJA",IR8)))</formula>
    </cfRule>
  </conditionalFormatting>
  <conditionalFormatting sqref="IS8:IT8">
    <cfRule type="containsText" dxfId="2862" priority="2638" operator="containsText" text="NO APLICA">
      <formula>NOT(ISERROR(SEARCH("NO APLICA",IS8)))</formula>
    </cfRule>
    <cfRule type="containsText" dxfId="2861" priority="2639" operator="containsText" text="SIN">
      <formula>NOT(ISERROR(SEARCH("SIN",IS8)))</formula>
    </cfRule>
    <cfRule type="containsText" dxfId="2860" priority="2640" operator="containsText" text="EQUIPO">
      <formula>NOT(ISERROR(SEARCH("EQUIPO",IS8)))</formula>
    </cfRule>
    <cfRule type="containsText" dxfId="2859" priority="2641" operator="containsText" text="MEDICO TRADICIONAL">
      <formula>NOT(ISERROR(SEARCH("MEDICO TRADICIONAL",IS8)))</formula>
    </cfRule>
    <cfRule type="containsText" dxfId="2858" priority="2642" operator="containsText" text="PARTERA">
      <formula>NOT(ISERROR(SEARCH("PARTERA",IS8)))</formula>
    </cfRule>
    <cfRule type="containsText" dxfId="2857" priority="2643" operator="containsText" text="TÉCNICO">
      <formula>NOT(ISERROR(SEARCH("TÉCNICO",IS8)))</formula>
    </cfRule>
    <cfRule type="containsText" dxfId="2856" priority="2644" operator="containsText" text="PROFESIONAL">
      <formula>NOT(ISERROR(SEARCH("PROFESIONAL",IS8)))</formula>
    </cfRule>
  </conditionalFormatting>
  <conditionalFormatting sqref="IT8">
    <cfRule type="containsText" dxfId="2855" priority="2635" operator="containsText" text="LE HACEN CESÁREA SIN INICIO TRABAJO DE PARTO">
      <formula>NOT(ISERROR(SEARCH("LE HACEN CESÁREA SIN INICIO TRABAJO DE PARTO",IT8)))</formula>
    </cfRule>
    <cfRule type="containsText" dxfId="2854" priority="2636" operator="containsText" text="LE HACEN INDUCCIÓN">
      <formula>NOT(ISERROR(SEARCH("LE HACEN INDUCCIÓN",IT8)))</formula>
    </cfRule>
    <cfRule type="containsText" dxfId="2853" priority="2637" operator="containsText" text="ESPONTÁNEO">
      <formula>NOT(ISERROR(SEARCH("ESPONTÁNEO",IT8)))</formula>
    </cfRule>
  </conditionalFormatting>
  <conditionalFormatting sqref="IT9">
    <cfRule type="containsText" dxfId="2852" priority="2628" operator="containsText" text="NO APLICA">
      <formula>NOT(ISERROR(SEARCH("NO APLICA",IT9)))</formula>
    </cfRule>
    <cfRule type="containsText" dxfId="2851" priority="2629" operator="containsText" text="SIN">
      <formula>NOT(ISERROR(SEARCH("SIN",IT9)))</formula>
    </cfRule>
    <cfRule type="containsText" dxfId="2850" priority="2630" operator="containsText" text="EQUIPO">
      <formula>NOT(ISERROR(SEARCH("EQUIPO",IT9)))</formula>
    </cfRule>
    <cfRule type="containsText" dxfId="2849" priority="2631" operator="containsText" text="MEDICO TRADICIONAL">
      <formula>NOT(ISERROR(SEARCH("MEDICO TRADICIONAL",IT9)))</formula>
    </cfRule>
    <cfRule type="containsText" dxfId="2848" priority="2632" operator="containsText" text="PARTERA">
      <formula>NOT(ISERROR(SEARCH("PARTERA",IT9)))</formula>
    </cfRule>
    <cfRule type="containsText" dxfId="2847" priority="2633" operator="containsText" text="TÉCNICO">
      <formula>NOT(ISERROR(SEARCH("TÉCNICO",IT9)))</formula>
    </cfRule>
    <cfRule type="containsText" dxfId="2846" priority="2634" operator="containsText" text="PROFESIONAL">
      <formula>NOT(ISERROR(SEARCH("PROFESIONAL",IT9)))</formula>
    </cfRule>
  </conditionalFormatting>
  <conditionalFormatting sqref="IT9">
    <cfRule type="containsText" dxfId="2845" priority="2625" operator="containsText" text="LE HACEN CESÁREA SIN INICIO TRABAJO DE PARTO">
      <formula>NOT(ISERROR(SEARCH("LE HACEN CESÁREA SIN INICIO TRABAJO DE PARTO",IT9)))</formula>
    </cfRule>
    <cfRule type="containsText" dxfId="2844" priority="2626" operator="containsText" text="LE HACEN INDUCCIÓN">
      <formula>NOT(ISERROR(SEARCH("LE HACEN INDUCCIÓN",IT9)))</formula>
    </cfRule>
    <cfRule type="containsText" dxfId="2843" priority="2627" operator="containsText" text="ESPONTÁNEO">
      <formula>NOT(ISERROR(SEARCH("ESPONTÁNEO",IT9)))</formula>
    </cfRule>
  </conditionalFormatting>
  <conditionalFormatting sqref="IR10">
    <cfRule type="containsText" dxfId="2842" priority="2621" operator="containsText" text="NO APLICA">
      <formula>NOT(ISERROR(SEARCH("NO APLICA",IR10)))</formula>
    </cfRule>
    <cfRule type="containsText" dxfId="2841" priority="2622" operator="containsText" text="ALTA">
      <formula>NOT(ISERROR(SEARCH("ALTA",IR10)))</formula>
    </cfRule>
    <cfRule type="containsText" dxfId="2840" priority="2623" operator="containsText" text="MEDIANA">
      <formula>NOT(ISERROR(SEARCH("MEDIANA",IR10)))</formula>
    </cfRule>
    <cfRule type="containsText" dxfId="2839" priority="2624" operator="containsText" text="BAJA">
      <formula>NOT(ISERROR(SEARCH("BAJA",IR10)))</formula>
    </cfRule>
  </conditionalFormatting>
  <conditionalFormatting sqref="IS10:IT10">
    <cfRule type="containsText" dxfId="2838" priority="2614" operator="containsText" text="NO APLICA">
      <formula>NOT(ISERROR(SEARCH("NO APLICA",IS10)))</formula>
    </cfRule>
    <cfRule type="containsText" dxfId="2837" priority="2615" operator="containsText" text="SIN">
      <formula>NOT(ISERROR(SEARCH("SIN",IS10)))</formula>
    </cfRule>
    <cfRule type="containsText" dxfId="2836" priority="2616" operator="containsText" text="EQUIPO">
      <formula>NOT(ISERROR(SEARCH("EQUIPO",IS10)))</formula>
    </cfRule>
    <cfRule type="containsText" dxfId="2835" priority="2617" operator="containsText" text="MEDICO TRADICIONAL">
      <formula>NOT(ISERROR(SEARCH("MEDICO TRADICIONAL",IS10)))</formula>
    </cfRule>
    <cfRule type="containsText" dxfId="2834" priority="2618" operator="containsText" text="PARTERA">
      <formula>NOT(ISERROR(SEARCH("PARTERA",IS10)))</formula>
    </cfRule>
    <cfRule type="containsText" dxfId="2833" priority="2619" operator="containsText" text="TÉCNICO">
      <formula>NOT(ISERROR(SEARCH("TÉCNICO",IS10)))</formula>
    </cfRule>
    <cfRule type="containsText" dxfId="2832" priority="2620" operator="containsText" text="PROFESIONAL">
      <formula>NOT(ISERROR(SEARCH("PROFESIONAL",IS10)))</formula>
    </cfRule>
  </conditionalFormatting>
  <conditionalFormatting sqref="IT10">
    <cfRule type="containsText" dxfId="2831" priority="2611" operator="containsText" text="LE HACEN CESÁREA SIN INICIO TRABAJO DE PARTO">
      <formula>NOT(ISERROR(SEARCH("LE HACEN CESÁREA SIN INICIO TRABAJO DE PARTO",IT10)))</formula>
    </cfRule>
    <cfRule type="containsText" dxfId="2830" priority="2612" operator="containsText" text="LE HACEN INDUCCIÓN">
      <formula>NOT(ISERROR(SEARCH("LE HACEN INDUCCIÓN",IT10)))</formula>
    </cfRule>
    <cfRule type="containsText" dxfId="2829" priority="2613" operator="containsText" text="ESPONTÁNEO">
      <formula>NOT(ISERROR(SEARCH("ESPONTÁNEO",IT10)))</formula>
    </cfRule>
  </conditionalFormatting>
  <conditionalFormatting sqref="JI10">
    <cfRule type="containsText" dxfId="2828" priority="2607" operator="containsText" text="NO APLICA">
      <formula>NOT(ISERROR(SEARCH("NO APLICA",JI10)))</formula>
    </cfRule>
    <cfRule type="containsText" dxfId="2827" priority="2608" operator="containsText" text="SIN DATO">
      <formula>NOT(ISERROR(SEARCH("SIN DATO",JI10)))</formula>
    </cfRule>
    <cfRule type="containsText" dxfId="2826" priority="2609" operator="containsText" text="NO">
      <formula>NOT(ISERROR(SEARCH("NO",JI10)))</formula>
    </cfRule>
    <cfRule type="containsText" dxfId="2825" priority="2610" operator="containsText" text="SI">
      <formula>NOT(ISERROR(SEARCH("SI",JI10)))</formula>
    </cfRule>
  </conditionalFormatting>
  <conditionalFormatting sqref="IR11">
    <cfRule type="containsText" dxfId="2824" priority="2603" operator="containsText" text="NO APLICA">
      <formula>NOT(ISERROR(SEARCH("NO APLICA",IR11)))</formula>
    </cfRule>
    <cfRule type="containsText" dxfId="2823" priority="2604" operator="containsText" text="ALTA">
      <formula>NOT(ISERROR(SEARCH("ALTA",IR11)))</formula>
    </cfRule>
    <cfRule type="containsText" dxfId="2822" priority="2605" operator="containsText" text="MEDIANA">
      <formula>NOT(ISERROR(SEARCH("MEDIANA",IR11)))</formula>
    </cfRule>
    <cfRule type="containsText" dxfId="2821" priority="2606" operator="containsText" text="BAJA">
      <formula>NOT(ISERROR(SEARCH("BAJA",IR11)))</formula>
    </cfRule>
  </conditionalFormatting>
  <conditionalFormatting sqref="IS11:IT11">
    <cfRule type="containsText" dxfId="2820" priority="2596" operator="containsText" text="NO APLICA">
      <formula>NOT(ISERROR(SEARCH("NO APLICA",IS11)))</formula>
    </cfRule>
    <cfRule type="containsText" dxfId="2819" priority="2597" operator="containsText" text="SIN">
      <formula>NOT(ISERROR(SEARCH("SIN",IS11)))</formula>
    </cfRule>
    <cfRule type="containsText" dxfId="2818" priority="2598" operator="containsText" text="EQUIPO">
      <formula>NOT(ISERROR(SEARCH("EQUIPO",IS11)))</formula>
    </cfRule>
    <cfRule type="containsText" dxfId="2817" priority="2599" operator="containsText" text="MEDICO TRADICIONAL">
      <formula>NOT(ISERROR(SEARCH("MEDICO TRADICIONAL",IS11)))</formula>
    </cfRule>
    <cfRule type="containsText" dxfId="2816" priority="2600" operator="containsText" text="PARTERA">
      <formula>NOT(ISERROR(SEARCH("PARTERA",IS11)))</formula>
    </cfRule>
    <cfRule type="containsText" dxfId="2815" priority="2601" operator="containsText" text="TÉCNICO">
      <formula>NOT(ISERROR(SEARCH("TÉCNICO",IS11)))</formula>
    </cfRule>
    <cfRule type="containsText" dxfId="2814" priority="2602" operator="containsText" text="PROFESIONAL">
      <formula>NOT(ISERROR(SEARCH("PROFESIONAL",IS11)))</formula>
    </cfRule>
  </conditionalFormatting>
  <conditionalFormatting sqref="IT11">
    <cfRule type="containsText" dxfId="2813" priority="2593" operator="containsText" text="LE HACEN CESÁREA SIN INICIO TRABAJO DE PARTO">
      <formula>NOT(ISERROR(SEARCH("LE HACEN CESÁREA SIN INICIO TRABAJO DE PARTO",IT11)))</formula>
    </cfRule>
    <cfRule type="containsText" dxfId="2812" priority="2594" operator="containsText" text="LE HACEN INDUCCIÓN">
      <formula>NOT(ISERROR(SEARCH("LE HACEN INDUCCIÓN",IT11)))</formula>
    </cfRule>
    <cfRule type="containsText" dxfId="2811" priority="2595" operator="containsText" text="ESPONTÁNEO">
      <formula>NOT(ISERROR(SEARCH("ESPONTÁNEO",IT11)))</formula>
    </cfRule>
  </conditionalFormatting>
  <conditionalFormatting sqref="JI11">
    <cfRule type="containsText" dxfId="2810" priority="2589" operator="containsText" text="NO APLICA">
      <formula>NOT(ISERROR(SEARCH("NO APLICA",JI11)))</formula>
    </cfRule>
    <cfRule type="containsText" dxfId="2809" priority="2590" operator="containsText" text="SIN DATO">
      <formula>NOT(ISERROR(SEARCH("SIN DATO",JI11)))</formula>
    </cfRule>
    <cfRule type="containsText" dxfId="2808" priority="2591" operator="containsText" text="NO">
      <formula>NOT(ISERROR(SEARCH("NO",JI11)))</formula>
    </cfRule>
    <cfRule type="containsText" dxfId="2807" priority="2592" operator="containsText" text="SI">
      <formula>NOT(ISERROR(SEARCH("SI",JI11)))</formula>
    </cfRule>
  </conditionalFormatting>
  <conditionalFormatting sqref="IR12">
    <cfRule type="containsText" dxfId="2806" priority="2585" operator="containsText" text="NO APLICA">
      <formula>NOT(ISERROR(SEARCH("NO APLICA",IR12)))</formula>
    </cfRule>
    <cfRule type="containsText" dxfId="2805" priority="2586" operator="containsText" text="ALTA">
      <formula>NOT(ISERROR(SEARCH("ALTA",IR12)))</formula>
    </cfRule>
    <cfRule type="containsText" dxfId="2804" priority="2587" operator="containsText" text="MEDIANA">
      <formula>NOT(ISERROR(SEARCH("MEDIANA",IR12)))</formula>
    </cfRule>
    <cfRule type="containsText" dxfId="2803" priority="2588" operator="containsText" text="BAJA">
      <formula>NOT(ISERROR(SEARCH("BAJA",IR12)))</formula>
    </cfRule>
  </conditionalFormatting>
  <conditionalFormatting sqref="IS12:IT12">
    <cfRule type="containsText" dxfId="2802" priority="2578" operator="containsText" text="NO APLICA">
      <formula>NOT(ISERROR(SEARCH("NO APLICA",IS12)))</formula>
    </cfRule>
    <cfRule type="containsText" dxfId="2801" priority="2579" operator="containsText" text="SIN">
      <formula>NOT(ISERROR(SEARCH("SIN",IS12)))</formula>
    </cfRule>
    <cfRule type="containsText" dxfId="2800" priority="2580" operator="containsText" text="EQUIPO">
      <formula>NOT(ISERROR(SEARCH("EQUIPO",IS12)))</formula>
    </cfRule>
    <cfRule type="containsText" dxfId="2799" priority="2581" operator="containsText" text="MEDICO TRADICIONAL">
      <formula>NOT(ISERROR(SEARCH("MEDICO TRADICIONAL",IS12)))</formula>
    </cfRule>
    <cfRule type="containsText" dxfId="2798" priority="2582" operator="containsText" text="PARTERA">
      <formula>NOT(ISERROR(SEARCH("PARTERA",IS12)))</formula>
    </cfRule>
    <cfRule type="containsText" dxfId="2797" priority="2583" operator="containsText" text="TÉCNICO">
      <formula>NOT(ISERROR(SEARCH("TÉCNICO",IS12)))</formula>
    </cfRule>
    <cfRule type="containsText" dxfId="2796" priority="2584" operator="containsText" text="PROFESIONAL">
      <formula>NOT(ISERROR(SEARCH("PROFESIONAL",IS12)))</formula>
    </cfRule>
  </conditionalFormatting>
  <conditionalFormatting sqref="IT12">
    <cfRule type="containsText" dxfId="2795" priority="2575" operator="containsText" text="LE HACEN CESÁREA SIN INICIO TRABAJO DE PARTO">
      <formula>NOT(ISERROR(SEARCH("LE HACEN CESÁREA SIN INICIO TRABAJO DE PARTO",IT12)))</formula>
    </cfRule>
    <cfRule type="containsText" dxfId="2794" priority="2576" operator="containsText" text="LE HACEN INDUCCIÓN">
      <formula>NOT(ISERROR(SEARCH("LE HACEN INDUCCIÓN",IT12)))</formula>
    </cfRule>
    <cfRule type="containsText" dxfId="2793" priority="2577" operator="containsText" text="ESPONTÁNEO">
      <formula>NOT(ISERROR(SEARCH("ESPONTÁNEO",IT12)))</formula>
    </cfRule>
  </conditionalFormatting>
  <conditionalFormatting sqref="IR13">
    <cfRule type="containsText" dxfId="2792" priority="2571" operator="containsText" text="NO APLICA">
      <formula>NOT(ISERROR(SEARCH("NO APLICA",IR13)))</formula>
    </cfRule>
    <cfRule type="containsText" dxfId="2791" priority="2572" operator="containsText" text="ALTA">
      <formula>NOT(ISERROR(SEARCH("ALTA",IR13)))</formula>
    </cfRule>
    <cfRule type="containsText" dxfId="2790" priority="2573" operator="containsText" text="MEDIANA">
      <formula>NOT(ISERROR(SEARCH("MEDIANA",IR13)))</formula>
    </cfRule>
    <cfRule type="containsText" dxfId="2789" priority="2574" operator="containsText" text="BAJA">
      <formula>NOT(ISERROR(SEARCH("BAJA",IR13)))</formula>
    </cfRule>
  </conditionalFormatting>
  <conditionalFormatting sqref="IS13:IT13">
    <cfRule type="containsText" dxfId="2788" priority="2564" operator="containsText" text="NO APLICA">
      <formula>NOT(ISERROR(SEARCH("NO APLICA",IS13)))</formula>
    </cfRule>
    <cfRule type="containsText" dxfId="2787" priority="2565" operator="containsText" text="SIN">
      <formula>NOT(ISERROR(SEARCH("SIN",IS13)))</formula>
    </cfRule>
    <cfRule type="containsText" dxfId="2786" priority="2566" operator="containsText" text="EQUIPO">
      <formula>NOT(ISERROR(SEARCH("EQUIPO",IS13)))</formula>
    </cfRule>
    <cfRule type="containsText" dxfId="2785" priority="2567" operator="containsText" text="MEDICO TRADICIONAL">
      <formula>NOT(ISERROR(SEARCH("MEDICO TRADICIONAL",IS13)))</formula>
    </cfRule>
    <cfRule type="containsText" dxfId="2784" priority="2568" operator="containsText" text="PARTERA">
      <formula>NOT(ISERROR(SEARCH("PARTERA",IS13)))</formula>
    </cfRule>
    <cfRule type="containsText" dxfId="2783" priority="2569" operator="containsText" text="TÉCNICO">
      <formula>NOT(ISERROR(SEARCH("TÉCNICO",IS13)))</formula>
    </cfRule>
    <cfRule type="containsText" dxfId="2782" priority="2570" operator="containsText" text="PROFESIONAL">
      <formula>NOT(ISERROR(SEARCH("PROFESIONAL",IS13)))</formula>
    </cfRule>
  </conditionalFormatting>
  <conditionalFormatting sqref="IT13">
    <cfRule type="containsText" dxfId="2781" priority="2561" operator="containsText" text="LE HACEN CESÁREA SIN INICIO TRABAJO DE PARTO">
      <formula>NOT(ISERROR(SEARCH("LE HACEN CESÁREA SIN INICIO TRABAJO DE PARTO",IT13)))</formula>
    </cfRule>
    <cfRule type="containsText" dxfId="2780" priority="2562" operator="containsText" text="LE HACEN INDUCCIÓN">
      <formula>NOT(ISERROR(SEARCH("LE HACEN INDUCCIÓN",IT13)))</formula>
    </cfRule>
    <cfRule type="containsText" dxfId="2779" priority="2563" operator="containsText" text="ESPONTÁNEO">
      <formula>NOT(ISERROR(SEARCH("ESPONTÁNEO",IT13)))</formula>
    </cfRule>
  </conditionalFormatting>
  <conditionalFormatting sqref="IR15">
    <cfRule type="containsText" dxfId="2778" priority="2557" operator="containsText" text="NO APLICA">
      <formula>NOT(ISERROR(SEARCH("NO APLICA",IR15)))</formula>
    </cfRule>
    <cfRule type="containsText" dxfId="2777" priority="2558" operator="containsText" text="ALTA">
      <formula>NOT(ISERROR(SEARCH("ALTA",IR15)))</formula>
    </cfRule>
    <cfRule type="containsText" dxfId="2776" priority="2559" operator="containsText" text="MEDIANA">
      <formula>NOT(ISERROR(SEARCH("MEDIANA",IR15)))</formula>
    </cfRule>
    <cfRule type="containsText" dxfId="2775" priority="2560" operator="containsText" text="BAJA">
      <formula>NOT(ISERROR(SEARCH("BAJA",IR15)))</formula>
    </cfRule>
  </conditionalFormatting>
  <conditionalFormatting sqref="IS15:IT15">
    <cfRule type="containsText" dxfId="2774" priority="2550" operator="containsText" text="NO APLICA">
      <formula>NOT(ISERROR(SEARCH("NO APLICA",IS15)))</formula>
    </cfRule>
    <cfRule type="containsText" dxfId="2773" priority="2551" operator="containsText" text="SIN">
      <formula>NOT(ISERROR(SEARCH("SIN",IS15)))</formula>
    </cfRule>
    <cfRule type="containsText" dxfId="2772" priority="2552" operator="containsText" text="EQUIPO">
      <formula>NOT(ISERROR(SEARCH("EQUIPO",IS15)))</formula>
    </cfRule>
    <cfRule type="containsText" dxfId="2771" priority="2553" operator="containsText" text="MEDICO TRADICIONAL">
      <formula>NOT(ISERROR(SEARCH("MEDICO TRADICIONAL",IS15)))</formula>
    </cfRule>
    <cfRule type="containsText" dxfId="2770" priority="2554" operator="containsText" text="PARTERA">
      <formula>NOT(ISERROR(SEARCH("PARTERA",IS15)))</formula>
    </cfRule>
    <cfRule type="containsText" dxfId="2769" priority="2555" operator="containsText" text="TÉCNICO">
      <formula>NOT(ISERROR(SEARCH("TÉCNICO",IS15)))</formula>
    </cfRule>
    <cfRule type="containsText" dxfId="2768" priority="2556" operator="containsText" text="PROFESIONAL">
      <formula>NOT(ISERROR(SEARCH("PROFESIONAL",IS15)))</formula>
    </cfRule>
  </conditionalFormatting>
  <conditionalFormatting sqref="IT15">
    <cfRule type="containsText" dxfId="2767" priority="2547" operator="containsText" text="LE HACEN CESÁREA SIN INICIO TRABAJO DE PARTO">
      <formula>NOT(ISERROR(SEARCH("LE HACEN CESÁREA SIN INICIO TRABAJO DE PARTO",IT15)))</formula>
    </cfRule>
    <cfRule type="containsText" dxfId="2766" priority="2548" operator="containsText" text="LE HACEN INDUCCIÓN">
      <formula>NOT(ISERROR(SEARCH("LE HACEN INDUCCIÓN",IT15)))</formula>
    </cfRule>
    <cfRule type="containsText" dxfId="2765" priority="2549" operator="containsText" text="ESPONTÁNEO">
      <formula>NOT(ISERROR(SEARCH("ESPONTÁNEO",IT15)))</formula>
    </cfRule>
  </conditionalFormatting>
  <conditionalFormatting sqref="IR19">
    <cfRule type="containsText" dxfId="2764" priority="2543" operator="containsText" text="NO APLICA">
      <formula>NOT(ISERROR(SEARCH("NO APLICA",IR19)))</formula>
    </cfRule>
    <cfRule type="containsText" dxfId="2763" priority="2544" operator="containsText" text="ALTA">
      <formula>NOT(ISERROR(SEARCH("ALTA",IR19)))</formula>
    </cfRule>
    <cfRule type="containsText" dxfId="2762" priority="2545" operator="containsText" text="MEDIANA">
      <formula>NOT(ISERROR(SEARCH("MEDIANA",IR19)))</formula>
    </cfRule>
    <cfRule type="containsText" dxfId="2761" priority="2546" operator="containsText" text="BAJA">
      <formula>NOT(ISERROR(SEARCH("BAJA",IR19)))</formula>
    </cfRule>
  </conditionalFormatting>
  <conditionalFormatting sqref="IS19:IT19">
    <cfRule type="containsText" dxfId="2760" priority="2536" operator="containsText" text="NO APLICA">
      <formula>NOT(ISERROR(SEARCH("NO APLICA",IS19)))</formula>
    </cfRule>
    <cfRule type="containsText" dxfId="2759" priority="2537" operator="containsText" text="SIN">
      <formula>NOT(ISERROR(SEARCH("SIN",IS19)))</formula>
    </cfRule>
    <cfRule type="containsText" dxfId="2758" priority="2538" operator="containsText" text="EQUIPO">
      <formula>NOT(ISERROR(SEARCH("EQUIPO",IS19)))</formula>
    </cfRule>
    <cfRule type="containsText" dxfId="2757" priority="2539" operator="containsText" text="MEDICO TRADICIONAL">
      <formula>NOT(ISERROR(SEARCH("MEDICO TRADICIONAL",IS19)))</formula>
    </cfRule>
    <cfRule type="containsText" dxfId="2756" priority="2540" operator="containsText" text="PARTERA">
      <formula>NOT(ISERROR(SEARCH("PARTERA",IS19)))</formula>
    </cfRule>
    <cfRule type="containsText" dxfId="2755" priority="2541" operator="containsText" text="TÉCNICO">
      <formula>NOT(ISERROR(SEARCH("TÉCNICO",IS19)))</formula>
    </cfRule>
    <cfRule type="containsText" dxfId="2754" priority="2542" operator="containsText" text="PROFESIONAL">
      <formula>NOT(ISERROR(SEARCH("PROFESIONAL",IS19)))</formula>
    </cfRule>
  </conditionalFormatting>
  <conditionalFormatting sqref="IT19">
    <cfRule type="containsText" dxfId="2753" priority="2533" operator="containsText" text="LE HACEN CESÁREA SIN INICIO TRABAJO DE PARTO">
      <formula>NOT(ISERROR(SEARCH("LE HACEN CESÁREA SIN INICIO TRABAJO DE PARTO",IT19)))</formula>
    </cfRule>
    <cfRule type="containsText" dxfId="2752" priority="2534" operator="containsText" text="LE HACEN INDUCCIÓN">
      <formula>NOT(ISERROR(SEARCH("LE HACEN INDUCCIÓN",IT19)))</formula>
    </cfRule>
    <cfRule type="containsText" dxfId="2751" priority="2535" operator="containsText" text="ESPONTÁNEO">
      <formula>NOT(ISERROR(SEARCH("ESPONTÁNEO",IT19)))</formula>
    </cfRule>
  </conditionalFormatting>
  <conditionalFormatting sqref="IR20">
    <cfRule type="containsText" dxfId="2750" priority="2529" operator="containsText" text="NO APLICA">
      <formula>NOT(ISERROR(SEARCH("NO APLICA",IR20)))</formula>
    </cfRule>
    <cfRule type="containsText" dxfId="2749" priority="2530" operator="containsText" text="ALTA">
      <formula>NOT(ISERROR(SEARCH("ALTA",IR20)))</formula>
    </cfRule>
    <cfRule type="containsText" dxfId="2748" priority="2531" operator="containsText" text="MEDIANA">
      <formula>NOT(ISERROR(SEARCH("MEDIANA",IR20)))</formula>
    </cfRule>
    <cfRule type="containsText" dxfId="2747" priority="2532" operator="containsText" text="BAJA">
      <formula>NOT(ISERROR(SEARCH("BAJA",IR20)))</formula>
    </cfRule>
  </conditionalFormatting>
  <conditionalFormatting sqref="IS20:IT20">
    <cfRule type="containsText" dxfId="2746" priority="2522" operator="containsText" text="NO APLICA">
      <formula>NOT(ISERROR(SEARCH("NO APLICA",IS20)))</formula>
    </cfRule>
    <cfRule type="containsText" dxfId="2745" priority="2523" operator="containsText" text="SIN">
      <formula>NOT(ISERROR(SEARCH("SIN",IS20)))</formula>
    </cfRule>
    <cfRule type="containsText" dxfId="2744" priority="2524" operator="containsText" text="EQUIPO">
      <formula>NOT(ISERROR(SEARCH("EQUIPO",IS20)))</formula>
    </cfRule>
    <cfRule type="containsText" dxfId="2743" priority="2525" operator="containsText" text="MEDICO TRADICIONAL">
      <formula>NOT(ISERROR(SEARCH("MEDICO TRADICIONAL",IS20)))</formula>
    </cfRule>
    <cfRule type="containsText" dxfId="2742" priority="2526" operator="containsText" text="PARTERA">
      <formula>NOT(ISERROR(SEARCH("PARTERA",IS20)))</formula>
    </cfRule>
    <cfRule type="containsText" dxfId="2741" priority="2527" operator="containsText" text="TÉCNICO">
      <formula>NOT(ISERROR(SEARCH("TÉCNICO",IS20)))</formula>
    </cfRule>
    <cfRule type="containsText" dxfId="2740" priority="2528" operator="containsText" text="PROFESIONAL">
      <formula>NOT(ISERROR(SEARCH("PROFESIONAL",IS20)))</formula>
    </cfRule>
  </conditionalFormatting>
  <conditionalFormatting sqref="IT20">
    <cfRule type="containsText" dxfId="2739" priority="2519" operator="containsText" text="LE HACEN CESÁREA SIN INICIO TRABAJO DE PARTO">
      <formula>NOT(ISERROR(SEARCH("LE HACEN CESÁREA SIN INICIO TRABAJO DE PARTO",IT20)))</formula>
    </cfRule>
    <cfRule type="containsText" dxfId="2738" priority="2520" operator="containsText" text="LE HACEN INDUCCIÓN">
      <formula>NOT(ISERROR(SEARCH("LE HACEN INDUCCIÓN",IT20)))</formula>
    </cfRule>
    <cfRule type="containsText" dxfId="2737" priority="2521" operator="containsText" text="ESPONTÁNEO">
      <formula>NOT(ISERROR(SEARCH("ESPONTÁNEO",IT20)))</formula>
    </cfRule>
  </conditionalFormatting>
  <conditionalFormatting sqref="JI20">
    <cfRule type="containsText" dxfId="2736" priority="2515" operator="containsText" text="NO APLICA">
      <formula>NOT(ISERROR(SEARCH("NO APLICA",JI20)))</formula>
    </cfRule>
    <cfRule type="containsText" dxfId="2735" priority="2516" operator="containsText" text="SIN DATO">
      <formula>NOT(ISERROR(SEARCH("SIN DATO",JI20)))</formula>
    </cfRule>
    <cfRule type="containsText" dxfId="2734" priority="2517" operator="containsText" text="NO">
      <formula>NOT(ISERROR(SEARCH("NO",JI20)))</formula>
    </cfRule>
    <cfRule type="containsText" dxfId="2733" priority="2518" operator="containsText" text="SI">
      <formula>NOT(ISERROR(SEARCH("SI",JI20)))</formula>
    </cfRule>
  </conditionalFormatting>
  <conditionalFormatting sqref="IR22">
    <cfRule type="containsText" dxfId="2732" priority="2511" operator="containsText" text="NO APLICA">
      <formula>NOT(ISERROR(SEARCH("NO APLICA",IR22)))</formula>
    </cfRule>
    <cfRule type="containsText" dxfId="2731" priority="2512" operator="containsText" text="ALTA">
      <formula>NOT(ISERROR(SEARCH("ALTA",IR22)))</formula>
    </cfRule>
    <cfRule type="containsText" dxfId="2730" priority="2513" operator="containsText" text="MEDIANA">
      <formula>NOT(ISERROR(SEARCH("MEDIANA",IR22)))</formula>
    </cfRule>
    <cfRule type="containsText" dxfId="2729" priority="2514" operator="containsText" text="BAJA">
      <formula>NOT(ISERROR(SEARCH("BAJA",IR22)))</formula>
    </cfRule>
  </conditionalFormatting>
  <conditionalFormatting sqref="IS22:IT22">
    <cfRule type="containsText" dxfId="2728" priority="2504" operator="containsText" text="NO APLICA">
      <formula>NOT(ISERROR(SEARCH("NO APLICA",IS22)))</formula>
    </cfRule>
    <cfRule type="containsText" dxfId="2727" priority="2505" operator="containsText" text="SIN">
      <formula>NOT(ISERROR(SEARCH("SIN",IS22)))</formula>
    </cfRule>
    <cfRule type="containsText" dxfId="2726" priority="2506" operator="containsText" text="EQUIPO">
      <formula>NOT(ISERROR(SEARCH("EQUIPO",IS22)))</formula>
    </cfRule>
    <cfRule type="containsText" dxfId="2725" priority="2507" operator="containsText" text="MEDICO TRADICIONAL">
      <formula>NOT(ISERROR(SEARCH("MEDICO TRADICIONAL",IS22)))</formula>
    </cfRule>
    <cfRule type="containsText" dxfId="2724" priority="2508" operator="containsText" text="PARTERA">
      <formula>NOT(ISERROR(SEARCH("PARTERA",IS22)))</formula>
    </cfRule>
    <cfRule type="containsText" dxfId="2723" priority="2509" operator="containsText" text="TÉCNICO">
      <formula>NOT(ISERROR(SEARCH("TÉCNICO",IS22)))</formula>
    </cfRule>
    <cfRule type="containsText" dxfId="2722" priority="2510" operator="containsText" text="PROFESIONAL">
      <formula>NOT(ISERROR(SEARCH("PROFESIONAL",IS22)))</formula>
    </cfRule>
  </conditionalFormatting>
  <conditionalFormatting sqref="IT22">
    <cfRule type="containsText" dxfId="2721" priority="2501" operator="containsText" text="LE HACEN CESÁREA SIN INICIO TRABAJO DE PARTO">
      <formula>NOT(ISERROR(SEARCH("LE HACEN CESÁREA SIN INICIO TRABAJO DE PARTO",IT22)))</formula>
    </cfRule>
    <cfRule type="containsText" dxfId="2720" priority="2502" operator="containsText" text="LE HACEN INDUCCIÓN">
      <formula>NOT(ISERROR(SEARCH("LE HACEN INDUCCIÓN",IT22)))</formula>
    </cfRule>
    <cfRule type="containsText" dxfId="2719" priority="2503" operator="containsText" text="ESPONTÁNEO">
      <formula>NOT(ISERROR(SEARCH("ESPONTÁNEO",IT22)))</formula>
    </cfRule>
  </conditionalFormatting>
  <conditionalFormatting sqref="IS23:IT23">
    <cfRule type="containsText" dxfId="2718" priority="2494" operator="containsText" text="NO APLICA">
      <formula>NOT(ISERROR(SEARCH("NO APLICA",IS23)))</formula>
    </cfRule>
    <cfRule type="containsText" dxfId="2717" priority="2495" operator="containsText" text="SIN">
      <formula>NOT(ISERROR(SEARCH("SIN",IS23)))</formula>
    </cfRule>
    <cfRule type="containsText" dxfId="2716" priority="2496" operator="containsText" text="EQUIPO">
      <formula>NOT(ISERROR(SEARCH("EQUIPO",IS23)))</formula>
    </cfRule>
    <cfRule type="containsText" dxfId="2715" priority="2497" operator="containsText" text="MEDICO TRADICIONAL">
      <formula>NOT(ISERROR(SEARCH("MEDICO TRADICIONAL",IS23)))</formula>
    </cfRule>
    <cfRule type="containsText" dxfId="2714" priority="2498" operator="containsText" text="PARTERA">
      <formula>NOT(ISERROR(SEARCH("PARTERA",IS23)))</formula>
    </cfRule>
    <cfRule type="containsText" dxfId="2713" priority="2499" operator="containsText" text="TÉCNICO">
      <formula>NOT(ISERROR(SEARCH("TÉCNICO",IS23)))</formula>
    </cfRule>
    <cfRule type="containsText" dxfId="2712" priority="2500" operator="containsText" text="PROFESIONAL">
      <formula>NOT(ISERROR(SEARCH("PROFESIONAL",IS23)))</formula>
    </cfRule>
  </conditionalFormatting>
  <conditionalFormatting sqref="IT23">
    <cfRule type="containsText" dxfId="2711" priority="2491" operator="containsText" text="LE HACEN CESÁREA SIN INICIO TRABAJO DE PARTO">
      <formula>NOT(ISERROR(SEARCH("LE HACEN CESÁREA SIN INICIO TRABAJO DE PARTO",IT23)))</formula>
    </cfRule>
    <cfRule type="containsText" dxfId="2710" priority="2492" operator="containsText" text="LE HACEN INDUCCIÓN">
      <formula>NOT(ISERROR(SEARCH("LE HACEN INDUCCIÓN",IT23)))</formula>
    </cfRule>
    <cfRule type="containsText" dxfId="2709" priority="2493" operator="containsText" text="ESPONTÁNEO">
      <formula>NOT(ISERROR(SEARCH("ESPONTÁNEO",IT23)))</formula>
    </cfRule>
  </conditionalFormatting>
  <conditionalFormatting sqref="IS24:IT24">
    <cfRule type="containsText" dxfId="2708" priority="2484" operator="containsText" text="NO APLICA">
      <formula>NOT(ISERROR(SEARCH("NO APLICA",IS24)))</formula>
    </cfRule>
    <cfRule type="containsText" dxfId="2707" priority="2485" operator="containsText" text="SIN">
      <formula>NOT(ISERROR(SEARCH("SIN",IS24)))</formula>
    </cfRule>
    <cfRule type="containsText" dxfId="2706" priority="2486" operator="containsText" text="EQUIPO">
      <formula>NOT(ISERROR(SEARCH("EQUIPO",IS24)))</formula>
    </cfRule>
    <cfRule type="containsText" dxfId="2705" priority="2487" operator="containsText" text="MEDICO TRADICIONAL">
      <formula>NOT(ISERROR(SEARCH("MEDICO TRADICIONAL",IS24)))</formula>
    </cfRule>
    <cfRule type="containsText" dxfId="2704" priority="2488" operator="containsText" text="PARTERA">
      <formula>NOT(ISERROR(SEARCH("PARTERA",IS24)))</formula>
    </cfRule>
    <cfRule type="containsText" dxfId="2703" priority="2489" operator="containsText" text="TÉCNICO">
      <formula>NOT(ISERROR(SEARCH("TÉCNICO",IS24)))</formula>
    </cfRule>
    <cfRule type="containsText" dxfId="2702" priority="2490" operator="containsText" text="PROFESIONAL">
      <formula>NOT(ISERROR(SEARCH("PROFESIONAL",IS24)))</formula>
    </cfRule>
  </conditionalFormatting>
  <conditionalFormatting sqref="IT24">
    <cfRule type="containsText" dxfId="2701" priority="2481" operator="containsText" text="LE HACEN CESÁREA SIN INICIO TRABAJO DE PARTO">
      <formula>NOT(ISERROR(SEARCH("LE HACEN CESÁREA SIN INICIO TRABAJO DE PARTO",IT24)))</formula>
    </cfRule>
    <cfRule type="containsText" dxfId="2700" priority="2482" operator="containsText" text="LE HACEN INDUCCIÓN">
      <formula>NOT(ISERROR(SEARCH("LE HACEN INDUCCIÓN",IT24)))</formula>
    </cfRule>
    <cfRule type="containsText" dxfId="2699" priority="2483" operator="containsText" text="ESPONTÁNEO">
      <formula>NOT(ISERROR(SEARCH("ESPONTÁNEO",IT24)))</formula>
    </cfRule>
  </conditionalFormatting>
  <conditionalFormatting sqref="JI24">
    <cfRule type="containsText" dxfId="2698" priority="2477" operator="containsText" text="NO APLICA">
      <formula>NOT(ISERROR(SEARCH("NO APLICA",JI24)))</formula>
    </cfRule>
    <cfRule type="containsText" dxfId="2697" priority="2478" operator="containsText" text="SIN DATO">
      <formula>NOT(ISERROR(SEARCH("SIN DATO",JI24)))</formula>
    </cfRule>
    <cfRule type="containsText" dxfId="2696" priority="2479" operator="containsText" text="NO">
      <formula>NOT(ISERROR(SEARCH("NO",JI24)))</formula>
    </cfRule>
    <cfRule type="containsText" dxfId="2695" priority="2480" operator="containsText" text="SI">
      <formula>NOT(ISERROR(SEARCH("SI",JI24)))</formula>
    </cfRule>
  </conditionalFormatting>
  <conditionalFormatting sqref="IR25">
    <cfRule type="containsText" dxfId="2694" priority="2473" operator="containsText" text="NO APLICA">
      <formula>NOT(ISERROR(SEARCH("NO APLICA",IR25)))</formula>
    </cfRule>
    <cfRule type="containsText" dxfId="2693" priority="2474" operator="containsText" text="ALTA">
      <formula>NOT(ISERROR(SEARCH("ALTA",IR25)))</formula>
    </cfRule>
    <cfRule type="containsText" dxfId="2692" priority="2475" operator="containsText" text="MEDIANA">
      <formula>NOT(ISERROR(SEARCH("MEDIANA",IR25)))</formula>
    </cfRule>
    <cfRule type="containsText" dxfId="2691" priority="2476" operator="containsText" text="BAJA">
      <formula>NOT(ISERROR(SEARCH("BAJA",IR25)))</formula>
    </cfRule>
  </conditionalFormatting>
  <conditionalFormatting sqref="IS25:IT25">
    <cfRule type="containsText" dxfId="2690" priority="2466" operator="containsText" text="NO APLICA">
      <formula>NOT(ISERROR(SEARCH("NO APLICA",IS25)))</formula>
    </cfRule>
    <cfRule type="containsText" dxfId="2689" priority="2467" operator="containsText" text="SIN">
      <formula>NOT(ISERROR(SEARCH("SIN",IS25)))</formula>
    </cfRule>
    <cfRule type="containsText" dxfId="2688" priority="2468" operator="containsText" text="EQUIPO">
      <formula>NOT(ISERROR(SEARCH("EQUIPO",IS25)))</formula>
    </cfRule>
    <cfRule type="containsText" dxfId="2687" priority="2469" operator="containsText" text="MEDICO TRADICIONAL">
      <formula>NOT(ISERROR(SEARCH("MEDICO TRADICIONAL",IS25)))</formula>
    </cfRule>
    <cfRule type="containsText" dxfId="2686" priority="2470" operator="containsText" text="PARTERA">
      <formula>NOT(ISERROR(SEARCH("PARTERA",IS25)))</formula>
    </cfRule>
    <cfRule type="containsText" dxfId="2685" priority="2471" operator="containsText" text="TÉCNICO">
      <formula>NOT(ISERROR(SEARCH("TÉCNICO",IS25)))</formula>
    </cfRule>
    <cfRule type="containsText" dxfId="2684" priority="2472" operator="containsText" text="PROFESIONAL">
      <formula>NOT(ISERROR(SEARCH("PROFESIONAL",IS25)))</formula>
    </cfRule>
  </conditionalFormatting>
  <conditionalFormatting sqref="IT25">
    <cfRule type="containsText" dxfId="2683" priority="2463" operator="containsText" text="LE HACEN CESÁREA SIN INICIO TRABAJO DE PARTO">
      <formula>NOT(ISERROR(SEARCH("LE HACEN CESÁREA SIN INICIO TRABAJO DE PARTO",IT25)))</formula>
    </cfRule>
    <cfRule type="containsText" dxfId="2682" priority="2464" operator="containsText" text="LE HACEN INDUCCIÓN">
      <formula>NOT(ISERROR(SEARCH("LE HACEN INDUCCIÓN",IT25)))</formula>
    </cfRule>
    <cfRule type="containsText" dxfId="2681" priority="2465" operator="containsText" text="ESPONTÁNEO">
      <formula>NOT(ISERROR(SEARCH("ESPONTÁNEO",IT25)))</formula>
    </cfRule>
  </conditionalFormatting>
  <conditionalFormatting sqref="IR26">
    <cfRule type="containsText" dxfId="2680" priority="2459" operator="containsText" text="NO APLICA">
      <formula>NOT(ISERROR(SEARCH("NO APLICA",IR26)))</formula>
    </cfRule>
    <cfRule type="containsText" dxfId="2679" priority="2460" operator="containsText" text="ALTA">
      <formula>NOT(ISERROR(SEARCH("ALTA",IR26)))</formula>
    </cfRule>
    <cfRule type="containsText" dxfId="2678" priority="2461" operator="containsText" text="MEDIANA">
      <formula>NOT(ISERROR(SEARCH("MEDIANA",IR26)))</formula>
    </cfRule>
    <cfRule type="containsText" dxfId="2677" priority="2462" operator="containsText" text="BAJA">
      <formula>NOT(ISERROR(SEARCH("BAJA",IR26)))</formula>
    </cfRule>
  </conditionalFormatting>
  <conditionalFormatting sqref="IS26:IT26">
    <cfRule type="containsText" dxfId="2676" priority="2452" operator="containsText" text="NO APLICA">
      <formula>NOT(ISERROR(SEARCH("NO APLICA",IS26)))</formula>
    </cfRule>
    <cfRule type="containsText" dxfId="2675" priority="2453" operator="containsText" text="SIN">
      <formula>NOT(ISERROR(SEARCH("SIN",IS26)))</formula>
    </cfRule>
    <cfRule type="containsText" dxfId="2674" priority="2454" operator="containsText" text="EQUIPO">
      <formula>NOT(ISERROR(SEARCH("EQUIPO",IS26)))</formula>
    </cfRule>
    <cfRule type="containsText" dxfId="2673" priority="2455" operator="containsText" text="MEDICO TRADICIONAL">
      <formula>NOT(ISERROR(SEARCH("MEDICO TRADICIONAL",IS26)))</formula>
    </cfRule>
    <cfRule type="containsText" dxfId="2672" priority="2456" operator="containsText" text="PARTERA">
      <formula>NOT(ISERROR(SEARCH("PARTERA",IS26)))</formula>
    </cfRule>
    <cfRule type="containsText" dxfId="2671" priority="2457" operator="containsText" text="TÉCNICO">
      <formula>NOT(ISERROR(SEARCH("TÉCNICO",IS26)))</formula>
    </cfRule>
    <cfRule type="containsText" dxfId="2670" priority="2458" operator="containsText" text="PROFESIONAL">
      <formula>NOT(ISERROR(SEARCH("PROFESIONAL",IS26)))</formula>
    </cfRule>
  </conditionalFormatting>
  <conditionalFormatting sqref="IT26">
    <cfRule type="containsText" dxfId="2669" priority="2449" operator="containsText" text="LE HACEN CESÁREA SIN INICIO TRABAJO DE PARTO">
      <formula>NOT(ISERROR(SEARCH("LE HACEN CESÁREA SIN INICIO TRABAJO DE PARTO",IT26)))</formula>
    </cfRule>
    <cfRule type="containsText" dxfId="2668" priority="2450" operator="containsText" text="LE HACEN INDUCCIÓN">
      <formula>NOT(ISERROR(SEARCH("LE HACEN INDUCCIÓN",IT26)))</formula>
    </cfRule>
    <cfRule type="containsText" dxfId="2667" priority="2451" operator="containsText" text="ESPONTÁNEO">
      <formula>NOT(ISERROR(SEARCH("ESPONTÁNEO",IT26)))</formula>
    </cfRule>
  </conditionalFormatting>
  <conditionalFormatting sqref="IR27">
    <cfRule type="containsText" dxfId="2666" priority="2445" operator="containsText" text="NO APLICA">
      <formula>NOT(ISERROR(SEARCH("NO APLICA",IR27)))</formula>
    </cfRule>
    <cfRule type="containsText" dxfId="2665" priority="2446" operator="containsText" text="ALTA">
      <formula>NOT(ISERROR(SEARCH("ALTA",IR27)))</formula>
    </cfRule>
    <cfRule type="containsText" dxfId="2664" priority="2447" operator="containsText" text="MEDIANA">
      <formula>NOT(ISERROR(SEARCH("MEDIANA",IR27)))</formula>
    </cfRule>
    <cfRule type="containsText" dxfId="2663" priority="2448" operator="containsText" text="BAJA">
      <formula>NOT(ISERROR(SEARCH("BAJA",IR27)))</formula>
    </cfRule>
  </conditionalFormatting>
  <conditionalFormatting sqref="IS27:IT27">
    <cfRule type="containsText" dxfId="2662" priority="2438" operator="containsText" text="NO APLICA">
      <formula>NOT(ISERROR(SEARCH("NO APLICA",IS27)))</formula>
    </cfRule>
    <cfRule type="containsText" dxfId="2661" priority="2439" operator="containsText" text="SIN">
      <formula>NOT(ISERROR(SEARCH("SIN",IS27)))</formula>
    </cfRule>
    <cfRule type="containsText" dxfId="2660" priority="2440" operator="containsText" text="EQUIPO">
      <formula>NOT(ISERROR(SEARCH("EQUIPO",IS27)))</formula>
    </cfRule>
    <cfRule type="containsText" dxfId="2659" priority="2441" operator="containsText" text="MEDICO TRADICIONAL">
      <formula>NOT(ISERROR(SEARCH("MEDICO TRADICIONAL",IS27)))</formula>
    </cfRule>
    <cfRule type="containsText" dxfId="2658" priority="2442" operator="containsText" text="PARTERA">
      <formula>NOT(ISERROR(SEARCH("PARTERA",IS27)))</formula>
    </cfRule>
    <cfRule type="containsText" dxfId="2657" priority="2443" operator="containsText" text="TÉCNICO">
      <formula>NOT(ISERROR(SEARCH("TÉCNICO",IS27)))</formula>
    </cfRule>
    <cfRule type="containsText" dxfId="2656" priority="2444" operator="containsText" text="PROFESIONAL">
      <formula>NOT(ISERROR(SEARCH("PROFESIONAL",IS27)))</formula>
    </cfRule>
  </conditionalFormatting>
  <conditionalFormatting sqref="IT27">
    <cfRule type="containsText" dxfId="2655" priority="2435" operator="containsText" text="LE HACEN CESÁREA SIN INICIO TRABAJO DE PARTO">
      <formula>NOT(ISERROR(SEARCH("LE HACEN CESÁREA SIN INICIO TRABAJO DE PARTO",IT27)))</formula>
    </cfRule>
    <cfRule type="containsText" dxfId="2654" priority="2436" operator="containsText" text="LE HACEN INDUCCIÓN">
      <formula>NOT(ISERROR(SEARCH("LE HACEN INDUCCIÓN",IT27)))</formula>
    </cfRule>
    <cfRule type="containsText" dxfId="2653" priority="2437" operator="containsText" text="ESPONTÁNEO">
      <formula>NOT(ISERROR(SEARCH("ESPONTÁNEO",IT27)))</formula>
    </cfRule>
  </conditionalFormatting>
  <conditionalFormatting sqref="IR29">
    <cfRule type="containsText" dxfId="2652" priority="2431" operator="containsText" text="NO APLICA">
      <formula>NOT(ISERROR(SEARCH("NO APLICA",IR29)))</formula>
    </cfRule>
    <cfRule type="containsText" dxfId="2651" priority="2432" operator="containsText" text="ALTA">
      <formula>NOT(ISERROR(SEARCH("ALTA",IR29)))</formula>
    </cfRule>
    <cfRule type="containsText" dxfId="2650" priority="2433" operator="containsText" text="MEDIANA">
      <formula>NOT(ISERROR(SEARCH("MEDIANA",IR29)))</formula>
    </cfRule>
    <cfRule type="containsText" dxfId="2649" priority="2434" operator="containsText" text="BAJA">
      <formula>NOT(ISERROR(SEARCH("BAJA",IR29)))</formula>
    </cfRule>
  </conditionalFormatting>
  <conditionalFormatting sqref="IS29:IT29">
    <cfRule type="containsText" dxfId="2648" priority="2424" operator="containsText" text="NO APLICA">
      <formula>NOT(ISERROR(SEARCH("NO APLICA",IS29)))</formula>
    </cfRule>
    <cfRule type="containsText" dxfId="2647" priority="2425" operator="containsText" text="SIN">
      <formula>NOT(ISERROR(SEARCH("SIN",IS29)))</formula>
    </cfRule>
    <cfRule type="containsText" dxfId="2646" priority="2426" operator="containsText" text="EQUIPO">
      <formula>NOT(ISERROR(SEARCH("EQUIPO",IS29)))</formula>
    </cfRule>
    <cfRule type="containsText" dxfId="2645" priority="2427" operator="containsText" text="MEDICO TRADICIONAL">
      <formula>NOT(ISERROR(SEARCH("MEDICO TRADICIONAL",IS29)))</formula>
    </cfRule>
    <cfRule type="containsText" dxfId="2644" priority="2428" operator="containsText" text="PARTERA">
      <formula>NOT(ISERROR(SEARCH("PARTERA",IS29)))</formula>
    </cfRule>
    <cfRule type="containsText" dxfId="2643" priority="2429" operator="containsText" text="TÉCNICO">
      <formula>NOT(ISERROR(SEARCH("TÉCNICO",IS29)))</formula>
    </cfRule>
    <cfRule type="containsText" dxfId="2642" priority="2430" operator="containsText" text="PROFESIONAL">
      <formula>NOT(ISERROR(SEARCH("PROFESIONAL",IS29)))</formula>
    </cfRule>
  </conditionalFormatting>
  <conditionalFormatting sqref="IT29">
    <cfRule type="containsText" dxfId="2641" priority="2421" operator="containsText" text="LE HACEN CESÁREA SIN INICIO TRABAJO DE PARTO">
      <formula>NOT(ISERROR(SEARCH("LE HACEN CESÁREA SIN INICIO TRABAJO DE PARTO",IT29)))</formula>
    </cfRule>
    <cfRule type="containsText" dxfId="2640" priority="2422" operator="containsText" text="LE HACEN INDUCCIÓN">
      <formula>NOT(ISERROR(SEARCH("LE HACEN INDUCCIÓN",IT29)))</formula>
    </cfRule>
    <cfRule type="containsText" dxfId="2639" priority="2423" operator="containsText" text="ESPONTÁNEO">
      <formula>NOT(ISERROR(SEARCH("ESPONTÁNEO",IT29)))</formula>
    </cfRule>
  </conditionalFormatting>
  <conditionalFormatting sqref="IR30">
    <cfRule type="containsText" dxfId="2638" priority="2417" operator="containsText" text="NO APLICA">
      <formula>NOT(ISERROR(SEARCH("NO APLICA",IR30)))</formula>
    </cfRule>
    <cfRule type="containsText" dxfId="2637" priority="2418" operator="containsText" text="ALTA">
      <formula>NOT(ISERROR(SEARCH("ALTA",IR30)))</formula>
    </cfRule>
    <cfRule type="containsText" dxfId="2636" priority="2419" operator="containsText" text="MEDIANA">
      <formula>NOT(ISERROR(SEARCH("MEDIANA",IR30)))</formula>
    </cfRule>
    <cfRule type="containsText" dxfId="2635" priority="2420" operator="containsText" text="BAJA">
      <formula>NOT(ISERROR(SEARCH("BAJA",IR30)))</formula>
    </cfRule>
  </conditionalFormatting>
  <conditionalFormatting sqref="IS30:IT30">
    <cfRule type="containsText" dxfId="2634" priority="2410" operator="containsText" text="NO APLICA">
      <formula>NOT(ISERROR(SEARCH("NO APLICA",IS30)))</formula>
    </cfRule>
    <cfRule type="containsText" dxfId="2633" priority="2411" operator="containsText" text="SIN">
      <formula>NOT(ISERROR(SEARCH("SIN",IS30)))</formula>
    </cfRule>
    <cfRule type="containsText" dxfId="2632" priority="2412" operator="containsText" text="EQUIPO">
      <formula>NOT(ISERROR(SEARCH("EQUIPO",IS30)))</formula>
    </cfRule>
    <cfRule type="containsText" dxfId="2631" priority="2413" operator="containsText" text="MEDICO TRADICIONAL">
      <formula>NOT(ISERROR(SEARCH("MEDICO TRADICIONAL",IS30)))</formula>
    </cfRule>
    <cfRule type="containsText" dxfId="2630" priority="2414" operator="containsText" text="PARTERA">
      <formula>NOT(ISERROR(SEARCH("PARTERA",IS30)))</formula>
    </cfRule>
    <cfRule type="containsText" dxfId="2629" priority="2415" operator="containsText" text="TÉCNICO">
      <formula>NOT(ISERROR(SEARCH("TÉCNICO",IS30)))</formula>
    </cfRule>
    <cfRule type="containsText" dxfId="2628" priority="2416" operator="containsText" text="PROFESIONAL">
      <formula>NOT(ISERROR(SEARCH("PROFESIONAL",IS30)))</formula>
    </cfRule>
  </conditionalFormatting>
  <conditionalFormatting sqref="IT30">
    <cfRule type="containsText" dxfId="2627" priority="2407" operator="containsText" text="LE HACEN CESÁREA SIN INICIO TRABAJO DE PARTO">
      <formula>NOT(ISERROR(SEARCH("LE HACEN CESÁREA SIN INICIO TRABAJO DE PARTO",IT30)))</formula>
    </cfRule>
    <cfRule type="containsText" dxfId="2626" priority="2408" operator="containsText" text="LE HACEN INDUCCIÓN">
      <formula>NOT(ISERROR(SEARCH("LE HACEN INDUCCIÓN",IT30)))</formula>
    </cfRule>
    <cfRule type="containsText" dxfId="2625" priority="2409" operator="containsText" text="ESPONTÁNEO">
      <formula>NOT(ISERROR(SEARCH("ESPONTÁNEO",IT30)))</formula>
    </cfRule>
  </conditionalFormatting>
  <conditionalFormatting sqref="IR31">
    <cfRule type="containsText" dxfId="2624" priority="2403" operator="containsText" text="NO APLICA">
      <formula>NOT(ISERROR(SEARCH("NO APLICA",IR31)))</formula>
    </cfRule>
    <cfRule type="containsText" dxfId="2623" priority="2404" operator="containsText" text="ALTA">
      <formula>NOT(ISERROR(SEARCH("ALTA",IR31)))</formula>
    </cfRule>
    <cfRule type="containsText" dxfId="2622" priority="2405" operator="containsText" text="MEDIANA">
      <formula>NOT(ISERROR(SEARCH("MEDIANA",IR31)))</formula>
    </cfRule>
    <cfRule type="containsText" dxfId="2621" priority="2406" operator="containsText" text="BAJA">
      <formula>NOT(ISERROR(SEARCH("BAJA",IR31)))</formula>
    </cfRule>
  </conditionalFormatting>
  <conditionalFormatting sqref="IS31:IT31">
    <cfRule type="containsText" dxfId="2620" priority="2396" operator="containsText" text="NO APLICA">
      <formula>NOT(ISERROR(SEARCH("NO APLICA",IS31)))</formula>
    </cfRule>
    <cfRule type="containsText" dxfId="2619" priority="2397" operator="containsText" text="SIN">
      <formula>NOT(ISERROR(SEARCH("SIN",IS31)))</formula>
    </cfRule>
    <cfRule type="containsText" dxfId="2618" priority="2398" operator="containsText" text="EQUIPO">
      <formula>NOT(ISERROR(SEARCH("EQUIPO",IS31)))</formula>
    </cfRule>
    <cfRule type="containsText" dxfId="2617" priority="2399" operator="containsText" text="MEDICO TRADICIONAL">
      <formula>NOT(ISERROR(SEARCH("MEDICO TRADICIONAL",IS31)))</formula>
    </cfRule>
    <cfRule type="containsText" dxfId="2616" priority="2400" operator="containsText" text="PARTERA">
      <formula>NOT(ISERROR(SEARCH("PARTERA",IS31)))</formula>
    </cfRule>
    <cfRule type="containsText" dxfId="2615" priority="2401" operator="containsText" text="TÉCNICO">
      <formula>NOT(ISERROR(SEARCH("TÉCNICO",IS31)))</formula>
    </cfRule>
    <cfRule type="containsText" dxfId="2614" priority="2402" operator="containsText" text="PROFESIONAL">
      <formula>NOT(ISERROR(SEARCH("PROFESIONAL",IS31)))</formula>
    </cfRule>
  </conditionalFormatting>
  <conditionalFormatting sqref="IT31">
    <cfRule type="containsText" dxfId="2613" priority="2393" operator="containsText" text="LE HACEN CESÁREA SIN INICIO TRABAJO DE PARTO">
      <formula>NOT(ISERROR(SEARCH("LE HACEN CESÁREA SIN INICIO TRABAJO DE PARTO",IT31)))</formula>
    </cfRule>
    <cfRule type="containsText" dxfId="2612" priority="2394" operator="containsText" text="LE HACEN INDUCCIÓN">
      <formula>NOT(ISERROR(SEARCH("LE HACEN INDUCCIÓN",IT31)))</formula>
    </cfRule>
    <cfRule type="containsText" dxfId="2611" priority="2395" operator="containsText" text="ESPONTÁNEO">
      <formula>NOT(ISERROR(SEARCH("ESPONTÁNEO",IT31)))</formula>
    </cfRule>
  </conditionalFormatting>
  <conditionalFormatting sqref="JI31">
    <cfRule type="containsText" dxfId="2610" priority="2389" operator="containsText" text="NO APLICA">
      <formula>NOT(ISERROR(SEARCH("NO APLICA",JI31)))</formula>
    </cfRule>
    <cfRule type="containsText" dxfId="2609" priority="2390" operator="containsText" text="SIN DATO">
      <formula>NOT(ISERROR(SEARCH("SIN DATO",JI31)))</formula>
    </cfRule>
    <cfRule type="containsText" dxfId="2608" priority="2391" operator="containsText" text="NO">
      <formula>NOT(ISERROR(SEARCH("NO",JI31)))</formula>
    </cfRule>
    <cfRule type="containsText" dxfId="2607" priority="2392" operator="containsText" text="SI">
      <formula>NOT(ISERROR(SEARCH("SI",JI31)))</formula>
    </cfRule>
  </conditionalFormatting>
  <conditionalFormatting sqref="IR32">
    <cfRule type="containsText" dxfId="2606" priority="2385" operator="containsText" text="NO APLICA">
      <formula>NOT(ISERROR(SEARCH("NO APLICA",IR32)))</formula>
    </cfRule>
    <cfRule type="containsText" dxfId="2605" priority="2386" operator="containsText" text="ALTA">
      <formula>NOT(ISERROR(SEARCH("ALTA",IR32)))</formula>
    </cfRule>
    <cfRule type="containsText" dxfId="2604" priority="2387" operator="containsText" text="MEDIANA">
      <formula>NOT(ISERROR(SEARCH("MEDIANA",IR32)))</formula>
    </cfRule>
    <cfRule type="containsText" dxfId="2603" priority="2388" operator="containsText" text="BAJA">
      <formula>NOT(ISERROR(SEARCH("BAJA",IR32)))</formula>
    </cfRule>
  </conditionalFormatting>
  <conditionalFormatting sqref="IS32:IT32">
    <cfRule type="containsText" dxfId="2602" priority="2378" operator="containsText" text="NO APLICA">
      <formula>NOT(ISERROR(SEARCH("NO APLICA",IS32)))</formula>
    </cfRule>
    <cfRule type="containsText" dxfId="2601" priority="2379" operator="containsText" text="SIN">
      <formula>NOT(ISERROR(SEARCH("SIN",IS32)))</formula>
    </cfRule>
    <cfRule type="containsText" dxfId="2600" priority="2380" operator="containsText" text="EQUIPO">
      <formula>NOT(ISERROR(SEARCH("EQUIPO",IS32)))</formula>
    </cfRule>
    <cfRule type="containsText" dxfId="2599" priority="2381" operator="containsText" text="MEDICO TRADICIONAL">
      <formula>NOT(ISERROR(SEARCH("MEDICO TRADICIONAL",IS32)))</formula>
    </cfRule>
    <cfRule type="containsText" dxfId="2598" priority="2382" operator="containsText" text="PARTERA">
      <formula>NOT(ISERROR(SEARCH("PARTERA",IS32)))</formula>
    </cfRule>
    <cfRule type="containsText" dxfId="2597" priority="2383" operator="containsText" text="TÉCNICO">
      <formula>NOT(ISERROR(SEARCH("TÉCNICO",IS32)))</formula>
    </cfRule>
    <cfRule type="containsText" dxfId="2596" priority="2384" operator="containsText" text="PROFESIONAL">
      <formula>NOT(ISERROR(SEARCH("PROFESIONAL",IS32)))</formula>
    </cfRule>
  </conditionalFormatting>
  <conditionalFormatting sqref="IT32">
    <cfRule type="containsText" dxfId="2595" priority="2375" operator="containsText" text="LE HACEN CESÁREA SIN INICIO TRABAJO DE PARTO">
      <formula>NOT(ISERROR(SEARCH("LE HACEN CESÁREA SIN INICIO TRABAJO DE PARTO",IT32)))</formula>
    </cfRule>
    <cfRule type="containsText" dxfId="2594" priority="2376" operator="containsText" text="LE HACEN INDUCCIÓN">
      <formula>NOT(ISERROR(SEARCH("LE HACEN INDUCCIÓN",IT32)))</formula>
    </cfRule>
    <cfRule type="containsText" dxfId="2593" priority="2377" operator="containsText" text="ESPONTÁNEO">
      <formula>NOT(ISERROR(SEARCH("ESPONTÁNEO",IT32)))</formula>
    </cfRule>
  </conditionalFormatting>
  <conditionalFormatting sqref="IR33">
    <cfRule type="containsText" dxfId="2592" priority="2371" operator="containsText" text="NO APLICA">
      <formula>NOT(ISERROR(SEARCH("NO APLICA",IR33)))</formula>
    </cfRule>
    <cfRule type="containsText" dxfId="2591" priority="2372" operator="containsText" text="ALTA">
      <formula>NOT(ISERROR(SEARCH("ALTA",IR33)))</formula>
    </cfRule>
    <cfRule type="containsText" dxfId="2590" priority="2373" operator="containsText" text="MEDIANA">
      <formula>NOT(ISERROR(SEARCH("MEDIANA",IR33)))</formula>
    </cfRule>
    <cfRule type="containsText" dxfId="2589" priority="2374" operator="containsText" text="BAJA">
      <formula>NOT(ISERROR(SEARCH("BAJA",IR33)))</formula>
    </cfRule>
  </conditionalFormatting>
  <conditionalFormatting sqref="IS33:IT33">
    <cfRule type="containsText" dxfId="2588" priority="2364" operator="containsText" text="NO APLICA">
      <formula>NOT(ISERROR(SEARCH("NO APLICA",IS33)))</formula>
    </cfRule>
    <cfRule type="containsText" dxfId="2587" priority="2365" operator="containsText" text="SIN">
      <formula>NOT(ISERROR(SEARCH("SIN",IS33)))</formula>
    </cfRule>
    <cfRule type="containsText" dxfId="2586" priority="2366" operator="containsText" text="EQUIPO">
      <formula>NOT(ISERROR(SEARCH("EQUIPO",IS33)))</formula>
    </cfRule>
    <cfRule type="containsText" dxfId="2585" priority="2367" operator="containsText" text="MEDICO TRADICIONAL">
      <formula>NOT(ISERROR(SEARCH("MEDICO TRADICIONAL",IS33)))</formula>
    </cfRule>
    <cfRule type="containsText" dxfId="2584" priority="2368" operator="containsText" text="PARTERA">
      <formula>NOT(ISERROR(SEARCH("PARTERA",IS33)))</formula>
    </cfRule>
    <cfRule type="containsText" dxfId="2583" priority="2369" operator="containsText" text="TÉCNICO">
      <formula>NOT(ISERROR(SEARCH("TÉCNICO",IS33)))</formula>
    </cfRule>
    <cfRule type="containsText" dxfId="2582" priority="2370" operator="containsText" text="PROFESIONAL">
      <formula>NOT(ISERROR(SEARCH("PROFESIONAL",IS33)))</formula>
    </cfRule>
  </conditionalFormatting>
  <conditionalFormatting sqref="IT33">
    <cfRule type="containsText" dxfId="2581" priority="2361" operator="containsText" text="LE HACEN CESÁREA SIN INICIO TRABAJO DE PARTO">
      <formula>NOT(ISERROR(SEARCH("LE HACEN CESÁREA SIN INICIO TRABAJO DE PARTO",IT33)))</formula>
    </cfRule>
    <cfRule type="containsText" dxfId="2580" priority="2362" operator="containsText" text="LE HACEN INDUCCIÓN">
      <formula>NOT(ISERROR(SEARCH("LE HACEN INDUCCIÓN",IT33)))</formula>
    </cfRule>
    <cfRule type="containsText" dxfId="2579" priority="2363" operator="containsText" text="ESPONTÁNEO">
      <formula>NOT(ISERROR(SEARCH("ESPONTÁNEO",IT33)))</formula>
    </cfRule>
  </conditionalFormatting>
  <conditionalFormatting sqref="JI33">
    <cfRule type="containsText" dxfId="2578" priority="2357" operator="containsText" text="NO APLICA">
      <formula>NOT(ISERROR(SEARCH("NO APLICA",JI33)))</formula>
    </cfRule>
    <cfRule type="containsText" dxfId="2577" priority="2358" operator="containsText" text="SIN DATO">
      <formula>NOT(ISERROR(SEARCH("SIN DATO",JI33)))</formula>
    </cfRule>
    <cfRule type="containsText" dxfId="2576" priority="2359" operator="containsText" text="NO">
      <formula>NOT(ISERROR(SEARCH("NO",JI33)))</formula>
    </cfRule>
    <cfRule type="containsText" dxfId="2575" priority="2360" operator="containsText" text="SI">
      <formula>NOT(ISERROR(SEARCH("SI",JI33)))</formula>
    </cfRule>
  </conditionalFormatting>
  <conditionalFormatting sqref="IR34">
    <cfRule type="containsText" dxfId="2574" priority="2353" operator="containsText" text="NO APLICA">
      <formula>NOT(ISERROR(SEARCH("NO APLICA",IR34)))</formula>
    </cfRule>
    <cfRule type="containsText" dxfId="2573" priority="2354" operator="containsText" text="ALTA">
      <formula>NOT(ISERROR(SEARCH("ALTA",IR34)))</formula>
    </cfRule>
    <cfRule type="containsText" dxfId="2572" priority="2355" operator="containsText" text="MEDIANA">
      <formula>NOT(ISERROR(SEARCH("MEDIANA",IR34)))</formula>
    </cfRule>
    <cfRule type="containsText" dxfId="2571" priority="2356" operator="containsText" text="BAJA">
      <formula>NOT(ISERROR(SEARCH("BAJA",IR34)))</formula>
    </cfRule>
  </conditionalFormatting>
  <conditionalFormatting sqref="IS34:IT34">
    <cfRule type="containsText" dxfId="2570" priority="2346" operator="containsText" text="NO APLICA">
      <formula>NOT(ISERROR(SEARCH("NO APLICA",IS34)))</formula>
    </cfRule>
    <cfRule type="containsText" dxfId="2569" priority="2347" operator="containsText" text="SIN">
      <formula>NOT(ISERROR(SEARCH("SIN",IS34)))</formula>
    </cfRule>
    <cfRule type="containsText" dxfId="2568" priority="2348" operator="containsText" text="EQUIPO">
      <formula>NOT(ISERROR(SEARCH("EQUIPO",IS34)))</formula>
    </cfRule>
    <cfRule type="containsText" dxfId="2567" priority="2349" operator="containsText" text="MEDICO TRADICIONAL">
      <formula>NOT(ISERROR(SEARCH("MEDICO TRADICIONAL",IS34)))</formula>
    </cfRule>
    <cfRule type="containsText" dxfId="2566" priority="2350" operator="containsText" text="PARTERA">
      <formula>NOT(ISERROR(SEARCH("PARTERA",IS34)))</formula>
    </cfRule>
    <cfRule type="containsText" dxfId="2565" priority="2351" operator="containsText" text="TÉCNICO">
      <formula>NOT(ISERROR(SEARCH("TÉCNICO",IS34)))</formula>
    </cfRule>
    <cfRule type="containsText" dxfId="2564" priority="2352" operator="containsText" text="PROFESIONAL">
      <formula>NOT(ISERROR(SEARCH("PROFESIONAL",IS34)))</formula>
    </cfRule>
  </conditionalFormatting>
  <conditionalFormatting sqref="IT34">
    <cfRule type="containsText" dxfId="2563" priority="2343" operator="containsText" text="LE HACEN CESÁREA SIN INICIO TRABAJO DE PARTO">
      <formula>NOT(ISERROR(SEARCH("LE HACEN CESÁREA SIN INICIO TRABAJO DE PARTO",IT34)))</formula>
    </cfRule>
    <cfRule type="containsText" dxfId="2562" priority="2344" operator="containsText" text="LE HACEN INDUCCIÓN">
      <formula>NOT(ISERROR(SEARCH("LE HACEN INDUCCIÓN",IT34)))</formula>
    </cfRule>
    <cfRule type="containsText" dxfId="2561" priority="2345" operator="containsText" text="ESPONTÁNEO">
      <formula>NOT(ISERROR(SEARCH("ESPONTÁNEO",IT34)))</formula>
    </cfRule>
  </conditionalFormatting>
  <conditionalFormatting sqref="JI34">
    <cfRule type="containsText" dxfId="2560" priority="2339" operator="containsText" text="NO APLICA">
      <formula>NOT(ISERROR(SEARCH("NO APLICA",JI34)))</formula>
    </cfRule>
    <cfRule type="containsText" dxfId="2559" priority="2340" operator="containsText" text="SIN DATO">
      <formula>NOT(ISERROR(SEARCH("SIN DATO",JI34)))</formula>
    </cfRule>
    <cfRule type="containsText" dxfId="2558" priority="2341" operator="containsText" text="NO">
      <formula>NOT(ISERROR(SEARCH("NO",JI34)))</formula>
    </cfRule>
    <cfRule type="containsText" dxfId="2557" priority="2342" operator="containsText" text="SI">
      <formula>NOT(ISERROR(SEARCH("SI",JI34)))</formula>
    </cfRule>
  </conditionalFormatting>
  <conditionalFormatting sqref="IR35">
    <cfRule type="containsText" dxfId="2556" priority="2335" operator="containsText" text="NO APLICA">
      <formula>NOT(ISERROR(SEARCH("NO APLICA",IR35)))</formula>
    </cfRule>
    <cfRule type="containsText" dxfId="2555" priority="2336" operator="containsText" text="ALTA">
      <formula>NOT(ISERROR(SEARCH("ALTA",IR35)))</formula>
    </cfRule>
    <cfRule type="containsText" dxfId="2554" priority="2337" operator="containsText" text="MEDIANA">
      <formula>NOT(ISERROR(SEARCH("MEDIANA",IR35)))</formula>
    </cfRule>
    <cfRule type="containsText" dxfId="2553" priority="2338" operator="containsText" text="BAJA">
      <formula>NOT(ISERROR(SEARCH("BAJA",IR35)))</formula>
    </cfRule>
  </conditionalFormatting>
  <conditionalFormatting sqref="IS35:IT35">
    <cfRule type="containsText" dxfId="2552" priority="2328" operator="containsText" text="NO APLICA">
      <formula>NOT(ISERROR(SEARCH("NO APLICA",IS35)))</formula>
    </cfRule>
    <cfRule type="containsText" dxfId="2551" priority="2329" operator="containsText" text="SIN">
      <formula>NOT(ISERROR(SEARCH("SIN",IS35)))</formula>
    </cfRule>
    <cfRule type="containsText" dxfId="2550" priority="2330" operator="containsText" text="EQUIPO">
      <formula>NOT(ISERROR(SEARCH("EQUIPO",IS35)))</formula>
    </cfRule>
    <cfRule type="containsText" dxfId="2549" priority="2331" operator="containsText" text="MEDICO TRADICIONAL">
      <formula>NOT(ISERROR(SEARCH("MEDICO TRADICIONAL",IS35)))</formula>
    </cfRule>
    <cfRule type="containsText" dxfId="2548" priority="2332" operator="containsText" text="PARTERA">
      <formula>NOT(ISERROR(SEARCH("PARTERA",IS35)))</formula>
    </cfRule>
    <cfRule type="containsText" dxfId="2547" priority="2333" operator="containsText" text="TÉCNICO">
      <formula>NOT(ISERROR(SEARCH("TÉCNICO",IS35)))</formula>
    </cfRule>
    <cfRule type="containsText" dxfId="2546" priority="2334" operator="containsText" text="PROFESIONAL">
      <formula>NOT(ISERROR(SEARCH("PROFESIONAL",IS35)))</formula>
    </cfRule>
  </conditionalFormatting>
  <conditionalFormatting sqref="IT35">
    <cfRule type="containsText" dxfId="2545" priority="2325" operator="containsText" text="LE HACEN CESÁREA SIN INICIO TRABAJO DE PARTO">
      <formula>NOT(ISERROR(SEARCH("LE HACEN CESÁREA SIN INICIO TRABAJO DE PARTO",IT35)))</formula>
    </cfRule>
    <cfRule type="containsText" dxfId="2544" priority="2326" operator="containsText" text="LE HACEN INDUCCIÓN">
      <formula>NOT(ISERROR(SEARCH("LE HACEN INDUCCIÓN",IT35)))</formula>
    </cfRule>
    <cfRule type="containsText" dxfId="2543" priority="2327" operator="containsText" text="ESPONTÁNEO">
      <formula>NOT(ISERROR(SEARCH("ESPONTÁNEO",IT35)))</formula>
    </cfRule>
  </conditionalFormatting>
  <conditionalFormatting sqref="JI35">
    <cfRule type="containsText" dxfId="2542" priority="2321" operator="containsText" text="NO APLICA">
      <formula>NOT(ISERROR(SEARCH("NO APLICA",JI35)))</formula>
    </cfRule>
    <cfRule type="containsText" dxfId="2541" priority="2322" operator="containsText" text="SIN DATO">
      <formula>NOT(ISERROR(SEARCH("SIN DATO",JI35)))</formula>
    </cfRule>
    <cfRule type="containsText" dxfId="2540" priority="2323" operator="containsText" text="NO">
      <formula>NOT(ISERROR(SEARCH("NO",JI35)))</formula>
    </cfRule>
    <cfRule type="containsText" dxfId="2539" priority="2324" operator="containsText" text="SI">
      <formula>NOT(ISERROR(SEARCH("SI",JI35)))</formula>
    </cfRule>
  </conditionalFormatting>
  <conditionalFormatting sqref="IR36">
    <cfRule type="containsText" dxfId="2538" priority="2317" operator="containsText" text="NO APLICA">
      <formula>NOT(ISERROR(SEARCH("NO APLICA",IR36)))</formula>
    </cfRule>
    <cfRule type="containsText" dxfId="2537" priority="2318" operator="containsText" text="ALTA">
      <formula>NOT(ISERROR(SEARCH("ALTA",IR36)))</formula>
    </cfRule>
    <cfRule type="containsText" dxfId="2536" priority="2319" operator="containsText" text="MEDIANA">
      <formula>NOT(ISERROR(SEARCH("MEDIANA",IR36)))</formula>
    </cfRule>
    <cfRule type="containsText" dxfId="2535" priority="2320" operator="containsText" text="BAJA">
      <formula>NOT(ISERROR(SEARCH("BAJA",IR36)))</formula>
    </cfRule>
  </conditionalFormatting>
  <conditionalFormatting sqref="IS36:IT36">
    <cfRule type="containsText" dxfId="2534" priority="2310" operator="containsText" text="NO APLICA">
      <formula>NOT(ISERROR(SEARCH("NO APLICA",IS36)))</formula>
    </cfRule>
    <cfRule type="containsText" dxfId="2533" priority="2311" operator="containsText" text="SIN">
      <formula>NOT(ISERROR(SEARCH("SIN",IS36)))</formula>
    </cfRule>
    <cfRule type="containsText" dxfId="2532" priority="2312" operator="containsText" text="EQUIPO">
      <formula>NOT(ISERROR(SEARCH("EQUIPO",IS36)))</formula>
    </cfRule>
    <cfRule type="containsText" dxfId="2531" priority="2313" operator="containsText" text="MEDICO TRADICIONAL">
      <formula>NOT(ISERROR(SEARCH("MEDICO TRADICIONAL",IS36)))</formula>
    </cfRule>
    <cfRule type="containsText" dxfId="2530" priority="2314" operator="containsText" text="PARTERA">
      <formula>NOT(ISERROR(SEARCH("PARTERA",IS36)))</formula>
    </cfRule>
    <cfRule type="containsText" dxfId="2529" priority="2315" operator="containsText" text="TÉCNICO">
      <formula>NOT(ISERROR(SEARCH("TÉCNICO",IS36)))</formula>
    </cfRule>
    <cfRule type="containsText" dxfId="2528" priority="2316" operator="containsText" text="PROFESIONAL">
      <formula>NOT(ISERROR(SEARCH("PROFESIONAL",IS36)))</formula>
    </cfRule>
  </conditionalFormatting>
  <conditionalFormatting sqref="IT36">
    <cfRule type="containsText" dxfId="2527" priority="2307" operator="containsText" text="LE HACEN CESÁREA SIN INICIO TRABAJO DE PARTO">
      <formula>NOT(ISERROR(SEARCH("LE HACEN CESÁREA SIN INICIO TRABAJO DE PARTO",IT36)))</formula>
    </cfRule>
    <cfRule type="containsText" dxfId="2526" priority="2308" operator="containsText" text="LE HACEN INDUCCIÓN">
      <formula>NOT(ISERROR(SEARCH("LE HACEN INDUCCIÓN",IT36)))</formula>
    </cfRule>
    <cfRule type="containsText" dxfId="2525" priority="2309" operator="containsText" text="ESPONTÁNEO">
      <formula>NOT(ISERROR(SEARCH("ESPONTÁNEO",IT36)))</formula>
    </cfRule>
  </conditionalFormatting>
  <conditionalFormatting sqref="IR37">
    <cfRule type="containsText" dxfId="2524" priority="2303" operator="containsText" text="NO APLICA">
      <formula>NOT(ISERROR(SEARCH("NO APLICA",IR37)))</formula>
    </cfRule>
    <cfRule type="containsText" dxfId="2523" priority="2304" operator="containsText" text="ALTA">
      <formula>NOT(ISERROR(SEARCH("ALTA",IR37)))</formula>
    </cfRule>
    <cfRule type="containsText" dxfId="2522" priority="2305" operator="containsText" text="MEDIANA">
      <formula>NOT(ISERROR(SEARCH("MEDIANA",IR37)))</formula>
    </cfRule>
    <cfRule type="containsText" dxfId="2521" priority="2306" operator="containsText" text="BAJA">
      <formula>NOT(ISERROR(SEARCH("BAJA",IR37)))</formula>
    </cfRule>
  </conditionalFormatting>
  <conditionalFormatting sqref="IS37:IT37">
    <cfRule type="containsText" dxfId="2520" priority="2296" operator="containsText" text="NO APLICA">
      <formula>NOT(ISERROR(SEARCH("NO APLICA",IS37)))</formula>
    </cfRule>
    <cfRule type="containsText" dxfId="2519" priority="2297" operator="containsText" text="SIN">
      <formula>NOT(ISERROR(SEARCH("SIN",IS37)))</formula>
    </cfRule>
    <cfRule type="containsText" dxfId="2518" priority="2298" operator="containsText" text="EQUIPO">
      <formula>NOT(ISERROR(SEARCH("EQUIPO",IS37)))</formula>
    </cfRule>
    <cfRule type="containsText" dxfId="2517" priority="2299" operator="containsText" text="MEDICO TRADICIONAL">
      <formula>NOT(ISERROR(SEARCH("MEDICO TRADICIONAL",IS37)))</formula>
    </cfRule>
    <cfRule type="containsText" dxfId="2516" priority="2300" operator="containsText" text="PARTERA">
      <formula>NOT(ISERROR(SEARCH("PARTERA",IS37)))</formula>
    </cfRule>
    <cfRule type="containsText" dxfId="2515" priority="2301" operator="containsText" text="TÉCNICO">
      <formula>NOT(ISERROR(SEARCH("TÉCNICO",IS37)))</formula>
    </cfRule>
    <cfRule type="containsText" dxfId="2514" priority="2302" operator="containsText" text="PROFESIONAL">
      <formula>NOT(ISERROR(SEARCH("PROFESIONAL",IS37)))</formula>
    </cfRule>
  </conditionalFormatting>
  <conditionalFormatting sqref="IT37">
    <cfRule type="containsText" dxfId="2513" priority="2293" operator="containsText" text="LE HACEN CESÁREA SIN INICIO TRABAJO DE PARTO">
      <formula>NOT(ISERROR(SEARCH("LE HACEN CESÁREA SIN INICIO TRABAJO DE PARTO",IT37)))</formula>
    </cfRule>
    <cfRule type="containsText" dxfId="2512" priority="2294" operator="containsText" text="LE HACEN INDUCCIÓN">
      <formula>NOT(ISERROR(SEARCH("LE HACEN INDUCCIÓN",IT37)))</formula>
    </cfRule>
    <cfRule type="containsText" dxfId="2511" priority="2295" operator="containsText" text="ESPONTÁNEO">
      <formula>NOT(ISERROR(SEARCH("ESPONTÁNEO",IT37)))</formula>
    </cfRule>
  </conditionalFormatting>
  <conditionalFormatting sqref="JI37">
    <cfRule type="containsText" dxfId="2510" priority="2289" operator="containsText" text="NO APLICA">
      <formula>NOT(ISERROR(SEARCH("NO APLICA",JI37)))</formula>
    </cfRule>
    <cfRule type="containsText" dxfId="2509" priority="2290" operator="containsText" text="SIN DATO">
      <formula>NOT(ISERROR(SEARCH("SIN DATO",JI37)))</formula>
    </cfRule>
    <cfRule type="containsText" dxfId="2508" priority="2291" operator="containsText" text="NO">
      <formula>NOT(ISERROR(SEARCH("NO",JI37)))</formula>
    </cfRule>
    <cfRule type="containsText" dxfId="2507" priority="2292" operator="containsText" text="SI">
      <formula>NOT(ISERROR(SEARCH("SI",JI37)))</formula>
    </cfRule>
  </conditionalFormatting>
  <conditionalFormatting sqref="IS38:IT38">
    <cfRule type="containsText" dxfId="2506" priority="2282" operator="containsText" text="NO APLICA">
      <formula>NOT(ISERROR(SEARCH("NO APLICA",IS38)))</formula>
    </cfRule>
    <cfRule type="containsText" dxfId="2505" priority="2283" operator="containsText" text="SIN">
      <formula>NOT(ISERROR(SEARCH("SIN",IS38)))</formula>
    </cfRule>
    <cfRule type="containsText" dxfId="2504" priority="2284" operator="containsText" text="EQUIPO">
      <formula>NOT(ISERROR(SEARCH("EQUIPO",IS38)))</formula>
    </cfRule>
    <cfRule type="containsText" dxfId="2503" priority="2285" operator="containsText" text="MEDICO TRADICIONAL">
      <formula>NOT(ISERROR(SEARCH("MEDICO TRADICIONAL",IS38)))</formula>
    </cfRule>
    <cfRule type="containsText" dxfId="2502" priority="2286" operator="containsText" text="PARTERA">
      <formula>NOT(ISERROR(SEARCH("PARTERA",IS38)))</formula>
    </cfRule>
    <cfRule type="containsText" dxfId="2501" priority="2287" operator="containsText" text="TÉCNICO">
      <formula>NOT(ISERROR(SEARCH("TÉCNICO",IS38)))</formula>
    </cfRule>
    <cfRule type="containsText" dxfId="2500" priority="2288" operator="containsText" text="PROFESIONAL">
      <formula>NOT(ISERROR(SEARCH("PROFESIONAL",IS38)))</formula>
    </cfRule>
  </conditionalFormatting>
  <conditionalFormatting sqref="IT38">
    <cfRule type="containsText" dxfId="2499" priority="2279" operator="containsText" text="LE HACEN CESÁREA SIN INICIO TRABAJO DE PARTO">
      <formula>NOT(ISERROR(SEARCH("LE HACEN CESÁREA SIN INICIO TRABAJO DE PARTO",IT38)))</formula>
    </cfRule>
    <cfRule type="containsText" dxfId="2498" priority="2280" operator="containsText" text="LE HACEN INDUCCIÓN">
      <formula>NOT(ISERROR(SEARCH("LE HACEN INDUCCIÓN",IT38)))</formula>
    </cfRule>
    <cfRule type="containsText" dxfId="2497" priority="2281" operator="containsText" text="ESPONTÁNEO">
      <formula>NOT(ISERROR(SEARCH("ESPONTÁNEO",IT38)))</formula>
    </cfRule>
  </conditionalFormatting>
  <conditionalFormatting sqref="JI38">
    <cfRule type="containsText" dxfId="2496" priority="2275" operator="containsText" text="NO APLICA">
      <formula>NOT(ISERROR(SEARCH("NO APLICA",JI38)))</formula>
    </cfRule>
    <cfRule type="containsText" dxfId="2495" priority="2276" operator="containsText" text="SIN DATO">
      <formula>NOT(ISERROR(SEARCH("SIN DATO",JI38)))</formula>
    </cfRule>
    <cfRule type="containsText" dxfId="2494" priority="2277" operator="containsText" text="NO">
      <formula>NOT(ISERROR(SEARCH("NO",JI38)))</formula>
    </cfRule>
    <cfRule type="containsText" dxfId="2493" priority="2278" operator="containsText" text="SI">
      <formula>NOT(ISERROR(SEARCH("SI",JI38)))</formula>
    </cfRule>
  </conditionalFormatting>
  <conditionalFormatting sqref="IR39">
    <cfRule type="containsText" dxfId="2492" priority="2271" operator="containsText" text="NO APLICA">
      <formula>NOT(ISERROR(SEARCH("NO APLICA",IR39)))</formula>
    </cfRule>
    <cfRule type="containsText" dxfId="2491" priority="2272" operator="containsText" text="ALTA">
      <formula>NOT(ISERROR(SEARCH("ALTA",IR39)))</formula>
    </cfRule>
    <cfRule type="containsText" dxfId="2490" priority="2273" operator="containsText" text="MEDIANA">
      <formula>NOT(ISERROR(SEARCH("MEDIANA",IR39)))</formula>
    </cfRule>
    <cfRule type="containsText" dxfId="2489" priority="2274" operator="containsText" text="BAJA">
      <formula>NOT(ISERROR(SEARCH("BAJA",IR39)))</formula>
    </cfRule>
  </conditionalFormatting>
  <conditionalFormatting sqref="IS39:IT39">
    <cfRule type="containsText" dxfId="2488" priority="2264" operator="containsText" text="NO APLICA">
      <formula>NOT(ISERROR(SEARCH("NO APLICA",IS39)))</formula>
    </cfRule>
    <cfRule type="containsText" dxfId="2487" priority="2265" operator="containsText" text="SIN">
      <formula>NOT(ISERROR(SEARCH("SIN",IS39)))</formula>
    </cfRule>
    <cfRule type="containsText" dxfId="2486" priority="2266" operator="containsText" text="EQUIPO">
      <formula>NOT(ISERROR(SEARCH("EQUIPO",IS39)))</formula>
    </cfRule>
    <cfRule type="containsText" dxfId="2485" priority="2267" operator="containsText" text="MEDICO TRADICIONAL">
      <formula>NOT(ISERROR(SEARCH("MEDICO TRADICIONAL",IS39)))</formula>
    </cfRule>
    <cfRule type="containsText" dxfId="2484" priority="2268" operator="containsText" text="PARTERA">
      <formula>NOT(ISERROR(SEARCH("PARTERA",IS39)))</formula>
    </cfRule>
    <cfRule type="containsText" dxfId="2483" priority="2269" operator="containsText" text="TÉCNICO">
      <formula>NOT(ISERROR(SEARCH("TÉCNICO",IS39)))</formula>
    </cfRule>
    <cfRule type="containsText" dxfId="2482" priority="2270" operator="containsText" text="PROFESIONAL">
      <formula>NOT(ISERROR(SEARCH("PROFESIONAL",IS39)))</formula>
    </cfRule>
  </conditionalFormatting>
  <conditionalFormatting sqref="IT39">
    <cfRule type="containsText" dxfId="2481" priority="2261" operator="containsText" text="LE HACEN CESÁREA SIN INICIO TRABAJO DE PARTO">
      <formula>NOT(ISERROR(SEARCH("LE HACEN CESÁREA SIN INICIO TRABAJO DE PARTO",IT39)))</formula>
    </cfRule>
    <cfRule type="containsText" dxfId="2480" priority="2262" operator="containsText" text="LE HACEN INDUCCIÓN">
      <formula>NOT(ISERROR(SEARCH("LE HACEN INDUCCIÓN",IT39)))</formula>
    </cfRule>
    <cfRule type="containsText" dxfId="2479" priority="2263" operator="containsText" text="ESPONTÁNEO">
      <formula>NOT(ISERROR(SEARCH("ESPONTÁNEO",IT39)))</formula>
    </cfRule>
  </conditionalFormatting>
  <conditionalFormatting sqref="JI39">
    <cfRule type="containsText" dxfId="2478" priority="2257" operator="containsText" text="NO APLICA">
      <formula>NOT(ISERROR(SEARCH("NO APLICA",JI39)))</formula>
    </cfRule>
    <cfRule type="containsText" dxfId="2477" priority="2258" operator="containsText" text="SIN DATO">
      <formula>NOT(ISERROR(SEARCH("SIN DATO",JI39)))</formula>
    </cfRule>
    <cfRule type="containsText" dxfId="2476" priority="2259" operator="containsText" text="NO">
      <formula>NOT(ISERROR(SEARCH("NO",JI39)))</formula>
    </cfRule>
    <cfRule type="containsText" dxfId="2475" priority="2260" operator="containsText" text="SI">
      <formula>NOT(ISERROR(SEARCH("SI",JI39)))</formula>
    </cfRule>
  </conditionalFormatting>
  <conditionalFormatting sqref="IR40">
    <cfRule type="containsText" dxfId="2474" priority="2253" operator="containsText" text="NO APLICA">
      <formula>NOT(ISERROR(SEARCH("NO APLICA",IR40)))</formula>
    </cfRule>
    <cfRule type="containsText" dxfId="2473" priority="2254" operator="containsText" text="ALTA">
      <formula>NOT(ISERROR(SEARCH("ALTA",IR40)))</formula>
    </cfRule>
    <cfRule type="containsText" dxfId="2472" priority="2255" operator="containsText" text="MEDIANA">
      <formula>NOT(ISERROR(SEARCH("MEDIANA",IR40)))</formula>
    </cfRule>
    <cfRule type="containsText" dxfId="2471" priority="2256" operator="containsText" text="BAJA">
      <formula>NOT(ISERROR(SEARCH("BAJA",IR40)))</formula>
    </cfRule>
  </conditionalFormatting>
  <conditionalFormatting sqref="IS40:IT40">
    <cfRule type="containsText" dxfId="2470" priority="2246" operator="containsText" text="NO APLICA">
      <formula>NOT(ISERROR(SEARCH("NO APLICA",IS40)))</formula>
    </cfRule>
    <cfRule type="containsText" dxfId="2469" priority="2247" operator="containsText" text="SIN">
      <formula>NOT(ISERROR(SEARCH("SIN",IS40)))</formula>
    </cfRule>
    <cfRule type="containsText" dxfId="2468" priority="2248" operator="containsText" text="EQUIPO">
      <formula>NOT(ISERROR(SEARCH("EQUIPO",IS40)))</formula>
    </cfRule>
    <cfRule type="containsText" dxfId="2467" priority="2249" operator="containsText" text="MEDICO TRADICIONAL">
      <formula>NOT(ISERROR(SEARCH("MEDICO TRADICIONAL",IS40)))</formula>
    </cfRule>
    <cfRule type="containsText" dxfId="2466" priority="2250" operator="containsText" text="PARTERA">
      <formula>NOT(ISERROR(SEARCH("PARTERA",IS40)))</formula>
    </cfRule>
    <cfRule type="containsText" dxfId="2465" priority="2251" operator="containsText" text="TÉCNICO">
      <formula>NOT(ISERROR(SEARCH("TÉCNICO",IS40)))</formula>
    </cfRule>
    <cfRule type="containsText" dxfId="2464" priority="2252" operator="containsText" text="PROFESIONAL">
      <formula>NOT(ISERROR(SEARCH("PROFESIONAL",IS40)))</formula>
    </cfRule>
  </conditionalFormatting>
  <conditionalFormatting sqref="IT40">
    <cfRule type="containsText" dxfId="2463" priority="2243" operator="containsText" text="LE HACEN CESÁREA SIN INICIO TRABAJO DE PARTO">
      <formula>NOT(ISERROR(SEARCH("LE HACEN CESÁREA SIN INICIO TRABAJO DE PARTO",IT40)))</formula>
    </cfRule>
    <cfRule type="containsText" dxfId="2462" priority="2244" operator="containsText" text="LE HACEN INDUCCIÓN">
      <formula>NOT(ISERROR(SEARCH("LE HACEN INDUCCIÓN",IT40)))</formula>
    </cfRule>
    <cfRule type="containsText" dxfId="2461" priority="2245" operator="containsText" text="ESPONTÁNEO">
      <formula>NOT(ISERROR(SEARCH("ESPONTÁNEO",IT40)))</formula>
    </cfRule>
  </conditionalFormatting>
  <conditionalFormatting sqref="JI40">
    <cfRule type="containsText" dxfId="2460" priority="2239" operator="containsText" text="NO APLICA">
      <formula>NOT(ISERROR(SEARCH("NO APLICA",JI40)))</formula>
    </cfRule>
    <cfRule type="containsText" dxfId="2459" priority="2240" operator="containsText" text="SIN DATO">
      <formula>NOT(ISERROR(SEARCH("SIN DATO",JI40)))</formula>
    </cfRule>
    <cfRule type="containsText" dxfId="2458" priority="2241" operator="containsText" text="NO">
      <formula>NOT(ISERROR(SEARCH("NO",JI40)))</formula>
    </cfRule>
    <cfRule type="containsText" dxfId="2457" priority="2242" operator="containsText" text="SI">
      <formula>NOT(ISERROR(SEARCH("SI",JI40)))</formula>
    </cfRule>
  </conditionalFormatting>
  <conditionalFormatting sqref="IR42">
    <cfRule type="containsText" dxfId="2456" priority="2235" operator="containsText" text="NO APLICA">
      <formula>NOT(ISERROR(SEARCH("NO APLICA",IR42)))</formula>
    </cfRule>
    <cfRule type="containsText" dxfId="2455" priority="2236" operator="containsText" text="ALTA">
      <formula>NOT(ISERROR(SEARCH("ALTA",IR42)))</formula>
    </cfRule>
    <cfRule type="containsText" dxfId="2454" priority="2237" operator="containsText" text="MEDIANA">
      <formula>NOT(ISERROR(SEARCH("MEDIANA",IR42)))</formula>
    </cfRule>
    <cfRule type="containsText" dxfId="2453" priority="2238" operator="containsText" text="BAJA">
      <formula>NOT(ISERROR(SEARCH("BAJA",IR42)))</formula>
    </cfRule>
  </conditionalFormatting>
  <conditionalFormatting sqref="IS42:IT42">
    <cfRule type="containsText" dxfId="2452" priority="2228" operator="containsText" text="NO APLICA">
      <formula>NOT(ISERROR(SEARCH("NO APLICA",IS42)))</formula>
    </cfRule>
    <cfRule type="containsText" dxfId="2451" priority="2229" operator="containsText" text="SIN">
      <formula>NOT(ISERROR(SEARCH("SIN",IS42)))</formula>
    </cfRule>
    <cfRule type="containsText" dxfId="2450" priority="2230" operator="containsText" text="EQUIPO">
      <formula>NOT(ISERROR(SEARCH("EQUIPO",IS42)))</formula>
    </cfRule>
    <cfRule type="containsText" dxfId="2449" priority="2231" operator="containsText" text="MEDICO TRADICIONAL">
      <formula>NOT(ISERROR(SEARCH("MEDICO TRADICIONAL",IS42)))</formula>
    </cfRule>
    <cfRule type="containsText" dxfId="2448" priority="2232" operator="containsText" text="PARTERA">
      <formula>NOT(ISERROR(SEARCH("PARTERA",IS42)))</formula>
    </cfRule>
    <cfRule type="containsText" dxfId="2447" priority="2233" operator="containsText" text="TÉCNICO">
      <formula>NOT(ISERROR(SEARCH("TÉCNICO",IS42)))</formula>
    </cfRule>
    <cfRule type="containsText" dxfId="2446" priority="2234" operator="containsText" text="PROFESIONAL">
      <formula>NOT(ISERROR(SEARCH("PROFESIONAL",IS42)))</formula>
    </cfRule>
  </conditionalFormatting>
  <conditionalFormatting sqref="IT42">
    <cfRule type="containsText" dxfId="2445" priority="2225" operator="containsText" text="LE HACEN CESÁREA SIN INICIO TRABAJO DE PARTO">
      <formula>NOT(ISERROR(SEARCH("LE HACEN CESÁREA SIN INICIO TRABAJO DE PARTO",IT42)))</formula>
    </cfRule>
    <cfRule type="containsText" dxfId="2444" priority="2226" operator="containsText" text="LE HACEN INDUCCIÓN">
      <formula>NOT(ISERROR(SEARCH("LE HACEN INDUCCIÓN",IT42)))</formula>
    </cfRule>
    <cfRule type="containsText" dxfId="2443" priority="2227" operator="containsText" text="ESPONTÁNEO">
      <formula>NOT(ISERROR(SEARCH("ESPONTÁNEO",IT42)))</formula>
    </cfRule>
  </conditionalFormatting>
  <conditionalFormatting sqref="JI42">
    <cfRule type="containsText" dxfId="2442" priority="2221" operator="containsText" text="NO APLICA">
      <formula>NOT(ISERROR(SEARCH("NO APLICA",JI42)))</formula>
    </cfRule>
    <cfRule type="containsText" dxfId="2441" priority="2222" operator="containsText" text="SIN DATO">
      <formula>NOT(ISERROR(SEARCH("SIN DATO",JI42)))</formula>
    </cfRule>
    <cfRule type="containsText" dxfId="2440" priority="2223" operator="containsText" text="NO">
      <formula>NOT(ISERROR(SEARCH("NO",JI42)))</formula>
    </cfRule>
    <cfRule type="containsText" dxfId="2439" priority="2224" operator="containsText" text="SI">
      <formula>NOT(ISERROR(SEARCH("SI",JI42)))</formula>
    </cfRule>
  </conditionalFormatting>
  <conditionalFormatting sqref="IR43">
    <cfRule type="containsText" dxfId="2438" priority="2217" operator="containsText" text="NO APLICA">
      <formula>NOT(ISERROR(SEARCH("NO APLICA",IR43)))</formula>
    </cfRule>
    <cfRule type="containsText" dxfId="2437" priority="2218" operator="containsText" text="ALTA">
      <formula>NOT(ISERROR(SEARCH("ALTA",IR43)))</formula>
    </cfRule>
    <cfRule type="containsText" dxfId="2436" priority="2219" operator="containsText" text="MEDIANA">
      <formula>NOT(ISERROR(SEARCH("MEDIANA",IR43)))</formula>
    </cfRule>
    <cfRule type="containsText" dxfId="2435" priority="2220" operator="containsText" text="BAJA">
      <formula>NOT(ISERROR(SEARCH("BAJA",IR43)))</formula>
    </cfRule>
  </conditionalFormatting>
  <conditionalFormatting sqref="IS43:IT43">
    <cfRule type="containsText" dxfId="2434" priority="2210" operator="containsText" text="NO APLICA">
      <formula>NOT(ISERROR(SEARCH("NO APLICA",IS43)))</formula>
    </cfRule>
    <cfRule type="containsText" dxfId="2433" priority="2211" operator="containsText" text="SIN">
      <formula>NOT(ISERROR(SEARCH("SIN",IS43)))</formula>
    </cfRule>
    <cfRule type="containsText" dxfId="2432" priority="2212" operator="containsText" text="EQUIPO">
      <formula>NOT(ISERROR(SEARCH("EQUIPO",IS43)))</formula>
    </cfRule>
    <cfRule type="containsText" dxfId="2431" priority="2213" operator="containsText" text="MEDICO TRADICIONAL">
      <formula>NOT(ISERROR(SEARCH("MEDICO TRADICIONAL",IS43)))</formula>
    </cfRule>
    <cfRule type="containsText" dxfId="2430" priority="2214" operator="containsText" text="PARTERA">
      <formula>NOT(ISERROR(SEARCH("PARTERA",IS43)))</formula>
    </cfRule>
    <cfRule type="containsText" dxfId="2429" priority="2215" operator="containsText" text="TÉCNICO">
      <formula>NOT(ISERROR(SEARCH("TÉCNICO",IS43)))</formula>
    </cfRule>
    <cfRule type="containsText" dxfId="2428" priority="2216" operator="containsText" text="PROFESIONAL">
      <formula>NOT(ISERROR(SEARCH("PROFESIONAL",IS43)))</formula>
    </cfRule>
  </conditionalFormatting>
  <conditionalFormatting sqref="IT43">
    <cfRule type="containsText" dxfId="2427" priority="2207" operator="containsText" text="LE HACEN CESÁREA SIN INICIO TRABAJO DE PARTO">
      <formula>NOT(ISERROR(SEARCH("LE HACEN CESÁREA SIN INICIO TRABAJO DE PARTO",IT43)))</formula>
    </cfRule>
    <cfRule type="containsText" dxfId="2426" priority="2208" operator="containsText" text="LE HACEN INDUCCIÓN">
      <formula>NOT(ISERROR(SEARCH("LE HACEN INDUCCIÓN",IT43)))</formula>
    </cfRule>
    <cfRule type="containsText" dxfId="2425" priority="2209" operator="containsText" text="ESPONTÁNEO">
      <formula>NOT(ISERROR(SEARCH("ESPONTÁNEO",IT43)))</formula>
    </cfRule>
  </conditionalFormatting>
  <conditionalFormatting sqref="IR44">
    <cfRule type="containsText" dxfId="2424" priority="2203" operator="containsText" text="NO APLICA">
      <formula>NOT(ISERROR(SEARCH("NO APLICA",IR44)))</formula>
    </cfRule>
    <cfRule type="containsText" dxfId="2423" priority="2204" operator="containsText" text="ALTA">
      <formula>NOT(ISERROR(SEARCH("ALTA",IR44)))</formula>
    </cfRule>
    <cfRule type="containsText" dxfId="2422" priority="2205" operator="containsText" text="MEDIANA">
      <formula>NOT(ISERROR(SEARCH("MEDIANA",IR44)))</formula>
    </cfRule>
    <cfRule type="containsText" dxfId="2421" priority="2206" operator="containsText" text="BAJA">
      <formula>NOT(ISERROR(SEARCH("BAJA",IR44)))</formula>
    </cfRule>
  </conditionalFormatting>
  <conditionalFormatting sqref="IS44:IT44">
    <cfRule type="containsText" dxfId="2420" priority="2196" operator="containsText" text="NO APLICA">
      <formula>NOT(ISERROR(SEARCH("NO APLICA",IS44)))</formula>
    </cfRule>
    <cfRule type="containsText" dxfId="2419" priority="2197" operator="containsText" text="SIN">
      <formula>NOT(ISERROR(SEARCH("SIN",IS44)))</formula>
    </cfRule>
    <cfRule type="containsText" dxfId="2418" priority="2198" operator="containsText" text="EQUIPO">
      <formula>NOT(ISERROR(SEARCH("EQUIPO",IS44)))</formula>
    </cfRule>
    <cfRule type="containsText" dxfId="2417" priority="2199" operator="containsText" text="MEDICO TRADICIONAL">
      <formula>NOT(ISERROR(SEARCH("MEDICO TRADICIONAL",IS44)))</formula>
    </cfRule>
    <cfRule type="containsText" dxfId="2416" priority="2200" operator="containsText" text="PARTERA">
      <formula>NOT(ISERROR(SEARCH("PARTERA",IS44)))</formula>
    </cfRule>
    <cfRule type="containsText" dxfId="2415" priority="2201" operator="containsText" text="TÉCNICO">
      <formula>NOT(ISERROR(SEARCH("TÉCNICO",IS44)))</formula>
    </cfRule>
    <cfRule type="containsText" dxfId="2414" priority="2202" operator="containsText" text="PROFESIONAL">
      <formula>NOT(ISERROR(SEARCH("PROFESIONAL",IS44)))</formula>
    </cfRule>
  </conditionalFormatting>
  <conditionalFormatting sqref="IT44">
    <cfRule type="containsText" dxfId="2413" priority="2193" operator="containsText" text="LE HACEN CESÁREA SIN INICIO TRABAJO DE PARTO">
      <formula>NOT(ISERROR(SEARCH("LE HACEN CESÁREA SIN INICIO TRABAJO DE PARTO",IT44)))</formula>
    </cfRule>
    <cfRule type="containsText" dxfId="2412" priority="2194" operator="containsText" text="LE HACEN INDUCCIÓN">
      <formula>NOT(ISERROR(SEARCH("LE HACEN INDUCCIÓN",IT44)))</formula>
    </cfRule>
    <cfRule type="containsText" dxfId="2411" priority="2195" operator="containsText" text="ESPONTÁNEO">
      <formula>NOT(ISERROR(SEARCH("ESPONTÁNEO",IT44)))</formula>
    </cfRule>
  </conditionalFormatting>
  <conditionalFormatting sqref="JI44">
    <cfRule type="containsText" dxfId="2410" priority="2189" operator="containsText" text="NO APLICA">
      <formula>NOT(ISERROR(SEARCH("NO APLICA",JI44)))</formula>
    </cfRule>
    <cfRule type="containsText" dxfId="2409" priority="2190" operator="containsText" text="SIN DATO">
      <formula>NOT(ISERROR(SEARCH("SIN DATO",JI44)))</formula>
    </cfRule>
    <cfRule type="containsText" dxfId="2408" priority="2191" operator="containsText" text="NO">
      <formula>NOT(ISERROR(SEARCH("NO",JI44)))</formula>
    </cfRule>
    <cfRule type="containsText" dxfId="2407" priority="2192" operator="containsText" text="SI">
      <formula>NOT(ISERROR(SEARCH("SI",JI44)))</formula>
    </cfRule>
  </conditionalFormatting>
  <conditionalFormatting sqref="IR45">
    <cfRule type="containsText" dxfId="2406" priority="2185" operator="containsText" text="NO APLICA">
      <formula>NOT(ISERROR(SEARCH("NO APLICA",IR45)))</formula>
    </cfRule>
    <cfRule type="containsText" dxfId="2405" priority="2186" operator="containsText" text="ALTA">
      <formula>NOT(ISERROR(SEARCH("ALTA",IR45)))</formula>
    </cfRule>
    <cfRule type="containsText" dxfId="2404" priority="2187" operator="containsText" text="MEDIANA">
      <formula>NOT(ISERROR(SEARCH("MEDIANA",IR45)))</formula>
    </cfRule>
    <cfRule type="containsText" dxfId="2403" priority="2188" operator="containsText" text="BAJA">
      <formula>NOT(ISERROR(SEARCH("BAJA",IR45)))</formula>
    </cfRule>
  </conditionalFormatting>
  <conditionalFormatting sqref="IS45:IT45">
    <cfRule type="containsText" dxfId="2402" priority="2178" operator="containsText" text="NO APLICA">
      <formula>NOT(ISERROR(SEARCH("NO APLICA",IS45)))</formula>
    </cfRule>
    <cfRule type="containsText" dxfId="2401" priority="2179" operator="containsText" text="SIN">
      <formula>NOT(ISERROR(SEARCH("SIN",IS45)))</formula>
    </cfRule>
    <cfRule type="containsText" dxfId="2400" priority="2180" operator="containsText" text="EQUIPO">
      <formula>NOT(ISERROR(SEARCH("EQUIPO",IS45)))</formula>
    </cfRule>
    <cfRule type="containsText" dxfId="2399" priority="2181" operator="containsText" text="MEDICO TRADICIONAL">
      <formula>NOT(ISERROR(SEARCH("MEDICO TRADICIONAL",IS45)))</formula>
    </cfRule>
    <cfRule type="containsText" dxfId="2398" priority="2182" operator="containsText" text="PARTERA">
      <formula>NOT(ISERROR(SEARCH("PARTERA",IS45)))</formula>
    </cfRule>
    <cfRule type="containsText" dxfId="2397" priority="2183" operator="containsText" text="TÉCNICO">
      <formula>NOT(ISERROR(SEARCH("TÉCNICO",IS45)))</formula>
    </cfRule>
    <cfRule type="containsText" dxfId="2396" priority="2184" operator="containsText" text="PROFESIONAL">
      <formula>NOT(ISERROR(SEARCH("PROFESIONAL",IS45)))</formula>
    </cfRule>
  </conditionalFormatting>
  <conditionalFormatting sqref="IT45">
    <cfRule type="containsText" dxfId="2395" priority="2175" operator="containsText" text="LE HACEN CESÁREA SIN INICIO TRABAJO DE PARTO">
      <formula>NOT(ISERROR(SEARCH("LE HACEN CESÁREA SIN INICIO TRABAJO DE PARTO",IT45)))</formula>
    </cfRule>
    <cfRule type="containsText" dxfId="2394" priority="2176" operator="containsText" text="LE HACEN INDUCCIÓN">
      <formula>NOT(ISERROR(SEARCH("LE HACEN INDUCCIÓN",IT45)))</formula>
    </cfRule>
    <cfRule type="containsText" dxfId="2393" priority="2177" operator="containsText" text="ESPONTÁNEO">
      <formula>NOT(ISERROR(SEARCH("ESPONTÁNEO",IT45)))</formula>
    </cfRule>
  </conditionalFormatting>
  <conditionalFormatting sqref="JI45">
    <cfRule type="containsText" dxfId="2392" priority="2171" operator="containsText" text="NO APLICA">
      <formula>NOT(ISERROR(SEARCH("NO APLICA",JI45)))</formula>
    </cfRule>
    <cfRule type="containsText" dxfId="2391" priority="2172" operator="containsText" text="SIN DATO">
      <formula>NOT(ISERROR(SEARCH("SIN DATO",JI45)))</formula>
    </cfRule>
    <cfRule type="containsText" dxfId="2390" priority="2173" operator="containsText" text="NO">
      <formula>NOT(ISERROR(SEARCH("NO",JI45)))</formula>
    </cfRule>
    <cfRule type="containsText" dxfId="2389" priority="2174" operator="containsText" text="SI">
      <formula>NOT(ISERROR(SEARCH("SI",JI45)))</formula>
    </cfRule>
  </conditionalFormatting>
  <conditionalFormatting sqref="IR48">
    <cfRule type="containsText" dxfId="2388" priority="2167" operator="containsText" text="NO APLICA">
      <formula>NOT(ISERROR(SEARCH("NO APLICA",IR48)))</formula>
    </cfRule>
    <cfRule type="containsText" dxfId="2387" priority="2168" operator="containsText" text="ALTA">
      <formula>NOT(ISERROR(SEARCH("ALTA",IR48)))</formula>
    </cfRule>
    <cfRule type="containsText" dxfId="2386" priority="2169" operator="containsText" text="MEDIANA">
      <formula>NOT(ISERROR(SEARCH("MEDIANA",IR48)))</formula>
    </cfRule>
    <cfRule type="containsText" dxfId="2385" priority="2170" operator="containsText" text="BAJA">
      <formula>NOT(ISERROR(SEARCH("BAJA",IR48)))</formula>
    </cfRule>
  </conditionalFormatting>
  <conditionalFormatting sqref="IS48:IT48">
    <cfRule type="containsText" dxfId="2384" priority="2160" operator="containsText" text="NO APLICA">
      <formula>NOT(ISERROR(SEARCH("NO APLICA",IS48)))</formula>
    </cfRule>
    <cfRule type="containsText" dxfId="2383" priority="2161" operator="containsText" text="SIN">
      <formula>NOT(ISERROR(SEARCH("SIN",IS48)))</formula>
    </cfRule>
    <cfRule type="containsText" dxfId="2382" priority="2162" operator="containsText" text="EQUIPO">
      <formula>NOT(ISERROR(SEARCH("EQUIPO",IS48)))</formula>
    </cfRule>
    <cfRule type="containsText" dxfId="2381" priority="2163" operator="containsText" text="MEDICO TRADICIONAL">
      <formula>NOT(ISERROR(SEARCH("MEDICO TRADICIONAL",IS48)))</formula>
    </cfRule>
    <cfRule type="containsText" dxfId="2380" priority="2164" operator="containsText" text="PARTERA">
      <formula>NOT(ISERROR(SEARCH("PARTERA",IS48)))</formula>
    </cfRule>
    <cfRule type="containsText" dxfId="2379" priority="2165" operator="containsText" text="TÉCNICO">
      <formula>NOT(ISERROR(SEARCH("TÉCNICO",IS48)))</formula>
    </cfRule>
    <cfRule type="containsText" dxfId="2378" priority="2166" operator="containsText" text="PROFESIONAL">
      <formula>NOT(ISERROR(SEARCH("PROFESIONAL",IS48)))</formula>
    </cfRule>
  </conditionalFormatting>
  <conditionalFormatting sqref="IT48">
    <cfRule type="containsText" dxfId="2377" priority="2157" operator="containsText" text="LE HACEN CESÁREA SIN INICIO TRABAJO DE PARTO">
      <formula>NOT(ISERROR(SEARCH("LE HACEN CESÁREA SIN INICIO TRABAJO DE PARTO",IT48)))</formula>
    </cfRule>
    <cfRule type="containsText" dxfId="2376" priority="2158" operator="containsText" text="LE HACEN INDUCCIÓN">
      <formula>NOT(ISERROR(SEARCH("LE HACEN INDUCCIÓN",IT48)))</formula>
    </cfRule>
    <cfRule type="containsText" dxfId="2375" priority="2159" operator="containsText" text="ESPONTÁNEO">
      <formula>NOT(ISERROR(SEARCH("ESPONTÁNEO",IT48)))</formula>
    </cfRule>
  </conditionalFormatting>
  <conditionalFormatting sqref="JI48">
    <cfRule type="containsText" dxfId="2374" priority="2153" operator="containsText" text="NO APLICA">
      <formula>NOT(ISERROR(SEARCH("NO APLICA",JI48)))</formula>
    </cfRule>
    <cfRule type="containsText" dxfId="2373" priority="2154" operator="containsText" text="SIN DATO">
      <formula>NOT(ISERROR(SEARCH("SIN DATO",JI48)))</formula>
    </cfRule>
    <cfRule type="containsText" dxfId="2372" priority="2155" operator="containsText" text="NO">
      <formula>NOT(ISERROR(SEARCH("NO",JI48)))</formula>
    </cfRule>
    <cfRule type="containsText" dxfId="2371" priority="2156" operator="containsText" text="SI">
      <formula>NOT(ISERROR(SEARCH("SI",JI48)))</formula>
    </cfRule>
  </conditionalFormatting>
  <conditionalFormatting sqref="IR49">
    <cfRule type="containsText" dxfId="2370" priority="2149" operator="containsText" text="NO APLICA">
      <formula>NOT(ISERROR(SEARCH("NO APLICA",IR49)))</formula>
    </cfRule>
    <cfRule type="containsText" dxfId="2369" priority="2150" operator="containsText" text="ALTA">
      <formula>NOT(ISERROR(SEARCH("ALTA",IR49)))</formula>
    </cfRule>
    <cfRule type="containsText" dxfId="2368" priority="2151" operator="containsText" text="MEDIANA">
      <formula>NOT(ISERROR(SEARCH("MEDIANA",IR49)))</formula>
    </cfRule>
    <cfRule type="containsText" dxfId="2367" priority="2152" operator="containsText" text="BAJA">
      <formula>NOT(ISERROR(SEARCH("BAJA",IR49)))</formula>
    </cfRule>
  </conditionalFormatting>
  <conditionalFormatting sqref="IS49:IT49">
    <cfRule type="containsText" dxfId="2366" priority="2142" operator="containsText" text="NO APLICA">
      <formula>NOT(ISERROR(SEARCH("NO APLICA",IS49)))</formula>
    </cfRule>
    <cfRule type="containsText" dxfId="2365" priority="2143" operator="containsText" text="SIN">
      <formula>NOT(ISERROR(SEARCH("SIN",IS49)))</formula>
    </cfRule>
    <cfRule type="containsText" dxfId="2364" priority="2144" operator="containsText" text="EQUIPO">
      <formula>NOT(ISERROR(SEARCH("EQUIPO",IS49)))</formula>
    </cfRule>
    <cfRule type="containsText" dxfId="2363" priority="2145" operator="containsText" text="MEDICO TRADICIONAL">
      <formula>NOT(ISERROR(SEARCH("MEDICO TRADICIONAL",IS49)))</formula>
    </cfRule>
    <cfRule type="containsText" dxfId="2362" priority="2146" operator="containsText" text="PARTERA">
      <formula>NOT(ISERROR(SEARCH("PARTERA",IS49)))</formula>
    </cfRule>
    <cfRule type="containsText" dxfId="2361" priority="2147" operator="containsText" text="TÉCNICO">
      <formula>NOT(ISERROR(SEARCH("TÉCNICO",IS49)))</formula>
    </cfRule>
    <cfRule type="containsText" dxfId="2360" priority="2148" operator="containsText" text="PROFESIONAL">
      <formula>NOT(ISERROR(SEARCH("PROFESIONAL",IS49)))</formula>
    </cfRule>
  </conditionalFormatting>
  <conditionalFormatting sqref="IT49">
    <cfRule type="containsText" dxfId="2359" priority="2139" operator="containsText" text="LE HACEN CESÁREA SIN INICIO TRABAJO DE PARTO">
      <formula>NOT(ISERROR(SEARCH("LE HACEN CESÁREA SIN INICIO TRABAJO DE PARTO",IT49)))</formula>
    </cfRule>
    <cfRule type="containsText" dxfId="2358" priority="2140" operator="containsText" text="LE HACEN INDUCCIÓN">
      <formula>NOT(ISERROR(SEARCH("LE HACEN INDUCCIÓN",IT49)))</formula>
    </cfRule>
    <cfRule type="containsText" dxfId="2357" priority="2141" operator="containsText" text="ESPONTÁNEO">
      <formula>NOT(ISERROR(SEARCH("ESPONTÁNEO",IT49)))</formula>
    </cfRule>
  </conditionalFormatting>
  <conditionalFormatting sqref="IR50">
    <cfRule type="containsText" dxfId="2356" priority="2135" operator="containsText" text="NO APLICA">
      <formula>NOT(ISERROR(SEARCH("NO APLICA",IR50)))</formula>
    </cfRule>
    <cfRule type="containsText" dxfId="2355" priority="2136" operator="containsText" text="ALTA">
      <formula>NOT(ISERROR(SEARCH("ALTA",IR50)))</formula>
    </cfRule>
    <cfRule type="containsText" dxfId="2354" priority="2137" operator="containsText" text="MEDIANA">
      <formula>NOT(ISERROR(SEARCH("MEDIANA",IR50)))</formula>
    </cfRule>
    <cfRule type="containsText" dxfId="2353" priority="2138" operator="containsText" text="BAJA">
      <formula>NOT(ISERROR(SEARCH("BAJA",IR50)))</formula>
    </cfRule>
  </conditionalFormatting>
  <conditionalFormatting sqref="IS50:IT50">
    <cfRule type="containsText" dxfId="2352" priority="2128" operator="containsText" text="NO APLICA">
      <formula>NOT(ISERROR(SEARCH("NO APLICA",IS50)))</formula>
    </cfRule>
    <cfRule type="containsText" dxfId="2351" priority="2129" operator="containsText" text="SIN">
      <formula>NOT(ISERROR(SEARCH("SIN",IS50)))</formula>
    </cfRule>
    <cfRule type="containsText" dxfId="2350" priority="2130" operator="containsText" text="EQUIPO">
      <formula>NOT(ISERROR(SEARCH("EQUIPO",IS50)))</formula>
    </cfRule>
    <cfRule type="containsText" dxfId="2349" priority="2131" operator="containsText" text="MEDICO TRADICIONAL">
      <formula>NOT(ISERROR(SEARCH("MEDICO TRADICIONAL",IS50)))</formula>
    </cfRule>
    <cfRule type="containsText" dxfId="2348" priority="2132" operator="containsText" text="PARTERA">
      <formula>NOT(ISERROR(SEARCH("PARTERA",IS50)))</formula>
    </cfRule>
    <cfRule type="containsText" dxfId="2347" priority="2133" operator="containsText" text="TÉCNICO">
      <formula>NOT(ISERROR(SEARCH("TÉCNICO",IS50)))</formula>
    </cfRule>
    <cfRule type="containsText" dxfId="2346" priority="2134" operator="containsText" text="PROFESIONAL">
      <formula>NOT(ISERROR(SEARCH("PROFESIONAL",IS50)))</formula>
    </cfRule>
  </conditionalFormatting>
  <conditionalFormatting sqref="IT50">
    <cfRule type="containsText" dxfId="2345" priority="2125" operator="containsText" text="LE HACEN CESÁREA SIN INICIO TRABAJO DE PARTO">
      <formula>NOT(ISERROR(SEARCH("LE HACEN CESÁREA SIN INICIO TRABAJO DE PARTO",IT50)))</formula>
    </cfRule>
    <cfRule type="containsText" dxfId="2344" priority="2126" operator="containsText" text="LE HACEN INDUCCIÓN">
      <formula>NOT(ISERROR(SEARCH("LE HACEN INDUCCIÓN",IT50)))</formula>
    </cfRule>
    <cfRule type="containsText" dxfId="2343" priority="2127" operator="containsText" text="ESPONTÁNEO">
      <formula>NOT(ISERROR(SEARCH("ESPONTÁNEO",IT50)))</formula>
    </cfRule>
  </conditionalFormatting>
  <conditionalFormatting sqref="JI50">
    <cfRule type="containsText" dxfId="2342" priority="2121" operator="containsText" text="NO APLICA">
      <formula>NOT(ISERROR(SEARCH("NO APLICA",JI50)))</formula>
    </cfRule>
    <cfRule type="containsText" dxfId="2341" priority="2122" operator="containsText" text="SIN DATO">
      <formula>NOT(ISERROR(SEARCH("SIN DATO",JI50)))</formula>
    </cfRule>
    <cfRule type="containsText" dxfId="2340" priority="2123" operator="containsText" text="NO">
      <formula>NOT(ISERROR(SEARCH("NO",JI50)))</formula>
    </cfRule>
    <cfRule type="containsText" dxfId="2339" priority="2124" operator="containsText" text="SI">
      <formula>NOT(ISERROR(SEARCH("SI",JI50)))</formula>
    </cfRule>
  </conditionalFormatting>
  <conditionalFormatting sqref="IR51">
    <cfRule type="containsText" dxfId="2338" priority="2117" operator="containsText" text="NO APLICA">
      <formula>NOT(ISERROR(SEARCH("NO APLICA",IR51)))</formula>
    </cfRule>
    <cfRule type="containsText" dxfId="2337" priority="2118" operator="containsText" text="ALTA">
      <formula>NOT(ISERROR(SEARCH("ALTA",IR51)))</formula>
    </cfRule>
    <cfRule type="containsText" dxfId="2336" priority="2119" operator="containsText" text="MEDIANA">
      <formula>NOT(ISERROR(SEARCH("MEDIANA",IR51)))</formula>
    </cfRule>
    <cfRule type="containsText" dxfId="2335" priority="2120" operator="containsText" text="BAJA">
      <formula>NOT(ISERROR(SEARCH("BAJA",IR51)))</formula>
    </cfRule>
  </conditionalFormatting>
  <conditionalFormatting sqref="IS51:IT51">
    <cfRule type="containsText" dxfId="2334" priority="2110" operator="containsText" text="NO APLICA">
      <formula>NOT(ISERROR(SEARCH("NO APLICA",IS51)))</formula>
    </cfRule>
    <cfRule type="containsText" dxfId="2333" priority="2111" operator="containsText" text="SIN">
      <formula>NOT(ISERROR(SEARCH("SIN",IS51)))</formula>
    </cfRule>
    <cfRule type="containsText" dxfId="2332" priority="2112" operator="containsText" text="EQUIPO">
      <formula>NOT(ISERROR(SEARCH("EQUIPO",IS51)))</formula>
    </cfRule>
    <cfRule type="containsText" dxfId="2331" priority="2113" operator="containsText" text="MEDICO TRADICIONAL">
      <formula>NOT(ISERROR(SEARCH("MEDICO TRADICIONAL",IS51)))</formula>
    </cfRule>
    <cfRule type="containsText" dxfId="2330" priority="2114" operator="containsText" text="PARTERA">
      <formula>NOT(ISERROR(SEARCH("PARTERA",IS51)))</formula>
    </cfRule>
    <cfRule type="containsText" dxfId="2329" priority="2115" operator="containsText" text="TÉCNICO">
      <formula>NOT(ISERROR(SEARCH("TÉCNICO",IS51)))</formula>
    </cfRule>
    <cfRule type="containsText" dxfId="2328" priority="2116" operator="containsText" text="PROFESIONAL">
      <formula>NOT(ISERROR(SEARCH("PROFESIONAL",IS51)))</formula>
    </cfRule>
  </conditionalFormatting>
  <conditionalFormatting sqref="IT51">
    <cfRule type="containsText" dxfId="2327" priority="2107" operator="containsText" text="LE HACEN CESÁREA SIN INICIO TRABAJO DE PARTO">
      <formula>NOT(ISERROR(SEARCH("LE HACEN CESÁREA SIN INICIO TRABAJO DE PARTO",IT51)))</formula>
    </cfRule>
    <cfRule type="containsText" dxfId="2326" priority="2108" operator="containsText" text="LE HACEN INDUCCIÓN">
      <formula>NOT(ISERROR(SEARCH("LE HACEN INDUCCIÓN",IT51)))</formula>
    </cfRule>
    <cfRule type="containsText" dxfId="2325" priority="2109" operator="containsText" text="ESPONTÁNEO">
      <formula>NOT(ISERROR(SEARCH("ESPONTÁNEO",IT51)))</formula>
    </cfRule>
  </conditionalFormatting>
  <conditionalFormatting sqref="JI51">
    <cfRule type="containsText" dxfId="2324" priority="2103" operator="containsText" text="NO APLICA">
      <formula>NOT(ISERROR(SEARCH("NO APLICA",JI51)))</formula>
    </cfRule>
    <cfRule type="containsText" dxfId="2323" priority="2104" operator="containsText" text="SIN DATO">
      <formula>NOT(ISERROR(SEARCH("SIN DATO",JI51)))</formula>
    </cfRule>
    <cfRule type="containsText" dxfId="2322" priority="2105" operator="containsText" text="NO">
      <formula>NOT(ISERROR(SEARCH("NO",JI51)))</formula>
    </cfRule>
    <cfRule type="containsText" dxfId="2321" priority="2106" operator="containsText" text="SI">
      <formula>NOT(ISERROR(SEARCH("SI",JI51)))</formula>
    </cfRule>
  </conditionalFormatting>
  <conditionalFormatting sqref="IR52">
    <cfRule type="containsText" dxfId="2320" priority="2099" operator="containsText" text="NO APLICA">
      <formula>NOT(ISERROR(SEARCH("NO APLICA",IR52)))</formula>
    </cfRule>
    <cfRule type="containsText" dxfId="2319" priority="2100" operator="containsText" text="ALTA">
      <formula>NOT(ISERROR(SEARCH("ALTA",IR52)))</formula>
    </cfRule>
    <cfRule type="containsText" dxfId="2318" priority="2101" operator="containsText" text="MEDIANA">
      <formula>NOT(ISERROR(SEARCH("MEDIANA",IR52)))</formula>
    </cfRule>
    <cfRule type="containsText" dxfId="2317" priority="2102" operator="containsText" text="BAJA">
      <formula>NOT(ISERROR(SEARCH("BAJA",IR52)))</formula>
    </cfRule>
  </conditionalFormatting>
  <conditionalFormatting sqref="IS52:IT52">
    <cfRule type="containsText" dxfId="2316" priority="2092" operator="containsText" text="NO APLICA">
      <formula>NOT(ISERROR(SEARCH("NO APLICA",IS52)))</formula>
    </cfRule>
    <cfRule type="containsText" dxfId="2315" priority="2093" operator="containsText" text="SIN">
      <formula>NOT(ISERROR(SEARCH("SIN",IS52)))</formula>
    </cfRule>
    <cfRule type="containsText" dxfId="2314" priority="2094" operator="containsText" text="EQUIPO">
      <formula>NOT(ISERROR(SEARCH("EQUIPO",IS52)))</formula>
    </cfRule>
    <cfRule type="containsText" dxfId="2313" priority="2095" operator="containsText" text="MEDICO TRADICIONAL">
      <formula>NOT(ISERROR(SEARCH("MEDICO TRADICIONAL",IS52)))</formula>
    </cfRule>
    <cfRule type="containsText" dxfId="2312" priority="2096" operator="containsText" text="PARTERA">
      <formula>NOT(ISERROR(SEARCH("PARTERA",IS52)))</formula>
    </cfRule>
    <cfRule type="containsText" dxfId="2311" priority="2097" operator="containsText" text="TÉCNICO">
      <formula>NOT(ISERROR(SEARCH("TÉCNICO",IS52)))</formula>
    </cfRule>
    <cfRule type="containsText" dxfId="2310" priority="2098" operator="containsText" text="PROFESIONAL">
      <formula>NOT(ISERROR(SEARCH("PROFESIONAL",IS52)))</formula>
    </cfRule>
  </conditionalFormatting>
  <conditionalFormatting sqref="IT52">
    <cfRule type="containsText" dxfId="2309" priority="2089" operator="containsText" text="LE HACEN CESÁREA SIN INICIO TRABAJO DE PARTO">
      <formula>NOT(ISERROR(SEARCH("LE HACEN CESÁREA SIN INICIO TRABAJO DE PARTO",IT52)))</formula>
    </cfRule>
    <cfRule type="containsText" dxfId="2308" priority="2090" operator="containsText" text="LE HACEN INDUCCIÓN">
      <formula>NOT(ISERROR(SEARCH("LE HACEN INDUCCIÓN",IT52)))</formula>
    </cfRule>
    <cfRule type="containsText" dxfId="2307" priority="2091" operator="containsText" text="ESPONTÁNEO">
      <formula>NOT(ISERROR(SEARCH("ESPONTÁNEO",IT52)))</formula>
    </cfRule>
  </conditionalFormatting>
  <conditionalFormatting sqref="JI52">
    <cfRule type="containsText" dxfId="2306" priority="2085" operator="containsText" text="NO APLICA">
      <formula>NOT(ISERROR(SEARCH("NO APLICA",JI52)))</formula>
    </cfRule>
    <cfRule type="containsText" dxfId="2305" priority="2086" operator="containsText" text="SIN DATO">
      <formula>NOT(ISERROR(SEARCH("SIN DATO",JI52)))</formula>
    </cfRule>
    <cfRule type="containsText" dxfId="2304" priority="2087" operator="containsText" text="NO">
      <formula>NOT(ISERROR(SEARCH("NO",JI52)))</formula>
    </cfRule>
    <cfRule type="containsText" dxfId="2303" priority="2088" operator="containsText" text="SI">
      <formula>NOT(ISERROR(SEARCH("SI",JI52)))</formula>
    </cfRule>
  </conditionalFormatting>
  <conditionalFormatting sqref="IR53">
    <cfRule type="containsText" dxfId="2302" priority="2081" operator="containsText" text="NO APLICA">
      <formula>NOT(ISERROR(SEARCH("NO APLICA",IR53)))</formula>
    </cfRule>
    <cfRule type="containsText" dxfId="2301" priority="2082" operator="containsText" text="ALTA">
      <formula>NOT(ISERROR(SEARCH("ALTA",IR53)))</formula>
    </cfRule>
    <cfRule type="containsText" dxfId="2300" priority="2083" operator="containsText" text="MEDIANA">
      <formula>NOT(ISERROR(SEARCH("MEDIANA",IR53)))</formula>
    </cfRule>
    <cfRule type="containsText" dxfId="2299" priority="2084" operator="containsText" text="BAJA">
      <formula>NOT(ISERROR(SEARCH("BAJA",IR53)))</formula>
    </cfRule>
  </conditionalFormatting>
  <conditionalFormatting sqref="IS53:IT53">
    <cfRule type="containsText" dxfId="2298" priority="2074" operator="containsText" text="NO APLICA">
      <formula>NOT(ISERROR(SEARCH("NO APLICA",IS53)))</formula>
    </cfRule>
    <cfRule type="containsText" dxfId="2297" priority="2075" operator="containsText" text="SIN">
      <formula>NOT(ISERROR(SEARCH("SIN",IS53)))</formula>
    </cfRule>
    <cfRule type="containsText" dxfId="2296" priority="2076" operator="containsText" text="EQUIPO">
      <formula>NOT(ISERROR(SEARCH("EQUIPO",IS53)))</formula>
    </cfRule>
    <cfRule type="containsText" dxfId="2295" priority="2077" operator="containsText" text="MEDICO TRADICIONAL">
      <formula>NOT(ISERROR(SEARCH("MEDICO TRADICIONAL",IS53)))</formula>
    </cfRule>
    <cfRule type="containsText" dxfId="2294" priority="2078" operator="containsText" text="PARTERA">
      <formula>NOT(ISERROR(SEARCH("PARTERA",IS53)))</formula>
    </cfRule>
    <cfRule type="containsText" dxfId="2293" priority="2079" operator="containsText" text="TÉCNICO">
      <formula>NOT(ISERROR(SEARCH("TÉCNICO",IS53)))</formula>
    </cfRule>
    <cfRule type="containsText" dxfId="2292" priority="2080" operator="containsText" text="PROFESIONAL">
      <formula>NOT(ISERROR(SEARCH("PROFESIONAL",IS53)))</formula>
    </cfRule>
  </conditionalFormatting>
  <conditionalFormatting sqref="IT53">
    <cfRule type="containsText" dxfId="2291" priority="2071" operator="containsText" text="LE HACEN CESÁREA SIN INICIO TRABAJO DE PARTO">
      <formula>NOT(ISERROR(SEARCH("LE HACEN CESÁREA SIN INICIO TRABAJO DE PARTO",IT53)))</formula>
    </cfRule>
    <cfRule type="containsText" dxfId="2290" priority="2072" operator="containsText" text="LE HACEN INDUCCIÓN">
      <formula>NOT(ISERROR(SEARCH("LE HACEN INDUCCIÓN",IT53)))</formula>
    </cfRule>
    <cfRule type="containsText" dxfId="2289" priority="2073" operator="containsText" text="ESPONTÁNEO">
      <formula>NOT(ISERROR(SEARCH("ESPONTÁNEO",IT53)))</formula>
    </cfRule>
  </conditionalFormatting>
  <conditionalFormatting sqref="IR54">
    <cfRule type="containsText" dxfId="2288" priority="2067" operator="containsText" text="NO APLICA">
      <formula>NOT(ISERROR(SEARCH("NO APLICA",IR54)))</formula>
    </cfRule>
    <cfRule type="containsText" dxfId="2287" priority="2068" operator="containsText" text="ALTA">
      <formula>NOT(ISERROR(SEARCH("ALTA",IR54)))</formula>
    </cfRule>
    <cfRule type="containsText" dxfId="2286" priority="2069" operator="containsText" text="MEDIANA">
      <formula>NOT(ISERROR(SEARCH("MEDIANA",IR54)))</formula>
    </cfRule>
    <cfRule type="containsText" dxfId="2285" priority="2070" operator="containsText" text="BAJA">
      <formula>NOT(ISERROR(SEARCH("BAJA",IR54)))</formula>
    </cfRule>
  </conditionalFormatting>
  <conditionalFormatting sqref="IS54:IT54">
    <cfRule type="containsText" dxfId="2284" priority="2060" operator="containsText" text="NO APLICA">
      <formula>NOT(ISERROR(SEARCH("NO APLICA",IS54)))</formula>
    </cfRule>
    <cfRule type="containsText" dxfId="2283" priority="2061" operator="containsText" text="SIN">
      <formula>NOT(ISERROR(SEARCH("SIN",IS54)))</formula>
    </cfRule>
    <cfRule type="containsText" dxfId="2282" priority="2062" operator="containsText" text="EQUIPO">
      <formula>NOT(ISERROR(SEARCH("EQUIPO",IS54)))</formula>
    </cfRule>
    <cfRule type="containsText" dxfId="2281" priority="2063" operator="containsText" text="MEDICO TRADICIONAL">
      <formula>NOT(ISERROR(SEARCH("MEDICO TRADICIONAL",IS54)))</formula>
    </cfRule>
    <cfRule type="containsText" dxfId="2280" priority="2064" operator="containsText" text="PARTERA">
      <formula>NOT(ISERROR(SEARCH("PARTERA",IS54)))</formula>
    </cfRule>
    <cfRule type="containsText" dxfId="2279" priority="2065" operator="containsText" text="TÉCNICO">
      <formula>NOT(ISERROR(SEARCH("TÉCNICO",IS54)))</formula>
    </cfRule>
    <cfRule type="containsText" dxfId="2278" priority="2066" operator="containsText" text="PROFESIONAL">
      <formula>NOT(ISERROR(SEARCH("PROFESIONAL",IS54)))</formula>
    </cfRule>
  </conditionalFormatting>
  <conditionalFormatting sqref="IT54">
    <cfRule type="containsText" dxfId="2277" priority="2057" operator="containsText" text="LE HACEN CESÁREA SIN INICIO TRABAJO DE PARTO">
      <formula>NOT(ISERROR(SEARCH("LE HACEN CESÁREA SIN INICIO TRABAJO DE PARTO",IT54)))</formula>
    </cfRule>
    <cfRule type="containsText" dxfId="2276" priority="2058" operator="containsText" text="LE HACEN INDUCCIÓN">
      <formula>NOT(ISERROR(SEARCH("LE HACEN INDUCCIÓN",IT54)))</formula>
    </cfRule>
    <cfRule type="containsText" dxfId="2275" priority="2059" operator="containsText" text="ESPONTÁNEO">
      <formula>NOT(ISERROR(SEARCH("ESPONTÁNEO",IT54)))</formula>
    </cfRule>
  </conditionalFormatting>
  <conditionalFormatting sqref="JI54">
    <cfRule type="containsText" dxfId="2274" priority="2053" operator="containsText" text="NO APLICA">
      <formula>NOT(ISERROR(SEARCH("NO APLICA",JI54)))</formula>
    </cfRule>
    <cfRule type="containsText" dxfId="2273" priority="2054" operator="containsText" text="SIN DATO">
      <formula>NOT(ISERROR(SEARCH("SIN DATO",JI54)))</formula>
    </cfRule>
    <cfRule type="containsText" dxfId="2272" priority="2055" operator="containsText" text="NO">
      <formula>NOT(ISERROR(SEARCH("NO",JI54)))</formula>
    </cfRule>
    <cfRule type="containsText" dxfId="2271" priority="2056" operator="containsText" text="SI">
      <formula>NOT(ISERROR(SEARCH("SI",JI54)))</formula>
    </cfRule>
  </conditionalFormatting>
  <conditionalFormatting sqref="IR55">
    <cfRule type="containsText" dxfId="2270" priority="2049" operator="containsText" text="NO APLICA">
      <formula>NOT(ISERROR(SEARCH("NO APLICA",IR55)))</formula>
    </cfRule>
    <cfRule type="containsText" dxfId="2269" priority="2050" operator="containsText" text="ALTA">
      <formula>NOT(ISERROR(SEARCH("ALTA",IR55)))</formula>
    </cfRule>
    <cfRule type="containsText" dxfId="2268" priority="2051" operator="containsText" text="MEDIANA">
      <formula>NOT(ISERROR(SEARCH("MEDIANA",IR55)))</formula>
    </cfRule>
    <cfRule type="containsText" dxfId="2267" priority="2052" operator="containsText" text="BAJA">
      <formula>NOT(ISERROR(SEARCH("BAJA",IR55)))</formula>
    </cfRule>
  </conditionalFormatting>
  <conditionalFormatting sqref="IS55:IT55">
    <cfRule type="containsText" dxfId="2266" priority="2042" operator="containsText" text="NO APLICA">
      <formula>NOT(ISERROR(SEARCH("NO APLICA",IS55)))</formula>
    </cfRule>
    <cfRule type="containsText" dxfId="2265" priority="2043" operator="containsText" text="SIN">
      <formula>NOT(ISERROR(SEARCH("SIN",IS55)))</formula>
    </cfRule>
    <cfRule type="containsText" dxfId="2264" priority="2044" operator="containsText" text="EQUIPO">
      <formula>NOT(ISERROR(SEARCH("EQUIPO",IS55)))</formula>
    </cfRule>
    <cfRule type="containsText" dxfId="2263" priority="2045" operator="containsText" text="MEDICO TRADICIONAL">
      <formula>NOT(ISERROR(SEARCH("MEDICO TRADICIONAL",IS55)))</formula>
    </cfRule>
    <cfRule type="containsText" dxfId="2262" priority="2046" operator="containsText" text="PARTERA">
      <formula>NOT(ISERROR(SEARCH("PARTERA",IS55)))</formula>
    </cfRule>
    <cfRule type="containsText" dxfId="2261" priority="2047" operator="containsText" text="TÉCNICO">
      <formula>NOT(ISERROR(SEARCH("TÉCNICO",IS55)))</formula>
    </cfRule>
    <cfRule type="containsText" dxfId="2260" priority="2048" operator="containsText" text="PROFESIONAL">
      <formula>NOT(ISERROR(SEARCH("PROFESIONAL",IS55)))</formula>
    </cfRule>
  </conditionalFormatting>
  <conditionalFormatting sqref="IT55">
    <cfRule type="containsText" dxfId="2259" priority="2039" operator="containsText" text="LE HACEN CESÁREA SIN INICIO TRABAJO DE PARTO">
      <formula>NOT(ISERROR(SEARCH("LE HACEN CESÁREA SIN INICIO TRABAJO DE PARTO",IT55)))</formula>
    </cfRule>
    <cfRule type="containsText" dxfId="2258" priority="2040" operator="containsText" text="LE HACEN INDUCCIÓN">
      <formula>NOT(ISERROR(SEARCH("LE HACEN INDUCCIÓN",IT55)))</formula>
    </cfRule>
    <cfRule type="containsText" dxfId="2257" priority="2041" operator="containsText" text="ESPONTÁNEO">
      <formula>NOT(ISERROR(SEARCH("ESPONTÁNEO",IT55)))</formula>
    </cfRule>
  </conditionalFormatting>
  <conditionalFormatting sqref="JI55">
    <cfRule type="containsText" dxfId="2256" priority="2035" operator="containsText" text="NO APLICA">
      <formula>NOT(ISERROR(SEARCH("NO APLICA",JI55)))</formula>
    </cfRule>
    <cfRule type="containsText" dxfId="2255" priority="2036" operator="containsText" text="SIN DATO">
      <formula>NOT(ISERROR(SEARCH("SIN DATO",JI55)))</formula>
    </cfRule>
    <cfRule type="containsText" dxfId="2254" priority="2037" operator="containsText" text="NO">
      <formula>NOT(ISERROR(SEARCH("NO",JI55)))</formula>
    </cfRule>
    <cfRule type="containsText" dxfId="2253" priority="2038" operator="containsText" text="SI">
      <formula>NOT(ISERROR(SEARCH("SI",JI55)))</formula>
    </cfRule>
  </conditionalFormatting>
  <conditionalFormatting sqref="IR56">
    <cfRule type="containsText" dxfId="2252" priority="2031" operator="containsText" text="NO APLICA">
      <formula>NOT(ISERROR(SEARCH("NO APLICA",IR56)))</formula>
    </cfRule>
    <cfRule type="containsText" dxfId="2251" priority="2032" operator="containsText" text="ALTA">
      <formula>NOT(ISERROR(SEARCH("ALTA",IR56)))</formula>
    </cfRule>
    <cfRule type="containsText" dxfId="2250" priority="2033" operator="containsText" text="MEDIANA">
      <formula>NOT(ISERROR(SEARCH("MEDIANA",IR56)))</formula>
    </cfRule>
    <cfRule type="containsText" dxfId="2249" priority="2034" operator="containsText" text="BAJA">
      <formula>NOT(ISERROR(SEARCH("BAJA",IR56)))</formula>
    </cfRule>
  </conditionalFormatting>
  <conditionalFormatting sqref="IS56:IT56">
    <cfRule type="containsText" dxfId="2248" priority="2024" operator="containsText" text="NO APLICA">
      <formula>NOT(ISERROR(SEARCH("NO APLICA",IS56)))</formula>
    </cfRule>
    <cfRule type="containsText" dxfId="2247" priority="2025" operator="containsText" text="SIN">
      <formula>NOT(ISERROR(SEARCH("SIN",IS56)))</formula>
    </cfRule>
    <cfRule type="containsText" dxfId="2246" priority="2026" operator="containsText" text="EQUIPO">
      <formula>NOT(ISERROR(SEARCH("EQUIPO",IS56)))</formula>
    </cfRule>
    <cfRule type="containsText" dxfId="2245" priority="2027" operator="containsText" text="MEDICO TRADICIONAL">
      <formula>NOT(ISERROR(SEARCH("MEDICO TRADICIONAL",IS56)))</formula>
    </cfRule>
    <cfRule type="containsText" dxfId="2244" priority="2028" operator="containsText" text="PARTERA">
      <formula>NOT(ISERROR(SEARCH("PARTERA",IS56)))</formula>
    </cfRule>
    <cfRule type="containsText" dxfId="2243" priority="2029" operator="containsText" text="TÉCNICO">
      <formula>NOT(ISERROR(SEARCH("TÉCNICO",IS56)))</formula>
    </cfRule>
    <cfRule type="containsText" dxfId="2242" priority="2030" operator="containsText" text="PROFESIONAL">
      <formula>NOT(ISERROR(SEARCH("PROFESIONAL",IS56)))</formula>
    </cfRule>
  </conditionalFormatting>
  <conditionalFormatting sqref="IT56">
    <cfRule type="containsText" dxfId="2241" priority="2021" operator="containsText" text="LE HACEN CESÁREA SIN INICIO TRABAJO DE PARTO">
      <formula>NOT(ISERROR(SEARCH("LE HACEN CESÁREA SIN INICIO TRABAJO DE PARTO",IT56)))</formula>
    </cfRule>
    <cfRule type="containsText" dxfId="2240" priority="2022" operator="containsText" text="LE HACEN INDUCCIÓN">
      <formula>NOT(ISERROR(SEARCH("LE HACEN INDUCCIÓN",IT56)))</formula>
    </cfRule>
    <cfRule type="containsText" dxfId="2239" priority="2023" operator="containsText" text="ESPONTÁNEO">
      <formula>NOT(ISERROR(SEARCH("ESPONTÁNEO",IT56)))</formula>
    </cfRule>
  </conditionalFormatting>
  <conditionalFormatting sqref="JI56">
    <cfRule type="containsText" dxfId="2238" priority="2017" operator="containsText" text="NO APLICA">
      <formula>NOT(ISERROR(SEARCH("NO APLICA",JI56)))</formula>
    </cfRule>
    <cfRule type="containsText" dxfId="2237" priority="2018" operator="containsText" text="SIN DATO">
      <formula>NOT(ISERROR(SEARCH("SIN DATO",JI56)))</formula>
    </cfRule>
    <cfRule type="containsText" dxfId="2236" priority="2019" operator="containsText" text="NO">
      <formula>NOT(ISERROR(SEARCH("NO",JI56)))</formula>
    </cfRule>
    <cfRule type="containsText" dxfId="2235" priority="2020" operator="containsText" text="SI">
      <formula>NOT(ISERROR(SEARCH("SI",JI56)))</formula>
    </cfRule>
  </conditionalFormatting>
  <conditionalFormatting sqref="IR58">
    <cfRule type="containsText" dxfId="2234" priority="2013" operator="containsText" text="NO APLICA">
      <formula>NOT(ISERROR(SEARCH("NO APLICA",IR58)))</formula>
    </cfRule>
    <cfRule type="containsText" dxfId="2233" priority="2014" operator="containsText" text="ALTA">
      <formula>NOT(ISERROR(SEARCH("ALTA",IR58)))</formula>
    </cfRule>
    <cfRule type="containsText" dxfId="2232" priority="2015" operator="containsText" text="MEDIANA">
      <formula>NOT(ISERROR(SEARCH("MEDIANA",IR58)))</formula>
    </cfRule>
    <cfRule type="containsText" dxfId="2231" priority="2016" operator="containsText" text="BAJA">
      <formula>NOT(ISERROR(SEARCH("BAJA",IR58)))</formula>
    </cfRule>
  </conditionalFormatting>
  <conditionalFormatting sqref="IS58:IT58">
    <cfRule type="containsText" dxfId="2230" priority="2006" operator="containsText" text="NO APLICA">
      <formula>NOT(ISERROR(SEARCH("NO APLICA",IS58)))</formula>
    </cfRule>
    <cfRule type="containsText" dxfId="2229" priority="2007" operator="containsText" text="SIN">
      <formula>NOT(ISERROR(SEARCH("SIN",IS58)))</formula>
    </cfRule>
    <cfRule type="containsText" dxfId="2228" priority="2008" operator="containsText" text="EQUIPO">
      <formula>NOT(ISERROR(SEARCH("EQUIPO",IS58)))</formula>
    </cfRule>
    <cfRule type="containsText" dxfId="2227" priority="2009" operator="containsText" text="MEDICO TRADICIONAL">
      <formula>NOT(ISERROR(SEARCH("MEDICO TRADICIONAL",IS58)))</formula>
    </cfRule>
    <cfRule type="containsText" dxfId="2226" priority="2010" operator="containsText" text="PARTERA">
      <formula>NOT(ISERROR(SEARCH("PARTERA",IS58)))</formula>
    </cfRule>
    <cfRule type="containsText" dxfId="2225" priority="2011" operator="containsText" text="TÉCNICO">
      <formula>NOT(ISERROR(SEARCH("TÉCNICO",IS58)))</formula>
    </cfRule>
    <cfRule type="containsText" dxfId="2224" priority="2012" operator="containsText" text="PROFESIONAL">
      <formula>NOT(ISERROR(SEARCH("PROFESIONAL",IS58)))</formula>
    </cfRule>
  </conditionalFormatting>
  <conditionalFormatting sqref="IT58">
    <cfRule type="containsText" dxfId="2223" priority="2003" operator="containsText" text="LE HACEN CESÁREA SIN INICIO TRABAJO DE PARTO">
      <formula>NOT(ISERROR(SEARCH("LE HACEN CESÁREA SIN INICIO TRABAJO DE PARTO",IT58)))</formula>
    </cfRule>
    <cfRule type="containsText" dxfId="2222" priority="2004" operator="containsText" text="LE HACEN INDUCCIÓN">
      <formula>NOT(ISERROR(SEARCH("LE HACEN INDUCCIÓN",IT58)))</formula>
    </cfRule>
    <cfRule type="containsText" dxfId="2221" priority="2005" operator="containsText" text="ESPONTÁNEO">
      <formula>NOT(ISERROR(SEARCH("ESPONTÁNEO",IT58)))</formula>
    </cfRule>
  </conditionalFormatting>
  <conditionalFormatting sqref="JI58">
    <cfRule type="containsText" dxfId="2220" priority="1999" operator="containsText" text="NO APLICA">
      <formula>NOT(ISERROR(SEARCH("NO APLICA",JI58)))</formula>
    </cfRule>
    <cfRule type="containsText" dxfId="2219" priority="2000" operator="containsText" text="SIN DATO">
      <formula>NOT(ISERROR(SEARCH("SIN DATO",JI58)))</formula>
    </cfRule>
    <cfRule type="containsText" dxfId="2218" priority="2001" operator="containsText" text="NO">
      <formula>NOT(ISERROR(SEARCH("NO",JI58)))</formula>
    </cfRule>
    <cfRule type="containsText" dxfId="2217" priority="2002" operator="containsText" text="SI">
      <formula>NOT(ISERROR(SEARCH("SI",JI58)))</formula>
    </cfRule>
  </conditionalFormatting>
  <conditionalFormatting sqref="IR59">
    <cfRule type="containsText" dxfId="2216" priority="1995" operator="containsText" text="NO APLICA">
      <formula>NOT(ISERROR(SEARCH("NO APLICA",IR59)))</formula>
    </cfRule>
    <cfRule type="containsText" dxfId="2215" priority="1996" operator="containsText" text="ALTA">
      <formula>NOT(ISERROR(SEARCH("ALTA",IR59)))</formula>
    </cfRule>
    <cfRule type="containsText" dxfId="2214" priority="1997" operator="containsText" text="MEDIANA">
      <formula>NOT(ISERROR(SEARCH("MEDIANA",IR59)))</formula>
    </cfRule>
    <cfRule type="containsText" dxfId="2213" priority="1998" operator="containsText" text="BAJA">
      <formula>NOT(ISERROR(SEARCH("BAJA",IR59)))</formula>
    </cfRule>
  </conditionalFormatting>
  <conditionalFormatting sqref="IS59:IT59">
    <cfRule type="containsText" dxfId="2212" priority="1988" operator="containsText" text="NO APLICA">
      <formula>NOT(ISERROR(SEARCH("NO APLICA",IS59)))</formula>
    </cfRule>
    <cfRule type="containsText" dxfId="2211" priority="1989" operator="containsText" text="SIN">
      <formula>NOT(ISERROR(SEARCH("SIN",IS59)))</formula>
    </cfRule>
    <cfRule type="containsText" dxfId="2210" priority="1990" operator="containsText" text="EQUIPO">
      <formula>NOT(ISERROR(SEARCH("EQUIPO",IS59)))</formula>
    </cfRule>
    <cfRule type="containsText" dxfId="2209" priority="1991" operator="containsText" text="MEDICO TRADICIONAL">
      <formula>NOT(ISERROR(SEARCH("MEDICO TRADICIONAL",IS59)))</formula>
    </cfRule>
    <cfRule type="containsText" dxfId="2208" priority="1992" operator="containsText" text="PARTERA">
      <formula>NOT(ISERROR(SEARCH("PARTERA",IS59)))</formula>
    </cfRule>
    <cfRule type="containsText" dxfId="2207" priority="1993" operator="containsText" text="TÉCNICO">
      <formula>NOT(ISERROR(SEARCH("TÉCNICO",IS59)))</formula>
    </cfRule>
    <cfRule type="containsText" dxfId="2206" priority="1994" operator="containsText" text="PROFESIONAL">
      <formula>NOT(ISERROR(SEARCH("PROFESIONAL",IS59)))</formula>
    </cfRule>
  </conditionalFormatting>
  <conditionalFormatting sqref="IT59">
    <cfRule type="containsText" dxfId="2205" priority="1985" operator="containsText" text="LE HACEN CESÁREA SIN INICIO TRABAJO DE PARTO">
      <formula>NOT(ISERROR(SEARCH("LE HACEN CESÁREA SIN INICIO TRABAJO DE PARTO",IT59)))</formula>
    </cfRule>
    <cfRule type="containsText" dxfId="2204" priority="1986" operator="containsText" text="LE HACEN INDUCCIÓN">
      <formula>NOT(ISERROR(SEARCH("LE HACEN INDUCCIÓN",IT59)))</formula>
    </cfRule>
    <cfRule type="containsText" dxfId="2203" priority="1987" operator="containsText" text="ESPONTÁNEO">
      <formula>NOT(ISERROR(SEARCH("ESPONTÁNEO",IT59)))</formula>
    </cfRule>
  </conditionalFormatting>
  <conditionalFormatting sqref="IR60">
    <cfRule type="containsText" dxfId="2202" priority="1981" operator="containsText" text="NO APLICA">
      <formula>NOT(ISERROR(SEARCH("NO APLICA",IR60)))</formula>
    </cfRule>
    <cfRule type="containsText" dxfId="2201" priority="1982" operator="containsText" text="ALTA">
      <formula>NOT(ISERROR(SEARCH("ALTA",IR60)))</formula>
    </cfRule>
    <cfRule type="containsText" dxfId="2200" priority="1983" operator="containsText" text="MEDIANA">
      <formula>NOT(ISERROR(SEARCH("MEDIANA",IR60)))</formula>
    </cfRule>
    <cfRule type="containsText" dxfId="2199" priority="1984" operator="containsText" text="BAJA">
      <formula>NOT(ISERROR(SEARCH("BAJA",IR60)))</formula>
    </cfRule>
  </conditionalFormatting>
  <conditionalFormatting sqref="IS60:IT60">
    <cfRule type="containsText" dxfId="2198" priority="1974" operator="containsText" text="NO APLICA">
      <formula>NOT(ISERROR(SEARCH("NO APLICA",IS60)))</formula>
    </cfRule>
    <cfRule type="containsText" dxfId="2197" priority="1975" operator="containsText" text="SIN">
      <formula>NOT(ISERROR(SEARCH("SIN",IS60)))</formula>
    </cfRule>
    <cfRule type="containsText" dxfId="2196" priority="1976" operator="containsText" text="EQUIPO">
      <formula>NOT(ISERROR(SEARCH("EQUIPO",IS60)))</formula>
    </cfRule>
    <cfRule type="containsText" dxfId="2195" priority="1977" operator="containsText" text="MEDICO TRADICIONAL">
      <formula>NOT(ISERROR(SEARCH("MEDICO TRADICIONAL",IS60)))</formula>
    </cfRule>
    <cfRule type="containsText" dxfId="2194" priority="1978" operator="containsText" text="PARTERA">
      <formula>NOT(ISERROR(SEARCH("PARTERA",IS60)))</formula>
    </cfRule>
    <cfRule type="containsText" dxfId="2193" priority="1979" operator="containsText" text="TÉCNICO">
      <formula>NOT(ISERROR(SEARCH("TÉCNICO",IS60)))</formula>
    </cfRule>
    <cfRule type="containsText" dxfId="2192" priority="1980" operator="containsText" text="PROFESIONAL">
      <formula>NOT(ISERROR(SEARCH("PROFESIONAL",IS60)))</formula>
    </cfRule>
  </conditionalFormatting>
  <conditionalFormatting sqref="IT60">
    <cfRule type="containsText" dxfId="2191" priority="1971" operator="containsText" text="LE HACEN CESÁREA SIN INICIO TRABAJO DE PARTO">
      <formula>NOT(ISERROR(SEARCH("LE HACEN CESÁREA SIN INICIO TRABAJO DE PARTO",IT60)))</formula>
    </cfRule>
    <cfRule type="containsText" dxfId="2190" priority="1972" operator="containsText" text="LE HACEN INDUCCIÓN">
      <formula>NOT(ISERROR(SEARCH("LE HACEN INDUCCIÓN",IT60)))</formula>
    </cfRule>
    <cfRule type="containsText" dxfId="2189" priority="1973" operator="containsText" text="ESPONTÁNEO">
      <formula>NOT(ISERROR(SEARCH("ESPONTÁNEO",IT60)))</formula>
    </cfRule>
  </conditionalFormatting>
  <conditionalFormatting sqref="JI60">
    <cfRule type="containsText" dxfId="2188" priority="1967" operator="containsText" text="NO APLICA">
      <formula>NOT(ISERROR(SEARCH("NO APLICA",JI60)))</formula>
    </cfRule>
    <cfRule type="containsText" dxfId="2187" priority="1968" operator="containsText" text="SIN DATO">
      <formula>NOT(ISERROR(SEARCH("SIN DATO",JI60)))</formula>
    </cfRule>
    <cfRule type="containsText" dxfId="2186" priority="1969" operator="containsText" text="NO">
      <formula>NOT(ISERROR(SEARCH("NO",JI60)))</formula>
    </cfRule>
    <cfRule type="containsText" dxfId="2185" priority="1970" operator="containsText" text="SI">
      <formula>NOT(ISERROR(SEARCH("SI",JI60)))</formula>
    </cfRule>
  </conditionalFormatting>
  <conditionalFormatting sqref="JI65">
    <cfRule type="containsText" dxfId="2184" priority="1935" operator="containsText" text="NO APLICA">
      <formula>NOT(ISERROR(SEARCH("NO APLICA",JI65)))</formula>
    </cfRule>
    <cfRule type="containsText" dxfId="2183" priority="1936" operator="containsText" text="SIN DATO">
      <formula>NOT(ISERROR(SEARCH("SIN DATO",JI65)))</formula>
    </cfRule>
    <cfRule type="containsText" dxfId="2182" priority="1937" operator="containsText" text="NO">
      <formula>NOT(ISERROR(SEARCH("NO",JI65)))</formula>
    </cfRule>
    <cfRule type="containsText" dxfId="2181" priority="1938" operator="containsText" text="SI">
      <formula>NOT(ISERROR(SEARCH("SI",JI65)))</formula>
    </cfRule>
  </conditionalFormatting>
  <conditionalFormatting sqref="JI66">
    <cfRule type="containsText" dxfId="2180" priority="1917" operator="containsText" text="NO APLICA">
      <formula>NOT(ISERROR(SEARCH("NO APLICA",JI66)))</formula>
    </cfRule>
    <cfRule type="containsText" dxfId="2179" priority="1918" operator="containsText" text="SIN DATO">
      <formula>NOT(ISERROR(SEARCH("SIN DATO",JI66)))</formula>
    </cfRule>
    <cfRule type="containsText" dxfId="2178" priority="1919" operator="containsText" text="NO">
      <formula>NOT(ISERROR(SEARCH("NO",JI66)))</formula>
    </cfRule>
    <cfRule type="containsText" dxfId="2177" priority="1920" operator="containsText" text="SI">
      <formula>NOT(ISERROR(SEARCH("SI",JI66)))</formula>
    </cfRule>
  </conditionalFormatting>
  <conditionalFormatting sqref="JI67">
    <cfRule type="containsText" dxfId="2176" priority="1903" operator="containsText" text="NO APLICA">
      <formula>NOT(ISERROR(SEARCH("NO APLICA",JI67)))</formula>
    </cfRule>
    <cfRule type="containsText" dxfId="2175" priority="1904" operator="containsText" text="SIN DATO">
      <formula>NOT(ISERROR(SEARCH("SIN DATO",JI67)))</formula>
    </cfRule>
    <cfRule type="containsText" dxfId="2174" priority="1905" operator="containsText" text="NO">
      <formula>NOT(ISERROR(SEARCH("NO",JI67)))</formula>
    </cfRule>
    <cfRule type="containsText" dxfId="2173" priority="1906" operator="containsText" text="SI">
      <formula>NOT(ISERROR(SEARCH("SI",JI67)))</formula>
    </cfRule>
  </conditionalFormatting>
  <conditionalFormatting sqref="IR69">
    <cfRule type="containsText" dxfId="2172" priority="1885" operator="containsText" text="NO APLICA">
      <formula>NOT(ISERROR(SEARCH("NO APLICA",IR69)))</formula>
    </cfRule>
    <cfRule type="containsText" dxfId="2171" priority="1886" operator="containsText" text="ALTA">
      <formula>NOT(ISERROR(SEARCH("ALTA",IR69)))</formula>
    </cfRule>
    <cfRule type="containsText" dxfId="2170" priority="1887" operator="containsText" text="MEDIANA">
      <formula>NOT(ISERROR(SEARCH("MEDIANA",IR69)))</formula>
    </cfRule>
    <cfRule type="containsText" dxfId="2169" priority="1888" operator="containsText" text="BAJA">
      <formula>NOT(ISERROR(SEARCH("BAJA",IR69)))</formula>
    </cfRule>
  </conditionalFormatting>
  <conditionalFormatting sqref="JI72">
    <cfRule type="containsText" dxfId="2168" priority="1843" operator="containsText" text="NO APLICA">
      <formula>NOT(ISERROR(SEARCH("NO APLICA",JI72)))</formula>
    </cfRule>
    <cfRule type="containsText" dxfId="2167" priority="1844" operator="containsText" text="SIN DATO">
      <formula>NOT(ISERROR(SEARCH("SIN DATO",JI72)))</formula>
    </cfRule>
    <cfRule type="containsText" dxfId="2166" priority="1845" operator="containsText" text="NO">
      <formula>NOT(ISERROR(SEARCH("NO",JI72)))</formula>
    </cfRule>
    <cfRule type="containsText" dxfId="2165" priority="1846" operator="containsText" text="SI">
      <formula>NOT(ISERROR(SEARCH("SI",JI72)))</formula>
    </cfRule>
  </conditionalFormatting>
  <conditionalFormatting sqref="JI73">
    <cfRule type="containsText" dxfId="2164" priority="1825" operator="containsText" text="NO APLICA">
      <formula>NOT(ISERROR(SEARCH("NO APLICA",JI73)))</formula>
    </cfRule>
    <cfRule type="containsText" dxfId="2163" priority="1826" operator="containsText" text="SIN DATO">
      <formula>NOT(ISERROR(SEARCH("SIN DATO",JI73)))</formula>
    </cfRule>
    <cfRule type="containsText" dxfId="2162" priority="1827" operator="containsText" text="NO">
      <formula>NOT(ISERROR(SEARCH("NO",JI73)))</formula>
    </cfRule>
    <cfRule type="containsText" dxfId="2161" priority="1828" operator="containsText" text="SI">
      <formula>NOT(ISERROR(SEARCH("SI",JI73)))</formula>
    </cfRule>
  </conditionalFormatting>
  <conditionalFormatting sqref="JI80">
    <cfRule type="containsText" dxfId="2160" priority="1757" operator="containsText" text="NO APLICA">
      <formula>NOT(ISERROR(SEARCH("NO APLICA",JI80)))</formula>
    </cfRule>
    <cfRule type="containsText" dxfId="2159" priority="1758" operator="containsText" text="SIN DATO">
      <formula>NOT(ISERROR(SEARCH("SIN DATO",JI80)))</formula>
    </cfRule>
    <cfRule type="containsText" dxfId="2158" priority="1759" operator="containsText" text="NO">
      <formula>NOT(ISERROR(SEARCH("NO",JI80)))</formula>
    </cfRule>
    <cfRule type="containsText" dxfId="2157" priority="1760" operator="containsText" text="SI">
      <formula>NOT(ISERROR(SEARCH("SI",JI80)))</formula>
    </cfRule>
  </conditionalFormatting>
  <conditionalFormatting sqref="IR63">
    <cfRule type="containsText" dxfId="2156" priority="1735" operator="containsText" text="NO APLICA">
      <formula>NOT(ISERROR(SEARCH("NO APLICA",IR63)))</formula>
    </cfRule>
    <cfRule type="containsText" dxfId="2155" priority="1736" operator="containsText" text="ALTA">
      <formula>NOT(ISERROR(SEARCH("ALTA",IR63)))</formula>
    </cfRule>
    <cfRule type="containsText" dxfId="2154" priority="1737" operator="containsText" text="MEDIANA">
      <formula>NOT(ISERROR(SEARCH("MEDIANA",IR63)))</formula>
    </cfRule>
    <cfRule type="containsText" dxfId="2153" priority="1738" operator="containsText" text="BAJA">
      <formula>NOT(ISERROR(SEARCH("BAJA",IR63)))</formula>
    </cfRule>
  </conditionalFormatting>
  <conditionalFormatting sqref="IS63:IT63">
    <cfRule type="containsText" dxfId="2152" priority="1728" operator="containsText" text="NO APLICA">
      <formula>NOT(ISERROR(SEARCH("NO APLICA",IS63)))</formula>
    </cfRule>
    <cfRule type="containsText" dxfId="2151" priority="1729" operator="containsText" text="SIN">
      <formula>NOT(ISERROR(SEARCH("SIN",IS63)))</formula>
    </cfRule>
    <cfRule type="containsText" dxfId="2150" priority="1730" operator="containsText" text="EQUIPO">
      <formula>NOT(ISERROR(SEARCH("EQUIPO",IS63)))</formula>
    </cfRule>
    <cfRule type="containsText" dxfId="2149" priority="1731" operator="containsText" text="MEDICO TRADICIONAL">
      <formula>NOT(ISERROR(SEARCH("MEDICO TRADICIONAL",IS63)))</formula>
    </cfRule>
    <cfRule type="containsText" dxfId="2148" priority="1732" operator="containsText" text="PARTERA">
      <formula>NOT(ISERROR(SEARCH("PARTERA",IS63)))</formula>
    </cfRule>
    <cfRule type="containsText" dxfId="2147" priority="1733" operator="containsText" text="TÉCNICO">
      <formula>NOT(ISERROR(SEARCH("TÉCNICO",IS63)))</formula>
    </cfRule>
    <cfRule type="containsText" dxfId="2146" priority="1734" operator="containsText" text="PROFESIONAL">
      <formula>NOT(ISERROR(SEARCH("PROFESIONAL",IS63)))</formula>
    </cfRule>
  </conditionalFormatting>
  <conditionalFormatting sqref="IT63">
    <cfRule type="containsText" dxfId="2145" priority="1725" operator="containsText" text="LE HACEN CESÁREA SIN INICIO TRABAJO DE PARTO">
      <formula>NOT(ISERROR(SEARCH("LE HACEN CESÁREA SIN INICIO TRABAJO DE PARTO",IT63)))</formula>
    </cfRule>
    <cfRule type="containsText" dxfId="2144" priority="1726" operator="containsText" text="LE HACEN INDUCCIÓN">
      <formula>NOT(ISERROR(SEARCH("LE HACEN INDUCCIÓN",IT63)))</formula>
    </cfRule>
    <cfRule type="containsText" dxfId="2143" priority="1727" operator="containsText" text="ESPONTÁNEO">
      <formula>NOT(ISERROR(SEARCH("ESPONTÁNEO",IT63)))</formula>
    </cfRule>
  </conditionalFormatting>
  <conditionalFormatting sqref="IR65">
    <cfRule type="containsText" dxfId="2142" priority="1721" operator="containsText" text="NO APLICA">
      <formula>NOT(ISERROR(SEARCH("NO APLICA",IR65)))</formula>
    </cfRule>
    <cfRule type="containsText" dxfId="2141" priority="1722" operator="containsText" text="ALTA">
      <formula>NOT(ISERROR(SEARCH("ALTA",IR65)))</formula>
    </cfRule>
    <cfRule type="containsText" dxfId="2140" priority="1723" operator="containsText" text="MEDIANA">
      <formula>NOT(ISERROR(SEARCH("MEDIANA",IR65)))</formula>
    </cfRule>
    <cfRule type="containsText" dxfId="2139" priority="1724" operator="containsText" text="BAJA">
      <formula>NOT(ISERROR(SEARCH("BAJA",IR65)))</formula>
    </cfRule>
  </conditionalFormatting>
  <conditionalFormatting sqref="IS65:IT65">
    <cfRule type="containsText" dxfId="2138" priority="1714" operator="containsText" text="NO APLICA">
      <formula>NOT(ISERROR(SEARCH("NO APLICA",IS65)))</formula>
    </cfRule>
    <cfRule type="containsText" dxfId="2137" priority="1715" operator="containsText" text="SIN">
      <formula>NOT(ISERROR(SEARCH("SIN",IS65)))</formula>
    </cfRule>
    <cfRule type="containsText" dxfId="2136" priority="1716" operator="containsText" text="EQUIPO">
      <formula>NOT(ISERROR(SEARCH("EQUIPO",IS65)))</formula>
    </cfRule>
    <cfRule type="containsText" dxfId="2135" priority="1717" operator="containsText" text="MEDICO TRADICIONAL">
      <formula>NOT(ISERROR(SEARCH("MEDICO TRADICIONAL",IS65)))</formula>
    </cfRule>
    <cfRule type="containsText" dxfId="2134" priority="1718" operator="containsText" text="PARTERA">
      <formula>NOT(ISERROR(SEARCH("PARTERA",IS65)))</formula>
    </cfRule>
    <cfRule type="containsText" dxfId="2133" priority="1719" operator="containsText" text="TÉCNICO">
      <formula>NOT(ISERROR(SEARCH("TÉCNICO",IS65)))</formula>
    </cfRule>
    <cfRule type="containsText" dxfId="2132" priority="1720" operator="containsText" text="PROFESIONAL">
      <formula>NOT(ISERROR(SEARCH("PROFESIONAL",IS65)))</formula>
    </cfRule>
  </conditionalFormatting>
  <conditionalFormatting sqref="IT65">
    <cfRule type="containsText" dxfId="2131" priority="1711" operator="containsText" text="LE HACEN CESÁREA SIN INICIO TRABAJO DE PARTO">
      <formula>NOT(ISERROR(SEARCH("LE HACEN CESÁREA SIN INICIO TRABAJO DE PARTO",IT65)))</formula>
    </cfRule>
    <cfRule type="containsText" dxfId="2130" priority="1712" operator="containsText" text="LE HACEN INDUCCIÓN">
      <formula>NOT(ISERROR(SEARCH("LE HACEN INDUCCIÓN",IT65)))</formula>
    </cfRule>
    <cfRule type="containsText" dxfId="2129" priority="1713" operator="containsText" text="ESPONTÁNEO">
      <formula>NOT(ISERROR(SEARCH("ESPONTÁNEO",IT65)))</formula>
    </cfRule>
  </conditionalFormatting>
  <conditionalFormatting sqref="IR66">
    <cfRule type="containsText" dxfId="2128" priority="1707" operator="containsText" text="NO APLICA">
      <formula>NOT(ISERROR(SEARCH("NO APLICA",IR66)))</formula>
    </cfRule>
    <cfRule type="containsText" dxfId="2127" priority="1708" operator="containsText" text="ALTA">
      <formula>NOT(ISERROR(SEARCH("ALTA",IR66)))</formula>
    </cfRule>
    <cfRule type="containsText" dxfId="2126" priority="1709" operator="containsText" text="MEDIANA">
      <formula>NOT(ISERROR(SEARCH("MEDIANA",IR66)))</formula>
    </cfRule>
    <cfRule type="containsText" dxfId="2125" priority="1710" operator="containsText" text="BAJA">
      <formula>NOT(ISERROR(SEARCH("BAJA",IR66)))</formula>
    </cfRule>
  </conditionalFormatting>
  <conditionalFormatting sqref="IS66:IT66">
    <cfRule type="containsText" dxfId="2124" priority="1700" operator="containsText" text="NO APLICA">
      <formula>NOT(ISERROR(SEARCH("NO APLICA",IS66)))</formula>
    </cfRule>
    <cfRule type="containsText" dxfId="2123" priority="1701" operator="containsText" text="SIN">
      <formula>NOT(ISERROR(SEARCH("SIN",IS66)))</formula>
    </cfRule>
    <cfRule type="containsText" dxfId="2122" priority="1702" operator="containsText" text="EQUIPO">
      <formula>NOT(ISERROR(SEARCH("EQUIPO",IS66)))</formula>
    </cfRule>
    <cfRule type="containsText" dxfId="2121" priority="1703" operator="containsText" text="MEDICO TRADICIONAL">
      <formula>NOT(ISERROR(SEARCH("MEDICO TRADICIONAL",IS66)))</formula>
    </cfRule>
    <cfRule type="containsText" dxfId="2120" priority="1704" operator="containsText" text="PARTERA">
      <formula>NOT(ISERROR(SEARCH("PARTERA",IS66)))</formula>
    </cfRule>
    <cfRule type="containsText" dxfId="2119" priority="1705" operator="containsText" text="TÉCNICO">
      <formula>NOT(ISERROR(SEARCH("TÉCNICO",IS66)))</formula>
    </cfRule>
    <cfRule type="containsText" dxfId="2118" priority="1706" operator="containsText" text="PROFESIONAL">
      <formula>NOT(ISERROR(SEARCH("PROFESIONAL",IS66)))</formula>
    </cfRule>
  </conditionalFormatting>
  <conditionalFormatting sqref="IT66">
    <cfRule type="containsText" dxfId="2117" priority="1697" operator="containsText" text="LE HACEN CESÁREA SIN INICIO TRABAJO DE PARTO">
      <formula>NOT(ISERROR(SEARCH("LE HACEN CESÁREA SIN INICIO TRABAJO DE PARTO",IT66)))</formula>
    </cfRule>
    <cfRule type="containsText" dxfId="2116" priority="1698" operator="containsText" text="LE HACEN INDUCCIÓN">
      <formula>NOT(ISERROR(SEARCH("LE HACEN INDUCCIÓN",IT66)))</formula>
    </cfRule>
    <cfRule type="containsText" dxfId="2115" priority="1699" operator="containsText" text="ESPONTÁNEO">
      <formula>NOT(ISERROR(SEARCH("ESPONTÁNEO",IT66)))</formula>
    </cfRule>
  </conditionalFormatting>
  <conditionalFormatting sqref="IR67">
    <cfRule type="containsText" dxfId="2114" priority="1693" operator="containsText" text="NO APLICA">
      <formula>NOT(ISERROR(SEARCH("NO APLICA",IR67)))</formula>
    </cfRule>
    <cfRule type="containsText" dxfId="2113" priority="1694" operator="containsText" text="ALTA">
      <formula>NOT(ISERROR(SEARCH("ALTA",IR67)))</formula>
    </cfRule>
    <cfRule type="containsText" dxfId="2112" priority="1695" operator="containsText" text="MEDIANA">
      <formula>NOT(ISERROR(SEARCH("MEDIANA",IR67)))</formula>
    </cfRule>
    <cfRule type="containsText" dxfId="2111" priority="1696" operator="containsText" text="BAJA">
      <formula>NOT(ISERROR(SEARCH("BAJA",IR67)))</formula>
    </cfRule>
  </conditionalFormatting>
  <conditionalFormatting sqref="IS67:IT67">
    <cfRule type="containsText" dxfId="2110" priority="1686" operator="containsText" text="NO APLICA">
      <formula>NOT(ISERROR(SEARCH("NO APLICA",IS67)))</formula>
    </cfRule>
    <cfRule type="containsText" dxfId="2109" priority="1687" operator="containsText" text="SIN">
      <formula>NOT(ISERROR(SEARCH("SIN",IS67)))</formula>
    </cfRule>
    <cfRule type="containsText" dxfId="2108" priority="1688" operator="containsText" text="EQUIPO">
      <formula>NOT(ISERROR(SEARCH("EQUIPO",IS67)))</formula>
    </cfRule>
    <cfRule type="containsText" dxfId="2107" priority="1689" operator="containsText" text="MEDICO TRADICIONAL">
      <formula>NOT(ISERROR(SEARCH("MEDICO TRADICIONAL",IS67)))</formula>
    </cfRule>
    <cfRule type="containsText" dxfId="2106" priority="1690" operator="containsText" text="PARTERA">
      <formula>NOT(ISERROR(SEARCH("PARTERA",IS67)))</formula>
    </cfRule>
    <cfRule type="containsText" dxfId="2105" priority="1691" operator="containsText" text="TÉCNICO">
      <formula>NOT(ISERROR(SEARCH("TÉCNICO",IS67)))</formula>
    </cfRule>
    <cfRule type="containsText" dxfId="2104" priority="1692" operator="containsText" text="PROFESIONAL">
      <formula>NOT(ISERROR(SEARCH("PROFESIONAL",IS67)))</formula>
    </cfRule>
  </conditionalFormatting>
  <conditionalFormatting sqref="IT67">
    <cfRule type="containsText" dxfId="2103" priority="1683" operator="containsText" text="LE HACEN CESÁREA SIN INICIO TRABAJO DE PARTO">
      <formula>NOT(ISERROR(SEARCH("LE HACEN CESÁREA SIN INICIO TRABAJO DE PARTO",IT67)))</formula>
    </cfRule>
    <cfRule type="containsText" dxfId="2102" priority="1684" operator="containsText" text="LE HACEN INDUCCIÓN">
      <formula>NOT(ISERROR(SEARCH("LE HACEN INDUCCIÓN",IT67)))</formula>
    </cfRule>
    <cfRule type="containsText" dxfId="2101" priority="1685" operator="containsText" text="ESPONTÁNEO">
      <formula>NOT(ISERROR(SEARCH("ESPONTÁNEO",IT67)))</formula>
    </cfRule>
  </conditionalFormatting>
  <conditionalFormatting sqref="IR68">
    <cfRule type="containsText" dxfId="2100" priority="1679" operator="containsText" text="NO APLICA">
      <formula>NOT(ISERROR(SEARCH("NO APLICA",IR68)))</formula>
    </cfRule>
    <cfRule type="containsText" dxfId="2099" priority="1680" operator="containsText" text="ALTA">
      <formula>NOT(ISERROR(SEARCH("ALTA",IR68)))</formula>
    </cfRule>
    <cfRule type="containsText" dxfId="2098" priority="1681" operator="containsText" text="MEDIANA">
      <formula>NOT(ISERROR(SEARCH("MEDIANA",IR68)))</formula>
    </cfRule>
    <cfRule type="containsText" dxfId="2097" priority="1682" operator="containsText" text="BAJA">
      <formula>NOT(ISERROR(SEARCH("BAJA",IR68)))</formula>
    </cfRule>
  </conditionalFormatting>
  <conditionalFormatting sqref="IS68:IT68">
    <cfRule type="containsText" dxfId="2096" priority="1672" operator="containsText" text="NO APLICA">
      <formula>NOT(ISERROR(SEARCH("NO APLICA",IS68)))</formula>
    </cfRule>
    <cfRule type="containsText" dxfId="2095" priority="1673" operator="containsText" text="SIN">
      <formula>NOT(ISERROR(SEARCH("SIN",IS68)))</formula>
    </cfRule>
    <cfRule type="containsText" dxfId="2094" priority="1674" operator="containsText" text="EQUIPO">
      <formula>NOT(ISERROR(SEARCH("EQUIPO",IS68)))</formula>
    </cfRule>
    <cfRule type="containsText" dxfId="2093" priority="1675" operator="containsText" text="MEDICO TRADICIONAL">
      <formula>NOT(ISERROR(SEARCH("MEDICO TRADICIONAL",IS68)))</formula>
    </cfRule>
    <cfRule type="containsText" dxfId="2092" priority="1676" operator="containsText" text="PARTERA">
      <formula>NOT(ISERROR(SEARCH("PARTERA",IS68)))</formula>
    </cfRule>
    <cfRule type="containsText" dxfId="2091" priority="1677" operator="containsText" text="TÉCNICO">
      <formula>NOT(ISERROR(SEARCH("TÉCNICO",IS68)))</formula>
    </cfRule>
    <cfRule type="containsText" dxfId="2090" priority="1678" operator="containsText" text="PROFESIONAL">
      <formula>NOT(ISERROR(SEARCH("PROFESIONAL",IS68)))</formula>
    </cfRule>
  </conditionalFormatting>
  <conditionalFormatting sqref="IT68">
    <cfRule type="containsText" dxfId="2089" priority="1669" operator="containsText" text="LE HACEN CESÁREA SIN INICIO TRABAJO DE PARTO">
      <formula>NOT(ISERROR(SEARCH("LE HACEN CESÁREA SIN INICIO TRABAJO DE PARTO",IT68)))</formula>
    </cfRule>
    <cfRule type="containsText" dxfId="2088" priority="1670" operator="containsText" text="LE HACEN INDUCCIÓN">
      <formula>NOT(ISERROR(SEARCH("LE HACEN INDUCCIÓN",IT68)))</formula>
    </cfRule>
    <cfRule type="containsText" dxfId="2087" priority="1671" operator="containsText" text="ESPONTÁNEO">
      <formula>NOT(ISERROR(SEARCH("ESPONTÁNEO",IT68)))</formula>
    </cfRule>
  </conditionalFormatting>
  <conditionalFormatting sqref="JI68">
    <cfRule type="containsText" dxfId="2086" priority="1665" operator="containsText" text="NO APLICA">
      <formula>NOT(ISERROR(SEARCH("NO APLICA",JI68)))</formula>
    </cfRule>
    <cfRule type="containsText" dxfId="2085" priority="1666" operator="containsText" text="SIN DATO">
      <formula>NOT(ISERROR(SEARCH("SIN DATO",JI68)))</formula>
    </cfRule>
    <cfRule type="containsText" dxfId="2084" priority="1667" operator="containsText" text="NO">
      <formula>NOT(ISERROR(SEARCH("NO",JI68)))</formula>
    </cfRule>
    <cfRule type="containsText" dxfId="2083" priority="1668" operator="containsText" text="SI">
      <formula>NOT(ISERROR(SEARCH("SI",JI68)))</formula>
    </cfRule>
  </conditionalFormatting>
  <conditionalFormatting sqref="IS69:IT69">
    <cfRule type="containsText" dxfId="2082" priority="1658" operator="containsText" text="NO APLICA">
      <formula>NOT(ISERROR(SEARCH("NO APLICA",IS69)))</formula>
    </cfRule>
    <cfRule type="containsText" dxfId="2081" priority="1659" operator="containsText" text="SIN">
      <formula>NOT(ISERROR(SEARCH("SIN",IS69)))</formula>
    </cfRule>
    <cfRule type="containsText" dxfId="2080" priority="1660" operator="containsText" text="EQUIPO">
      <formula>NOT(ISERROR(SEARCH("EQUIPO",IS69)))</formula>
    </cfRule>
    <cfRule type="containsText" dxfId="2079" priority="1661" operator="containsText" text="MEDICO TRADICIONAL">
      <formula>NOT(ISERROR(SEARCH("MEDICO TRADICIONAL",IS69)))</formula>
    </cfRule>
    <cfRule type="containsText" dxfId="2078" priority="1662" operator="containsText" text="PARTERA">
      <formula>NOT(ISERROR(SEARCH("PARTERA",IS69)))</formula>
    </cfRule>
    <cfRule type="containsText" dxfId="2077" priority="1663" operator="containsText" text="TÉCNICO">
      <formula>NOT(ISERROR(SEARCH("TÉCNICO",IS69)))</formula>
    </cfRule>
    <cfRule type="containsText" dxfId="2076" priority="1664" operator="containsText" text="PROFESIONAL">
      <formula>NOT(ISERROR(SEARCH("PROFESIONAL",IS69)))</formula>
    </cfRule>
  </conditionalFormatting>
  <conditionalFormatting sqref="IT69">
    <cfRule type="containsText" dxfId="2075" priority="1655" operator="containsText" text="LE HACEN CESÁREA SIN INICIO TRABAJO DE PARTO">
      <formula>NOT(ISERROR(SEARCH("LE HACEN CESÁREA SIN INICIO TRABAJO DE PARTO",IT69)))</formula>
    </cfRule>
    <cfRule type="containsText" dxfId="2074" priority="1656" operator="containsText" text="LE HACEN INDUCCIÓN">
      <formula>NOT(ISERROR(SEARCH("LE HACEN INDUCCIÓN",IT69)))</formula>
    </cfRule>
    <cfRule type="containsText" dxfId="2073" priority="1657" operator="containsText" text="ESPONTÁNEO">
      <formula>NOT(ISERROR(SEARCH("ESPONTÁNEO",IT69)))</formula>
    </cfRule>
  </conditionalFormatting>
  <conditionalFormatting sqref="JI69">
    <cfRule type="containsText" dxfId="2072" priority="1651" operator="containsText" text="NO APLICA">
      <formula>NOT(ISERROR(SEARCH("NO APLICA",JI69)))</formula>
    </cfRule>
    <cfRule type="containsText" dxfId="2071" priority="1652" operator="containsText" text="SIN DATO">
      <formula>NOT(ISERROR(SEARCH("SIN DATO",JI69)))</formula>
    </cfRule>
    <cfRule type="containsText" dxfId="2070" priority="1653" operator="containsText" text="NO">
      <formula>NOT(ISERROR(SEARCH("NO",JI69)))</formula>
    </cfRule>
    <cfRule type="containsText" dxfId="2069" priority="1654" operator="containsText" text="SI">
      <formula>NOT(ISERROR(SEARCH("SI",JI69)))</formula>
    </cfRule>
  </conditionalFormatting>
  <conditionalFormatting sqref="IR70">
    <cfRule type="containsText" dxfId="2068" priority="1647" operator="containsText" text="NO APLICA">
      <formula>NOT(ISERROR(SEARCH("NO APLICA",IR70)))</formula>
    </cfRule>
    <cfRule type="containsText" dxfId="2067" priority="1648" operator="containsText" text="ALTA">
      <formula>NOT(ISERROR(SEARCH("ALTA",IR70)))</formula>
    </cfRule>
    <cfRule type="containsText" dxfId="2066" priority="1649" operator="containsText" text="MEDIANA">
      <formula>NOT(ISERROR(SEARCH("MEDIANA",IR70)))</formula>
    </cfRule>
    <cfRule type="containsText" dxfId="2065" priority="1650" operator="containsText" text="BAJA">
      <formula>NOT(ISERROR(SEARCH("BAJA",IR70)))</formula>
    </cfRule>
  </conditionalFormatting>
  <conditionalFormatting sqref="IS70:IT70">
    <cfRule type="containsText" dxfId="2064" priority="1640" operator="containsText" text="NO APLICA">
      <formula>NOT(ISERROR(SEARCH("NO APLICA",IS70)))</formula>
    </cfRule>
    <cfRule type="containsText" dxfId="2063" priority="1641" operator="containsText" text="SIN">
      <formula>NOT(ISERROR(SEARCH("SIN",IS70)))</formula>
    </cfRule>
    <cfRule type="containsText" dxfId="2062" priority="1642" operator="containsText" text="EQUIPO">
      <formula>NOT(ISERROR(SEARCH("EQUIPO",IS70)))</formula>
    </cfRule>
    <cfRule type="containsText" dxfId="2061" priority="1643" operator="containsText" text="MEDICO TRADICIONAL">
      <formula>NOT(ISERROR(SEARCH("MEDICO TRADICIONAL",IS70)))</formula>
    </cfRule>
    <cfRule type="containsText" dxfId="2060" priority="1644" operator="containsText" text="PARTERA">
      <formula>NOT(ISERROR(SEARCH("PARTERA",IS70)))</formula>
    </cfRule>
    <cfRule type="containsText" dxfId="2059" priority="1645" operator="containsText" text="TÉCNICO">
      <formula>NOT(ISERROR(SEARCH("TÉCNICO",IS70)))</formula>
    </cfRule>
    <cfRule type="containsText" dxfId="2058" priority="1646" operator="containsText" text="PROFESIONAL">
      <formula>NOT(ISERROR(SEARCH("PROFESIONAL",IS70)))</formula>
    </cfRule>
  </conditionalFormatting>
  <conditionalFormatting sqref="IT70">
    <cfRule type="containsText" dxfId="2057" priority="1637" operator="containsText" text="LE HACEN CESÁREA SIN INICIO TRABAJO DE PARTO">
      <formula>NOT(ISERROR(SEARCH("LE HACEN CESÁREA SIN INICIO TRABAJO DE PARTO",IT70)))</formula>
    </cfRule>
    <cfRule type="containsText" dxfId="2056" priority="1638" operator="containsText" text="LE HACEN INDUCCIÓN">
      <formula>NOT(ISERROR(SEARCH("LE HACEN INDUCCIÓN",IT70)))</formula>
    </cfRule>
    <cfRule type="containsText" dxfId="2055" priority="1639" operator="containsText" text="ESPONTÁNEO">
      <formula>NOT(ISERROR(SEARCH("ESPONTÁNEO",IT70)))</formula>
    </cfRule>
  </conditionalFormatting>
  <conditionalFormatting sqref="IR73">
    <cfRule type="containsText" dxfId="2054" priority="1633" operator="containsText" text="NO APLICA">
      <formula>NOT(ISERROR(SEARCH("NO APLICA",IR73)))</formula>
    </cfRule>
    <cfRule type="containsText" dxfId="2053" priority="1634" operator="containsText" text="ALTA">
      <formula>NOT(ISERROR(SEARCH("ALTA",IR73)))</formula>
    </cfRule>
    <cfRule type="containsText" dxfId="2052" priority="1635" operator="containsText" text="MEDIANA">
      <formula>NOT(ISERROR(SEARCH("MEDIANA",IR73)))</formula>
    </cfRule>
    <cfRule type="containsText" dxfId="2051" priority="1636" operator="containsText" text="BAJA">
      <formula>NOT(ISERROR(SEARCH("BAJA",IR73)))</formula>
    </cfRule>
  </conditionalFormatting>
  <conditionalFormatting sqref="IS73:IT73">
    <cfRule type="containsText" dxfId="2050" priority="1626" operator="containsText" text="NO APLICA">
      <formula>NOT(ISERROR(SEARCH("NO APLICA",IS73)))</formula>
    </cfRule>
    <cfRule type="containsText" dxfId="2049" priority="1627" operator="containsText" text="SIN">
      <formula>NOT(ISERROR(SEARCH("SIN",IS73)))</formula>
    </cfRule>
    <cfRule type="containsText" dxfId="2048" priority="1628" operator="containsText" text="EQUIPO">
      <formula>NOT(ISERROR(SEARCH("EQUIPO",IS73)))</formula>
    </cfRule>
    <cfRule type="containsText" dxfId="2047" priority="1629" operator="containsText" text="MEDICO TRADICIONAL">
      <formula>NOT(ISERROR(SEARCH("MEDICO TRADICIONAL",IS73)))</formula>
    </cfRule>
    <cfRule type="containsText" dxfId="2046" priority="1630" operator="containsText" text="PARTERA">
      <formula>NOT(ISERROR(SEARCH("PARTERA",IS73)))</formula>
    </cfRule>
    <cfRule type="containsText" dxfId="2045" priority="1631" operator="containsText" text="TÉCNICO">
      <formula>NOT(ISERROR(SEARCH("TÉCNICO",IS73)))</formula>
    </cfRule>
    <cfRule type="containsText" dxfId="2044" priority="1632" operator="containsText" text="PROFESIONAL">
      <formula>NOT(ISERROR(SEARCH("PROFESIONAL",IS73)))</formula>
    </cfRule>
  </conditionalFormatting>
  <conditionalFormatting sqref="IT73">
    <cfRule type="containsText" dxfId="2043" priority="1623" operator="containsText" text="LE HACEN CESÁREA SIN INICIO TRABAJO DE PARTO">
      <formula>NOT(ISERROR(SEARCH("LE HACEN CESÁREA SIN INICIO TRABAJO DE PARTO",IT73)))</formula>
    </cfRule>
    <cfRule type="containsText" dxfId="2042" priority="1624" operator="containsText" text="LE HACEN INDUCCIÓN">
      <formula>NOT(ISERROR(SEARCH("LE HACEN INDUCCIÓN",IT73)))</formula>
    </cfRule>
    <cfRule type="containsText" dxfId="2041" priority="1625" operator="containsText" text="ESPONTÁNEO">
      <formula>NOT(ISERROR(SEARCH("ESPONTÁNEO",IT73)))</formula>
    </cfRule>
  </conditionalFormatting>
  <conditionalFormatting sqref="IR74">
    <cfRule type="containsText" dxfId="2040" priority="1619" operator="containsText" text="NO APLICA">
      <formula>NOT(ISERROR(SEARCH("NO APLICA",IR74)))</formula>
    </cfRule>
    <cfRule type="containsText" dxfId="2039" priority="1620" operator="containsText" text="ALTA">
      <formula>NOT(ISERROR(SEARCH("ALTA",IR74)))</formula>
    </cfRule>
    <cfRule type="containsText" dxfId="2038" priority="1621" operator="containsText" text="MEDIANA">
      <formula>NOT(ISERROR(SEARCH("MEDIANA",IR74)))</formula>
    </cfRule>
    <cfRule type="containsText" dxfId="2037" priority="1622" operator="containsText" text="BAJA">
      <formula>NOT(ISERROR(SEARCH("BAJA",IR74)))</formula>
    </cfRule>
  </conditionalFormatting>
  <conditionalFormatting sqref="IS74:IT74">
    <cfRule type="containsText" dxfId="2036" priority="1612" operator="containsText" text="NO APLICA">
      <formula>NOT(ISERROR(SEARCH("NO APLICA",IS74)))</formula>
    </cfRule>
    <cfRule type="containsText" dxfId="2035" priority="1613" operator="containsText" text="SIN">
      <formula>NOT(ISERROR(SEARCH("SIN",IS74)))</formula>
    </cfRule>
    <cfRule type="containsText" dxfId="2034" priority="1614" operator="containsText" text="EQUIPO">
      <formula>NOT(ISERROR(SEARCH("EQUIPO",IS74)))</formula>
    </cfRule>
    <cfRule type="containsText" dxfId="2033" priority="1615" operator="containsText" text="MEDICO TRADICIONAL">
      <formula>NOT(ISERROR(SEARCH("MEDICO TRADICIONAL",IS74)))</formula>
    </cfRule>
    <cfRule type="containsText" dxfId="2032" priority="1616" operator="containsText" text="PARTERA">
      <formula>NOT(ISERROR(SEARCH("PARTERA",IS74)))</formula>
    </cfRule>
    <cfRule type="containsText" dxfId="2031" priority="1617" operator="containsText" text="TÉCNICO">
      <formula>NOT(ISERROR(SEARCH("TÉCNICO",IS74)))</formula>
    </cfRule>
    <cfRule type="containsText" dxfId="2030" priority="1618" operator="containsText" text="PROFESIONAL">
      <formula>NOT(ISERROR(SEARCH("PROFESIONAL",IS74)))</formula>
    </cfRule>
  </conditionalFormatting>
  <conditionalFormatting sqref="IT74">
    <cfRule type="containsText" dxfId="2029" priority="1609" operator="containsText" text="LE HACEN CESÁREA SIN INICIO TRABAJO DE PARTO">
      <formula>NOT(ISERROR(SEARCH("LE HACEN CESÁREA SIN INICIO TRABAJO DE PARTO",IT74)))</formula>
    </cfRule>
    <cfRule type="containsText" dxfId="2028" priority="1610" operator="containsText" text="LE HACEN INDUCCIÓN">
      <formula>NOT(ISERROR(SEARCH("LE HACEN INDUCCIÓN",IT74)))</formula>
    </cfRule>
    <cfRule type="containsText" dxfId="2027" priority="1611" operator="containsText" text="ESPONTÁNEO">
      <formula>NOT(ISERROR(SEARCH("ESPONTÁNEO",IT74)))</formula>
    </cfRule>
  </conditionalFormatting>
  <conditionalFormatting sqref="IR75">
    <cfRule type="containsText" dxfId="2026" priority="1605" operator="containsText" text="NO APLICA">
      <formula>NOT(ISERROR(SEARCH("NO APLICA",IR75)))</formula>
    </cfRule>
    <cfRule type="containsText" dxfId="2025" priority="1606" operator="containsText" text="ALTA">
      <formula>NOT(ISERROR(SEARCH("ALTA",IR75)))</formula>
    </cfRule>
    <cfRule type="containsText" dxfId="2024" priority="1607" operator="containsText" text="MEDIANA">
      <formula>NOT(ISERROR(SEARCH("MEDIANA",IR75)))</formula>
    </cfRule>
    <cfRule type="containsText" dxfId="2023" priority="1608" operator="containsText" text="BAJA">
      <formula>NOT(ISERROR(SEARCH("BAJA",IR75)))</formula>
    </cfRule>
  </conditionalFormatting>
  <conditionalFormatting sqref="IS75:IT75">
    <cfRule type="containsText" dxfId="2022" priority="1598" operator="containsText" text="NO APLICA">
      <formula>NOT(ISERROR(SEARCH("NO APLICA",IS75)))</formula>
    </cfRule>
    <cfRule type="containsText" dxfId="2021" priority="1599" operator="containsText" text="SIN">
      <formula>NOT(ISERROR(SEARCH("SIN",IS75)))</formula>
    </cfRule>
    <cfRule type="containsText" dxfId="2020" priority="1600" operator="containsText" text="EQUIPO">
      <formula>NOT(ISERROR(SEARCH("EQUIPO",IS75)))</formula>
    </cfRule>
    <cfRule type="containsText" dxfId="2019" priority="1601" operator="containsText" text="MEDICO TRADICIONAL">
      <formula>NOT(ISERROR(SEARCH("MEDICO TRADICIONAL",IS75)))</formula>
    </cfRule>
    <cfRule type="containsText" dxfId="2018" priority="1602" operator="containsText" text="PARTERA">
      <formula>NOT(ISERROR(SEARCH("PARTERA",IS75)))</formula>
    </cfRule>
    <cfRule type="containsText" dxfId="2017" priority="1603" operator="containsText" text="TÉCNICO">
      <formula>NOT(ISERROR(SEARCH("TÉCNICO",IS75)))</formula>
    </cfRule>
    <cfRule type="containsText" dxfId="2016" priority="1604" operator="containsText" text="PROFESIONAL">
      <formula>NOT(ISERROR(SEARCH("PROFESIONAL",IS75)))</formula>
    </cfRule>
  </conditionalFormatting>
  <conditionalFormatting sqref="IT75">
    <cfRule type="containsText" dxfId="2015" priority="1595" operator="containsText" text="LE HACEN CESÁREA SIN INICIO TRABAJO DE PARTO">
      <formula>NOT(ISERROR(SEARCH("LE HACEN CESÁREA SIN INICIO TRABAJO DE PARTO",IT75)))</formula>
    </cfRule>
    <cfRule type="containsText" dxfId="2014" priority="1596" operator="containsText" text="LE HACEN INDUCCIÓN">
      <formula>NOT(ISERROR(SEARCH("LE HACEN INDUCCIÓN",IT75)))</formula>
    </cfRule>
    <cfRule type="containsText" dxfId="2013" priority="1597" operator="containsText" text="ESPONTÁNEO">
      <formula>NOT(ISERROR(SEARCH("ESPONTÁNEO",IT75)))</formula>
    </cfRule>
  </conditionalFormatting>
  <conditionalFormatting sqref="JI74">
    <cfRule type="containsText" dxfId="2012" priority="1591" operator="containsText" text="NO APLICA">
      <formula>NOT(ISERROR(SEARCH("NO APLICA",JI74)))</formula>
    </cfRule>
    <cfRule type="containsText" dxfId="2011" priority="1592" operator="containsText" text="SIN DATO">
      <formula>NOT(ISERROR(SEARCH("SIN DATO",JI74)))</formula>
    </cfRule>
    <cfRule type="containsText" dxfId="2010" priority="1593" operator="containsText" text="NO">
      <formula>NOT(ISERROR(SEARCH("NO",JI74)))</formula>
    </cfRule>
    <cfRule type="containsText" dxfId="2009" priority="1594" operator="containsText" text="SI">
      <formula>NOT(ISERROR(SEARCH("SI",JI74)))</formula>
    </cfRule>
  </conditionalFormatting>
  <conditionalFormatting sqref="IR76">
    <cfRule type="containsText" dxfId="2008" priority="1587" operator="containsText" text="NO APLICA">
      <formula>NOT(ISERROR(SEARCH("NO APLICA",IR76)))</formula>
    </cfRule>
    <cfRule type="containsText" dxfId="2007" priority="1588" operator="containsText" text="ALTA">
      <formula>NOT(ISERROR(SEARCH("ALTA",IR76)))</formula>
    </cfRule>
    <cfRule type="containsText" dxfId="2006" priority="1589" operator="containsText" text="MEDIANA">
      <formula>NOT(ISERROR(SEARCH("MEDIANA",IR76)))</formula>
    </cfRule>
    <cfRule type="containsText" dxfId="2005" priority="1590" operator="containsText" text="BAJA">
      <formula>NOT(ISERROR(SEARCH("BAJA",IR76)))</formula>
    </cfRule>
  </conditionalFormatting>
  <conditionalFormatting sqref="IS76:IT76">
    <cfRule type="containsText" dxfId="2004" priority="1580" operator="containsText" text="NO APLICA">
      <formula>NOT(ISERROR(SEARCH("NO APLICA",IS76)))</formula>
    </cfRule>
    <cfRule type="containsText" dxfId="2003" priority="1581" operator="containsText" text="SIN">
      <formula>NOT(ISERROR(SEARCH("SIN",IS76)))</formula>
    </cfRule>
    <cfRule type="containsText" dxfId="2002" priority="1582" operator="containsText" text="EQUIPO">
      <formula>NOT(ISERROR(SEARCH("EQUIPO",IS76)))</formula>
    </cfRule>
    <cfRule type="containsText" dxfId="2001" priority="1583" operator="containsText" text="MEDICO TRADICIONAL">
      <formula>NOT(ISERROR(SEARCH("MEDICO TRADICIONAL",IS76)))</formula>
    </cfRule>
    <cfRule type="containsText" dxfId="2000" priority="1584" operator="containsText" text="PARTERA">
      <formula>NOT(ISERROR(SEARCH("PARTERA",IS76)))</formula>
    </cfRule>
    <cfRule type="containsText" dxfId="1999" priority="1585" operator="containsText" text="TÉCNICO">
      <formula>NOT(ISERROR(SEARCH("TÉCNICO",IS76)))</formula>
    </cfRule>
    <cfRule type="containsText" dxfId="1998" priority="1586" operator="containsText" text="PROFESIONAL">
      <formula>NOT(ISERROR(SEARCH("PROFESIONAL",IS76)))</formula>
    </cfRule>
  </conditionalFormatting>
  <conditionalFormatting sqref="IT76">
    <cfRule type="containsText" dxfId="1997" priority="1577" operator="containsText" text="LE HACEN CESÁREA SIN INICIO TRABAJO DE PARTO">
      <formula>NOT(ISERROR(SEARCH("LE HACEN CESÁREA SIN INICIO TRABAJO DE PARTO",IT76)))</formula>
    </cfRule>
    <cfRule type="containsText" dxfId="1996" priority="1578" operator="containsText" text="LE HACEN INDUCCIÓN">
      <formula>NOT(ISERROR(SEARCH("LE HACEN INDUCCIÓN",IT76)))</formula>
    </cfRule>
    <cfRule type="containsText" dxfId="1995" priority="1579" operator="containsText" text="ESPONTÁNEO">
      <formula>NOT(ISERROR(SEARCH("ESPONTÁNEO",IT76)))</formula>
    </cfRule>
  </conditionalFormatting>
  <conditionalFormatting sqref="JI75">
    <cfRule type="containsText" dxfId="1994" priority="1573" operator="containsText" text="NO APLICA">
      <formula>NOT(ISERROR(SEARCH("NO APLICA",JI75)))</formula>
    </cfRule>
    <cfRule type="containsText" dxfId="1993" priority="1574" operator="containsText" text="SIN DATO">
      <formula>NOT(ISERROR(SEARCH("SIN DATO",JI75)))</formula>
    </cfRule>
    <cfRule type="containsText" dxfId="1992" priority="1575" operator="containsText" text="NO">
      <formula>NOT(ISERROR(SEARCH("NO",JI75)))</formula>
    </cfRule>
    <cfRule type="containsText" dxfId="1991" priority="1576" operator="containsText" text="SI">
      <formula>NOT(ISERROR(SEARCH("SI",JI75)))</formula>
    </cfRule>
  </conditionalFormatting>
  <conditionalFormatting sqref="IR77">
    <cfRule type="containsText" dxfId="1990" priority="1569" operator="containsText" text="NO APLICA">
      <formula>NOT(ISERROR(SEARCH("NO APLICA",IR77)))</formula>
    </cfRule>
    <cfRule type="containsText" dxfId="1989" priority="1570" operator="containsText" text="ALTA">
      <formula>NOT(ISERROR(SEARCH("ALTA",IR77)))</formula>
    </cfRule>
    <cfRule type="containsText" dxfId="1988" priority="1571" operator="containsText" text="MEDIANA">
      <formula>NOT(ISERROR(SEARCH("MEDIANA",IR77)))</formula>
    </cfRule>
    <cfRule type="containsText" dxfId="1987" priority="1572" operator="containsText" text="BAJA">
      <formula>NOT(ISERROR(SEARCH("BAJA",IR77)))</formula>
    </cfRule>
  </conditionalFormatting>
  <conditionalFormatting sqref="IS77:IT77">
    <cfRule type="containsText" dxfId="1986" priority="1562" operator="containsText" text="NO APLICA">
      <formula>NOT(ISERROR(SEARCH("NO APLICA",IS77)))</formula>
    </cfRule>
    <cfRule type="containsText" dxfId="1985" priority="1563" operator="containsText" text="SIN">
      <formula>NOT(ISERROR(SEARCH("SIN",IS77)))</formula>
    </cfRule>
    <cfRule type="containsText" dxfId="1984" priority="1564" operator="containsText" text="EQUIPO">
      <formula>NOT(ISERROR(SEARCH("EQUIPO",IS77)))</formula>
    </cfRule>
    <cfRule type="containsText" dxfId="1983" priority="1565" operator="containsText" text="MEDICO TRADICIONAL">
      <formula>NOT(ISERROR(SEARCH("MEDICO TRADICIONAL",IS77)))</formula>
    </cfRule>
    <cfRule type="containsText" dxfId="1982" priority="1566" operator="containsText" text="PARTERA">
      <formula>NOT(ISERROR(SEARCH("PARTERA",IS77)))</formula>
    </cfRule>
    <cfRule type="containsText" dxfId="1981" priority="1567" operator="containsText" text="TÉCNICO">
      <formula>NOT(ISERROR(SEARCH("TÉCNICO",IS77)))</formula>
    </cfRule>
    <cfRule type="containsText" dxfId="1980" priority="1568" operator="containsText" text="PROFESIONAL">
      <formula>NOT(ISERROR(SEARCH("PROFESIONAL",IS77)))</formula>
    </cfRule>
  </conditionalFormatting>
  <conditionalFormatting sqref="IT77">
    <cfRule type="containsText" dxfId="1979" priority="1559" operator="containsText" text="LE HACEN CESÁREA SIN INICIO TRABAJO DE PARTO">
      <formula>NOT(ISERROR(SEARCH("LE HACEN CESÁREA SIN INICIO TRABAJO DE PARTO",IT77)))</formula>
    </cfRule>
    <cfRule type="containsText" dxfId="1978" priority="1560" operator="containsText" text="LE HACEN INDUCCIÓN">
      <formula>NOT(ISERROR(SEARCH("LE HACEN INDUCCIÓN",IT77)))</formula>
    </cfRule>
    <cfRule type="containsText" dxfId="1977" priority="1561" operator="containsText" text="ESPONTÁNEO">
      <formula>NOT(ISERROR(SEARCH("ESPONTÁNEO",IT77)))</formula>
    </cfRule>
  </conditionalFormatting>
  <conditionalFormatting sqref="JI76">
    <cfRule type="containsText" dxfId="1976" priority="1555" operator="containsText" text="NO APLICA">
      <formula>NOT(ISERROR(SEARCH("NO APLICA",JI76)))</formula>
    </cfRule>
    <cfRule type="containsText" dxfId="1975" priority="1556" operator="containsText" text="SIN DATO">
      <formula>NOT(ISERROR(SEARCH("SIN DATO",JI76)))</formula>
    </cfRule>
    <cfRule type="containsText" dxfId="1974" priority="1557" operator="containsText" text="NO">
      <formula>NOT(ISERROR(SEARCH("NO",JI76)))</formula>
    </cfRule>
    <cfRule type="containsText" dxfId="1973" priority="1558" operator="containsText" text="SI">
      <formula>NOT(ISERROR(SEARCH("SI",JI76)))</formula>
    </cfRule>
  </conditionalFormatting>
  <conditionalFormatting sqref="IO72">
    <cfRule type="containsText" dxfId="1972" priority="1551" operator="containsText" text="NO APLICA">
      <formula>NOT(ISERROR(SEARCH("NO APLICA",IO72)))</formula>
    </cfRule>
    <cfRule type="containsText" dxfId="1971" priority="1552" operator="containsText" text="OTRO">
      <formula>NOT(ISERROR(SEARCH("OTRO",IO72)))</formula>
    </cfRule>
    <cfRule type="containsText" dxfId="1970" priority="1553" operator="containsText" text="DOMICILIO">
      <formula>NOT(ISERROR(SEARCH("DOMICILIO",IO72)))</formula>
    </cfRule>
    <cfRule type="containsText" dxfId="1969" priority="1554" operator="containsText" text="INSTITUCIONAL">
      <formula>NOT(ISERROR(SEARCH("INSTITUCIONAL",IO72)))</formula>
    </cfRule>
  </conditionalFormatting>
  <conditionalFormatting sqref="IR72">
    <cfRule type="containsText" dxfId="1968" priority="1547" operator="containsText" text="NO APLICA">
      <formula>NOT(ISERROR(SEARCH("NO APLICA",IR72)))</formula>
    </cfRule>
    <cfRule type="containsText" dxfId="1967" priority="1548" operator="containsText" text="ALTA">
      <formula>NOT(ISERROR(SEARCH("ALTA",IR72)))</formula>
    </cfRule>
    <cfRule type="containsText" dxfId="1966" priority="1549" operator="containsText" text="MEDIANA">
      <formula>NOT(ISERROR(SEARCH("MEDIANA",IR72)))</formula>
    </cfRule>
    <cfRule type="containsText" dxfId="1965" priority="1550" operator="containsText" text="BAJA">
      <formula>NOT(ISERROR(SEARCH("BAJA",IR72)))</formula>
    </cfRule>
  </conditionalFormatting>
  <conditionalFormatting sqref="IS72:IT72">
    <cfRule type="containsText" dxfId="1964" priority="1540" operator="containsText" text="NO APLICA">
      <formula>NOT(ISERROR(SEARCH("NO APLICA",IS72)))</formula>
    </cfRule>
    <cfRule type="containsText" dxfId="1963" priority="1541" operator="containsText" text="SIN">
      <formula>NOT(ISERROR(SEARCH("SIN",IS72)))</formula>
    </cfRule>
    <cfRule type="containsText" dxfId="1962" priority="1542" operator="containsText" text="EQUIPO">
      <formula>NOT(ISERROR(SEARCH("EQUIPO",IS72)))</formula>
    </cfRule>
    <cfRule type="containsText" dxfId="1961" priority="1543" operator="containsText" text="MEDICO TRADICIONAL">
      <formula>NOT(ISERROR(SEARCH("MEDICO TRADICIONAL",IS72)))</formula>
    </cfRule>
    <cfRule type="containsText" dxfId="1960" priority="1544" operator="containsText" text="PARTERA">
      <formula>NOT(ISERROR(SEARCH("PARTERA",IS72)))</formula>
    </cfRule>
    <cfRule type="containsText" dxfId="1959" priority="1545" operator="containsText" text="TÉCNICO">
      <formula>NOT(ISERROR(SEARCH("TÉCNICO",IS72)))</formula>
    </cfRule>
    <cfRule type="containsText" dxfId="1958" priority="1546" operator="containsText" text="PROFESIONAL">
      <formula>NOT(ISERROR(SEARCH("PROFESIONAL",IS72)))</formula>
    </cfRule>
  </conditionalFormatting>
  <conditionalFormatting sqref="IT72">
    <cfRule type="containsText" dxfId="1957" priority="1537" operator="containsText" text="LE HACEN CESÁREA SIN INICIO TRABAJO DE PARTO">
      <formula>NOT(ISERROR(SEARCH("LE HACEN CESÁREA SIN INICIO TRABAJO DE PARTO",IT72)))</formula>
    </cfRule>
    <cfRule type="containsText" dxfId="1956" priority="1538" operator="containsText" text="LE HACEN INDUCCIÓN">
      <formula>NOT(ISERROR(SEARCH("LE HACEN INDUCCIÓN",IT72)))</formula>
    </cfRule>
    <cfRule type="containsText" dxfId="1955" priority="1539" operator="containsText" text="ESPONTÁNEO">
      <formula>NOT(ISERROR(SEARCH("ESPONTÁNEO",IT72)))</formula>
    </cfRule>
  </conditionalFormatting>
  <conditionalFormatting sqref="JI73">
    <cfRule type="containsText" dxfId="1954" priority="1533" operator="containsText" text="NO APLICA">
      <formula>NOT(ISERROR(SEARCH("NO APLICA",JI73)))</formula>
    </cfRule>
    <cfRule type="containsText" dxfId="1953" priority="1534" operator="containsText" text="SIN DATO">
      <formula>NOT(ISERROR(SEARCH("SIN DATO",JI73)))</formula>
    </cfRule>
    <cfRule type="containsText" dxfId="1952" priority="1535" operator="containsText" text="NO">
      <formula>NOT(ISERROR(SEARCH("NO",JI73)))</formula>
    </cfRule>
    <cfRule type="containsText" dxfId="1951" priority="1536" operator="containsText" text="SI">
      <formula>NOT(ISERROR(SEARCH("SI",JI73)))</formula>
    </cfRule>
  </conditionalFormatting>
  <conditionalFormatting sqref="JI74">
    <cfRule type="containsText" dxfId="1950" priority="1529" operator="containsText" text="NO APLICA">
      <formula>NOT(ISERROR(SEARCH("NO APLICA",JI74)))</formula>
    </cfRule>
    <cfRule type="containsText" dxfId="1949" priority="1530" operator="containsText" text="SIN DATO">
      <formula>NOT(ISERROR(SEARCH("SIN DATO",JI74)))</formula>
    </cfRule>
    <cfRule type="containsText" dxfId="1948" priority="1531" operator="containsText" text="NO">
      <formula>NOT(ISERROR(SEARCH("NO",JI74)))</formula>
    </cfRule>
    <cfRule type="containsText" dxfId="1947" priority="1532" operator="containsText" text="SI">
      <formula>NOT(ISERROR(SEARCH("SI",JI74)))</formula>
    </cfRule>
  </conditionalFormatting>
  <conditionalFormatting sqref="JI75">
    <cfRule type="containsText" dxfId="1946" priority="1525" operator="containsText" text="NO APLICA">
      <formula>NOT(ISERROR(SEARCH("NO APLICA",JI75)))</formula>
    </cfRule>
    <cfRule type="containsText" dxfId="1945" priority="1526" operator="containsText" text="SIN DATO">
      <formula>NOT(ISERROR(SEARCH("SIN DATO",JI75)))</formula>
    </cfRule>
    <cfRule type="containsText" dxfId="1944" priority="1527" operator="containsText" text="NO">
      <formula>NOT(ISERROR(SEARCH("NO",JI75)))</formula>
    </cfRule>
    <cfRule type="containsText" dxfId="1943" priority="1528" operator="containsText" text="SI">
      <formula>NOT(ISERROR(SEARCH("SI",JI75)))</formula>
    </cfRule>
  </conditionalFormatting>
  <conditionalFormatting sqref="JI76">
    <cfRule type="containsText" dxfId="1942" priority="1521" operator="containsText" text="NO APLICA">
      <formula>NOT(ISERROR(SEARCH("NO APLICA",JI76)))</formula>
    </cfRule>
    <cfRule type="containsText" dxfId="1941" priority="1522" operator="containsText" text="SIN DATO">
      <formula>NOT(ISERROR(SEARCH("SIN DATO",JI76)))</formula>
    </cfRule>
    <cfRule type="containsText" dxfId="1940" priority="1523" operator="containsText" text="NO">
      <formula>NOT(ISERROR(SEARCH("NO",JI76)))</formula>
    </cfRule>
    <cfRule type="containsText" dxfId="1939" priority="1524" operator="containsText" text="SI">
      <formula>NOT(ISERROR(SEARCH("SI",JI76)))</formula>
    </cfRule>
  </conditionalFormatting>
  <conditionalFormatting sqref="JI77">
    <cfRule type="containsText" dxfId="1938" priority="1517" operator="containsText" text="NO APLICA">
      <formula>NOT(ISERROR(SEARCH("NO APLICA",JI77)))</formula>
    </cfRule>
    <cfRule type="containsText" dxfId="1937" priority="1518" operator="containsText" text="SIN DATO">
      <formula>NOT(ISERROR(SEARCH("SIN DATO",JI77)))</formula>
    </cfRule>
    <cfRule type="containsText" dxfId="1936" priority="1519" operator="containsText" text="NO">
      <formula>NOT(ISERROR(SEARCH("NO",JI77)))</formula>
    </cfRule>
    <cfRule type="containsText" dxfId="1935" priority="1520" operator="containsText" text="SI">
      <formula>NOT(ISERROR(SEARCH("SI",JI77)))</formula>
    </cfRule>
  </conditionalFormatting>
  <conditionalFormatting sqref="IR79">
    <cfRule type="containsText" dxfId="1934" priority="1513" operator="containsText" text="NO APLICA">
      <formula>NOT(ISERROR(SEARCH("NO APLICA",IR79)))</formula>
    </cfRule>
    <cfRule type="containsText" dxfId="1933" priority="1514" operator="containsText" text="ALTA">
      <formula>NOT(ISERROR(SEARCH("ALTA",IR79)))</formula>
    </cfRule>
    <cfRule type="containsText" dxfId="1932" priority="1515" operator="containsText" text="MEDIANA">
      <formula>NOT(ISERROR(SEARCH("MEDIANA",IR79)))</formula>
    </cfRule>
    <cfRule type="containsText" dxfId="1931" priority="1516" operator="containsText" text="BAJA">
      <formula>NOT(ISERROR(SEARCH("BAJA",IR79)))</formula>
    </cfRule>
  </conditionalFormatting>
  <conditionalFormatting sqref="IS79:IT79">
    <cfRule type="containsText" dxfId="1930" priority="1506" operator="containsText" text="NO APLICA">
      <formula>NOT(ISERROR(SEARCH("NO APLICA",IS79)))</formula>
    </cfRule>
    <cfRule type="containsText" dxfId="1929" priority="1507" operator="containsText" text="SIN">
      <formula>NOT(ISERROR(SEARCH("SIN",IS79)))</formula>
    </cfRule>
    <cfRule type="containsText" dxfId="1928" priority="1508" operator="containsText" text="EQUIPO">
      <formula>NOT(ISERROR(SEARCH("EQUIPO",IS79)))</formula>
    </cfRule>
    <cfRule type="containsText" dxfId="1927" priority="1509" operator="containsText" text="MEDICO TRADICIONAL">
      <formula>NOT(ISERROR(SEARCH("MEDICO TRADICIONAL",IS79)))</formula>
    </cfRule>
    <cfRule type="containsText" dxfId="1926" priority="1510" operator="containsText" text="PARTERA">
      <formula>NOT(ISERROR(SEARCH("PARTERA",IS79)))</formula>
    </cfRule>
    <cfRule type="containsText" dxfId="1925" priority="1511" operator="containsText" text="TÉCNICO">
      <formula>NOT(ISERROR(SEARCH("TÉCNICO",IS79)))</formula>
    </cfRule>
    <cfRule type="containsText" dxfId="1924" priority="1512" operator="containsText" text="PROFESIONAL">
      <formula>NOT(ISERROR(SEARCH("PROFESIONAL",IS79)))</formula>
    </cfRule>
  </conditionalFormatting>
  <conditionalFormatting sqref="IT79">
    <cfRule type="containsText" dxfId="1923" priority="1503" operator="containsText" text="LE HACEN CESÁREA SIN INICIO TRABAJO DE PARTO">
      <formula>NOT(ISERROR(SEARCH("LE HACEN CESÁREA SIN INICIO TRABAJO DE PARTO",IT79)))</formula>
    </cfRule>
    <cfRule type="containsText" dxfId="1922" priority="1504" operator="containsText" text="LE HACEN INDUCCIÓN">
      <formula>NOT(ISERROR(SEARCH("LE HACEN INDUCCIÓN",IT79)))</formula>
    </cfRule>
    <cfRule type="containsText" dxfId="1921" priority="1505" operator="containsText" text="ESPONTÁNEO">
      <formula>NOT(ISERROR(SEARCH("ESPONTÁNEO",IT79)))</formula>
    </cfRule>
  </conditionalFormatting>
  <conditionalFormatting sqref="JI79">
    <cfRule type="containsText" dxfId="1920" priority="1499" operator="containsText" text="NO APLICA">
      <formula>NOT(ISERROR(SEARCH("NO APLICA",JI79)))</formula>
    </cfRule>
    <cfRule type="containsText" dxfId="1919" priority="1500" operator="containsText" text="SIN DATO">
      <formula>NOT(ISERROR(SEARCH("SIN DATO",JI79)))</formula>
    </cfRule>
    <cfRule type="containsText" dxfId="1918" priority="1501" operator="containsText" text="NO">
      <formula>NOT(ISERROR(SEARCH("NO",JI79)))</formula>
    </cfRule>
    <cfRule type="containsText" dxfId="1917" priority="1502" operator="containsText" text="SI">
      <formula>NOT(ISERROR(SEARCH("SI",JI79)))</formula>
    </cfRule>
  </conditionalFormatting>
  <conditionalFormatting sqref="JI79">
    <cfRule type="containsText" dxfId="1916" priority="1495" operator="containsText" text="NO APLICA">
      <formula>NOT(ISERROR(SEARCH("NO APLICA",JI79)))</formula>
    </cfRule>
    <cfRule type="containsText" dxfId="1915" priority="1496" operator="containsText" text="SIN DATO">
      <formula>NOT(ISERROR(SEARCH("SIN DATO",JI79)))</formula>
    </cfRule>
    <cfRule type="containsText" dxfId="1914" priority="1497" operator="containsText" text="NO">
      <formula>NOT(ISERROR(SEARCH("NO",JI79)))</formula>
    </cfRule>
    <cfRule type="containsText" dxfId="1913" priority="1498" operator="containsText" text="SI">
      <formula>NOT(ISERROR(SEARCH("SI",JI79)))</formula>
    </cfRule>
  </conditionalFormatting>
  <conditionalFormatting sqref="IR80">
    <cfRule type="containsText" dxfId="1912" priority="1491" operator="containsText" text="NO APLICA">
      <formula>NOT(ISERROR(SEARCH("NO APLICA",IR80)))</formula>
    </cfRule>
    <cfRule type="containsText" dxfId="1911" priority="1492" operator="containsText" text="ALTA">
      <formula>NOT(ISERROR(SEARCH("ALTA",IR80)))</formula>
    </cfRule>
    <cfRule type="containsText" dxfId="1910" priority="1493" operator="containsText" text="MEDIANA">
      <formula>NOT(ISERROR(SEARCH("MEDIANA",IR80)))</formula>
    </cfRule>
    <cfRule type="containsText" dxfId="1909" priority="1494" operator="containsText" text="BAJA">
      <formula>NOT(ISERROR(SEARCH("BAJA",IR80)))</formula>
    </cfRule>
  </conditionalFormatting>
  <conditionalFormatting sqref="IS80:IT80">
    <cfRule type="containsText" dxfId="1908" priority="1484" operator="containsText" text="NO APLICA">
      <formula>NOT(ISERROR(SEARCH("NO APLICA",IS80)))</formula>
    </cfRule>
    <cfRule type="containsText" dxfId="1907" priority="1485" operator="containsText" text="SIN">
      <formula>NOT(ISERROR(SEARCH("SIN",IS80)))</formula>
    </cfRule>
    <cfRule type="containsText" dxfId="1906" priority="1486" operator="containsText" text="EQUIPO">
      <formula>NOT(ISERROR(SEARCH("EQUIPO",IS80)))</formula>
    </cfRule>
    <cfRule type="containsText" dxfId="1905" priority="1487" operator="containsText" text="MEDICO TRADICIONAL">
      <formula>NOT(ISERROR(SEARCH("MEDICO TRADICIONAL",IS80)))</formula>
    </cfRule>
    <cfRule type="containsText" dxfId="1904" priority="1488" operator="containsText" text="PARTERA">
      <formula>NOT(ISERROR(SEARCH("PARTERA",IS80)))</formula>
    </cfRule>
    <cfRule type="containsText" dxfId="1903" priority="1489" operator="containsText" text="TÉCNICO">
      <formula>NOT(ISERROR(SEARCH("TÉCNICO",IS80)))</formula>
    </cfRule>
    <cfRule type="containsText" dxfId="1902" priority="1490" operator="containsText" text="PROFESIONAL">
      <formula>NOT(ISERROR(SEARCH("PROFESIONAL",IS80)))</formula>
    </cfRule>
  </conditionalFormatting>
  <conditionalFormatting sqref="IT80">
    <cfRule type="containsText" dxfId="1901" priority="1481" operator="containsText" text="LE HACEN CESÁREA SIN INICIO TRABAJO DE PARTO">
      <formula>NOT(ISERROR(SEARCH("LE HACEN CESÁREA SIN INICIO TRABAJO DE PARTO",IT80)))</formula>
    </cfRule>
    <cfRule type="containsText" dxfId="1900" priority="1482" operator="containsText" text="LE HACEN INDUCCIÓN">
      <formula>NOT(ISERROR(SEARCH("LE HACEN INDUCCIÓN",IT80)))</formula>
    </cfRule>
    <cfRule type="containsText" dxfId="1899" priority="1483" operator="containsText" text="ESPONTÁNEO">
      <formula>NOT(ISERROR(SEARCH("ESPONTÁNEO",IT80)))</formula>
    </cfRule>
  </conditionalFormatting>
  <conditionalFormatting sqref="IR81">
    <cfRule type="containsText" dxfId="1898" priority="1477" operator="containsText" text="NO APLICA">
      <formula>NOT(ISERROR(SEARCH("NO APLICA",IR81)))</formula>
    </cfRule>
    <cfRule type="containsText" dxfId="1897" priority="1478" operator="containsText" text="ALTA">
      <formula>NOT(ISERROR(SEARCH("ALTA",IR81)))</formula>
    </cfRule>
    <cfRule type="containsText" dxfId="1896" priority="1479" operator="containsText" text="MEDIANA">
      <formula>NOT(ISERROR(SEARCH("MEDIANA",IR81)))</formula>
    </cfRule>
    <cfRule type="containsText" dxfId="1895" priority="1480" operator="containsText" text="BAJA">
      <formula>NOT(ISERROR(SEARCH("BAJA",IR81)))</formula>
    </cfRule>
  </conditionalFormatting>
  <conditionalFormatting sqref="IS81:IT81">
    <cfRule type="containsText" dxfId="1894" priority="1470" operator="containsText" text="NO APLICA">
      <formula>NOT(ISERROR(SEARCH("NO APLICA",IS81)))</formula>
    </cfRule>
    <cfRule type="containsText" dxfId="1893" priority="1471" operator="containsText" text="SIN">
      <formula>NOT(ISERROR(SEARCH("SIN",IS81)))</formula>
    </cfRule>
    <cfRule type="containsText" dxfId="1892" priority="1472" operator="containsText" text="EQUIPO">
      <formula>NOT(ISERROR(SEARCH("EQUIPO",IS81)))</formula>
    </cfRule>
    <cfRule type="containsText" dxfId="1891" priority="1473" operator="containsText" text="MEDICO TRADICIONAL">
      <formula>NOT(ISERROR(SEARCH("MEDICO TRADICIONAL",IS81)))</formula>
    </cfRule>
    <cfRule type="containsText" dxfId="1890" priority="1474" operator="containsText" text="PARTERA">
      <formula>NOT(ISERROR(SEARCH("PARTERA",IS81)))</formula>
    </cfRule>
    <cfRule type="containsText" dxfId="1889" priority="1475" operator="containsText" text="TÉCNICO">
      <formula>NOT(ISERROR(SEARCH("TÉCNICO",IS81)))</formula>
    </cfRule>
    <cfRule type="containsText" dxfId="1888" priority="1476" operator="containsText" text="PROFESIONAL">
      <formula>NOT(ISERROR(SEARCH("PROFESIONAL",IS81)))</formula>
    </cfRule>
  </conditionalFormatting>
  <conditionalFormatting sqref="IT81">
    <cfRule type="containsText" dxfId="1887" priority="1467" operator="containsText" text="LE HACEN CESÁREA SIN INICIO TRABAJO DE PARTO">
      <formula>NOT(ISERROR(SEARCH("LE HACEN CESÁREA SIN INICIO TRABAJO DE PARTO",IT81)))</formula>
    </cfRule>
    <cfRule type="containsText" dxfId="1886" priority="1468" operator="containsText" text="LE HACEN INDUCCIÓN">
      <formula>NOT(ISERROR(SEARCH("LE HACEN INDUCCIÓN",IT81)))</formula>
    </cfRule>
    <cfRule type="containsText" dxfId="1885" priority="1469" operator="containsText" text="ESPONTÁNEO">
      <formula>NOT(ISERROR(SEARCH("ESPONTÁNEO",IT81)))</formula>
    </cfRule>
  </conditionalFormatting>
  <conditionalFormatting sqref="IR82">
    <cfRule type="containsText" dxfId="1884" priority="1463" operator="containsText" text="NO APLICA">
      <formula>NOT(ISERROR(SEARCH("NO APLICA",IR82)))</formula>
    </cfRule>
    <cfRule type="containsText" dxfId="1883" priority="1464" operator="containsText" text="ALTA">
      <formula>NOT(ISERROR(SEARCH("ALTA",IR82)))</formula>
    </cfRule>
    <cfRule type="containsText" dxfId="1882" priority="1465" operator="containsText" text="MEDIANA">
      <formula>NOT(ISERROR(SEARCH("MEDIANA",IR82)))</formula>
    </cfRule>
    <cfRule type="containsText" dxfId="1881" priority="1466" operator="containsText" text="BAJA">
      <formula>NOT(ISERROR(SEARCH("BAJA",IR82)))</formula>
    </cfRule>
  </conditionalFormatting>
  <conditionalFormatting sqref="IS82:IT82">
    <cfRule type="containsText" dxfId="1880" priority="1456" operator="containsText" text="NO APLICA">
      <formula>NOT(ISERROR(SEARCH("NO APLICA",IS82)))</formula>
    </cfRule>
    <cfRule type="containsText" dxfId="1879" priority="1457" operator="containsText" text="SIN">
      <formula>NOT(ISERROR(SEARCH("SIN",IS82)))</formula>
    </cfRule>
    <cfRule type="containsText" dxfId="1878" priority="1458" operator="containsText" text="EQUIPO">
      <formula>NOT(ISERROR(SEARCH("EQUIPO",IS82)))</formula>
    </cfRule>
    <cfRule type="containsText" dxfId="1877" priority="1459" operator="containsText" text="MEDICO TRADICIONAL">
      <formula>NOT(ISERROR(SEARCH("MEDICO TRADICIONAL",IS82)))</formula>
    </cfRule>
    <cfRule type="containsText" dxfId="1876" priority="1460" operator="containsText" text="PARTERA">
      <formula>NOT(ISERROR(SEARCH("PARTERA",IS82)))</formula>
    </cfRule>
    <cfRule type="containsText" dxfId="1875" priority="1461" operator="containsText" text="TÉCNICO">
      <formula>NOT(ISERROR(SEARCH("TÉCNICO",IS82)))</formula>
    </cfRule>
    <cfRule type="containsText" dxfId="1874" priority="1462" operator="containsText" text="PROFESIONAL">
      <formula>NOT(ISERROR(SEARCH("PROFESIONAL",IS82)))</formula>
    </cfRule>
  </conditionalFormatting>
  <conditionalFormatting sqref="IT82">
    <cfRule type="containsText" dxfId="1873" priority="1453" operator="containsText" text="LE HACEN CESÁREA SIN INICIO TRABAJO DE PARTO">
      <formula>NOT(ISERROR(SEARCH("LE HACEN CESÁREA SIN INICIO TRABAJO DE PARTO",IT82)))</formula>
    </cfRule>
    <cfRule type="containsText" dxfId="1872" priority="1454" operator="containsText" text="LE HACEN INDUCCIÓN">
      <formula>NOT(ISERROR(SEARCH("LE HACEN INDUCCIÓN",IT82)))</formula>
    </cfRule>
    <cfRule type="containsText" dxfId="1871" priority="1455" operator="containsText" text="ESPONTÁNEO">
      <formula>NOT(ISERROR(SEARCH("ESPONTÁNEO",IT82)))</formula>
    </cfRule>
  </conditionalFormatting>
  <conditionalFormatting sqref="JI82">
    <cfRule type="containsText" dxfId="1870" priority="1449" operator="containsText" text="NO APLICA">
      <formula>NOT(ISERROR(SEARCH("NO APLICA",JI82)))</formula>
    </cfRule>
    <cfRule type="containsText" dxfId="1869" priority="1450" operator="containsText" text="SIN DATO">
      <formula>NOT(ISERROR(SEARCH("SIN DATO",JI82)))</formula>
    </cfRule>
    <cfRule type="containsText" dxfId="1868" priority="1451" operator="containsText" text="NO">
      <formula>NOT(ISERROR(SEARCH("NO",JI82)))</formula>
    </cfRule>
    <cfRule type="containsText" dxfId="1867" priority="1452" operator="containsText" text="SI">
      <formula>NOT(ISERROR(SEARCH("SI",JI82)))</formula>
    </cfRule>
  </conditionalFormatting>
  <conditionalFormatting sqref="JI82">
    <cfRule type="containsText" dxfId="1866" priority="1445" operator="containsText" text="NO APLICA">
      <formula>NOT(ISERROR(SEARCH("NO APLICA",JI82)))</formula>
    </cfRule>
    <cfRule type="containsText" dxfId="1865" priority="1446" operator="containsText" text="SIN DATO">
      <formula>NOT(ISERROR(SEARCH("SIN DATO",JI82)))</formula>
    </cfRule>
    <cfRule type="containsText" dxfId="1864" priority="1447" operator="containsText" text="NO">
      <formula>NOT(ISERROR(SEARCH("NO",JI82)))</formula>
    </cfRule>
    <cfRule type="containsText" dxfId="1863" priority="1448" operator="containsText" text="SI">
      <formula>NOT(ISERROR(SEARCH("SI",JI82)))</formula>
    </cfRule>
  </conditionalFormatting>
  <conditionalFormatting sqref="IR83">
    <cfRule type="containsText" dxfId="1862" priority="1441" operator="containsText" text="NO APLICA">
      <formula>NOT(ISERROR(SEARCH("NO APLICA",IR83)))</formula>
    </cfRule>
    <cfRule type="containsText" dxfId="1861" priority="1442" operator="containsText" text="ALTA">
      <formula>NOT(ISERROR(SEARCH("ALTA",IR83)))</formula>
    </cfRule>
    <cfRule type="containsText" dxfId="1860" priority="1443" operator="containsText" text="MEDIANA">
      <formula>NOT(ISERROR(SEARCH("MEDIANA",IR83)))</formula>
    </cfRule>
    <cfRule type="containsText" dxfId="1859" priority="1444" operator="containsText" text="BAJA">
      <formula>NOT(ISERROR(SEARCH("BAJA",IR83)))</formula>
    </cfRule>
  </conditionalFormatting>
  <conditionalFormatting sqref="IS83:IT83">
    <cfRule type="containsText" dxfId="1858" priority="1434" operator="containsText" text="NO APLICA">
      <formula>NOT(ISERROR(SEARCH("NO APLICA",IS83)))</formula>
    </cfRule>
    <cfRule type="containsText" dxfId="1857" priority="1435" operator="containsText" text="SIN">
      <formula>NOT(ISERROR(SEARCH("SIN",IS83)))</formula>
    </cfRule>
    <cfRule type="containsText" dxfId="1856" priority="1436" operator="containsText" text="EQUIPO">
      <formula>NOT(ISERROR(SEARCH("EQUIPO",IS83)))</formula>
    </cfRule>
    <cfRule type="containsText" dxfId="1855" priority="1437" operator="containsText" text="MEDICO TRADICIONAL">
      <formula>NOT(ISERROR(SEARCH("MEDICO TRADICIONAL",IS83)))</formula>
    </cfRule>
    <cfRule type="containsText" dxfId="1854" priority="1438" operator="containsText" text="PARTERA">
      <formula>NOT(ISERROR(SEARCH("PARTERA",IS83)))</formula>
    </cfRule>
    <cfRule type="containsText" dxfId="1853" priority="1439" operator="containsText" text="TÉCNICO">
      <formula>NOT(ISERROR(SEARCH("TÉCNICO",IS83)))</formula>
    </cfRule>
    <cfRule type="containsText" dxfId="1852" priority="1440" operator="containsText" text="PROFESIONAL">
      <formula>NOT(ISERROR(SEARCH("PROFESIONAL",IS83)))</formula>
    </cfRule>
  </conditionalFormatting>
  <conditionalFormatting sqref="IT83">
    <cfRule type="containsText" dxfId="1851" priority="1431" operator="containsText" text="LE HACEN CESÁREA SIN INICIO TRABAJO DE PARTO">
      <formula>NOT(ISERROR(SEARCH("LE HACEN CESÁREA SIN INICIO TRABAJO DE PARTO",IT83)))</formula>
    </cfRule>
    <cfRule type="containsText" dxfId="1850" priority="1432" operator="containsText" text="LE HACEN INDUCCIÓN">
      <formula>NOT(ISERROR(SEARCH("LE HACEN INDUCCIÓN",IT83)))</formula>
    </cfRule>
    <cfRule type="containsText" dxfId="1849" priority="1433" operator="containsText" text="ESPONTÁNEO">
      <formula>NOT(ISERROR(SEARCH("ESPONTÁNEO",IT83)))</formula>
    </cfRule>
  </conditionalFormatting>
  <conditionalFormatting sqref="JI83">
    <cfRule type="containsText" dxfId="1848" priority="1427" operator="containsText" text="NO APLICA">
      <formula>NOT(ISERROR(SEARCH("NO APLICA",JI83)))</formula>
    </cfRule>
    <cfRule type="containsText" dxfId="1847" priority="1428" operator="containsText" text="SIN DATO">
      <formula>NOT(ISERROR(SEARCH("SIN DATO",JI83)))</formula>
    </cfRule>
    <cfRule type="containsText" dxfId="1846" priority="1429" operator="containsText" text="NO">
      <formula>NOT(ISERROR(SEARCH("NO",JI83)))</formula>
    </cfRule>
    <cfRule type="containsText" dxfId="1845" priority="1430" operator="containsText" text="SI">
      <formula>NOT(ISERROR(SEARCH("SI",JI83)))</formula>
    </cfRule>
  </conditionalFormatting>
  <conditionalFormatting sqref="JI83">
    <cfRule type="containsText" dxfId="1844" priority="1423" operator="containsText" text="NO APLICA">
      <formula>NOT(ISERROR(SEARCH("NO APLICA",JI83)))</formula>
    </cfRule>
    <cfRule type="containsText" dxfId="1843" priority="1424" operator="containsText" text="SIN DATO">
      <formula>NOT(ISERROR(SEARCH("SIN DATO",JI83)))</formula>
    </cfRule>
    <cfRule type="containsText" dxfId="1842" priority="1425" operator="containsText" text="NO">
      <formula>NOT(ISERROR(SEARCH("NO",JI83)))</formula>
    </cfRule>
    <cfRule type="containsText" dxfId="1841" priority="1426" operator="containsText" text="SI">
      <formula>NOT(ISERROR(SEARCH("SI",JI83)))</formula>
    </cfRule>
  </conditionalFormatting>
  <conditionalFormatting sqref="IR84">
    <cfRule type="containsText" dxfId="1840" priority="1419" operator="containsText" text="NO APLICA">
      <formula>NOT(ISERROR(SEARCH("NO APLICA",IR84)))</formula>
    </cfRule>
    <cfRule type="containsText" dxfId="1839" priority="1420" operator="containsText" text="ALTA">
      <formula>NOT(ISERROR(SEARCH("ALTA",IR84)))</formula>
    </cfRule>
    <cfRule type="containsText" dxfId="1838" priority="1421" operator="containsText" text="MEDIANA">
      <formula>NOT(ISERROR(SEARCH("MEDIANA",IR84)))</formula>
    </cfRule>
    <cfRule type="containsText" dxfId="1837" priority="1422" operator="containsText" text="BAJA">
      <formula>NOT(ISERROR(SEARCH("BAJA",IR84)))</formula>
    </cfRule>
  </conditionalFormatting>
  <conditionalFormatting sqref="IS84:IT84">
    <cfRule type="containsText" dxfId="1836" priority="1412" operator="containsText" text="NO APLICA">
      <formula>NOT(ISERROR(SEARCH("NO APLICA",IS84)))</formula>
    </cfRule>
    <cfRule type="containsText" dxfId="1835" priority="1413" operator="containsText" text="SIN">
      <formula>NOT(ISERROR(SEARCH("SIN",IS84)))</formula>
    </cfRule>
    <cfRule type="containsText" dxfId="1834" priority="1414" operator="containsText" text="EQUIPO">
      <formula>NOT(ISERROR(SEARCH("EQUIPO",IS84)))</formula>
    </cfRule>
    <cfRule type="containsText" dxfId="1833" priority="1415" operator="containsText" text="MEDICO TRADICIONAL">
      <formula>NOT(ISERROR(SEARCH("MEDICO TRADICIONAL",IS84)))</formula>
    </cfRule>
    <cfRule type="containsText" dxfId="1832" priority="1416" operator="containsText" text="PARTERA">
      <formula>NOT(ISERROR(SEARCH("PARTERA",IS84)))</formula>
    </cfRule>
    <cfRule type="containsText" dxfId="1831" priority="1417" operator="containsText" text="TÉCNICO">
      <formula>NOT(ISERROR(SEARCH("TÉCNICO",IS84)))</formula>
    </cfRule>
    <cfRule type="containsText" dxfId="1830" priority="1418" operator="containsText" text="PROFESIONAL">
      <formula>NOT(ISERROR(SEARCH("PROFESIONAL",IS84)))</formula>
    </cfRule>
  </conditionalFormatting>
  <conditionalFormatting sqref="IT84">
    <cfRule type="containsText" dxfId="1829" priority="1409" operator="containsText" text="LE HACEN CESÁREA SIN INICIO TRABAJO DE PARTO">
      <formula>NOT(ISERROR(SEARCH("LE HACEN CESÁREA SIN INICIO TRABAJO DE PARTO",IT84)))</formula>
    </cfRule>
    <cfRule type="containsText" dxfId="1828" priority="1410" operator="containsText" text="LE HACEN INDUCCIÓN">
      <formula>NOT(ISERROR(SEARCH("LE HACEN INDUCCIÓN",IT84)))</formula>
    </cfRule>
    <cfRule type="containsText" dxfId="1827" priority="1411" operator="containsText" text="ESPONTÁNEO">
      <formula>NOT(ISERROR(SEARCH("ESPONTÁNEO",IT84)))</formula>
    </cfRule>
  </conditionalFormatting>
  <conditionalFormatting sqref="IR86">
    <cfRule type="containsText" dxfId="1826" priority="1405" operator="containsText" text="NO APLICA">
      <formula>NOT(ISERROR(SEARCH("NO APLICA",IR86)))</formula>
    </cfRule>
    <cfRule type="containsText" dxfId="1825" priority="1406" operator="containsText" text="ALTA">
      <formula>NOT(ISERROR(SEARCH("ALTA",IR86)))</formula>
    </cfRule>
    <cfRule type="containsText" dxfId="1824" priority="1407" operator="containsText" text="MEDIANA">
      <formula>NOT(ISERROR(SEARCH("MEDIANA",IR86)))</formula>
    </cfRule>
    <cfRule type="containsText" dxfId="1823" priority="1408" operator="containsText" text="BAJA">
      <formula>NOT(ISERROR(SEARCH("BAJA",IR86)))</formula>
    </cfRule>
  </conditionalFormatting>
  <conditionalFormatting sqref="IS86:IT86">
    <cfRule type="containsText" dxfId="1822" priority="1398" operator="containsText" text="NO APLICA">
      <formula>NOT(ISERROR(SEARCH("NO APLICA",IS86)))</formula>
    </cfRule>
    <cfRule type="containsText" dxfId="1821" priority="1399" operator="containsText" text="SIN">
      <formula>NOT(ISERROR(SEARCH("SIN",IS86)))</formula>
    </cfRule>
    <cfRule type="containsText" dxfId="1820" priority="1400" operator="containsText" text="EQUIPO">
      <formula>NOT(ISERROR(SEARCH("EQUIPO",IS86)))</formula>
    </cfRule>
    <cfRule type="containsText" dxfId="1819" priority="1401" operator="containsText" text="MEDICO TRADICIONAL">
      <formula>NOT(ISERROR(SEARCH("MEDICO TRADICIONAL",IS86)))</formula>
    </cfRule>
    <cfRule type="containsText" dxfId="1818" priority="1402" operator="containsText" text="PARTERA">
      <formula>NOT(ISERROR(SEARCH("PARTERA",IS86)))</formula>
    </cfRule>
    <cfRule type="containsText" dxfId="1817" priority="1403" operator="containsText" text="TÉCNICO">
      <formula>NOT(ISERROR(SEARCH("TÉCNICO",IS86)))</formula>
    </cfRule>
    <cfRule type="containsText" dxfId="1816" priority="1404" operator="containsText" text="PROFESIONAL">
      <formula>NOT(ISERROR(SEARCH("PROFESIONAL",IS86)))</formula>
    </cfRule>
  </conditionalFormatting>
  <conditionalFormatting sqref="IT86">
    <cfRule type="containsText" dxfId="1815" priority="1395" operator="containsText" text="LE HACEN CESÁREA SIN INICIO TRABAJO DE PARTO">
      <formula>NOT(ISERROR(SEARCH("LE HACEN CESÁREA SIN INICIO TRABAJO DE PARTO",IT86)))</formula>
    </cfRule>
    <cfRule type="containsText" dxfId="1814" priority="1396" operator="containsText" text="LE HACEN INDUCCIÓN">
      <formula>NOT(ISERROR(SEARCH("LE HACEN INDUCCIÓN",IT86)))</formula>
    </cfRule>
    <cfRule type="containsText" dxfId="1813" priority="1397" operator="containsText" text="ESPONTÁNEO">
      <formula>NOT(ISERROR(SEARCH("ESPONTÁNEO",IT86)))</formula>
    </cfRule>
  </conditionalFormatting>
  <conditionalFormatting sqref="JI86">
    <cfRule type="containsText" dxfId="1812" priority="1391" operator="containsText" text="NO APLICA">
      <formula>NOT(ISERROR(SEARCH("NO APLICA",JI86)))</formula>
    </cfRule>
    <cfRule type="containsText" dxfId="1811" priority="1392" operator="containsText" text="SIN DATO">
      <formula>NOT(ISERROR(SEARCH("SIN DATO",JI86)))</formula>
    </cfRule>
    <cfRule type="containsText" dxfId="1810" priority="1393" operator="containsText" text="NO">
      <formula>NOT(ISERROR(SEARCH("NO",JI86)))</formula>
    </cfRule>
    <cfRule type="containsText" dxfId="1809" priority="1394" operator="containsText" text="SI">
      <formula>NOT(ISERROR(SEARCH("SI",JI86)))</formula>
    </cfRule>
  </conditionalFormatting>
  <conditionalFormatting sqref="JI86">
    <cfRule type="containsText" dxfId="1808" priority="1387" operator="containsText" text="NO APLICA">
      <formula>NOT(ISERROR(SEARCH("NO APLICA",JI86)))</formula>
    </cfRule>
    <cfRule type="containsText" dxfId="1807" priority="1388" operator="containsText" text="SIN DATO">
      <formula>NOT(ISERROR(SEARCH("SIN DATO",JI86)))</formula>
    </cfRule>
    <cfRule type="containsText" dxfId="1806" priority="1389" operator="containsText" text="NO">
      <formula>NOT(ISERROR(SEARCH("NO",JI86)))</formula>
    </cfRule>
    <cfRule type="containsText" dxfId="1805" priority="1390" operator="containsText" text="SI">
      <formula>NOT(ISERROR(SEARCH("SI",JI86)))</formula>
    </cfRule>
  </conditionalFormatting>
  <conditionalFormatting sqref="IR87">
    <cfRule type="containsText" dxfId="1804" priority="1383" operator="containsText" text="NO APLICA">
      <formula>NOT(ISERROR(SEARCH("NO APLICA",IR87)))</formula>
    </cfRule>
    <cfRule type="containsText" dxfId="1803" priority="1384" operator="containsText" text="ALTA">
      <formula>NOT(ISERROR(SEARCH("ALTA",IR87)))</formula>
    </cfRule>
    <cfRule type="containsText" dxfId="1802" priority="1385" operator="containsText" text="MEDIANA">
      <formula>NOT(ISERROR(SEARCH("MEDIANA",IR87)))</formula>
    </cfRule>
    <cfRule type="containsText" dxfId="1801" priority="1386" operator="containsText" text="BAJA">
      <formula>NOT(ISERROR(SEARCH("BAJA",IR87)))</formula>
    </cfRule>
  </conditionalFormatting>
  <conditionalFormatting sqref="IS87:IT87">
    <cfRule type="containsText" dxfId="1800" priority="1376" operator="containsText" text="NO APLICA">
      <formula>NOT(ISERROR(SEARCH("NO APLICA",IS87)))</formula>
    </cfRule>
    <cfRule type="containsText" dxfId="1799" priority="1377" operator="containsText" text="SIN">
      <formula>NOT(ISERROR(SEARCH("SIN",IS87)))</formula>
    </cfRule>
    <cfRule type="containsText" dxfId="1798" priority="1378" operator="containsText" text="EQUIPO">
      <formula>NOT(ISERROR(SEARCH("EQUIPO",IS87)))</formula>
    </cfRule>
    <cfRule type="containsText" dxfId="1797" priority="1379" operator="containsText" text="MEDICO TRADICIONAL">
      <formula>NOT(ISERROR(SEARCH("MEDICO TRADICIONAL",IS87)))</formula>
    </cfRule>
    <cfRule type="containsText" dxfId="1796" priority="1380" operator="containsText" text="PARTERA">
      <formula>NOT(ISERROR(SEARCH("PARTERA",IS87)))</formula>
    </cfRule>
    <cfRule type="containsText" dxfId="1795" priority="1381" operator="containsText" text="TÉCNICO">
      <formula>NOT(ISERROR(SEARCH("TÉCNICO",IS87)))</formula>
    </cfRule>
    <cfRule type="containsText" dxfId="1794" priority="1382" operator="containsText" text="PROFESIONAL">
      <formula>NOT(ISERROR(SEARCH("PROFESIONAL",IS87)))</formula>
    </cfRule>
  </conditionalFormatting>
  <conditionalFormatting sqref="IT87">
    <cfRule type="containsText" dxfId="1793" priority="1373" operator="containsText" text="LE HACEN CESÁREA SIN INICIO TRABAJO DE PARTO">
      <formula>NOT(ISERROR(SEARCH("LE HACEN CESÁREA SIN INICIO TRABAJO DE PARTO",IT87)))</formula>
    </cfRule>
    <cfRule type="containsText" dxfId="1792" priority="1374" operator="containsText" text="LE HACEN INDUCCIÓN">
      <formula>NOT(ISERROR(SEARCH("LE HACEN INDUCCIÓN",IT87)))</formula>
    </cfRule>
    <cfRule type="containsText" dxfId="1791" priority="1375" operator="containsText" text="ESPONTÁNEO">
      <formula>NOT(ISERROR(SEARCH("ESPONTÁNEO",IT87)))</formula>
    </cfRule>
  </conditionalFormatting>
  <conditionalFormatting sqref="JI87">
    <cfRule type="containsText" dxfId="1790" priority="1369" operator="containsText" text="NO APLICA">
      <formula>NOT(ISERROR(SEARCH("NO APLICA",JI87)))</formula>
    </cfRule>
    <cfRule type="containsText" dxfId="1789" priority="1370" operator="containsText" text="SIN DATO">
      <formula>NOT(ISERROR(SEARCH("SIN DATO",JI87)))</formula>
    </cfRule>
    <cfRule type="containsText" dxfId="1788" priority="1371" operator="containsText" text="NO">
      <formula>NOT(ISERROR(SEARCH("NO",JI87)))</formula>
    </cfRule>
    <cfRule type="containsText" dxfId="1787" priority="1372" operator="containsText" text="SI">
      <formula>NOT(ISERROR(SEARCH("SI",JI87)))</formula>
    </cfRule>
  </conditionalFormatting>
  <conditionalFormatting sqref="JI87">
    <cfRule type="containsText" dxfId="1786" priority="1365" operator="containsText" text="NO APLICA">
      <formula>NOT(ISERROR(SEARCH("NO APLICA",JI87)))</formula>
    </cfRule>
    <cfRule type="containsText" dxfId="1785" priority="1366" operator="containsText" text="SIN DATO">
      <formula>NOT(ISERROR(SEARCH("SIN DATO",JI87)))</formula>
    </cfRule>
    <cfRule type="containsText" dxfId="1784" priority="1367" operator="containsText" text="NO">
      <formula>NOT(ISERROR(SEARCH("NO",JI87)))</formula>
    </cfRule>
    <cfRule type="containsText" dxfId="1783" priority="1368" operator="containsText" text="SI">
      <formula>NOT(ISERROR(SEARCH("SI",JI87)))</formula>
    </cfRule>
  </conditionalFormatting>
  <conditionalFormatting sqref="JI90">
    <cfRule type="containsText" dxfId="1782" priority="1361" operator="containsText" text="NO APLICA">
      <formula>NOT(ISERROR(SEARCH("NO APLICA",JI90)))</formula>
    </cfRule>
    <cfRule type="containsText" dxfId="1781" priority="1362" operator="containsText" text="SIN DATO">
      <formula>NOT(ISERROR(SEARCH("SIN DATO",JI90)))</formula>
    </cfRule>
    <cfRule type="containsText" dxfId="1780" priority="1363" operator="containsText" text="NO">
      <formula>NOT(ISERROR(SEARCH("NO",JI90)))</formula>
    </cfRule>
    <cfRule type="containsText" dxfId="1779" priority="1364" operator="containsText" text="SI">
      <formula>NOT(ISERROR(SEARCH("SI",JI90)))</formula>
    </cfRule>
  </conditionalFormatting>
  <conditionalFormatting sqref="JI90">
    <cfRule type="containsText" dxfId="1778" priority="1357" operator="containsText" text="NO APLICA">
      <formula>NOT(ISERROR(SEARCH("NO APLICA",JI90)))</formula>
    </cfRule>
    <cfRule type="containsText" dxfId="1777" priority="1358" operator="containsText" text="SIN DATO">
      <formula>NOT(ISERROR(SEARCH("SIN DATO",JI90)))</formula>
    </cfRule>
    <cfRule type="containsText" dxfId="1776" priority="1359" operator="containsText" text="NO">
      <formula>NOT(ISERROR(SEARCH("NO",JI90)))</formula>
    </cfRule>
    <cfRule type="containsText" dxfId="1775" priority="1360" operator="containsText" text="SI">
      <formula>NOT(ISERROR(SEARCH("SI",JI90)))</formula>
    </cfRule>
  </conditionalFormatting>
  <conditionalFormatting sqref="IR89">
    <cfRule type="containsText" dxfId="1774" priority="1353" operator="containsText" text="NO APLICA">
      <formula>NOT(ISERROR(SEARCH("NO APLICA",IR89)))</formula>
    </cfRule>
    <cfRule type="containsText" dxfId="1773" priority="1354" operator="containsText" text="ALTA">
      <formula>NOT(ISERROR(SEARCH("ALTA",IR89)))</formula>
    </cfRule>
    <cfRule type="containsText" dxfId="1772" priority="1355" operator="containsText" text="MEDIANA">
      <formula>NOT(ISERROR(SEARCH("MEDIANA",IR89)))</formula>
    </cfRule>
    <cfRule type="containsText" dxfId="1771" priority="1356" operator="containsText" text="BAJA">
      <formula>NOT(ISERROR(SEARCH("BAJA",IR89)))</formula>
    </cfRule>
  </conditionalFormatting>
  <conditionalFormatting sqref="IS89:IT89">
    <cfRule type="containsText" dxfId="1770" priority="1346" operator="containsText" text="NO APLICA">
      <formula>NOT(ISERROR(SEARCH("NO APLICA",IS89)))</formula>
    </cfRule>
    <cfRule type="containsText" dxfId="1769" priority="1347" operator="containsText" text="SIN">
      <formula>NOT(ISERROR(SEARCH("SIN",IS89)))</formula>
    </cfRule>
    <cfRule type="containsText" dxfId="1768" priority="1348" operator="containsText" text="EQUIPO">
      <formula>NOT(ISERROR(SEARCH("EQUIPO",IS89)))</formula>
    </cfRule>
    <cfRule type="containsText" dxfId="1767" priority="1349" operator="containsText" text="MEDICO TRADICIONAL">
      <formula>NOT(ISERROR(SEARCH("MEDICO TRADICIONAL",IS89)))</formula>
    </cfRule>
    <cfRule type="containsText" dxfId="1766" priority="1350" operator="containsText" text="PARTERA">
      <formula>NOT(ISERROR(SEARCH("PARTERA",IS89)))</formula>
    </cfRule>
    <cfRule type="containsText" dxfId="1765" priority="1351" operator="containsText" text="TÉCNICO">
      <formula>NOT(ISERROR(SEARCH("TÉCNICO",IS89)))</formula>
    </cfRule>
    <cfRule type="containsText" dxfId="1764" priority="1352" operator="containsText" text="PROFESIONAL">
      <formula>NOT(ISERROR(SEARCH("PROFESIONAL",IS89)))</formula>
    </cfRule>
  </conditionalFormatting>
  <conditionalFormatting sqref="IT89">
    <cfRule type="containsText" dxfId="1763" priority="1343" operator="containsText" text="LE HACEN CESÁREA SIN INICIO TRABAJO DE PARTO">
      <formula>NOT(ISERROR(SEARCH("LE HACEN CESÁREA SIN INICIO TRABAJO DE PARTO",IT89)))</formula>
    </cfRule>
    <cfRule type="containsText" dxfId="1762" priority="1344" operator="containsText" text="LE HACEN INDUCCIÓN">
      <formula>NOT(ISERROR(SEARCH("LE HACEN INDUCCIÓN",IT89)))</formula>
    </cfRule>
    <cfRule type="containsText" dxfId="1761" priority="1345" operator="containsText" text="ESPONTÁNEO">
      <formula>NOT(ISERROR(SEARCH("ESPONTÁNEO",IT89)))</formula>
    </cfRule>
  </conditionalFormatting>
  <conditionalFormatting sqref="JI89">
    <cfRule type="containsText" dxfId="1760" priority="1339" operator="containsText" text="NO APLICA">
      <formula>NOT(ISERROR(SEARCH("NO APLICA",JI89)))</formula>
    </cfRule>
    <cfRule type="containsText" dxfId="1759" priority="1340" operator="containsText" text="SIN DATO">
      <formula>NOT(ISERROR(SEARCH("SIN DATO",JI89)))</formula>
    </cfRule>
    <cfRule type="containsText" dxfId="1758" priority="1341" operator="containsText" text="NO">
      <formula>NOT(ISERROR(SEARCH("NO",JI89)))</formula>
    </cfRule>
    <cfRule type="containsText" dxfId="1757" priority="1342" operator="containsText" text="SI">
      <formula>NOT(ISERROR(SEARCH("SI",JI89)))</formula>
    </cfRule>
  </conditionalFormatting>
  <conditionalFormatting sqref="JI89">
    <cfRule type="containsText" dxfId="1756" priority="1335" operator="containsText" text="NO APLICA">
      <formula>NOT(ISERROR(SEARCH("NO APLICA",JI89)))</formula>
    </cfRule>
    <cfRule type="containsText" dxfId="1755" priority="1336" operator="containsText" text="SIN DATO">
      <formula>NOT(ISERROR(SEARCH("SIN DATO",JI89)))</formula>
    </cfRule>
    <cfRule type="containsText" dxfId="1754" priority="1337" operator="containsText" text="NO">
      <formula>NOT(ISERROR(SEARCH("NO",JI89)))</formula>
    </cfRule>
    <cfRule type="containsText" dxfId="1753" priority="1338" operator="containsText" text="SI">
      <formula>NOT(ISERROR(SEARCH("SI",JI89)))</formula>
    </cfRule>
  </conditionalFormatting>
  <conditionalFormatting sqref="IR93">
    <cfRule type="containsText" dxfId="1752" priority="1331" operator="containsText" text="NO APLICA">
      <formula>NOT(ISERROR(SEARCH("NO APLICA",IR93)))</formula>
    </cfRule>
    <cfRule type="containsText" dxfId="1751" priority="1332" operator="containsText" text="ALTA">
      <formula>NOT(ISERROR(SEARCH("ALTA",IR93)))</formula>
    </cfRule>
    <cfRule type="containsText" dxfId="1750" priority="1333" operator="containsText" text="MEDIANA">
      <formula>NOT(ISERROR(SEARCH("MEDIANA",IR93)))</formula>
    </cfRule>
    <cfRule type="containsText" dxfId="1749" priority="1334" operator="containsText" text="BAJA">
      <formula>NOT(ISERROR(SEARCH("BAJA",IR93)))</formula>
    </cfRule>
  </conditionalFormatting>
  <conditionalFormatting sqref="IS93:IT93">
    <cfRule type="containsText" dxfId="1748" priority="1324" operator="containsText" text="NO APLICA">
      <formula>NOT(ISERROR(SEARCH("NO APLICA",IS93)))</formula>
    </cfRule>
    <cfRule type="containsText" dxfId="1747" priority="1325" operator="containsText" text="SIN">
      <formula>NOT(ISERROR(SEARCH("SIN",IS93)))</formula>
    </cfRule>
    <cfRule type="containsText" dxfId="1746" priority="1326" operator="containsText" text="EQUIPO">
      <formula>NOT(ISERROR(SEARCH("EQUIPO",IS93)))</formula>
    </cfRule>
    <cfRule type="containsText" dxfId="1745" priority="1327" operator="containsText" text="MEDICO TRADICIONAL">
      <formula>NOT(ISERROR(SEARCH("MEDICO TRADICIONAL",IS93)))</formula>
    </cfRule>
    <cfRule type="containsText" dxfId="1744" priority="1328" operator="containsText" text="PARTERA">
      <formula>NOT(ISERROR(SEARCH("PARTERA",IS93)))</formula>
    </cfRule>
    <cfRule type="containsText" dxfId="1743" priority="1329" operator="containsText" text="TÉCNICO">
      <formula>NOT(ISERROR(SEARCH("TÉCNICO",IS93)))</formula>
    </cfRule>
    <cfRule type="containsText" dxfId="1742" priority="1330" operator="containsText" text="PROFESIONAL">
      <formula>NOT(ISERROR(SEARCH("PROFESIONAL",IS93)))</formula>
    </cfRule>
  </conditionalFormatting>
  <conditionalFormatting sqref="IT93">
    <cfRule type="containsText" dxfId="1741" priority="1321" operator="containsText" text="LE HACEN CESÁREA SIN INICIO TRABAJO DE PARTO">
      <formula>NOT(ISERROR(SEARCH("LE HACEN CESÁREA SIN INICIO TRABAJO DE PARTO",IT93)))</formula>
    </cfRule>
    <cfRule type="containsText" dxfId="1740" priority="1322" operator="containsText" text="LE HACEN INDUCCIÓN">
      <formula>NOT(ISERROR(SEARCH("LE HACEN INDUCCIÓN",IT93)))</formula>
    </cfRule>
    <cfRule type="containsText" dxfId="1739" priority="1323" operator="containsText" text="ESPONTÁNEO">
      <formula>NOT(ISERROR(SEARCH("ESPONTÁNEO",IT93)))</formula>
    </cfRule>
  </conditionalFormatting>
  <conditionalFormatting sqref="JI93">
    <cfRule type="containsText" dxfId="1738" priority="1317" operator="containsText" text="NO APLICA">
      <formula>NOT(ISERROR(SEARCH("NO APLICA",JI93)))</formula>
    </cfRule>
    <cfRule type="containsText" dxfId="1737" priority="1318" operator="containsText" text="SIN DATO">
      <formula>NOT(ISERROR(SEARCH("SIN DATO",JI93)))</formula>
    </cfRule>
    <cfRule type="containsText" dxfId="1736" priority="1319" operator="containsText" text="NO">
      <formula>NOT(ISERROR(SEARCH("NO",JI93)))</formula>
    </cfRule>
    <cfRule type="containsText" dxfId="1735" priority="1320" operator="containsText" text="SI">
      <formula>NOT(ISERROR(SEARCH("SI",JI93)))</formula>
    </cfRule>
  </conditionalFormatting>
  <conditionalFormatting sqref="JI93">
    <cfRule type="containsText" dxfId="1734" priority="1313" operator="containsText" text="NO APLICA">
      <formula>NOT(ISERROR(SEARCH("NO APLICA",JI93)))</formula>
    </cfRule>
    <cfRule type="containsText" dxfId="1733" priority="1314" operator="containsText" text="SIN DATO">
      <formula>NOT(ISERROR(SEARCH("SIN DATO",JI93)))</formula>
    </cfRule>
    <cfRule type="containsText" dxfId="1732" priority="1315" operator="containsText" text="NO">
      <formula>NOT(ISERROR(SEARCH("NO",JI93)))</formula>
    </cfRule>
    <cfRule type="containsText" dxfId="1731" priority="1316" operator="containsText" text="SI">
      <formula>NOT(ISERROR(SEARCH("SI",JI93)))</formula>
    </cfRule>
  </conditionalFormatting>
  <conditionalFormatting sqref="IT97">
    <cfRule type="containsText" dxfId="1730" priority="1306" operator="containsText" text="NO APLICA">
      <formula>NOT(ISERROR(SEARCH("NO APLICA",IT97)))</formula>
    </cfRule>
    <cfRule type="containsText" dxfId="1729" priority="1307" operator="containsText" text="SIN">
      <formula>NOT(ISERROR(SEARCH("SIN",IT97)))</formula>
    </cfRule>
    <cfRule type="containsText" dxfId="1728" priority="1308" operator="containsText" text="EQUIPO">
      <formula>NOT(ISERROR(SEARCH("EQUIPO",IT97)))</formula>
    </cfRule>
    <cfRule type="containsText" dxfId="1727" priority="1309" operator="containsText" text="MEDICO TRADICIONAL">
      <formula>NOT(ISERROR(SEARCH("MEDICO TRADICIONAL",IT97)))</formula>
    </cfRule>
    <cfRule type="containsText" dxfId="1726" priority="1310" operator="containsText" text="PARTERA">
      <formula>NOT(ISERROR(SEARCH("PARTERA",IT97)))</formula>
    </cfRule>
    <cfRule type="containsText" dxfId="1725" priority="1311" operator="containsText" text="TÉCNICO">
      <formula>NOT(ISERROR(SEARCH("TÉCNICO",IT97)))</formula>
    </cfRule>
    <cfRule type="containsText" dxfId="1724" priority="1312" operator="containsText" text="PROFESIONAL">
      <formula>NOT(ISERROR(SEARCH("PROFESIONAL",IT97)))</formula>
    </cfRule>
  </conditionalFormatting>
  <conditionalFormatting sqref="IT97">
    <cfRule type="containsText" dxfId="1723" priority="1303" operator="containsText" text="LE HACEN CESÁREA SIN INICIO TRABAJO DE PARTO">
      <formula>NOT(ISERROR(SEARCH("LE HACEN CESÁREA SIN INICIO TRABAJO DE PARTO",IT97)))</formula>
    </cfRule>
    <cfRule type="containsText" dxfId="1722" priority="1304" operator="containsText" text="LE HACEN INDUCCIÓN">
      <formula>NOT(ISERROR(SEARCH("LE HACEN INDUCCIÓN",IT97)))</formula>
    </cfRule>
    <cfRule type="containsText" dxfId="1721" priority="1305" operator="containsText" text="ESPONTÁNEO">
      <formula>NOT(ISERROR(SEARCH("ESPONTÁNEO",IT97)))</formula>
    </cfRule>
  </conditionalFormatting>
  <conditionalFormatting sqref="IT98">
    <cfRule type="containsText" dxfId="1720" priority="1296" operator="containsText" text="NO APLICA">
      <formula>NOT(ISERROR(SEARCH("NO APLICA",IT98)))</formula>
    </cfRule>
    <cfRule type="containsText" dxfId="1719" priority="1297" operator="containsText" text="SIN">
      <formula>NOT(ISERROR(SEARCH("SIN",IT98)))</formula>
    </cfRule>
    <cfRule type="containsText" dxfId="1718" priority="1298" operator="containsText" text="EQUIPO">
      <formula>NOT(ISERROR(SEARCH("EQUIPO",IT98)))</formula>
    </cfRule>
    <cfRule type="containsText" dxfId="1717" priority="1299" operator="containsText" text="MEDICO TRADICIONAL">
      <formula>NOT(ISERROR(SEARCH("MEDICO TRADICIONAL",IT98)))</formula>
    </cfRule>
    <cfRule type="containsText" dxfId="1716" priority="1300" operator="containsText" text="PARTERA">
      <formula>NOT(ISERROR(SEARCH("PARTERA",IT98)))</formula>
    </cfRule>
    <cfRule type="containsText" dxfId="1715" priority="1301" operator="containsText" text="TÉCNICO">
      <formula>NOT(ISERROR(SEARCH("TÉCNICO",IT98)))</formula>
    </cfRule>
    <cfRule type="containsText" dxfId="1714" priority="1302" operator="containsText" text="PROFESIONAL">
      <formula>NOT(ISERROR(SEARCH("PROFESIONAL",IT98)))</formula>
    </cfRule>
  </conditionalFormatting>
  <conditionalFormatting sqref="IT98">
    <cfRule type="containsText" dxfId="1713" priority="1293" operator="containsText" text="LE HACEN CESÁREA SIN INICIO TRABAJO DE PARTO">
      <formula>NOT(ISERROR(SEARCH("LE HACEN CESÁREA SIN INICIO TRABAJO DE PARTO",IT98)))</formula>
    </cfRule>
    <cfRule type="containsText" dxfId="1712" priority="1294" operator="containsText" text="LE HACEN INDUCCIÓN">
      <formula>NOT(ISERROR(SEARCH("LE HACEN INDUCCIÓN",IT98)))</formula>
    </cfRule>
    <cfRule type="containsText" dxfId="1711" priority="1295" operator="containsText" text="ESPONTÁNEO">
      <formula>NOT(ISERROR(SEARCH("ESPONTÁNEO",IT98)))</formula>
    </cfRule>
  </conditionalFormatting>
  <conditionalFormatting sqref="IR109">
    <cfRule type="containsText" dxfId="1710" priority="1289" operator="containsText" text="NO APLICA">
      <formula>NOT(ISERROR(SEARCH("NO APLICA",IR109)))</formula>
    </cfRule>
    <cfRule type="containsText" dxfId="1709" priority="1290" operator="containsText" text="ALTA">
      <formula>NOT(ISERROR(SEARCH("ALTA",IR109)))</formula>
    </cfRule>
    <cfRule type="containsText" dxfId="1708" priority="1291" operator="containsText" text="MEDIANA">
      <formula>NOT(ISERROR(SEARCH("MEDIANA",IR109)))</formula>
    </cfRule>
    <cfRule type="containsText" dxfId="1707" priority="1292" operator="containsText" text="BAJA">
      <formula>NOT(ISERROR(SEARCH("BAJA",IR109)))</formula>
    </cfRule>
  </conditionalFormatting>
  <conditionalFormatting sqref="IS109:IT109">
    <cfRule type="containsText" dxfId="1706" priority="1282" operator="containsText" text="NO APLICA">
      <formula>NOT(ISERROR(SEARCH("NO APLICA",IS109)))</formula>
    </cfRule>
    <cfRule type="containsText" dxfId="1705" priority="1283" operator="containsText" text="SIN">
      <formula>NOT(ISERROR(SEARCH("SIN",IS109)))</formula>
    </cfRule>
    <cfRule type="containsText" dxfId="1704" priority="1284" operator="containsText" text="EQUIPO">
      <formula>NOT(ISERROR(SEARCH("EQUIPO",IS109)))</formula>
    </cfRule>
    <cfRule type="containsText" dxfId="1703" priority="1285" operator="containsText" text="MEDICO TRADICIONAL">
      <formula>NOT(ISERROR(SEARCH("MEDICO TRADICIONAL",IS109)))</formula>
    </cfRule>
    <cfRule type="containsText" dxfId="1702" priority="1286" operator="containsText" text="PARTERA">
      <formula>NOT(ISERROR(SEARCH("PARTERA",IS109)))</formula>
    </cfRule>
    <cfRule type="containsText" dxfId="1701" priority="1287" operator="containsText" text="TÉCNICO">
      <formula>NOT(ISERROR(SEARCH("TÉCNICO",IS109)))</formula>
    </cfRule>
    <cfRule type="containsText" dxfId="1700" priority="1288" operator="containsText" text="PROFESIONAL">
      <formula>NOT(ISERROR(SEARCH("PROFESIONAL",IS109)))</formula>
    </cfRule>
  </conditionalFormatting>
  <conditionalFormatting sqref="IT109">
    <cfRule type="containsText" dxfId="1699" priority="1279" operator="containsText" text="LE HACEN CESÁREA SIN INICIO TRABAJO DE PARTO">
      <formula>NOT(ISERROR(SEARCH("LE HACEN CESÁREA SIN INICIO TRABAJO DE PARTO",IT109)))</formula>
    </cfRule>
    <cfRule type="containsText" dxfId="1698" priority="1280" operator="containsText" text="LE HACEN INDUCCIÓN">
      <formula>NOT(ISERROR(SEARCH("LE HACEN INDUCCIÓN",IT109)))</formula>
    </cfRule>
    <cfRule type="containsText" dxfId="1697" priority="1281" operator="containsText" text="ESPONTÁNEO">
      <formula>NOT(ISERROR(SEARCH("ESPONTÁNEO",IT109)))</formula>
    </cfRule>
  </conditionalFormatting>
  <conditionalFormatting sqref="IR105">
    <cfRule type="containsText" dxfId="1696" priority="1275" operator="containsText" text="NO APLICA">
      <formula>NOT(ISERROR(SEARCH("NO APLICA",IR105)))</formula>
    </cfRule>
    <cfRule type="containsText" dxfId="1695" priority="1276" operator="containsText" text="ALTA">
      <formula>NOT(ISERROR(SEARCH("ALTA",IR105)))</formula>
    </cfRule>
    <cfRule type="containsText" dxfId="1694" priority="1277" operator="containsText" text="MEDIANA">
      <formula>NOT(ISERROR(SEARCH("MEDIANA",IR105)))</formula>
    </cfRule>
    <cfRule type="containsText" dxfId="1693" priority="1278" operator="containsText" text="BAJA">
      <formula>NOT(ISERROR(SEARCH("BAJA",IR105)))</formula>
    </cfRule>
  </conditionalFormatting>
  <conditionalFormatting sqref="IS105:IT105">
    <cfRule type="containsText" dxfId="1692" priority="1268" operator="containsText" text="NO APLICA">
      <formula>NOT(ISERROR(SEARCH("NO APLICA",IS105)))</formula>
    </cfRule>
    <cfRule type="containsText" dxfId="1691" priority="1269" operator="containsText" text="SIN">
      <formula>NOT(ISERROR(SEARCH("SIN",IS105)))</formula>
    </cfRule>
    <cfRule type="containsText" dxfId="1690" priority="1270" operator="containsText" text="EQUIPO">
      <formula>NOT(ISERROR(SEARCH("EQUIPO",IS105)))</formula>
    </cfRule>
    <cfRule type="containsText" dxfId="1689" priority="1271" operator="containsText" text="MEDICO TRADICIONAL">
      <formula>NOT(ISERROR(SEARCH("MEDICO TRADICIONAL",IS105)))</formula>
    </cfRule>
    <cfRule type="containsText" dxfId="1688" priority="1272" operator="containsText" text="PARTERA">
      <formula>NOT(ISERROR(SEARCH("PARTERA",IS105)))</formula>
    </cfRule>
    <cfRule type="containsText" dxfId="1687" priority="1273" operator="containsText" text="TÉCNICO">
      <formula>NOT(ISERROR(SEARCH("TÉCNICO",IS105)))</formula>
    </cfRule>
    <cfRule type="containsText" dxfId="1686" priority="1274" operator="containsText" text="PROFESIONAL">
      <formula>NOT(ISERROR(SEARCH("PROFESIONAL",IS105)))</formula>
    </cfRule>
  </conditionalFormatting>
  <conditionalFormatting sqref="IT105">
    <cfRule type="containsText" dxfId="1685" priority="1265" operator="containsText" text="LE HACEN CESÁREA SIN INICIO TRABAJO DE PARTO">
      <formula>NOT(ISERROR(SEARCH("LE HACEN CESÁREA SIN INICIO TRABAJO DE PARTO",IT105)))</formula>
    </cfRule>
    <cfRule type="containsText" dxfId="1684" priority="1266" operator="containsText" text="LE HACEN INDUCCIÓN">
      <formula>NOT(ISERROR(SEARCH("LE HACEN INDUCCIÓN",IT105)))</formula>
    </cfRule>
    <cfRule type="containsText" dxfId="1683" priority="1267" operator="containsText" text="ESPONTÁNEO">
      <formula>NOT(ISERROR(SEARCH("ESPONTÁNEO",IT105)))</formula>
    </cfRule>
  </conditionalFormatting>
  <conditionalFormatting sqref="JK113:JL113">
    <cfRule type="containsText" dxfId="1682" priority="1254" operator="containsText" text="NO APLICA">
      <formula>NOT(ISERROR(SEARCH("NO APLICA",JK113)))</formula>
    </cfRule>
    <cfRule type="containsText" dxfId="1681" priority="1255" operator="containsText" text="SIN">
      <formula>NOT(ISERROR(SEARCH("SIN",JK113)))</formula>
    </cfRule>
    <cfRule type="containsText" dxfId="1680" priority="1256" operator="containsText" text="EQUIPO">
      <formula>NOT(ISERROR(SEARCH("EQUIPO",JK113)))</formula>
    </cfRule>
    <cfRule type="containsText" dxfId="1679" priority="1257" operator="containsText" text="MEDICO TRADICIONAL">
      <formula>NOT(ISERROR(SEARCH("MEDICO TRADICIONAL",JK113)))</formula>
    </cfRule>
    <cfRule type="containsText" dxfId="1678" priority="1258" operator="containsText" text="PARTERA">
      <formula>NOT(ISERROR(SEARCH("PARTERA",JK113)))</formula>
    </cfRule>
    <cfRule type="containsText" dxfId="1677" priority="1259" operator="containsText" text="TÉCNICO">
      <formula>NOT(ISERROR(SEARCH("TÉCNICO",JK113)))</formula>
    </cfRule>
    <cfRule type="containsText" dxfId="1676" priority="1260" operator="containsText" text="PROFESIONAL">
      <formula>NOT(ISERROR(SEARCH("PROFESIONAL",JK113)))</formula>
    </cfRule>
  </conditionalFormatting>
  <conditionalFormatting sqref="JL113">
    <cfRule type="containsText" dxfId="1675" priority="1251" operator="containsText" text="LE HACEN CESÁREA SIN INICIO TRABAJO DE PARTO">
      <formula>NOT(ISERROR(SEARCH("LE HACEN CESÁREA SIN INICIO TRABAJO DE PARTO",JL113)))</formula>
    </cfRule>
    <cfRule type="containsText" dxfId="1674" priority="1252" operator="containsText" text="LE HACEN INDUCCIÓN">
      <formula>NOT(ISERROR(SEARCH("LE HACEN INDUCCIÓN",JL113)))</formula>
    </cfRule>
    <cfRule type="containsText" dxfId="1673" priority="1253" operator="containsText" text="ESPONTÁNEO">
      <formula>NOT(ISERROR(SEARCH("ESPONTÁNEO",JL113)))</formula>
    </cfRule>
  </conditionalFormatting>
  <conditionalFormatting sqref="JI113">
    <cfRule type="containsText" dxfId="1672" priority="1247" operator="containsText" text="NO APLICA">
      <formula>NOT(ISERROR(SEARCH("NO APLICA",JI113)))</formula>
    </cfRule>
    <cfRule type="containsText" dxfId="1671" priority="1248" operator="containsText" text="SIN DATO">
      <formula>NOT(ISERROR(SEARCH("SIN DATO",JI113)))</formula>
    </cfRule>
    <cfRule type="containsText" dxfId="1670" priority="1249" operator="containsText" text="NO">
      <formula>NOT(ISERROR(SEARCH("NO",JI113)))</formula>
    </cfRule>
    <cfRule type="containsText" dxfId="1669" priority="1250" operator="containsText" text="SI">
      <formula>NOT(ISERROR(SEARCH("SI",JI113)))</formula>
    </cfRule>
  </conditionalFormatting>
  <conditionalFormatting sqref="IR120">
    <cfRule type="containsText" dxfId="1668" priority="1243" operator="containsText" text="NO APLICA">
      <formula>NOT(ISERROR(SEARCH("NO APLICA",IR120)))</formula>
    </cfRule>
    <cfRule type="containsText" dxfId="1667" priority="1244" operator="containsText" text="ALTA">
      <formula>NOT(ISERROR(SEARCH("ALTA",IR120)))</formula>
    </cfRule>
    <cfRule type="containsText" dxfId="1666" priority="1245" operator="containsText" text="MEDIANA">
      <formula>NOT(ISERROR(SEARCH("MEDIANA",IR120)))</formula>
    </cfRule>
    <cfRule type="containsText" dxfId="1665" priority="1246" operator="containsText" text="BAJA">
      <formula>NOT(ISERROR(SEARCH("BAJA",IR120)))</formula>
    </cfRule>
  </conditionalFormatting>
  <conditionalFormatting sqref="IS120:IT120">
    <cfRule type="containsText" dxfId="1664" priority="1236" operator="containsText" text="NO APLICA">
      <formula>NOT(ISERROR(SEARCH("NO APLICA",IS120)))</formula>
    </cfRule>
    <cfRule type="containsText" dxfId="1663" priority="1237" operator="containsText" text="SIN">
      <formula>NOT(ISERROR(SEARCH("SIN",IS120)))</formula>
    </cfRule>
    <cfRule type="containsText" dxfId="1662" priority="1238" operator="containsText" text="EQUIPO">
      <formula>NOT(ISERROR(SEARCH("EQUIPO",IS120)))</formula>
    </cfRule>
    <cfRule type="containsText" dxfId="1661" priority="1239" operator="containsText" text="MEDICO TRADICIONAL">
      <formula>NOT(ISERROR(SEARCH("MEDICO TRADICIONAL",IS120)))</formula>
    </cfRule>
    <cfRule type="containsText" dxfId="1660" priority="1240" operator="containsText" text="PARTERA">
      <formula>NOT(ISERROR(SEARCH("PARTERA",IS120)))</formula>
    </cfRule>
    <cfRule type="containsText" dxfId="1659" priority="1241" operator="containsText" text="TÉCNICO">
      <formula>NOT(ISERROR(SEARCH("TÉCNICO",IS120)))</formula>
    </cfRule>
    <cfRule type="containsText" dxfId="1658" priority="1242" operator="containsText" text="PROFESIONAL">
      <formula>NOT(ISERROR(SEARCH("PROFESIONAL",IS120)))</formula>
    </cfRule>
  </conditionalFormatting>
  <conditionalFormatting sqref="IT120">
    <cfRule type="containsText" dxfId="1657" priority="1233" operator="containsText" text="LE HACEN CESÁREA SIN INICIO TRABAJO DE PARTO">
      <formula>NOT(ISERROR(SEARCH("LE HACEN CESÁREA SIN INICIO TRABAJO DE PARTO",IT120)))</formula>
    </cfRule>
    <cfRule type="containsText" dxfId="1656" priority="1234" operator="containsText" text="LE HACEN INDUCCIÓN">
      <formula>NOT(ISERROR(SEARCH("LE HACEN INDUCCIÓN",IT120)))</formula>
    </cfRule>
    <cfRule type="containsText" dxfId="1655" priority="1235" operator="containsText" text="ESPONTÁNEO">
      <formula>NOT(ISERROR(SEARCH("ESPONTÁNEO",IT120)))</formula>
    </cfRule>
  </conditionalFormatting>
  <conditionalFormatting sqref="JI120">
    <cfRule type="containsText" dxfId="1654" priority="1229" operator="containsText" text="NO APLICA">
      <formula>NOT(ISERROR(SEARCH("NO APLICA",JI120)))</formula>
    </cfRule>
    <cfRule type="containsText" dxfId="1653" priority="1230" operator="containsText" text="SIN DATO">
      <formula>NOT(ISERROR(SEARCH("SIN DATO",JI120)))</formula>
    </cfRule>
    <cfRule type="containsText" dxfId="1652" priority="1231" operator="containsText" text="NO">
      <formula>NOT(ISERROR(SEARCH("NO",JI120)))</formula>
    </cfRule>
    <cfRule type="containsText" dxfId="1651" priority="1232" operator="containsText" text="SI">
      <formula>NOT(ISERROR(SEARCH("SI",JI120)))</formula>
    </cfRule>
  </conditionalFormatting>
  <conditionalFormatting sqref="IR127">
    <cfRule type="containsText" dxfId="1650" priority="1225" operator="containsText" text="NO APLICA">
      <formula>NOT(ISERROR(SEARCH("NO APLICA",IR127)))</formula>
    </cfRule>
    <cfRule type="containsText" dxfId="1649" priority="1226" operator="containsText" text="ALTA">
      <formula>NOT(ISERROR(SEARCH("ALTA",IR127)))</formula>
    </cfRule>
    <cfRule type="containsText" dxfId="1648" priority="1227" operator="containsText" text="MEDIANA">
      <formula>NOT(ISERROR(SEARCH("MEDIANA",IR127)))</formula>
    </cfRule>
    <cfRule type="containsText" dxfId="1647" priority="1228" operator="containsText" text="BAJA">
      <formula>NOT(ISERROR(SEARCH("BAJA",IR127)))</formula>
    </cfRule>
  </conditionalFormatting>
  <conditionalFormatting sqref="IS127:IT127">
    <cfRule type="containsText" dxfId="1646" priority="1218" operator="containsText" text="NO APLICA">
      <formula>NOT(ISERROR(SEARCH("NO APLICA",IS127)))</formula>
    </cfRule>
    <cfRule type="containsText" dxfId="1645" priority="1219" operator="containsText" text="SIN">
      <formula>NOT(ISERROR(SEARCH("SIN",IS127)))</formula>
    </cfRule>
    <cfRule type="containsText" dxfId="1644" priority="1220" operator="containsText" text="EQUIPO">
      <formula>NOT(ISERROR(SEARCH("EQUIPO",IS127)))</formula>
    </cfRule>
    <cfRule type="containsText" dxfId="1643" priority="1221" operator="containsText" text="MEDICO TRADICIONAL">
      <formula>NOT(ISERROR(SEARCH("MEDICO TRADICIONAL",IS127)))</formula>
    </cfRule>
    <cfRule type="containsText" dxfId="1642" priority="1222" operator="containsText" text="PARTERA">
      <formula>NOT(ISERROR(SEARCH("PARTERA",IS127)))</formula>
    </cfRule>
    <cfRule type="containsText" dxfId="1641" priority="1223" operator="containsText" text="TÉCNICO">
      <formula>NOT(ISERROR(SEARCH("TÉCNICO",IS127)))</formula>
    </cfRule>
    <cfRule type="containsText" dxfId="1640" priority="1224" operator="containsText" text="PROFESIONAL">
      <formula>NOT(ISERROR(SEARCH("PROFESIONAL",IS127)))</formula>
    </cfRule>
  </conditionalFormatting>
  <conditionalFormatting sqref="IT127">
    <cfRule type="containsText" dxfId="1639" priority="1215" operator="containsText" text="LE HACEN CESÁREA SIN INICIO TRABAJO DE PARTO">
      <formula>NOT(ISERROR(SEARCH("LE HACEN CESÁREA SIN INICIO TRABAJO DE PARTO",IT127)))</formula>
    </cfRule>
    <cfRule type="containsText" dxfId="1638" priority="1216" operator="containsText" text="LE HACEN INDUCCIÓN">
      <formula>NOT(ISERROR(SEARCH("LE HACEN INDUCCIÓN",IT127)))</formula>
    </cfRule>
    <cfRule type="containsText" dxfId="1637" priority="1217" operator="containsText" text="ESPONTÁNEO">
      <formula>NOT(ISERROR(SEARCH("ESPONTÁNEO",IT127)))</formula>
    </cfRule>
  </conditionalFormatting>
  <conditionalFormatting sqref="IR131">
    <cfRule type="containsText" dxfId="1636" priority="1211" operator="containsText" text="NO APLICA">
      <formula>NOT(ISERROR(SEARCH("NO APLICA",IR131)))</formula>
    </cfRule>
    <cfRule type="containsText" dxfId="1635" priority="1212" operator="containsText" text="ALTA">
      <formula>NOT(ISERROR(SEARCH("ALTA",IR131)))</formula>
    </cfRule>
    <cfRule type="containsText" dxfId="1634" priority="1213" operator="containsText" text="MEDIANA">
      <formula>NOT(ISERROR(SEARCH("MEDIANA",IR131)))</formula>
    </cfRule>
    <cfRule type="containsText" dxfId="1633" priority="1214" operator="containsText" text="BAJA">
      <formula>NOT(ISERROR(SEARCH("BAJA",IR131)))</formula>
    </cfRule>
  </conditionalFormatting>
  <conditionalFormatting sqref="IS131:IT131">
    <cfRule type="containsText" dxfId="1632" priority="1204" operator="containsText" text="NO APLICA">
      <formula>NOT(ISERROR(SEARCH("NO APLICA",IS131)))</formula>
    </cfRule>
    <cfRule type="containsText" dxfId="1631" priority="1205" operator="containsText" text="SIN">
      <formula>NOT(ISERROR(SEARCH("SIN",IS131)))</formula>
    </cfRule>
    <cfRule type="containsText" dxfId="1630" priority="1206" operator="containsText" text="EQUIPO">
      <formula>NOT(ISERROR(SEARCH("EQUIPO",IS131)))</formula>
    </cfRule>
    <cfRule type="containsText" dxfId="1629" priority="1207" operator="containsText" text="MEDICO TRADICIONAL">
      <formula>NOT(ISERROR(SEARCH("MEDICO TRADICIONAL",IS131)))</formula>
    </cfRule>
    <cfRule type="containsText" dxfId="1628" priority="1208" operator="containsText" text="PARTERA">
      <formula>NOT(ISERROR(SEARCH("PARTERA",IS131)))</formula>
    </cfRule>
    <cfRule type="containsText" dxfId="1627" priority="1209" operator="containsText" text="TÉCNICO">
      <formula>NOT(ISERROR(SEARCH("TÉCNICO",IS131)))</formula>
    </cfRule>
    <cfRule type="containsText" dxfId="1626" priority="1210" operator="containsText" text="PROFESIONAL">
      <formula>NOT(ISERROR(SEARCH("PROFESIONAL",IS131)))</formula>
    </cfRule>
  </conditionalFormatting>
  <conditionalFormatting sqref="IT131">
    <cfRule type="containsText" dxfId="1625" priority="1201" operator="containsText" text="LE HACEN CESÁREA SIN INICIO TRABAJO DE PARTO">
      <formula>NOT(ISERROR(SEARCH("LE HACEN CESÁREA SIN INICIO TRABAJO DE PARTO",IT131)))</formula>
    </cfRule>
    <cfRule type="containsText" dxfId="1624" priority="1202" operator="containsText" text="LE HACEN INDUCCIÓN">
      <formula>NOT(ISERROR(SEARCH("LE HACEN INDUCCIÓN",IT131)))</formula>
    </cfRule>
    <cfRule type="containsText" dxfId="1623" priority="1203" operator="containsText" text="ESPONTÁNEO">
      <formula>NOT(ISERROR(SEARCH("ESPONTÁNEO",IT131)))</formula>
    </cfRule>
  </conditionalFormatting>
  <conditionalFormatting sqref="JI136">
    <cfRule type="containsText" dxfId="1622" priority="1197" operator="containsText" text="NO APLICA">
      <formula>NOT(ISERROR(SEARCH("NO APLICA",JI136)))</formula>
    </cfRule>
    <cfRule type="containsText" dxfId="1621" priority="1198" operator="containsText" text="SIN DATO">
      <formula>NOT(ISERROR(SEARCH("SIN DATO",JI136)))</formula>
    </cfRule>
    <cfRule type="containsText" dxfId="1620" priority="1199" operator="containsText" text="NO">
      <formula>NOT(ISERROR(SEARCH("NO",JI136)))</formula>
    </cfRule>
    <cfRule type="containsText" dxfId="1619" priority="1200" operator="containsText" text="SI">
      <formula>NOT(ISERROR(SEARCH("SI",JI136)))</formula>
    </cfRule>
  </conditionalFormatting>
  <conditionalFormatting sqref="IR146">
    <cfRule type="containsText" dxfId="1618" priority="1193" operator="containsText" text="NO APLICA">
      <formula>NOT(ISERROR(SEARCH("NO APLICA",IR146)))</formula>
    </cfRule>
    <cfRule type="containsText" dxfId="1617" priority="1194" operator="containsText" text="ALTA">
      <formula>NOT(ISERROR(SEARCH("ALTA",IR146)))</formula>
    </cfRule>
    <cfRule type="containsText" dxfId="1616" priority="1195" operator="containsText" text="MEDIANA">
      <formula>NOT(ISERROR(SEARCH("MEDIANA",IR146)))</formula>
    </cfRule>
    <cfRule type="containsText" dxfId="1615" priority="1196" operator="containsText" text="BAJA">
      <formula>NOT(ISERROR(SEARCH("BAJA",IR146)))</formula>
    </cfRule>
  </conditionalFormatting>
  <conditionalFormatting sqref="IS146:IT146">
    <cfRule type="containsText" dxfId="1614" priority="1186" operator="containsText" text="NO APLICA">
      <formula>NOT(ISERROR(SEARCH("NO APLICA",IS146)))</formula>
    </cfRule>
    <cfRule type="containsText" dxfId="1613" priority="1187" operator="containsText" text="SIN">
      <formula>NOT(ISERROR(SEARCH("SIN",IS146)))</formula>
    </cfRule>
    <cfRule type="containsText" dxfId="1612" priority="1188" operator="containsText" text="EQUIPO">
      <formula>NOT(ISERROR(SEARCH("EQUIPO",IS146)))</formula>
    </cfRule>
    <cfRule type="containsText" dxfId="1611" priority="1189" operator="containsText" text="MEDICO TRADICIONAL">
      <formula>NOT(ISERROR(SEARCH("MEDICO TRADICIONAL",IS146)))</formula>
    </cfRule>
    <cfRule type="containsText" dxfId="1610" priority="1190" operator="containsText" text="PARTERA">
      <formula>NOT(ISERROR(SEARCH("PARTERA",IS146)))</formula>
    </cfRule>
    <cfRule type="containsText" dxfId="1609" priority="1191" operator="containsText" text="TÉCNICO">
      <formula>NOT(ISERROR(SEARCH("TÉCNICO",IS146)))</formula>
    </cfRule>
    <cfRule type="containsText" dxfId="1608" priority="1192" operator="containsText" text="PROFESIONAL">
      <formula>NOT(ISERROR(SEARCH("PROFESIONAL",IS146)))</formula>
    </cfRule>
  </conditionalFormatting>
  <conditionalFormatting sqref="IT146">
    <cfRule type="containsText" dxfId="1607" priority="1183" operator="containsText" text="LE HACEN CESÁREA SIN INICIO TRABAJO DE PARTO">
      <formula>NOT(ISERROR(SEARCH("LE HACEN CESÁREA SIN INICIO TRABAJO DE PARTO",IT146)))</formula>
    </cfRule>
    <cfRule type="containsText" dxfId="1606" priority="1184" operator="containsText" text="LE HACEN INDUCCIÓN">
      <formula>NOT(ISERROR(SEARCH("LE HACEN INDUCCIÓN",IT146)))</formula>
    </cfRule>
    <cfRule type="containsText" dxfId="1605" priority="1185" operator="containsText" text="ESPONTÁNEO">
      <formula>NOT(ISERROR(SEARCH("ESPONTÁNEO",IT146)))</formula>
    </cfRule>
  </conditionalFormatting>
  <conditionalFormatting sqref="JI146">
    <cfRule type="containsText" dxfId="1604" priority="1179" operator="containsText" text="NO APLICA">
      <formula>NOT(ISERROR(SEARCH("NO APLICA",JI146)))</formula>
    </cfRule>
    <cfRule type="containsText" dxfId="1603" priority="1180" operator="containsText" text="SIN DATO">
      <formula>NOT(ISERROR(SEARCH("SIN DATO",JI146)))</formula>
    </cfRule>
    <cfRule type="containsText" dxfId="1602" priority="1181" operator="containsText" text="NO">
      <formula>NOT(ISERROR(SEARCH("NO",JI146)))</formula>
    </cfRule>
    <cfRule type="containsText" dxfId="1601" priority="1182" operator="containsText" text="SI">
      <formula>NOT(ISERROR(SEARCH("SI",JI146)))</formula>
    </cfRule>
  </conditionalFormatting>
  <conditionalFormatting sqref="IR155">
    <cfRule type="containsText" dxfId="1600" priority="1175" operator="containsText" text="NO APLICA">
      <formula>NOT(ISERROR(SEARCH("NO APLICA",IR155)))</formula>
    </cfRule>
    <cfRule type="containsText" dxfId="1599" priority="1176" operator="containsText" text="ALTA">
      <formula>NOT(ISERROR(SEARCH("ALTA",IR155)))</formula>
    </cfRule>
    <cfRule type="containsText" dxfId="1598" priority="1177" operator="containsText" text="MEDIANA">
      <formula>NOT(ISERROR(SEARCH("MEDIANA",IR155)))</formula>
    </cfRule>
    <cfRule type="containsText" dxfId="1597" priority="1178" operator="containsText" text="BAJA">
      <formula>NOT(ISERROR(SEARCH("BAJA",IR155)))</formula>
    </cfRule>
  </conditionalFormatting>
  <conditionalFormatting sqref="IS155:IT155">
    <cfRule type="containsText" dxfId="1596" priority="1168" operator="containsText" text="NO APLICA">
      <formula>NOT(ISERROR(SEARCH("NO APLICA",IS155)))</formula>
    </cfRule>
    <cfRule type="containsText" dxfId="1595" priority="1169" operator="containsText" text="SIN">
      <formula>NOT(ISERROR(SEARCH("SIN",IS155)))</formula>
    </cfRule>
    <cfRule type="containsText" dxfId="1594" priority="1170" operator="containsText" text="EQUIPO">
      <formula>NOT(ISERROR(SEARCH("EQUIPO",IS155)))</formula>
    </cfRule>
    <cfRule type="containsText" dxfId="1593" priority="1171" operator="containsText" text="MEDICO TRADICIONAL">
      <formula>NOT(ISERROR(SEARCH("MEDICO TRADICIONAL",IS155)))</formula>
    </cfRule>
    <cfRule type="containsText" dxfId="1592" priority="1172" operator="containsText" text="PARTERA">
      <formula>NOT(ISERROR(SEARCH("PARTERA",IS155)))</formula>
    </cfRule>
    <cfRule type="containsText" dxfId="1591" priority="1173" operator="containsText" text="TÉCNICO">
      <formula>NOT(ISERROR(SEARCH("TÉCNICO",IS155)))</formula>
    </cfRule>
    <cfRule type="containsText" dxfId="1590" priority="1174" operator="containsText" text="PROFESIONAL">
      <formula>NOT(ISERROR(SEARCH("PROFESIONAL",IS155)))</formula>
    </cfRule>
  </conditionalFormatting>
  <conditionalFormatting sqref="IT155">
    <cfRule type="containsText" dxfId="1589" priority="1165" operator="containsText" text="LE HACEN CESÁREA SIN INICIO TRABAJO DE PARTO">
      <formula>NOT(ISERROR(SEARCH("LE HACEN CESÁREA SIN INICIO TRABAJO DE PARTO",IT155)))</formula>
    </cfRule>
    <cfRule type="containsText" dxfId="1588" priority="1166" operator="containsText" text="LE HACEN INDUCCIÓN">
      <formula>NOT(ISERROR(SEARCH("LE HACEN INDUCCIÓN",IT155)))</formula>
    </cfRule>
    <cfRule type="containsText" dxfId="1587" priority="1167" operator="containsText" text="ESPONTÁNEO">
      <formula>NOT(ISERROR(SEARCH("ESPONTÁNEO",IT155)))</formula>
    </cfRule>
  </conditionalFormatting>
  <conditionalFormatting sqref="JI155">
    <cfRule type="containsText" dxfId="1586" priority="1157" operator="containsText" text="NO APLICA">
      <formula>NOT(ISERROR(SEARCH("NO APLICA",JI155)))</formula>
    </cfRule>
    <cfRule type="containsText" dxfId="1585" priority="1158" operator="containsText" text="SIN DATO">
      <formula>NOT(ISERROR(SEARCH("SIN DATO",JI155)))</formula>
    </cfRule>
    <cfRule type="containsText" dxfId="1584" priority="1159" operator="containsText" text="NO">
      <formula>NOT(ISERROR(SEARCH("NO",JI155)))</formula>
    </cfRule>
    <cfRule type="containsText" dxfId="1583" priority="1160" operator="containsText" text="SI">
      <formula>NOT(ISERROR(SEARCH("SI",JI155)))</formula>
    </cfRule>
  </conditionalFormatting>
  <conditionalFormatting sqref="IR158">
    <cfRule type="containsText" dxfId="1582" priority="1153" operator="containsText" text="NO APLICA">
      <formula>NOT(ISERROR(SEARCH("NO APLICA",IR158)))</formula>
    </cfRule>
    <cfRule type="containsText" dxfId="1581" priority="1154" operator="containsText" text="ALTA">
      <formula>NOT(ISERROR(SEARCH("ALTA",IR158)))</formula>
    </cfRule>
    <cfRule type="containsText" dxfId="1580" priority="1155" operator="containsText" text="MEDIANA">
      <formula>NOT(ISERROR(SEARCH("MEDIANA",IR158)))</formula>
    </cfRule>
    <cfRule type="containsText" dxfId="1579" priority="1156" operator="containsText" text="BAJA">
      <formula>NOT(ISERROR(SEARCH("BAJA",IR158)))</formula>
    </cfRule>
  </conditionalFormatting>
  <conditionalFormatting sqref="IS158:IT158">
    <cfRule type="containsText" dxfId="1578" priority="1146" operator="containsText" text="NO APLICA">
      <formula>NOT(ISERROR(SEARCH("NO APLICA",IS158)))</formula>
    </cfRule>
    <cfRule type="containsText" dxfId="1577" priority="1147" operator="containsText" text="SIN">
      <formula>NOT(ISERROR(SEARCH("SIN",IS158)))</formula>
    </cfRule>
    <cfRule type="containsText" dxfId="1576" priority="1148" operator="containsText" text="EQUIPO">
      <formula>NOT(ISERROR(SEARCH("EQUIPO",IS158)))</formula>
    </cfRule>
    <cfRule type="containsText" dxfId="1575" priority="1149" operator="containsText" text="MEDICO TRADICIONAL">
      <formula>NOT(ISERROR(SEARCH("MEDICO TRADICIONAL",IS158)))</formula>
    </cfRule>
    <cfRule type="containsText" dxfId="1574" priority="1150" operator="containsText" text="PARTERA">
      <formula>NOT(ISERROR(SEARCH("PARTERA",IS158)))</formula>
    </cfRule>
    <cfRule type="containsText" dxfId="1573" priority="1151" operator="containsText" text="TÉCNICO">
      <formula>NOT(ISERROR(SEARCH("TÉCNICO",IS158)))</formula>
    </cfRule>
    <cfRule type="containsText" dxfId="1572" priority="1152" operator="containsText" text="PROFESIONAL">
      <formula>NOT(ISERROR(SEARCH("PROFESIONAL",IS158)))</formula>
    </cfRule>
  </conditionalFormatting>
  <conditionalFormatting sqref="IT158">
    <cfRule type="containsText" dxfId="1571" priority="1143" operator="containsText" text="LE HACEN CESÁREA SIN INICIO TRABAJO DE PARTO">
      <formula>NOT(ISERROR(SEARCH("LE HACEN CESÁREA SIN INICIO TRABAJO DE PARTO",IT158)))</formula>
    </cfRule>
    <cfRule type="containsText" dxfId="1570" priority="1144" operator="containsText" text="LE HACEN INDUCCIÓN">
      <formula>NOT(ISERROR(SEARCH("LE HACEN INDUCCIÓN",IT158)))</formula>
    </cfRule>
    <cfRule type="containsText" dxfId="1569" priority="1145" operator="containsText" text="ESPONTÁNEO">
      <formula>NOT(ISERROR(SEARCH("ESPONTÁNEO",IT158)))</formula>
    </cfRule>
  </conditionalFormatting>
  <conditionalFormatting sqref="JI158">
    <cfRule type="containsText" dxfId="1568" priority="1139" operator="containsText" text="NO APLICA">
      <formula>NOT(ISERROR(SEARCH("NO APLICA",JI158)))</formula>
    </cfRule>
    <cfRule type="containsText" dxfId="1567" priority="1140" operator="containsText" text="SIN DATO">
      <formula>NOT(ISERROR(SEARCH("SIN DATO",JI158)))</formula>
    </cfRule>
    <cfRule type="containsText" dxfId="1566" priority="1141" operator="containsText" text="NO">
      <formula>NOT(ISERROR(SEARCH("NO",JI158)))</formula>
    </cfRule>
    <cfRule type="containsText" dxfId="1565" priority="1142" operator="containsText" text="SI">
      <formula>NOT(ISERROR(SEARCH("SI",JI158)))</formula>
    </cfRule>
  </conditionalFormatting>
  <conditionalFormatting sqref="IR166">
    <cfRule type="containsText" dxfId="1564" priority="1135" operator="containsText" text="NO APLICA">
      <formula>NOT(ISERROR(SEARCH("NO APLICA",IR166)))</formula>
    </cfRule>
    <cfRule type="containsText" dxfId="1563" priority="1136" operator="containsText" text="ALTA">
      <formula>NOT(ISERROR(SEARCH("ALTA",IR166)))</formula>
    </cfRule>
    <cfRule type="containsText" dxfId="1562" priority="1137" operator="containsText" text="MEDIANA">
      <formula>NOT(ISERROR(SEARCH("MEDIANA",IR166)))</formula>
    </cfRule>
    <cfRule type="containsText" dxfId="1561" priority="1138" operator="containsText" text="BAJA">
      <formula>NOT(ISERROR(SEARCH("BAJA",IR166)))</formula>
    </cfRule>
  </conditionalFormatting>
  <conditionalFormatting sqref="IS166:IT166">
    <cfRule type="containsText" dxfId="1560" priority="1128" operator="containsText" text="NO APLICA">
      <formula>NOT(ISERROR(SEARCH("NO APLICA",IS166)))</formula>
    </cfRule>
    <cfRule type="containsText" dxfId="1559" priority="1129" operator="containsText" text="SIN">
      <formula>NOT(ISERROR(SEARCH("SIN",IS166)))</formula>
    </cfRule>
    <cfRule type="containsText" dxfId="1558" priority="1130" operator="containsText" text="EQUIPO">
      <formula>NOT(ISERROR(SEARCH("EQUIPO",IS166)))</formula>
    </cfRule>
    <cfRule type="containsText" dxfId="1557" priority="1131" operator="containsText" text="MEDICO TRADICIONAL">
      <formula>NOT(ISERROR(SEARCH("MEDICO TRADICIONAL",IS166)))</formula>
    </cfRule>
    <cfRule type="containsText" dxfId="1556" priority="1132" operator="containsText" text="PARTERA">
      <formula>NOT(ISERROR(SEARCH("PARTERA",IS166)))</formula>
    </cfRule>
    <cfRule type="containsText" dxfId="1555" priority="1133" operator="containsText" text="TÉCNICO">
      <formula>NOT(ISERROR(SEARCH("TÉCNICO",IS166)))</formula>
    </cfRule>
    <cfRule type="containsText" dxfId="1554" priority="1134" operator="containsText" text="PROFESIONAL">
      <formula>NOT(ISERROR(SEARCH("PROFESIONAL",IS166)))</formula>
    </cfRule>
  </conditionalFormatting>
  <conditionalFormatting sqref="IT166">
    <cfRule type="containsText" dxfId="1553" priority="1125" operator="containsText" text="LE HACEN CESÁREA SIN INICIO TRABAJO DE PARTO">
      <formula>NOT(ISERROR(SEARCH("LE HACEN CESÁREA SIN INICIO TRABAJO DE PARTO",IT166)))</formula>
    </cfRule>
    <cfRule type="containsText" dxfId="1552" priority="1126" operator="containsText" text="LE HACEN INDUCCIÓN">
      <formula>NOT(ISERROR(SEARCH("LE HACEN INDUCCIÓN",IT166)))</formula>
    </cfRule>
    <cfRule type="containsText" dxfId="1551" priority="1127" operator="containsText" text="ESPONTÁNEO">
      <formula>NOT(ISERROR(SEARCH("ESPONTÁNEO",IT166)))</formula>
    </cfRule>
  </conditionalFormatting>
  <conditionalFormatting sqref="JI166">
    <cfRule type="containsText" dxfId="1550" priority="1121" operator="containsText" text="NO APLICA">
      <formula>NOT(ISERROR(SEARCH("NO APLICA",JI166)))</formula>
    </cfRule>
    <cfRule type="containsText" dxfId="1549" priority="1122" operator="containsText" text="SIN DATO">
      <formula>NOT(ISERROR(SEARCH("SIN DATO",JI166)))</formula>
    </cfRule>
    <cfRule type="containsText" dxfId="1548" priority="1123" operator="containsText" text="NO">
      <formula>NOT(ISERROR(SEARCH("NO",JI166)))</formula>
    </cfRule>
    <cfRule type="containsText" dxfId="1547" priority="1124" operator="containsText" text="SI">
      <formula>NOT(ISERROR(SEARCH("SI",JI166)))</formula>
    </cfRule>
  </conditionalFormatting>
  <conditionalFormatting sqref="IR167">
    <cfRule type="containsText" dxfId="1546" priority="1117" operator="containsText" text="NO APLICA">
      <formula>NOT(ISERROR(SEARCH("NO APLICA",IR167)))</formula>
    </cfRule>
    <cfRule type="containsText" dxfId="1545" priority="1118" operator="containsText" text="ALTA">
      <formula>NOT(ISERROR(SEARCH("ALTA",IR167)))</formula>
    </cfRule>
    <cfRule type="containsText" dxfId="1544" priority="1119" operator="containsText" text="MEDIANA">
      <formula>NOT(ISERROR(SEARCH("MEDIANA",IR167)))</formula>
    </cfRule>
    <cfRule type="containsText" dxfId="1543" priority="1120" operator="containsText" text="BAJA">
      <formula>NOT(ISERROR(SEARCH("BAJA",IR167)))</formula>
    </cfRule>
  </conditionalFormatting>
  <conditionalFormatting sqref="IS167:IT167">
    <cfRule type="containsText" dxfId="1542" priority="1110" operator="containsText" text="NO APLICA">
      <formula>NOT(ISERROR(SEARCH("NO APLICA",IS167)))</formula>
    </cfRule>
    <cfRule type="containsText" dxfId="1541" priority="1111" operator="containsText" text="SIN">
      <formula>NOT(ISERROR(SEARCH("SIN",IS167)))</formula>
    </cfRule>
    <cfRule type="containsText" dxfId="1540" priority="1112" operator="containsText" text="EQUIPO">
      <formula>NOT(ISERROR(SEARCH("EQUIPO",IS167)))</formula>
    </cfRule>
    <cfRule type="containsText" dxfId="1539" priority="1113" operator="containsText" text="MEDICO TRADICIONAL">
      <formula>NOT(ISERROR(SEARCH("MEDICO TRADICIONAL",IS167)))</formula>
    </cfRule>
    <cfRule type="containsText" dxfId="1538" priority="1114" operator="containsText" text="PARTERA">
      <formula>NOT(ISERROR(SEARCH("PARTERA",IS167)))</formula>
    </cfRule>
    <cfRule type="containsText" dxfId="1537" priority="1115" operator="containsText" text="TÉCNICO">
      <formula>NOT(ISERROR(SEARCH("TÉCNICO",IS167)))</formula>
    </cfRule>
    <cfRule type="containsText" dxfId="1536" priority="1116" operator="containsText" text="PROFESIONAL">
      <formula>NOT(ISERROR(SEARCH("PROFESIONAL",IS167)))</formula>
    </cfRule>
  </conditionalFormatting>
  <conditionalFormatting sqref="IT167">
    <cfRule type="containsText" dxfId="1535" priority="1107" operator="containsText" text="LE HACEN CESÁREA SIN INICIO TRABAJO DE PARTO">
      <formula>NOT(ISERROR(SEARCH("LE HACEN CESÁREA SIN INICIO TRABAJO DE PARTO",IT167)))</formula>
    </cfRule>
    <cfRule type="containsText" dxfId="1534" priority="1108" operator="containsText" text="LE HACEN INDUCCIÓN">
      <formula>NOT(ISERROR(SEARCH("LE HACEN INDUCCIÓN",IT167)))</formula>
    </cfRule>
    <cfRule type="containsText" dxfId="1533" priority="1109" operator="containsText" text="ESPONTÁNEO">
      <formula>NOT(ISERROR(SEARCH("ESPONTÁNEO",IT167)))</formula>
    </cfRule>
  </conditionalFormatting>
  <conditionalFormatting sqref="JI167">
    <cfRule type="containsText" dxfId="1532" priority="1103" operator="containsText" text="NO APLICA">
      <formula>NOT(ISERROR(SEARCH("NO APLICA",JI167)))</formula>
    </cfRule>
    <cfRule type="containsText" dxfId="1531" priority="1104" operator="containsText" text="SIN DATO">
      <formula>NOT(ISERROR(SEARCH("SIN DATO",JI167)))</formula>
    </cfRule>
    <cfRule type="containsText" dxfId="1530" priority="1105" operator="containsText" text="NO">
      <formula>NOT(ISERROR(SEARCH("NO",JI167)))</formula>
    </cfRule>
    <cfRule type="containsText" dxfId="1529" priority="1106" operator="containsText" text="SI">
      <formula>NOT(ISERROR(SEARCH("SI",JI167)))</formula>
    </cfRule>
  </conditionalFormatting>
  <conditionalFormatting sqref="L237">
    <cfRule type="containsText" dxfId="1528" priority="1094" operator="containsText" text="Empleo informal">
      <formula>NOT(ISERROR(SEARCH("Empleo informal",L237)))</formula>
    </cfRule>
    <cfRule type="containsText" dxfId="1527" priority="1095" operator="containsText" text="Empleada formalmente con riesgo a tóxicos">
      <formula>NOT(ISERROR(SEARCH("Empleada formalmente con riesgo a tóxicos",L237)))</formula>
    </cfRule>
    <cfRule type="containsText" dxfId="1526" priority="1096" operator="containsText" text="Empleada formalmente con riesgo de accidente laboral">
      <formula>NOT(ISERROR(SEARCH("Empleada formalmente con riesgo de accidente laboral",L237)))</formula>
    </cfRule>
    <cfRule type="containsText" dxfId="1525" priority="1097" operator="containsText" text="Empleada formalmente por jornada laboral extensa">
      <formula>NOT(ISERROR(SEARCH("Empleada formalmente por jornada laboral extensa",L237)))</formula>
    </cfRule>
    <cfRule type="containsText" dxfId="1524" priority="1098" operator="containsText" text="Empleada formalmente sin riesgo">
      <formula>NOT(ISERROR(SEARCH("Empleada formalmente sin riesgo",L237)))</formula>
    </cfRule>
    <cfRule type="containsText" dxfId="1523" priority="1099" operator="containsText" text="Actualmente desempleada">
      <formula>NOT(ISERROR(SEARCH("Actualmente desempleada",L237)))</formula>
    </cfRule>
    <cfRule type="containsText" dxfId="1522" priority="1100" operator="containsText" text="Hogar sin apoyo">
      <formula>NOT(ISERROR(SEARCH("Hogar sin apoyo",L237)))</formula>
    </cfRule>
    <cfRule type="containsText" dxfId="1521" priority="1101" operator="containsText" text="Empleada formalmente sin riesgo">
      <formula>NOT(ISERROR(SEARCH("Empleada formalmente sin riesgo",L237)))</formula>
    </cfRule>
    <cfRule type="containsText" dxfId="1520" priority="1102" operator="containsText" text="Hogar Con apoyo">
      <formula>NOT(ISERROR(SEARCH("Hogar Con apoyo",L237)))</formula>
    </cfRule>
  </conditionalFormatting>
  <conditionalFormatting sqref="AL237:AR237">
    <cfRule type="cellIs" dxfId="1519" priority="1091" operator="equal">
      <formula>"SD"</formula>
    </cfRule>
    <cfRule type="cellIs" dxfId="1518" priority="1092" operator="equal">
      <formula>"NO"</formula>
    </cfRule>
    <cfRule type="cellIs" dxfId="1517" priority="1093" operator="equal">
      <formula>"SI"</formula>
    </cfRule>
  </conditionalFormatting>
  <conditionalFormatting sqref="AK237">
    <cfRule type="containsText" dxfId="1516" priority="1088" operator="containsText" text="COMPLETAR EVALUACIÓN">
      <formula>NOT(ISERROR(SEARCH("COMPLETAR EVALUACIÓN",AK237)))</formula>
    </cfRule>
    <cfRule type="containsText" dxfId="1515" priority="1089" operator="containsText" text="CON RIESGO">
      <formula>NOT(ISERROR(SEARCH("CON RIESGO",AK237)))</formula>
    </cfRule>
    <cfRule type="containsText" dxfId="1514" priority="1090" operator="containsText" text="SIN RIESGO">
      <formula>NOT(ISERROR(SEARCH("SIN RIESGO",AK237)))</formula>
    </cfRule>
  </conditionalFormatting>
  <conditionalFormatting sqref="AG237:AH237">
    <cfRule type="cellIs" dxfId="1513" priority="1085" operator="equal">
      <formula>"SD"</formula>
    </cfRule>
    <cfRule type="cellIs" dxfId="1512" priority="1086" operator="equal">
      <formula>"NO"</formula>
    </cfRule>
    <cfRule type="cellIs" dxfId="1511" priority="1087" operator="equal">
      <formula>"SI"</formula>
    </cfRule>
  </conditionalFormatting>
  <conditionalFormatting sqref="AI237">
    <cfRule type="containsText" dxfId="1510" priority="1080" operator="containsText" text="HABITANTE DE CALLE">
      <formula>NOT(ISERROR(SEARCH("HABITANTE DE CALLE",AI237)))</formula>
    </cfRule>
    <cfRule type="containsText" dxfId="1509" priority="1081" operator="containsText" text="NINGUNO">
      <formula>NOT(ISERROR(SEARCH("NINGUNO",AI237)))</formula>
    </cfRule>
    <cfRule type="containsText" dxfId="1508" priority="1082" operator="containsText" text="MIGRATORIA">
      <formula>NOT(ISERROR(SEARCH("MIGRATORIA",AI237)))</formula>
    </cfRule>
    <cfRule type="containsText" dxfId="1507" priority="1083" operator="containsText" text="DISCAPACIDAD">
      <formula>NOT(ISERROR(SEARCH("DISCAPACIDAD",AI237)))</formula>
    </cfRule>
    <cfRule type="containsText" dxfId="1506" priority="1084" operator="containsText" text="DESPLAZADA">
      <formula>NOT(ISERROR(SEARCH("DESPLAZADA",AI237)))</formula>
    </cfRule>
  </conditionalFormatting>
  <conditionalFormatting sqref="AJ237">
    <cfRule type="cellIs" dxfId="1505" priority="1077" operator="equal">
      <formula>"SD"</formula>
    </cfRule>
    <cfRule type="cellIs" dxfId="1504" priority="1078" operator="equal">
      <formula>"NO"</formula>
    </cfRule>
    <cfRule type="cellIs" dxfId="1503" priority="1079" operator="equal">
      <formula>"SI"</formula>
    </cfRule>
  </conditionalFormatting>
  <conditionalFormatting sqref="AX237 BA237">
    <cfRule type="cellIs" dxfId="1502" priority="1074" operator="equal">
      <formula>"SD"</formula>
    </cfRule>
    <cfRule type="cellIs" dxfId="1501" priority="1075" operator="equal">
      <formula>"NO"</formula>
    </cfRule>
    <cfRule type="cellIs" dxfId="1500" priority="1076" operator="equal">
      <formula>"SI"</formula>
    </cfRule>
  </conditionalFormatting>
  <conditionalFormatting sqref="AY237">
    <cfRule type="containsText" dxfId="1499" priority="1069" operator="containsText" text="SD">
      <formula>NOT(ISERROR(SEARCH("SD",AY237)))</formula>
    </cfRule>
    <cfRule type="containsText" dxfId="1498" priority="1070" operator="containsText" text="SI, NO CONTROLADA">
      <formula>NOT(ISERROR(SEARCH("SI, NO CONTROLADA",AY237)))</formula>
    </cfRule>
    <cfRule type="containsText" dxfId="1497" priority="1071" operator="containsText" text="SI, SIN MANEJO">
      <formula>NOT(ISERROR(SEARCH("SI, SIN MANEJO",AY237)))</formula>
    </cfRule>
    <cfRule type="containsText" dxfId="1496" priority="1072" operator="containsText" text="SI, CONTROLADA">
      <formula>NOT(ISERROR(SEARCH("SI, CONTROLADA",AY237)))</formula>
    </cfRule>
    <cfRule type="containsText" dxfId="1495" priority="1073" operator="containsText" text="NO">
      <formula>NOT(ISERROR(SEARCH("NO",AY237)))</formula>
    </cfRule>
  </conditionalFormatting>
  <conditionalFormatting sqref="AZ237">
    <cfRule type="containsText" dxfId="1494" priority="1064" operator="containsText" text="SD">
      <formula>NOT(ISERROR(SEARCH("SD",AZ237)))</formula>
    </cfRule>
    <cfRule type="containsText" dxfId="1493" priority="1065" operator="containsText" text="SI, NO CONTROLADA">
      <formula>NOT(ISERROR(SEARCH("SI, NO CONTROLADA",AZ237)))</formula>
    </cfRule>
    <cfRule type="containsText" dxfId="1492" priority="1066" operator="containsText" text="SI, SIN MANEJO">
      <formula>NOT(ISERROR(SEARCH("SI, SIN MANEJO",AZ237)))</formula>
    </cfRule>
    <cfRule type="containsText" dxfId="1491" priority="1067" operator="containsText" text="SI, CONTROLADA">
      <formula>NOT(ISERROR(SEARCH("SI, CONTROLADA",AZ237)))</formula>
    </cfRule>
    <cfRule type="containsText" dxfId="1490" priority="1068" operator="containsText" text="NO">
      <formula>NOT(ISERROR(SEARCH("NO",AZ237)))</formula>
    </cfRule>
  </conditionalFormatting>
  <conditionalFormatting sqref="BB237">
    <cfRule type="cellIs" dxfId="1489" priority="1061" operator="equal">
      <formula>"SD"</formula>
    </cfRule>
    <cfRule type="cellIs" dxfId="1488" priority="1062" operator="equal">
      <formula>"NO"</formula>
    </cfRule>
    <cfRule type="cellIs" dxfId="1487" priority="1063" operator="equal">
      <formula>"SI"</formula>
    </cfRule>
  </conditionalFormatting>
  <conditionalFormatting sqref="BC237">
    <cfRule type="cellIs" dxfId="1486" priority="1058" operator="equal">
      <formula>"SD"</formula>
    </cfRule>
    <cfRule type="cellIs" dxfId="1485" priority="1059" operator="equal">
      <formula>"NO"</formula>
    </cfRule>
    <cfRule type="cellIs" dxfId="1484" priority="1060" operator="equal">
      <formula>"SI"</formula>
    </cfRule>
  </conditionalFormatting>
  <conditionalFormatting sqref="BF237">
    <cfRule type="cellIs" dxfId="1483" priority="1055" operator="equal">
      <formula>"SD"</formula>
    </cfRule>
    <cfRule type="cellIs" dxfId="1482" priority="1056" operator="equal">
      <formula>"NO"</formula>
    </cfRule>
    <cfRule type="cellIs" dxfId="1481" priority="1057" operator="equal">
      <formula>"SI"</formula>
    </cfRule>
  </conditionalFormatting>
  <conditionalFormatting sqref="BD237:BE237">
    <cfRule type="cellIs" dxfId="1480" priority="1052" operator="equal">
      <formula>"SD"</formula>
    </cfRule>
    <cfRule type="cellIs" dxfId="1479" priority="1053" operator="equal">
      <formula>"NO"</formula>
    </cfRule>
    <cfRule type="cellIs" dxfId="1478" priority="1054" operator="equal">
      <formula>"SI"</formula>
    </cfRule>
  </conditionalFormatting>
  <conditionalFormatting sqref="BE237">
    <cfRule type="expression" dxfId="1477" priority="1051">
      <formula>IF(AND(FA237&gt;=126,FC237&lt;24),1,0)</formula>
    </cfRule>
  </conditionalFormatting>
  <conditionalFormatting sqref="BG237">
    <cfRule type="cellIs" dxfId="1476" priority="1048" operator="equal">
      <formula>"SD"</formula>
    </cfRule>
    <cfRule type="cellIs" dxfId="1475" priority="1049" operator="equal">
      <formula>"NO"</formula>
    </cfRule>
    <cfRule type="cellIs" dxfId="1474" priority="1050" operator="equal">
      <formula>"SI"</formula>
    </cfRule>
  </conditionalFormatting>
  <conditionalFormatting sqref="BH237">
    <cfRule type="cellIs" dxfId="1473" priority="1045" operator="equal">
      <formula>"SD"</formula>
    </cfRule>
    <cfRule type="cellIs" dxfId="1472" priority="1046" operator="equal">
      <formula>"NO"</formula>
    </cfRule>
    <cfRule type="cellIs" dxfId="1471" priority="1047" operator="equal">
      <formula>"SI"</formula>
    </cfRule>
  </conditionalFormatting>
  <conditionalFormatting sqref="BI237">
    <cfRule type="cellIs" dxfId="1470" priority="1042" operator="equal">
      <formula>"SD"</formula>
    </cfRule>
    <cfRule type="cellIs" dxfId="1469" priority="1043" operator="equal">
      <formula>"NO"</formula>
    </cfRule>
    <cfRule type="cellIs" dxfId="1468" priority="1044" operator="equal">
      <formula>"SI"</formula>
    </cfRule>
  </conditionalFormatting>
  <conditionalFormatting sqref="BJ237">
    <cfRule type="cellIs" dxfId="1467" priority="1039" operator="equal">
      <formula>"SD"</formula>
    </cfRule>
    <cfRule type="cellIs" dxfId="1466" priority="1040" operator="equal">
      <formula>"NO"</formula>
    </cfRule>
    <cfRule type="cellIs" dxfId="1465" priority="1041" operator="equal">
      <formula>"SI"</formula>
    </cfRule>
  </conditionalFormatting>
  <conditionalFormatting sqref="BL237:BM237">
    <cfRule type="cellIs" dxfId="1464" priority="1036" operator="equal">
      <formula>"SD"</formula>
    </cfRule>
    <cfRule type="cellIs" dxfId="1463" priority="1037" operator="equal">
      <formula>"NO"</formula>
    </cfRule>
    <cfRule type="cellIs" dxfId="1462" priority="1038" operator="equal">
      <formula>"SI"</formula>
    </cfRule>
  </conditionalFormatting>
  <conditionalFormatting sqref="BK237">
    <cfRule type="cellIs" dxfId="1461" priority="1033" operator="equal">
      <formula>"SD"</formula>
    </cfRule>
    <cfRule type="cellIs" dxfId="1460" priority="1034" operator="equal">
      <formula>"NO"</formula>
    </cfRule>
    <cfRule type="cellIs" dxfId="1459" priority="1035" operator="equal">
      <formula>"SI"</formula>
    </cfRule>
  </conditionalFormatting>
  <conditionalFormatting sqref="L238">
    <cfRule type="containsText" dxfId="1458" priority="1024" operator="containsText" text="Empleo informal">
      <formula>NOT(ISERROR(SEARCH("Empleo informal",L238)))</formula>
    </cfRule>
    <cfRule type="containsText" dxfId="1457" priority="1025" operator="containsText" text="Empleada formalmente con riesgo a tóxicos">
      <formula>NOT(ISERROR(SEARCH("Empleada formalmente con riesgo a tóxicos",L238)))</formula>
    </cfRule>
    <cfRule type="containsText" dxfId="1456" priority="1026" operator="containsText" text="Empleada formalmente con riesgo de accidente laboral">
      <formula>NOT(ISERROR(SEARCH("Empleada formalmente con riesgo de accidente laboral",L238)))</formula>
    </cfRule>
    <cfRule type="containsText" dxfId="1455" priority="1027" operator="containsText" text="Empleada formalmente por jornada laboral extensa">
      <formula>NOT(ISERROR(SEARCH("Empleada formalmente por jornada laboral extensa",L238)))</formula>
    </cfRule>
    <cfRule type="containsText" dxfId="1454" priority="1028" operator="containsText" text="Empleada formalmente sin riesgo">
      <formula>NOT(ISERROR(SEARCH("Empleada formalmente sin riesgo",L238)))</formula>
    </cfRule>
    <cfRule type="containsText" dxfId="1453" priority="1029" operator="containsText" text="Actualmente desempleada">
      <formula>NOT(ISERROR(SEARCH("Actualmente desempleada",L238)))</formula>
    </cfRule>
    <cfRule type="containsText" dxfId="1452" priority="1030" operator="containsText" text="Hogar sin apoyo">
      <formula>NOT(ISERROR(SEARCH("Hogar sin apoyo",L238)))</formula>
    </cfRule>
    <cfRule type="containsText" dxfId="1451" priority="1031" operator="containsText" text="Empleada formalmente sin riesgo">
      <formula>NOT(ISERROR(SEARCH("Empleada formalmente sin riesgo",L238)))</formula>
    </cfRule>
    <cfRule type="containsText" dxfId="1450" priority="1032" operator="containsText" text="Hogar Con apoyo">
      <formula>NOT(ISERROR(SEARCH("Hogar Con apoyo",L238)))</formula>
    </cfRule>
  </conditionalFormatting>
  <conditionalFormatting sqref="AE238:AF238">
    <cfRule type="containsText" dxfId="1449" priority="1022" operator="containsText" text="NO">
      <formula>NOT(ISERROR(SEARCH("NO",AE238)))</formula>
    </cfRule>
    <cfRule type="containsText" dxfId="1448" priority="1023" operator="containsText" text="SI">
      <formula>NOT(ISERROR(SEARCH("SI",AE238)))</formula>
    </cfRule>
  </conditionalFormatting>
  <conditionalFormatting sqref="AK238">
    <cfRule type="containsText" dxfId="1447" priority="1019" operator="containsText" text="COMPLETAR EVALUACIÓN">
      <formula>NOT(ISERROR(SEARCH("COMPLETAR EVALUACIÓN",AK238)))</formula>
    </cfRule>
    <cfRule type="containsText" dxfId="1446" priority="1020" operator="containsText" text="CON RIESGO">
      <formula>NOT(ISERROR(SEARCH("CON RIESGO",AK238)))</formula>
    </cfRule>
    <cfRule type="containsText" dxfId="1445" priority="1021" operator="containsText" text="SIN RIESGO">
      <formula>NOT(ISERROR(SEARCH("SIN RIESGO",AK238)))</formula>
    </cfRule>
  </conditionalFormatting>
  <conditionalFormatting sqref="AG238:AH238">
    <cfRule type="cellIs" dxfId="1444" priority="1016" operator="equal">
      <formula>"SD"</formula>
    </cfRule>
    <cfRule type="cellIs" dxfId="1443" priority="1017" operator="equal">
      <formula>"NO"</formula>
    </cfRule>
    <cfRule type="cellIs" dxfId="1442" priority="1018" operator="equal">
      <formula>"SI"</formula>
    </cfRule>
  </conditionalFormatting>
  <conditionalFormatting sqref="AI238">
    <cfRule type="containsText" dxfId="1441" priority="1011" operator="containsText" text="HABITANTE DE CALLE">
      <formula>NOT(ISERROR(SEARCH("HABITANTE DE CALLE",AI238)))</formula>
    </cfRule>
    <cfRule type="containsText" dxfId="1440" priority="1012" operator="containsText" text="NINGUNO">
      <formula>NOT(ISERROR(SEARCH("NINGUNO",AI238)))</formula>
    </cfRule>
    <cfRule type="containsText" dxfId="1439" priority="1013" operator="containsText" text="MIGRATORIA">
      <formula>NOT(ISERROR(SEARCH("MIGRATORIA",AI238)))</formula>
    </cfRule>
    <cfRule type="containsText" dxfId="1438" priority="1014" operator="containsText" text="DISCAPACIDAD">
      <formula>NOT(ISERROR(SEARCH("DISCAPACIDAD",AI238)))</formula>
    </cfRule>
    <cfRule type="containsText" dxfId="1437" priority="1015" operator="containsText" text="DESPLAZADA">
      <formula>NOT(ISERROR(SEARCH("DESPLAZADA",AI238)))</formula>
    </cfRule>
  </conditionalFormatting>
  <conditionalFormatting sqref="AJ238">
    <cfRule type="cellIs" dxfId="1436" priority="1008" operator="equal">
      <formula>"SD"</formula>
    </cfRule>
    <cfRule type="cellIs" dxfId="1435" priority="1009" operator="equal">
      <formula>"NO"</formula>
    </cfRule>
    <cfRule type="cellIs" dxfId="1434" priority="1010" operator="equal">
      <formula>"SI"</formula>
    </cfRule>
  </conditionalFormatting>
  <conditionalFormatting sqref="AL238:AR238">
    <cfRule type="cellIs" dxfId="1433" priority="989" operator="equal">
      <formula>"SD"</formula>
    </cfRule>
    <cfRule type="cellIs" dxfId="1432" priority="990" operator="equal">
      <formula>"NO"</formula>
    </cfRule>
    <cfRule type="cellIs" dxfId="1431" priority="991" operator="equal">
      <formula>"SI"</formula>
    </cfRule>
  </conditionalFormatting>
  <conditionalFormatting sqref="AX238 BA238">
    <cfRule type="cellIs" dxfId="1430" priority="986" operator="equal">
      <formula>"SD"</formula>
    </cfRule>
    <cfRule type="cellIs" dxfId="1429" priority="987" operator="equal">
      <formula>"NO"</formula>
    </cfRule>
    <cfRule type="cellIs" dxfId="1428" priority="988" operator="equal">
      <formula>"SI"</formula>
    </cfRule>
  </conditionalFormatting>
  <conditionalFormatting sqref="AY238">
    <cfRule type="containsText" dxfId="1427" priority="981" operator="containsText" text="SD">
      <formula>NOT(ISERROR(SEARCH("SD",AY238)))</formula>
    </cfRule>
    <cfRule type="containsText" dxfId="1426" priority="982" operator="containsText" text="SI, NO CONTROLADA">
      <formula>NOT(ISERROR(SEARCH("SI, NO CONTROLADA",AY238)))</formula>
    </cfRule>
    <cfRule type="containsText" dxfId="1425" priority="983" operator="containsText" text="SI, SIN MANEJO">
      <formula>NOT(ISERROR(SEARCH("SI, SIN MANEJO",AY238)))</formula>
    </cfRule>
    <cfRule type="containsText" dxfId="1424" priority="984" operator="containsText" text="SI, CONTROLADA">
      <formula>NOT(ISERROR(SEARCH("SI, CONTROLADA",AY238)))</formula>
    </cfRule>
    <cfRule type="containsText" dxfId="1423" priority="985" operator="containsText" text="NO">
      <formula>NOT(ISERROR(SEARCH("NO",AY238)))</formula>
    </cfRule>
  </conditionalFormatting>
  <conditionalFormatting sqref="AZ238">
    <cfRule type="containsText" dxfId="1422" priority="976" operator="containsText" text="SD">
      <formula>NOT(ISERROR(SEARCH("SD",AZ238)))</formula>
    </cfRule>
    <cfRule type="containsText" dxfId="1421" priority="977" operator="containsText" text="SI, NO CONTROLADA">
      <formula>NOT(ISERROR(SEARCH("SI, NO CONTROLADA",AZ238)))</formula>
    </cfRule>
    <cfRule type="containsText" dxfId="1420" priority="978" operator="containsText" text="SI, SIN MANEJO">
      <formula>NOT(ISERROR(SEARCH("SI, SIN MANEJO",AZ238)))</formula>
    </cfRule>
    <cfRule type="containsText" dxfId="1419" priority="979" operator="containsText" text="SI, CONTROLADA">
      <formula>NOT(ISERROR(SEARCH("SI, CONTROLADA",AZ238)))</formula>
    </cfRule>
    <cfRule type="containsText" dxfId="1418" priority="980" operator="containsText" text="NO">
      <formula>NOT(ISERROR(SEARCH("NO",AZ238)))</formula>
    </cfRule>
  </conditionalFormatting>
  <conditionalFormatting sqref="BB238">
    <cfRule type="cellIs" dxfId="1417" priority="973" operator="equal">
      <formula>"SD"</formula>
    </cfRule>
    <cfRule type="cellIs" dxfId="1416" priority="974" operator="equal">
      <formula>"NO"</formula>
    </cfRule>
    <cfRule type="cellIs" dxfId="1415" priority="975" operator="equal">
      <formula>"SI"</formula>
    </cfRule>
  </conditionalFormatting>
  <conditionalFormatting sqref="BC238">
    <cfRule type="cellIs" dxfId="1414" priority="970" operator="equal">
      <formula>"SD"</formula>
    </cfRule>
    <cfRule type="cellIs" dxfId="1413" priority="971" operator="equal">
      <formula>"NO"</formula>
    </cfRule>
    <cfRule type="cellIs" dxfId="1412" priority="972" operator="equal">
      <formula>"SI"</formula>
    </cfRule>
  </conditionalFormatting>
  <conditionalFormatting sqref="BF238">
    <cfRule type="cellIs" dxfId="1411" priority="967" operator="equal">
      <formula>"SD"</formula>
    </cfRule>
    <cfRule type="cellIs" dxfId="1410" priority="968" operator="equal">
      <formula>"NO"</formula>
    </cfRule>
    <cfRule type="cellIs" dxfId="1409" priority="969" operator="equal">
      <formula>"SI"</formula>
    </cfRule>
  </conditionalFormatting>
  <conditionalFormatting sqref="BD238:BE238">
    <cfRule type="cellIs" dxfId="1408" priority="964" operator="equal">
      <formula>"SD"</formula>
    </cfRule>
    <cfRule type="cellIs" dxfId="1407" priority="965" operator="equal">
      <formula>"NO"</formula>
    </cfRule>
    <cfRule type="cellIs" dxfId="1406" priority="966" operator="equal">
      <formula>"SI"</formula>
    </cfRule>
  </conditionalFormatting>
  <conditionalFormatting sqref="BE238">
    <cfRule type="expression" dxfId="1405" priority="963">
      <formula>IF(AND(FA238&gt;=126,FC238&lt;24),1,0)</formula>
    </cfRule>
  </conditionalFormatting>
  <conditionalFormatting sqref="BG238">
    <cfRule type="cellIs" dxfId="1404" priority="960" operator="equal">
      <formula>"SD"</formula>
    </cfRule>
    <cfRule type="cellIs" dxfId="1403" priority="961" operator="equal">
      <formula>"NO"</formula>
    </cfRule>
    <cfRule type="cellIs" dxfId="1402" priority="962" operator="equal">
      <formula>"SI"</formula>
    </cfRule>
  </conditionalFormatting>
  <conditionalFormatting sqref="BH238">
    <cfRule type="cellIs" dxfId="1401" priority="957" operator="equal">
      <formula>"SD"</formula>
    </cfRule>
    <cfRule type="cellIs" dxfId="1400" priority="958" operator="equal">
      <formula>"NO"</formula>
    </cfRule>
    <cfRule type="cellIs" dxfId="1399" priority="959" operator="equal">
      <formula>"SI"</formula>
    </cfRule>
  </conditionalFormatting>
  <conditionalFormatting sqref="BI238">
    <cfRule type="cellIs" dxfId="1398" priority="954" operator="equal">
      <formula>"SD"</formula>
    </cfRule>
    <cfRule type="cellIs" dxfId="1397" priority="955" operator="equal">
      <formula>"NO"</formula>
    </cfRule>
    <cfRule type="cellIs" dxfId="1396" priority="956" operator="equal">
      <formula>"SI"</formula>
    </cfRule>
  </conditionalFormatting>
  <conditionalFormatting sqref="BJ238">
    <cfRule type="cellIs" dxfId="1395" priority="951" operator="equal">
      <formula>"SD"</formula>
    </cfRule>
    <cfRule type="cellIs" dxfId="1394" priority="952" operator="equal">
      <formula>"NO"</formula>
    </cfRule>
    <cfRule type="cellIs" dxfId="1393" priority="953" operator="equal">
      <formula>"SI"</formula>
    </cfRule>
  </conditionalFormatting>
  <conditionalFormatting sqref="BL238:BM238">
    <cfRule type="cellIs" dxfId="1392" priority="948" operator="equal">
      <formula>"SD"</formula>
    </cfRule>
    <cfRule type="cellIs" dxfId="1391" priority="949" operator="equal">
      <formula>"NO"</formula>
    </cfRule>
    <cfRule type="cellIs" dxfId="1390" priority="950" operator="equal">
      <formula>"SI"</formula>
    </cfRule>
  </conditionalFormatting>
  <conditionalFormatting sqref="BK238">
    <cfRule type="cellIs" dxfId="1389" priority="945" operator="equal">
      <formula>"SD"</formula>
    </cfRule>
    <cfRule type="cellIs" dxfId="1388" priority="946" operator="equal">
      <formula>"NO"</formula>
    </cfRule>
    <cfRule type="cellIs" dxfId="1387" priority="947" operator="equal">
      <formula>"SI"</formula>
    </cfRule>
  </conditionalFormatting>
  <conditionalFormatting sqref="FB238">
    <cfRule type="containsText" dxfId="1386" priority="941" operator="containsText" text="RH NEGATIVO SIN COOMB">
      <formula>NOT(ISERROR(SEARCH("RH NEGATIVO SIN COOMB",FB238)))</formula>
    </cfRule>
    <cfRule type="containsText" dxfId="1385" priority="942" operator="containsText" text="RH NEGATIVO CON COOMBS POSITIVO">
      <formula>NOT(ISERROR(SEARCH("RH NEGATIVO CON COOMBS POSITIVO",FB238)))</formula>
    </cfRule>
    <cfRule type="containsText" dxfId="1384" priority="943" operator="containsText" text="RH NEGATIVO CON COOMBS NEGATIVO">
      <formula>NOT(ISERROR(SEARCH("RH NEGATIVO CON COOMBS NEGATIVO",FB238)))</formula>
    </cfRule>
    <cfRule type="containsText" dxfId="1383" priority="944" operator="containsText" text="RH POSITIVO">
      <formula>NOT(ISERROR(SEARCH("RH POSITIVO",FB238)))</formula>
    </cfRule>
  </conditionalFormatting>
  <conditionalFormatting sqref="FK238">
    <cfRule type="containsText" dxfId="1382" priority="937" operator="containsText" text="RH NEGATIVO SIN COOMB">
      <formula>NOT(ISERROR(SEARCH("RH NEGATIVO SIN COOMB",FK238)))</formula>
    </cfRule>
    <cfRule type="containsText" dxfId="1381" priority="938" operator="containsText" text="RH NEGATIVO CON COOMBS POSITIVO">
      <formula>NOT(ISERROR(SEARCH("RH NEGATIVO CON COOMBS POSITIVO",FK238)))</formula>
    </cfRule>
    <cfRule type="containsText" dxfId="1380" priority="939" operator="containsText" text="RH NEGATIVO CON COOMBS NEGATIVO">
      <formula>NOT(ISERROR(SEARCH("RH NEGATIVO CON COOMBS NEGATIVO",FK238)))</formula>
    </cfRule>
    <cfRule type="containsText" dxfId="1379" priority="940" operator="containsText" text="RH POSITIVO">
      <formula>NOT(ISERROR(SEARCH("RH POSITIVO",FK238)))</formula>
    </cfRule>
  </conditionalFormatting>
  <conditionalFormatting sqref="FN238">
    <cfRule type="containsText" dxfId="1378" priority="933" operator="containsText" text="RH NEGATIVO SIN COOMB">
      <formula>NOT(ISERROR(SEARCH("RH NEGATIVO SIN COOMB",FN238)))</formula>
    </cfRule>
    <cfRule type="containsText" dxfId="1377" priority="934" operator="containsText" text="RH NEGATIVO CON COOMBS POSITIVO">
      <formula>NOT(ISERROR(SEARCH("RH NEGATIVO CON COOMBS POSITIVO",FN238)))</formula>
    </cfRule>
    <cfRule type="containsText" dxfId="1376" priority="935" operator="containsText" text="RH NEGATIVO CON COOMBS NEGATIVO">
      <formula>NOT(ISERROR(SEARCH("RH NEGATIVO CON COOMBS NEGATIVO",FN238)))</formula>
    </cfRule>
    <cfRule type="containsText" dxfId="1375" priority="936" operator="containsText" text="RH POSITIVO">
      <formula>NOT(ISERROR(SEARCH("RH POSITIVO",FN238)))</formula>
    </cfRule>
  </conditionalFormatting>
  <conditionalFormatting sqref="HV238">
    <cfRule type="containsText" dxfId="1374" priority="929" operator="containsText" text="NO SE FORMULA">
      <formula>NOT(ISERROR(SEARCH("NO SE FORMULA",HV238)))</formula>
    </cfRule>
    <cfRule type="containsText" dxfId="1373" priority="930" operator="containsText" text="OTRO">
      <formula>NOT(ISERROR(SEARCH("OTRO",HV238)))</formula>
    </cfRule>
    <cfRule type="containsText" dxfId="1372" priority="931" operator="containsText" text="IRREGULAR">
      <formula>NOT(ISERROR(SEARCH("IRREGULAR",HV238)))</formula>
    </cfRule>
    <cfRule type="containsText" dxfId="1371" priority="932" operator="containsText" text="ADECUADO">
      <formula>NOT(ISERROR(SEARCH("ADECUADO",HV238)))</formula>
    </cfRule>
  </conditionalFormatting>
  <conditionalFormatting sqref="L239">
    <cfRule type="containsText" dxfId="1370" priority="920" operator="containsText" text="Empleo informal">
      <formula>NOT(ISERROR(SEARCH("Empleo informal",L239)))</formula>
    </cfRule>
    <cfRule type="containsText" dxfId="1369" priority="921" operator="containsText" text="Empleada formalmente con riesgo a tóxicos">
      <formula>NOT(ISERROR(SEARCH("Empleada formalmente con riesgo a tóxicos",L239)))</formula>
    </cfRule>
    <cfRule type="containsText" dxfId="1368" priority="922" operator="containsText" text="Empleada formalmente con riesgo de accidente laboral">
      <formula>NOT(ISERROR(SEARCH("Empleada formalmente con riesgo de accidente laboral",L239)))</formula>
    </cfRule>
    <cfRule type="containsText" dxfId="1367" priority="923" operator="containsText" text="Empleada formalmente por jornada laboral extensa">
      <formula>NOT(ISERROR(SEARCH("Empleada formalmente por jornada laboral extensa",L239)))</formula>
    </cfRule>
    <cfRule type="containsText" dxfId="1366" priority="924" operator="containsText" text="Empleada formalmente sin riesgo">
      <formula>NOT(ISERROR(SEARCH("Empleada formalmente sin riesgo",L239)))</formula>
    </cfRule>
    <cfRule type="containsText" dxfId="1365" priority="925" operator="containsText" text="Actualmente desempleada">
      <formula>NOT(ISERROR(SEARCH("Actualmente desempleada",L239)))</formula>
    </cfRule>
    <cfRule type="containsText" dxfId="1364" priority="926" operator="containsText" text="Hogar sin apoyo">
      <formula>NOT(ISERROR(SEARCH("Hogar sin apoyo",L239)))</formula>
    </cfRule>
    <cfRule type="containsText" dxfId="1363" priority="927" operator="containsText" text="Empleada formalmente sin riesgo">
      <formula>NOT(ISERROR(SEARCH("Empleada formalmente sin riesgo",L239)))</formula>
    </cfRule>
    <cfRule type="containsText" dxfId="1362" priority="928" operator="containsText" text="Hogar Con apoyo">
      <formula>NOT(ISERROR(SEARCH("Hogar Con apoyo",L239)))</formula>
    </cfRule>
  </conditionalFormatting>
  <conditionalFormatting sqref="AS239:AW239">
    <cfRule type="cellIs" dxfId="1361" priority="917" operator="equal">
      <formula>"SD"</formula>
    </cfRule>
    <cfRule type="cellIs" dxfId="1360" priority="918" operator="equal">
      <formula>"NO"</formula>
    </cfRule>
    <cfRule type="cellIs" dxfId="1359" priority="919" operator="equal">
      <formula>"SI"</formula>
    </cfRule>
  </conditionalFormatting>
  <conditionalFormatting sqref="AW239">
    <cfRule type="cellIs" dxfId="1358" priority="914" operator="equal">
      <formula>1</formula>
    </cfRule>
    <cfRule type="cellIs" dxfId="1357" priority="915" operator="equal">
      <formula>"3 O MAS"</formula>
    </cfRule>
    <cfRule type="cellIs" dxfId="1356" priority="916" operator="equal">
      <formula>2</formula>
    </cfRule>
  </conditionalFormatting>
  <conditionalFormatting sqref="AE239:AF239">
    <cfRule type="containsText" dxfId="1355" priority="912" operator="containsText" text="NO">
      <formula>NOT(ISERROR(SEARCH("NO",AE239)))</formula>
    </cfRule>
    <cfRule type="containsText" dxfId="1354" priority="913" operator="containsText" text="SI">
      <formula>NOT(ISERROR(SEARCH("SI",AE239)))</formula>
    </cfRule>
  </conditionalFormatting>
  <conditionalFormatting sqref="AL239:AR239">
    <cfRule type="cellIs" dxfId="1353" priority="909" operator="equal">
      <formula>"SD"</formula>
    </cfRule>
    <cfRule type="cellIs" dxfId="1352" priority="910" operator="equal">
      <formula>"NO"</formula>
    </cfRule>
    <cfRule type="cellIs" dxfId="1351" priority="911" operator="equal">
      <formula>"SI"</formula>
    </cfRule>
  </conditionalFormatting>
  <conditionalFormatting sqref="AK239">
    <cfRule type="containsText" dxfId="1350" priority="906" operator="containsText" text="COMPLETAR EVALUACIÓN">
      <formula>NOT(ISERROR(SEARCH("COMPLETAR EVALUACIÓN",AK239)))</formula>
    </cfRule>
    <cfRule type="containsText" dxfId="1349" priority="907" operator="containsText" text="CON RIESGO">
      <formula>NOT(ISERROR(SEARCH("CON RIESGO",AK239)))</formula>
    </cfRule>
    <cfRule type="containsText" dxfId="1348" priority="908" operator="containsText" text="SIN RIESGO">
      <formula>NOT(ISERROR(SEARCH("SIN RIESGO",AK239)))</formula>
    </cfRule>
  </conditionalFormatting>
  <conditionalFormatting sqref="AG239:AH239">
    <cfRule type="cellIs" dxfId="1347" priority="903" operator="equal">
      <formula>"SD"</formula>
    </cfRule>
    <cfRule type="cellIs" dxfId="1346" priority="904" operator="equal">
      <formula>"NO"</formula>
    </cfRule>
    <cfRule type="cellIs" dxfId="1345" priority="905" operator="equal">
      <formula>"SI"</formula>
    </cfRule>
  </conditionalFormatting>
  <conditionalFormatting sqref="AI239">
    <cfRule type="containsText" dxfId="1344" priority="898" operator="containsText" text="HABITANTE DE CALLE">
      <formula>NOT(ISERROR(SEARCH("HABITANTE DE CALLE",AI239)))</formula>
    </cfRule>
    <cfRule type="containsText" dxfId="1343" priority="899" operator="containsText" text="NINGUNO">
      <formula>NOT(ISERROR(SEARCH("NINGUNO",AI239)))</formula>
    </cfRule>
    <cfRule type="containsText" dxfId="1342" priority="900" operator="containsText" text="MIGRATORIA">
      <formula>NOT(ISERROR(SEARCH("MIGRATORIA",AI239)))</formula>
    </cfRule>
    <cfRule type="containsText" dxfId="1341" priority="901" operator="containsText" text="DISCAPACIDAD">
      <formula>NOT(ISERROR(SEARCH("DISCAPACIDAD",AI239)))</formula>
    </cfRule>
    <cfRule type="containsText" dxfId="1340" priority="902" operator="containsText" text="DESPLAZADA">
      <formula>NOT(ISERROR(SEARCH("DESPLAZADA",AI239)))</formula>
    </cfRule>
  </conditionalFormatting>
  <conditionalFormatting sqref="AJ239">
    <cfRule type="cellIs" dxfId="1339" priority="895" operator="equal">
      <formula>"SD"</formula>
    </cfRule>
    <cfRule type="cellIs" dxfId="1338" priority="896" operator="equal">
      <formula>"NO"</formula>
    </cfRule>
    <cfRule type="cellIs" dxfId="1337" priority="897" operator="equal">
      <formula>"SI"</formula>
    </cfRule>
  </conditionalFormatting>
  <conditionalFormatting sqref="AX239 BA239">
    <cfRule type="cellIs" dxfId="1336" priority="892" operator="equal">
      <formula>"SD"</formula>
    </cfRule>
    <cfRule type="cellIs" dxfId="1335" priority="893" operator="equal">
      <formula>"NO"</formula>
    </cfRule>
    <cfRule type="cellIs" dxfId="1334" priority="894" operator="equal">
      <formula>"SI"</formula>
    </cfRule>
  </conditionalFormatting>
  <conditionalFormatting sqref="AY239">
    <cfRule type="containsText" dxfId="1333" priority="887" operator="containsText" text="SD">
      <formula>NOT(ISERROR(SEARCH("SD",AY239)))</formula>
    </cfRule>
    <cfRule type="containsText" dxfId="1332" priority="888" operator="containsText" text="SI, NO CONTROLADA">
      <formula>NOT(ISERROR(SEARCH("SI, NO CONTROLADA",AY239)))</formula>
    </cfRule>
    <cfRule type="containsText" dxfId="1331" priority="889" operator="containsText" text="SI, SIN MANEJO">
      <formula>NOT(ISERROR(SEARCH("SI, SIN MANEJO",AY239)))</formula>
    </cfRule>
    <cfRule type="containsText" dxfId="1330" priority="890" operator="containsText" text="SI, CONTROLADA">
      <formula>NOT(ISERROR(SEARCH("SI, CONTROLADA",AY239)))</formula>
    </cfRule>
    <cfRule type="containsText" dxfId="1329" priority="891" operator="containsText" text="NO">
      <formula>NOT(ISERROR(SEARCH("NO",AY239)))</formula>
    </cfRule>
  </conditionalFormatting>
  <conditionalFormatting sqref="AZ239">
    <cfRule type="containsText" dxfId="1328" priority="882" operator="containsText" text="SD">
      <formula>NOT(ISERROR(SEARCH("SD",AZ239)))</formula>
    </cfRule>
    <cfRule type="containsText" dxfId="1327" priority="883" operator="containsText" text="SI, NO CONTROLADA">
      <formula>NOT(ISERROR(SEARCH("SI, NO CONTROLADA",AZ239)))</formula>
    </cfRule>
    <cfRule type="containsText" dxfId="1326" priority="884" operator="containsText" text="SI, SIN MANEJO">
      <formula>NOT(ISERROR(SEARCH("SI, SIN MANEJO",AZ239)))</formula>
    </cfRule>
    <cfRule type="containsText" dxfId="1325" priority="885" operator="containsText" text="SI, CONTROLADA">
      <formula>NOT(ISERROR(SEARCH("SI, CONTROLADA",AZ239)))</formula>
    </cfRule>
    <cfRule type="containsText" dxfId="1324" priority="886" operator="containsText" text="NO">
      <formula>NOT(ISERROR(SEARCH("NO",AZ239)))</formula>
    </cfRule>
  </conditionalFormatting>
  <conditionalFormatting sqref="BB239">
    <cfRule type="cellIs" dxfId="1323" priority="879" operator="equal">
      <formula>"SD"</formula>
    </cfRule>
    <cfRule type="cellIs" dxfId="1322" priority="880" operator="equal">
      <formula>"NO"</formula>
    </cfRule>
    <cfRule type="cellIs" dxfId="1321" priority="881" operator="equal">
      <formula>"SI"</formula>
    </cfRule>
  </conditionalFormatting>
  <conditionalFormatting sqref="BC239">
    <cfRule type="cellIs" dxfId="1320" priority="876" operator="equal">
      <formula>"SD"</formula>
    </cfRule>
    <cfRule type="cellIs" dxfId="1319" priority="877" operator="equal">
      <formula>"NO"</formula>
    </cfRule>
    <cfRule type="cellIs" dxfId="1318" priority="878" operator="equal">
      <formula>"SI"</formula>
    </cfRule>
  </conditionalFormatting>
  <conditionalFormatting sqref="BF239">
    <cfRule type="cellIs" dxfId="1317" priority="873" operator="equal">
      <formula>"SD"</formula>
    </cfRule>
    <cfRule type="cellIs" dxfId="1316" priority="874" operator="equal">
      <formula>"NO"</formula>
    </cfRule>
    <cfRule type="cellIs" dxfId="1315" priority="875" operator="equal">
      <formula>"SI"</formula>
    </cfRule>
  </conditionalFormatting>
  <conditionalFormatting sqref="BD239:BE239">
    <cfRule type="cellIs" dxfId="1314" priority="870" operator="equal">
      <formula>"SD"</formula>
    </cfRule>
    <cfRule type="cellIs" dxfId="1313" priority="871" operator="equal">
      <formula>"NO"</formula>
    </cfRule>
    <cfRule type="cellIs" dxfId="1312" priority="872" operator="equal">
      <formula>"SI"</formula>
    </cfRule>
  </conditionalFormatting>
  <conditionalFormatting sqref="BE239">
    <cfRule type="expression" dxfId="1311" priority="869">
      <formula>IF(AND(FA239&gt;=126,FC239&lt;24),1,0)</formula>
    </cfRule>
  </conditionalFormatting>
  <conditionalFormatting sqref="BG239">
    <cfRule type="cellIs" dxfId="1310" priority="866" operator="equal">
      <formula>"SD"</formula>
    </cfRule>
    <cfRule type="cellIs" dxfId="1309" priority="867" operator="equal">
      <formula>"NO"</formula>
    </cfRule>
    <cfRule type="cellIs" dxfId="1308" priority="868" operator="equal">
      <formula>"SI"</formula>
    </cfRule>
  </conditionalFormatting>
  <conditionalFormatting sqref="BH239">
    <cfRule type="cellIs" dxfId="1307" priority="863" operator="equal">
      <formula>"SD"</formula>
    </cfRule>
    <cfRule type="cellIs" dxfId="1306" priority="864" operator="equal">
      <formula>"NO"</formula>
    </cfRule>
    <cfRule type="cellIs" dxfId="1305" priority="865" operator="equal">
      <formula>"SI"</formula>
    </cfRule>
  </conditionalFormatting>
  <conditionalFormatting sqref="BI239">
    <cfRule type="cellIs" dxfId="1304" priority="860" operator="equal">
      <formula>"SD"</formula>
    </cfRule>
    <cfRule type="cellIs" dxfId="1303" priority="861" operator="equal">
      <formula>"NO"</formula>
    </cfRule>
    <cfRule type="cellIs" dxfId="1302" priority="862" operator="equal">
      <formula>"SI"</formula>
    </cfRule>
  </conditionalFormatting>
  <conditionalFormatting sqref="BJ239">
    <cfRule type="cellIs" dxfId="1301" priority="857" operator="equal">
      <formula>"SD"</formula>
    </cfRule>
    <cfRule type="cellIs" dxfId="1300" priority="858" operator="equal">
      <formula>"NO"</formula>
    </cfRule>
    <cfRule type="cellIs" dxfId="1299" priority="859" operator="equal">
      <formula>"SI"</formula>
    </cfRule>
  </conditionalFormatting>
  <conditionalFormatting sqref="BL239:BM239">
    <cfRule type="cellIs" dxfId="1298" priority="854" operator="equal">
      <formula>"SD"</formula>
    </cfRule>
    <cfRule type="cellIs" dxfId="1297" priority="855" operator="equal">
      <formula>"NO"</formula>
    </cfRule>
    <cfRule type="cellIs" dxfId="1296" priority="856" operator="equal">
      <formula>"SI"</formula>
    </cfRule>
  </conditionalFormatting>
  <conditionalFormatting sqref="BK239">
    <cfRule type="cellIs" dxfId="1295" priority="851" operator="equal">
      <formula>"SD"</formula>
    </cfRule>
    <cfRule type="cellIs" dxfId="1294" priority="852" operator="equal">
      <formula>"NO"</formula>
    </cfRule>
    <cfRule type="cellIs" dxfId="1293" priority="853" operator="equal">
      <formula>"SI"</formula>
    </cfRule>
  </conditionalFormatting>
  <conditionalFormatting sqref="L240">
    <cfRule type="containsText" dxfId="1292" priority="842" operator="containsText" text="Empleo informal">
      <formula>NOT(ISERROR(SEARCH("Empleo informal",L240)))</formula>
    </cfRule>
    <cfRule type="containsText" dxfId="1291" priority="843" operator="containsText" text="Empleada formalmente con riesgo a tóxicos">
      <formula>NOT(ISERROR(SEARCH("Empleada formalmente con riesgo a tóxicos",L240)))</formula>
    </cfRule>
    <cfRule type="containsText" dxfId="1290" priority="844" operator="containsText" text="Empleada formalmente con riesgo de accidente laboral">
      <formula>NOT(ISERROR(SEARCH("Empleada formalmente con riesgo de accidente laboral",L240)))</formula>
    </cfRule>
    <cfRule type="containsText" dxfId="1289" priority="845" operator="containsText" text="Empleada formalmente por jornada laboral extensa">
      <formula>NOT(ISERROR(SEARCH("Empleada formalmente por jornada laboral extensa",L240)))</formula>
    </cfRule>
    <cfRule type="containsText" dxfId="1288" priority="846" operator="containsText" text="Empleada formalmente sin riesgo">
      <formula>NOT(ISERROR(SEARCH("Empleada formalmente sin riesgo",L240)))</formula>
    </cfRule>
    <cfRule type="containsText" dxfId="1287" priority="847" operator="containsText" text="Actualmente desempleada">
      <formula>NOT(ISERROR(SEARCH("Actualmente desempleada",L240)))</formula>
    </cfRule>
    <cfRule type="containsText" dxfId="1286" priority="848" operator="containsText" text="Hogar sin apoyo">
      <formula>NOT(ISERROR(SEARCH("Hogar sin apoyo",L240)))</formula>
    </cfRule>
    <cfRule type="containsText" dxfId="1285" priority="849" operator="containsText" text="Empleada formalmente sin riesgo">
      <formula>NOT(ISERROR(SEARCH("Empleada formalmente sin riesgo",L240)))</formula>
    </cfRule>
    <cfRule type="containsText" dxfId="1284" priority="850" operator="containsText" text="Hogar Con apoyo">
      <formula>NOT(ISERROR(SEARCH("Hogar Con apoyo",L240)))</formula>
    </cfRule>
  </conditionalFormatting>
  <conditionalFormatting sqref="AC240">
    <cfRule type="containsText" dxfId="1283" priority="838" operator="containsText" text="SABE">
      <formula>NOT(ISERROR(SEARCH("SABE",AC240)))</formula>
    </cfRule>
    <cfRule type="containsText" dxfId="1282" priority="839" operator="containsText" text="SECUNDARIA">
      <formula>NOT(ISERROR(SEARCH("SECUNDARIA",AC240)))</formula>
    </cfRule>
    <cfRule type="containsText" dxfId="1281" priority="840" operator="containsText" text="PRIMARIA INCOMPLETA">
      <formula>NOT(ISERROR(SEARCH("PRIMARIA INCOMPLETA",AC240)))</formula>
    </cfRule>
    <cfRule type="cellIs" dxfId="1280" priority="841" operator="equal">
      <formula>"ANALFABETA"</formula>
    </cfRule>
  </conditionalFormatting>
  <conditionalFormatting sqref="AD240">
    <cfRule type="containsText" dxfId="1279" priority="835" operator="containsText" text="No Consume">
      <formula>NOT(ISERROR(SEARCH("No Consume",AD240)))</formula>
    </cfRule>
    <cfRule type="containsText" dxfId="1278" priority="836" operator="containsText" text="Hasta Antes de la Gestación">
      <formula>NOT(ISERROR(SEARCH("Hasta Antes de la Gestación",AD240)))</formula>
    </cfRule>
    <cfRule type="containsText" dxfId="1277" priority="837" operator="containsText" text="Consumo Actual">
      <formula>NOT(ISERROR(SEARCH("Consumo Actual",AD240)))</formula>
    </cfRule>
  </conditionalFormatting>
  <conditionalFormatting sqref="AE240:AF240">
    <cfRule type="containsText" dxfId="1276" priority="833" operator="containsText" text="NO">
      <formula>NOT(ISERROR(SEARCH("NO",AE240)))</formula>
    </cfRule>
    <cfRule type="containsText" dxfId="1275" priority="834" operator="containsText" text="SI">
      <formula>NOT(ISERROR(SEARCH("SI",AE240)))</formula>
    </cfRule>
  </conditionalFormatting>
  <conditionalFormatting sqref="AL240:AR240">
    <cfRule type="cellIs" dxfId="1274" priority="830" operator="equal">
      <formula>"SD"</formula>
    </cfRule>
    <cfRule type="cellIs" dxfId="1273" priority="831" operator="equal">
      <formula>"NO"</formula>
    </cfRule>
    <cfRule type="cellIs" dxfId="1272" priority="832" operator="equal">
      <formula>"SI"</formula>
    </cfRule>
  </conditionalFormatting>
  <conditionalFormatting sqref="AK240">
    <cfRule type="containsText" dxfId="1271" priority="827" operator="containsText" text="COMPLETAR EVALUACIÓN">
      <formula>NOT(ISERROR(SEARCH("COMPLETAR EVALUACIÓN",AK240)))</formula>
    </cfRule>
    <cfRule type="containsText" dxfId="1270" priority="828" operator="containsText" text="CON RIESGO">
      <formula>NOT(ISERROR(SEARCH("CON RIESGO",AK240)))</formula>
    </cfRule>
    <cfRule type="containsText" dxfId="1269" priority="829" operator="containsText" text="SIN RIESGO">
      <formula>NOT(ISERROR(SEARCH("SIN RIESGO",AK240)))</formula>
    </cfRule>
  </conditionalFormatting>
  <conditionalFormatting sqref="AG240:AH240">
    <cfRule type="cellIs" dxfId="1268" priority="824" operator="equal">
      <formula>"SD"</formula>
    </cfRule>
    <cfRule type="cellIs" dxfId="1267" priority="825" operator="equal">
      <formula>"NO"</formula>
    </cfRule>
    <cfRule type="cellIs" dxfId="1266" priority="826" operator="equal">
      <formula>"SI"</formula>
    </cfRule>
  </conditionalFormatting>
  <conditionalFormatting sqref="AI240">
    <cfRule type="containsText" dxfId="1265" priority="819" operator="containsText" text="HABITANTE DE CALLE">
      <formula>NOT(ISERROR(SEARCH("HABITANTE DE CALLE",AI240)))</formula>
    </cfRule>
    <cfRule type="containsText" dxfId="1264" priority="820" operator="containsText" text="NINGUNO">
      <formula>NOT(ISERROR(SEARCH("NINGUNO",AI240)))</formula>
    </cfRule>
    <cfRule type="containsText" dxfId="1263" priority="821" operator="containsText" text="MIGRATORIA">
      <formula>NOT(ISERROR(SEARCH("MIGRATORIA",AI240)))</formula>
    </cfRule>
    <cfRule type="containsText" dxfId="1262" priority="822" operator="containsText" text="DISCAPACIDAD">
      <formula>NOT(ISERROR(SEARCH("DISCAPACIDAD",AI240)))</formula>
    </cfRule>
    <cfRule type="containsText" dxfId="1261" priority="823" operator="containsText" text="DESPLAZADA">
      <formula>NOT(ISERROR(SEARCH("DESPLAZADA",AI240)))</formula>
    </cfRule>
  </conditionalFormatting>
  <conditionalFormatting sqref="AJ240">
    <cfRule type="cellIs" dxfId="1260" priority="816" operator="equal">
      <formula>"SD"</formula>
    </cfRule>
    <cfRule type="cellIs" dxfId="1259" priority="817" operator="equal">
      <formula>"NO"</formula>
    </cfRule>
    <cfRule type="cellIs" dxfId="1258" priority="818" operator="equal">
      <formula>"SI"</formula>
    </cfRule>
  </conditionalFormatting>
  <conditionalFormatting sqref="AS240:AW240">
    <cfRule type="cellIs" dxfId="1257" priority="813" operator="equal">
      <formula>"SD"</formula>
    </cfRule>
    <cfRule type="cellIs" dxfId="1256" priority="814" operator="equal">
      <formula>"NO"</formula>
    </cfRule>
    <cfRule type="cellIs" dxfId="1255" priority="815" operator="equal">
      <formula>"SI"</formula>
    </cfRule>
  </conditionalFormatting>
  <conditionalFormatting sqref="AW240">
    <cfRule type="cellIs" dxfId="1254" priority="810" operator="equal">
      <formula>1</formula>
    </cfRule>
    <cfRule type="cellIs" dxfId="1253" priority="811" operator="equal">
      <formula>"3 O MAS"</formula>
    </cfRule>
    <cfRule type="cellIs" dxfId="1252" priority="812" operator="equal">
      <formula>2</formula>
    </cfRule>
  </conditionalFormatting>
  <conditionalFormatting sqref="AX240 BA240">
    <cfRule type="cellIs" dxfId="1251" priority="807" operator="equal">
      <formula>"SD"</formula>
    </cfRule>
    <cfRule type="cellIs" dxfId="1250" priority="808" operator="equal">
      <formula>"NO"</formula>
    </cfRule>
    <cfRule type="cellIs" dxfId="1249" priority="809" operator="equal">
      <formula>"SI"</formula>
    </cfRule>
  </conditionalFormatting>
  <conditionalFormatting sqref="AY240">
    <cfRule type="containsText" dxfId="1248" priority="802" operator="containsText" text="SD">
      <formula>NOT(ISERROR(SEARCH("SD",AY240)))</formula>
    </cfRule>
    <cfRule type="containsText" dxfId="1247" priority="803" operator="containsText" text="SI, NO CONTROLADA">
      <formula>NOT(ISERROR(SEARCH("SI, NO CONTROLADA",AY240)))</formula>
    </cfRule>
    <cfRule type="containsText" dxfId="1246" priority="804" operator="containsText" text="SI, SIN MANEJO">
      <formula>NOT(ISERROR(SEARCH("SI, SIN MANEJO",AY240)))</formula>
    </cfRule>
    <cfRule type="containsText" dxfId="1245" priority="805" operator="containsText" text="SI, CONTROLADA">
      <formula>NOT(ISERROR(SEARCH("SI, CONTROLADA",AY240)))</formula>
    </cfRule>
    <cfRule type="containsText" dxfId="1244" priority="806" operator="containsText" text="NO">
      <formula>NOT(ISERROR(SEARCH("NO",AY240)))</formula>
    </cfRule>
  </conditionalFormatting>
  <conditionalFormatting sqref="AZ240">
    <cfRule type="containsText" dxfId="1243" priority="797" operator="containsText" text="SD">
      <formula>NOT(ISERROR(SEARCH("SD",AZ240)))</formula>
    </cfRule>
    <cfRule type="containsText" dxfId="1242" priority="798" operator="containsText" text="SI, NO CONTROLADA">
      <formula>NOT(ISERROR(SEARCH("SI, NO CONTROLADA",AZ240)))</formula>
    </cfRule>
    <cfRule type="containsText" dxfId="1241" priority="799" operator="containsText" text="SI, SIN MANEJO">
      <formula>NOT(ISERROR(SEARCH("SI, SIN MANEJO",AZ240)))</formula>
    </cfRule>
    <cfRule type="containsText" dxfId="1240" priority="800" operator="containsText" text="SI, CONTROLADA">
      <formula>NOT(ISERROR(SEARCH("SI, CONTROLADA",AZ240)))</formula>
    </cfRule>
    <cfRule type="containsText" dxfId="1239" priority="801" operator="containsText" text="NO">
      <formula>NOT(ISERROR(SEARCH("NO",AZ240)))</formula>
    </cfRule>
  </conditionalFormatting>
  <conditionalFormatting sqref="BB240">
    <cfRule type="cellIs" dxfId="1238" priority="794" operator="equal">
      <formula>"SD"</formula>
    </cfRule>
    <cfRule type="cellIs" dxfId="1237" priority="795" operator="equal">
      <formula>"NO"</formula>
    </cfRule>
    <cfRule type="cellIs" dxfId="1236" priority="796" operator="equal">
      <formula>"SI"</formula>
    </cfRule>
  </conditionalFormatting>
  <conditionalFormatting sqref="BC240">
    <cfRule type="cellIs" dxfId="1235" priority="791" operator="equal">
      <formula>"SD"</formula>
    </cfRule>
    <cfRule type="cellIs" dxfId="1234" priority="792" operator="equal">
      <formula>"NO"</formula>
    </cfRule>
    <cfRule type="cellIs" dxfId="1233" priority="793" operator="equal">
      <formula>"SI"</formula>
    </cfRule>
  </conditionalFormatting>
  <conditionalFormatting sqref="BF240">
    <cfRule type="cellIs" dxfId="1232" priority="788" operator="equal">
      <formula>"SD"</formula>
    </cfRule>
    <cfRule type="cellIs" dxfId="1231" priority="789" operator="equal">
      <formula>"NO"</formula>
    </cfRule>
    <cfRule type="cellIs" dxfId="1230" priority="790" operator="equal">
      <formula>"SI"</formula>
    </cfRule>
  </conditionalFormatting>
  <conditionalFormatting sqref="BD240:BE240">
    <cfRule type="cellIs" dxfId="1229" priority="785" operator="equal">
      <formula>"SD"</formula>
    </cfRule>
    <cfRule type="cellIs" dxfId="1228" priority="786" operator="equal">
      <formula>"NO"</formula>
    </cfRule>
    <cfRule type="cellIs" dxfId="1227" priority="787" operator="equal">
      <formula>"SI"</formula>
    </cfRule>
  </conditionalFormatting>
  <conditionalFormatting sqref="BE240">
    <cfRule type="expression" dxfId="1226" priority="784">
      <formula>IF(AND(FA240&gt;=126,FC240&lt;24),1,0)</formula>
    </cfRule>
  </conditionalFormatting>
  <conditionalFormatting sqref="BG240">
    <cfRule type="cellIs" dxfId="1225" priority="781" operator="equal">
      <formula>"SD"</formula>
    </cfRule>
    <cfRule type="cellIs" dxfId="1224" priority="782" operator="equal">
      <formula>"NO"</formula>
    </cfRule>
    <cfRule type="cellIs" dxfId="1223" priority="783" operator="equal">
      <formula>"SI"</formula>
    </cfRule>
  </conditionalFormatting>
  <conditionalFormatting sqref="BH240">
    <cfRule type="cellIs" dxfId="1222" priority="778" operator="equal">
      <formula>"SD"</formula>
    </cfRule>
    <cfRule type="cellIs" dxfId="1221" priority="779" operator="equal">
      <formula>"NO"</formula>
    </cfRule>
    <cfRule type="cellIs" dxfId="1220" priority="780" operator="equal">
      <formula>"SI"</formula>
    </cfRule>
  </conditionalFormatting>
  <conditionalFormatting sqref="BI240">
    <cfRule type="cellIs" dxfId="1219" priority="775" operator="equal">
      <formula>"SD"</formula>
    </cfRule>
    <cfRule type="cellIs" dxfId="1218" priority="776" operator="equal">
      <formula>"NO"</formula>
    </cfRule>
    <cfRule type="cellIs" dxfId="1217" priority="777" operator="equal">
      <formula>"SI"</formula>
    </cfRule>
  </conditionalFormatting>
  <conditionalFormatting sqref="BJ240">
    <cfRule type="cellIs" dxfId="1216" priority="772" operator="equal">
      <formula>"SD"</formula>
    </cfRule>
    <cfRule type="cellIs" dxfId="1215" priority="773" operator="equal">
      <formula>"NO"</formula>
    </cfRule>
    <cfRule type="cellIs" dxfId="1214" priority="774" operator="equal">
      <formula>"SI"</formula>
    </cfRule>
  </conditionalFormatting>
  <conditionalFormatting sqref="BL240:BM240">
    <cfRule type="cellIs" dxfId="1213" priority="769" operator="equal">
      <formula>"SD"</formula>
    </cfRule>
    <cfRule type="cellIs" dxfId="1212" priority="770" operator="equal">
      <formula>"NO"</formula>
    </cfRule>
    <cfRule type="cellIs" dxfId="1211" priority="771" operator="equal">
      <formula>"SI"</formula>
    </cfRule>
  </conditionalFormatting>
  <conditionalFormatting sqref="BK240">
    <cfRule type="cellIs" dxfId="1210" priority="766" operator="equal">
      <formula>"SD"</formula>
    </cfRule>
    <cfRule type="cellIs" dxfId="1209" priority="767" operator="equal">
      <formula>"NO"</formula>
    </cfRule>
    <cfRule type="cellIs" dxfId="1208" priority="768" operator="equal">
      <formula>"SI"</formula>
    </cfRule>
  </conditionalFormatting>
  <conditionalFormatting sqref="L241">
    <cfRule type="containsText" dxfId="1207" priority="757" operator="containsText" text="Empleo informal">
      <formula>NOT(ISERROR(SEARCH("Empleo informal",L241)))</formula>
    </cfRule>
    <cfRule type="containsText" dxfId="1206" priority="758" operator="containsText" text="Empleada formalmente con riesgo a tóxicos">
      <formula>NOT(ISERROR(SEARCH("Empleada formalmente con riesgo a tóxicos",L241)))</formula>
    </cfRule>
    <cfRule type="containsText" dxfId="1205" priority="759" operator="containsText" text="Empleada formalmente con riesgo de accidente laboral">
      <formula>NOT(ISERROR(SEARCH("Empleada formalmente con riesgo de accidente laboral",L241)))</formula>
    </cfRule>
    <cfRule type="containsText" dxfId="1204" priority="760" operator="containsText" text="Empleada formalmente por jornada laboral extensa">
      <formula>NOT(ISERROR(SEARCH("Empleada formalmente por jornada laboral extensa",L241)))</formula>
    </cfRule>
    <cfRule type="containsText" dxfId="1203" priority="761" operator="containsText" text="Empleada formalmente sin riesgo">
      <formula>NOT(ISERROR(SEARCH("Empleada formalmente sin riesgo",L241)))</formula>
    </cfRule>
    <cfRule type="containsText" dxfId="1202" priority="762" operator="containsText" text="Actualmente desempleada">
      <formula>NOT(ISERROR(SEARCH("Actualmente desempleada",L241)))</formula>
    </cfRule>
    <cfRule type="containsText" dxfId="1201" priority="763" operator="containsText" text="Hogar sin apoyo">
      <formula>NOT(ISERROR(SEARCH("Hogar sin apoyo",L241)))</formula>
    </cfRule>
    <cfRule type="containsText" dxfId="1200" priority="764" operator="containsText" text="Empleada formalmente sin riesgo">
      <formula>NOT(ISERROR(SEARCH("Empleada formalmente sin riesgo",L241)))</formula>
    </cfRule>
    <cfRule type="containsText" dxfId="1199" priority="765" operator="containsText" text="Hogar Con apoyo">
      <formula>NOT(ISERROR(SEARCH("Hogar Con apoyo",L241)))</formula>
    </cfRule>
  </conditionalFormatting>
  <conditionalFormatting sqref="AC241">
    <cfRule type="containsText" dxfId="1198" priority="753" operator="containsText" text="SABE">
      <formula>NOT(ISERROR(SEARCH("SABE",AC241)))</formula>
    </cfRule>
    <cfRule type="containsText" dxfId="1197" priority="754" operator="containsText" text="SECUNDARIA">
      <formula>NOT(ISERROR(SEARCH("SECUNDARIA",AC241)))</formula>
    </cfRule>
    <cfRule type="containsText" dxfId="1196" priority="755" operator="containsText" text="PRIMARIA INCOMPLETA">
      <formula>NOT(ISERROR(SEARCH("PRIMARIA INCOMPLETA",AC241)))</formula>
    </cfRule>
    <cfRule type="cellIs" dxfId="1195" priority="756" operator="equal">
      <formula>"ANALFABETA"</formula>
    </cfRule>
  </conditionalFormatting>
  <conditionalFormatting sqref="AD241">
    <cfRule type="containsText" dxfId="1194" priority="750" operator="containsText" text="No Consume">
      <formula>NOT(ISERROR(SEARCH("No Consume",AD241)))</formula>
    </cfRule>
    <cfRule type="containsText" dxfId="1193" priority="751" operator="containsText" text="Hasta Antes de la Gestación">
      <formula>NOT(ISERROR(SEARCH("Hasta Antes de la Gestación",AD241)))</formula>
    </cfRule>
    <cfRule type="containsText" dxfId="1192" priority="752" operator="containsText" text="Consumo Actual">
      <formula>NOT(ISERROR(SEARCH("Consumo Actual",AD241)))</formula>
    </cfRule>
  </conditionalFormatting>
  <conditionalFormatting sqref="AE241:AF241">
    <cfRule type="containsText" dxfId="1191" priority="748" operator="containsText" text="NO">
      <formula>NOT(ISERROR(SEARCH("NO",AE241)))</formula>
    </cfRule>
    <cfRule type="containsText" dxfId="1190" priority="749" operator="containsText" text="SI">
      <formula>NOT(ISERROR(SEARCH("SI",AE241)))</formula>
    </cfRule>
  </conditionalFormatting>
  <conditionalFormatting sqref="AL241:AR241">
    <cfRule type="cellIs" dxfId="1189" priority="745" operator="equal">
      <formula>"SD"</formula>
    </cfRule>
    <cfRule type="cellIs" dxfId="1188" priority="746" operator="equal">
      <formula>"NO"</formula>
    </cfRule>
    <cfRule type="cellIs" dxfId="1187" priority="747" operator="equal">
      <formula>"SI"</formula>
    </cfRule>
  </conditionalFormatting>
  <conditionalFormatting sqref="AK241">
    <cfRule type="containsText" dxfId="1186" priority="742" operator="containsText" text="COMPLETAR EVALUACIÓN">
      <formula>NOT(ISERROR(SEARCH("COMPLETAR EVALUACIÓN",AK241)))</formula>
    </cfRule>
    <cfRule type="containsText" dxfId="1185" priority="743" operator="containsText" text="CON RIESGO">
      <formula>NOT(ISERROR(SEARCH("CON RIESGO",AK241)))</formula>
    </cfRule>
    <cfRule type="containsText" dxfId="1184" priority="744" operator="containsText" text="SIN RIESGO">
      <formula>NOT(ISERROR(SEARCH("SIN RIESGO",AK241)))</formula>
    </cfRule>
  </conditionalFormatting>
  <conditionalFormatting sqref="AG241:AH241">
    <cfRule type="cellIs" dxfId="1183" priority="739" operator="equal">
      <formula>"SD"</formula>
    </cfRule>
    <cfRule type="cellIs" dxfId="1182" priority="740" operator="equal">
      <formula>"NO"</formula>
    </cfRule>
    <cfRule type="cellIs" dxfId="1181" priority="741" operator="equal">
      <formula>"SI"</formula>
    </cfRule>
  </conditionalFormatting>
  <conditionalFormatting sqref="AI241">
    <cfRule type="containsText" dxfId="1180" priority="734" operator="containsText" text="HABITANTE DE CALLE">
      <formula>NOT(ISERROR(SEARCH("HABITANTE DE CALLE",AI241)))</formula>
    </cfRule>
    <cfRule type="containsText" dxfId="1179" priority="735" operator="containsText" text="NINGUNO">
      <formula>NOT(ISERROR(SEARCH("NINGUNO",AI241)))</formula>
    </cfRule>
    <cfRule type="containsText" dxfId="1178" priority="736" operator="containsText" text="MIGRATORIA">
      <formula>NOT(ISERROR(SEARCH("MIGRATORIA",AI241)))</formula>
    </cfRule>
    <cfRule type="containsText" dxfId="1177" priority="737" operator="containsText" text="DISCAPACIDAD">
      <formula>NOT(ISERROR(SEARCH("DISCAPACIDAD",AI241)))</formula>
    </cfRule>
    <cfRule type="containsText" dxfId="1176" priority="738" operator="containsText" text="DESPLAZADA">
      <formula>NOT(ISERROR(SEARCH("DESPLAZADA",AI241)))</formula>
    </cfRule>
  </conditionalFormatting>
  <conditionalFormatting sqref="AJ241">
    <cfRule type="cellIs" dxfId="1175" priority="731" operator="equal">
      <formula>"SD"</formula>
    </cfRule>
    <cfRule type="cellIs" dxfId="1174" priority="732" operator="equal">
      <formula>"NO"</formula>
    </cfRule>
    <cfRule type="cellIs" dxfId="1173" priority="733" operator="equal">
      <formula>"SI"</formula>
    </cfRule>
  </conditionalFormatting>
  <conditionalFormatting sqref="AT241:AW241">
    <cfRule type="cellIs" dxfId="1172" priority="728" operator="equal">
      <formula>"SD"</formula>
    </cfRule>
    <cfRule type="cellIs" dxfId="1171" priority="729" operator="equal">
      <formula>"NO"</formula>
    </cfRule>
    <cfRule type="cellIs" dxfId="1170" priority="730" operator="equal">
      <formula>"SI"</formula>
    </cfRule>
  </conditionalFormatting>
  <conditionalFormatting sqref="AW241">
    <cfRule type="cellIs" dxfId="1169" priority="725" operator="equal">
      <formula>1</formula>
    </cfRule>
    <cfRule type="cellIs" dxfId="1168" priority="726" operator="equal">
      <formula>"3 O MAS"</formula>
    </cfRule>
    <cfRule type="cellIs" dxfId="1167" priority="727" operator="equal">
      <formula>2</formula>
    </cfRule>
  </conditionalFormatting>
  <conditionalFormatting sqref="AX241 BA241">
    <cfRule type="cellIs" dxfId="1166" priority="722" operator="equal">
      <formula>"SD"</formula>
    </cfRule>
    <cfRule type="cellIs" dxfId="1165" priority="723" operator="equal">
      <formula>"NO"</formula>
    </cfRule>
    <cfRule type="cellIs" dxfId="1164" priority="724" operator="equal">
      <formula>"SI"</formula>
    </cfRule>
  </conditionalFormatting>
  <conditionalFormatting sqref="AY241">
    <cfRule type="containsText" dxfId="1163" priority="717" operator="containsText" text="SD">
      <formula>NOT(ISERROR(SEARCH("SD",AY241)))</formula>
    </cfRule>
    <cfRule type="containsText" dxfId="1162" priority="718" operator="containsText" text="SI, NO CONTROLADA">
      <formula>NOT(ISERROR(SEARCH("SI, NO CONTROLADA",AY241)))</formula>
    </cfRule>
    <cfRule type="containsText" dxfId="1161" priority="719" operator="containsText" text="SI, SIN MANEJO">
      <formula>NOT(ISERROR(SEARCH("SI, SIN MANEJO",AY241)))</formula>
    </cfRule>
    <cfRule type="containsText" dxfId="1160" priority="720" operator="containsText" text="SI, CONTROLADA">
      <formula>NOT(ISERROR(SEARCH("SI, CONTROLADA",AY241)))</formula>
    </cfRule>
    <cfRule type="containsText" dxfId="1159" priority="721" operator="containsText" text="NO">
      <formula>NOT(ISERROR(SEARCH("NO",AY241)))</formula>
    </cfRule>
  </conditionalFormatting>
  <conditionalFormatting sqref="AZ241">
    <cfRule type="containsText" dxfId="1158" priority="712" operator="containsText" text="SD">
      <formula>NOT(ISERROR(SEARCH("SD",AZ241)))</formula>
    </cfRule>
    <cfRule type="containsText" dxfId="1157" priority="713" operator="containsText" text="SI, NO CONTROLADA">
      <formula>NOT(ISERROR(SEARCH("SI, NO CONTROLADA",AZ241)))</formula>
    </cfRule>
    <cfRule type="containsText" dxfId="1156" priority="714" operator="containsText" text="SI, SIN MANEJO">
      <formula>NOT(ISERROR(SEARCH("SI, SIN MANEJO",AZ241)))</formula>
    </cfRule>
    <cfRule type="containsText" dxfId="1155" priority="715" operator="containsText" text="SI, CONTROLADA">
      <formula>NOT(ISERROR(SEARCH("SI, CONTROLADA",AZ241)))</formula>
    </cfRule>
    <cfRule type="containsText" dxfId="1154" priority="716" operator="containsText" text="NO">
      <formula>NOT(ISERROR(SEARCH("NO",AZ241)))</formula>
    </cfRule>
  </conditionalFormatting>
  <conditionalFormatting sqref="BB241">
    <cfRule type="cellIs" dxfId="1153" priority="709" operator="equal">
      <formula>"SD"</formula>
    </cfRule>
    <cfRule type="cellIs" dxfId="1152" priority="710" operator="equal">
      <formula>"NO"</formula>
    </cfRule>
    <cfRule type="cellIs" dxfId="1151" priority="711" operator="equal">
      <formula>"SI"</formula>
    </cfRule>
  </conditionalFormatting>
  <conditionalFormatting sqref="BC241">
    <cfRule type="cellIs" dxfId="1150" priority="706" operator="equal">
      <formula>"SD"</formula>
    </cfRule>
    <cfRule type="cellIs" dxfId="1149" priority="707" operator="equal">
      <formula>"NO"</formula>
    </cfRule>
    <cfRule type="cellIs" dxfId="1148" priority="708" operator="equal">
      <formula>"SI"</formula>
    </cfRule>
  </conditionalFormatting>
  <conditionalFormatting sqref="BF241">
    <cfRule type="cellIs" dxfId="1147" priority="703" operator="equal">
      <formula>"SD"</formula>
    </cfRule>
    <cfRule type="cellIs" dxfId="1146" priority="704" operator="equal">
      <formula>"NO"</formula>
    </cfRule>
    <cfRule type="cellIs" dxfId="1145" priority="705" operator="equal">
      <formula>"SI"</formula>
    </cfRule>
  </conditionalFormatting>
  <conditionalFormatting sqref="BD241:BE241">
    <cfRule type="cellIs" dxfId="1144" priority="700" operator="equal">
      <formula>"SD"</formula>
    </cfRule>
    <cfRule type="cellIs" dxfId="1143" priority="701" operator="equal">
      <formula>"NO"</formula>
    </cfRule>
    <cfRule type="cellIs" dxfId="1142" priority="702" operator="equal">
      <formula>"SI"</formula>
    </cfRule>
  </conditionalFormatting>
  <conditionalFormatting sqref="BE241">
    <cfRule type="expression" dxfId="1141" priority="699">
      <formula>IF(AND(FA241&gt;=126,FC241&lt;24),1,0)</formula>
    </cfRule>
  </conditionalFormatting>
  <conditionalFormatting sqref="BG241">
    <cfRule type="cellIs" dxfId="1140" priority="696" operator="equal">
      <formula>"SD"</formula>
    </cfRule>
    <cfRule type="cellIs" dxfId="1139" priority="697" operator="equal">
      <formula>"NO"</formula>
    </cfRule>
    <cfRule type="cellIs" dxfId="1138" priority="698" operator="equal">
      <formula>"SI"</formula>
    </cfRule>
  </conditionalFormatting>
  <conditionalFormatting sqref="BH241">
    <cfRule type="cellIs" dxfId="1137" priority="693" operator="equal">
      <formula>"SD"</formula>
    </cfRule>
    <cfRule type="cellIs" dxfId="1136" priority="694" operator="equal">
      <formula>"NO"</formula>
    </cfRule>
    <cfRule type="cellIs" dxfId="1135" priority="695" operator="equal">
      <formula>"SI"</formula>
    </cfRule>
  </conditionalFormatting>
  <conditionalFormatting sqref="BI241">
    <cfRule type="cellIs" dxfId="1134" priority="690" operator="equal">
      <formula>"SD"</formula>
    </cfRule>
    <cfRule type="cellIs" dxfId="1133" priority="691" operator="equal">
      <formula>"NO"</formula>
    </cfRule>
    <cfRule type="cellIs" dxfId="1132" priority="692" operator="equal">
      <formula>"SI"</formula>
    </cfRule>
  </conditionalFormatting>
  <conditionalFormatting sqref="BJ241">
    <cfRule type="cellIs" dxfId="1131" priority="687" operator="equal">
      <formula>"SD"</formula>
    </cfRule>
    <cfRule type="cellIs" dxfId="1130" priority="688" operator="equal">
      <formula>"NO"</formula>
    </cfRule>
    <cfRule type="cellIs" dxfId="1129" priority="689" operator="equal">
      <formula>"SI"</formula>
    </cfRule>
  </conditionalFormatting>
  <conditionalFormatting sqref="BL241:BM241">
    <cfRule type="cellIs" dxfId="1128" priority="684" operator="equal">
      <formula>"SD"</formula>
    </cfRule>
    <cfRule type="cellIs" dxfId="1127" priority="685" operator="equal">
      <formula>"NO"</formula>
    </cfRule>
    <cfRule type="cellIs" dxfId="1126" priority="686" operator="equal">
      <formula>"SI"</formula>
    </cfRule>
  </conditionalFormatting>
  <conditionalFormatting sqref="BK241">
    <cfRule type="cellIs" dxfId="1125" priority="681" operator="equal">
      <formula>"SD"</formula>
    </cfRule>
    <cfRule type="cellIs" dxfId="1124" priority="682" operator="equal">
      <formula>"NO"</formula>
    </cfRule>
    <cfRule type="cellIs" dxfId="1123" priority="683" operator="equal">
      <formula>"SI"</formula>
    </cfRule>
  </conditionalFormatting>
  <conditionalFormatting sqref="CD162">
    <cfRule type="cellIs" dxfId="1122" priority="678" operator="equal">
      <formula>"SD"</formula>
    </cfRule>
    <cfRule type="cellIs" dxfId="1121" priority="679" operator="equal">
      <formula>"NO"</formula>
    </cfRule>
    <cfRule type="cellIs" dxfId="1120" priority="680" operator="equal">
      <formula>"SI"</formula>
    </cfRule>
  </conditionalFormatting>
  <conditionalFormatting sqref="L242">
    <cfRule type="containsText" dxfId="1119" priority="669" operator="containsText" text="Empleo informal">
      <formula>NOT(ISERROR(SEARCH("Empleo informal",L242)))</formula>
    </cfRule>
    <cfRule type="containsText" dxfId="1118" priority="670" operator="containsText" text="Empleada formalmente con riesgo a tóxicos">
      <formula>NOT(ISERROR(SEARCH("Empleada formalmente con riesgo a tóxicos",L242)))</formula>
    </cfRule>
    <cfRule type="containsText" dxfId="1117" priority="671" operator="containsText" text="Empleada formalmente con riesgo de accidente laboral">
      <formula>NOT(ISERROR(SEARCH("Empleada formalmente con riesgo de accidente laboral",L242)))</formula>
    </cfRule>
    <cfRule type="containsText" dxfId="1116" priority="672" operator="containsText" text="Empleada formalmente por jornada laboral extensa">
      <formula>NOT(ISERROR(SEARCH("Empleada formalmente por jornada laboral extensa",L242)))</formula>
    </cfRule>
    <cfRule type="containsText" dxfId="1115" priority="673" operator="containsText" text="Empleada formalmente sin riesgo">
      <formula>NOT(ISERROR(SEARCH("Empleada formalmente sin riesgo",L242)))</formula>
    </cfRule>
    <cfRule type="containsText" dxfId="1114" priority="674" operator="containsText" text="Actualmente desempleada">
      <formula>NOT(ISERROR(SEARCH("Actualmente desempleada",L242)))</formula>
    </cfRule>
    <cfRule type="containsText" dxfId="1113" priority="675" operator="containsText" text="Hogar sin apoyo">
      <formula>NOT(ISERROR(SEARCH("Hogar sin apoyo",L242)))</formula>
    </cfRule>
    <cfRule type="containsText" dxfId="1112" priority="676" operator="containsText" text="Empleada formalmente sin riesgo">
      <formula>NOT(ISERROR(SEARCH("Empleada formalmente sin riesgo",L242)))</formula>
    </cfRule>
    <cfRule type="containsText" dxfId="1111" priority="677" operator="containsText" text="Hogar Con apoyo">
      <formula>NOT(ISERROR(SEARCH("Hogar Con apoyo",L242)))</formula>
    </cfRule>
  </conditionalFormatting>
  <conditionalFormatting sqref="AS242">
    <cfRule type="cellIs" dxfId="1110" priority="666" operator="equal">
      <formula>"SD"</formula>
    </cfRule>
    <cfRule type="cellIs" dxfId="1109" priority="667" operator="equal">
      <formula>"NO"</formula>
    </cfRule>
    <cfRule type="cellIs" dxfId="1108" priority="668" operator="equal">
      <formula>"SI"</formula>
    </cfRule>
  </conditionalFormatting>
  <conditionalFormatting sqref="AC242">
    <cfRule type="containsText" dxfId="1107" priority="662" operator="containsText" text="SABE">
      <formula>NOT(ISERROR(SEARCH("SABE",AC242)))</formula>
    </cfRule>
    <cfRule type="containsText" dxfId="1106" priority="663" operator="containsText" text="SECUNDARIA">
      <formula>NOT(ISERROR(SEARCH("SECUNDARIA",AC242)))</formula>
    </cfRule>
    <cfRule type="containsText" dxfId="1105" priority="664" operator="containsText" text="PRIMARIA INCOMPLETA">
      <formula>NOT(ISERROR(SEARCH("PRIMARIA INCOMPLETA",AC242)))</formula>
    </cfRule>
    <cfRule type="cellIs" dxfId="1104" priority="665" operator="equal">
      <formula>"ANALFABETA"</formula>
    </cfRule>
  </conditionalFormatting>
  <conditionalFormatting sqref="AD242">
    <cfRule type="containsText" dxfId="1103" priority="659" operator="containsText" text="No Consume">
      <formula>NOT(ISERROR(SEARCH("No Consume",AD242)))</formula>
    </cfRule>
    <cfRule type="containsText" dxfId="1102" priority="660" operator="containsText" text="Hasta Antes de la Gestación">
      <formula>NOT(ISERROR(SEARCH("Hasta Antes de la Gestación",AD242)))</formula>
    </cfRule>
    <cfRule type="containsText" dxfId="1101" priority="661" operator="containsText" text="Consumo Actual">
      <formula>NOT(ISERROR(SEARCH("Consumo Actual",AD242)))</formula>
    </cfRule>
  </conditionalFormatting>
  <conditionalFormatting sqref="AE242:AF242">
    <cfRule type="containsText" dxfId="1100" priority="657" operator="containsText" text="NO">
      <formula>NOT(ISERROR(SEARCH("NO",AE242)))</formula>
    </cfRule>
    <cfRule type="containsText" dxfId="1099" priority="658" operator="containsText" text="SI">
      <formula>NOT(ISERROR(SEARCH("SI",AE242)))</formula>
    </cfRule>
  </conditionalFormatting>
  <conditionalFormatting sqref="AL242:AR242">
    <cfRule type="cellIs" dxfId="1098" priority="654" operator="equal">
      <formula>"SD"</formula>
    </cfRule>
    <cfRule type="cellIs" dxfId="1097" priority="655" operator="equal">
      <formula>"NO"</formula>
    </cfRule>
    <cfRule type="cellIs" dxfId="1096" priority="656" operator="equal">
      <formula>"SI"</formula>
    </cfRule>
  </conditionalFormatting>
  <conditionalFormatting sqref="AK242">
    <cfRule type="containsText" dxfId="1095" priority="651" operator="containsText" text="COMPLETAR EVALUACIÓN">
      <formula>NOT(ISERROR(SEARCH("COMPLETAR EVALUACIÓN",AK242)))</formula>
    </cfRule>
    <cfRule type="containsText" dxfId="1094" priority="652" operator="containsText" text="CON RIESGO">
      <formula>NOT(ISERROR(SEARCH("CON RIESGO",AK242)))</formula>
    </cfRule>
    <cfRule type="containsText" dxfId="1093" priority="653" operator="containsText" text="SIN RIESGO">
      <formula>NOT(ISERROR(SEARCH("SIN RIESGO",AK242)))</formula>
    </cfRule>
  </conditionalFormatting>
  <conditionalFormatting sqref="AG242:AH242">
    <cfRule type="cellIs" dxfId="1092" priority="648" operator="equal">
      <formula>"SD"</formula>
    </cfRule>
    <cfRule type="cellIs" dxfId="1091" priority="649" operator="equal">
      <formula>"NO"</formula>
    </cfRule>
    <cfRule type="cellIs" dxfId="1090" priority="650" operator="equal">
      <formula>"SI"</formula>
    </cfRule>
  </conditionalFormatting>
  <conditionalFormatting sqref="AI242">
    <cfRule type="containsText" dxfId="1089" priority="643" operator="containsText" text="HABITANTE DE CALLE">
      <formula>NOT(ISERROR(SEARCH("HABITANTE DE CALLE",AI242)))</formula>
    </cfRule>
    <cfRule type="containsText" dxfId="1088" priority="644" operator="containsText" text="NINGUNO">
      <formula>NOT(ISERROR(SEARCH("NINGUNO",AI242)))</formula>
    </cfRule>
    <cfRule type="containsText" dxfId="1087" priority="645" operator="containsText" text="MIGRATORIA">
      <formula>NOT(ISERROR(SEARCH("MIGRATORIA",AI242)))</formula>
    </cfRule>
    <cfRule type="containsText" dxfId="1086" priority="646" operator="containsText" text="DISCAPACIDAD">
      <formula>NOT(ISERROR(SEARCH("DISCAPACIDAD",AI242)))</formula>
    </cfRule>
    <cfRule type="containsText" dxfId="1085" priority="647" operator="containsText" text="DESPLAZADA">
      <formula>NOT(ISERROR(SEARCH("DESPLAZADA",AI242)))</formula>
    </cfRule>
  </conditionalFormatting>
  <conditionalFormatting sqref="AJ242">
    <cfRule type="cellIs" dxfId="1084" priority="640" operator="equal">
      <formula>"SD"</formula>
    </cfRule>
    <cfRule type="cellIs" dxfId="1083" priority="641" operator="equal">
      <formula>"NO"</formula>
    </cfRule>
    <cfRule type="cellIs" dxfId="1082" priority="642" operator="equal">
      <formula>"SI"</formula>
    </cfRule>
  </conditionalFormatting>
  <conditionalFormatting sqref="AT242:AW242">
    <cfRule type="cellIs" dxfId="1081" priority="637" operator="equal">
      <formula>"SD"</formula>
    </cfRule>
    <cfRule type="cellIs" dxfId="1080" priority="638" operator="equal">
      <formula>"NO"</formula>
    </cfRule>
    <cfRule type="cellIs" dxfId="1079" priority="639" operator="equal">
      <formula>"SI"</formula>
    </cfRule>
  </conditionalFormatting>
  <conditionalFormatting sqref="AW242">
    <cfRule type="cellIs" dxfId="1078" priority="634" operator="equal">
      <formula>1</formula>
    </cfRule>
    <cfRule type="cellIs" dxfId="1077" priority="635" operator="equal">
      <formula>"3 O MAS"</formula>
    </cfRule>
    <cfRule type="cellIs" dxfId="1076" priority="636" operator="equal">
      <formula>2</formula>
    </cfRule>
  </conditionalFormatting>
  <conditionalFormatting sqref="AX242 BA242">
    <cfRule type="cellIs" dxfId="1075" priority="631" operator="equal">
      <formula>"SD"</formula>
    </cfRule>
    <cfRule type="cellIs" dxfId="1074" priority="632" operator="equal">
      <formula>"NO"</formula>
    </cfRule>
    <cfRule type="cellIs" dxfId="1073" priority="633" operator="equal">
      <formula>"SI"</formula>
    </cfRule>
  </conditionalFormatting>
  <conditionalFormatting sqref="AY242">
    <cfRule type="containsText" dxfId="1072" priority="626" operator="containsText" text="SD">
      <formula>NOT(ISERROR(SEARCH("SD",AY242)))</formula>
    </cfRule>
    <cfRule type="containsText" dxfId="1071" priority="627" operator="containsText" text="SI, NO CONTROLADA">
      <formula>NOT(ISERROR(SEARCH("SI, NO CONTROLADA",AY242)))</formula>
    </cfRule>
    <cfRule type="containsText" dxfId="1070" priority="628" operator="containsText" text="SI, SIN MANEJO">
      <formula>NOT(ISERROR(SEARCH("SI, SIN MANEJO",AY242)))</formula>
    </cfRule>
    <cfRule type="containsText" dxfId="1069" priority="629" operator="containsText" text="SI, CONTROLADA">
      <formula>NOT(ISERROR(SEARCH("SI, CONTROLADA",AY242)))</formula>
    </cfRule>
    <cfRule type="containsText" dxfId="1068" priority="630" operator="containsText" text="NO">
      <formula>NOT(ISERROR(SEARCH("NO",AY242)))</formula>
    </cfRule>
  </conditionalFormatting>
  <conditionalFormatting sqref="AZ242">
    <cfRule type="containsText" dxfId="1067" priority="621" operator="containsText" text="SD">
      <formula>NOT(ISERROR(SEARCH("SD",AZ242)))</formula>
    </cfRule>
    <cfRule type="containsText" dxfId="1066" priority="622" operator="containsText" text="SI, NO CONTROLADA">
      <formula>NOT(ISERROR(SEARCH("SI, NO CONTROLADA",AZ242)))</formula>
    </cfRule>
    <cfRule type="containsText" dxfId="1065" priority="623" operator="containsText" text="SI, SIN MANEJO">
      <formula>NOT(ISERROR(SEARCH("SI, SIN MANEJO",AZ242)))</formula>
    </cfRule>
    <cfRule type="containsText" dxfId="1064" priority="624" operator="containsText" text="SI, CONTROLADA">
      <formula>NOT(ISERROR(SEARCH("SI, CONTROLADA",AZ242)))</formula>
    </cfRule>
    <cfRule type="containsText" dxfId="1063" priority="625" operator="containsText" text="NO">
      <formula>NOT(ISERROR(SEARCH("NO",AZ242)))</formula>
    </cfRule>
  </conditionalFormatting>
  <conditionalFormatting sqref="BB242">
    <cfRule type="cellIs" dxfId="1062" priority="618" operator="equal">
      <formula>"SD"</formula>
    </cfRule>
    <cfRule type="cellIs" dxfId="1061" priority="619" operator="equal">
      <formula>"NO"</formula>
    </cfRule>
    <cfRule type="cellIs" dxfId="1060" priority="620" operator="equal">
      <formula>"SI"</formula>
    </cfRule>
  </conditionalFormatting>
  <conditionalFormatting sqref="BC242">
    <cfRule type="cellIs" dxfId="1059" priority="615" operator="equal">
      <formula>"SD"</formula>
    </cfRule>
    <cfRule type="cellIs" dxfId="1058" priority="616" operator="equal">
      <formula>"NO"</formula>
    </cfRule>
    <cfRule type="cellIs" dxfId="1057" priority="617" operator="equal">
      <formula>"SI"</formula>
    </cfRule>
  </conditionalFormatting>
  <conditionalFormatting sqref="BF242">
    <cfRule type="cellIs" dxfId="1056" priority="612" operator="equal">
      <formula>"SD"</formula>
    </cfRule>
    <cfRule type="cellIs" dxfId="1055" priority="613" operator="equal">
      <formula>"NO"</formula>
    </cfRule>
    <cfRule type="cellIs" dxfId="1054" priority="614" operator="equal">
      <formula>"SI"</formula>
    </cfRule>
  </conditionalFormatting>
  <conditionalFormatting sqref="BD242:BE242">
    <cfRule type="cellIs" dxfId="1053" priority="609" operator="equal">
      <formula>"SD"</formula>
    </cfRule>
    <cfRule type="cellIs" dxfId="1052" priority="610" operator="equal">
      <formula>"NO"</formula>
    </cfRule>
    <cfRule type="cellIs" dxfId="1051" priority="611" operator="equal">
      <formula>"SI"</formula>
    </cfRule>
  </conditionalFormatting>
  <conditionalFormatting sqref="BE242">
    <cfRule type="expression" dxfId="1050" priority="608">
      <formula>IF(AND(FA242&gt;=126,FC242&lt;24),1,0)</formula>
    </cfRule>
  </conditionalFormatting>
  <conditionalFormatting sqref="BG242">
    <cfRule type="cellIs" dxfId="1049" priority="605" operator="equal">
      <formula>"SD"</formula>
    </cfRule>
    <cfRule type="cellIs" dxfId="1048" priority="606" operator="equal">
      <formula>"NO"</formula>
    </cfRule>
    <cfRule type="cellIs" dxfId="1047" priority="607" operator="equal">
      <formula>"SI"</formula>
    </cfRule>
  </conditionalFormatting>
  <conditionalFormatting sqref="BH242">
    <cfRule type="cellIs" dxfId="1046" priority="602" operator="equal">
      <formula>"SD"</formula>
    </cfRule>
    <cfRule type="cellIs" dxfId="1045" priority="603" operator="equal">
      <formula>"NO"</formula>
    </cfRule>
    <cfRule type="cellIs" dxfId="1044" priority="604" operator="equal">
      <formula>"SI"</formula>
    </cfRule>
  </conditionalFormatting>
  <conditionalFormatting sqref="BI242">
    <cfRule type="cellIs" dxfId="1043" priority="599" operator="equal">
      <formula>"SD"</formula>
    </cfRule>
    <cfRule type="cellIs" dxfId="1042" priority="600" operator="equal">
      <formula>"NO"</formula>
    </cfRule>
    <cfRule type="cellIs" dxfId="1041" priority="601" operator="equal">
      <formula>"SI"</formula>
    </cfRule>
  </conditionalFormatting>
  <conditionalFormatting sqref="BJ242">
    <cfRule type="cellIs" dxfId="1040" priority="596" operator="equal">
      <formula>"SD"</formula>
    </cfRule>
    <cfRule type="cellIs" dxfId="1039" priority="597" operator="equal">
      <formula>"NO"</formula>
    </cfRule>
    <cfRule type="cellIs" dxfId="1038" priority="598" operator="equal">
      <formula>"SI"</formula>
    </cfRule>
  </conditionalFormatting>
  <conditionalFormatting sqref="BL242:BM242">
    <cfRule type="cellIs" dxfId="1037" priority="593" operator="equal">
      <formula>"SD"</formula>
    </cfRule>
    <cfRule type="cellIs" dxfId="1036" priority="594" operator="equal">
      <formula>"NO"</formula>
    </cfRule>
    <cfRule type="cellIs" dxfId="1035" priority="595" operator="equal">
      <formula>"SI"</formula>
    </cfRule>
  </conditionalFormatting>
  <conditionalFormatting sqref="BK242">
    <cfRule type="cellIs" dxfId="1034" priority="590" operator="equal">
      <formula>"SD"</formula>
    </cfRule>
    <cfRule type="cellIs" dxfId="1033" priority="591" operator="equal">
      <formula>"NO"</formula>
    </cfRule>
    <cfRule type="cellIs" dxfId="1032" priority="592" operator="equal">
      <formula>"SI"</formula>
    </cfRule>
  </conditionalFormatting>
  <conditionalFormatting sqref="L243">
    <cfRule type="containsText" dxfId="1031" priority="581" operator="containsText" text="Empleo informal">
      <formula>NOT(ISERROR(SEARCH("Empleo informal",L243)))</formula>
    </cfRule>
    <cfRule type="containsText" dxfId="1030" priority="582" operator="containsText" text="Empleada formalmente con riesgo a tóxicos">
      <formula>NOT(ISERROR(SEARCH("Empleada formalmente con riesgo a tóxicos",L243)))</formula>
    </cfRule>
    <cfRule type="containsText" dxfId="1029" priority="583" operator="containsText" text="Empleada formalmente con riesgo de accidente laboral">
      <formula>NOT(ISERROR(SEARCH("Empleada formalmente con riesgo de accidente laboral",L243)))</formula>
    </cfRule>
    <cfRule type="containsText" dxfId="1028" priority="584" operator="containsText" text="Empleada formalmente por jornada laboral extensa">
      <formula>NOT(ISERROR(SEARCH("Empleada formalmente por jornada laboral extensa",L243)))</formula>
    </cfRule>
    <cfRule type="containsText" dxfId="1027" priority="585" operator="containsText" text="Empleada formalmente sin riesgo">
      <formula>NOT(ISERROR(SEARCH("Empleada formalmente sin riesgo",L243)))</formula>
    </cfRule>
    <cfRule type="containsText" dxfId="1026" priority="586" operator="containsText" text="Actualmente desempleada">
      <formula>NOT(ISERROR(SEARCH("Actualmente desempleada",L243)))</formula>
    </cfRule>
    <cfRule type="containsText" dxfId="1025" priority="587" operator="containsText" text="Hogar sin apoyo">
      <formula>NOT(ISERROR(SEARCH("Hogar sin apoyo",L243)))</formula>
    </cfRule>
    <cfRule type="containsText" dxfId="1024" priority="588" operator="containsText" text="Empleada formalmente sin riesgo">
      <formula>NOT(ISERROR(SEARCH("Empleada formalmente sin riesgo",L243)))</formula>
    </cfRule>
    <cfRule type="containsText" dxfId="1023" priority="589" operator="containsText" text="Hogar Con apoyo">
      <formula>NOT(ISERROR(SEARCH("Hogar Con apoyo",L243)))</formula>
    </cfRule>
  </conditionalFormatting>
  <conditionalFormatting sqref="AC243">
    <cfRule type="containsText" dxfId="1022" priority="577" operator="containsText" text="SABE">
      <formula>NOT(ISERROR(SEARCH("SABE",AC243)))</formula>
    </cfRule>
    <cfRule type="containsText" dxfId="1021" priority="578" operator="containsText" text="SECUNDARIA">
      <formula>NOT(ISERROR(SEARCH("SECUNDARIA",AC243)))</formula>
    </cfRule>
    <cfRule type="containsText" dxfId="1020" priority="579" operator="containsText" text="PRIMARIA INCOMPLETA">
      <formula>NOT(ISERROR(SEARCH("PRIMARIA INCOMPLETA",AC243)))</formula>
    </cfRule>
    <cfRule type="cellIs" dxfId="1019" priority="580" operator="equal">
      <formula>"ANALFABETA"</formula>
    </cfRule>
  </conditionalFormatting>
  <conditionalFormatting sqref="AD243">
    <cfRule type="containsText" dxfId="1018" priority="574" operator="containsText" text="No Consume">
      <formula>NOT(ISERROR(SEARCH("No Consume",AD243)))</formula>
    </cfRule>
    <cfRule type="containsText" dxfId="1017" priority="575" operator="containsText" text="Hasta Antes de la Gestación">
      <formula>NOT(ISERROR(SEARCH("Hasta Antes de la Gestación",AD243)))</formula>
    </cfRule>
    <cfRule type="containsText" dxfId="1016" priority="576" operator="containsText" text="Consumo Actual">
      <formula>NOT(ISERROR(SEARCH("Consumo Actual",AD243)))</formula>
    </cfRule>
  </conditionalFormatting>
  <conditionalFormatting sqref="AE243:AF243">
    <cfRule type="containsText" dxfId="1015" priority="572" operator="containsText" text="NO">
      <formula>NOT(ISERROR(SEARCH("NO",AE243)))</formula>
    </cfRule>
    <cfRule type="containsText" dxfId="1014" priority="573" operator="containsText" text="SI">
      <formula>NOT(ISERROR(SEARCH("SI",AE243)))</formula>
    </cfRule>
  </conditionalFormatting>
  <conditionalFormatting sqref="AL243:AR243">
    <cfRule type="cellIs" dxfId="1013" priority="569" operator="equal">
      <formula>"SD"</formula>
    </cfRule>
    <cfRule type="cellIs" dxfId="1012" priority="570" operator="equal">
      <formula>"NO"</formula>
    </cfRule>
    <cfRule type="cellIs" dxfId="1011" priority="571" operator="equal">
      <formula>"SI"</formula>
    </cfRule>
  </conditionalFormatting>
  <conditionalFormatting sqref="AK243">
    <cfRule type="containsText" dxfId="1010" priority="566" operator="containsText" text="COMPLETAR EVALUACIÓN">
      <formula>NOT(ISERROR(SEARCH("COMPLETAR EVALUACIÓN",AK243)))</formula>
    </cfRule>
    <cfRule type="containsText" dxfId="1009" priority="567" operator="containsText" text="CON RIESGO">
      <formula>NOT(ISERROR(SEARCH("CON RIESGO",AK243)))</formula>
    </cfRule>
    <cfRule type="containsText" dxfId="1008" priority="568" operator="containsText" text="SIN RIESGO">
      <formula>NOT(ISERROR(SEARCH("SIN RIESGO",AK243)))</formula>
    </cfRule>
  </conditionalFormatting>
  <conditionalFormatting sqref="AG243:AH243">
    <cfRule type="cellIs" dxfId="1007" priority="563" operator="equal">
      <formula>"SD"</formula>
    </cfRule>
    <cfRule type="cellIs" dxfId="1006" priority="564" operator="equal">
      <formula>"NO"</formula>
    </cfRule>
    <cfRule type="cellIs" dxfId="1005" priority="565" operator="equal">
      <formula>"SI"</formula>
    </cfRule>
  </conditionalFormatting>
  <conditionalFormatting sqref="AI243">
    <cfRule type="containsText" dxfId="1004" priority="558" operator="containsText" text="HABITANTE DE CALLE">
      <formula>NOT(ISERROR(SEARCH("HABITANTE DE CALLE",AI243)))</formula>
    </cfRule>
    <cfRule type="containsText" dxfId="1003" priority="559" operator="containsText" text="NINGUNO">
      <formula>NOT(ISERROR(SEARCH("NINGUNO",AI243)))</formula>
    </cfRule>
    <cfRule type="containsText" dxfId="1002" priority="560" operator="containsText" text="MIGRATORIA">
      <formula>NOT(ISERROR(SEARCH("MIGRATORIA",AI243)))</formula>
    </cfRule>
    <cfRule type="containsText" dxfId="1001" priority="561" operator="containsText" text="DISCAPACIDAD">
      <formula>NOT(ISERROR(SEARCH("DISCAPACIDAD",AI243)))</formula>
    </cfRule>
    <cfRule type="containsText" dxfId="1000" priority="562" operator="containsText" text="DESPLAZADA">
      <formula>NOT(ISERROR(SEARCH("DESPLAZADA",AI243)))</formula>
    </cfRule>
  </conditionalFormatting>
  <conditionalFormatting sqref="AJ243">
    <cfRule type="cellIs" dxfId="999" priority="555" operator="equal">
      <formula>"SD"</formula>
    </cfRule>
    <cfRule type="cellIs" dxfId="998" priority="556" operator="equal">
      <formula>"NO"</formula>
    </cfRule>
    <cfRule type="cellIs" dxfId="997" priority="557" operator="equal">
      <formula>"SI"</formula>
    </cfRule>
  </conditionalFormatting>
  <conditionalFormatting sqref="AV243">
    <cfRule type="cellIs" dxfId="996" priority="552" operator="equal">
      <formula>"SD"</formula>
    </cfRule>
    <cfRule type="cellIs" dxfId="995" priority="553" operator="equal">
      <formula>"NO"</formula>
    </cfRule>
    <cfRule type="cellIs" dxfId="994" priority="554" operator="equal">
      <formula>"SI"</formula>
    </cfRule>
  </conditionalFormatting>
  <conditionalFormatting sqref="AX243 BA243">
    <cfRule type="cellIs" dxfId="993" priority="549" operator="equal">
      <formula>"SD"</formula>
    </cfRule>
    <cfRule type="cellIs" dxfId="992" priority="550" operator="equal">
      <formula>"NO"</formula>
    </cfRule>
    <cfRule type="cellIs" dxfId="991" priority="551" operator="equal">
      <formula>"SI"</formula>
    </cfRule>
  </conditionalFormatting>
  <conditionalFormatting sqref="AY243">
    <cfRule type="containsText" dxfId="990" priority="544" operator="containsText" text="SD">
      <formula>NOT(ISERROR(SEARCH("SD",AY243)))</formula>
    </cfRule>
    <cfRule type="containsText" dxfId="989" priority="545" operator="containsText" text="SI, NO CONTROLADA">
      <formula>NOT(ISERROR(SEARCH("SI, NO CONTROLADA",AY243)))</formula>
    </cfRule>
    <cfRule type="containsText" dxfId="988" priority="546" operator="containsText" text="SI, SIN MANEJO">
      <formula>NOT(ISERROR(SEARCH("SI, SIN MANEJO",AY243)))</formula>
    </cfRule>
    <cfRule type="containsText" dxfId="987" priority="547" operator="containsText" text="SI, CONTROLADA">
      <formula>NOT(ISERROR(SEARCH("SI, CONTROLADA",AY243)))</formula>
    </cfRule>
    <cfRule type="containsText" dxfId="986" priority="548" operator="containsText" text="NO">
      <formula>NOT(ISERROR(SEARCH("NO",AY243)))</formula>
    </cfRule>
  </conditionalFormatting>
  <conditionalFormatting sqref="AZ243">
    <cfRule type="containsText" dxfId="985" priority="539" operator="containsText" text="SD">
      <formula>NOT(ISERROR(SEARCH("SD",AZ243)))</formula>
    </cfRule>
    <cfRule type="containsText" dxfId="984" priority="540" operator="containsText" text="SI, NO CONTROLADA">
      <formula>NOT(ISERROR(SEARCH("SI, NO CONTROLADA",AZ243)))</formula>
    </cfRule>
    <cfRule type="containsText" dxfId="983" priority="541" operator="containsText" text="SI, SIN MANEJO">
      <formula>NOT(ISERROR(SEARCH("SI, SIN MANEJO",AZ243)))</formula>
    </cfRule>
    <cfRule type="containsText" dxfId="982" priority="542" operator="containsText" text="SI, CONTROLADA">
      <formula>NOT(ISERROR(SEARCH("SI, CONTROLADA",AZ243)))</formula>
    </cfRule>
    <cfRule type="containsText" dxfId="981" priority="543" operator="containsText" text="NO">
      <formula>NOT(ISERROR(SEARCH("NO",AZ243)))</formula>
    </cfRule>
  </conditionalFormatting>
  <conditionalFormatting sqref="BB243">
    <cfRule type="cellIs" dxfId="980" priority="536" operator="equal">
      <formula>"SD"</formula>
    </cfRule>
    <cfRule type="cellIs" dxfId="979" priority="537" operator="equal">
      <formula>"NO"</formula>
    </cfRule>
    <cfRule type="cellIs" dxfId="978" priority="538" operator="equal">
      <formula>"SI"</formula>
    </cfRule>
  </conditionalFormatting>
  <conditionalFormatting sqref="BC243">
    <cfRule type="cellIs" dxfId="977" priority="533" operator="equal">
      <formula>"SD"</formula>
    </cfRule>
    <cfRule type="cellIs" dxfId="976" priority="534" operator="equal">
      <formula>"NO"</formula>
    </cfRule>
    <cfRule type="cellIs" dxfId="975" priority="535" operator="equal">
      <formula>"SI"</formula>
    </cfRule>
  </conditionalFormatting>
  <conditionalFormatting sqref="BF243">
    <cfRule type="cellIs" dxfId="974" priority="530" operator="equal">
      <formula>"SD"</formula>
    </cfRule>
    <cfRule type="cellIs" dxfId="973" priority="531" operator="equal">
      <formula>"NO"</formula>
    </cfRule>
    <cfRule type="cellIs" dxfId="972" priority="532" operator="equal">
      <formula>"SI"</formula>
    </cfRule>
  </conditionalFormatting>
  <conditionalFormatting sqref="BD243:BE243">
    <cfRule type="cellIs" dxfId="971" priority="527" operator="equal">
      <formula>"SD"</formula>
    </cfRule>
    <cfRule type="cellIs" dxfId="970" priority="528" operator="equal">
      <formula>"NO"</formula>
    </cfRule>
    <cfRule type="cellIs" dxfId="969" priority="529" operator="equal">
      <formula>"SI"</formula>
    </cfRule>
  </conditionalFormatting>
  <conditionalFormatting sqref="BE243">
    <cfRule type="expression" dxfId="968" priority="526">
      <formula>IF(AND(FA243&gt;=126,FC243&lt;24),1,0)</formula>
    </cfRule>
  </conditionalFormatting>
  <conditionalFormatting sqref="BG243">
    <cfRule type="cellIs" dxfId="967" priority="523" operator="equal">
      <formula>"SD"</formula>
    </cfRule>
    <cfRule type="cellIs" dxfId="966" priority="524" operator="equal">
      <formula>"NO"</formula>
    </cfRule>
    <cfRule type="cellIs" dxfId="965" priority="525" operator="equal">
      <formula>"SI"</formula>
    </cfRule>
  </conditionalFormatting>
  <conditionalFormatting sqref="BH243">
    <cfRule type="cellIs" dxfId="964" priority="520" operator="equal">
      <formula>"SD"</formula>
    </cfRule>
    <cfRule type="cellIs" dxfId="963" priority="521" operator="equal">
      <formula>"NO"</formula>
    </cfRule>
    <cfRule type="cellIs" dxfId="962" priority="522" operator="equal">
      <formula>"SI"</formula>
    </cfRule>
  </conditionalFormatting>
  <conditionalFormatting sqref="BI243">
    <cfRule type="cellIs" dxfId="961" priority="517" operator="equal">
      <formula>"SD"</formula>
    </cfRule>
    <cfRule type="cellIs" dxfId="960" priority="518" operator="equal">
      <formula>"NO"</formula>
    </cfRule>
    <cfRule type="cellIs" dxfId="959" priority="519" operator="equal">
      <formula>"SI"</formula>
    </cfRule>
  </conditionalFormatting>
  <conditionalFormatting sqref="BJ243">
    <cfRule type="cellIs" dxfId="958" priority="514" operator="equal">
      <formula>"SD"</formula>
    </cfRule>
    <cfRule type="cellIs" dxfId="957" priority="515" operator="equal">
      <formula>"NO"</formula>
    </cfRule>
    <cfRule type="cellIs" dxfId="956" priority="516" operator="equal">
      <formula>"SI"</formula>
    </cfRule>
  </conditionalFormatting>
  <conditionalFormatting sqref="BL243:BM243">
    <cfRule type="cellIs" dxfId="955" priority="511" operator="equal">
      <formula>"SD"</formula>
    </cfRule>
    <cfRule type="cellIs" dxfId="954" priority="512" operator="equal">
      <formula>"NO"</formula>
    </cfRule>
    <cfRule type="cellIs" dxfId="953" priority="513" operator="equal">
      <formula>"SI"</formula>
    </cfRule>
  </conditionalFormatting>
  <conditionalFormatting sqref="BK243">
    <cfRule type="cellIs" dxfId="952" priority="508" operator="equal">
      <formula>"SD"</formula>
    </cfRule>
    <cfRule type="cellIs" dxfId="951" priority="509" operator="equal">
      <formula>"NO"</formula>
    </cfRule>
    <cfRule type="cellIs" dxfId="950" priority="510" operator="equal">
      <formula>"SI"</formula>
    </cfRule>
  </conditionalFormatting>
  <conditionalFormatting sqref="HS243">
    <cfRule type="expression" dxfId="949" priority="507">
      <formula>IF(HT243="No Aplica para suministro de ASA",1,"")</formula>
    </cfRule>
  </conditionalFormatting>
  <conditionalFormatting sqref="HU243">
    <cfRule type="expression" dxfId="948" priority="506">
      <formula>IF(HV243="No Aplica para suministro de ASA",1,"")</formula>
    </cfRule>
  </conditionalFormatting>
  <conditionalFormatting sqref="HW243">
    <cfRule type="expression" dxfId="947" priority="505">
      <formula>IF(HX243="No Aplica para suministro de ASA",1,"")</formula>
    </cfRule>
  </conditionalFormatting>
  <conditionalFormatting sqref="HT243">
    <cfRule type="containsText" dxfId="946" priority="500" operator="containsText" text="NO SE FORMULA">
      <formula>NOT(ISERROR(SEARCH("NO SE FORMULA",HT243)))</formula>
    </cfRule>
    <cfRule type="containsText" dxfId="945" priority="501" operator="containsText" text="OTRO">
      <formula>NOT(ISERROR(SEARCH("OTRO",HT243)))</formula>
    </cfRule>
    <cfRule type="containsText" dxfId="944" priority="502" operator="containsText" text="IRREGULAR">
      <formula>NOT(ISERROR(SEARCH("IRREGULAR",HT243)))</formula>
    </cfRule>
    <cfRule type="containsText" dxfId="943" priority="503" operator="containsText" text="ADECUADO">
      <formula>NOT(ISERROR(SEARCH("ADECUADO",HT243)))</formula>
    </cfRule>
  </conditionalFormatting>
  <conditionalFormatting sqref="DA99">
    <cfRule type="expression" dxfId="942" priority="499">
      <formula>IF(DC99="NO APLICA-INGRESO TARDIO",1,"")</formula>
    </cfRule>
  </conditionalFormatting>
  <conditionalFormatting sqref="DB99">
    <cfRule type="containsText" dxfId="941" priority="494" operator="containsText" text="NORMAL">
      <formula>NOT(ISERROR(SEARCH("NORMAL",DB99)))</formula>
    </cfRule>
    <cfRule type="containsText" dxfId="940" priority="495" operator="containsText" text="VIGILAR">
      <formula>NOT(ISERROR(SEARCH("VIGILAR",DB99)))</formula>
    </cfRule>
    <cfRule type="containsText" dxfId="939" priority="496" operator="containsText" text="HTA">
      <formula>NOT(ISERROR(SEARCH("HTA",DB99)))</formula>
    </cfRule>
    <cfRule type="containsText" dxfId="938" priority="497" operator="containsText" text="ACUDE A CONTROL SEM 30 A 34- REGISTRE AHORA">
      <formula>NOT(ISERROR(SEARCH("ACUDE A CONTROL SEM 30 A 34- REGISTRE AHORA",DB99)))</formula>
    </cfRule>
    <cfRule type="containsText" dxfId="937" priority="498" operator="containsText" text="NO APLICA">
      <formula>NOT(ISERROR(SEARCH("NO APLICA",DB99)))</formula>
    </cfRule>
  </conditionalFormatting>
  <conditionalFormatting sqref="FB185">
    <cfRule type="containsText" dxfId="936" priority="490" operator="containsText" text="RH NEGATIVO SIN COOMB">
      <formula>NOT(ISERROR(SEARCH("RH NEGATIVO SIN COOMB",FB185)))</formula>
    </cfRule>
    <cfRule type="containsText" dxfId="935" priority="491" operator="containsText" text="RH NEGATIVO CON COOMBS POSITIVO">
      <formula>NOT(ISERROR(SEARCH("RH NEGATIVO CON COOMBS POSITIVO",FB185)))</formula>
    </cfRule>
    <cfRule type="containsText" dxfId="934" priority="492" operator="containsText" text="RH NEGATIVO CON COOMBS NEGATIVO">
      <formula>NOT(ISERROR(SEARCH("RH NEGATIVO CON COOMBS NEGATIVO",FB185)))</formula>
    </cfRule>
    <cfRule type="containsText" dxfId="933" priority="493" operator="containsText" text="RH POSITIVO">
      <formula>NOT(ISERROR(SEARCH("RH POSITIVO",FB185)))</formula>
    </cfRule>
  </conditionalFormatting>
  <conditionalFormatting sqref="FK185">
    <cfRule type="containsText" dxfId="932" priority="486" operator="containsText" text="RH NEGATIVO SIN COOMB">
      <formula>NOT(ISERROR(SEARCH("RH NEGATIVO SIN COOMB",FK185)))</formula>
    </cfRule>
    <cfRule type="containsText" dxfId="931" priority="487" operator="containsText" text="RH NEGATIVO CON COOMBS POSITIVO">
      <formula>NOT(ISERROR(SEARCH("RH NEGATIVO CON COOMBS POSITIVO",FK185)))</formula>
    </cfRule>
    <cfRule type="containsText" dxfId="930" priority="488" operator="containsText" text="RH NEGATIVO CON COOMBS NEGATIVO">
      <formula>NOT(ISERROR(SEARCH("RH NEGATIVO CON COOMBS NEGATIVO",FK185)))</formula>
    </cfRule>
    <cfRule type="containsText" dxfId="929" priority="489" operator="containsText" text="RH POSITIVO">
      <formula>NOT(ISERROR(SEARCH("RH POSITIVO",FK185)))</formula>
    </cfRule>
  </conditionalFormatting>
  <conditionalFormatting sqref="FZ185">
    <cfRule type="containsText" dxfId="928" priority="482" operator="containsText" text="RH NEGATIVO SIN COOMB">
      <formula>NOT(ISERROR(SEARCH("RH NEGATIVO SIN COOMB",FZ185)))</formula>
    </cfRule>
    <cfRule type="containsText" dxfId="927" priority="483" operator="containsText" text="RH NEGATIVO CON COOMBS POSITIVO">
      <formula>NOT(ISERROR(SEARCH("RH NEGATIVO CON COOMBS POSITIVO",FZ185)))</formula>
    </cfRule>
    <cfRule type="containsText" dxfId="926" priority="484" operator="containsText" text="RH NEGATIVO CON COOMBS NEGATIVO">
      <formula>NOT(ISERROR(SEARCH("RH NEGATIVO CON COOMBS NEGATIVO",FZ185)))</formula>
    </cfRule>
    <cfRule type="containsText" dxfId="925" priority="485" operator="containsText" text="RH POSITIVO">
      <formula>NOT(ISERROR(SEARCH("RH POSITIVO",FZ185)))</formula>
    </cfRule>
  </conditionalFormatting>
  <conditionalFormatting sqref="GO185">
    <cfRule type="containsText" dxfId="924" priority="478" operator="containsText" text="RH NEGATIVO SIN COOMB">
      <formula>NOT(ISERROR(SEARCH("RH NEGATIVO SIN COOMB",GO185)))</formula>
    </cfRule>
    <cfRule type="containsText" dxfId="923" priority="479" operator="containsText" text="RH NEGATIVO CON COOMBS POSITIVO">
      <formula>NOT(ISERROR(SEARCH("RH NEGATIVO CON COOMBS POSITIVO",GO185)))</formula>
    </cfRule>
    <cfRule type="containsText" dxfId="922" priority="480" operator="containsText" text="RH NEGATIVO CON COOMBS NEGATIVO">
      <formula>NOT(ISERROR(SEARCH("RH NEGATIVO CON COOMBS NEGATIVO",GO185)))</formula>
    </cfRule>
    <cfRule type="containsText" dxfId="921" priority="481" operator="containsText" text="RH POSITIVO">
      <formula>NOT(ISERROR(SEARCH("RH POSITIVO",GO185)))</formula>
    </cfRule>
  </conditionalFormatting>
  <conditionalFormatting sqref="GT185">
    <cfRule type="containsText" dxfId="920" priority="474" operator="containsText" text="RH NEGATIVO SIN COOMB">
      <formula>NOT(ISERROR(SEARCH("RH NEGATIVO SIN COOMB",GT185)))</formula>
    </cfRule>
    <cfRule type="containsText" dxfId="919" priority="475" operator="containsText" text="RH NEGATIVO CON COOMBS POSITIVO">
      <formula>NOT(ISERROR(SEARCH("RH NEGATIVO CON COOMBS POSITIVO",GT185)))</formula>
    </cfRule>
    <cfRule type="containsText" dxfId="918" priority="476" operator="containsText" text="RH NEGATIVO CON COOMBS NEGATIVO">
      <formula>NOT(ISERROR(SEARCH("RH NEGATIVO CON COOMBS NEGATIVO",GT185)))</formula>
    </cfRule>
    <cfRule type="containsText" dxfId="917" priority="477" operator="containsText" text="RH POSITIVO">
      <formula>NOT(ISERROR(SEARCH("RH POSITIVO",GT185)))</formula>
    </cfRule>
  </conditionalFormatting>
  <conditionalFormatting sqref="DA150:DB150">
    <cfRule type="expression" dxfId="916" priority="473">
      <formula>IF(DC150="NO APLICA-INGRESO TARDIO",1,"")</formula>
    </cfRule>
  </conditionalFormatting>
  <conditionalFormatting sqref="L244">
    <cfRule type="containsText" dxfId="915" priority="464" operator="containsText" text="Empleo informal">
      <formula>NOT(ISERROR(SEARCH("Empleo informal",L244)))</formula>
    </cfRule>
    <cfRule type="containsText" dxfId="914" priority="465" operator="containsText" text="Empleada formalmente con riesgo a tóxicos">
      <formula>NOT(ISERROR(SEARCH("Empleada formalmente con riesgo a tóxicos",L244)))</formula>
    </cfRule>
    <cfRule type="containsText" dxfId="913" priority="466" operator="containsText" text="Empleada formalmente con riesgo de accidente laboral">
      <formula>NOT(ISERROR(SEARCH("Empleada formalmente con riesgo de accidente laboral",L244)))</formula>
    </cfRule>
    <cfRule type="containsText" dxfId="912" priority="467" operator="containsText" text="Empleada formalmente por jornada laboral extensa">
      <formula>NOT(ISERROR(SEARCH("Empleada formalmente por jornada laboral extensa",L244)))</formula>
    </cfRule>
    <cfRule type="containsText" dxfId="911" priority="468" operator="containsText" text="Empleada formalmente sin riesgo">
      <formula>NOT(ISERROR(SEARCH("Empleada formalmente sin riesgo",L244)))</formula>
    </cfRule>
    <cfRule type="containsText" dxfId="910" priority="469" operator="containsText" text="Actualmente desempleada">
      <formula>NOT(ISERROR(SEARCH("Actualmente desempleada",L244)))</formula>
    </cfRule>
    <cfRule type="containsText" dxfId="909" priority="470" operator="containsText" text="Hogar sin apoyo">
      <formula>NOT(ISERROR(SEARCH("Hogar sin apoyo",L244)))</formula>
    </cfRule>
    <cfRule type="containsText" dxfId="908" priority="471" operator="containsText" text="Empleada formalmente sin riesgo">
      <formula>NOT(ISERROR(SEARCH("Empleada formalmente sin riesgo",L244)))</formula>
    </cfRule>
    <cfRule type="containsText" dxfId="907" priority="472" operator="containsText" text="Hogar Con apoyo">
      <formula>NOT(ISERROR(SEARCH("Hogar Con apoyo",L244)))</formula>
    </cfRule>
  </conditionalFormatting>
  <conditionalFormatting sqref="AC244">
    <cfRule type="containsText" dxfId="906" priority="460" operator="containsText" text="SABE">
      <formula>NOT(ISERROR(SEARCH("SABE",AC244)))</formula>
    </cfRule>
    <cfRule type="containsText" dxfId="905" priority="461" operator="containsText" text="SECUNDARIA">
      <formula>NOT(ISERROR(SEARCH("SECUNDARIA",AC244)))</formula>
    </cfRule>
    <cfRule type="containsText" dxfId="904" priority="462" operator="containsText" text="PRIMARIA INCOMPLETA">
      <formula>NOT(ISERROR(SEARCH("PRIMARIA INCOMPLETA",AC244)))</formula>
    </cfRule>
    <cfRule type="cellIs" dxfId="903" priority="463" operator="equal">
      <formula>"ANALFABETA"</formula>
    </cfRule>
  </conditionalFormatting>
  <conditionalFormatting sqref="AS244">
    <cfRule type="cellIs" dxfId="902" priority="457" operator="equal">
      <formula>"SD"</formula>
    </cfRule>
    <cfRule type="cellIs" dxfId="901" priority="458" operator="equal">
      <formula>"NO"</formula>
    </cfRule>
    <cfRule type="cellIs" dxfId="900" priority="459" operator="equal">
      <formula>"SI"</formula>
    </cfRule>
  </conditionalFormatting>
  <conditionalFormatting sqref="AD244">
    <cfRule type="containsText" dxfId="899" priority="454" operator="containsText" text="No Consume">
      <formula>NOT(ISERROR(SEARCH("No Consume",AD244)))</formula>
    </cfRule>
    <cfRule type="containsText" dxfId="898" priority="455" operator="containsText" text="Hasta Antes de la Gestación">
      <formula>NOT(ISERROR(SEARCH("Hasta Antes de la Gestación",AD244)))</formula>
    </cfRule>
    <cfRule type="containsText" dxfId="897" priority="456" operator="containsText" text="Consumo Actual">
      <formula>NOT(ISERROR(SEARCH("Consumo Actual",AD244)))</formula>
    </cfRule>
  </conditionalFormatting>
  <conditionalFormatting sqref="AE244:AF244">
    <cfRule type="containsText" dxfId="896" priority="452" operator="containsText" text="NO">
      <formula>NOT(ISERROR(SEARCH("NO",AE244)))</formula>
    </cfRule>
    <cfRule type="containsText" dxfId="895" priority="453" operator="containsText" text="SI">
      <formula>NOT(ISERROR(SEARCH("SI",AE244)))</formula>
    </cfRule>
  </conditionalFormatting>
  <conditionalFormatting sqref="AL244:AR244">
    <cfRule type="cellIs" dxfId="894" priority="449" operator="equal">
      <formula>"SD"</formula>
    </cfRule>
    <cfRule type="cellIs" dxfId="893" priority="450" operator="equal">
      <formula>"NO"</formula>
    </cfRule>
    <cfRule type="cellIs" dxfId="892" priority="451" operator="equal">
      <formula>"SI"</formula>
    </cfRule>
  </conditionalFormatting>
  <conditionalFormatting sqref="AK244">
    <cfRule type="containsText" dxfId="891" priority="446" operator="containsText" text="COMPLETAR EVALUACIÓN">
      <formula>NOT(ISERROR(SEARCH("COMPLETAR EVALUACIÓN",AK244)))</formula>
    </cfRule>
    <cfRule type="containsText" dxfId="890" priority="447" operator="containsText" text="CON RIESGO">
      <formula>NOT(ISERROR(SEARCH("CON RIESGO",AK244)))</formula>
    </cfRule>
    <cfRule type="containsText" dxfId="889" priority="448" operator="containsText" text="SIN RIESGO">
      <formula>NOT(ISERROR(SEARCH("SIN RIESGO",AK244)))</formula>
    </cfRule>
  </conditionalFormatting>
  <conditionalFormatting sqref="AG244:AH244">
    <cfRule type="cellIs" dxfId="888" priority="443" operator="equal">
      <formula>"SD"</formula>
    </cfRule>
    <cfRule type="cellIs" dxfId="887" priority="444" operator="equal">
      <formula>"NO"</formula>
    </cfRule>
    <cfRule type="cellIs" dxfId="886" priority="445" operator="equal">
      <formula>"SI"</formula>
    </cfRule>
  </conditionalFormatting>
  <conditionalFormatting sqref="AI244">
    <cfRule type="containsText" dxfId="885" priority="438" operator="containsText" text="HABITANTE DE CALLE">
      <formula>NOT(ISERROR(SEARCH("HABITANTE DE CALLE",AI244)))</formula>
    </cfRule>
    <cfRule type="containsText" dxfId="884" priority="439" operator="containsText" text="NINGUNO">
      <formula>NOT(ISERROR(SEARCH("NINGUNO",AI244)))</formula>
    </cfRule>
    <cfRule type="containsText" dxfId="883" priority="440" operator="containsText" text="MIGRATORIA">
      <formula>NOT(ISERROR(SEARCH("MIGRATORIA",AI244)))</formula>
    </cfRule>
    <cfRule type="containsText" dxfId="882" priority="441" operator="containsText" text="DISCAPACIDAD">
      <formula>NOT(ISERROR(SEARCH("DISCAPACIDAD",AI244)))</formula>
    </cfRule>
    <cfRule type="containsText" dxfId="881" priority="442" operator="containsText" text="DESPLAZADA">
      <formula>NOT(ISERROR(SEARCH("DESPLAZADA",AI244)))</formula>
    </cfRule>
  </conditionalFormatting>
  <conditionalFormatting sqref="AJ244">
    <cfRule type="cellIs" dxfId="880" priority="435" operator="equal">
      <formula>"SD"</formula>
    </cfRule>
    <cfRule type="cellIs" dxfId="879" priority="436" operator="equal">
      <formula>"NO"</formula>
    </cfRule>
    <cfRule type="cellIs" dxfId="878" priority="437" operator="equal">
      <formula>"SI"</formula>
    </cfRule>
  </conditionalFormatting>
  <conditionalFormatting sqref="AT244:AW244">
    <cfRule type="cellIs" dxfId="877" priority="432" operator="equal">
      <formula>"SD"</formula>
    </cfRule>
    <cfRule type="cellIs" dxfId="876" priority="433" operator="equal">
      <formula>"NO"</formula>
    </cfRule>
    <cfRule type="cellIs" dxfId="875" priority="434" operator="equal">
      <formula>"SI"</formula>
    </cfRule>
  </conditionalFormatting>
  <conditionalFormatting sqref="AW244">
    <cfRule type="cellIs" dxfId="874" priority="429" operator="equal">
      <formula>1</formula>
    </cfRule>
    <cfRule type="cellIs" dxfId="873" priority="430" operator="equal">
      <formula>"3 O MAS"</formula>
    </cfRule>
    <cfRule type="cellIs" dxfId="872" priority="431" operator="equal">
      <formula>2</formula>
    </cfRule>
  </conditionalFormatting>
  <conditionalFormatting sqref="AX244 BA244">
    <cfRule type="cellIs" dxfId="871" priority="426" operator="equal">
      <formula>"SD"</formula>
    </cfRule>
    <cfRule type="cellIs" dxfId="870" priority="427" operator="equal">
      <formula>"NO"</formula>
    </cfRule>
    <cfRule type="cellIs" dxfId="869" priority="428" operator="equal">
      <formula>"SI"</formula>
    </cfRule>
  </conditionalFormatting>
  <conditionalFormatting sqref="AY244">
    <cfRule type="containsText" dxfId="868" priority="421" operator="containsText" text="SD">
      <formula>NOT(ISERROR(SEARCH("SD",AY244)))</formula>
    </cfRule>
    <cfRule type="containsText" dxfId="867" priority="422" operator="containsText" text="SI, NO CONTROLADA">
      <formula>NOT(ISERROR(SEARCH("SI, NO CONTROLADA",AY244)))</formula>
    </cfRule>
    <cfRule type="containsText" dxfId="866" priority="423" operator="containsText" text="SI, SIN MANEJO">
      <formula>NOT(ISERROR(SEARCH("SI, SIN MANEJO",AY244)))</formula>
    </cfRule>
    <cfRule type="containsText" dxfId="865" priority="424" operator="containsText" text="SI, CONTROLADA">
      <formula>NOT(ISERROR(SEARCH("SI, CONTROLADA",AY244)))</formula>
    </cfRule>
    <cfRule type="containsText" dxfId="864" priority="425" operator="containsText" text="NO">
      <formula>NOT(ISERROR(SEARCH("NO",AY244)))</formula>
    </cfRule>
  </conditionalFormatting>
  <conditionalFormatting sqref="AZ244">
    <cfRule type="containsText" dxfId="863" priority="416" operator="containsText" text="SD">
      <formula>NOT(ISERROR(SEARCH("SD",AZ244)))</formula>
    </cfRule>
    <cfRule type="containsText" dxfId="862" priority="417" operator="containsText" text="SI, NO CONTROLADA">
      <formula>NOT(ISERROR(SEARCH("SI, NO CONTROLADA",AZ244)))</formula>
    </cfRule>
    <cfRule type="containsText" dxfId="861" priority="418" operator="containsText" text="SI, SIN MANEJO">
      <formula>NOT(ISERROR(SEARCH("SI, SIN MANEJO",AZ244)))</formula>
    </cfRule>
    <cfRule type="containsText" dxfId="860" priority="419" operator="containsText" text="SI, CONTROLADA">
      <formula>NOT(ISERROR(SEARCH("SI, CONTROLADA",AZ244)))</formula>
    </cfRule>
    <cfRule type="containsText" dxfId="859" priority="420" operator="containsText" text="NO">
      <formula>NOT(ISERROR(SEARCH("NO",AZ244)))</formula>
    </cfRule>
  </conditionalFormatting>
  <conditionalFormatting sqref="BB244">
    <cfRule type="cellIs" dxfId="858" priority="413" operator="equal">
      <formula>"SD"</formula>
    </cfRule>
    <cfRule type="cellIs" dxfId="857" priority="414" operator="equal">
      <formula>"NO"</formula>
    </cfRule>
    <cfRule type="cellIs" dxfId="856" priority="415" operator="equal">
      <formula>"SI"</formula>
    </cfRule>
  </conditionalFormatting>
  <conditionalFormatting sqref="BC244">
    <cfRule type="cellIs" dxfId="855" priority="410" operator="equal">
      <formula>"SD"</formula>
    </cfRule>
    <cfRule type="cellIs" dxfId="854" priority="411" operator="equal">
      <formula>"NO"</formula>
    </cfRule>
    <cfRule type="cellIs" dxfId="853" priority="412" operator="equal">
      <formula>"SI"</formula>
    </cfRule>
  </conditionalFormatting>
  <conditionalFormatting sqref="BF244">
    <cfRule type="cellIs" dxfId="852" priority="407" operator="equal">
      <formula>"SD"</formula>
    </cfRule>
    <cfRule type="cellIs" dxfId="851" priority="408" operator="equal">
      <formula>"NO"</formula>
    </cfRule>
    <cfRule type="cellIs" dxfId="850" priority="409" operator="equal">
      <formula>"SI"</formula>
    </cfRule>
  </conditionalFormatting>
  <conditionalFormatting sqref="BD244:BE244">
    <cfRule type="cellIs" dxfId="849" priority="404" operator="equal">
      <formula>"SD"</formula>
    </cfRule>
    <cfRule type="cellIs" dxfId="848" priority="405" operator="equal">
      <formula>"NO"</formula>
    </cfRule>
    <cfRule type="cellIs" dxfId="847" priority="406" operator="equal">
      <formula>"SI"</formula>
    </cfRule>
  </conditionalFormatting>
  <conditionalFormatting sqref="BE244">
    <cfRule type="expression" dxfId="846" priority="403">
      <formula>IF(AND(FA244&gt;=126,FC244&lt;24),1,0)</formula>
    </cfRule>
  </conditionalFormatting>
  <conditionalFormatting sqref="BG244">
    <cfRule type="cellIs" dxfId="845" priority="400" operator="equal">
      <formula>"SD"</formula>
    </cfRule>
    <cfRule type="cellIs" dxfId="844" priority="401" operator="equal">
      <formula>"NO"</formula>
    </cfRule>
    <cfRule type="cellIs" dxfId="843" priority="402" operator="equal">
      <formula>"SI"</formula>
    </cfRule>
  </conditionalFormatting>
  <conditionalFormatting sqref="BH244">
    <cfRule type="cellIs" dxfId="842" priority="397" operator="equal">
      <formula>"SD"</formula>
    </cfRule>
    <cfRule type="cellIs" dxfId="841" priority="398" operator="equal">
      <formula>"NO"</formula>
    </cfRule>
    <cfRule type="cellIs" dxfId="840" priority="399" operator="equal">
      <formula>"SI"</formula>
    </cfRule>
  </conditionalFormatting>
  <conditionalFormatting sqref="BI244">
    <cfRule type="cellIs" dxfId="839" priority="394" operator="equal">
      <formula>"SD"</formula>
    </cfRule>
    <cfRule type="cellIs" dxfId="838" priority="395" operator="equal">
      <formula>"NO"</formula>
    </cfRule>
    <cfRule type="cellIs" dxfId="837" priority="396" operator="equal">
      <formula>"SI"</formula>
    </cfRule>
  </conditionalFormatting>
  <conditionalFormatting sqref="BJ244">
    <cfRule type="cellIs" dxfId="836" priority="391" operator="equal">
      <formula>"SD"</formula>
    </cfRule>
    <cfRule type="cellIs" dxfId="835" priority="392" operator="equal">
      <formula>"NO"</formula>
    </cfRule>
    <cfRule type="cellIs" dxfId="834" priority="393" operator="equal">
      <formula>"SI"</formula>
    </cfRule>
  </conditionalFormatting>
  <conditionalFormatting sqref="BL244:BM244">
    <cfRule type="cellIs" dxfId="833" priority="388" operator="equal">
      <formula>"SD"</formula>
    </cfRule>
    <cfRule type="cellIs" dxfId="832" priority="389" operator="equal">
      <formula>"NO"</formula>
    </cfRule>
    <cfRule type="cellIs" dxfId="831" priority="390" operator="equal">
      <formula>"SI"</formula>
    </cfRule>
  </conditionalFormatting>
  <conditionalFormatting sqref="BK244">
    <cfRule type="cellIs" dxfId="830" priority="385" operator="equal">
      <formula>"SD"</formula>
    </cfRule>
    <cfRule type="cellIs" dxfId="829" priority="386" operator="equal">
      <formula>"NO"</formula>
    </cfRule>
    <cfRule type="cellIs" dxfId="828" priority="387" operator="equal">
      <formula>"SI"</formula>
    </cfRule>
  </conditionalFormatting>
  <conditionalFormatting sqref="DA244:DB244">
    <cfRule type="expression" dxfId="827" priority="384">
      <formula>IF(DC244="NO APLICA-INGRESO TARDIO",1,"")</formula>
    </cfRule>
  </conditionalFormatting>
  <conditionalFormatting sqref="HT244">
    <cfRule type="containsText" dxfId="826" priority="380" operator="containsText" text="NO SE FORMULA">
      <formula>NOT(ISERROR(SEARCH("NO SE FORMULA",HT244)))</formula>
    </cfRule>
    <cfRule type="containsText" dxfId="825" priority="381" operator="containsText" text="OTRO">
      <formula>NOT(ISERROR(SEARCH("OTRO",HT244)))</formula>
    </cfRule>
    <cfRule type="containsText" dxfId="824" priority="382" operator="containsText" text="IRREGULAR">
      <formula>NOT(ISERROR(SEARCH("IRREGULAR",HT244)))</formula>
    </cfRule>
    <cfRule type="containsText" dxfId="823" priority="383" operator="containsText" text="ADECUADO">
      <formula>NOT(ISERROR(SEARCH("ADECUADO",HT244)))</formula>
    </cfRule>
  </conditionalFormatting>
  <conditionalFormatting sqref="L245">
    <cfRule type="containsText" dxfId="822" priority="371" operator="containsText" text="Empleo informal">
      <formula>NOT(ISERROR(SEARCH("Empleo informal",L245)))</formula>
    </cfRule>
    <cfRule type="containsText" dxfId="821" priority="372" operator="containsText" text="Empleada formalmente con riesgo a tóxicos">
      <formula>NOT(ISERROR(SEARCH("Empleada formalmente con riesgo a tóxicos",L245)))</formula>
    </cfRule>
    <cfRule type="containsText" dxfId="820" priority="373" operator="containsText" text="Empleada formalmente con riesgo de accidente laboral">
      <formula>NOT(ISERROR(SEARCH("Empleada formalmente con riesgo de accidente laboral",L245)))</formula>
    </cfRule>
    <cfRule type="containsText" dxfId="819" priority="374" operator="containsText" text="Empleada formalmente por jornada laboral extensa">
      <formula>NOT(ISERROR(SEARCH("Empleada formalmente por jornada laboral extensa",L245)))</formula>
    </cfRule>
    <cfRule type="containsText" dxfId="818" priority="375" operator="containsText" text="Empleada formalmente sin riesgo">
      <formula>NOT(ISERROR(SEARCH("Empleada formalmente sin riesgo",L245)))</formula>
    </cfRule>
    <cfRule type="containsText" dxfId="817" priority="376" operator="containsText" text="Actualmente desempleada">
      <formula>NOT(ISERROR(SEARCH("Actualmente desempleada",L245)))</formula>
    </cfRule>
    <cfRule type="containsText" dxfId="816" priority="377" operator="containsText" text="Hogar sin apoyo">
      <formula>NOT(ISERROR(SEARCH("Hogar sin apoyo",L245)))</formula>
    </cfRule>
    <cfRule type="containsText" dxfId="815" priority="378" operator="containsText" text="Empleada formalmente sin riesgo">
      <formula>NOT(ISERROR(SEARCH("Empleada formalmente sin riesgo",L245)))</formula>
    </cfRule>
    <cfRule type="containsText" dxfId="814" priority="379" operator="containsText" text="Hogar Con apoyo">
      <formula>NOT(ISERROR(SEARCH("Hogar Con apoyo",L245)))</formula>
    </cfRule>
  </conditionalFormatting>
  <conditionalFormatting sqref="AC245">
    <cfRule type="containsText" dxfId="813" priority="367" operator="containsText" text="SABE">
      <formula>NOT(ISERROR(SEARCH("SABE",AC245)))</formula>
    </cfRule>
    <cfRule type="containsText" dxfId="812" priority="368" operator="containsText" text="SECUNDARIA">
      <formula>NOT(ISERROR(SEARCH("SECUNDARIA",AC245)))</formula>
    </cfRule>
    <cfRule type="containsText" dxfId="811" priority="369" operator="containsText" text="PRIMARIA INCOMPLETA">
      <formula>NOT(ISERROR(SEARCH("PRIMARIA INCOMPLETA",AC245)))</formula>
    </cfRule>
    <cfRule type="cellIs" dxfId="810" priority="370" operator="equal">
      <formula>"ANALFABETA"</formula>
    </cfRule>
  </conditionalFormatting>
  <conditionalFormatting sqref="AD245">
    <cfRule type="containsText" dxfId="809" priority="364" operator="containsText" text="No Consume">
      <formula>NOT(ISERROR(SEARCH("No Consume",AD245)))</formula>
    </cfRule>
    <cfRule type="containsText" dxfId="808" priority="365" operator="containsText" text="Hasta Antes de la Gestación">
      <formula>NOT(ISERROR(SEARCH("Hasta Antes de la Gestación",AD245)))</formula>
    </cfRule>
    <cfRule type="containsText" dxfId="807" priority="366" operator="containsText" text="Consumo Actual">
      <formula>NOT(ISERROR(SEARCH("Consumo Actual",AD245)))</formula>
    </cfRule>
  </conditionalFormatting>
  <conditionalFormatting sqref="AE245:AF245">
    <cfRule type="containsText" dxfId="806" priority="362" operator="containsText" text="NO">
      <formula>NOT(ISERROR(SEARCH("NO",AE245)))</formula>
    </cfRule>
    <cfRule type="containsText" dxfId="805" priority="363" operator="containsText" text="SI">
      <formula>NOT(ISERROR(SEARCH("SI",AE245)))</formula>
    </cfRule>
  </conditionalFormatting>
  <conditionalFormatting sqref="AK245">
    <cfRule type="containsText" dxfId="804" priority="359" operator="containsText" text="COMPLETAR EVALUACIÓN">
      <formula>NOT(ISERROR(SEARCH("COMPLETAR EVALUACIÓN",AK245)))</formula>
    </cfRule>
    <cfRule type="containsText" dxfId="803" priority="360" operator="containsText" text="CON RIESGO">
      <formula>NOT(ISERROR(SEARCH("CON RIESGO",AK245)))</formula>
    </cfRule>
    <cfRule type="containsText" dxfId="802" priority="361" operator="containsText" text="SIN RIESGO">
      <formula>NOT(ISERROR(SEARCH("SIN RIESGO",AK245)))</formula>
    </cfRule>
  </conditionalFormatting>
  <conditionalFormatting sqref="AG245:AH245">
    <cfRule type="cellIs" dxfId="801" priority="356" operator="equal">
      <formula>"SD"</formula>
    </cfRule>
    <cfRule type="cellIs" dxfId="800" priority="357" operator="equal">
      <formula>"NO"</formula>
    </cfRule>
    <cfRule type="cellIs" dxfId="799" priority="358" operator="equal">
      <formula>"SI"</formula>
    </cfRule>
  </conditionalFormatting>
  <conditionalFormatting sqref="AI245">
    <cfRule type="containsText" dxfId="798" priority="351" operator="containsText" text="HABITANTE DE CALLE">
      <formula>NOT(ISERROR(SEARCH("HABITANTE DE CALLE",AI245)))</formula>
    </cfRule>
    <cfRule type="containsText" dxfId="797" priority="352" operator="containsText" text="NINGUNO">
      <formula>NOT(ISERROR(SEARCH("NINGUNO",AI245)))</formula>
    </cfRule>
    <cfRule type="containsText" dxfId="796" priority="353" operator="containsText" text="MIGRATORIA">
      <formula>NOT(ISERROR(SEARCH("MIGRATORIA",AI245)))</formula>
    </cfRule>
    <cfRule type="containsText" dxfId="795" priority="354" operator="containsText" text="DISCAPACIDAD">
      <formula>NOT(ISERROR(SEARCH("DISCAPACIDAD",AI245)))</formula>
    </cfRule>
    <cfRule type="containsText" dxfId="794" priority="355" operator="containsText" text="DESPLAZADA">
      <formula>NOT(ISERROR(SEARCH("DESPLAZADA",AI245)))</formula>
    </cfRule>
  </conditionalFormatting>
  <conditionalFormatting sqref="AJ245">
    <cfRule type="cellIs" dxfId="793" priority="348" operator="equal">
      <formula>"SD"</formula>
    </cfRule>
    <cfRule type="cellIs" dxfId="792" priority="349" operator="equal">
      <formula>"NO"</formula>
    </cfRule>
    <cfRule type="cellIs" dxfId="791" priority="350" operator="equal">
      <formula>"SI"</formula>
    </cfRule>
  </conditionalFormatting>
  <conditionalFormatting sqref="AL245">
    <cfRule type="cellIs" dxfId="790" priority="345" operator="equal">
      <formula>"SD"</formula>
    </cfRule>
    <cfRule type="cellIs" dxfId="789" priority="346" operator="equal">
      <formula>"NO"</formula>
    </cfRule>
    <cfRule type="cellIs" dxfId="788" priority="347" operator="equal">
      <formula>"SI"</formula>
    </cfRule>
  </conditionalFormatting>
  <conditionalFormatting sqref="AN245:AR245">
    <cfRule type="cellIs" dxfId="787" priority="342" operator="equal">
      <formula>"SD"</formula>
    </cfRule>
    <cfRule type="cellIs" dxfId="786" priority="343" operator="equal">
      <formula>"NO"</formula>
    </cfRule>
    <cfRule type="cellIs" dxfId="785" priority="344" operator="equal">
      <formula>"SI"</formula>
    </cfRule>
  </conditionalFormatting>
  <conditionalFormatting sqref="AM245">
    <cfRule type="cellIs" dxfId="784" priority="339" operator="equal">
      <formula>"SD"</formula>
    </cfRule>
    <cfRule type="cellIs" dxfId="783" priority="340" operator="equal">
      <formula>"NO"</formula>
    </cfRule>
    <cfRule type="cellIs" dxfId="782" priority="341" operator="equal">
      <formula>"SI"</formula>
    </cfRule>
  </conditionalFormatting>
  <conditionalFormatting sqref="AV245">
    <cfRule type="cellIs" dxfId="781" priority="336" operator="equal">
      <formula>"SD"</formula>
    </cfRule>
    <cfRule type="cellIs" dxfId="780" priority="337" operator="equal">
      <formula>"NO"</formula>
    </cfRule>
    <cfRule type="cellIs" dxfId="779" priority="338" operator="equal">
      <formula>"SI"</formula>
    </cfRule>
  </conditionalFormatting>
  <conditionalFormatting sqref="BA245">
    <cfRule type="cellIs" dxfId="778" priority="333" operator="equal">
      <formula>"SD"</formula>
    </cfRule>
    <cfRule type="cellIs" dxfId="777" priority="334" operator="equal">
      <formula>"NO"</formula>
    </cfRule>
    <cfRule type="cellIs" dxfId="776" priority="335" operator="equal">
      <formula>"SI"</formula>
    </cfRule>
  </conditionalFormatting>
  <conditionalFormatting sqref="AY245">
    <cfRule type="containsText" dxfId="775" priority="328" operator="containsText" text="SD">
      <formula>NOT(ISERROR(SEARCH("SD",AY245)))</formula>
    </cfRule>
    <cfRule type="containsText" dxfId="774" priority="329" operator="containsText" text="SI, NO CONTROLADA">
      <formula>NOT(ISERROR(SEARCH("SI, NO CONTROLADA",AY245)))</formula>
    </cfRule>
    <cfRule type="containsText" dxfId="773" priority="330" operator="containsText" text="SI, SIN MANEJO">
      <formula>NOT(ISERROR(SEARCH("SI, SIN MANEJO",AY245)))</formula>
    </cfRule>
    <cfRule type="containsText" dxfId="772" priority="331" operator="containsText" text="SI, CONTROLADA">
      <formula>NOT(ISERROR(SEARCH("SI, CONTROLADA",AY245)))</formula>
    </cfRule>
    <cfRule type="containsText" dxfId="771" priority="332" operator="containsText" text="NO">
      <formula>NOT(ISERROR(SEARCH("NO",AY245)))</formula>
    </cfRule>
  </conditionalFormatting>
  <conditionalFormatting sqref="AZ245">
    <cfRule type="containsText" dxfId="770" priority="323" operator="containsText" text="SD">
      <formula>NOT(ISERROR(SEARCH("SD",AZ245)))</formula>
    </cfRule>
    <cfRule type="containsText" dxfId="769" priority="324" operator="containsText" text="SI, NO CONTROLADA">
      <formula>NOT(ISERROR(SEARCH("SI, NO CONTROLADA",AZ245)))</formula>
    </cfRule>
    <cfRule type="containsText" dxfId="768" priority="325" operator="containsText" text="SI, SIN MANEJO">
      <formula>NOT(ISERROR(SEARCH("SI, SIN MANEJO",AZ245)))</formula>
    </cfRule>
    <cfRule type="containsText" dxfId="767" priority="326" operator="containsText" text="SI, CONTROLADA">
      <formula>NOT(ISERROR(SEARCH("SI, CONTROLADA",AZ245)))</formula>
    </cfRule>
    <cfRule type="containsText" dxfId="766" priority="327" operator="containsText" text="NO">
      <formula>NOT(ISERROR(SEARCH("NO",AZ245)))</formula>
    </cfRule>
  </conditionalFormatting>
  <conditionalFormatting sqref="BB245">
    <cfRule type="cellIs" dxfId="765" priority="320" operator="equal">
      <formula>"SD"</formula>
    </cfRule>
    <cfRule type="cellIs" dxfId="764" priority="321" operator="equal">
      <formula>"NO"</formula>
    </cfRule>
    <cfRule type="cellIs" dxfId="763" priority="322" operator="equal">
      <formula>"SI"</formula>
    </cfRule>
  </conditionalFormatting>
  <conditionalFormatting sqref="BC245">
    <cfRule type="cellIs" dxfId="762" priority="317" operator="equal">
      <formula>"SD"</formula>
    </cfRule>
    <cfRule type="cellIs" dxfId="761" priority="318" operator="equal">
      <formula>"NO"</formula>
    </cfRule>
    <cfRule type="cellIs" dxfId="760" priority="319" operator="equal">
      <formula>"SI"</formula>
    </cfRule>
  </conditionalFormatting>
  <conditionalFormatting sqref="BF245">
    <cfRule type="cellIs" dxfId="759" priority="314" operator="equal">
      <formula>"SD"</formula>
    </cfRule>
    <cfRule type="cellIs" dxfId="758" priority="315" operator="equal">
      <formula>"NO"</formula>
    </cfRule>
    <cfRule type="cellIs" dxfId="757" priority="316" operator="equal">
      <formula>"SI"</formula>
    </cfRule>
  </conditionalFormatting>
  <conditionalFormatting sqref="BD245:BE245">
    <cfRule type="cellIs" dxfId="756" priority="311" operator="equal">
      <formula>"SD"</formula>
    </cfRule>
    <cfRule type="cellIs" dxfId="755" priority="312" operator="equal">
      <formula>"NO"</formula>
    </cfRule>
    <cfRule type="cellIs" dxfId="754" priority="313" operator="equal">
      <formula>"SI"</formula>
    </cfRule>
  </conditionalFormatting>
  <conditionalFormatting sqref="BE245">
    <cfRule type="expression" dxfId="753" priority="310">
      <formula>IF(AND(FA245&gt;=126,FC245&lt;24),1,0)</formula>
    </cfRule>
  </conditionalFormatting>
  <conditionalFormatting sqref="BG245">
    <cfRule type="cellIs" dxfId="752" priority="307" operator="equal">
      <formula>"SD"</formula>
    </cfRule>
    <cfRule type="cellIs" dxfId="751" priority="308" operator="equal">
      <formula>"NO"</formula>
    </cfRule>
    <cfRule type="cellIs" dxfId="750" priority="309" operator="equal">
      <formula>"SI"</formula>
    </cfRule>
  </conditionalFormatting>
  <conditionalFormatting sqref="BH245">
    <cfRule type="cellIs" dxfId="749" priority="304" operator="equal">
      <formula>"SD"</formula>
    </cfRule>
    <cfRule type="cellIs" dxfId="748" priority="305" operator="equal">
      <formula>"NO"</formula>
    </cfRule>
    <cfRule type="cellIs" dxfId="747" priority="306" operator="equal">
      <formula>"SI"</formula>
    </cfRule>
  </conditionalFormatting>
  <conditionalFormatting sqref="BI245">
    <cfRule type="cellIs" dxfId="746" priority="301" operator="equal">
      <formula>"SD"</formula>
    </cfRule>
    <cfRule type="cellIs" dxfId="745" priority="302" operator="equal">
      <formula>"NO"</formula>
    </cfRule>
    <cfRule type="cellIs" dxfId="744" priority="303" operator="equal">
      <formula>"SI"</formula>
    </cfRule>
  </conditionalFormatting>
  <conditionalFormatting sqref="BJ245">
    <cfRule type="cellIs" dxfId="743" priority="298" operator="equal">
      <formula>"SD"</formula>
    </cfRule>
    <cfRule type="cellIs" dxfId="742" priority="299" operator="equal">
      <formula>"NO"</formula>
    </cfRule>
    <cfRule type="cellIs" dxfId="741" priority="300" operator="equal">
      <formula>"SI"</formula>
    </cfRule>
  </conditionalFormatting>
  <conditionalFormatting sqref="BL245:BM245">
    <cfRule type="cellIs" dxfId="740" priority="295" operator="equal">
      <formula>"SD"</formula>
    </cfRule>
    <cfRule type="cellIs" dxfId="739" priority="296" operator="equal">
      <formula>"NO"</formula>
    </cfRule>
    <cfRule type="cellIs" dxfId="738" priority="297" operator="equal">
      <formula>"SI"</formula>
    </cfRule>
  </conditionalFormatting>
  <conditionalFormatting sqref="BK245">
    <cfRule type="cellIs" dxfId="737" priority="292" operator="equal">
      <formula>"SD"</formula>
    </cfRule>
    <cfRule type="cellIs" dxfId="736" priority="293" operator="equal">
      <formula>"NO"</formula>
    </cfRule>
    <cfRule type="cellIs" dxfId="735" priority="294" operator="equal">
      <formula>"SI"</formula>
    </cfRule>
  </conditionalFormatting>
  <conditionalFormatting sqref="DA176">
    <cfRule type="expression" dxfId="734" priority="291">
      <formula>IF(DC176="NO APLICA REGISTRO TA-INGRESO TARDIO",1,"")</formula>
    </cfRule>
  </conditionalFormatting>
  <conditionalFormatting sqref="DB176">
    <cfRule type="expression" dxfId="733" priority="290">
      <formula>IF(DC176="NO APLICA REGISTRO TA-INGRESO TARDIO",1,"")</formula>
    </cfRule>
  </conditionalFormatting>
  <conditionalFormatting sqref="DA174">
    <cfRule type="expression" dxfId="732" priority="289">
      <formula>IF(DC174="NO APLICA REGISTRO TA-INGRESO TARDIO",1,"")</formula>
    </cfRule>
  </conditionalFormatting>
  <conditionalFormatting sqref="DB174">
    <cfRule type="expression" dxfId="731" priority="288">
      <formula>IF(DC174="NO APLICA REGISTRO TA-INGRESO TARDIO",1,"")</formula>
    </cfRule>
  </conditionalFormatting>
  <conditionalFormatting sqref="L246">
    <cfRule type="containsText" dxfId="730" priority="279" operator="containsText" text="Empleo informal">
      <formula>NOT(ISERROR(SEARCH("Empleo informal",L246)))</formula>
    </cfRule>
    <cfRule type="containsText" dxfId="729" priority="280" operator="containsText" text="Empleada formalmente con riesgo a tóxicos">
      <formula>NOT(ISERROR(SEARCH("Empleada formalmente con riesgo a tóxicos",L246)))</formula>
    </cfRule>
    <cfRule type="containsText" dxfId="728" priority="281" operator="containsText" text="Empleada formalmente con riesgo de accidente laboral">
      <formula>NOT(ISERROR(SEARCH("Empleada formalmente con riesgo de accidente laboral",L246)))</formula>
    </cfRule>
    <cfRule type="containsText" dxfId="727" priority="282" operator="containsText" text="Empleada formalmente por jornada laboral extensa">
      <formula>NOT(ISERROR(SEARCH("Empleada formalmente por jornada laboral extensa",L246)))</formula>
    </cfRule>
    <cfRule type="containsText" dxfId="726" priority="283" operator="containsText" text="Empleada formalmente sin riesgo">
      <formula>NOT(ISERROR(SEARCH("Empleada formalmente sin riesgo",L246)))</formula>
    </cfRule>
    <cfRule type="containsText" dxfId="725" priority="284" operator="containsText" text="Actualmente desempleada">
      <formula>NOT(ISERROR(SEARCH("Actualmente desempleada",L246)))</formula>
    </cfRule>
    <cfRule type="containsText" dxfId="724" priority="285" operator="containsText" text="Hogar sin apoyo">
      <formula>NOT(ISERROR(SEARCH("Hogar sin apoyo",L246)))</formula>
    </cfRule>
    <cfRule type="containsText" dxfId="723" priority="286" operator="containsText" text="Empleada formalmente sin riesgo">
      <formula>NOT(ISERROR(SEARCH("Empleada formalmente sin riesgo",L246)))</formula>
    </cfRule>
    <cfRule type="containsText" dxfId="722" priority="287" operator="containsText" text="Hogar Con apoyo">
      <formula>NOT(ISERROR(SEARCH("Hogar Con apoyo",L246)))</formula>
    </cfRule>
  </conditionalFormatting>
  <conditionalFormatting sqref="AC246">
    <cfRule type="containsText" dxfId="721" priority="275" operator="containsText" text="SABE">
      <formula>NOT(ISERROR(SEARCH("SABE",AC246)))</formula>
    </cfRule>
    <cfRule type="containsText" dxfId="720" priority="276" operator="containsText" text="SECUNDARIA">
      <formula>NOT(ISERROR(SEARCH("SECUNDARIA",AC246)))</formula>
    </cfRule>
    <cfRule type="containsText" dxfId="719" priority="277" operator="containsText" text="PRIMARIA INCOMPLETA">
      <formula>NOT(ISERROR(SEARCH("PRIMARIA INCOMPLETA",AC246)))</formula>
    </cfRule>
    <cfRule type="cellIs" dxfId="718" priority="278" operator="equal">
      <formula>"ANALFABETA"</formula>
    </cfRule>
  </conditionalFormatting>
  <conditionalFormatting sqref="AD246">
    <cfRule type="containsText" dxfId="717" priority="272" operator="containsText" text="No Consume">
      <formula>NOT(ISERROR(SEARCH("No Consume",AD246)))</formula>
    </cfRule>
    <cfRule type="containsText" dxfId="716" priority="273" operator="containsText" text="Hasta Antes de la Gestación">
      <formula>NOT(ISERROR(SEARCH("Hasta Antes de la Gestación",AD246)))</formula>
    </cfRule>
    <cfRule type="containsText" dxfId="715" priority="274" operator="containsText" text="Consumo Actual">
      <formula>NOT(ISERROR(SEARCH("Consumo Actual",AD246)))</formula>
    </cfRule>
  </conditionalFormatting>
  <conditionalFormatting sqref="AS246">
    <cfRule type="cellIs" dxfId="714" priority="269" operator="equal">
      <formula>"SD"</formula>
    </cfRule>
    <cfRule type="cellIs" dxfId="713" priority="270" operator="equal">
      <formula>"NO"</formula>
    </cfRule>
    <cfRule type="cellIs" dxfId="712" priority="271" operator="equal">
      <formula>"SI"</formula>
    </cfRule>
  </conditionalFormatting>
  <conditionalFormatting sqref="AE246:AF246">
    <cfRule type="containsText" dxfId="711" priority="267" operator="containsText" text="NO">
      <formula>NOT(ISERROR(SEARCH("NO",AE246)))</formula>
    </cfRule>
    <cfRule type="containsText" dxfId="710" priority="268" operator="containsText" text="SI">
      <formula>NOT(ISERROR(SEARCH("SI",AE246)))</formula>
    </cfRule>
  </conditionalFormatting>
  <conditionalFormatting sqref="AL246:AR246">
    <cfRule type="cellIs" dxfId="709" priority="264" operator="equal">
      <formula>"SD"</formula>
    </cfRule>
    <cfRule type="cellIs" dxfId="708" priority="265" operator="equal">
      <formula>"NO"</formula>
    </cfRule>
    <cfRule type="cellIs" dxfId="707" priority="266" operator="equal">
      <formula>"SI"</formula>
    </cfRule>
  </conditionalFormatting>
  <conditionalFormatting sqref="AK246">
    <cfRule type="containsText" dxfId="706" priority="261" operator="containsText" text="COMPLETAR EVALUACIÓN">
      <formula>NOT(ISERROR(SEARCH("COMPLETAR EVALUACIÓN",AK246)))</formula>
    </cfRule>
    <cfRule type="containsText" dxfId="705" priority="262" operator="containsText" text="CON RIESGO">
      <formula>NOT(ISERROR(SEARCH("CON RIESGO",AK246)))</formula>
    </cfRule>
    <cfRule type="containsText" dxfId="704" priority="263" operator="containsText" text="SIN RIESGO">
      <formula>NOT(ISERROR(SEARCH("SIN RIESGO",AK246)))</formula>
    </cfRule>
  </conditionalFormatting>
  <conditionalFormatting sqref="AG246:AH246">
    <cfRule type="cellIs" dxfId="703" priority="258" operator="equal">
      <formula>"SD"</formula>
    </cfRule>
    <cfRule type="cellIs" dxfId="702" priority="259" operator="equal">
      <formula>"NO"</formula>
    </cfRule>
    <cfRule type="cellIs" dxfId="701" priority="260" operator="equal">
      <formula>"SI"</formula>
    </cfRule>
  </conditionalFormatting>
  <conditionalFormatting sqref="AI246">
    <cfRule type="containsText" dxfId="700" priority="253" operator="containsText" text="HABITANTE DE CALLE">
      <formula>NOT(ISERROR(SEARCH("HABITANTE DE CALLE",AI246)))</formula>
    </cfRule>
    <cfRule type="containsText" dxfId="699" priority="254" operator="containsText" text="NINGUNO">
      <formula>NOT(ISERROR(SEARCH("NINGUNO",AI246)))</formula>
    </cfRule>
    <cfRule type="containsText" dxfId="698" priority="255" operator="containsText" text="MIGRATORIA">
      <formula>NOT(ISERROR(SEARCH("MIGRATORIA",AI246)))</formula>
    </cfRule>
    <cfRule type="containsText" dxfId="697" priority="256" operator="containsText" text="DISCAPACIDAD">
      <formula>NOT(ISERROR(SEARCH("DISCAPACIDAD",AI246)))</formula>
    </cfRule>
    <cfRule type="containsText" dxfId="696" priority="257" operator="containsText" text="DESPLAZADA">
      <formula>NOT(ISERROR(SEARCH("DESPLAZADA",AI246)))</formula>
    </cfRule>
  </conditionalFormatting>
  <conditionalFormatting sqref="AJ246">
    <cfRule type="cellIs" dxfId="695" priority="250" operator="equal">
      <formula>"SD"</formula>
    </cfRule>
    <cfRule type="cellIs" dxfId="694" priority="251" operator="equal">
      <formula>"NO"</formula>
    </cfRule>
    <cfRule type="cellIs" dxfId="693" priority="252" operator="equal">
      <formula>"SI"</formula>
    </cfRule>
  </conditionalFormatting>
  <conditionalFormatting sqref="AT246:AW246">
    <cfRule type="cellIs" dxfId="692" priority="247" operator="equal">
      <formula>"SD"</formula>
    </cfRule>
    <cfRule type="cellIs" dxfId="691" priority="248" operator="equal">
      <formula>"NO"</formula>
    </cfRule>
    <cfRule type="cellIs" dxfId="690" priority="249" operator="equal">
      <formula>"SI"</formula>
    </cfRule>
  </conditionalFormatting>
  <conditionalFormatting sqref="AW246">
    <cfRule type="cellIs" dxfId="689" priority="244" operator="equal">
      <formula>1</formula>
    </cfRule>
    <cfRule type="cellIs" dxfId="688" priority="245" operator="equal">
      <formula>"3 O MAS"</formula>
    </cfRule>
    <cfRule type="cellIs" dxfId="687" priority="246" operator="equal">
      <formula>2</formula>
    </cfRule>
  </conditionalFormatting>
  <conditionalFormatting sqref="AX246 BA246">
    <cfRule type="cellIs" dxfId="686" priority="241" operator="equal">
      <formula>"SD"</formula>
    </cfRule>
    <cfRule type="cellIs" dxfId="685" priority="242" operator="equal">
      <formula>"NO"</formula>
    </cfRule>
    <cfRule type="cellIs" dxfId="684" priority="243" operator="equal">
      <formula>"SI"</formula>
    </cfRule>
  </conditionalFormatting>
  <conditionalFormatting sqref="AY246">
    <cfRule type="containsText" dxfId="683" priority="236" operator="containsText" text="SD">
      <formula>NOT(ISERROR(SEARCH("SD",AY246)))</formula>
    </cfRule>
    <cfRule type="containsText" dxfId="682" priority="237" operator="containsText" text="SI, NO CONTROLADA">
      <formula>NOT(ISERROR(SEARCH("SI, NO CONTROLADA",AY246)))</formula>
    </cfRule>
    <cfRule type="containsText" dxfId="681" priority="238" operator="containsText" text="SI, SIN MANEJO">
      <formula>NOT(ISERROR(SEARCH("SI, SIN MANEJO",AY246)))</formula>
    </cfRule>
    <cfRule type="containsText" dxfId="680" priority="239" operator="containsText" text="SI, CONTROLADA">
      <formula>NOT(ISERROR(SEARCH("SI, CONTROLADA",AY246)))</formula>
    </cfRule>
    <cfRule type="containsText" dxfId="679" priority="240" operator="containsText" text="NO">
      <formula>NOT(ISERROR(SEARCH("NO",AY246)))</formula>
    </cfRule>
  </conditionalFormatting>
  <conditionalFormatting sqref="AZ246">
    <cfRule type="containsText" dxfId="678" priority="231" operator="containsText" text="SD">
      <formula>NOT(ISERROR(SEARCH("SD",AZ246)))</formula>
    </cfRule>
    <cfRule type="containsText" dxfId="677" priority="232" operator="containsText" text="SI, NO CONTROLADA">
      <formula>NOT(ISERROR(SEARCH("SI, NO CONTROLADA",AZ246)))</formula>
    </cfRule>
    <cfRule type="containsText" dxfId="676" priority="233" operator="containsText" text="SI, SIN MANEJO">
      <formula>NOT(ISERROR(SEARCH("SI, SIN MANEJO",AZ246)))</formula>
    </cfRule>
    <cfRule type="containsText" dxfId="675" priority="234" operator="containsText" text="SI, CONTROLADA">
      <formula>NOT(ISERROR(SEARCH("SI, CONTROLADA",AZ246)))</formula>
    </cfRule>
    <cfRule type="containsText" dxfId="674" priority="235" operator="containsText" text="NO">
      <formula>NOT(ISERROR(SEARCH("NO",AZ246)))</formula>
    </cfRule>
  </conditionalFormatting>
  <conditionalFormatting sqref="BB246">
    <cfRule type="cellIs" dxfId="673" priority="228" operator="equal">
      <formula>"SD"</formula>
    </cfRule>
    <cfRule type="cellIs" dxfId="672" priority="229" operator="equal">
      <formula>"NO"</formula>
    </cfRule>
    <cfRule type="cellIs" dxfId="671" priority="230" operator="equal">
      <formula>"SI"</formula>
    </cfRule>
  </conditionalFormatting>
  <conditionalFormatting sqref="BC246">
    <cfRule type="cellIs" dxfId="670" priority="225" operator="equal">
      <formula>"SD"</formula>
    </cfRule>
    <cfRule type="cellIs" dxfId="669" priority="226" operator="equal">
      <formula>"NO"</formula>
    </cfRule>
    <cfRule type="cellIs" dxfId="668" priority="227" operator="equal">
      <formula>"SI"</formula>
    </cfRule>
  </conditionalFormatting>
  <conditionalFormatting sqref="BF246">
    <cfRule type="cellIs" dxfId="667" priority="222" operator="equal">
      <formula>"SD"</formula>
    </cfRule>
    <cfRule type="cellIs" dxfId="666" priority="223" operator="equal">
      <formula>"NO"</formula>
    </cfRule>
    <cfRule type="cellIs" dxfId="665" priority="224" operator="equal">
      <formula>"SI"</formula>
    </cfRule>
  </conditionalFormatting>
  <conditionalFormatting sqref="BD246:BE246">
    <cfRule type="cellIs" dxfId="664" priority="219" operator="equal">
      <formula>"SD"</formula>
    </cfRule>
    <cfRule type="cellIs" dxfId="663" priority="220" operator="equal">
      <formula>"NO"</formula>
    </cfRule>
    <cfRule type="cellIs" dxfId="662" priority="221" operator="equal">
      <formula>"SI"</formula>
    </cfRule>
  </conditionalFormatting>
  <conditionalFormatting sqref="BE246">
    <cfRule type="expression" dxfId="661" priority="218">
      <formula>IF(AND(FA246&gt;=126,FC246&lt;24),1,0)</formula>
    </cfRule>
  </conditionalFormatting>
  <conditionalFormatting sqref="BG246">
    <cfRule type="cellIs" dxfId="660" priority="215" operator="equal">
      <formula>"SD"</formula>
    </cfRule>
    <cfRule type="cellIs" dxfId="659" priority="216" operator="equal">
      <formula>"NO"</formula>
    </cfRule>
    <cfRule type="cellIs" dxfId="658" priority="217" operator="equal">
      <formula>"SI"</formula>
    </cfRule>
  </conditionalFormatting>
  <conditionalFormatting sqref="BH246">
    <cfRule type="cellIs" dxfId="657" priority="212" operator="equal">
      <formula>"SD"</formula>
    </cfRule>
    <cfRule type="cellIs" dxfId="656" priority="213" operator="equal">
      <formula>"NO"</formula>
    </cfRule>
    <cfRule type="cellIs" dxfId="655" priority="214" operator="equal">
      <formula>"SI"</formula>
    </cfRule>
  </conditionalFormatting>
  <conditionalFormatting sqref="BI246">
    <cfRule type="cellIs" dxfId="654" priority="209" operator="equal">
      <formula>"SD"</formula>
    </cfRule>
    <cfRule type="cellIs" dxfId="653" priority="210" operator="equal">
      <formula>"NO"</formula>
    </cfRule>
    <cfRule type="cellIs" dxfId="652" priority="211" operator="equal">
      <formula>"SI"</formula>
    </cfRule>
  </conditionalFormatting>
  <conditionalFormatting sqref="BJ246">
    <cfRule type="cellIs" dxfId="651" priority="206" operator="equal">
      <formula>"SD"</formula>
    </cfRule>
    <cfRule type="cellIs" dxfId="650" priority="207" operator="equal">
      <formula>"NO"</formula>
    </cfRule>
    <cfRule type="cellIs" dxfId="649" priority="208" operator="equal">
      <formula>"SI"</formula>
    </cfRule>
  </conditionalFormatting>
  <conditionalFormatting sqref="BL246:BM246">
    <cfRule type="cellIs" dxfId="648" priority="203" operator="equal">
      <formula>"SD"</formula>
    </cfRule>
    <cfRule type="cellIs" dxfId="647" priority="204" operator="equal">
      <formula>"NO"</formula>
    </cfRule>
    <cfRule type="cellIs" dxfId="646" priority="205" operator="equal">
      <formula>"SI"</formula>
    </cfRule>
  </conditionalFormatting>
  <conditionalFormatting sqref="BK246">
    <cfRule type="cellIs" dxfId="645" priority="200" operator="equal">
      <formula>"SD"</formula>
    </cfRule>
    <cfRule type="cellIs" dxfId="644" priority="201" operator="equal">
      <formula>"NO"</formula>
    </cfRule>
    <cfRule type="cellIs" dxfId="643" priority="202" operator="equal">
      <formula>"SI"</formula>
    </cfRule>
  </conditionalFormatting>
  <conditionalFormatting sqref="L247">
    <cfRule type="containsText" dxfId="642" priority="191" operator="containsText" text="Empleo informal">
      <formula>NOT(ISERROR(SEARCH("Empleo informal",L247)))</formula>
    </cfRule>
    <cfRule type="containsText" dxfId="641" priority="192" operator="containsText" text="Empleada formalmente con riesgo a tóxicos">
      <formula>NOT(ISERROR(SEARCH("Empleada formalmente con riesgo a tóxicos",L247)))</formula>
    </cfRule>
    <cfRule type="containsText" dxfId="640" priority="193" operator="containsText" text="Empleada formalmente con riesgo de accidente laboral">
      <formula>NOT(ISERROR(SEARCH("Empleada formalmente con riesgo de accidente laboral",L247)))</formula>
    </cfRule>
    <cfRule type="containsText" dxfId="639" priority="194" operator="containsText" text="Empleada formalmente por jornada laboral extensa">
      <formula>NOT(ISERROR(SEARCH("Empleada formalmente por jornada laboral extensa",L247)))</formula>
    </cfRule>
    <cfRule type="containsText" dxfId="638" priority="195" operator="containsText" text="Empleada formalmente sin riesgo">
      <formula>NOT(ISERROR(SEARCH("Empleada formalmente sin riesgo",L247)))</formula>
    </cfRule>
    <cfRule type="containsText" dxfId="637" priority="196" operator="containsText" text="Actualmente desempleada">
      <formula>NOT(ISERROR(SEARCH("Actualmente desempleada",L247)))</formula>
    </cfRule>
    <cfRule type="containsText" dxfId="636" priority="197" operator="containsText" text="Hogar sin apoyo">
      <formula>NOT(ISERROR(SEARCH("Hogar sin apoyo",L247)))</formula>
    </cfRule>
    <cfRule type="containsText" dxfId="635" priority="198" operator="containsText" text="Empleada formalmente sin riesgo">
      <formula>NOT(ISERROR(SEARCH("Empleada formalmente sin riesgo",L247)))</formula>
    </cfRule>
    <cfRule type="containsText" dxfId="634" priority="199" operator="containsText" text="Hogar Con apoyo">
      <formula>NOT(ISERROR(SEARCH("Hogar Con apoyo",L247)))</formula>
    </cfRule>
  </conditionalFormatting>
  <conditionalFormatting sqref="AC247">
    <cfRule type="containsText" dxfId="633" priority="187" operator="containsText" text="SABE">
      <formula>NOT(ISERROR(SEARCH("SABE",AC247)))</formula>
    </cfRule>
    <cfRule type="containsText" dxfId="632" priority="188" operator="containsText" text="SECUNDARIA">
      <formula>NOT(ISERROR(SEARCH("SECUNDARIA",AC247)))</formula>
    </cfRule>
    <cfRule type="containsText" dxfId="631" priority="189" operator="containsText" text="PRIMARIA INCOMPLETA">
      <formula>NOT(ISERROR(SEARCH("PRIMARIA INCOMPLETA",AC247)))</formula>
    </cfRule>
    <cfRule type="cellIs" dxfId="630" priority="190" operator="equal">
      <formula>"ANALFABETA"</formula>
    </cfRule>
  </conditionalFormatting>
  <conditionalFormatting sqref="AD247">
    <cfRule type="containsText" dxfId="629" priority="184" operator="containsText" text="No Consume">
      <formula>NOT(ISERROR(SEARCH("No Consume",AD247)))</formula>
    </cfRule>
    <cfRule type="containsText" dxfId="628" priority="185" operator="containsText" text="Hasta Antes de la Gestación">
      <formula>NOT(ISERROR(SEARCH("Hasta Antes de la Gestación",AD247)))</formula>
    </cfRule>
    <cfRule type="containsText" dxfId="627" priority="186" operator="containsText" text="Consumo Actual">
      <formula>NOT(ISERROR(SEARCH("Consumo Actual",AD247)))</formula>
    </cfRule>
  </conditionalFormatting>
  <conditionalFormatting sqref="AE247:AF247">
    <cfRule type="containsText" dxfId="626" priority="182" operator="containsText" text="NO">
      <formula>NOT(ISERROR(SEARCH("NO",AE247)))</formula>
    </cfRule>
    <cfRule type="containsText" dxfId="625" priority="183" operator="containsText" text="SI">
      <formula>NOT(ISERROR(SEARCH("SI",AE247)))</formula>
    </cfRule>
  </conditionalFormatting>
  <conditionalFormatting sqref="AL247:AR247">
    <cfRule type="cellIs" dxfId="624" priority="179" operator="equal">
      <formula>"SD"</formula>
    </cfRule>
    <cfRule type="cellIs" dxfId="623" priority="180" operator="equal">
      <formula>"NO"</formula>
    </cfRule>
    <cfRule type="cellIs" dxfId="622" priority="181" operator="equal">
      <formula>"SI"</formula>
    </cfRule>
  </conditionalFormatting>
  <conditionalFormatting sqref="AK247">
    <cfRule type="containsText" dxfId="621" priority="176" operator="containsText" text="COMPLETAR EVALUACIÓN">
      <formula>NOT(ISERROR(SEARCH("COMPLETAR EVALUACIÓN",AK247)))</formula>
    </cfRule>
    <cfRule type="containsText" dxfId="620" priority="177" operator="containsText" text="CON RIESGO">
      <formula>NOT(ISERROR(SEARCH("CON RIESGO",AK247)))</formula>
    </cfRule>
    <cfRule type="containsText" dxfId="619" priority="178" operator="containsText" text="SIN RIESGO">
      <formula>NOT(ISERROR(SEARCH("SIN RIESGO",AK247)))</formula>
    </cfRule>
  </conditionalFormatting>
  <conditionalFormatting sqref="AG247:AH247">
    <cfRule type="cellIs" dxfId="618" priority="173" operator="equal">
      <formula>"SD"</formula>
    </cfRule>
    <cfRule type="cellIs" dxfId="617" priority="174" operator="equal">
      <formula>"NO"</formula>
    </cfRule>
    <cfRule type="cellIs" dxfId="616" priority="175" operator="equal">
      <formula>"SI"</formula>
    </cfRule>
  </conditionalFormatting>
  <conditionalFormatting sqref="AI247">
    <cfRule type="containsText" dxfId="615" priority="168" operator="containsText" text="HABITANTE DE CALLE">
      <formula>NOT(ISERROR(SEARCH("HABITANTE DE CALLE",AI247)))</formula>
    </cfRule>
    <cfRule type="containsText" dxfId="614" priority="169" operator="containsText" text="NINGUNO">
      <formula>NOT(ISERROR(SEARCH("NINGUNO",AI247)))</formula>
    </cfRule>
    <cfRule type="containsText" dxfId="613" priority="170" operator="containsText" text="MIGRATORIA">
      <formula>NOT(ISERROR(SEARCH("MIGRATORIA",AI247)))</formula>
    </cfRule>
    <cfRule type="containsText" dxfId="612" priority="171" operator="containsText" text="DISCAPACIDAD">
      <formula>NOT(ISERROR(SEARCH("DISCAPACIDAD",AI247)))</formula>
    </cfRule>
    <cfRule type="containsText" dxfId="611" priority="172" operator="containsText" text="DESPLAZADA">
      <formula>NOT(ISERROR(SEARCH("DESPLAZADA",AI247)))</formula>
    </cfRule>
  </conditionalFormatting>
  <conditionalFormatting sqref="AJ247">
    <cfRule type="cellIs" dxfId="610" priority="165" operator="equal">
      <formula>"SD"</formula>
    </cfRule>
    <cfRule type="cellIs" dxfId="609" priority="166" operator="equal">
      <formula>"NO"</formula>
    </cfRule>
    <cfRule type="cellIs" dxfId="608" priority="167" operator="equal">
      <formula>"SI"</formula>
    </cfRule>
  </conditionalFormatting>
  <conditionalFormatting sqref="AV247">
    <cfRule type="cellIs" dxfId="607" priority="162" operator="equal">
      <formula>"SD"</formula>
    </cfRule>
    <cfRule type="cellIs" dxfId="606" priority="163" operator="equal">
      <formula>"NO"</formula>
    </cfRule>
    <cfRule type="cellIs" dxfId="605" priority="164" operator="equal">
      <formula>"SI"</formula>
    </cfRule>
  </conditionalFormatting>
  <conditionalFormatting sqref="AX247 BA247">
    <cfRule type="cellIs" dxfId="604" priority="159" operator="equal">
      <formula>"SD"</formula>
    </cfRule>
    <cfRule type="cellIs" dxfId="603" priority="160" operator="equal">
      <formula>"NO"</formula>
    </cfRule>
    <cfRule type="cellIs" dxfId="602" priority="161" operator="equal">
      <formula>"SI"</formula>
    </cfRule>
  </conditionalFormatting>
  <conditionalFormatting sqref="AY247">
    <cfRule type="containsText" dxfId="601" priority="154" operator="containsText" text="SD">
      <formula>NOT(ISERROR(SEARCH("SD",AY247)))</formula>
    </cfRule>
    <cfRule type="containsText" dxfId="600" priority="155" operator="containsText" text="SI, NO CONTROLADA">
      <formula>NOT(ISERROR(SEARCH("SI, NO CONTROLADA",AY247)))</formula>
    </cfRule>
    <cfRule type="containsText" dxfId="599" priority="156" operator="containsText" text="SI, SIN MANEJO">
      <formula>NOT(ISERROR(SEARCH("SI, SIN MANEJO",AY247)))</formula>
    </cfRule>
    <cfRule type="containsText" dxfId="598" priority="157" operator="containsText" text="SI, CONTROLADA">
      <formula>NOT(ISERROR(SEARCH("SI, CONTROLADA",AY247)))</formula>
    </cfRule>
    <cfRule type="containsText" dxfId="597" priority="158" operator="containsText" text="NO">
      <formula>NOT(ISERROR(SEARCH("NO",AY247)))</formula>
    </cfRule>
  </conditionalFormatting>
  <conditionalFormatting sqref="AZ247">
    <cfRule type="containsText" dxfId="596" priority="149" operator="containsText" text="SD">
      <formula>NOT(ISERROR(SEARCH("SD",AZ247)))</formula>
    </cfRule>
    <cfRule type="containsText" dxfId="595" priority="150" operator="containsText" text="SI, NO CONTROLADA">
      <formula>NOT(ISERROR(SEARCH("SI, NO CONTROLADA",AZ247)))</formula>
    </cfRule>
    <cfRule type="containsText" dxfId="594" priority="151" operator="containsText" text="SI, SIN MANEJO">
      <formula>NOT(ISERROR(SEARCH("SI, SIN MANEJO",AZ247)))</formula>
    </cfRule>
    <cfRule type="containsText" dxfId="593" priority="152" operator="containsText" text="SI, CONTROLADA">
      <formula>NOT(ISERROR(SEARCH("SI, CONTROLADA",AZ247)))</formula>
    </cfRule>
    <cfRule type="containsText" dxfId="592" priority="153" operator="containsText" text="NO">
      <formula>NOT(ISERROR(SEARCH("NO",AZ247)))</formula>
    </cfRule>
  </conditionalFormatting>
  <conditionalFormatting sqref="BB247">
    <cfRule type="cellIs" dxfId="591" priority="146" operator="equal">
      <formula>"SD"</formula>
    </cfRule>
    <cfRule type="cellIs" dxfId="590" priority="147" operator="equal">
      <formula>"NO"</formula>
    </cfRule>
    <cfRule type="cellIs" dxfId="589" priority="148" operator="equal">
      <formula>"SI"</formula>
    </cfRule>
  </conditionalFormatting>
  <conditionalFormatting sqref="BC247">
    <cfRule type="cellIs" dxfId="588" priority="143" operator="equal">
      <formula>"SD"</formula>
    </cfRule>
    <cfRule type="cellIs" dxfId="587" priority="144" operator="equal">
      <formula>"NO"</formula>
    </cfRule>
    <cfRule type="cellIs" dxfId="586" priority="145" operator="equal">
      <formula>"SI"</formula>
    </cfRule>
  </conditionalFormatting>
  <conditionalFormatting sqref="BF247">
    <cfRule type="cellIs" dxfId="585" priority="140" operator="equal">
      <formula>"SD"</formula>
    </cfRule>
    <cfRule type="cellIs" dxfId="584" priority="141" operator="equal">
      <formula>"NO"</formula>
    </cfRule>
    <cfRule type="cellIs" dxfId="583" priority="142" operator="equal">
      <formula>"SI"</formula>
    </cfRule>
  </conditionalFormatting>
  <conditionalFormatting sqref="BD247:BE247">
    <cfRule type="cellIs" dxfId="582" priority="137" operator="equal">
      <formula>"SD"</formula>
    </cfRule>
    <cfRule type="cellIs" dxfId="581" priority="138" operator="equal">
      <formula>"NO"</formula>
    </cfRule>
    <cfRule type="cellIs" dxfId="580" priority="139" operator="equal">
      <formula>"SI"</formula>
    </cfRule>
  </conditionalFormatting>
  <conditionalFormatting sqref="BE247">
    <cfRule type="expression" dxfId="579" priority="136">
      <formula>IF(AND(FA247&gt;=126,FC247&lt;24),1,0)</formula>
    </cfRule>
  </conditionalFormatting>
  <conditionalFormatting sqref="BG247">
    <cfRule type="cellIs" dxfId="578" priority="133" operator="equal">
      <formula>"SD"</formula>
    </cfRule>
    <cfRule type="cellIs" dxfId="577" priority="134" operator="equal">
      <formula>"NO"</formula>
    </cfRule>
    <cfRule type="cellIs" dxfId="576" priority="135" operator="equal">
      <formula>"SI"</formula>
    </cfRule>
  </conditionalFormatting>
  <conditionalFormatting sqref="BH247">
    <cfRule type="cellIs" dxfId="575" priority="130" operator="equal">
      <formula>"SD"</formula>
    </cfRule>
    <cfRule type="cellIs" dxfId="574" priority="131" operator="equal">
      <formula>"NO"</formula>
    </cfRule>
    <cfRule type="cellIs" dxfId="573" priority="132" operator="equal">
      <formula>"SI"</formula>
    </cfRule>
  </conditionalFormatting>
  <conditionalFormatting sqref="BI247">
    <cfRule type="cellIs" dxfId="572" priority="127" operator="equal">
      <formula>"SD"</formula>
    </cfRule>
    <cfRule type="cellIs" dxfId="571" priority="128" operator="equal">
      <formula>"NO"</formula>
    </cfRule>
    <cfRule type="cellIs" dxfId="570" priority="129" operator="equal">
      <formula>"SI"</formula>
    </cfRule>
  </conditionalFormatting>
  <conditionalFormatting sqref="BJ247">
    <cfRule type="cellIs" dxfId="569" priority="124" operator="equal">
      <formula>"SD"</formula>
    </cfRule>
    <cfRule type="cellIs" dxfId="568" priority="125" operator="equal">
      <formula>"NO"</formula>
    </cfRule>
    <cfRule type="cellIs" dxfId="567" priority="126" operator="equal">
      <formula>"SI"</formula>
    </cfRule>
  </conditionalFormatting>
  <conditionalFormatting sqref="BL247:BM247">
    <cfRule type="cellIs" dxfId="566" priority="121" operator="equal">
      <formula>"SD"</formula>
    </cfRule>
    <cfRule type="cellIs" dxfId="565" priority="122" operator="equal">
      <formula>"NO"</formula>
    </cfRule>
    <cfRule type="cellIs" dxfId="564" priority="123" operator="equal">
      <formula>"SI"</formula>
    </cfRule>
  </conditionalFormatting>
  <conditionalFormatting sqref="BK247">
    <cfRule type="cellIs" dxfId="563" priority="118" operator="equal">
      <formula>"SD"</formula>
    </cfRule>
    <cfRule type="cellIs" dxfId="562" priority="119" operator="equal">
      <formula>"NO"</formula>
    </cfRule>
    <cfRule type="cellIs" dxfId="561" priority="120" operator="equal">
      <formula>"SI"</formula>
    </cfRule>
  </conditionalFormatting>
  <conditionalFormatting sqref="L248">
    <cfRule type="containsText" dxfId="560" priority="109" operator="containsText" text="Empleo informal">
      <formula>NOT(ISERROR(SEARCH("Empleo informal",L248)))</formula>
    </cfRule>
    <cfRule type="containsText" dxfId="559" priority="110" operator="containsText" text="Empleada formalmente con riesgo a tóxicos">
      <formula>NOT(ISERROR(SEARCH("Empleada formalmente con riesgo a tóxicos",L248)))</formula>
    </cfRule>
    <cfRule type="containsText" dxfId="558" priority="111" operator="containsText" text="Empleada formalmente con riesgo de accidente laboral">
      <formula>NOT(ISERROR(SEARCH("Empleada formalmente con riesgo de accidente laboral",L248)))</formula>
    </cfRule>
    <cfRule type="containsText" dxfId="557" priority="112" operator="containsText" text="Empleada formalmente por jornada laboral extensa">
      <formula>NOT(ISERROR(SEARCH("Empleada formalmente por jornada laboral extensa",L248)))</formula>
    </cfRule>
    <cfRule type="containsText" dxfId="556" priority="113" operator="containsText" text="Empleada formalmente sin riesgo">
      <formula>NOT(ISERROR(SEARCH("Empleada formalmente sin riesgo",L248)))</formula>
    </cfRule>
    <cfRule type="containsText" dxfId="555" priority="114" operator="containsText" text="Actualmente desempleada">
      <formula>NOT(ISERROR(SEARCH("Actualmente desempleada",L248)))</formula>
    </cfRule>
    <cfRule type="containsText" dxfId="554" priority="115" operator="containsText" text="Hogar sin apoyo">
      <formula>NOT(ISERROR(SEARCH("Hogar sin apoyo",L248)))</formula>
    </cfRule>
    <cfRule type="containsText" dxfId="553" priority="116" operator="containsText" text="Empleada formalmente sin riesgo">
      <formula>NOT(ISERROR(SEARCH("Empleada formalmente sin riesgo",L248)))</formula>
    </cfRule>
    <cfRule type="containsText" dxfId="552" priority="117" operator="containsText" text="Hogar Con apoyo">
      <formula>NOT(ISERROR(SEARCH("Hogar Con apoyo",L248)))</formula>
    </cfRule>
  </conditionalFormatting>
  <conditionalFormatting sqref="AC248">
    <cfRule type="containsText" dxfId="551" priority="105" operator="containsText" text="SABE">
      <formula>NOT(ISERROR(SEARCH("SABE",AC248)))</formula>
    </cfRule>
    <cfRule type="containsText" dxfId="550" priority="106" operator="containsText" text="SECUNDARIA">
      <formula>NOT(ISERROR(SEARCH("SECUNDARIA",AC248)))</formula>
    </cfRule>
    <cfRule type="containsText" dxfId="549" priority="107" operator="containsText" text="PRIMARIA INCOMPLETA">
      <formula>NOT(ISERROR(SEARCH("PRIMARIA INCOMPLETA",AC248)))</formula>
    </cfRule>
    <cfRule type="cellIs" dxfId="548" priority="108" operator="equal">
      <formula>"ANALFABETA"</formula>
    </cfRule>
  </conditionalFormatting>
  <conditionalFormatting sqref="AD248">
    <cfRule type="containsText" dxfId="547" priority="102" operator="containsText" text="No Consume">
      <formula>NOT(ISERROR(SEARCH("No Consume",AD248)))</formula>
    </cfRule>
    <cfRule type="containsText" dxfId="546" priority="103" operator="containsText" text="Hasta Antes de la Gestación">
      <formula>NOT(ISERROR(SEARCH("Hasta Antes de la Gestación",AD248)))</formula>
    </cfRule>
    <cfRule type="containsText" dxfId="545" priority="104" operator="containsText" text="Consumo Actual">
      <formula>NOT(ISERROR(SEARCH("Consumo Actual",AD248)))</formula>
    </cfRule>
  </conditionalFormatting>
  <conditionalFormatting sqref="AS248">
    <cfRule type="cellIs" dxfId="544" priority="99" operator="equal">
      <formula>"SD"</formula>
    </cfRule>
    <cfRule type="cellIs" dxfId="543" priority="100" operator="equal">
      <formula>"NO"</formula>
    </cfRule>
    <cfRule type="cellIs" dxfId="542" priority="101" operator="equal">
      <formula>"SI"</formula>
    </cfRule>
  </conditionalFormatting>
  <conditionalFormatting sqref="AE248:AF248">
    <cfRule type="containsText" dxfId="541" priority="97" operator="containsText" text="NO">
      <formula>NOT(ISERROR(SEARCH("NO",AE248)))</formula>
    </cfRule>
    <cfRule type="containsText" dxfId="540" priority="98" operator="containsText" text="SI">
      <formula>NOT(ISERROR(SEARCH("SI",AE248)))</formula>
    </cfRule>
  </conditionalFormatting>
  <conditionalFormatting sqref="AL248:AR248">
    <cfRule type="cellIs" dxfId="539" priority="94" operator="equal">
      <formula>"SD"</formula>
    </cfRule>
    <cfRule type="cellIs" dxfId="538" priority="95" operator="equal">
      <formula>"NO"</formula>
    </cfRule>
    <cfRule type="cellIs" dxfId="537" priority="96" operator="equal">
      <formula>"SI"</formula>
    </cfRule>
  </conditionalFormatting>
  <conditionalFormatting sqref="AK248">
    <cfRule type="containsText" dxfId="536" priority="91" operator="containsText" text="COMPLETAR EVALUACIÓN">
      <formula>NOT(ISERROR(SEARCH("COMPLETAR EVALUACIÓN",AK248)))</formula>
    </cfRule>
    <cfRule type="containsText" dxfId="535" priority="92" operator="containsText" text="CON RIESGO">
      <formula>NOT(ISERROR(SEARCH("CON RIESGO",AK248)))</formula>
    </cfRule>
    <cfRule type="containsText" dxfId="534" priority="93" operator="containsText" text="SIN RIESGO">
      <formula>NOT(ISERROR(SEARCH("SIN RIESGO",AK248)))</formula>
    </cfRule>
  </conditionalFormatting>
  <conditionalFormatting sqref="AG248:AH248">
    <cfRule type="cellIs" dxfId="533" priority="88" operator="equal">
      <formula>"SD"</formula>
    </cfRule>
    <cfRule type="cellIs" dxfId="532" priority="89" operator="equal">
      <formula>"NO"</formula>
    </cfRule>
    <cfRule type="cellIs" dxfId="531" priority="90" operator="equal">
      <formula>"SI"</formula>
    </cfRule>
  </conditionalFormatting>
  <conditionalFormatting sqref="AI248">
    <cfRule type="containsText" dxfId="530" priority="83" operator="containsText" text="HABITANTE DE CALLE">
      <formula>NOT(ISERROR(SEARCH("HABITANTE DE CALLE",AI248)))</formula>
    </cfRule>
    <cfRule type="containsText" dxfId="529" priority="84" operator="containsText" text="NINGUNO">
      <formula>NOT(ISERROR(SEARCH("NINGUNO",AI248)))</formula>
    </cfRule>
    <cfRule type="containsText" dxfId="528" priority="85" operator="containsText" text="MIGRATORIA">
      <formula>NOT(ISERROR(SEARCH("MIGRATORIA",AI248)))</formula>
    </cfRule>
    <cfRule type="containsText" dxfId="527" priority="86" operator="containsText" text="DISCAPACIDAD">
      <formula>NOT(ISERROR(SEARCH("DISCAPACIDAD",AI248)))</formula>
    </cfRule>
    <cfRule type="containsText" dxfId="526" priority="87" operator="containsText" text="DESPLAZADA">
      <formula>NOT(ISERROR(SEARCH("DESPLAZADA",AI248)))</formula>
    </cfRule>
  </conditionalFormatting>
  <conditionalFormatting sqref="AJ248">
    <cfRule type="cellIs" dxfId="525" priority="80" operator="equal">
      <formula>"SD"</formula>
    </cfRule>
    <cfRule type="cellIs" dxfId="524" priority="81" operator="equal">
      <formula>"NO"</formula>
    </cfRule>
    <cfRule type="cellIs" dxfId="523" priority="82" operator="equal">
      <formula>"SI"</formula>
    </cfRule>
  </conditionalFormatting>
  <conditionalFormatting sqref="AT248:AW248">
    <cfRule type="cellIs" dxfId="522" priority="77" operator="equal">
      <formula>"SD"</formula>
    </cfRule>
    <cfRule type="cellIs" dxfId="521" priority="78" operator="equal">
      <formula>"NO"</formula>
    </cfRule>
    <cfRule type="cellIs" dxfId="520" priority="79" operator="equal">
      <formula>"SI"</formula>
    </cfRule>
  </conditionalFormatting>
  <conditionalFormatting sqref="AW248">
    <cfRule type="cellIs" dxfId="519" priority="74" operator="equal">
      <formula>1</formula>
    </cfRule>
    <cfRule type="cellIs" dxfId="518" priority="75" operator="equal">
      <formula>"3 O MAS"</formula>
    </cfRule>
    <cfRule type="cellIs" dxfId="517" priority="76" operator="equal">
      <formula>2</formula>
    </cfRule>
  </conditionalFormatting>
  <conditionalFormatting sqref="AX248 BA248">
    <cfRule type="cellIs" dxfId="516" priority="71" operator="equal">
      <formula>"SD"</formula>
    </cfRule>
    <cfRule type="cellIs" dxfId="515" priority="72" operator="equal">
      <formula>"NO"</formula>
    </cfRule>
    <cfRule type="cellIs" dxfId="514" priority="73" operator="equal">
      <formula>"SI"</formula>
    </cfRule>
  </conditionalFormatting>
  <conditionalFormatting sqref="AY248">
    <cfRule type="containsText" dxfId="513" priority="66" operator="containsText" text="SD">
      <formula>NOT(ISERROR(SEARCH("SD",AY248)))</formula>
    </cfRule>
    <cfRule type="containsText" dxfId="512" priority="67" operator="containsText" text="SI, NO CONTROLADA">
      <formula>NOT(ISERROR(SEARCH("SI, NO CONTROLADA",AY248)))</formula>
    </cfRule>
    <cfRule type="containsText" dxfId="511" priority="68" operator="containsText" text="SI, SIN MANEJO">
      <formula>NOT(ISERROR(SEARCH("SI, SIN MANEJO",AY248)))</formula>
    </cfRule>
    <cfRule type="containsText" dxfId="510" priority="69" operator="containsText" text="SI, CONTROLADA">
      <formula>NOT(ISERROR(SEARCH("SI, CONTROLADA",AY248)))</formula>
    </cfRule>
    <cfRule type="containsText" dxfId="509" priority="70" operator="containsText" text="NO">
      <formula>NOT(ISERROR(SEARCH("NO",AY248)))</formula>
    </cfRule>
  </conditionalFormatting>
  <conditionalFormatting sqref="AZ248">
    <cfRule type="containsText" dxfId="508" priority="61" operator="containsText" text="SD">
      <formula>NOT(ISERROR(SEARCH("SD",AZ248)))</formula>
    </cfRule>
    <cfRule type="containsText" dxfId="507" priority="62" operator="containsText" text="SI, NO CONTROLADA">
      <formula>NOT(ISERROR(SEARCH("SI, NO CONTROLADA",AZ248)))</formula>
    </cfRule>
    <cfRule type="containsText" dxfId="506" priority="63" operator="containsText" text="SI, SIN MANEJO">
      <formula>NOT(ISERROR(SEARCH("SI, SIN MANEJO",AZ248)))</formula>
    </cfRule>
    <cfRule type="containsText" dxfId="505" priority="64" operator="containsText" text="SI, CONTROLADA">
      <formula>NOT(ISERROR(SEARCH("SI, CONTROLADA",AZ248)))</formula>
    </cfRule>
    <cfRule type="containsText" dxfId="504" priority="65" operator="containsText" text="NO">
      <formula>NOT(ISERROR(SEARCH("NO",AZ248)))</formula>
    </cfRule>
  </conditionalFormatting>
  <conditionalFormatting sqref="BB248">
    <cfRule type="cellIs" dxfId="503" priority="58" operator="equal">
      <formula>"SD"</formula>
    </cfRule>
    <cfRule type="cellIs" dxfId="502" priority="59" operator="equal">
      <formula>"NO"</formula>
    </cfRule>
    <cfRule type="cellIs" dxfId="501" priority="60" operator="equal">
      <formula>"SI"</formula>
    </cfRule>
  </conditionalFormatting>
  <conditionalFormatting sqref="BC248">
    <cfRule type="cellIs" dxfId="500" priority="55" operator="equal">
      <formula>"SD"</formula>
    </cfRule>
    <cfRule type="cellIs" dxfId="499" priority="56" operator="equal">
      <formula>"NO"</formula>
    </cfRule>
    <cfRule type="cellIs" dxfId="498" priority="57" operator="equal">
      <formula>"SI"</formula>
    </cfRule>
  </conditionalFormatting>
  <conditionalFormatting sqref="BF248">
    <cfRule type="cellIs" dxfId="497" priority="52" operator="equal">
      <formula>"SD"</formula>
    </cfRule>
    <cfRule type="cellIs" dxfId="496" priority="53" operator="equal">
      <formula>"NO"</formula>
    </cfRule>
    <cfRule type="cellIs" dxfId="495" priority="54" operator="equal">
      <formula>"SI"</formula>
    </cfRule>
  </conditionalFormatting>
  <conditionalFormatting sqref="BD248:BE248">
    <cfRule type="cellIs" dxfId="494" priority="49" operator="equal">
      <formula>"SD"</formula>
    </cfRule>
    <cfRule type="cellIs" dxfId="493" priority="50" operator="equal">
      <formula>"NO"</formula>
    </cfRule>
    <cfRule type="cellIs" dxfId="492" priority="51" operator="equal">
      <formula>"SI"</formula>
    </cfRule>
  </conditionalFormatting>
  <conditionalFormatting sqref="BE248">
    <cfRule type="expression" dxfId="491" priority="48">
      <formula>IF(AND(FA248&gt;=126,FC248&lt;24),1,0)</formula>
    </cfRule>
  </conditionalFormatting>
  <conditionalFormatting sqref="BG248">
    <cfRule type="cellIs" dxfId="490" priority="45" operator="equal">
      <formula>"SD"</formula>
    </cfRule>
    <cfRule type="cellIs" dxfId="489" priority="46" operator="equal">
      <formula>"NO"</formula>
    </cfRule>
    <cfRule type="cellIs" dxfId="488" priority="47" operator="equal">
      <formula>"SI"</formula>
    </cfRule>
  </conditionalFormatting>
  <conditionalFormatting sqref="BH248">
    <cfRule type="cellIs" dxfId="487" priority="42" operator="equal">
      <formula>"SD"</formula>
    </cfRule>
    <cfRule type="cellIs" dxfId="486" priority="43" operator="equal">
      <formula>"NO"</formula>
    </cfRule>
    <cfRule type="cellIs" dxfId="485" priority="44" operator="equal">
      <formula>"SI"</formula>
    </cfRule>
  </conditionalFormatting>
  <conditionalFormatting sqref="BI248">
    <cfRule type="cellIs" dxfId="484" priority="39" operator="equal">
      <formula>"SD"</formula>
    </cfRule>
    <cfRule type="cellIs" dxfId="483" priority="40" operator="equal">
      <formula>"NO"</formula>
    </cfRule>
    <cfRule type="cellIs" dxfId="482" priority="41" operator="equal">
      <formula>"SI"</formula>
    </cfRule>
  </conditionalFormatting>
  <conditionalFormatting sqref="BJ248">
    <cfRule type="cellIs" dxfId="481" priority="36" operator="equal">
      <formula>"SD"</formula>
    </cfRule>
    <cfRule type="cellIs" dxfId="480" priority="37" operator="equal">
      <formula>"NO"</formula>
    </cfRule>
    <cfRule type="cellIs" dxfId="479" priority="38" operator="equal">
      <formula>"SI"</formula>
    </cfRule>
  </conditionalFormatting>
  <conditionalFormatting sqref="BL248:BM248">
    <cfRule type="cellIs" dxfId="478" priority="33" operator="equal">
      <formula>"SD"</formula>
    </cfRule>
    <cfRule type="cellIs" dxfId="477" priority="34" operator="equal">
      <formula>"NO"</formula>
    </cfRule>
    <cfRule type="cellIs" dxfId="476" priority="35" operator="equal">
      <formula>"SI"</formula>
    </cfRule>
  </conditionalFormatting>
  <conditionalFormatting sqref="BK248">
    <cfRule type="cellIs" dxfId="475" priority="30" operator="equal">
      <formula>"SD"</formula>
    </cfRule>
    <cfRule type="cellIs" dxfId="474" priority="31" operator="equal">
      <formula>"NO"</formula>
    </cfRule>
    <cfRule type="cellIs" dxfId="473" priority="32" operator="equal">
      <formula>"SI"</formula>
    </cfRule>
  </conditionalFormatting>
  <conditionalFormatting sqref="FB201">
    <cfRule type="containsText" dxfId="472" priority="26" operator="containsText" text="RH NEGATIVO SIN COOMB">
      <formula>NOT(ISERROR(SEARCH("RH NEGATIVO SIN COOMB",FB201)))</formula>
    </cfRule>
    <cfRule type="containsText" dxfId="471" priority="27" operator="containsText" text="RH NEGATIVO CON COOMBS POSITIVO">
      <formula>NOT(ISERROR(SEARCH("RH NEGATIVO CON COOMBS POSITIVO",FB201)))</formula>
    </cfRule>
    <cfRule type="containsText" dxfId="470" priority="28" operator="containsText" text="RH NEGATIVO CON COOMBS NEGATIVO">
      <formula>NOT(ISERROR(SEARCH("RH NEGATIVO CON COOMBS NEGATIVO",FB201)))</formula>
    </cfRule>
    <cfRule type="containsText" dxfId="469" priority="29" operator="containsText" text="RH POSITIVO">
      <formula>NOT(ISERROR(SEARCH("RH POSITIVO",FB201)))</formula>
    </cfRule>
  </conditionalFormatting>
  <conditionalFormatting sqref="GT201">
    <cfRule type="containsText" dxfId="468" priority="24" operator="containsText" text="POSITIVO">
      <formula>NOT(ISERROR(SEARCH("POSITIVO",GT201)))</formula>
    </cfRule>
    <cfRule type="containsText" dxfId="467" priority="25" operator="containsText" text="NEGATIVO">
      <formula>NOT(ISERROR(SEARCH("NEGATIVO",GT201)))</formula>
    </cfRule>
  </conditionalFormatting>
  <conditionalFormatting sqref="FJ170:FJ171">
    <cfRule type="containsText" dxfId="466" priority="18" operator="containsText" text="REINFECCIÓN">
      <formula>NOT(ISERROR(SEARCH("REINFECCIÓN",FJ170)))</formula>
    </cfRule>
    <cfRule type="containsText" dxfId="465" priority="19" operator="containsText" text="DILUCIONES DISMINUYEN">
      <formula>NOT(ISERROR(SEARCH("DILUCIONES DISMINUYEN",FJ170)))</formula>
    </cfRule>
    <cfRule type="containsText" dxfId="464" priority="20" operator="containsText" text="DILUCIONES ESTABLES">
      <formula>NOT(ISERROR(SEARCH("DILUCIONES ESTABLES",FJ170)))</formula>
    </cfRule>
    <cfRule type="containsText" dxfId="463" priority="21" operator="containsText" text="POSITIVA CICATRIZ">
      <formula>NOT(ISERROR(SEARCH("POSITIVA CICATRIZ",FJ170)))</formula>
    </cfRule>
    <cfRule type="containsText" dxfId="462" priority="22" operator="containsText" text="POSITIVA CASO SIFILIS">
      <formula>NOT(ISERROR(SEARCH("POSITIVA CASO SIFILIS",FJ170)))</formula>
    </cfRule>
    <cfRule type="containsText" dxfId="461" priority="23" operator="containsText" text="NEGATIVA">
      <formula>NOT(ISERROR(SEARCH("NEGATIVA",FJ170)))</formula>
    </cfRule>
  </conditionalFormatting>
  <conditionalFormatting sqref="FJ177">
    <cfRule type="containsText" dxfId="460" priority="12" operator="containsText" text="REINFECCIÓN">
      <formula>NOT(ISERROR(SEARCH("REINFECCIÓN",FJ177)))</formula>
    </cfRule>
    <cfRule type="containsText" dxfId="459" priority="13" operator="containsText" text="DILUCIONES DISMINUYEN">
      <formula>NOT(ISERROR(SEARCH("DILUCIONES DISMINUYEN",FJ177)))</formula>
    </cfRule>
    <cfRule type="containsText" dxfId="458" priority="14" operator="containsText" text="DILUCIONES ESTABLES">
      <formula>NOT(ISERROR(SEARCH("DILUCIONES ESTABLES",FJ177)))</formula>
    </cfRule>
    <cfRule type="containsText" dxfId="457" priority="15" operator="containsText" text="POSITIVA CICATRIZ">
      <formula>NOT(ISERROR(SEARCH("POSITIVA CICATRIZ",FJ177)))</formula>
    </cfRule>
    <cfRule type="containsText" dxfId="456" priority="16" operator="containsText" text="POSITIVA CASO SIFILIS">
      <formula>NOT(ISERROR(SEARCH("POSITIVA CASO SIFILIS",FJ177)))</formula>
    </cfRule>
    <cfRule type="containsText" dxfId="455" priority="17" operator="containsText" text="NEGATIVA">
      <formula>NOT(ISERROR(SEARCH("NEGATIVA",FJ177)))</formula>
    </cfRule>
  </conditionalFormatting>
  <conditionalFormatting sqref="FP170">
    <cfRule type="containsText" dxfId="454" priority="6" operator="containsText" text="REINFECCIÓN">
      <formula>NOT(ISERROR(SEARCH("REINFECCIÓN",FP170)))</formula>
    </cfRule>
    <cfRule type="containsText" dxfId="453" priority="7" operator="containsText" text="DILUCIONES DISMINUYEN">
      <formula>NOT(ISERROR(SEARCH("DILUCIONES DISMINUYEN",FP170)))</formula>
    </cfRule>
    <cfRule type="containsText" dxfId="452" priority="8" operator="containsText" text="DILUCIONES ESTABLES">
      <formula>NOT(ISERROR(SEARCH("DILUCIONES ESTABLES",FP170)))</formula>
    </cfRule>
    <cfRule type="containsText" dxfId="451" priority="9" operator="containsText" text="POSITIVA CICATRIZ">
      <formula>NOT(ISERROR(SEARCH("POSITIVA CICATRIZ",FP170)))</formula>
    </cfRule>
    <cfRule type="containsText" dxfId="450" priority="10" operator="containsText" text="POSITIVA CASO SIFILIS">
      <formula>NOT(ISERROR(SEARCH("POSITIVA CASO SIFILIS",FP170)))</formula>
    </cfRule>
    <cfRule type="containsText" dxfId="449" priority="11" operator="containsText" text="NEGATIVA">
      <formula>NOT(ISERROR(SEARCH("NEGATIVA",FP170)))</formula>
    </cfRule>
  </conditionalFormatting>
  <conditionalFormatting sqref="GC209">
    <cfRule type="containsText" dxfId="448" priority="2" operator="containsText" text="RH NEGATIVO SIN COOMB">
      <formula>NOT(ISERROR(SEARCH("RH NEGATIVO SIN COOMB",GC209)))</formula>
    </cfRule>
    <cfRule type="containsText" dxfId="447" priority="3" operator="containsText" text="RH NEGATIVO CON COOMBS POSITIVO">
      <formula>NOT(ISERROR(SEARCH("RH NEGATIVO CON COOMBS POSITIVO",GC209)))</formula>
    </cfRule>
    <cfRule type="containsText" dxfId="446" priority="4" operator="containsText" text="RH NEGATIVO CON COOMBS NEGATIVO">
      <formula>NOT(ISERROR(SEARCH("RH NEGATIVO CON COOMBS NEGATIVO",GC209)))</formula>
    </cfRule>
    <cfRule type="containsText" dxfId="445" priority="5" operator="containsText" text="RH POSITIVO">
      <formula>NOT(ISERROR(SEARCH("RH POSITIVO",GC209)))</formula>
    </cfRule>
  </conditionalFormatting>
  <conditionalFormatting sqref="BS1">
    <cfRule type="cellIs" dxfId="444" priority="1" operator="equal">
      <formula>"SIN SEMANAS X ECO"</formula>
    </cfRule>
  </conditionalFormatting>
  <dataValidations xWindow="988" yWindow="739" count="97">
    <dataValidation type="date" operator="greaterThan" allowBlank="1" showInputMessage="1" showErrorMessage="1" error="SOLO FECHA" sqref="DE191:DF191 HW192 EE192 EG192 EI192 HS192 HU192 HW194:HW195 EE194:EE195 EG194:EG195 EI194:EI195 HU194:HU195 EF195 HS198 HU198 HS201 EE197:EG199 HW198:HW201 HY200:HY201 EG224:EI224 O207:O208 EI208:EI209 EE208:EE209 EG208:EG209 EF209 EE233:EE236 EG233:EG236 EN235 EF235 DE207:DF207 EE223:EE224 R207:R208 HW217:HW218 EF217:EF218 HS217 HU217:HU218 EW218 FB218 FK218 FZ218 GO218 GT218 DE211:DF211 EI223 EF223:EG223 GT226 EE226:EE227 EG226:EG227 EI226:EI227 EN226 EW226 FB226 FK226 FZ226 GO226 EI215:EI221 EE215:EE221 EG215:EG221 DE208:DE210 DE3:DE190 EI229 EE229:EG229 EI232:EI236 EE232:EG232 EI238:EI241 EE238:EE241 EG238:EG241 HU240 EF240 HY240:HY241 HS240 DG3:DG156 HW244:HW245 EE244:EE245 EG244:EG245 EI244:EI245 HS244 DK101:DQ101 DH3:DQ100 DH101:DI101 DD244:DE248 EE248:EG248 EI248 HY248 HW248 DE192:DE206 EI197:EI202 EG200:EG202 EE200:EE202 DG158:DG248 GM3:GM248 GK3:GK248 DD3:DD241 DH102:DQ248 DE212:DE241" xr:uid="{7CED46B0-BE79-49AB-8493-8902C667C6AF}">
      <formula1>43191</formula1>
    </dataValidation>
    <dataValidation type="date" operator="greaterThanOrEqual" allowBlank="1" showInputMessage="1" showErrorMessage="1" error="REVISAR FECHA INGRESO CPN" sqref="HW142 HW95 HW193 HU193 HS193:HS197 HS199:HS200 HT209 HS203:HS205 HU210 HY235 HW146 HW229:HW230 HU203:HU205 HW203:HW205 HU90 HW90 HW215 HU215 HU212 HW212 HU221 HW221 HU238 HU227 HW227 HU232:HU235 HW232:HW236 HW238 HW241 HU241 HS241 HS218 HS220:HS238 HS3:HS191 HU191 HW191 HS209:HS215 HS245:HS248" xr:uid="{D4E694C7-6216-4279-B5A9-19FC414D9ED6}">
      <formula1>R3</formula1>
    </dataValidation>
    <dataValidation type="date" operator="greaterThanOrEqual" allowBlank="1" showInputMessage="1" showErrorMessage="1" error="REVISAR FECHA INGRESO CPN" sqref="HY231 HW190 HU196 HU199:HU201 HS219 HW219 HW231 HU3:HU63 HW224 HU228:HU231 HU65:HU89 HU211 HU213:HU214 HU91:HU190 HU209 HU236:HU237 HS239 HU239 HU219:HU220 HU244:HU246 HU222:HU226 HU248" xr:uid="{14A01B83-3CAF-4B6B-B6D1-21DFAA490C31}">
      <formula1>P3</formula1>
    </dataValidation>
    <dataValidation type="date" operator="greaterThanOrEqual" allowBlank="1" showInputMessage="1" showErrorMessage="1" error="REVISAR FECHA INGRESO CPN" sqref="HW147:HW189 IA197 HU197 HW196:HW197 HT135 HV135 HW65:HW86 HW3:HW63 HW228 HW143:HW145 HW225:HW226 HW88:HW89 HW91:HW94 HW213:HW214 HW220 HW209:HW211 HW96:HW141 HW237 HW239:HW240 HW242 HW246 HW222:HW223" xr:uid="{86E79D6B-EC90-42A5-A508-11EB9217C67B}">
      <formula1>O3</formula1>
    </dataValidation>
    <dataValidation type="date" operator="greaterThan" allowBlank="1" showInputMessage="1" showErrorMessage="1" error="VERFICAR FECHA" sqref="R64 O3:O126 R220:R248 R190:R205 O128:O206 O209:O248 R209:R218" xr:uid="{B2157FF8-761A-4701-BF08-157F055D4D93}">
      <formula1>43101</formula1>
    </dataValidation>
    <dataValidation type="date" operator="greaterThan" allowBlank="1" showInputMessage="1" showErrorMessage="1" error="SOLO FECHA" sqref="GO186:GO191 GO196 GT196 GO139:GO178 GO243:GO248 HY207:HY208 GO209 HU206:HU208 HS206:HS208 HW206:HW208 GO203:GO205 GO213:GO215 GO217 GT217 GO100:GO137 GO193:GO194 GO211 GT211 GT213:GT215 GO227:GO234 GO224:GO225 GT224:GT225 GT227:GT234 GT203:GT209 GT3:GT137 GT243:GT248 GT139:GT178 GO236:GO241 GT236:GT241 GO3:GO98 GO180:GO184 GT180:GT184 GO198 GT198 GO200 GT200 GO219:GO222 GT219:GT222 GT186:GT194" xr:uid="{575AF71D-7B0B-4015-8F68-CA9EAF52B514}">
      <formula1>43556</formula1>
    </dataValidation>
    <dataValidation type="date" operator="greaterThan" allowBlank="1" showInputMessage="1" showErrorMessage="1" error="SOLO FECHA" prompt="COLOCAR FECHA SEGUNDO CONTROL, NO REPETIR LA FECHA DE INGRESO" sqref="DF3:DF190 DF208:DF210 EE243 EG243 EI243 DG157 DD242:DE243 DF192:DF206 DF212:DF248" xr:uid="{72DD4AF4-0502-4E72-ACCD-F736080A15D4}">
      <formula1>43191</formula1>
    </dataValidation>
    <dataValidation type="list" allowBlank="1" showInputMessage="1" showErrorMessage="1" sqref="BC231:BG248 AY211:BB211 BK210:BN210 AY204:BB209 AY210:BI210 CD162 BH231:BM248 IA3:IA196 BK3:BM209 AX3:BB203 BD3:BI209 IA198:IA248 CB3:CC248 BJ3:BJ230 CE3:CE248 AE3:AH248 AL3:AR248 AV3:AV248 AJ3:AJ248 BK211:BM230 BC211:BI230 BA212:BB248 AX204:AX248 AY212:AZ221" xr:uid="{F0DFA7F4-8B68-4C9F-B6BC-C35E794414D7}">
      <formula1>"SI,NO,SD"</formula1>
    </dataValidation>
    <dataValidation type="date" operator="greaterThan" allowBlank="1" showInputMessage="1" showErrorMessage="1" error="VERIFICAR FECHA" sqref="R206 R219 R3:R63 R65:R189 O127" xr:uid="{47E3C1E4-FE34-4995-8267-42ED9E4A01C8}">
      <formula1>43831</formula1>
    </dataValidation>
    <dataValidation type="date" operator="greaterThan" allowBlank="1" showInputMessage="1" showErrorMessage="1" error="DIGITE SOLO FECHA" sqref="FK142 FN59 FQ59 FN154 GC154 FH3:FH248" xr:uid="{E9DFBDCB-0778-4371-A41D-9C52EAEC8E31}">
      <formula1>43831</formula1>
    </dataValidation>
    <dataValidation type="list" allowBlank="1" showInputMessage="1" showErrorMessage="1" sqref="CD3" xr:uid="{40E8EA99-4AEA-4C50-8E93-6CCEA17AC59F}">
      <formula1>"CEFÁLICA,PODÁLICA,TRANSVERSA O DE FRENTE,OBLICUA,SD"</formula1>
    </dataValidation>
    <dataValidation type="list" allowBlank="1" showInputMessage="1" showErrorMessage="1" sqref="HV3" xr:uid="{F116EEA1-5E6C-495E-AF86-14019FD803DE}">
      <formula1>"PREGESTACIONAL  Y PRIMERAS 12SEM, SOLO PRIMERAS 12SEM, INADECUADO, SUMINISTRO OTRO COMPLEMENTO, SIN DATO,NO APLICA"</formula1>
    </dataValidation>
    <dataValidation type="date" operator="lessThan" allowBlank="1" showInputMessage="1" showErrorMessage="1" sqref="EW91:EW94 EW150:EW162 FB197 FK197 EW136:EW141 EW243:EW248 FB211 FZ211 GC211 EW131:EW134 FB219 GT235 EW227:EW228 FN209 FB235:FB236 FK235 FZ235 GO235 FZ206:FZ209 EW61:EW89 FB206:FB209 FK206:FK209 GO206:GO208 EX60 EW3:EW59 FB215 FB203 EW217 EW164:EW191 EW193 EW211 EW213:EW215 FB223 GT185 EW203:EW204 EW143:EW148 EW206:EW209 EW116:EW129 EW232 FN238 FB238 FK238 EW234:EW241 EW96:EW98 EW100:EW114 FB185 FK185 FZ185 GO185 EW196:EW198 EW200 EW219:EW224 GC209" xr:uid="{5739DEBC-EB00-4719-BF08-6377416C4583}">
      <formula1>45433</formula1>
    </dataValidation>
    <dataValidation type="list" allowBlank="1" showInputMessage="1" showErrorMessage="1" sqref="HT3:HT134 HT136:HT208 HT210:HT248" xr:uid="{7FAF11E2-C926-4DCE-8A74-BD3289F35889}">
      <formula1>"INICIA A PARTIR DE LA SEMANA 14, INICIA A ANTES DE LA SEMANA 14, SUMINISTRO IRREGULAR, NO SE FORMULA, SUMINISTRO OTRO COMPLEMENTO NUTRICIONAL, NO APLICA, SIN DATO"</formula1>
    </dataValidation>
    <dataValidation type="list" allowBlank="1" showInputMessage="1" showErrorMessage="1" sqref="HV4:HV134 HX241 HV136:HV248" xr:uid="{10EF8E4E-D8B5-4D85-AD57-791F00DBF7C4}">
      <formula1>"PREGESTACIONAL  Y PRIMERAS 12SEM, SOLO PRIMERAS 12SEM, INADECUADO, SUMINISTRO OTRO COMPLEMENTO, SIN DATO"</formula1>
    </dataValidation>
    <dataValidation type="list" allowBlank="1" showInputMessage="1" showErrorMessage="1" sqref="V3:V209 V211:V248" xr:uid="{95F7ABC0-37A6-478B-9616-71ECB66653C8}">
      <formula1>"URBANO,RURAL,SIN DATO"</formula1>
    </dataValidation>
    <dataValidation type="date" operator="greaterThan" allowBlank="1" showInputMessage="1" showErrorMessage="1" sqref="IF233 IC3:IC212 ID3:ID213 IC214:ID248" xr:uid="{08025A4B-4958-41E5-91F0-27AB64856C8E}">
      <formula1>43556</formula1>
    </dataValidation>
    <dataValidation type="date" operator="greaterThan" allowBlank="1" showInputMessage="1" showErrorMessage="1" error="SOLO FECHA" sqref="IC213 IF234:IF248 IF3:IF232" xr:uid="{8EB93A7C-5EE3-4EEF-881A-BE4FD53008A1}">
      <formula1>36526</formula1>
    </dataValidation>
    <dataValidation type="list" allowBlank="1" showInputMessage="1" showErrorMessage="1" sqref="AY222:AZ248 BC3:BC209" xr:uid="{897175C6-66B4-4043-8294-3BA8A17E43DB}">
      <mc:AlternateContent xmlns:x12ac="http://schemas.microsoft.com/office/spreadsheetml/2011/1/ac" xmlns:mc="http://schemas.openxmlformats.org/markup-compatibility/2006">
        <mc:Choice Requires="x12ac">
          <x12ac:list>NO," SI, CONTROLADA"," SI, SIN MANEJO"," SI, NO CONTROLADA",SD</x12ac:list>
        </mc:Choice>
        <mc:Fallback>
          <formula1>"NO, SI, CONTROLADA, SI, SIN MANEJO, SI, NO CONTROLADA,SD"</formula1>
        </mc:Fallback>
      </mc:AlternateContent>
    </dataValidation>
    <dataValidation type="date" operator="lessThanOrEqual" allowBlank="1" showInputMessage="1" showErrorMessage="1" error="INGRESE SOLO FECHA" sqref="BN3:BN209 BN211:BN248" xr:uid="{0537F34C-6E15-45E9-8482-D711972AF532}">
      <formula1>44561</formula1>
    </dataValidation>
    <dataValidation type="list" allowBlank="1" showInputMessage="1" showErrorMessage="1" sqref="BY203 BV3:BV137 BV139:BV248" xr:uid="{42F3A3D9-E9F7-4520-B242-8FD4FF7618C2}">
      <mc:AlternateContent xmlns:x12ac="http://schemas.microsoft.com/office/spreadsheetml/2011/1/ac" xmlns:mc="http://schemas.openxmlformats.org/markup-compatibility/2006">
        <mc:Choice Requires="x12ac">
          <x12ac:list>"Temprana (&lt;10,6 Sem)"," Tamizaje Genético (11,0 a 13,6 Sem)"," Detalle anatómico (18,0 a 23,6 Sem)", Otro tipo de ECO Obst.</x12ac:list>
        </mc:Choice>
        <mc:Fallback>
          <formula1>"Temprana (&lt;10,6 Sem), Tamizaje Genético (11,0 a 13,6 Sem), Detalle anatómico (18,0 a 23,6 Sem), Otro tipo de ECO Obst."</formula1>
        </mc:Fallback>
      </mc:AlternateContent>
    </dataValidation>
    <dataValidation type="list" allowBlank="1" showInputMessage="1" showErrorMessage="1" error="DIGITE EDAD GESTACIONAL" sqref="BY3:BY202 BY204:BY248" xr:uid="{4A069D44-83FD-4C1E-965A-2F439D1E5822}">
      <mc:AlternateContent xmlns:x12ac="http://schemas.microsoft.com/office/spreadsheetml/2011/1/ac" xmlns:mc="http://schemas.openxmlformats.org/markup-compatibility/2006">
        <mc:Choice Requires="x12ac">
          <x12ac:list>"Detalle anatómico (18,0 a 23,6 Sem)", Otro tipo de ECO Obst.</x12ac:list>
        </mc:Choice>
        <mc:Fallback>
          <formula1>"Detalle anatómico (18,0 a 23,6 Sem), Otro tipo de ECO Obst."</formula1>
        </mc:Fallback>
      </mc:AlternateContent>
    </dataValidation>
    <dataValidation operator="greaterThan" allowBlank="1" showInputMessage="1" showErrorMessage="1" sqref="HU64 HW64 HW243 HS243 HU243 HQ3:HQ248" xr:uid="{07BEE4A1-9EA6-4EE7-B966-0B097960F8EF}"/>
    <dataValidation type="list" allowBlank="1" showInputMessage="1" showErrorMessage="1" sqref="GR3:GR98 GR200:GR201 GT201 GR100:GR198 GQ3:GQ248 FV3:FV248 GN3:GN248 GR203:GR248" xr:uid="{F7FDBDA3-A847-4503-8EB7-71F14B4537E9}">
      <formula1>"NEGATIVO,POSITIVO,SIN DATO"</formula1>
    </dataValidation>
    <dataValidation allowBlank="1" showInputMessage="1" showErrorMessage="1" promptTitle="PARTO EN DOMICILIO COLOCAR" prompt="NO APLICA (No dejar en blanco)" sqref="IQ3:IQ32 IQ65 IQ35 IQ37 IQ44 IQ48 IQ54:IQ55 IQ58 IQ109 IQ79 IQ82:IQ83 IQ86 IQ117:IQ119 IQ121:IQ130 IQ132:IQ154 IQ156:IQ248" xr:uid="{D620B025-08B7-4139-B57E-5E20C5C47970}"/>
    <dataValidation type="date" operator="greaterThan" allowBlank="1" showInputMessage="1" showErrorMessage="1" error="SOLO FECHA" sqref="IN3:IN71 IN73:IN248" xr:uid="{37A51686-5DF9-4160-8889-1A09C9B0113A}">
      <formula1>43831</formula1>
    </dataValidation>
    <dataValidation type="list" allowBlank="1" showInputMessage="1" showErrorMessage="1" sqref="JK113 IS3:IS248" xr:uid="{39CE153B-312F-4E69-AD9D-C24396118EB1}">
      <formula1>"PERSONAL DE SALUD PROFESIONAL O ESPECIALISTA,PERSONAL TÉCNICO EN SALUD,PARTERA,MEDICO TRADICIONAL,OTRO,NO APLICA"</formula1>
    </dataValidation>
    <dataValidation type="list" allowBlank="1" showInputMessage="1" showErrorMessage="1" sqref="JL113 IT3:IT248" xr:uid="{AE22227F-3CB0-4023-A379-3D6DFED29A93}">
      <formula1>"INICIO ESPONTÁNEO, LE HACEN INDUCCIÓN, LE HACEN CESÁREA SIN INICIO TRABAJO DE PARTO,SIN DATO"</formula1>
    </dataValidation>
    <dataValidation type="list" allowBlank="1" showInputMessage="1" showErrorMessage="1" sqref="CD4:CD161 CD163:CD248" xr:uid="{BAE51847-C2C5-489E-B1D7-5BE697B0764B}">
      <formula1>"CEFÁLICA,PODÁLICA,TRANSVERSA,OBLICUA,SD"</formula1>
    </dataValidation>
    <dataValidation type="whole" allowBlank="1" showInputMessage="1" showErrorMessage="1" error="DIGITE NÚMERO ENTERO" sqref="DA3:DB98 DA99 DA175:DB175 DA100:DB173 DA177:DB248 CX3:CY248" xr:uid="{C460EEEC-1DD1-4FAE-A0C9-A5AE30468099}">
      <formula1>40</formula1>
      <formula2>250</formula2>
    </dataValidation>
    <dataValidation type="list" allowBlank="1" showInputMessage="1" showErrorMessage="1" sqref="HX242:HX248 HX3:HX240" xr:uid="{CB7199FF-43EC-4073-BEDF-4AC94E80F893}">
      <formula1>"Suministro Profilaxis Hb&lt;14 (1Tab), Manejo para anemia (2Tab), Inadecuado, No Aplica, Suministro otro complemento Nutricional, Sin Dato"</formula1>
    </dataValidation>
    <dataValidation allowBlank="1" showInputMessage="1" showErrorMessage="1" error="DIGITE NÚMERO ENTERO" sqref="DB99 CZ3:CZ248" xr:uid="{73661964-16D6-42CA-A862-3BCA780EB9AB}"/>
    <dataValidation type="whole" allowBlank="1" showInputMessage="1" showErrorMessage="1" error="SOLO NÚMERO ENTERO" sqref="DA176:DB176 DA174:DB174 CU3:CV248 CR3:CS248" xr:uid="{3AF49D05-567B-4AC4-AFA3-0681FEF4456B}">
      <formula1>40</formula1>
      <formula2>200</formula2>
    </dataValidation>
    <dataValidation type="list" allowBlank="1" showInputMessage="1" showErrorMessage="1" sqref="FB201 EV3:EV248" xr:uid="{AF3457DF-08C9-4A12-878A-A39096855597}">
      <formula1>"RH POSITIVO, RH NEGATIVO SIN COOMBS,RH NEGATIVO CON COOMBS NEGATIVO,RH NEGATIVO CON COOMBS POSITIVO"</formula1>
    </dataValidation>
    <dataValidation type="list" allowBlank="1" showInputMessage="1" showErrorMessage="1" sqref="K3:K248" xr:uid="{087D4A2C-35AA-4FA2-8F14-89A07C619B6C}">
      <formula1>"SOLTERA,UNION LIBRE, CASADA, VIUDA, SEPARADA, "</formula1>
    </dataValidation>
    <dataValidation type="list" allowBlank="1" showInputMessage="1" showErrorMessage="1" sqref="S3:S248" xr:uid="{897E896A-141B-4027-906F-51A2C24F0705}">
      <formula1>"SUBSIDIADO,CONTRIBUTIVO,REGIMEN ESPECIAL,PARTICULAR,NO AFILIADO,SIN DATO"</formula1>
    </dataValidation>
    <dataValidation type="date" operator="lessThanOrEqual" allowBlank="1" showInputMessage="1" showErrorMessage="1" sqref="M3:M248" xr:uid="{1876A13A-5092-4B45-8D23-6C834734A096}">
      <formula1>40909</formula1>
    </dataValidation>
    <dataValidation type="list" allowBlank="1" showInputMessage="1" showErrorMessage="1" sqref="T3:T248" xr:uid="{A4E98BC4-8C9D-4EF9-B789-2083C51958F5}">
      <formula1>"AIC, ASMET SALUD, CAJA COMPENSACION HUILA, CAPITAL SALUD, COMFENALCO, COMPENSAR, Contrato Particular, COOMEVA, COOSALUD, COSMITET, EJERCITO, EMSSANAR, MALLAMAS, NUEVA EPS, OTRO, POLICIA, PPNA, SANITAS, SOS, SURA, UNIDAD DE SALUD UNICAUCA"</formula1>
    </dataValidation>
    <dataValidation type="list" allowBlank="1" showInputMessage="1" showErrorMessage="1" sqref="Q3:Q248" xr:uid="{5A874594-A442-458E-897E-AED257F23FE7}">
      <formula1>"CPN OTRA IPS,VIENE DE OTRO MUNICIPIO,VIENE DE OTRO DPTO,SE TRASLADO DE EPS,TRAMITE DE PORTABILIDAD,SIN DOCUMENTO IDENTIDAD,SIN AFILIACIÓN A EPS,POBLACIÓN INMIGRANTE,SIN NOVEDAD"</formula1>
    </dataValidation>
    <dataValidation type="list" allowBlank="1" showInputMessage="1" showErrorMessage="1" sqref="L3:L248" xr:uid="{77FDCB25-928E-42AB-A4D1-B7974D17DEA4}">
      <formula1>"Hogar Con apoyo, Hogar sin apoyo, Actualmente desempleada, Empleada formalmente sin riesgo, Empleada formalmente por jornada laboral extensa, Empleada formalmente con riesgo de accidente laboral, Empleada formalmente con riesgo a tóxicos, Empleo informal"</formula1>
    </dataValidation>
    <dataValidation type="list" allowBlank="1" showInputMessage="1" showErrorMessage="1" sqref="D3:D248" xr:uid="{604EF536-007E-4C30-8B1E-85B53986AE56}">
      <formula1>"PROCESO COMPLETO DE ATENCIÓN,PROCESO PARCIAL DE ATENCIÓN, SIN ATENCIÓN, SIN DATO"</formula1>
    </dataValidation>
    <dataValidation type="list" allowBlank="1" showInputMessage="1" showErrorMessage="1" sqref="HP3:HP248" xr:uid="{4699CDC4-940F-44AE-8637-4F13C83D6A97}">
      <formula1>"Si entre SEM 12 y 16, Si Desp. SEM 16, Suministro Irregular, NO, No Aplica"</formula1>
    </dataValidation>
    <dataValidation type="list" allowBlank="1" showInputMessage="1" showErrorMessage="1" sqref="JS3:JS248 JI3:JI248" xr:uid="{4745074A-AE0C-4EE7-8154-AD0B781A7864}">
      <formula1>"SI,NO,SIN DATO,NO APLICA"</formula1>
    </dataValidation>
    <dataValidation type="list" allowBlank="1" showInputMessage="1" showErrorMessage="1" sqref="JT3:JT248 JJ3:JJ248" xr:uid="{9283D61D-8C73-4F97-A9C9-ADC957F3D46B}">
      <formula1>"O+,O-,A+,A-,B+,B-,AB+,AB-,SIN DATO,NO APLICA"</formula1>
    </dataValidation>
    <dataValidation type="list" allowBlank="1" showInputMessage="1" showErrorMessage="1" sqref="ME3:ME248 LG3:LG248 LC3:LC248 KY3:KY248 LK3:LK248 LO3:LO248 KU3:KU248" xr:uid="{540259FF-57A6-4596-A82B-D763EA3846B7}">
      <formula1>"MEDICO (A) TRADICIONAL,PARTERO (A),PULESEADOR (A),SOBANDERO (A),YERBATERO (A),OTRO "</formula1>
    </dataValidation>
    <dataValidation type="list" allowBlank="1" showInputMessage="1" showErrorMessage="1" sqref="JG3:JG248" xr:uid="{B3AB020E-353A-48AF-BD9D-03D3AB87A11C}">
      <formula1>"NORMAL,ANORMAL,NO APLICA,SIN DATO"</formula1>
    </dataValidation>
    <dataValidation type="list" allowBlank="1" showInputMessage="1" showErrorMessage="1" sqref="AT3:AT248" xr:uid="{59EAC8F2-57B4-4E63-A859-E1FB579C0A49}">
      <formula1>"0,1,2,3,4,5,6,7,8,9,10,11,12,13,14,15"</formula1>
    </dataValidation>
    <dataValidation type="list" allowBlank="1" showInputMessage="1" showErrorMessage="1" sqref="AS3:AS248" xr:uid="{09AE77B3-1EC9-42C9-83C2-C6D72FB3087E}">
      <formula1>"0,1,2,3,4,5,6,7,8,9,10,11,12,13,14,15,16"</formula1>
    </dataValidation>
    <dataValidation type="list" allowBlank="1" showInputMessage="1" showErrorMessage="1" sqref="AW3:AW248" xr:uid="{AF30BD48-33F0-49F8-92DE-28CB2BE5C692}">
      <formula1>"0,1,2,3 o MAS"</formula1>
    </dataValidation>
    <dataValidation type="list" allowBlank="1" showInputMessage="1" showErrorMessage="1" sqref="AU3:AU248" xr:uid="{5D4CE873-8D4C-46B7-869D-12ACB31D51A8}">
      <formula1>"0,1,2,3,4,5,6"</formula1>
    </dataValidation>
    <dataValidation type="list" allowBlank="1" showInputMessage="1" showErrorMessage="1" sqref="KM3:KM248 KJ3:KJ248" xr:uid="{31BE7777-28B2-4477-AC1A-86FFBEAA6549}">
      <formula1>"0,1,2,3,4,5,6,7,8,9,10,11,12,13,14,15,SD"</formula1>
    </dataValidation>
    <dataValidation type="list" allowBlank="1" showInputMessage="1" showErrorMessage="1" sqref="KA3:KC248 IU3:IZ248" xr:uid="{39EFE0A2-096F-4762-8226-8A16EBE02371}">
      <formula1>"SI, NO, NO APLICA, SD"</formula1>
    </dataValidation>
    <dataValidation type="list" allowBlank="1" showInputMessage="1" showErrorMessage="1" sqref="JB3:JB248" xr:uid="{16672A97-45E3-401E-9403-F57B039674FF}">
      <formula1>"0,1,2,3,4,SIN DATO,NO APLICA"</formula1>
    </dataValidation>
    <dataValidation type="list" allowBlank="1" showInputMessage="1" showErrorMessage="1" sqref="GX3:GX248 HE3:HE248" xr:uid="{A4665E97-90E1-482D-863A-0BB66C1EFD6D}">
      <formula1>"0,1,2,3,4,5,6,7,8,9,NO APLICA"</formula1>
    </dataValidation>
    <dataValidation type="list" allowBlank="1" showInputMessage="1" showErrorMessage="1" sqref="BP3:BP248" xr:uid="{6B9B1B53-1A9B-4BB2-B190-D80D0484BA02}">
      <formula1>"SI,NO,SD,CORREGIDA"</formula1>
    </dataValidation>
    <dataValidation type="list" allowBlank="1" showInputMessage="1" showErrorMessage="1" sqref="AD3:AD248" xr:uid="{1C5A03EF-D606-4901-88FF-F1F0DA160F1F}">
      <formula1>"Consumo Actual, Hasta Antes de la Gestación, No Consume,SD"</formula1>
    </dataValidation>
    <dataValidation type="list" allowBlank="1" showInputMessage="1" showErrorMessage="1" sqref="I3:I248" xr:uid="{5E351886-6E6A-4D40-B2E3-672F00835E3F}">
      <formula1>"CEDULA DE CIUDADANIA,TARJETA DE IDENTIDAD,REGISTRO CIVIL,CEDULA DE EXTRANJERIA,MENOR SIN IDENTIFICACION,ADULTO SIN IDENTIFICACION,OTRO,SIN DATO"</formula1>
    </dataValidation>
    <dataValidation type="list" allowBlank="1" showInputMessage="1" showErrorMessage="1" sqref="EL3:EL248" xr:uid="{9E578634-1464-4D9C-8D81-CA9DE62AEA1A}">
      <formula1>"0,1,2,3,4,5,6,7,8,9,SIN DATO"</formula1>
    </dataValidation>
    <dataValidation type="list" allowBlank="1" showInputMessage="1" showErrorMessage="1" sqref="AA3:AA248" xr:uid="{CEBFACEA-82DE-43AD-A1CD-8A7A337BA0F5}">
      <formula1>"INDIGENA,ROM-GITANO,RAIZAL,PALENQUERO,AFRODESCENDIENTE,MESTIZA,OTRO"</formula1>
    </dataValidation>
    <dataValidation type="list" allowBlank="1" showInputMessage="1" showErrorMessage="1" sqref="AC3:AC248" xr:uid="{CBF1AB40-E123-4B10-BAF2-BCEE64594E34}">
      <formula1>"ANALFABETA,PRIMARIA INCOMPLETA,PRIMARIA COMPLETA,SECUNDARIA COMPLETA,SECUNDARIA INCOMPLETA,TECNICO,UNIVERSITARIO,SABE LEER Y ESCRIBIR,SIN DATO"</formula1>
    </dataValidation>
    <dataValidation type="list" allowBlank="1" showInputMessage="1" showErrorMessage="1" sqref="JM3:JM248 JC3:JC248" xr:uid="{7CE3F91E-CBB2-45E3-8EAF-C51883714ED8}">
      <formula1>"FEMENINO,MASCULINO,NO APLICA,SIN DATO"</formula1>
    </dataValidation>
    <dataValidation type="list" allowBlank="1" showInputMessage="1" showErrorMessage="1" sqref="JQ3:JQ248" xr:uid="{61536D61-F1E8-4B7A-A0D6-37BA9529FE9F}">
      <formula1>"NORMAL,ANORMAL,SIN DATO,NO APLICA"</formula1>
    </dataValidation>
    <dataValidation type="list" allowBlank="1" showInputMessage="1" showErrorMessage="1" sqref="AB3:AB248" xr:uid="{F83ACD39-3F20-4742-93A6-324A2B734319}">
      <formula1>"NASA/PAEZ, MISAK/GUAMBIANOS,YANACONAS,COCONUCOS,TOTOROES,EPERARA/SIAPIDARA,INGA,POLINDARAS,EMBERA,QUILLACINGAS,JAMBALEÑOS,GUANACAS,PUBENENCES,OTROS,NO APLICA"</formula1>
    </dataValidation>
    <dataValidation type="list" allowBlank="1" showInputMessage="1" showErrorMessage="1" sqref="KE3:KE248" xr:uid="{B47DCB69-5828-4DAC-B828-D4A4BC4C8E41}">
      <formula1>"NEGACION INICIO METODO,IMPLANTE SUBDERMICO,ACI MENSUAL,ACI TRIMESTRAL,ACO,DIU,BARRERA,LIGADURA TROMPAS,HISTERECTOMIA,SIN DATO"</formula1>
    </dataValidation>
    <dataValidation type="decimal" allowBlank="1" showInputMessage="1" showErrorMessage="1" errorTitle="DIGITAR EN METROS" error="DIGITAR EN METROS" promptTitle="DIGITAR EN METROS" sqref="CG3:CG248" xr:uid="{15AF9AF4-8480-4289-B882-A3D6B6FA75E2}">
      <formula1>1</formula1>
      <formula2>3</formula2>
    </dataValidation>
    <dataValidation type="list" allowBlank="1" showInputMessage="1" showErrorMessage="1" sqref="GH3:GH248 GJ3:GJ248 GE3:GE248 GB3:GB248 FY3:FY248" xr:uid="{6B31303A-2A6E-482C-843D-232C58C30E0C}">
      <formula1>"P.R REACTIVA,P.R NO REACTIVA,ELISA REACTIVA,ELISA NO REACTIVA,SIN DATO,NO APLICA"</formula1>
    </dataValidation>
    <dataValidation type="list" allowBlank="1" showInputMessage="1" showErrorMessage="1" sqref="GL3:GL248" xr:uid="{8C2B1986-5612-42CB-AC23-EEEE46D7B6CA}">
      <formula1>"POSITIVA,NEGATIVA,NO CONCLUYENTE, SIN DATO, NO APLICA"</formula1>
    </dataValidation>
    <dataValidation type="list" allowBlank="1" showInputMessage="1" showErrorMessage="1" sqref="HO3:HO248" xr:uid="{A7FD6F06-1CAD-4564-8415-F9BAE7D9B2EB}">
      <formula1>"SI, NO,SD"</formula1>
    </dataValidation>
    <dataValidation type="list" allowBlank="1" showInputMessage="1" showErrorMessage="1" sqref="JA3:JA248" xr:uid="{77455D07-4645-4803-9AC7-012B6E2344A9}">
      <formula1>"HEMORRAGIA POSTPARTO,PREECLAMPSIA, ECLAMPSIA POSTARTO,ENDOMETRITIS PUERPERAL,TROMBO EMBOLISMO PUERPERAL,SEPSIS PUERPERAL,MASTITIS,DEPRESION POSTPARTO,OTRA COMPLICACION,SIN COMPLICACION,SIN DATO"</formula1>
    </dataValidation>
    <dataValidation type="decimal" allowBlank="1" showInputMessage="1" showErrorMessage="1" error="DIGITE EDAD GESTACIONAL" sqref="BX3:BX248" xr:uid="{28C545AA-7489-4E7B-8C1C-244851F94D2C}">
      <formula1>0.1</formula1>
      <formula2>42</formula2>
    </dataValidation>
    <dataValidation type="decimal" allowBlank="1" showInputMessage="1" showErrorMessage="1" error="SOLO NÚMERO" sqref="EM3:EM248" xr:uid="{E0C1F02A-C6CE-43C4-BC3C-C0114A34AD70}">
      <formula1>1</formula1>
      <formula2>20</formula2>
    </dataValidation>
    <dataValidation type="list" allowBlank="1" showInputMessage="1" showErrorMessage="1" sqref="GW3:GW248" xr:uid="{44BFEAE6-973F-47FD-87D6-87469FB0D65E}">
      <formula1>"NEGATIVO,POSITIVO,NO APLICA,SIN DATO"</formula1>
    </dataValidation>
    <dataValidation type="list" allowBlank="1" showInputMessage="1" showErrorMessage="1" sqref="GY3:GY248" xr:uid="{9FD49AA7-AC84-40AB-A1F3-35F852DC9344}">
      <formula1>"Esquema vigente – Normal, Esquema vigente – Alterado, Nunca se ha tomado / No vigente"</formula1>
    </dataValidation>
    <dataValidation type="date" operator="greaterThan" allowBlank="1" showInputMessage="1" showErrorMessage="1" error="SOLO FECHA" sqref="IJ3:IJ248" xr:uid="{70352427-C86E-470F-8914-7367BE9FD906}">
      <formula1>42736</formula1>
    </dataValidation>
    <dataValidation type="list" allowBlank="1" showInputMessage="1" showErrorMessage="1" sqref="KF3:KG248" xr:uid="{AC302B0E-FFF6-4213-8877-3F8BE7BC8E91}">
      <formula1>"NO APLICA,CASA DE PASO,TRANSPORTE,ALIMENTACIÓN,ECONÓMICO,CASA DE PASO Y TRANSPORTE,CASA DE PASO,TRANSPORTE Y ALIMENTACIÓN,CASA DE PASO,TRANSPORTE,ALIMENTACIÓN Y ECONÓMICO,TRANSPORTE Y ALIMENTACIÓN,TRANSPORTE,ALIMENTACIÓN Y ECONÓMICO,SIN DATO"</formula1>
    </dataValidation>
    <dataValidation type="whole" allowBlank="1" showInputMessage="1" showErrorMessage="1" error="SOLO NÚMEROS " promptTitle="ADVERTENCIA" prompt="SOLO ESCRIBIR NÚMEROS " sqref="FD3:FD248" xr:uid="{E5AA40B8-97B1-4510-9DA1-108AD3EA1B43}">
      <formula1>0</formula1>
      <formula2>700</formula2>
    </dataValidation>
    <dataValidation type="whole" allowBlank="1" showInputMessage="1" showErrorMessage="1" error="SOLO NÚMEROS " promptTitle="ADVERTENCIA" prompt="SI NO HAY RESULTADO COLOCAR EL #: 0 _x000a_(Cuando no se completa el examen)" sqref="FE3:FF248" xr:uid="{97E0DD94-ED44-4EC9-A3D1-248B7199101B}">
      <formula1>0</formula1>
      <formula2>700</formula2>
    </dataValidation>
    <dataValidation type="date" operator="lessThanOrEqual" allowBlank="1" showInputMessage="1" showErrorMessage="1" error="INGRESE SOLO FECHA" sqref="BW3:BW248 BO3:BO248" xr:uid="{58985CBD-9BEC-4BE7-AC3E-4A6B1F5E8EA9}">
      <formula1>45379</formula1>
    </dataValidation>
    <dataValidation type="list" allowBlank="1" showInputMessage="1" showErrorMessage="1" sqref="HF3:HF248" xr:uid="{3B5A25B5-8F94-4369-9A9A-124C57A5BCA6}">
      <formula1>"SIN INFECCIÓN POR SARS-CoV2, NO SE EVALUA RIESGO INFECCIÓN COVID19, FACTOR DE RIESGO PARA COVID19, COVID19 PRIMER TRIMESTRE,  COVID19 SEGUNDO TRIMESTRE,  COVID19 TERCER TRIMESTRE,  COVID19 PUERPERIO"</formula1>
    </dataValidation>
    <dataValidation type="list" allowBlank="1" showInputMessage="1" showErrorMessage="1" sqref="IB3:IB248" xr:uid="{9ADEB27B-EE3D-4C6C-B025-6EA628A9DE5A}">
      <formula1>"No Vacunada,1 Dosis,2 Dosis,Refuerzo 1,Refuerzo 2,Sin Dato,Firma Disentimiento,NO Firma Disentimiento"</formula1>
    </dataValidation>
    <dataValidation type="list" operator="greaterThan" allowBlank="1" showInputMessage="1" showErrorMessage="1" error="SOLO FECHA" sqref="DR3:DR248" xr:uid="{B93DA048-64D9-417A-B2F9-99B14B5ADB29}">
      <formula1>"0,1,2,3,4,5,6,7"</formula1>
    </dataValidation>
    <dataValidation operator="greaterThan" allowBlank="1" showInputMessage="1" showErrorMessage="1" error="SOLO FECHA" sqref="DU3:DU248 DS3:DS248" xr:uid="{AAF0FF1A-FC50-473C-8744-D4BFF705809E}"/>
    <dataValidation type="list" allowBlank="1" showInputMessage="1" showErrorMessage="1" sqref="HD3:HD248" xr:uid="{3E6FFC2D-94B6-4B33-B9D7-73C3ED18F6A3}">
      <formula1>"NO APLICA (Sin factor de riesgo - no zona endémica),NEGATIVO, POSITIVO,SOLICITADO NO TOMADO"</formula1>
    </dataValidation>
    <dataValidation type="list" allowBlank="1" showInputMessage="1" showErrorMessage="1" sqref="GZ3:GZ248" xr:uid="{E066F95C-89B1-4174-996E-8355D1D73A3D}">
      <formula1>"NO APLICA (Sin factor de riesgo),NEGATIVO,POSITIVO,INDETERMINADO,SOLICITADO Y NO TOMADO"</formula1>
    </dataValidation>
    <dataValidation type="list" allowBlank="1" showInputMessage="1" showErrorMessage="1" sqref="FS3:FS248 FJ177 FM3:FM248 FJ170:FJ171 FP3:FP248" xr:uid="{43C83BB1-8C1F-48E9-B86F-2DE4066E0F78}">
      <formula1>"P. R NEGATIVA,P. R POSITIVA CASO SIFILIS,P.R POSITIVA CICATRIZ, DILUCIONES ESTABLES, DILUCIONES DISMINUYEN, REINFECCIÓN-DILUCIONES AUMENTAN"</formula1>
    </dataValidation>
    <dataValidation type="list" allowBlank="1" showInputMessage="1" showErrorMessage="1" sqref="FJ3:FJ169 FJ172:FJ176 FJ178:FJ248" xr:uid="{5CAD7E68-3482-4A08-AE94-82DF96BEBF4B}">
      <formula1>"P. R NEGATIVA,P. R POSITIVA CASO SIFILIS,P.R POSITIVA CICATRIZ"</formula1>
    </dataValidation>
    <dataValidation type="list" allowBlank="1" showInputMessage="1" showErrorMessage="1" sqref="HB3:HB248" xr:uid="{E6640B03-74E7-43A5-821D-B22D21CB1208}">
      <formula1>"NO APLICA (Sin factor de riesgo - No zona endémica),NEGATIVO, POSITIVO,SOLICITADO NO TOMADO"</formula1>
    </dataValidation>
    <dataValidation type="list" allowBlank="1" showInputMessage="1" showErrorMessage="1" sqref="IL3:IL248" xr:uid="{765E88BD-78B7-4CCD-A4DB-A4708FB76173}">
      <formula1>"MADRE SANA, MORBILIDAD MATERNA EXTREMA, MUERTE MATERNA, MUERTE Y MORBILIDAD MATERNA EXTREMA, MADRE HOSPITALIZADA SIN MME,SIN DATO"</formula1>
    </dataValidation>
    <dataValidation type="list" allowBlank="1" showInputMessage="1" showErrorMessage="1" sqref="IM3:IM248" xr:uid="{64394FD7-CA4B-4DE4-83AF-AD7916F822BD}">
      <formula1>"RECIEN NACIDO SANO, SIFILIS CONGÉNITA, MALFORMACIÓN CONGÉNITA, HOSPITALIZACION O UCI NEONATAL,MUERTE PERINATAL O NEONATAL TEMPRANA,MUERTE NEONATAL TARDÍA, MUERTE PERINATAL Y MALFORMACIÓN CONGÉNITA, MUERTE PERINATAL Y SIFILIS CONGÉNITA,NO APLICA,SIN DATO"</formula1>
    </dataValidation>
    <dataValidation type="list" allowBlank="1" showInputMessage="1" showErrorMessage="1" sqref="IK3:IK248" xr:uid="{B7033486-58E1-416D-A13F-A264D6522A15}">
      <formula1>"PARTO,CESAREA,ABORTO ESPONTANEO,ABORTO INDUCIDO,EMBARAZO ECTÓPICO,IVE,CAMBIO DE RESIDENCIA,CAMBIO DE EPS,CAMBIO DE IPS"</formula1>
    </dataValidation>
    <dataValidation type="date" operator="greaterThan" allowBlank="1" showInputMessage="1" showErrorMessage="1" error="FECHA DEBE SER DE ESTE AÑO" sqref="JY3:JY248 JW3:JW248" xr:uid="{F9EAB807-89A7-4A69-83E6-2A117CC928AF}">
      <formula1>44561</formula1>
    </dataValidation>
    <dataValidation type="list" operator="greaterThan" allowBlank="1" showInputMessage="1" showErrorMessage="1" error="SOLO FECHA" sqref="DT3:DT248" xr:uid="{2168C480-E703-44D4-99EA-1948A919096C}">
      <formula1>"Sin Acuerdo, Domiciliario, IPS dentro Mpio, IPS Remisión fuera Mpio, Sin Dato"</formula1>
    </dataValidation>
    <dataValidation type="list" operator="greaterThan" allowBlank="1" showInputMessage="1" showErrorMessage="1" error="DIGITE FECHA" sqref="CF3:CF248" xr:uid="{A21F221D-5872-43BD-AF5D-768D9DB100BF}">
      <formula1>"PREGESTACIÓN, GESTACIÓN"</formula1>
    </dataValidation>
    <dataValidation type="list" allowBlank="1" showInputMessage="1" showErrorMessage="1" sqref="AI3:AI248" xr:uid="{26AACAB7-FC90-4453-B676-7691ADB8E9A3}">
      <formula1>"NINGUNO,DESPLAZADA,HABITANTE DE CALLE,MIGRATORIA,SD,DISCAPACIDAD FISICA,DISCAPACIDAD CONDUCTUAL,DISCAPACIDAD VISUAL,DISCAPACIDAD AUDITIVA,DISCAPACIDAD MULTIPLE,DISCAPACIDAD SISTEMICA"</formula1>
    </dataValidation>
    <dataValidation type="list" allowBlank="1" showInputMessage="1" showErrorMessage="1" sqref="IO3:IO248" xr:uid="{32812A77-0C7C-4DEB-A530-ADE1EE081757}">
      <formula1>"INSTITUCIONAL,DOMICILIO,OTRO,NO APLICA,SIN DATO"</formula1>
    </dataValidation>
    <dataValidation type="list" allowBlank="1" showInputMessage="1" showErrorMessage="1" sqref="IR3:IR248" xr:uid="{318B8451-5BFB-447C-85F5-7571F1A5C9BF}">
      <formula1>"BAJA,MEDIANA,ALTA,NO APLICA,SIN DATO"</formula1>
    </dataValidation>
    <dataValidation type="date" operator="greaterThanOrEqual" allowBlank="1" showInputMessage="1" showErrorMessage="1" error="REVISAR FECHA INGRESO CPN" sqref="EF203" xr:uid="{A6713526-40F4-469E-8D51-5437DDE09ACB}">
      <formula1>XCF203</formula1>
    </dataValidation>
  </dataValidations>
  <pageMargins left="0.7" right="0.7" top="0.75" bottom="0.75" header="0.3" footer="0.3"/>
  <pageSetup orientation="portrait" verticalDpi="300" r:id="rId2"/>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containsText" priority="6957" operator="containsText" id="{11C73A35-E407-43C9-8C7B-7575D55429E3}">
            <xm:f>NOT(ISERROR(SEARCH("TRANSVERSA",CD3)))</xm:f>
            <xm:f>"TRANSVERSA"</xm:f>
            <x14:dxf>
              <font>
                <color theme="0"/>
              </font>
              <fill>
                <patternFill>
                  <bgColor rgb="FFC00000"/>
                </patternFill>
              </fill>
            </x14:dxf>
          </x14:cfRule>
          <xm:sqref>CD206 CD209 CD225 CD230 CD233:CD248 CD3:CD161 CD163:CD203 CD212:CD222</xm:sqref>
        </x14:conditionalFormatting>
        <x14:conditionalFormatting xmlns:xm="http://schemas.microsoft.com/office/excel/2006/main">
          <x14:cfRule type="containsText" priority="7441" operator="containsText" id="{4DE79714-8B91-42C0-949C-DB1549BB4613}">
            <xm:f>NOT(ISERROR(SEARCH("ACUDE",P3)))</xm:f>
            <xm:f>"ACUDE"</xm:f>
            <x14:dxf>
              <font>
                <color rgb="FF9C0006"/>
              </font>
              <fill>
                <patternFill>
                  <bgColor rgb="FFFFC7CE"/>
                </patternFill>
              </fill>
            </x14:dxf>
          </x14:cfRule>
          <xm:sqref>P3:P198 P200:P211 P213:P248</xm:sqref>
        </x14:conditionalFormatting>
        <x14:conditionalFormatting xmlns:xm="http://schemas.microsoft.com/office/excel/2006/main">
          <x14:cfRule type="containsText" priority="6834" operator="containsText" id="{1795BAF9-38EF-462D-B98E-83E2E3C0A5F6}">
            <xm:f>NOT(ISERROR(SEARCH("NO APLICA",GZ4)))</xm:f>
            <xm:f>"NO APLICA"</xm:f>
            <x14:dxf>
              <fill>
                <patternFill>
                  <bgColor rgb="FF92D050"/>
                </patternFill>
              </fill>
            </x14:dxf>
          </x14:cfRule>
          <xm:sqref>GZ4:GZ248 HB4:HB248 HD4:HD248</xm:sqref>
        </x14:conditionalFormatting>
        <x14:conditionalFormatting xmlns:xm="http://schemas.microsoft.com/office/excel/2006/main">
          <x14:cfRule type="containsText" priority="6495" operator="containsText" id="{17BC763D-7BBA-4AF8-875A-279558843626}">
            <xm:f>NOT(ISERROR(SEARCH("NO APLICA",GZ3)))</xm:f>
            <xm:f>"NO APLICA"</xm:f>
            <x14:dxf>
              <fill>
                <patternFill>
                  <bgColor rgb="FF92D050"/>
                </patternFill>
              </fill>
            </x14:dxf>
          </x14:cfRule>
          <xm:sqref>GZ3</xm:sqref>
        </x14:conditionalFormatting>
        <x14:conditionalFormatting xmlns:xm="http://schemas.microsoft.com/office/excel/2006/main">
          <x14:cfRule type="containsText" priority="6490" operator="containsText" id="{A91B1B9E-AAC1-4533-811A-908956BF2623}">
            <xm:f>NOT(ISERROR(SEARCH("NO APLICA",HB3)))</xm:f>
            <xm:f>"NO APLICA"</xm:f>
            <x14:dxf>
              <fill>
                <patternFill>
                  <bgColor rgb="FF92D050"/>
                </patternFill>
              </fill>
            </x14:dxf>
          </x14:cfRule>
          <xm:sqref>HB3</xm:sqref>
        </x14:conditionalFormatting>
        <x14:conditionalFormatting xmlns:xm="http://schemas.microsoft.com/office/excel/2006/main">
          <x14:cfRule type="containsText" priority="6485" operator="containsText" id="{23C38A88-522C-497B-BB86-D761F25B53C6}">
            <xm:f>NOT(ISERROR(SEARCH("NO APLICA",HD3)))</xm:f>
            <xm:f>"NO APLICA"</xm:f>
            <x14:dxf>
              <fill>
                <patternFill>
                  <bgColor rgb="FF92D050"/>
                </patternFill>
              </fill>
            </x14:dxf>
          </x14:cfRule>
          <xm:sqref>HD3</xm:sqref>
        </x14:conditionalFormatting>
        <x14:conditionalFormatting xmlns:xm="http://schemas.microsoft.com/office/excel/2006/main">
          <x14:cfRule type="containsText" priority="6098" operator="containsText" id="{8C48A947-73DA-4BA9-B03E-0329866CC9A8}">
            <xm:f>NOT(ISERROR(SEARCH("ACUDE",P199)))</xm:f>
            <xm:f>"ACUDE"</xm:f>
            <x14:dxf>
              <font>
                <color rgb="FF9C0006"/>
              </font>
              <fill>
                <patternFill>
                  <bgColor rgb="FFFFC7CE"/>
                </patternFill>
              </fill>
            </x14:dxf>
          </x14:cfRule>
          <xm:sqref>P199</xm:sqref>
        </x14:conditionalFormatting>
        <x14:conditionalFormatting xmlns:xm="http://schemas.microsoft.com/office/excel/2006/main">
          <x14:cfRule type="containsText" priority="5613" operator="containsText" id="{47327361-7C18-4909-9098-13637B13C7D9}">
            <xm:f>NOT(ISERROR(SEARCH("TRANSVERSA",CD204)))</xm:f>
            <xm:f>"TRANSVERSA"</xm:f>
            <x14:dxf>
              <font>
                <color theme="0"/>
              </font>
              <fill>
                <patternFill>
                  <bgColor rgb="FFC00000"/>
                </patternFill>
              </fill>
            </x14:dxf>
          </x14:cfRule>
          <xm:sqref>CD204</xm:sqref>
        </x14:conditionalFormatting>
        <x14:conditionalFormatting xmlns:xm="http://schemas.microsoft.com/office/excel/2006/main">
          <x14:cfRule type="containsText" priority="5605" operator="containsText" id="{102219A4-AEF9-4589-923C-0EDD8C30E640}">
            <xm:f>NOT(ISERROR(SEARCH("TRANSVERSA",CD205)))</xm:f>
            <xm:f>"TRANSVERSA"</xm:f>
            <x14:dxf>
              <font>
                <color theme="0"/>
              </font>
              <fill>
                <patternFill>
                  <bgColor rgb="FFC00000"/>
                </patternFill>
              </fill>
            </x14:dxf>
          </x14:cfRule>
          <xm:sqref>CD205</xm:sqref>
        </x14:conditionalFormatting>
        <x14:conditionalFormatting xmlns:xm="http://schemas.microsoft.com/office/excel/2006/main">
          <x14:cfRule type="containsText" priority="5535" operator="containsText" id="{401281BE-5425-4BE4-A0B7-A51A988ECB8F}">
            <xm:f>NOT(ISERROR(SEARCH("TRANSVERSA",CD207)))</xm:f>
            <xm:f>"TRANSVERSA"</xm:f>
            <x14:dxf>
              <font>
                <color theme="0"/>
              </font>
              <fill>
                <patternFill>
                  <bgColor rgb="FFC00000"/>
                </patternFill>
              </fill>
            </x14:dxf>
          </x14:cfRule>
          <xm:sqref>CD207</xm:sqref>
        </x14:conditionalFormatting>
        <x14:conditionalFormatting xmlns:xm="http://schemas.microsoft.com/office/excel/2006/main">
          <x14:cfRule type="containsText" priority="5519" operator="containsText" id="{8C082B09-E7BF-4C65-AB04-1BA4FBA8FCBB}">
            <xm:f>NOT(ISERROR(SEARCH("TRANSVERSA",CD208)))</xm:f>
            <xm:f>"TRANSVERSA"</xm:f>
            <x14:dxf>
              <font>
                <color theme="0"/>
              </font>
              <fill>
                <patternFill>
                  <bgColor rgb="FFC00000"/>
                </patternFill>
              </fill>
            </x14:dxf>
          </x14:cfRule>
          <xm:sqref>CD208</xm:sqref>
        </x14:conditionalFormatting>
        <x14:conditionalFormatting xmlns:xm="http://schemas.microsoft.com/office/excel/2006/main">
          <x14:cfRule type="containsText" priority="5497" operator="containsText" id="{AF46699C-1459-403D-8EE9-2C76AAC692AF}">
            <xm:f>NOT(ISERROR(SEARCH("TRANSVERSA",CD210)))</xm:f>
            <xm:f>"TRANSVERSA"</xm:f>
            <x14:dxf>
              <font>
                <color theme="0"/>
              </font>
              <fill>
                <patternFill>
                  <bgColor rgb="FFC00000"/>
                </patternFill>
              </fill>
            </x14:dxf>
          </x14:cfRule>
          <xm:sqref>CD210</xm:sqref>
        </x14:conditionalFormatting>
        <x14:conditionalFormatting xmlns:xm="http://schemas.microsoft.com/office/excel/2006/main">
          <x14:cfRule type="containsText" priority="5489" operator="containsText" id="{1D873301-A2CD-4C36-9C60-E7C9FA451AAD}">
            <xm:f>NOT(ISERROR(SEARCH("TRANSVERSA",CD211)))</xm:f>
            <xm:f>"TRANSVERSA"</xm:f>
            <x14:dxf>
              <font>
                <color theme="0"/>
              </font>
              <fill>
                <patternFill>
                  <bgColor rgb="FFC00000"/>
                </patternFill>
              </fill>
            </x14:dxf>
          </x14:cfRule>
          <xm:sqref>CD211</xm:sqref>
        </x14:conditionalFormatting>
        <x14:conditionalFormatting xmlns:xm="http://schemas.microsoft.com/office/excel/2006/main">
          <x14:cfRule type="containsText" priority="4135" operator="containsText" id="{7D60E475-B605-4711-9B5C-B85016C56D5C}">
            <xm:f>NOT(ISERROR(SEARCH("TRANSVERSA",CD223)))</xm:f>
            <xm:f>"TRANSVERSA"</xm:f>
            <x14:dxf>
              <font>
                <color theme="0"/>
              </font>
              <fill>
                <patternFill>
                  <bgColor rgb="FFC00000"/>
                </patternFill>
              </fill>
            </x14:dxf>
          </x14:cfRule>
          <xm:sqref>CD223</xm:sqref>
        </x14:conditionalFormatting>
        <x14:conditionalFormatting xmlns:xm="http://schemas.microsoft.com/office/excel/2006/main">
          <x14:cfRule type="containsText" priority="4088" operator="containsText" id="{ACE13810-4B9A-4D81-B97D-AEACD1EBC96D}">
            <xm:f>NOT(ISERROR(SEARCH("TRANSVERSA",CD224)))</xm:f>
            <xm:f>"TRANSVERSA"</xm:f>
            <x14:dxf>
              <font>
                <color theme="0"/>
              </font>
              <fill>
                <patternFill>
                  <bgColor rgb="FFC00000"/>
                </patternFill>
              </fill>
            </x14:dxf>
          </x14:cfRule>
          <xm:sqref>CD224</xm:sqref>
        </x14:conditionalFormatting>
        <x14:conditionalFormatting xmlns:xm="http://schemas.microsoft.com/office/excel/2006/main">
          <x14:cfRule type="containsText" priority="3992" operator="containsText" id="{46148F7C-A49F-4747-9B52-BDD7EFA0677B}">
            <xm:f>NOT(ISERROR(SEARCH("TRANSVERSA",CD226)))</xm:f>
            <xm:f>"TRANSVERSA"</xm:f>
            <x14:dxf>
              <font>
                <color theme="0"/>
              </font>
              <fill>
                <patternFill>
                  <bgColor rgb="FFC00000"/>
                </patternFill>
              </fill>
            </x14:dxf>
          </x14:cfRule>
          <xm:sqref>CD226</xm:sqref>
        </x14:conditionalFormatting>
        <x14:conditionalFormatting xmlns:xm="http://schemas.microsoft.com/office/excel/2006/main">
          <x14:cfRule type="containsText" priority="3931" operator="containsText" id="{D1284EC7-9839-4D86-8CA0-37761F96C111}">
            <xm:f>NOT(ISERROR(SEARCH("TRANSVERSA",CD227)))</xm:f>
            <xm:f>"TRANSVERSA"</xm:f>
            <x14:dxf>
              <font>
                <color theme="0"/>
              </font>
              <fill>
                <patternFill>
                  <bgColor rgb="FFC00000"/>
                </patternFill>
              </fill>
            </x14:dxf>
          </x14:cfRule>
          <xm:sqref>CD227</xm:sqref>
        </x14:conditionalFormatting>
        <x14:conditionalFormatting xmlns:xm="http://schemas.microsoft.com/office/excel/2006/main">
          <x14:cfRule type="containsText" priority="3852" operator="containsText" id="{72A88551-3292-475F-A2BC-F3A87762562E}">
            <xm:f>NOT(ISERROR(SEARCH("TRANSVERSA",CD228)))</xm:f>
            <xm:f>"TRANSVERSA"</xm:f>
            <x14:dxf>
              <font>
                <color theme="0"/>
              </font>
              <fill>
                <patternFill>
                  <bgColor rgb="FFC00000"/>
                </patternFill>
              </fill>
            </x14:dxf>
          </x14:cfRule>
          <xm:sqref>CD228</xm:sqref>
        </x14:conditionalFormatting>
        <x14:conditionalFormatting xmlns:xm="http://schemas.microsoft.com/office/excel/2006/main">
          <x14:cfRule type="containsText" priority="3773" operator="containsText" id="{09EC6253-A66C-4042-997A-397B254FDAB5}">
            <xm:f>NOT(ISERROR(SEARCH("TRANSVERSA",CD229)))</xm:f>
            <xm:f>"TRANSVERSA"</xm:f>
            <x14:dxf>
              <font>
                <color theme="0"/>
              </font>
              <fill>
                <patternFill>
                  <bgColor rgb="FFC00000"/>
                </patternFill>
              </fill>
            </x14:dxf>
          </x14:cfRule>
          <xm:sqref>CD229</xm:sqref>
        </x14:conditionalFormatting>
        <x14:conditionalFormatting xmlns:xm="http://schemas.microsoft.com/office/excel/2006/main">
          <x14:cfRule type="containsText" priority="3644" operator="containsText" id="{DF49BB4A-DEA6-4B36-B73D-39AC15CA74F4}">
            <xm:f>NOT(ISERROR(SEARCH("TRANSVERSA",CD231)))</xm:f>
            <xm:f>"TRANSVERSA"</xm:f>
            <x14:dxf>
              <font>
                <color theme="0"/>
              </font>
              <fill>
                <patternFill>
                  <bgColor rgb="FFC00000"/>
                </patternFill>
              </fill>
            </x14:dxf>
          </x14:cfRule>
          <xm:sqref>CD231</xm:sqref>
        </x14:conditionalFormatting>
        <x14:conditionalFormatting xmlns:xm="http://schemas.microsoft.com/office/excel/2006/main">
          <x14:cfRule type="containsText" priority="3559" operator="containsText" id="{CC11B93D-5F82-4664-B609-0DC1507CAD1F}">
            <xm:f>NOT(ISERROR(SEARCH("TRANSVERSA",CD232)))</xm:f>
            <xm:f>"TRANSVERSA"</xm:f>
            <x14:dxf>
              <font>
                <color theme="0"/>
              </font>
              <fill>
                <patternFill>
                  <bgColor rgb="FFC00000"/>
                </patternFill>
              </fill>
            </x14:dxf>
          </x14:cfRule>
          <xm:sqref>CD232</xm:sqref>
        </x14:conditionalFormatting>
        <x14:conditionalFormatting xmlns:xm="http://schemas.microsoft.com/office/excel/2006/main">
          <x14:cfRule type="containsText" priority="2864" operator="containsText" id="{2D3DED3C-7E3E-46E0-B34C-11E4CFF9CCB7}">
            <xm:f>NOT(ISERROR(SEARCH("ACUDE",P212)))</xm:f>
            <xm:f>"ACUDE"</xm:f>
            <x14:dxf>
              <font>
                <color rgb="FF9C0006"/>
              </font>
              <fill>
                <patternFill>
                  <bgColor rgb="FFFFC7CE"/>
                </patternFill>
              </fill>
            </x14:dxf>
          </x14:cfRule>
          <xm:sqref>P212</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AFD285-E6D8-4523-BED1-15380F55EF91}">
  <dimension ref="A1:G1450"/>
  <sheetViews>
    <sheetView topLeftCell="A1427" workbookViewId="0">
      <selection activeCell="J1435" sqref="J1435"/>
    </sheetView>
  </sheetViews>
  <sheetFormatPr baseColWidth="10" defaultRowHeight="15" x14ac:dyDescent="0.25"/>
  <cols>
    <col min="5" max="5" width="13.85546875" customWidth="1"/>
  </cols>
  <sheetData>
    <row r="1" spans="1:7" x14ac:dyDescent="0.25">
      <c r="A1" s="421" t="s">
        <v>340</v>
      </c>
      <c r="B1" s="421"/>
      <c r="C1" s="421"/>
      <c r="D1" s="421"/>
      <c r="E1" s="421"/>
      <c r="F1" s="421"/>
      <c r="G1" s="421"/>
    </row>
    <row r="2" spans="1:7" ht="45" x14ac:dyDescent="0.25">
      <c r="A2" s="367" t="s">
        <v>94</v>
      </c>
      <c r="B2" s="367" t="s">
        <v>21</v>
      </c>
      <c r="C2" s="367" t="s">
        <v>0</v>
      </c>
      <c r="D2" s="367" t="s">
        <v>1</v>
      </c>
      <c r="E2" s="367" t="s">
        <v>2</v>
      </c>
      <c r="F2" s="367" t="s">
        <v>3</v>
      </c>
      <c r="G2" s="368" t="s">
        <v>340</v>
      </c>
    </row>
    <row r="3" spans="1:7" ht="30" x14ac:dyDescent="0.25">
      <c r="A3" s="369" t="s">
        <v>974</v>
      </c>
      <c r="B3" s="369" t="s">
        <v>1144</v>
      </c>
      <c r="C3" s="369" t="s">
        <v>1192</v>
      </c>
      <c r="D3" s="369" t="s">
        <v>1193</v>
      </c>
      <c r="E3" s="370" t="s">
        <v>1094</v>
      </c>
      <c r="F3" s="369">
        <v>1059595334</v>
      </c>
      <c r="G3" s="371" t="s">
        <v>1684</v>
      </c>
    </row>
    <row r="4" spans="1:7" ht="30" x14ac:dyDescent="0.25">
      <c r="A4" s="372" t="s">
        <v>914</v>
      </c>
      <c r="B4" s="372" t="s">
        <v>884</v>
      </c>
      <c r="C4" s="372" t="s">
        <v>1296</v>
      </c>
      <c r="D4" s="372" t="s">
        <v>850</v>
      </c>
      <c r="E4" s="373" t="s">
        <v>851</v>
      </c>
      <c r="F4" s="372">
        <v>1060186045</v>
      </c>
      <c r="G4" s="374" t="s">
        <v>1685</v>
      </c>
    </row>
    <row r="5" spans="1:7" ht="30" x14ac:dyDescent="0.25">
      <c r="A5" s="369" t="s">
        <v>1298</v>
      </c>
      <c r="B5" s="369" t="s">
        <v>914</v>
      </c>
      <c r="C5" s="369" t="s">
        <v>1299</v>
      </c>
      <c r="D5" s="369" t="s">
        <v>1300</v>
      </c>
      <c r="E5" s="370" t="s">
        <v>851</v>
      </c>
      <c r="F5" s="369">
        <v>1059594773</v>
      </c>
      <c r="G5" s="371" t="s">
        <v>1685</v>
      </c>
    </row>
    <row r="6" spans="1:7" ht="30" x14ac:dyDescent="0.25">
      <c r="A6" s="372" t="s">
        <v>1305</v>
      </c>
      <c r="B6" s="372" t="s">
        <v>884</v>
      </c>
      <c r="C6" s="372" t="s">
        <v>1306</v>
      </c>
      <c r="D6" s="372" t="s">
        <v>1307</v>
      </c>
      <c r="E6" s="373" t="s">
        <v>851</v>
      </c>
      <c r="F6" s="372">
        <v>1059604869</v>
      </c>
      <c r="G6" s="375" t="s">
        <v>1685</v>
      </c>
    </row>
    <row r="7" spans="1:7" ht="30" x14ac:dyDescent="0.25">
      <c r="A7" s="369" t="s">
        <v>953</v>
      </c>
      <c r="B7" s="369" t="s">
        <v>1316</v>
      </c>
      <c r="C7" s="369" t="s">
        <v>1317</v>
      </c>
      <c r="D7" s="369" t="s">
        <v>1028</v>
      </c>
      <c r="E7" s="370" t="s">
        <v>851</v>
      </c>
      <c r="F7" s="369">
        <v>1059594373</v>
      </c>
      <c r="G7" s="371" t="s">
        <v>1686</v>
      </c>
    </row>
    <row r="8" spans="1:7" ht="30" x14ac:dyDescent="0.25">
      <c r="A8" s="372" t="s">
        <v>914</v>
      </c>
      <c r="B8" s="372" t="s">
        <v>1318</v>
      </c>
      <c r="C8" s="372" t="s">
        <v>1319</v>
      </c>
      <c r="D8" s="372"/>
      <c r="E8" s="373" t="s">
        <v>851</v>
      </c>
      <c r="F8" s="372">
        <v>1002846584</v>
      </c>
      <c r="G8" s="375" t="s">
        <v>1686</v>
      </c>
    </row>
    <row r="9" spans="1:7" ht="30" x14ac:dyDescent="0.25">
      <c r="A9" s="369" t="s">
        <v>1332</v>
      </c>
      <c r="B9" s="369" t="s">
        <v>1091</v>
      </c>
      <c r="C9" s="369" t="s">
        <v>1333</v>
      </c>
      <c r="D9" s="369"/>
      <c r="E9" s="370" t="s">
        <v>1094</v>
      </c>
      <c r="F9" s="369">
        <v>1059595374</v>
      </c>
      <c r="G9" s="371" t="s">
        <v>1685</v>
      </c>
    </row>
    <row r="10" spans="1:7" ht="30" x14ac:dyDescent="0.25">
      <c r="A10" s="372" t="s">
        <v>874</v>
      </c>
      <c r="B10" s="372" t="s">
        <v>943</v>
      </c>
      <c r="C10" s="372" t="s">
        <v>1340</v>
      </c>
      <c r="D10" s="372"/>
      <c r="E10" s="373" t="s">
        <v>1094</v>
      </c>
      <c r="F10" s="372">
        <v>1059597393</v>
      </c>
      <c r="G10" s="375" t="s">
        <v>1685</v>
      </c>
    </row>
    <row r="11" spans="1:7" ht="30" x14ac:dyDescent="0.25">
      <c r="A11" s="369" t="s">
        <v>914</v>
      </c>
      <c r="B11" s="369" t="s">
        <v>915</v>
      </c>
      <c r="C11" s="369" t="s">
        <v>916</v>
      </c>
      <c r="D11" s="369"/>
      <c r="E11" s="370" t="s">
        <v>1094</v>
      </c>
      <c r="F11" s="369">
        <v>1059598169</v>
      </c>
      <c r="G11" s="371" t="s">
        <v>1684</v>
      </c>
    </row>
    <row r="12" spans="1:7" ht="30" x14ac:dyDescent="0.25">
      <c r="A12" s="372" t="s">
        <v>1360</v>
      </c>
      <c r="B12" s="372" t="s">
        <v>1361</v>
      </c>
      <c r="C12" s="372" t="s">
        <v>938</v>
      </c>
      <c r="D12" s="372" t="s">
        <v>1362</v>
      </c>
      <c r="E12" s="373" t="s">
        <v>851</v>
      </c>
      <c r="F12" s="372">
        <v>1059594951</v>
      </c>
      <c r="G12" s="375" t="s">
        <v>1685</v>
      </c>
    </row>
    <row r="13" spans="1:7" ht="30" x14ac:dyDescent="0.25">
      <c r="A13" s="369" t="s">
        <v>1286</v>
      </c>
      <c r="B13" s="369" t="s">
        <v>914</v>
      </c>
      <c r="C13" s="369" t="s">
        <v>1198</v>
      </c>
      <c r="D13" s="369" t="s">
        <v>1364</v>
      </c>
      <c r="E13" s="370" t="s">
        <v>851</v>
      </c>
      <c r="F13" s="369">
        <v>1059600026</v>
      </c>
      <c r="G13" s="371" t="s">
        <v>1685</v>
      </c>
    </row>
    <row r="14" spans="1:7" ht="30" x14ac:dyDescent="0.25">
      <c r="A14" s="372" t="s">
        <v>857</v>
      </c>
      <c r="B14" s="372" t="s">
        <v>1365</v>
      </c>
      <c r="C14" s="372" t="s">
        <v>949</v>
      </c>
      <c r="D14" s="372" t="s">
        <v>1366</v>
      </c>
      <c r="E14" s="373" t="s">
        <v>851</v>
      </c>
      <c r="F14" s="372">
        <v>1002953350</v>
      </c>
      <c r="G14" s="375" t="s">
        <v>1686</v>
      </c>
    </row>
    <row r="15" spans="1:7" ht="30" x14ac:dyDescent="0.25">
      <c r="A15" s="369" t="s">
        <v>1368</v>
      </c>
      <c r="B15" s="369" t="s">
        <v>1369</v>
      </c>
      <c r="C15" s="369" t="s">
        <v>1370</v>
      </c>
      <c r="D15" s="369" t="s">
        <v>982</v>
      </c>
      <c r="E15" s="370" t="s">
        <v>851</v>
      </c>
      <c r="F15" s="369">
        <v>1059603417</v>
      </c>
      <c r="G15" s="371" t="s">
        <v>1685</v>
      </c>
    </row>
    <row r="16" spans="1:7" ht="30" x14ac:dyDescent="0.25">
      <c r="A16" s="372" t="s">
        <v>1382</v>
      </c>
      <c r="B16" s="372" t="s">
        <v>1382</v>
      </c>
      <c r="C16" s="372" t="s">
        <v>1383</v>
      </c>
      <c r="D16" s="372"/>
      <c r="E16" s="373" t="s">
        <v>851</v>
      </c>
      <c r="F16" s="372">
        <v>1003371767</v>
      </c>
      <c r="G16" s="375" t="s">
        <v>1685</v>
      </c>
    </row>
    <row r="17" spans="1:7" ht="30" x14ac:dyDescent="0.25">
      <c r="A17" s="369" t="s">
        <v>873</v>
      </c>
      <c r="B17" s="369" t="s">
        <v>1391</v>
      </c>
      <c r="C17" s="369" t="s">
        <v>985</v>
      </c>
      <c r="D17" s="369" t="s">
        <v>1392</v>
      </c>
      <c r="E17" s="370" t="s">
        <v>851</v>
      </c>
      <c r="F17" s="369">
        <v>25547491</v>
      </c>
      <c r="G17" s="371" t="s">
        <v>1685</v>
      </c>
    </row>
    <row r="18" spans="1:7" ht="30" x14ac:dyDescent="0.25">
      <c r="A18" s="372" t="s">
        <v>979</v>
      </c>
      <c r="B18" s="372" t="s">
        <v>943</v>
      </c>
      <c r="C18" s="372" t="s">
        <v>1217</v>
      </c>
      <c r="D18" s="372" t="s">
        <v>1398</v>
      </c>
      <c r="E18" s="373" t="s">
        <v>851</v>
      </c>
      <c r="F18" s="372">
        <v>1002846528</v>
      </c>
      <c r="G18" s="375" t="s">
        <v>1685</v>
      </c>
    </row>
    <row r="19" spans="1:7" ht="30" x14ac:dyDescent="0.25">
      <c r="A19" s="369" t="s">
        <v>873</v>
      </c>
      <c r="B19" s="369" t="s">
        <v>944</v>
      </c>
      <c r="C19" s="369" t="s">
        <v>1399</v>
      </c>
      <c r="D19" s="369" t="s">
        <v>1400</v>
      </c>
      <c r="E19" s="370" t="s">
        <v>851</v>
      </c>
      <c r="F19" s="369">
        <v>1002848796</v>
      </c>
      <c r="G19" s="371" t="s">
        <v>1684</v>
      </c>
    </row>
    <row r="20" spans="1:7" ht="30" x14ac:dyDescent="0.25">
      <c r="A20" s="372" t="s">
        <v>1405</v>
      </c>
      <c r="B20" s="372" t="s">
        <v>884</v>
      </c>
      <c r="C20" s="372" t="s">
        <v>1406</v>
      </c>
      <c r="D20" s="372" t="s">
        <v>1407</v>
      </c>
      <c r="E20" s="373" t="s">
        <v>851</v>
      </c>
      <c r="F20" s="372">
        <v>1059601552</v>
      </c>
      <c r="G20" s="375" t="s">
        <v>1685</v>
      </c>
    </row>
    <row r="21" spans="1:7" ht="30" x14ac:dyDescent="0.25">
      <c r="A21" s="369" t="s">
        <v>1034</v>
      </c>
      <c r="B21" s="369" t="s">
        <v>1166</v>
      </c>
      <c r="C21" s="369" t="s">
        <v>1408</v>
      </c>
      <c r="D21" s="369" t="s">
        <v>1409</v>
      </c>
      <c r="E21" s="370" t="s">
        <v>851</v>
      </c>
      <c r="F21" s="369">
        <v>1005860830</v>
      </c>
      <c r="G21" s="371" t="s">
        <v>1685</v>
      </c>
    </row>
    <row r="22" spans="1:7" ht="30" x14ac:dyDescent="0.25">
      <c r="A22" s="372" t="s">
        <v>944</v>
      </c>
      <c r="B22" s="372" t="s">
        <v>943</v>
      </c>
      <c r="C22" s="372" t="s">
        <v>1421</v>
      </c>
      <c r="D22" s="372"/>
      <c r="E22" s="373" t="s">
        <v>851</v>
      </c>
      <c r="F22" s="372">
        <v>1002846330</v>
      </c>
      <c r="G22" s="375" t="s">
        <v>1685</v>
      </c>
    </row>
    <row r="23" spans="1:7" ht="30" x14ac:dyDescent="0.25">
      <c r="A23" s="369" t="s">
        <v>848</v>
      </c>
      <c r="B23" s="369" t="s">
        <v>943</v>
      </c>
      <c r="C23" s="369" t="s">
        <v>1423</v>
      </c>
      <c r="D23" s="369"/>
      <c r="E23" s="370" t="s">
        <v>851</v>
      </c>
      <c r="F23" s="369">
        <v>1193097625</v>
      </c>
      <c r="G23" s="371" t="s">
        <v>1686</v>
      </c>
    </row>
    <row r="24" spans="1:7" ht="30" x14ac:dyDescent="0.25">
      <c r="A24" s="372" t="s">
        <v>1427</v>
      </c>
      <c r="B24" s="372" t="s">
        <v>1428</v>
      </c>
      <c r="C24" s="372" t="s">
        <v>1429</v>
      </c>
      <c r="D24" s="372" t="s">
        <v>1430</v>
      </c>
      <c r="E24" s="373" t="s">
        <v>851</v>
      </c>
      <c r="F24" s="372">
        <v>1061528490</v>
      </c>
      <c r="G24" s="375" t="s">
        <v>1686</v>
      </c>
    </row>
    <row r="25" spans="1:7" ht="30" x14ac:dyDescent="0.25">
      <c r="A25" s="369" t="s">
        <v>1144</v>
      </c>
      <c r="B25" s="369" t="s">
        <v>884</v>
      </c>
      <c r="C25" s="369" t="s">
        <v>1432</v>
      </c>
      <c r="D25" s="369" t="s">
        <v>1433</v>
      </c>
      <c r="E25" s="370" t="s">
        <v>1094</v>
      </c>
      <c r="F25" s="369">
        <v>1059596594</v>
      </c>
      <c r="G25" s="371" t="s">
        <v>1685</v>
      </c>
    </row>
    <row r="26" spans="1:7" ht="30" x14ac:dyDescent="0.25">
      <c r="A26" s="372" t="s">
        <v>873</v>
      </c>
      <c r="B26" s="372" t="s">
        <v>1435</v>
      </c>
      <c r="C26" s="372" t="s">
        <v>1436</v>
      </c>
      <c r="D26" s="372" t="s">
        <v>1437</v>
      </c>
      <c r="E26" s="373" t="s">
        <v>851</v>
      </c>
      <c r="F26" s="372">
        <v>1059601742</v>
      </c>
      <c r="G26" s="375" t="s">
        <v>1685</v>
      </c>
    </row>
    <row r="27" spans="1:7" ht="30" x14ac:dyDescent="0.25">
      <c r="A27" s="369" t="s">
        <v>1439</v>
      </c>
      <c r="B27" s="369" t="s">
        <v>884</v>
      </c>
      <c r="C27" s="369" t="s">
        <v>1440</v>
      </c>
      <c r="D27" s="369" t="s">
        <v>1294</v>
      </c>
      <c r="E27" s="370" t="s">
        <v>851</v>
      </c>
      <c r="F27" s="369">
        <v>1002847533</v>
      </c>
      <c r="G27" s="371" t="s">
        <v>1684</v>
      </c>
    </row>
    <row r="28" spans="1:7" ht="30" x14ac:dyDescent="0.25">
      <c r="A28" s="372" t="s">
        <v>1441</v>
      </c>
      <c r="B28" s="372"/>
      <c r="C28" s="372" t="s">
        <v>1284</v>
      </c>
      <c r="D28" s="372" t="s">
        <v>1442</v>
      </c>
      <c r="E28" s="373" t="s">
        <v>851</v>
      </c>
      <c r="F28" s="372">
        <v>1002848635</v>
      </c>
      <c r="G28" s="375" t="s">
        <v>1685</v>
      </c>
    </row>
    <row r="29" spans="1:7" ht="30" x14ac:dyDescent="0.25">
      <c r="A29" s="369" t="s">
        <v>1443</v>
      </c>
      <c r="B29" s="369" t="s">
        <v>1444</v>
      </c>
      <c r="C29" s="369" t="s">
        <v>1445</v>
      </c>
      <c r="D29" s="369"/>
      <c r="E29" s="370" t="s">
        <v>851</v>
      </c>
      <c r="F29" s="369">
        <v>1061757665</v>
      </c>
      <c r="G29" s="371" t="s">
        <v>1684</v>
      </c>
    </row>
    <row r="30" spans="1:7" ht="30" x14ac:dyDescent="0.25">
      <c r="A30" s="372" t="s">
        <v>1179</v>
      </c>
      <c r="B30" s="372" t="s">
        <v>1435</v>
      </c>
      <c r="C30" s="372" t="s">
        <v>1448</v>
      </c>
      <c r="D30" s="372" t="s">
        <v>1294</v>
      </c>
      <c r="E30" s="373" t="s">
        <v>851</v>
      </c>
      <c r="F30" s="372">
        <v>1059594096</v>
      </c>
      <c r="G30" s="375" t="s">
        <v>1685</v>
      </c>
    </row>
    <row r="31" spans="1:7" ht="30" x14ac:dyDescent="0.25">
      <c r="A31" s="369" t="s">
        <v>1441</v>
      </c>
      <c r="B31" s="369" t="s">
        <v>914</v>
      </c>
      <c r="C31" s="369" t="s">
        <v>1451</v>
      </c>
      <c r="D31" s="369"/>
      <c r="E31" s="370" t="s">
        <v>851</v>
      </c>
      <c r="F31" s="369">
        <v>1059598007</v>
      </c>
      <c r="G31" s="371" t="s">
        <v>1685</v>
      </c>
    </row>
    <row r="32" spans="1:7" ht="30" x14ac:dyDescent="0.25">
      <c r="A32" s="372" t="s">
        <v>896</v>
      </c>
      <c r="B32" s="372" t="s">
        <v>943</v>
      </c>
      <c r="C32" s="372" t="s">
        <v>1452</v>
      </c>
      <c r="D32" s="372" t="s">
        <v>1372</v>
      </c>
      <c r="E32" s="373" t="s">
        <v>851</v>
      </c>
      <c r="F32" s="372">
        <v>1059599315</v>
      </c>
      <c r="G32" s="375" t="s">
        <v>1684</v>
      </c>
    </row>
    <row r="33" spans="1:7" ht="30" x14ac:dyDescent="0.25">
      <c r="A33" s="369" t="s">
        <v>1455</v>
      </c>
      <c r="B33" s="369" t="s">
        <v>974</v>
      </c>
      <c r="C33" s="369" t="s">
        <v>1305</v>
      </c>
      <c r="D33" s="369" t="s">
        <v>1456</v>
      </c>
      <c r="E33" s="370" t="s">
        <v>1094</v>
      </c>
      <c r="F33" s="369">
        <v>1059595977</v>
      </c>
      <c r="G33" s="371" t="s">
        <v>1685</v>
      </c>
    </row>
    <row r="34" spans="1:7" ht="30" x14ac:dyDescent="0.25">
      <c r="A34" s="372" t="s">
        <v>1441</v>
      </c>
      <c r="B34" s="372" t="s">
        <v>884</v>
      </c>
      <c r="C34" s="372" t="s">
        <v>1457</v>
      </c>
      <c r="D34" s="372"/>
      <c r="E34" s="373" t="s">
        <v>851</v>
      </c>
      <c r="F34" s="372">
        <v>25545401</v>
      </c>
      <c r="G34" s="375" t="s">
        <v>1684</v>
      </c>
    </row>
    <row r="35" spans="1:7" ht="30" x14ac:dyDescent="0.25">
      <c r="A35" s="369" t="s">
        <v>1458</v>
      </c>
      <c r="B35" s="369" t="s">
        <v>1459</v>
      </c>
      <c r="C35" s="369" t="s">
        <v>1460</v>
      </c>
      <c r="D35" s="369" t="s">
        <v>976</v>
      </c>
      <c r="E35" s="370" t="s">
        <v>1094</v>
      </c>
      <c r="F35" s="369">
        <v>1062295885</v>
      </c>
      <c r="G35" s="371" t="s">
        <v>1685</v>
      </c>
    </row>
    <row r="36" spans="1:7" ht="30" x14ac:dyDescent="0.25">
      <c r="A36" s="372" t="s">
        <v>944</v>
      </c>
      <c r="B36" s="372" t="s">
        <v>943</v>
      </c>
      <c r="C36" s="372" t="s">
        <v>1463</v>
      </c>
      <c r="D36" s="372" t="s">
        <v>1464</v>
      </c>
      <c r="E36" s="373" t="s">
        <v>1094</v>
      </c>
      <c r="F36" s="372">
        <v>1060186081</v>
      </c>
      <c r="G36" s="375" t="s">
        <v>1685</v>
      </c>
    </row>
    <row r="37" spans="1:7" ht="30" x14ac:dyDescent="0.25">
      <c r="A37" s="369" t="s">
        <v>964</v>
      </c>
      <c r="B37" s="369" t="s">
        <v>1465</v>
      </c>
      <c r="C37" s="369" t="s">
        <v>1002</v>
      </c>
      <c r="D37" s="369" t="s">
        <v>1366</v>
      </c>
      <c r="E37" s="370" t="s">
        <v>1094</v>
      </c>
      <c r="F37" s="369">
        <v>1061530990</v>
      </c>
      <c r="G37" s="371" t="s">
        <v>1685</v>
      </c>
    </row>
    <row r="38" spans="1:7" ht="30" x14ac:dyDescent="0.25">
      <c r="A38" s="372" t="s">
        <v>1156</v>
      </c>
      <c r="B38" s="372" t="s">
        <v>883</v>
      </c>
      <c r="C38" s="372" t="s">
        <v>1157</v>
      </c>
      <c r="D38" s="372" t="s">
        <v>1466</v>
      </c>
      <c r="E38" s="373" t="s">
        <v>851</v>
      </c>
      <c r="F38" s="372">
        <v>1059594587</v>
      </c>
      <c r="G38" s="375" t="s">
        <v>1685</v>
      </c>
    </row>
    <row r="39" spans="1:7" ht="30" x14ac:dyDescent="0.25">
      <c r="A39" s="369" t="s">
        <v>943</v>
      </c>
      <c r="B39" s="369" t="s">
        <v>1144</v>
      </c>
      <c r="C39" s="369" t="s">
        <v>1468</v>
      </c>
      <c r="D39" s="369" t="s">
        <v>1281</v>
      </c>
      <c r="E39" s="370" t="s">
        <v>851</v>
      </c>
      <c r="F39" s="369">
        <v>1059607505</v>
      </c>
      <c r="G39" s="371" t="s">
        <v>1685</v>
      </c>
    </row>
    <row r="40" spans="1:7" ht="30" x14ac:dyDescent="0.25">
      <c r="A40" s="372" t="s">
        <v>883</v>
      </c>
      <c r="B40" s="372" t="s">
        <v>1290</v>
      </c>
      <c r="C40" s="372" t="s">
        <v>1476</v>
      </c>
      <c r="D40" s="372"/>
      <c r="E40" s="373" t="s">
        <v>851</v>
      </c>
      <c r="F40" s="372">
        <v>1059604081</v>
      </c>
      <c r="G40" s="375" t="s">
        <v>1685</v>
      </c>
    </row>
    <row r="41" spans="1:7" ht="30" x14ac:dyDescent="0.25">
      <c r="A41" s="369" t="s">
        <v>884</v>
      </c>
      <c r="B41" s="369" t="s">
        <v>914</v>
      </c>
      <c r="C41" s="369" t="s">
        <v>1479</v>
      </c>
      <c r="D41" s="369" t="s">
        <v>1480</v>
      </c>
      <c r="E41" s="370" t="s">
        <v>851</v>
      </c>
      <c r="F41" s="369">
        <v>1002847894</v>
      </c>
      <c r="G41" s="371" t="s">
        <v>1685</v>
      </c>
    </row>
    <row r="42" spans="1:7" ht="30" x14ac:dyDescent="0.25">
      <c r="A42" s="372" t="s">
        <v>914</v>
      </c>
      <c r="B42" s="372" t="s">
        <v>1276</v>
      </c>
      <c r="C42" s="372" t="s">
        <v>938</v>
      </c>
      <c r="D42" s="372" t="s">
        <v>1484</v>
      </c>
      <c r="E42" s="373" t="s">
        <v>851</v>
      </c>
      <c r="F42" s="372">
        <v>1002846249</v>
      </c>
      <c r="G42" s="375" t="s">
        <v>1685</v>
      </c>
    </row>
    <row r="43" spans="1:7" ht="30" x14ac:dyDescent="0.25">
      <c r="A43" s="369" t="s">
        <v>914</v>
      </c>
      <c r="B43" s="369" t="s">
        <v>848</v>
      </c>
      <c r="C43" s="369" t="s">
        <v>1485</v>
      </c>
      <c r="D43" s="369" t="s">
        <v>1285</v>
      </c>
      <c r="E43" s="370" t="s">
        <v>851</v>
      </c>
      <c r="F43" s="369">
        <v>1002846445</v>
      </c>
      <c r="G43" s="371" t="s">
        <v>1685</v>
      </c>
    </row>
    <row r="44" spans="1:7" ht="30" x14ac:dyDescent="0.25">
      <c r="A44" s="372" t="s">
        <v>974</v>
      </c>
      <c r="B44" s="372" t="s">
        <v>943</v>
      </c>
      <c r="C44" s="372" t="s">
        <v>1217</v>
      </c>
      <c r="D44" s="372" t="s">
        <v>1490</v>
      </c>
      <c r="E44" s="373" t="s">
        <v>851</v>
      </c>
      <c r="F44" s="372">
        <v>25552127</v>
      </c>
      <c r="G44" s="375" t="s">
        <v>1684</v>
      </c>
    </row>
    <row r="45" spans="1:7" ht="30" x14ac:dyDescent="0.25">
      <c r="A45" s="369" t="s">
        <v>967</v>
      </c>
      <c r="B45" s="369" t="s">
        <v>980</v>
      </c>
      <c r="C45" s="369" t="s">
        <v>1492</v>
      </c>
      <c r="D45" s="369"/>
      <c r="E45" s="370" t="s">
        <v>851</v>
      </c>
      <c r="F45" s="369">
        <v>1059596429</v>
      </c>
      <c r="G45" s="371" t="s">
        <v>1684</v>
      </c>
    </row>
    <row r="46" spans="1:7" ht="30" x14ac:dyDescent="0.25">
      <c r="A46" s="372" t="s">
        <v>884</v>
      </c>
      <c r="B46" s="372" t="s">
        <v>1378</v>
      </c>
      <c r="C46" s="372" t="s">
        <v>1494</v>
      </c>
      <c r="D46" s="372" t="s">
        <v>1495</v>
      </c>
      <c r="E46" s="373" t="s">
        <v>851</v>
      </c>
      <c r="F46" s="372">
        <v>1059602313</v>
      </c>
      <c r="G46" s="375" t="s">
        <v>1685</v>
      </c>
    </row>
    <row r="47" spans="1:7" ht="30" x14ac:dyDescent="0.25">
      <c r="A47" s="369" t="s">
        <v>992</v>
      </c>
      <c r="B47" s="369" t="s">
        <v>1498</v>
      </c>
      <c r="C47" s="369" t="s">
        <v>938</v>
      </c>
      <c r="D47" s="369" t="s">
        <v>1499</v>
      </c>
      <c r="E47" s="370" t="s">
        <v>851</v>
      </c>
      <c r="F47" s="369">
        <v>25547215</v>
      </c>
      <c r="G47" s="371" t="s">
        <v>1684</v>
      </c>
    </row>
    <row r="48" spans="1:7" ht="30" x14ac:dyDescent="0.25">
      <c r="A48" s="372" t="s">
        <v>848</v>
      </c>
      <c r="B48" s="372" t="s">
        <v>953</v>
      </c>
      <c r="C48" s="372" t="s">
        <v>1501</v>
      </c>
      <c r="D48" s="372" t="s">
        <v>919</v>
      </c>
      <c r="E48" s="373" t="s">
        <v>851</v>
      </c>
      <c r="F48" s="372">
        <v>1002846245</v>
      </c>
      <c r="G48" s="375" t="s">
        <v>1685</v>
      </c>
    </row>
    <row r="49" spans="1:7" ht="30" x14ac:dyDescent="0.25">
      <c r="A49" s="369" t="s">
        <v>992</v>
      </c>
      <c r="B49" s="369" t="s">
        <v>848</v>
      </c>
      <c r="C49" s="369" t="s">
        <v>1504</v>
      </c>
      <c r="D49" s="369" t="s">
        <v>1157</v>
      </c>
      <c r="E49" s="370" t="s">
        <v>851</v>
      </c>
      <c r="F49" s="369">
        <v>1002848292</v>
      </c>
      <c r="G49" s="371" t="s">
        <v>1685</v>
      </c>
    </row>
    <row r="50" spans="1:7" ht="30" x14ac:dyDescent="0.25">
      <c r="A50" s="372" t="s">
        <v>1507</v>
      </c>
      <c r="B50" s="372" t="s">
        <v>1365</v>
      </c>
      <c r="C50" s="372" t="s">
        <v>1508</v>
      </c>
      <c r="D50" s="372"/>
      <c r="E50" s="373" t="s">
        <v>851</v>
      </c>
      <c r="F50" s="372">
        <v>1059600322</v>
      </c>
      <c r="G50" s="375" t="s">
        <v>1685</v>
      </c>
    </row>
    <row r="51" spans="1:7" ht="30" x14ac:dyDescent="0.25">
      <c r="A51" s="369" t="s">
        <v>1041</v>
      </c>
      <c r="B51" s="369" t="s">
        <v>1147</v>
      </c>
      <c r="C51" s="369" t="s">
        <v>1512</v>
      </c>
      <c r="D51" s="369"/>
      <c r="E51" s="370" t="s">
        <v>851</v>
      </c>
      <c r="F51" s="369">
        <v>1059604976</v>
      </c>
      <c r="G51" s="371" t="s">
        <v>1685</v>
      </c>
    </row>
    <row r="52" spans="1:7" ht="30" x14ac:dyDescent="0.25">
      <c r="A52" s="372" t="s">
        <v>1513</v>
      </c>
      <c r="B52" s="372" t="s">
        <v>1514</v>
      </c>
      <c r="C52" s="372" t="s">
        <v>1515</v>
      </c>
      <c r="D52" s="372"/>
      <c r="E52" s="373" t="s">
        <v>851</v>
      </c>
      <c r="F52" s="372">
        <v>1067461286</v>
      </c>
      <c r="G52" s="375" t="s">
        <v>1685</v>
      </c>
    </row>
    <row r="53" spans="1:7" ht="30" x14ac:dyDescent="0.25">
      <c r="A53" s="369" t="s">
        <v>1519</v>
      </c>
      <c r="B53" s="369" t="s">
        <v>848</v>
      </c>
      <c r="C53" s="369" t="s">
        <v>1520</v>
      </c>
      <c r="D53" s="369" t="s">
        <v>1521</v>
      </c>
      <c r="E53" s="370" t="s">
        <v>851</v>
      </c>
      <c r="F53" s="369">
        <v>1002950269</v>
      </c>
      <c r="G53" s="371" t="s">
        <v>1685</v>
      </c>
    </row>
    <row r="54" spans="1:7" ht="30" x14ac:dyDescent="0.25">
      <c r="A54" s="372" t="s">
        <v>884</v>
      </c>
      <c r="B54" s="372" t="s">
        <v>1524</v>
      </c>
      <c r="C54" s="372" t="s">
        <v>945</v>
      </c>
      <c r="D54" s="372" t="s">
        <v>919</v>
      </c>
      <c r="E54" s="373" t="s">
        <v>851</v>
      </c>
      <c r="F54" s="372">
        <v>1002970266</v>
      </c>
      <c r="G54" s="375" t="s">
        <v>1686</v>
      </c>
    </row>
    <row r="55" spans="1:7" ht="30" x14ac:dyDescent="0.25">
      <c r="A55" s="369" t="s">
        <v>896</v>
      </c>
      <c r="B55" s="369" t="s">
        <v>953</v>
      </c>
      <c r="C55" s="369" t="s">
        <v>1530</v>
      </c>
      <c r="D55" s="369" t="s">
        <v>1182</v>
      </c>
      <c r="E55" s="370" t="s">
        <v>851</v>
      </c>
      <c r="F55" s="369">
        <v>1059594419</v>
      </c>
      <c r="G55" s="371" t="s">
        <v>1684</v>
      </c>
    </row>
    <row r="56" spans="1:7" ht="30" x14ac:dyDescent="0.25">
      <c r="A56" s="372" t="s">
        <v>1361</v>
      </c>
      <c r="B56" s="372" t="s">
        <v>992</v>
      </c>
      <c r="C56" s="372" t="s">
        <v>1531</v>
      </c>
      <c r="D56" s="372"/>
      <c r="E56" s="373" t="s">
        <v>851</v>
      </c>
      <c r="F56" s="372">
        <v>1151452891</v>
      </c>
      <c r="G56" s="375" t="s">
        <v>1685</v>
      </c>
    </row>
    <row r="57" spans="1:7" ht="30" x14ac:dyDescent="0.25">
      <c r="A57" s="369" t="s">
        <v>914</v>
      </c>
      <c r="B57" s="369" t="s">
        <v>1470</v>
      </c>
      <c r="C57" s="369" t="s">
        <v>1167</v>
      </c>
      <c r="D57" s="369" t="s">
        <v>1043</v>
      </c>
      <c r="E57" s="370" t="s">
        <v>851</v>
      </c>
      <c r="F57" s="369">
        <v>1193105051</v>
      </c>
      <c r="G57" s="371" t="s">
        <v>1685</v>
      </c>
    </row>
    <row r="58" spans="1:7" ht="30" x14ac:dyDescent="0.25">
      <c r="A58" s="372" t="s">
        <v>1286</v>
      </c>
      <c r="B58" s="372" t="s">
        <v>980</v>
      </c>
      <c r="C58" s="372" t="s">
        <v>1528</v>
      </c>
      <c r="D58" s="372" t="s">
        <v>1281</v>
      </c>
      <c r="E58" s="373" t="s">
        <v>851</v>
      </c>
      <c r="F58" s="372">
        <v>1059596092</v>
      </c>
      <c r="G58" s="375" t="s">
        <v>1685</v>
      </c>
    </row>
    <row r="59" spans="1:7" ht="30" x14ac:dyDescent="0.25">
      <c r="A59" s="369" t="s">
        <v>884</v>
      </c>
      <c r="B59" s="369" t="s">
        <v>1144</v>
      </c>
      <c r="C59" s="369" t="s">
        <v>1534</v>
      </c>
      <c r="D59" s="369"/>
      <c r="E59" s="370" t="s">
        <v>851</v>
      </c>
      <c r="F59" s="376">
        <v>1002846626</v>
      </c>
      <c r="G59" s="371" t="s">
        <v>1685</v>
      </c>
    </row>
    <row r="60" spans="1:7" ht="30" x14ac:dyDescent="0.25">
      <c r="A60" s="372" t="s">
        <v>1246</v>
      </c>
      <c r="B60" s="372" t="s">
        <v>943</v>
      </c>
      <c r="C60" s="372" t="s">
        <v>1535</v>
      </c>
      <c r="D60" s="372"/>
      <c r="E60" s="373" t="s">
        <v>851</v>
      </c>
      <c r="F60" s="377">
        <v>1002848307</v>
      </c>
      <c r="G60" s="375" t="s">
        <v>1684</v>
      </c>
    </row>
    <row r="61" spans="1:7" ht="30" x14ac:dyDescent="0.25">
      <c r="A61" s="369" t="s">
        <v>873</v>
      </c>
      <c r="B61" s="369" t="s">
        <v>1091</v>
      </c>
      <c r="C61" s="369" t="s">
        <v>1277</v>
      </c>
      <c r="D61" s="369"/>
      <c r="E61" s="370" t="s">
        <v>851</v>
      </c>
      <c r="F61" s="378">
        <v>1059598472</v>
      </c>
      <c r="G61" s="371" t="s">
        <v>1686</v>
      </c>
    </row>
    <row r="62" spans="1:7" ht="30" x14ac:dyDescent="0.25">
      <c r="A62" s="372" t="s">
        <v>896</v>
      </c>
      <c r="B62" s="372" t="s">
        <v>1091</v>
      </c>
      <c r="C62" s="372" t="s">
        <v>1538</v>
      </c>
      <c r="D62" s="372"/>
      <c r="E62" s="373" t="s">
        <v>851</v>
      </c>
      <c r="F62" s="372">
        <v>1002846350</v>
      </c>
      <c r="G62" s="375" t="s">
        <v>1685</v>
      </c>
    </row>
    <row r="63" spans="1:7" ht="30" x14ac:dyDescent="0.25">
      <c r="A63" s="369" t="s">
        <v>896</v>
      </c>
      <c r="B63" s="369" t="s">
        <v>953</v>
      </c>
      <c r="C63" s="369" t="s">
        <v>1217</v>
      </c>
      <c r="D63" s="369" t="s">
        <v>1471</v>
      </c>
      <c r="E63" s="370" t="s">
        <v>851</v>
      </c>
      <c r="F63" s="376">
        <v>1059602285</v>
      </c>
      <c r="G63" s="371" t="s">
        <v>1685</v>
      </c>
    </row>
    <row r="64" spans="1:7" ht="30" x14ac:dyDescent="0.25">
      <c r="A64" s="372" t="s">
        <v>1540</v>
      </c>
      <c r="B64" s="372" t="s">
        <v>943</v>
      </c>
      <c r="C64" s="372" t="s">
        <v>1541</v>
      </c>
      <c r="D64" s="372" t="s">
        <v>1542</v>
      </c>
      <c r="E64" s="373" t="s">
        <v>851</v>
      </c>
      <c r="F64" s="379">
        <v>1059840033</v>
      </c>
      <c r="G64" s="375" t="s">
        <v>1685</v>
      </c>
    </row>
    <row r="65" spans="1:7" ht="30" x14ac:dyDescent="0.25">
      <c r="A65" s="369" t="s">
        <v>1144</v>
      </c>
      <c r="B65" s="369" t="s">
        <v>996</v>
      </c>
      <c r="C65" s="369" t="s">
        <v>1192</v>
      </c>
      <c r="D65" s="369"/>
      <c r="E65" s="370" t="s">
        <v>851</v>
      </c>
      <c r="F65" s="376">
        <v>1059604012</v>
      </c>
      <c r="G65" s="371" t="s">
        <v>1685</v>
      </c>
    </row>
    <row r="66" spans="1:7" ht="30" x14ac:dyDescent="0.25">
      <c r="A66" s="372" t="s">
        <v>896</v>
      </c>
      <c r="B66" s="372" t="s">
        <v>953</v>
      </c>
      <c r="C66" s="372" t="s">
        <v>1545</v>
      </c>
      <c r="D66" s="372"/>
      <c r="E66" s="373" t="s">
        <v>851</v>
      </c>
      <c r="F66" s="372">
        <v>25545389</v>
      </c>
      <c r="G66" s="375" t="s">
        <v>1685</v>
      </c>
    </row>
    <row r="67" spans="1:7" ht="30" x14ac:dyDescent="0.25">
      <c r="A67" s="369" t="s">
        <v>1156</v>
      </c>
      <c r="B67" s="369" t="s">
        <v>980</v>
      </c>
      <c r="C67" s="369" t="s">
        <v>1547</v>
      </c>
      <c r="D67" s="369"/>
      <c r="E67" s="370" t="s">
        <v>1094</v>
      </c>
      <c r="F67" s="369">
        <v>1059597328</v>
      </c>
      <c r="G67" s="371" t="s">
        <v>1685</v>
      </c>
    </row>
    <row r="68" spans="1:7" ht="30" x14ac:dyDescent="0.25">
      <c r="A68" s="372" t="s">
        <v>1549</v>
      </c>
      <c r="B68" s="372" t="s">
        <v>1298</v>
      </c>
      <c r="C68" s="372" t="s">
        <v>1550</v>
      </c>
      <c r="D68" s="372" t="s">
        <v>1551</v>
      </c>
      <c r="E68" s="373" t="s">
        <v>851</v>
      </c>
      <c r="F68" s="380">
        <v>1002847310</v>
      </c>
      <c r="G68" s="375" t="s">
        <v>1686</v>
      </c>
    </row>
    <row r="69" spans="1:7" x14ac:dyDescent="0.25">
      <c r="A69" s="369" t="s">
        <v>943</v>
      </c>
      <c r="B69" s="369" t="s">
        <v>848</v>
      </c>
      <c r="C69" s="369" t="s">
        <v>1553</v>
      </c>
      <c r="D69" s="369"/>
      <c r="E69" s="370"/>
      <c r="F69" s="369">
        <v>1059594153</v>
      </c>
      <c r="G69" s="371" t="s">
        <v>1685</v>
      </c>
    </row>
    <row r="70" spans="1:7" ht="30" x14ac:dyDescent="0.25">
      <c r="A70" s="372" t="s">
        <v>943</v>
      </c>
      <c r="B70" s="372" t="s">
        <v>1144</v>
      </c>
      <c r="C70" s="372" t="s">
        <v>1504</v>
      </c>
      <c r="D70" s="372" t="s">
        <v>1281</v>
      </c>
      <c r="E70" s="373" t="s">
        <v>1094</v>
      </c>
      <c r="F70" s="372">
        <v>1059599329</v>
      </c>
      <c r="G70" s="375" t="s">
        <v>1685</v>
      </c>
    </row>
    <row r="71" spans="1:7" ht="30" x14ac:dyDescent="0.25">
      <c r="A71" s="369" t="s">
        <v>953</v>
      </c>
      <c r="B71" s="369" t="s">
        <v>1249</v>
      </c>
      <c r="C71" s="369" t="s">
        <v>1556</v>
      </c>
      <c r="D71" s="369"/>
      <c r="E71" s="370" t="s">
        <v>1094</v>
      </c>
      <c r="F71" s="369">
        <v>1059599873</v>
      </c>
      <c r="G71" s="371" t="s">
        <v>1684</v>
      </c>
    </row>
    <row r="72" spans="1:7" ht="30" x14ac:dyDescent="0.25">
      <c r="A72" s="372" t="s">
        <v>996</v>
      </c>
      <c r="B72" s="372" t="s">
        <v>1559</v>
      </c>
      <c r="C72" s="372" t="s">
        <v>1560</v>
      </c>
      <c r="D72" s="372"/>
      <c r="E72" s="373" t="s">
        <v>851</v>
      </c>
      <c r="F72" s="372">
        <v>25552089</v>
      </c>
      <c r="G72" s="375" t="s">
        <v>1684</v>
      </c>
    </row>
    <row r="73" spans="1:7" ht="30" x14ac:dyDescent="0.25">
      <c r="A73" s="369" t="s">
        <v>1361</v>
      </c>
      <c r="B73" s="369" t="s">
        <v>1470</v>
      </c>
      <c r="C73" s="369" t="s">
        <v>1553</v>
      </c>
      <c r="D73" s="369"/>
      <c r="E73" s="370" t="s">
        <v>851</v>
      </c>
      <c r="F73" s="369">
        <v>1059595865</v>
      </c>
      <c r="G73" s="371" t="s">
        <v>1686</v>
      </c>
    </row>
    <row r="74" spans="1:7" ht="30" x14ac:dyDescent="0.25">
      <c r="A74" s="372" t="s">
        <v>874</v>
      </c>
      <c r="B74" s="372" t="s">
        <v>873</v>
      </c>
      <c r="C74" s="372" t="s">
        <v>1635</v>
      </c>
      <c r="D74" s="372" t="s">
        <v>1294</v>
      </c>
      <c r="E74" s="373" t="s">
        <v>1094</v>
      </c>
      <c r="F74" s="372">
        <v>1059597986</v>
      </c>
      <c r="G74" s="375" t="s">
        <v>1685</v>
      </c>
    </row>
    <row r="75" spans="1:7" ht="30" x14ac:dyDescent="0.25">
      <c r="A75" s="369" t="s">
        <v>873</v>
      </c>
      <c r="B75" s="369" t="s">
        <v>962</v>
      </c>
      <c r="C75" s="369" t="s">
        <v>1501</v>
      </c>
      <c r="D75" s="369" t="s">
        <v>1340</v>
      </c>
      <c r="E75" s="370" t="s">
        <v>851</v>
      </c>
      <c r="F75" s="369">
        <v>1059594976</v>
      </c>
      <c r="G75" s="371" t="s">
        <v>1685</v>
      </c>
    </row>
    <row r="76" spans="1:7" x14ac:dyDescent="0.25">
      <c r="A76" s="372" t="s">
        <v>896</v>
      </c>
      <c r="B76" s="372" t="s">
        <v>953</v>
      </c>
      <c r="C76" s="372" t="s">
        <v>1634</v>
      </c>
      <c r="D76" s="372"/>
      <c r="E76" s="373"/>
      <c r="F76" s="372">
        <v>1002848733</v>
      </c>
      <c r="G76" s="375" t="s">
        <v>1685</v>
      </c>
    </row>
    <row r="77" spans="1:7" ht="30" x14ac:dyDescent="0.25">
      <c r="A77" s="369" t="s">
        <v>896</v>
      </c>
      <c r="B77" s="369" t="s">
        <v>915</v>
      </c>
      <c r="C77" s="369" t="s">
        <v>1585</v>
      </c>
      <c r="D77" s="369"/>
      <c r="E77" s="370" t="s">
        <v>851</v>
      </c>
      <c r="F77" s="369">
        <v>1059595460</v>
      </c>
      <c r="G77" s="371" t="s">
        <v>1685</v>
      </c>
    </row>
    <row r="78" spans="1:7" ht="30" x14ac:dyDescent="0.25">
      <c r="A78" s="372" t="s">
        <v>873</v>
      </c>
      <c r="B78" s="372" t="s">
        <v>874</v>
      </c>
      <c r="C78" s="372" t="s">
        <v>1215</v>
      </c>
      <c r="D78" s="372"/>
      <c r="E78" s="373" t="s">
        <v>851</v>
      </c>
      <c r="F78" s="372">
        <v>1002849181</v>
      </c>
      <c r="G78" s="375" t="s">
        <v>1685</v>
      </c>
    </row>
    <row r="79" spans="1:7" ht="30" x14ac:dyDescent="0.25">
      <c r="A79" s="369" t="s">
        <v>1156</v>
      </c>
      <c r="B79" s="369" t="s">
        <v>884</v>
      </c>
      <c r="C79" s="369" t="s">
        <v>1481</v>
      </c>
      <c r="D79" s="369" t="s">
        <v>1482</v>
      </c>
      <c r="E79" s="370" t="s">
        <v>851</v>
      </c>
      <c r="F79" s="381">
        <v>1002847557</v>
      </c>
      <c r="G79" s="371" t="s">
        <v>1685</v>
      </c>
    </row>
    <row r="80" spans="1:7" ht="30" x14ac:dyDescent="0.25">
      <c r="A80" s="372" t="s">
        <v>953</v>
      </c>
      <c r="B80" s="372" t="s">
        <v>1286</v>
      </c>
      <c r="C80" s="372" t="s">
        <v>1463</v>
      </c>
      <c r="D80" s="372" t="s">
        <v>1579</v>
      </c>
      <c r="E80" s="373" t="s">
        <v>851</v>
      </c>
      <c r="F80" s="379">
        <v>1059594553</v>
      </c>
      <c r="G80" s="375" t="s">
        <v>1685</v>
      </c>
    </row>
    <row r="81" spans="1:7" ht="30" x14ac:dyDescent="0.25">
      <c r="A81" s="369" t="s">
        <v>1580</v>
      </c>
      <c r="B81" s="369" t="s">
        <v>914</v>
      </c>
      <c r="C81" s="369" t="s">
        <v>1581</v>
      </c>
      <c r="D81" s="369" t="s">
        <v>1464</v>
      </c>
      <c r="E81" s="370" t="s">
        <v>851</v>
      </c>
      <c r="F81" s="382">
        <v>1002846447</v>
      </c>
      <c r="G81" s="371" t="s">
        <v>1685</v>
      </c>
    </row>
    <row r="82" spans="1:7" ht="30" x14ac:dyDescent="0.25">
      <c r="A82" s="372" t="s">
        <v>1583</v>
      </c>
      <c r="B82" s="372" t="s">
        <v>873</v>
      </c>
      <c r="C82" s="372" t="s">
        <v>1584</v>
      </c>
      <c r="D82" s="372"/>
      <c r="E82" s="373" t="s">
        <v>851</v>
      </c>
      <c r="F82" s="379">
        <v>1003150179</v>
      </c>
      <c r="G82" s="375" t="s">
        <v>1684</v>
      </c>
    </row>
    <row r="83" spans="1:7" ht="30" x14ac:dyDescent="0.25">
      <c r="A83" s="369" t="s">
        <v>1322</v>
      </c>
      <c r="B83" s="369" t="s">
        <v>1378</v>
      </c>
      <c r="C83" s="369" t="s">
        <v>1587</v>
      </c>
      <c r="D83" s="369"/>
      <c r="E83" s="370" t="s">
        <v>851</v>
      </c>
      <c r="F83" s="382">
        <v>1059597005</v>
      </c>
      <c r="G83" s="371" t="s">
        <v>1685</v>
      </c>
    </row>
    <row r="84" spans="1:7" ht="30" x14ac:dyDescent="0.25">
      <c r="A84" s="372" t="s">
        <v>1590</v>
      </c>
      <c r="B84" s="372" t="s">
        <v>874</v>
      </c>
      <c r="C84" s="372" t="s">
        <v>1591</v>
      </c>
      <c r="D84" s="372"/>
      <c r="E84" s="373" t="s">
        <v>851</v>
      </c>
      <c r="F84" s="379">
        <v>1002846250</v>
      </c>
      <c r="G84" s="375" t="s">
        <v>1685</v>
      </c>
    </row>
    <row r="85" spans="1:7" ht="30" x14ac:dyDescent="0.25">
      <c r="A85" s="369" t="s">
        <v>1286</v>
      </c>
      <c r="B85" s="369" t="s">
        <v>1594</v>
      </c>
      <c r="C85" s="369" t="s">
        <v>1420</v>
      </c>
      <c r="D85" s="369"/>
      <c r="E85" s="370" t="s">
        <v>1094</v>
      </c>
      <c r="F85" s="382">
        <v>1059595940</v>
      </c>
      <c r="G85" s="371" t="s">
        <v>1685</v>
      </c>
    </row>
    <row r="86" spans="1:7" ht="30" x14ac:dyDescent="0.25">
      <c r="A86" s="372" t="s">
        <v>1598</v>
      </c>
      <c r="B86" s="372" t="s">
        <v>1599</v>
      </c>
      <c r="C86" s="372" t="s">
        <v>1597</v>
      </c>
      <c r="D86" s="372"/>
      <c r="E86" s="373" t="s">
        <v>851</v>
      </c>
      <c r="F86" s="372">
        <v>1002846452</v>
      </c>
      <c r="G86" s="375" t="s">
        <v>1685</v>
      </c>
    </row>
    <row r="87" spans="1:7" ht="30" x14ac:dyDescent="0.25">
      <c r="A87" s="369" t="s">
        <v>914</v>
      </c>
      <c r="B87" s="369" t="s">
        <v>1601</v>
      </c>
      <c r="C87" s="369" t="s">
        <v>1602</v>
      </c>
      <c r="D87" s="369"/>
      <c r="E87" s="370" t="s">
        <v>851</v>
      </c>
      <c r="F87" s="369">
        <v>1003370775</v>
      </c>
      <c r="G87" s="371" t="s">
        <v>1685</v>
      </c>
    </row>
    <row r="88" spans="1:7" ht="30" x14ac:dyDescent="0.25">
      <c r="A88" s="372" t="s">
        <v>896</v>
      </c>
      <c r="B88" s="372" t="s">
        <v>992</v>
      </c>
      <c r="C88" s="372" t="s">
        <v>1530</v>
      </c>
      <c r="D88" s="372" t="s">
        <v>1357</v>
      </c>
      <c r="E88" s="373" t="s">
        <v>851</v>
      </c>
      <c r="F88" s="372">
        <v>1002847645</v>
      </c>
      <c r="G88" s="375" t="s">
        <v>1685</v>
      </c>
    </row>
    <row r="89" spans="1:7" ht="30" x14ac:dyDescent="0.25">
      <c r="A89" s="369" t="s">
        <v>896</v>
      </c>
      <c r="B89" s="369" t="s">
        <v>1599</v>
      </c>
      <c r="C89" s="369" t="s">
        <v>1607</v>
      </c>
      <c r="D89" s="369" t="s">
        <v>1608</v>
      </c>
      <c r="E89" s="370" t="s">
        <v>851</v>
      </c>
      <c r="F89" s="369">
        <v>1060800773</v>
      </c>
      <c r="G89" s="371" t="s">
        <v>1684</v>
      </c>
    </row>
    <row r="90" spans="1:7" ht="30" x14ac:dyDescent="0.25">
      <c r="A90" s="372" t="s">
        <v>914</v>
      </c>
      <c r="B90" s="372" t="s">
        <v>943</v>
      </c>
      <c r="C90" s="372" t="s">
        <v>1198</v>
      </c>
      <c r="D90" s="372"/>
      <c r="E90" s="373" t="s">
        <v>851</v>
      </c>
      <c r="F90" s="372">
        <v>1059605317</v>
      </c>
      <c r="G90" s="375" t="s">
        <v>1685</v>
      </c>
    </row>
    <row r="91" spans="1:7" ht="30" x14ac:dyDescent="0.25">
      <c r="A91" s="369" t="s">
        <v>1439</v>
      </c>
      <c r="B91" s="369" t="s">
        <v>848</v>
      </c>
      <c r="C91" s="369" t="s">
        <v>1437</v>
      </c>
      <c r="D91" s="369"/>
      <c r="E91" s="370" t="s">
        <v>851</v>
      </c>
      <c r="F91" s="369">
        <v>1059595628</v>
      </c>
      <c r="G91" s="371" t="s">
        <v>1685</v>
      </c>
    </row>
    <row r="92" spans="1:7" ht="30" x14ac:dyDescent="0.25">
      <c r="A92" s="372" t="s">
        <v>873</v>
      </c>
      <c r="B92" s="372" t="s">
        <v>874</v>
      </c>
      <c r="C92" s="372" t="s">
        <v>1612</v>
      </c>
      <c r="D92" s="372" t="s">
        <v>1613</v>
      </c>
      <c r="E92" s="373" t="s">
        <v>851</v>
      </c>
      <c r="F92" s="372">
        <v>1002849103</v>
      </c>
      <c r="G92" s="375" t="s">
        <v>1685</v>
      </c>
    </row>
    <row r="93" spans="1:7" ht="30" x14ac:dyDescent="0.25">
      <c r="A93" s="369" t="s">
        <v>914</v>
      </c>
      <c r="B93" s="369" t="s">
        <v>914</v>
      </c>
      <c r="C93" s="369" t="s">
        <v>1614</v>
      </c>
      <c r="D93" s="369" t="s">
        <v>1277</v>
      </c>
      <c r="E93" s="370" t="s">
        <v>851</v>
      </c>
      <c r="F93" s="369">
        <v>1002847076</v>
      </c>
      <c r="G93" s="371" t="s">
        <v>1685</v>
      </c>
    </row>
    <row r="94" spans="1:7" ht="30" x14ac:dyDescent="0.25">
      <c r="A94" s="372" t="s">
        <v>1621</v>
      </c>
      <c r="B94" s="372" t="s">
        <v>1622</v>
      </c>
      <c r="C94" s="372" t="s">
        <v>1619</v>
      </c>
      <c r="D94" s="372" t="s">
        <v>1620</v>
      </c>
      <c r="E94" s="373" t="s">
        <v>851</v>
      </c>
      <c r="F94" s="372">
        <v>1104776221</v>
      </c>
      <c r="G94" s="375" t="s">
        <v>1685</v>
      </c>
    </row>
    <row r="95" spans="1:7" ht="30" x14ac:dyDescent="0.25">
      <c r="A95" s="369" t="s">
        <v>980</v>
      </c>
      <c r="B95" s="369" t="s">
        <v>914</v>
      </c>
      <c r="C95" s="369" t="s">
        <v>1623</v>
      </c>
      <c r="D95" s="369"/>
      <c r="E95" s="370" t="s">
        <v>851</v>
      </c>
      <c r="F95" s="369">
        <v>1059596737</v>
      </c>
      <c r="G95" s="371" t="s">
        <v>1685</v>
      </c>
    </row>
    <row r="96" spans="1:7" ht="30" x14ac:dyDescent="0.25">
      <c r="A96" s="372" t="s">
        <v>884</v>
      </c>
      <c r="B96" s="372" t="s">
        <v>1286</v>
      </c>
      <c r="C96" s="372" t="s">
        <v>1452</v>
      </c>
      <c r="D96" s="372"/>
      <c r="E96" s="373" t="s">
        <v>851</v>
      </c>
      <c r="F96" s="372">
        <v>25546688</v>
      </c>
      <c r="G96" s="375" t="s">
        <v>1684</v>
      </c>
    </row>
    <row r="97" spans="1:7" ht="30" x14ac:dyDescent="0.25">
      <c r="A97" s="369" t="s">
        <v>1629</v>
      </c>
      <c r="B97" s="369" t="s">
        <v>1249</v>
      </c>
      <c r="C97" s="369" t="s">
        <v>1630</v>
      </c>
      <c r="D97" s="369"/>
      <c r="E97" s="370" t="s">
        <v>851</v>
      </c>
      <c r="F97" s="369">
        <v>1059601748</v>
      </c>
      <c r="G97" s="371" t="s">
        <v>1685</v>
      </c>
    </row>
    <row r="98" spans="1:7" ht="30" x14ac:dyDescent="0.25">
      <c r="A98" s="372" t="s">
        <v>896</v>
      </c>
      <c r="B98" s="372" t="s">
        <v>1632</v>
      </c>
      <c r="C98" s="372" t="s">
        <v>1633</v>
      </c>
      <c r="D98" s="372"/>
      <c r="E98" s="373" t="s">
        <v>851</v>
      </c>
      <c r="F98" s="383">
        <v>1067467422</v>
      </c>
      <c r="G98" s="375" t="s">
        <v>1686</v>
      </c>
    </row>
    <row r="99" spans="1:7" ht="30" x14ac:dyDescent="0.25">
      <c r="A99" s="369" t="s">
        <v>1637</v>
      </c>
      <c r="B99" s="369" t="s">
        <v>1638</v>
      </c>
      <c r="C99" s="369" t="s">
        <v>1028</v>
      </c>
      <c r="D99" s="369"/>
      <c r="E99" s="370" t="s">
        <v>851</v>
      </c>
      <c r="F99" s="381">
        <v>1060986729</v>
      </c>
      <c r="G99" s="371" t="s">
        <v>1685</v>
      </c>
    </row>
    <row r="100" spans="1:7" ht="30" x14ac:dyDescent="0.25">
      <c r="A100" s="372" t="s">
        <v>1249</v>
      </c>
      <c r="B100" s="372" t="s">
        <v>914</v>
      </c>
      <c r="C100" s="372" t="s">
        <v>1659</v>
      </c>
      <c r="D100" s="372"/>
      <c r="E100" s="373" t="s">
        <v>851</v>
      </c>
      <c r="F100" s="372">
        <v>1059597497</v>
      </c>
      <c r="G100" s="375" t="s">
        <v>1685</v>
      </c>
    </row>
    <row r="101" spans="1:7" ht="30" x14ac:dyDescent="0.25">
      <c r="A101" s="369" t="s">
        <v>1439</v>
      </c>
      <c r="B101" s="369" t="s">
        <v>848</v>
      </c>
      <c r="C101" s="369" t="s">
        <v>1437</v>
      </c>
      <c r="D101" s="369"/>
      <c r="E101" s="370" t="s">
        <v>851</v>
      </c>
      <c r="F101" s="369">
        <v>1059595628</v>
      </c>
      <c r="G101" s="371" t="s">
        <v>1685</v>
      </c>
    </row>
    <row r="102" spans="1:7" ht="30" x14ac:dyDescent="0.25">
      <c r="A102" s="372" t="s">
        <v>953</v>
      </c>
      <c r="B102" s="372" t="s">
        <v>1660</v>
      </c>
      <c r="C102" s="372" t="s">
        <v>1217</v>
      </c>
      <c r="D102" s="372" t="s">
        <v>1661</v>
      </c>
      <c r="E102" s="373" t="s">
        <v>851</v>
      </c>
      <c r="F102" s="372">
        <v>1002848134</v>
      </c>
      <c r="G102" s="375" t="s">
        <v>1686</v>
      </c>
    </row>
    <row r="103" spans="1:7" ht="30" x14ac:dyDescent="0.25">
      <c r="A103" s="369" t="s">
        <v>848</v>
      </c>
      <c r="B103" s="369" t="s">
        <v>1034</v>
      </c>
      <c r="C103" s="369" t="s">
        <v>1612</v>
      </c>
      <c r="D103" s="369" t="s">
        <v>1662</v>
      </c>
      <c r="E103" s="370" t="s">
        <v>851</v>
      </c>
      <c r="F103" s="369">
        <v>1059601726</v>
      </c>
      <c r="G103" s="371" t="s">
        <v>1685</v>
      </c>
    </row>
    <row r="104" spans="1:7" ht="30" x14ac:dyDescent="0.25">
      <c r="A104" s="372" t="s">
        <v>1663</v>
      </c>
      <c r="B104" s="372" t="s">
        <v>1664</v>
      </c>
      <c r="C104" s="372" t="s">
        <v>938</v>
      </c>
      <c r="D104" s="372" t="s">
        <v>1665</v>
      </c>
      <c r="E104" s="373" t="s">
        <v>851</v>
      </c>
      <c r="F104" s="372">
        <v>1059601634</v>
      </c>
      <c r="G104" s="375" t="s">
        <v>1686</v>
      </c>
    </row>
    <row r="105" spans="1:7" ht="30" x14ac:dyDescent="0.25">
      <c r="A105" s="369" t="s">
        <v>980</v>
      </c>
      <c r="B105" s="369" t="s">
        <v>1666</v>
      </c>
      <c r="C105" s="369" t="s">
        <v>1287</v>
      </c>
      <c r="D105" s="369" t="s">
        <v>919</v>
      </c>
      <c r="E105" s="370" t="s">
        <v>851</v>
      </c>
      <c r="F105" s="369">
        <v>1002846819</v>
      </c>
      <c r="G105" s="371" t="s">
        <v>1685</v>
      </c>
    </row>
    <row r="106" spans="1:7" ht="30" x14ac:dyDescent="0.25">
      <c r="A106" s="372" t="s">
        <v>1667</v>
      </c>
      <c r="B106" s="372" t="s">
        <v>1668</v>
      </c>
      <c r="C106" s="372" t="s">
        <v>1669</v>
      </c>
      <c r="D106" s="372"/>
      <c r="E106" s="373" t="s">
        <v>851</v>
      </c>
      <c r="F106" s="372">
        <v>1064426895</v>
      </c>
      <c r="G106" s="375" t="s">
        <v>1685</v>
      </c>
    </row>
    <row r="107" spans="1:7" ht="30" x14ac:dyDescent="0.25">
      <c r="A107" s="369" t="s">
        <v>1210</v>
      </c>
      <c r="B107" s="369" t="s">
        <v>848</v>
      </c>
      <c r="C107" s="369" t="s">
        <v>1670</v>
      </c>
      <c r="D107" s="369" t="s">
        <v>1671</v>
      </c>
      <c r="E107" s="370" t="s">
        <v>851</v>
      </c>
      <c r="F107" s="369">
        <v>1059602883</v>
      </c>
      <c r="G107" s="371" t="s">
        <v>1685</v>
      </c>
    </row>
    <row r="108" spans="1:7" ht="30" x14ac:dyDescent="0.25">
      <c r="A108" s="372" t="s">
        <v>943</v>
      </c>
      <c r="B108" s="372" t="s">
        <v>848</v>
      </c>
      <c r="C108" s="372" t="s">
        <v>1673</v>
      </c>
      <c r="D108" s="372" t="s">
        <v>1674</v>
      </c>
      <c r="E108" s="373" t="s">
        <v>851</v>
      </c>
      <c r="F108" s="384">
        <v>1061689361</v>
      </c>
      <c r="G108" s="375" t="s">
        <v>1684</v>
      </c>
    </row>
    <row r="109" spans="1:7" ht="30" x14ac:dyDescent="0.25">
      <c r="A109" s="369" t="s">
        <v>1677</v>
      </c>
      <c r="B109" s="369" t="s">
        <v>962</v>
      </c>
      <c r="C109" s="369" t="s">
        <v>1678</v>
      </c>
      <c r="D109" s="369" t="s">
        <v>1679</v>
      </c>
      <c r="E109" s="370" t="s">
        <v>1094</v>
      </c>
      <c r="F109" s="385">
        <v>1023390806</v>
      </c>
      <c r="G109" s="371" t="s">
        <v>1684</v>
      </c>
    </row>
    <row r="110" spans="1:7" ht="30" x14ac:dyDescent="0.25">
      <c r="A110" s="372" t="s">
        <v>1286</v>
      </c>
      <c r="B110" s="372" t="s">
        <v>943</v>
      </c>
      <c r="C110" s="372" t="s">
        <v>1681</v>
      </c>
      <c r="D110" s="372"/>
      <c r="E110" s="373" t="s">
        <v>851</v>
      </c>
      <c r="F110" s="386">
        <v>25546851</v>
      </c>
      <c r="G110" s="375" t="s">
        <v>1685</v>
      </c>
    </row>
    <row r="111" spans="1:7" ht="30" x14ac:dyDescent="0.25">
      <c r="A111" s="369" t="s">
        <v>848</v>
      </c>
      <c r="B111" s="369" t="s">
        <v>914</v>
      </c>
      <c r="C111" s="369" t="s">
        <v>1683</v>
      </c>
      <c r="D111" s="369"/>
      <c r="E111" s="370" t="s">
        <v>851</v>
      </c>
      <c r="F111" s="385">
        <v>1059597833</v>
      </c>
      <c r="G111" s="371" t="s">
        <v>1686</v>
      </c>
    </row>
    <row r="112" spans="1:7" x14ac:dyDescent="0.25">
      <c r="A112" s="420" t="s">
        <v>329</v>
      </c>
      <c r="B112" s="420"/>
      <c r="C112" s="420"/>
      <c r="D112" s="420"/>
      <c r="E112" s="420"/>
      <c r="F112" s="420"/>
      <c r="G112" s="420"/>
    </row>
    <row r="113" spans="1:7" ht="50.25" customHeight="1" x14ac:dyDescent="0.25">
      <c r="A113" s="367" t="s">
        <v>94</v>
      </c>
      <c r="B113" s="367" t="s">
        <v>21</v>
      </c>
      <c r="C113" s="367" t="s">
        <v>0</v>
      </c>
      <c r="D113" s="367" t="s">
        <v>1</v>
      </c>
      <c r="E113" s="367" t="s">
        <v>2</v>
      </c>
      <c r="F113" s="367" t="s">
        <v>3</v>
      </c>
      <c r="G113" s="368" t="s">
        <v>329</v>
      </c>
    </row>
    <row r="114" spans="1:7" ht="63.75" x14ac:dyDescent="0.25">
      <c r="A114" s="369" t="s">
        <v>979</v>
      </c>
      <c r="B114" s="369" t="s">
        <v>943</v>
      </c>
      <c r="C114" s="369" t="s">
        <v>1217</v>
      </c>
      <c r="D114" s="369" t="s">
        <v>1398</v>
      </c>
      <c r="E114" s="370" t="s">
        <v>851</v>
      </c>
      <c r="F114" s="369">
        <v>1002846528</v>
      </c>
      <c r="G114" s="388" t="s">
        <v>1687</v>
      </c>
    </row>
    <row r="115" spans="1:7" x14ac:dyDescent="0.25">
      <c r="A115" s="420" t="s">
        <v>1688</v>
      </c>
      <c r="B115" s="420"/>
      <c r="C115" s="420"/>
      <c r="D115" s="420"/>
      <c r="E115" s="420"/>
      <c r="F115" s="420"/>
      <c r="G115" s="420"/>
    </row>
    <row r="116" spans="1:7" ht="45" x14ac:dyDescent="0.25">
      <c r="A116" s="367" t="s">
        <v>94</v>
      </c>
      <c r="B116" s="367" t="s">
        <v>21</v>
      </c>
      <c r="C116" s="367" t="s">
        <v>0</v>
      </c>
      <c r="D116" s="367" t="s">
        <v>1</v>
      </c>
      <c r="E116" s="367" t="s">
        <v>2</v>
      </c>
      <c r="F116" s="367" t="s">
        <v>3</v>
      </c>
      <c r="G116" s="368" t="s">
        <v>256</v>
      </c>
    </row>
    <row r="117" spans="1:7" ht="30" x14ac:dyDescent="0.25">
      <c r="A117" s="369" t="s">
        <v>1298</v>
      </c>
      <c r="B117" s="369" t="s">
        <v>914</v>
      </c>
      <c r="C117" s="369" t="s">
        <v>1299</v>
      </c>
      <c r="D117" s="369" t="s">
        <v>1300</v>
      </c>
      <c r="E117" s="370" t="s">
        <v>851</v>
      </c>
      <c r="F117" s="369" t="s">
        <v>1301</v>
      </c>
      <c r="G117" s="371">
        <v>45128</v>
      </c>
    </row>
    <row r="118" spans="1:7" ht="30" x14ac:dyDescent="0.25">
      <c r="A118" s="372" t="s">
        <v>1305</v>
      </c>
      <c r="B118" s="372" t="s">
        <v>884</v>
      </c>
      <c r="C118" s="372" t="s">
        <v>1306</v>
      </c>
      <c r="D118" s="372" t="s">
        <v>1307</v>
      </c>
      <c r="E118" s="373" t="s">
        <v>851</v>
      </c>
      <c r="F118" s="372">
        <v>1059604869</v>
      </c>
      <c r="G118" s="375">
        <v>45134</v>
      </c>
    </row>
    <row r="119" spans="1:7" ht="30" x14ac:dyDescent="0.25">
      <c r="A119" s="369" t="s">
        <v>914</v>
      </c>
      <c r="B119" s="369" t="s">
        <v>1318</v>
      </c>
      <c r="C119" s="369" t="s">
        <v>1319</v>
      </c>
      <c r="D119" s="369"/>
      <c r="E119" s="370" t="s">
        <v>851</v>
      </c>
      <c r="F119" s="369" t="s">
        <v>1320</v>
      </c>
      <c r="G119" s="371">
        <v>45127</v>
      </c>
    </row>
    <row r="120" spans="1:7" ht="30" x14ac:dyDescent="0.25">
      <c r="A120" s="372" t="s">
        <v>1332</v>
      </c>
      <c r="B120" s="372" t="s">
        <v>1091</v>
      </c>
      <c r="C120" s="372" t="s">
        <v>1333</v>
      </c>
      <c r="D120" s="372"/>
      <c r="E120" s="373" t="s">
        <v>1094</v>
      </c>
      <c r="F120" s="372">
        <v>1059595374</v>
      </c>
      <c r="G120" s="375">
        <v>44979</v>
      </c>
    </row>
    <row r="121" spans="1:7" ht="30" x14ac:dyDescent="0.25">
      <c r="A121" s="369" t="s">
        <v>914</v>
      </c>
      <c r="B121" s="369" t="s">
        <v>915</v>
      </c>
      <c r="C121" s="369" t="s">
        <v>916</v>
      </c>
      <c r="D121" s="369"/>
      <c r="E121" s="370" t="s">
        <v>1094</v>
      </c>
      <c r="F121" s="369">
        <v>1059598169</v>
      </c>
      <c r="G121" s="371">
        <v>44985</v>
      </c>
    </row>
    <row r="122" spans="1:7" ht="30" x14ac:dyDescent="0.25">
      <c r="A122" s="372" t="s">
        <v>1360</v>
      </c>
      <c r="B122" s="372" t="s">
        <v>1361</v>
      </c>
      <c r="C122" s="372" t="s">
        <v>938</v>
      </c>
      <c r="D122" s="372" t="s">
        <v>1362</v>
      </c>
      <c r="E122" s="373" t="s">
        <v>851</v>
      </c>
      <c r="F122" s="372" t="s">
        <v>1363</v>
      </c>
      <c r="G122" s="375">
        <v>45115</v>
      </c>
    </row>
    <row r="123" spans="1:7" ht="30" x14ac:dyDescent="0.25">
      <c r="A123" s="369" t="s">
        <v>1286</v>
      </c>
      <c r="B123" s="369" t="s">
        <v>914</v>
      </c>
      <c r="C123" s="369" t="s">
        <v>1198</v>
      </c>
      <c r="D123" s="369" t="s">
        <v>1364</v>
      </c>
      <c r="E123" s="370" t="s">
        <v>851</v>
      </c>
      <c r="F123" s="369">
        <v>1059600026</v>
      </c>
      <c r="G123" s="371">
        <v>45086</v>
      </c>
    </row>
    <row r="124" spans="1:7" ht="30" x14ac:dyDescent="0.25">
      <c r="A124" s="372" t="s">
        <v>857</v>
      </c>
      <c r="B124" s="372" t="s">
        <v>1365</v>
      </c>
      <c r="C124" s="372" t="s">
        <v>949</v>
      </c>
      <c r="D124" s="372" t="s">
        <v>1366</v>
      </c>
      <c r="E124" s="373" t="s">
        <v>851</v>
      </c>
      <c r="F124" s="372">
        <v>1002953350</v>
      </c>
      <c r="G124" s="375">
        <v>44993</v>
      </c>
    </row>
    <row r="125" spans="1:7" ht="30" x14ac:dyDescent="0.25">
      <c r="A125" s="369" t="s">
        <v>979</v>
      </c>
      <c r="B125" s="369" t="s">
        <v>943</v>
      </c>
      <c r="C125" s="369" t="s">
        <v>1217</v>
      </c>
      <c r="D125" s="369" t="s">
        <v>1398</v>
      </c>
      <c r="E125" s="370" t="s">
        <v>851</v>
      </c>
      <c r="F125" s="369">
        <v>1002846528</v>
      </c>
      <c r="G125" s="371">
        <v>45134</v>
      </c>
    </row>
    <row r="126" spans="1:7" ht="30" x14ac:dyDescent="0.25">
      <c r="A126" s="372" t="s">
        <v>873</v>
      </c>
      <c r="B126" s="372" t="s">
        <v>944</v>
      </c>
      <c r="C126" s="372" t="s">
        <v>1399</v>
      </c>
      <c r="D126" s="372" t="s">
        <v>1400</v>
      </c>
      <c r="E126" s="373" t="s">
        <v>851</v>
      </c>
      <c r="F126" s="372">
        <v>1002848796</v>
      </c>
      <c r="G126" s="375">
        <v>45121</v>
      </c>
    </row>
    <row r="127" spans="1:7" ht="30" x14ac:dyDescent="0.25">
      <c r="A127" s="369" t="s">
        <v>1427</v>
      </c>
      <c r="B127" s="369" t="s">
        <v>1428</v>
      </c>
      <c r="C127" s="369" t="s">
        <v>1429</v>
      </c>
      <c r="D127" s="369" t="s">
        <v>1430</v>
      </c>
      <c r="E127" s="370" t="s">
        <v>851</v>
      </c>
      <c r="F127" s="369">
        <v>1061528490</v>
      </c>
      <c r="G127" s="371">
        <v>45136</v>
      </c>
    </row>
    <row r="128" spans="1:7" ht="30" x14ac:dyDescent="0.25">
      <c r="A128" s="372" t="s">
        <v>1144</v>
      </c>
      <c r="B128" s="372" t="s">
        <v>884</v>
      </c>
      <c r="C128" s="372" t="s">
        <v>1432</v>
      </c>
      <c r="D128" s="372" t="s">
        <v>1433</v>
      </c>
      <c r="E128" s="373" t="s">
        <v>1094</v>
      </c>
      <c r="F128" s="372">
        <v>1059596594</v>
      </c>
      <c r="G128" s="375">
        <v>45120</v>
      </c>
    </row>
    <row r="129" spans="1:7" ht="30" x14ac:dyDescent="0.25">
      <c r="A129" s="369" t="s">
        <v>1441</v>
      </c>
      <c r="B129" s="369"/>
      <c r="C129" s="369" t="s">
        <v>1284</v>
      </c>
      <c r="D129" s="369" t="s">
        <v>1442</v>
      </c>
      <c r="E129" s="370" t="s">
        <v>851</v>
      </c>
      <c r="F129" s="369">
        <v>1002848635</v>
      </c>
      <c r="G129" s="371">
        <v>45136</v>
      </c>
    </row>
    <row r="130" spans="1:7" ht="30" x14ac:dyDescent="0.25">
      <c r="A130" s="372" t="s">
        <v>1179</v>
      </c>
      <c r="B130" s="372" t="s">
        <v>1435</v>
      </c>
      <c r="C130" s="372" t="s">
        <v>1448</v>
      </c>
      <c r="D130" s="372" t="s">
        <v>1294</v>
      </c>
      <c r="E130" s="373" t="s">
        <v>851</v>
      </c>
      <c r="F130" s="372">
        <v>1059594096</v>
      </c>
      <c r="G130" s="375">
        <v>45136</v>
      </c>
    </row>
    <row r="131" spans="1:7" ht="30" x14ac:dyDescent="0.25">
      <c r="A131" s="369" t="s">
        <v>1441</v>
      </c>
      <c r="B131" s="369" t="s">
        <v>914</v>
      </c>
      <c r="C131" s="369" t="s">
        <v>1451</v>
      </c>
      <c r="D131" s="369"/>
      <c r="E131" s="370" t="s">
        <v>851</v>
      </c>
      <c r="F131" s="369">
        <v>1059598007</v>
      </c>
      <c r="G131" s="371">
        <v>45115</v>
      </c>
    </row>
    <row r="132" spans="1:7" ht="30" x14ac:dyDescent="0.25">
      <c r="A132" s="372" t="s">
        <v>1458</v>
      </c>
      <c r="B132" s="372" t="s">
        <v>1459</v>
      </c>
      <c r="C132" s="372" t="s">
        <v>1460</v>
      </c>
      <c r="D132" s="372" t="s">
        <v>976</v>
      </c>
      <c r="E132" s="373" t="s">
        <v>1094</v>
      </c>
      <c r="F132" s="372">
        <v>1062295885</v>
      </c>
      <c r="G132" s="375">
        <v>45069</v>
      </c>
    </row>
    <row r="133" spans="1:7" ht="30" x14ac:dyDescent="0.25">
      <c r="A133" s="369" t="s">
        <v>964</v>
      </c>
      <c r="B133" s="369" t="s">
        <v>1465</v>
      </c>
      <c r="C133" s="369" t="s">
        <v>1002</v>
      </c>
      <c r="D133" s="369" t="s">
        <v>1366</v>
      </c>
      <c r="E133" s="370" t="s">
        <v>1094</v>
      </c>
      <c r="F133" s="369">
        <v>1061530990</v>
      </c>
      <c r="G133" s="371">
        <v>45136</v>
      </c>
    </row>
    <row r="134" spans="1:7" ht="30" x14ac:dyDescent="0.25">
      <c r="A134" s="372" t="s">
        <v>1156</v>
      </c>
      <c r="B134" s="372" t="s">
        <v>883</v>
      </c>
      <c r="C134" s="372" t="s">
        <v>1157</v>
      </c>
      <c r="D134" s="372" t="s">
        <v>1466</v>
      </c>
      <c r="E134" s="373" t="s">
        <v>851</v>
      </c>
      <c r="F134" s="372">
        <v>1059594587</v>
      </c>
      <c r="G134" s="375">
        <v>45114</v>
      </c>
    </row>
    <row r="135" spans="1:7" ht="30" x14ac:dyDescent="0.25">
      <c r="A135" s="369" t="s">
        <v>943</v>
      </c>
      <c r="B135" s="369" t="s">
        <v>1144</v>
      </c>
      <c r="C135" s="369" t="s">
        <v>1468</v>
      </c>
      <c r="D135" s="369" t="s">
        <v>1281</v>
      </c>
      <c r="E135" s="370" t="s">
        <v>851</v>
      </c>
      <c r="F135" s="369">
        <v>1059607505</v>
      </c>
      <c r="G135" s="371">
        <v>45118</v>
      </c>
    </row>
    <row r="136" spans="1:7" ht="30" x14ac:dyDescent="0.25">
      <c r="A136" s="372" t="s">
        <v>992</v>
      </c>
      <c r="B136" s="372" t="s">
        <v>1498</v>
      </c>
      <c r="C136" s="372" t="s">
        <v>938</v>
      </c>
      <c r="D136" s="372" t="s">
        <v>1499</v>
      </c>
      <c r="E136" s="373" t="s">
        <v>851</v>
      </c>
      <c r="F136" s="372" t="s">
        <v>1500</v>
      </c>
      <c r="G136" s="375">
        <v>45112</v>
      </c>
    </row>
    <row r="137" spans="1:7" ht="30" x14ac:dyDescent="0.25">
      <c r="A137" s="369" t="s">
        <v>848</v>
      </c>
      <c r="B137" s="369" t="s">
        <v>953</v>
      </c>
      <c r="C137" s="369" t="s">
        <v>1501</v>
      </c>
      <c r="D137" s="369" t="s">
        <v>919</v>
      </c>
      <c r="E137" s="370" t="s">
        <v>851</v>
      </c>
      <c r="F137" s="369" t="s">
        <v>1502</v>
      </c>
      <c r="G137" s="371">
        <v>45065</v>
      </c>
    </row>
    <row r="138" spans="1:7" ht="30" x14ac:dyDescent="0.25">
      <c r="A138" s="372" t="s">
        <v>1041</v>
      </c>
      <c r="B138" s="372" t="s">
        <v>1147</v>
      </c>
      <c r="C138" s="372" t="s">
        <v>1512</v>
      </c>
      <c r="D138" s="372"/>
      <c r="E138" s="373" t="s">
        <v>851</v>
      </c>
      <c r="F138" s="372">
        <v>1059604976</v>
      </c>
      <c r="G138" s="375">
        <v>45126</v>
      </c>
    </row>
    <row r="139" spans="1:7" ht="30" x14ac:dyDescent="0.25">
      <c r="A139" s="369" t="s">
        <v>1513</v>
      </c>
      <c r="B139" s="369" t="s">
        <v>1514</v>
      </c>
      <c r="C139" s="369" t="s">
        <v>1515</v>
      </c>
      <c r="D139" s="369"/>
      <c r="E139" s="370" t="s">
        <v>851</v>
      </c>
      <c r="F139" s="369">
        <v>1067461286</v>
      </c>
      <c r="G139" s="371">
        <v>45087</v>
      </c>
    </row>
    <row r="140" spans="1:7" ht="30" x14ac:dyDescent="0.25">
      <c r="A140" s="372" t="s">
        <v>1519</v>
      </c>
      <c r="B140" s="372" t="s">
        <v>848</v>
      </c>
      <c r="C140" s="372" t="s">
        <v>1520</v>
      </c>
      <c r="D140" s="372" t="s">
        <v>1521</v>
      </c>
      <c r="E140" s="373" t="s">
        <v>851</v>
      </c>
      <c r="F140" s="372">
        <v>1002950269</v>
      </c>
      <c r="G140" s="375">
        <v>45049</v>
      </c>
    </row>
    <row r="141" spans="1:7" ht="30" x14ac:dyDescent="0.25">
      <c r="A141" s="369" t="s">
        <v>896</v>
      </c>
      <c r="B141" s="369" t="s">
        <v>953</v>
      </c>
      <c r="C141" s="369" t="s">
        <v>1530</v>
      </c>
      <c r="D141" s="369" t="s">
        <v>1182</v>
      </c>
      <c r="E141" s="370" t="s">
        <v>851</v>
      </c>
      <c r="F141" s="369">
        <v>1059594419</v>
      </c>
      <c r="G141" s="371">
        <v>45051</v>
      </c>
    </row>
    <row r="142" spans="1:7" ht="30" x14ac:dyDescent="0.25">
      <c r="A142" s="372" t="s">
        <v>884</v>
      </c>
      <c r="B142" s="372" t="s">
        <v>1144</v>
      </c>
      <c r="C142" s="372" t="s">
        <v>1534</v>
      </c>
      <c r="D142" s="372"/>
      <c r="E142" s="373" t="s">
        <v>851</v>
      </c>
      <c r="F142" s="377">
        <v>1002846626</v>
      </c>
      <c r="G142" s="375">
        <v>45069</v>
      </c>
    </row>
    <row r="143" spans="1:7" ht="30" x14ac:dyDescent="0.25">
      <c r="A143" s="369" t="s">
        <v>1246</v>
      </c>
      <c r="B143" s="369" t="s">
        <v>943</v>
      </c>
      <c r="C143" s="369" t="s">
        <v>1535</v>
      </c>
      <c r="D143" s="369"/>
      <c r="E143" s="370" t="s">
        <v>851</v>
      </c>
      <c r="F143" s="376">
        <v>1002848307</v>
      </c>
      <c r="G143" s="371">
        <v>45121</v>
      </c>
    </row>
    <row r="144" spans="1:7" ht="30" x14ac:dyDescent="0.25">
      <c r="A144" s="372" t="s">
        <v>1540</v>
      </c>
      <c r="B144" s="372" t="s">
        <v>943</v>
      </c>
      <c r="C144" s="372" t="s">
        <v>1541</v>
      </c>
      <c r="D144" s="372" t="s">
        <v>1542</v>
      </c>
      <c r="E144" s="373" t="s">
        <v>851</v>
      </c>
      <c r="F144" s="379" t="s">
        <v>1539</v>
      </c>
      <c r="G144" s="375">
        <v>45121</v>
      </c>
    </row>
    <row r="145" spans="1:7" ht="30" x14ac:dyDescent="0.25">
      <c r="A145" s="369" t="s">
        <v>1144</v>
      </c>
      <c r="B145" s="369" t="s">
        <v>996</v>
      </c>
      <c r="C145" s="369" t="s">
        <v>1192</v>
      </c>
      <c r="D145" s="369"/>
      <c r="E145" s="370" t="s">
        <v>851</v>
      </c>
      <c r="F145" s="376">
        <v>1059604012</v>
      </c>
      <c r="G145" s="371">
        <v>45092</v>
      </c>
    </row>
    <row r="146" spans="1:7" ht="30" x14ac:dyDescent="0.25">
      <c r="A146" s="372" t="s">
        <v>896</v>
      </c>
      <c r="B146" s="372" t="s">
        <v>953</v>
      </c>
      <c r="C146" s="372" t="s">
        <v>1545</v>
      </c>
      <c r="D146" s="372"/>
      <c r="E146" s="373" t="s">
        <v>851</v>
      </c>
      <c r="F146" s="372">
        <v>25545389</v>
      </c>
      <c r="G146" s="375">
        <v>45094</v>
      </c>
    </row>
    <row r="147" spans="1:7" ht="30" x14ac:dyDescent="0.25">
      <c r="A147" s="369" t="s">
        <v>943</v>
      </c>
      <c r="B147" s="369" t="s">
        <v>1144</v>
      </c>
      <c r="C147" s="369" t="s">
        <v>1504</v>
      </c>
      <c r="D147" s="369" t="s">
        <v>1281</v>
      </c>
      <c r="E147" s="370" t="s">
        <v>1094</v>
      </c>
      <c r="F147" s="369">
        <v>1059599329</v>
      </c>
      <c r="G147" s="371">
        <v>45134</v>
      </c>
    </row>
    <row r="148" spans="1:7" ht="30" x14ac:dyDescent="0.25">
      <c r="A148" s="372" t="s">
        <v>996</v>
      </c>
      <c r="B148" s="372" t="s">
        <v>1559</v>
      </c>
      <c r="C148" s="372" t="s">
        <v>1560</v>
      </c>
      <c r="D148" s="372"/>
      <c r="E148" s="373" t="s">
        <v>851</v>
      </c>
      <c r="F148" s="372">
        <v>25552089</v>
      </c>
      <c r="G148" s="375">
        <v>45118</v>
      </c>
    </row>
    <row r="149" spans="1:7" ht="30" x14ac:dyDescent="0.25">
      <c r="A149" s="369" t="s">
        <v>953</v>
      </c>
      <c r="B149" s="369" t="s">
        <v>1378</v>
      </c>
      <c r="C149" s="369" t="s">
        <v>1617</v>
      </c>
      <c r="D149" s="369"/>
      <c r="E149" s="370" t="s">
        <v>851</v>
      </c>
      <c r="F149" s="369">
        <v>1059606238</v>
      </c>
      <c r="G149" s="371">
        <v>45115</v>
      </c>
    </row>
    <row r="150" spans="1:7" ht="30" x14ac:dyDescent="0.25">
      <c r="A150" s="372" t="s">
        <v>873</v>
      </c>
      <c r="B150" s="372" t="s">
        <v>962</v>
      </c>
      <c r="C150" s="372" t="s">
        <v>1501</v>
      </c>
      <c r="D150" s="372" t="s">
        <v>1340</v>
      </c>
      <c r="E150" s="373" t="s">
        <v>851</v>
      </c>
      <c r="F150" s="372">
        <v>1059594976</v>
      </c>
      <c r="G150" s="375">
        <v>45111</v>
      </c>
    </row>
    <row r="151" spans="1:7" x14ac:dyDescent="0.25">
      <c r="A151" s="369" t="s">
        <v>896</v>
      </c>
      <c r="B151" s="369" t="s">
        <v>953</v>
      </c>
      <c r="C151" s="369" t="s">
        <v>1634</v>
      </c>
      <c r="D151" s="369"/>
      <c r="E151" s="370"/>
      <c r="F151" s="369">
        <v>1002848733</v>
      </c>
      <c r="G151" s="371">
        <v>45113</v>
      </c>
    </row>
    <row r="152" spans="1:7" ht="30" x14ac:dyDescent="0.25">
      <c r="A152" s="372" t="s">
        <v>873</v>
      </c>
      <c r="B152" s="372" t="s">
        <v>874</v>
      </c>
      <c r="C152" s="372" t="s">
        <v>1215</v>
      </c>
      <c r="D152" s="372"/>
      <c r="E152" s="373" t="s">
        <v>851</v>
      </c>
      <c r="F152" s="372">
        <v>1002849181</v>
      </c>
      <c r="G152" s="375">
        <v>45121</v>
      </c>
    </row>
    <row r="153" spans="1:7" ht="30" x14ac:dyDescent="0.25">
      <c r="A153" s="369" t="s">
        <v>953</v>
      </c>
      <c r="B153" s="369" t="s">
        <v>1286</v>
      </c>
      <c r="C153" s="369" t="s">
        <v>1463</v>
      </c>
      <c r="D153" s="369" t="s">
        <v>1579</v>
      </c>
      <c r="E153" s="370" t="s">
        <v>851</v>
      </c>
      <c r="F153" s="382" t="s">
        <v>1578</v>
      </c>
      <c r="G153" s="371">
        <v>45121</v>
      </c>
    </row>
    <row r="154" spans="1:7" ht="30" x14ac:dyDescent="0.25">
      <c r="A154" s="372" t="s">
        <v>1580</v>
      </c>
      <c r="B154" s="372" t="s">
        <v>914</v>
      </c>
      <c r="C154" s="372" t="s">
        <v>1581</v>
      </c>
      <c r="D154" s="372" t="s">
        <v>1464</v>
      </c>
      <c r="E154" s="373" t="s">
        <v>851</v>
      </c>
      <c r="F154" s="379">
        <v>1002846447</v>
      </c>
      <c r="G154" s="375">
        <v>45121</v>
      </c>
    </row>
    <row r="155" spans="1:7" ht="30" x14ac:dyDescent="0.25">
      <c r="A155" s="369" t="s">
        <v>1583</v>
      </c>
      <c r="B155" s="369" t="s">
        <v>873</v>
      </c>
      <c r="C155" s="369" t="s">
        <v>1584</v>
      </c>
      <c r="D155" s="369"/>
      <c r="E155" s="370" t="s">
        <v>851</v>
      </c>
      <c r="F155" s="382" t="s">
        <v>1582</v>
      </c>
      <c r="G155" s="371">
        <v>45122</v>
      </c>
    </row>
    <row r="156" spans="1:7" ht="30" x14ac:dyDescent="0.25">
      <c r="A156" s="372" t="s">
        <v>1286</v>
      </c>
      <c r="B156" s="372" t="s">
        <v>1594</v>
      </c>
      <c r="C156" s="372" t="s">
        <v>1420</v>
      </c>
      <c r="D156" s="372"/>
      <c r="E156" s="373" t="s">
        <v>1094</v>
      </c>
      <c r="F156" s="379" t="s">
        <v>1593</v>
      </c>
      <c r="G156" s="375">
        <v>45134</v>
      </c>
    </row>
    <row r="157" spans="1:7" ht="30" x14ac:dyDescent="0.25">
      <c r="A157" s="369" t="s">
        <v>914</v>
      </c>
      <c r="B157" s="369" t="s">
        <v>1601</v>
      </c>
      <c r="C157" s="369" t="s">
        <v>1602</v>
      </c>
      <c r="D157" s="369"/>
      <c r="E157" s="370" t="s">
        <v>851</v>
      </c>
      <c r="F157" s="369">
        <v>1003370775</v>
      </c>
      <c r="G157" s="371">
        <v>45128</v>
      </c>
    </row>
    <row r="158" spans="1:7" ht="30" x14ac:dyDescent="0.25">
      <c r="A158" s="372" t="s">
        <v>914</v>
      </c>
      <c r="B158" s="372" t="s">
        <v>943</v>
      </c>
      <c r="C158" s="372" t="s">
        <v>1198</v>
      </c>
      <c r="D158" s="372"/>
      <c r="E158" s="373" t="s">
        <v>851</v>
      </c>
      <c r="F158" s="372">
        <v>1059605317</v>
      </c>
      <c r="G158" s="375">
        <v>45128</v>
      </c>
    </row>
    <row r="159" spans="1:7" ht="30" x14ac:dyDescent="0.25">
      <c r="A159" s="369" t="s">
        <v>896</v>
      </c>
      <c r="B159" s="369" t="s">
        <v>1632</v>
      </c>
      <c r="C159" s="369" t="s">
        <v>1633</v>
      </c>
      <c r="D159" s="369"/>
      <c r="E159" s="370" t="s">
        <v>851</v>
      </c>
      <c r="F159" s="383" t="s">
        <v>1631</v>
      </c>
      <c r="G159" s="371">
        <v>45112</v>
      </c>
    </row>
    <row r="160" spans="1:7" x14ac:dyDescent="0.25">
      <c r="A160" s="420" t="s">
        <v>1628</v>
      </c>
      <c r="B160" s="420"/>
      <c r="C160" s="420"/>
      <c r="D160" s="420"/>
      <c r="E160" s="420"/>
      <c r="F160" s="420"/>
      <c r="G160" s="420"/>
    </row>
    <row r="161" spans="1:7" ht="81.75" customHeight="1" x14ac:dyDescent="0.25">
      <c r="A161" s="367" t="s">
        <v>94</v>
      </c>
      <c r="B161" s="367" t="s">
        <v>21</v>
      </c>
      <c r="C161" s="367" t="s">
        <v>0</v>
      </c>
      <c r="D161" s="367" t="s">
        <v>1</v>
      </c>
      <c r="E161" s="367" t="s">
        <v>2</v>
      </c>
      <c r="F161" s="367" t="s">
        <v>3</v>
      </c>
      <c r="G161" s="389" t="s">
        <v>766</v>
      </c>
    </row>
    <row r="162" spans="1:7" ht="38.25" x14ac:dyDescent="0.25">
      <c r="A162" s="369" t="s">
        <v>1361</v>
      </c>
      <c r="B162" s="369" t="s">
        <v>1470</v>
      </c>
      <c r="C162" s="369" t="s">
        <v>1553</v>
      </c>
      <c r="D162" s="369"/>
      <c r="E162" s="370" t="s">
        <v>851</v>
      </c>
      <c r="F162" s="369">
        <v>1059595865</v>
      </c>
      <c r="G162" s="388" t="s">
        <v>1628</v>
      </c>
    </row>
    <row r="163" spans="1:7" x14ac:dyDescent="0.25">
      <c r="A163" s="387" t="s">
        <v>1689</v>
      </c>
      <c r="B163" s="372"/>
      <c r="C163" s="372"/>
      <c r="D163" s="372"/>
      <c r="E163" s="372"/>
      <c r="F163" s="372"/>
      <c r="G163" s="372"/>
    </row>
    <row r="164" spans="1:7" ht="45" x14ac:dyDescent="0.25">
      <c r="A164" s="367" t="s">
        <v>94</v>
      </c>
      <c r="B164" s="367" t="s">
        <v>21</v>
      </c>
      <c r="C164" s="367" t="s">
        <v>0</v>
      </c>
      <c r="D164" s="367" t="s">
        <v>1</v>
      </c>
      <c r="E164" s="367" t="s">
        <v>2</v>
      </c>
      <c r="F164" s="367" t="s">
        <v>3</v>
      </c>
      <c r="G164" s="372"/>
    </row>
    <row r="165" spans="1:7" ht="30" x14ac:dyDescent="0.25">
      <c r="A165" s="372" t="s">
        <v>914</v>
      </c>
      <c r="B165" s="372" t="s">
        <v>915</v>
      </c>
      <c r="C165" s="372" t="s">
        <v>916</v>
      </c>
      <c r="D165" s="372"/>
      <c r="E165" s="373" t="s">
        <v>1094</v>
      </c>
      <c r="F165" s="372">
        <v>1059598169</v>
      </c>
      <c r="G165" s="372"/>
    </row>
    <row r="166" spans="1:7" ht="30" x14ac:dyDescent="0.25">
      <c r="A166" s="369" t="s">
        <v>944</v>
      </c>
      <c r="B166" s="369" t="s">
        <v>943</v>
      </c>
      <c r="C166" s="369" t="s">
        <v>1421</v>
      </c>
      <c r="D166" s="369"/>
      <c r="E166" s="370" t="s">
        <v>851</v>
      </c>
      <c r="F166" s="369">
        <v>1002846330</v>
      </c>
      <c r="G166" s="372"/>
    </row>
    <row r="167" spans="1:7" ht="30" x14ac:dyDescent="0.25">
      <c r="A167" s="372" t="s">
        <v>848</v>
      </c>
      <c r="B167" s="372" t="s">
        <v>943</v>
      </c>
      <c r="C167" s="372" t="s">
        <v>1423</v>
      </c>
      <c r="D167" s="372"/>
      <c r="E167" s="373" t="s">
        <v>851</v>
      </c>
      <c r="F167" s="372">
        <v>1193097625</v>
      </c>
      <c r="G167" s="372"/>
    </row>
    <row r="168" spans="1:7" ht="30" x14ac:dyDescent="0.25">
      <c r="A168" s="369" t="s">
        <v>1427</v>
      </c>
      <c r="B168" s="369" t="s">
        <v>1428</v>
      </c>
      <c r="C168" s="369" t="s">
        <v>1429</v>
      </c>
      <c r="D168" s="369" t="s">
        <v>1430</v>
      </c>
      <c r="E168" s="370" t="s">
        <v>851</v>
      </c>
      <c r="F168" s="369">
        <v>1061528490</v>
      </c>
      <c r="G168" s="372"/>
    </row>
    <row r="169" spans="1:7" ht="30" x14ac:dyDescent="0.25">
      <c r="A169" s="372" t="s">
        <v>1144</v>
      </c>
      <c r="B169" s="372" t="s">
        <v>884</v>
      </c>
      <c r="C169" s="372" t="s">
        <v>1432</v>
      </c>
      <c r="D169" s="372" t="s">
        <v>1433</v>
      </c>
      <c r="E169" s="373" t="s">
        <v>1094</v>
      </c>
      <c r="F169" s="372">
        <v>1059596594</v>
      </c>
      <c r="G169" s="372"/>
    </row>
    <row r="170" spans="1:7" ht="30" x14ac:dyDescent="0.25">
      <c r="A170" s="369" t="s">
        <v>1443</v>
      </c>
      <c r="B170" s="369" t="s">
        <v>1444</v>
      </c>
      <c r="C170" s="369" t="s">
        <v>1445</v>
      </c>
      <c r="D170" s="369"/>
      <c r="E170" s="370" t="s">
        <v>851</v>
      </c>
      <c r="F170" s="369">
        <v>1061757665</v>
      </c>
      <c r="G170" s="372"/>
    </row>
    <row r="171" spans="1:7" ht="30" x14ac:dyDescent="0.25">
      <c r="A171" s="372" t="s">
        <v>943</v>
      </c>
      <c r="B171" s="372" t="s">
        <v>1144</v>
      </c>
      <c r="C171" s="372" t="s">
        <v>1468</v>
      </c>
      <c r="D171" s="372" t="s">
        <v>1281</v>
      </c>
      <c r="E171" s="373" t="s">
        <v>851</v>
      </c>
      <c r="F171" s="372">
        <v>1059607505</v>
      </c>
      <c r="G171" s="372"/>
    </row>
    <row r="172" spans="1:7" ht="30" x14ac:dyDescent="0.25">
      <c r="A172" s="369" t="s">
        <v>1513</v>
      </c>
      <c r="B172" s="369" t="s">
        <v>1514</v>
      </c>
      <c r="C172" s="369" t="s">
        <v>1515</v>
      </c>
      <c r="D172" s="369"/>
      <c r="E172" s="370" t="s">
        <v>851</v>
      </c>
      <c r="F172" s="369">
        <v>1067461286</v>
      </c>
      <c r="G172" s="372"/>
    </row>
    <row r="173" spans="1:7" ht="30" x14ac:dyDescent="0.25">
      <c r="A173" s="372" t="s">
        <v>896</v>
      </c>
      <c r="B173" s="372" t="s">
        <v>953</v>
      </c>
      <c r="C173" s="372" t="s">
        <v>1530</v>
      </c>
      <c r="D173" s="372" t="s">
        <v>1182</v>
      </c>
      <c r="E173" s="373" t="s">
        <v>851</v>
      </c>
      <c r="F173" s="372">
        <v>1059594419</v>
      </c>
      <c r="G173" s="372"/>
    </row>
    <row r="174" spans="1:7" ht="30" x14ac:dyDescent="0.25">
      <c r="A174" s="369" t="s">
        <v>1286</v>
      </c>
      <c r="B174" s="369" t="s">
        <v>980</v>
      </c>
      <c r="C174" s="369" t="s">
        <v>1528</v>
      </c>
      <c r="D174" s="369" t="s">
        <v>1281</v>
      </c>
      <c r="E174" s="370" t="s">
        <v>851</v>
      </c>
      <c r="F174" s="369">
        <v>1059596092</v>
      </c>
      <c r="G174" s="372"/>
    </row>
    <row r="175" spans="1:7" ht="30" x14ac:dyDescent="0.25">
      <c r="A175" s="372" t="s">
        <v>873</v>
      </c>
      <c r="B175" s="372" t="s">
        <v>1091</v>
      </c>
      <c r="C175" s="372" t="s">
        <v>1277</v>
      </c>
      <c r="D175" s="372"/>
      <c r="E175" s="373" t="s">
        <v>851</v>
      </c>
      <c r="F175" s="390">
        <v>1059598472</v>
      </c>
      <c r="G175" s="372"/>
    </row>
    <row r="176" spans="1:7" ht="30" x14ac:dyDescent="0.25">
      <c r="A176" s="369" t="s">
        <v>1580</v>
      </c>
      <c r="B176" s="369" t="s">
        <v>914</v>
      </c>
      <c r="C176" s="369" t="s">
        <v>1581</v>
      </c>
      <c r="D176" s="369" t="s">
        <v>1464</v>
      </c>
      <c r="E176" s="370" t="s">
        <v>851</v>
      </c>
      <c r="F176" s="382">
        <v>1002846447</v>
      </c>
      <c r="G176" s="372"/>
    </row>
    <row r="177" spans="1:7" ht="30" x14ac:dyDescent="0.25">
      <c r="A177" s="372" t="s">
        <v>1590</v>
      </c>
      <c r="B177" s="372" t="s">
        <v>874</v>
      </c>
      <c r="C177" s="372" t="s">
        <v>1591</v>
      </c>
      <c r="D177" s="372"/>
      <c r="E177" s="373" t="s">
        <v>851</v>
      </c>
      <c r="F177" s="379" t="s">
        <v>1589</v>
      </c>
      <c r="G177" s="372"/>
    </row>
    <row r="178" spans="1:7" ht="30" x14ac:dyDescent="0.25">
      <c r="A178" s="369" t="s">
        <v>896</v>
      </c>
      <c r="B178" s="369" t="s">
        <v>992</v>
      </c>
      <c r="C178" s="369" t="s">
        <v>1530</v>
      </c>
      <c r="D178" s="369" t="s">
        <v>1357</v>
      </c>
      <c r="E178" s="370" t="s">
        <v>851</v>
      </c>
      <c r="F178" s="369">
        <v>1002847645</v>
      </c>
      <c r="G178" s="372"/>
    </row>
    <row r="179" spans="1:7" ht="30" x14ac:dyDescent="0.25">
      <c r="A179" s="372" t="s">
        <v>896</v>
      </c>
      <c r="B179" s="372" t="s">
        <v>1599</v>
      </c>
      <c r="C179" s="372" t="s">
        <v>1607</v>
      </c>
      <c r="D179" s="372" t="s">
        <v>1608</v>
      </c>
      <c r="E179" s="373" t="s">
        <v>851</v>
      </c>
      <c r="F179" s="372">
        <v>1060800773</v>
      </c>
      <c r="G179" s="372"/>
    </row>
    <row r="180" spans="1:7" ht="30" x14ac:dyDescent="0.25">
      <c r="A180" s="369" t="s">
        <v>980</v>
      </c>
      <c r="B180" s="369" t="s">
        <v>914</v>
      </c>
      <c r="C180" s="369" t="s">
        <v>1623</v>
      </c>
      <c r="D180" s="369"/>
      <c r="E180" s="370" t="s">
        <v>851</v>
      </c>
      <c r="F180" s="369">
        <v>1059596737</v>
      </c>
      <c r="G180" s="372"/>
    </row>
    <row r="181" spans="1:7" ht="30" x14ac:dyDescent="0.25">
      <c r="A181" s="372" t="s">
        <v>1629</v>
      </c>
      <c r="B181" s="372" t="s">
        <v>1249</v>
      </c>
      <c r="C181" s="372" t="s">
        <v>1630</v>
      </c>
      <c r="D181" s="372"/>
      <c r="E181" s="373" t="s">
        <v>851</v>
      </c>
      <c r="F181" s="372">
        <v>1059601748</v>
      </c>
      <c r="G181" s="372"/>
    </row>
    <row r="182" spans="1:7" ht="30" x14ac:dyDescent="0.25">
      <c r="A182" s="369" t="s">
        <v>953</v>
      </c>
      <c r="B182" s="369" t="s">
        <v>1660</v>
      </c>
      <c r="C182" s="369" t="s">
        <v>1217</v>
      </c>
      <c r="D182" s="369" t="s">
        <v>1661</v>
      </c>
      <c r="E182" s="370" t="s">
        <v>851</v>
      </c>
      <c r="F182" s="369">
        <v>1002848134</v>
      </c>
      <c r="G182" s="372"/>
    </row>
    <row r="183" spans="1:7" ht="30" x14ac:dyDescent="0.25">
      <c r="A183" s="372" t="s">
        <v>848</v>
      </c>
      <c r="B183" s="372" t="s">
        <v>1034</v>
      </c>
      <c r="C183" s="372" t="s">
        <v>1612</v>
      </c>
      <c r="D183" s="372" t="s">
        <v>1662</v>
      </c>
      <c r="E183" s="373" t="s">
        <v>851</v>
      </c>
      <c r="F183" s="372">
        <v>1059601726</v>
      </c>
      <c r="G183" s="372"/>
    </row>
    <row r="184" spans="1:7" ht="30" x14ac:dyDescent="0.25">
      <c r="A184" s="369" t="s">
        <v>1663</v>
      </c>
      <c r="B184" s="369" t="s">
        <v>1664</v>
      </c>
      <c r="C184" s="369" t="s">
        <v>938</v>
      </c>
      <c r="D184" s="369" t="s">
        <v>1665</v>
      </c>
      <c r="E184" s="370" t="s">
        <v>851</v>
      </c>
      <c r="F184" s="369">
        <v>1059601634</v>
      </c>
      <c r="G184" s="372"/>
    </row>
    <row r="185" spans="1:7" ht="30" x14ac:dyDescent="0.25">
      <c r="A185" s="372" t="s">
        <v>1667</v>
      </c>
      <c r="B185" s="372" t="s">
        <v>1668</v>
      </c>
      <c r="C185" s="372" t="s">
        <v>1669</v>
      </c>
      <c r="D185" s="372"/>
      <c r="E185" s="373" t="s">
        <v>851</v>
      </c>
      <c r="F185" s="372">
        <v>1064426895</v>
      </c>
      <c r="G185" s="372"/>
    </row>
    <row r="186" spans="1:7" ht="30" x14ac:dyDescent="0.25">
      <c r="A186" s="369" t="s">
        <v>1210</v>
      </c>
      <c r="B186" s="369" t="s">
        <v>848</v>
      </c>
      <c r="C186" s="369" t="s">
        <v>1670</v>
      </c>
      <c r="D186" s="369" t="s">
        <v>1671</v>
      </c>
      <c r="E186" s="370" t="s">
        <v>851</v>
      </c>
      <c r="F186" s="369">
        <v>1059602883</v>
      </c>
      <c r="G186" s="372"/>
    </row>
    <row r="187" spans="1:7" ht="30" x14ac:dyDescent="0.25">
      <c r="A187" s="372" t="s">
        <v>943</v>
      </c>
      <c r="B187" s="372" t="s">
        <v>848</v>
      </c>
      <c r="C187" s="372" t="s">
        <v>1673</v>
      </c>
      <c r="D187" s="372" t="s">
        <v>1674</v>
      </c>
      <c r="E187" s="373" t="s">
        <v>851</v>
      </c>
      <c r="F187" s="384" t="s">
        <v>1672</v>
      </c>
      <c r="G187" s="372"/>
    </row>
    <row r="188" spans="1:7" ht="30" x14ac:dyDescent="0.25">
      <c r="A188" s="369" t="s">
        <v>1677</v>
      </c>
      <c r="B188" s="369" t="s">
        <v>962</v>
      </c>
      <c r="C188" s="369" t="s">
        <v>1678</v>
      </c>
      <c r="D188" s="369" t="s">
        <v>1679</v>
      </c>
      <c r="E188" s="370" t="s">
        <v>1094</v>
      </c>
      <c r="F188" s="385" t="s">
        <v>1676</v>
      </c>
      <c r="G188" s="372"/>
    </row>
    <row r="189" spans="1:7" ht="30" x14ac:dyDescent="0.25">
      <c r="A189" s="372" t="s">
        <v>1286</v>
      </c>
      <c r="B189" s="372" t="s">
        <v>943</v>
      </c>
      <c r="C189" s="372" t="s">
        <v>1681</v>
      </c>
      <c r="D189" s="372"/>
      <c r="E189" s="373" t="s">
        <v>851</v>
      </c>
      <c r="F189" s="386" t="s">
        <v>1680</v>
      </c>
      <c r="G189" s="372"/>
    </row>
    <row r="190" spans="1:7" ht="30" x14ac:dyDescent="0.25">
      <c r="A190" s="369" t="s">
        <v>848</v>
      </c>
      <c r="B190" s="369" t="s">
        <v>914</v>
      </c>
      <c r="C190" s="369" t="s">
        <v>1683</v>
      </c>
      <c r="D190" s="369"/>
      <c r="E190" s="370" t="s">
        <v>851</v>
      </c>
      <c r="F190" s="385" t="s">
        <v>1682</v>
      </c>
      <c r="G190" s="372"/>
    </row>
    <row r="191" spans="1:7" x14ac:dyDescent="0.25">
      <c r="A191" s="387" t="s">
        <v>332</v>
      </c>
      <c r="B191" s="372"/>
      <c r="C191" s="372"/>
      <c r="D191" s="372"/>
      <c r="E191" s="372"/>
      <c r="F191" s="372"/>
      <c r="G191" s="372"/>
    </row>
    <row r="192" spans="1:7" ht="45" x14ac:dyDescent="0.25">
      <c r="A192" s="367" t="s">
        <v>94</v>
      </c>
      <c r="B192" s="367" t="s">
        <v>21</v>
      </c>
      <c r="C192" s="367" t="s">
        <v>0</v>
      </c>
      <c r="D192" s="367" t="s">
        <v>1</v>
      </c>
      <c r="E192" s="367" t="s">
        <v>2</v>
      </c>
      <c r="F192" s="367" t="s">
        <v>3</v>
      </c>
      <c r="G192" s="372"/>
    </row>
    <row r="193" spans="1:7" ht="30" x14ac:dyDescent="0.25">
      <c r="A193" s="372" t="s">
        <v>874</v>
      </c>
      <c r="B193" s="372" t="s">
        <v>943</v>
      </c>
      <c r="C193" s="372" t="s">
        <v>1340</v>
      </c>
      <c r="D193" s="372"/>
      <c r="E193" s="373" t="s">
        <v>1094</v>
      </c>
      <c r="F193" s="372">
        <v>1059597393</v>
      </c>
      <c r="G193" s="372"/>
    </row>
    <row r="194" spans="1:7" ht="30" x14ac:dyDescent="0.25">
      <c r="A194" s="369" t="s">
        <v>914</v>
      </c>
      <c r="B194" s="369" t="s">
        <v>915</v>
      </c>
      <c r="C194" s="369" t="s">
        <v>916</v>
      </c>
      <c r="D194" s="369"/>
      <c r="E194" s="370" t="s">
        <v>1094</v>
      </c>
      <c r="F194" s="369">
        <v>1059598169</v>
      </c>
      <c r="G194" s="372"/>
    </row>
    <row r="195" spans="1:7" ht="30" x14ac:dyDescent="0.25">
      <c r="A195" s="372" t="s">
        <v>857</v>
      </c>
      <c r="B195" s="372" t="s">
        <v>1365</v>
      </c>
      <c r="C195" s="372" t="s">
        <v>949</v>
      </c>
      <c r="D195" s="372" t="s">
        <v>1366</v>
      </c>
      <c r="E195" s="373" t="s">
        <v>851</v>
      </c>
      <c r="F195" s="372">
        <v>1002953350</v>
      </c>
      <c r="G195" s="372"/>
    </row>
    <row r="196" spans="1:7" ht="30" x14ac:dyDescent="0.25">
      <c r="A196" s="369" t="s">
        <v>896</v>
      </c>
      <c r="B196" s="369" t="s">
        <v>943</v>
      </c>
      <c r="C196" s="369" t="s">
        <v>1452</v>
      </c>
      <c r="D196" s="369" t="s">
        <v>1372</v>
      </c>
      <c r="E196" s="370" t="s">
        <v>851</v>
      </c>
      <c r="F196" s="369">
        <v>1059599315</v>
      </c>
      <c r="G196" s="372"/>
    </row>
    <row r="197" spans="1:7" ht="30" x14ac:dyDescent="0.25">
      <c r="A197" s="372" t="s">
        <v>943</v>
      </c>
      <c r="B197" s="372" t="s">
        <v>1144</v>
      </c>
      <c r="C197" s="372" t="s">
        <v>1468</v>
      </c>
      <c r="D197" s="372" t="s">
        <v>1281</v>
      </c>
      <c r="E197" s="373" t="s">
        <v>851</v>
      </c>
      <c r="F197" s="372">
        <v>1059607505</v>
      </c>
      <c r="G197" s="372"/>
    </row>
    <row r="198" spans="1:7" ht="30" x14ac:dyDescent="0.25">
      <c r="A198" s="369" t="s">
        <v>884</v>
      </c>
      <c r="B198" s="369" t="s">
        <v>914</v>
      </c>
      <c r="C198" s="369" t="s">
        <v>1479</v>
      </c>
      <c r="D198" s="369" t="s">
        <v>1480</v>
      </c>
      <c r="E198" s="370" t="s">
        <v>851</v>
      </c>
      <c r="F198" s="369">
        <v>1002847894</v>
      </c>
      <c r="G198" s="372"/>
    </row>
    <row r="199" spans="1:7" ht="30" x14ac:dyDescent="0.25">
      <c r="A199" s="372" t="s">
        <v>1513</v>
      </c>
      <c r="B199" s="372" t="s">
        <v>1514</v>
      </c>
      <c r="C199" s="372" t="s">
        <v>1515</v>
      </c>
      <c r="D199" s="372"/>
      <c r="E199" s="373" t="s">
        <v>851</v>
      </c>
      <c r="F199" s="372">
        <v>1067461286</v>
      </c>
      <c r="G199" s="372"/>
    </row>
    <row r="200" spans="1:7" ht="30" x14ac:dyDescent="0.25">
      <c r="A200" s="369" t="s">
        <v>873</v>
      </c>
      <c r="B200" s="369" t="s">
        <v>1091</v>
      </c>
      <c r="C200" s="369" t="s">
        <v>1277</v>
      </c>
      <c r="D200" s="369"/>
      <c r="E200" s="370" t="s">
        <v>851</v>
      </c>
      <c r="F200" s="378">
        <v>1059598472</v>
      </c>
      <c r="G200" s="372"/>
    </row>
    <row r="201" spans="1:7" ht="30" x14ac:dyDescent="0.25">
      <c r="A201" s="372" t="s">
        <v>1549</v>
      </c>
      <c r="B201" s="372" t="s">
        <v>1298</v>
      </c>
      <c r="C201" s="372" t="s">
        <v>1550</v>
      </c>
      <c r="D201" s="372" t="s">
        <v>1551</v>
      </c>
      <c r="E201" s="373" t="s">
        <v>851</v>
      </c>
      <c r="F201" s="380" t="s">
        <v>1548</v>
      </c>
      <c r="G201" s="372"/>
    </row>
    <row r="202" spans="1:7" ht="30" x14ac:dyDescent="0.25">
      <c r="A202" s="369" t="s">
        <v>1580</v>
      </c>
      <c r="B202" s="369" t="s">
        <v>914</v>
      </c>
      <c r="C202" s="369" t="s">
        <v>1581</v>
      </c>
      <c r="D202" s="369" t="s">
        <v>1464</v>
      </c>
      <c r="E202" s="370" t="s">
        <v>851</v>
      </c>
      <c r="F202" s="382">
        <v>1002846447</v>
      </c>
      <c r="G202" s="372"/>
    </row>
    <row r="203" spans="1:7" ht="30" x14ac:dyDescent="0.25">
      <c r="A203" s="372" t="s">
        <v>1590</v>
      </c>
      <c r="B203" s="372" t="s">
        <v>874</v>
      </c>
      <c r="C203" s="372" t="s">
        <v>1591</v>
      </c>
      <c r="D203" s="372"/>
      <c r="E203" s="373" t="s">
        <v>851</v>
      </c>
      <c r="F203" s="379" t="s">
        <v>1589</v>
      </c>
      <c r="G203" s="372"/>
    </row>
    <row r="204" spans="1:7" ht="30" x14ac:dyDescent="0.25">
      <c r="A204" s="369" t="s">
        <v>896</v>
      </c>
      <c r="B204" s="369" t="s">
        <v>992</v>
      </c>
      <c r="C204" s="369" t="s">
        <v>1530</v>
      </c>
      <c r="D204" s="369" t="s">
        <v>1357</v>
      </c>
      <c r="E204" s="370" t="s">
        <v>851</v>
      </c>
      <c r="F204" s="369">
        <v>1002847645</v>
      </c>
      <c r="G204" s="372"/>
    </row>
    <row r="205" spans="1:7" ht="30" x14ac:dyDescent="0.25">
      <c r="A205" s="372" t="s">
        <v>896</v>
      </c>
      <c r="B205" s="372" t="s">
        <v>1599</v>
      </c>
      <c r="C205" s="372" t="s">
        <v>1607</v>
      </c>
      <c r="D205" s="372" t="s">
        <v>1608</v>
      </c>
      <c r="E205" s="373" t="s">
        <v>851</v>
      </c>
      <c r="F205" s="372">
        <v>1060800773</v>
      </c>
      <c r="G205" s="372"/>
    </row>
    <row r="206" spans="1:7" ht="30" x14ac:dyDescent="0.25">
      <c r="A206" s="369" t="s">
        <v>980</v>
      </c>
      <c r="B206" s="369" t="s">
        <v>914</v>
      </c>
      <c r="C206" s="369" t="s">
        <v>1623</v>
      </c>
      <c r="D206" s="369"/>
      <c r="E206" s="370" t="s">
        <v>851</v>
      </c>
      <c r="F206" s="369">
        <v>1059596737</v>
      </c>
      <c r="G206" s="372"/>
    </row>
    <row r="207" spans="1:7" ht="30" x14ac:dyDescent="0.25">
      <c r="A207" s="372" t="s">
        <v>1629</v>
      </c>
      <c r="B207" s="372" t="s">
        <v>1249</v>
      </c>
      <c r="C207" s="372" t="s">
        <v>1630</v>
      </c>
      <c r="D207" s="372"/>
      <c r="E207" s="373" t="s">
        <v>851</v>
      </c>
      <c r="F207" s="372">
        <v>1059601748</v>
      </c>
      <c r="G207" s="372"/>
    </row>
    <row r="208" spans="1:7" ht="30" x14ac:dyDescent="0.25">
      <c r="A208" s="369" t="s">
        <v>953</v>
      </c>
      <c r="B208" s="369" t="s">
        <v>1660</v>
      </c>
      <c r="C208" s="369" t="s">
        <v>1217</v>
      </c>
      <c r="D208" s="369" t="s">
        <v>1661</v>
      </c>
      <c r="E208" s="370" t="s">
        <v>851</v>
      </c>
      <c r="F208" s="369">
        <v>1002848134</v>
      </c>
      <c r="G208" s="372"/>
    </row>
    <row r="209" spans="1:7" ht="30" x14ac:dyDescent="0.25">
      <c r="A209" s="372" t="s">
        <v>848</v>
      </c>
      <c r="B209" s="372" t="s">
        <v>1034</v>
      </c>
      <c r="C209" s="372" t="s">
        <v>1612</v>
      </c>
      <c r="D209" s="372" t="s">
        <v>1662</v>
      </c>
      <c r="E209" s="373" t="s">
        <v>851</v>
      </c>
      <c r="F209" s="372">
        <v>1059601726</v>
      </c>
      <c r="G209" s="372"/>
    </row>
    <row r="210" spans="1:7" ht="30" x14ac:dyDescent="0.25">
      <c r="A210" s="369" t="s">
        <v>1663</v>
      </c>
      <c r="B210" s="369" t="s">
        <v>1664</v>
      </c>
      <c r="C210" s="369" t="s">
        <v>938</v>
      </c>
      <c r="D210" s="369" t="s">
        <v>1665</v>
      </c>
      <c r="E210" s="370" t="s">
        <v>851</v>
      </c>
      <c r="F210" s="369">
        <v>1059601634</v>
      </c>
      <c r="G210" s="372"/>
    </row>
    <row r="211" spans="1:7" ht="30" x14ac:dyDescent="0.25">
      <c r="A211" s="372" t="s">
        <v>1667</v>
      </c>
      <c r="B211" s="372" t="s">
        <v>1668</v>
      </c>
      <c r="C211" s="372" t="s">
        <v>1669</v>
      </c>
      <c r="D211" s="372"/>
      <c r="E211" s="373" t="s">
        <v>851</v>
      </c>
      <c r="F211" s="372">
        <v>1064426895</v>
      </c>
      <c r="G211" s="372"/>
    </row>
    <row r="212" spans="1:7" ht="30" x14ac:dyDescent="0.25">
      <c r="A212" s="369" t="s">
        <v>1210</v>
      </c>
      <c r="B212" s="369" t="s">
        <v>848</v>
      </c>
      <c r="C212" s="369" t="s">
        <v>1670</v>
      </c>
      <c r="D212" s="369" t="s">
        <v>1671</v>
      </c>
      <c r="E212" s="370" t="s">
        <v>851</v>
      </c>
      <c r="F212" s="369">
        <v>1059602883</v>
      </c>
      <c r="G212" s="372"/>
    </row>
    <row r="213" spans="1:7" ht="30" x14ac:dyDescent="0.25">
      <c r="A213" s="372" t="s">
        <v>943</v>
      </c>
      <c r="B213" s="372" t="s">
        <v>848</v>
      </c>
      <c r="C213" s="372" t="s">
        <v>1673</v>
      </c>
      <c r="D213" s="372" t="s">
        <v>1674</v>
      </c>
      <c r="E213" s="373" t="s">
        <v>851</v>
      </c>
      <c r="F213" s="384" t="s">
        <v>1672</v>
      </c>
      <c r="G213" s="372"/>
    </row>
    <row r="214" spans="1:7" ht="30" x14ac:dyDescent="0.25">
      <c r="A214" s="369" t="s">
        <v>1677</v>
      </c>
      <c r="B214" s="369" t="s">
        <v>962</v>
      </c>
      <c r="C214" s="369" t="s">
        <v>1678</v>
      </c>
      <c r="D214" s="369" t="s">
        <v>1679</v>
      </c>
      <c r="E214" s="370" t="s">
        <v>1094</v>
      </c>
      <c r="F214" s="385" t="s">
        <v>1676</v>
      </c>
      <c r="G214" s="372"/>
    </row>
    <row r="215" spans="1:7" ht="30" x14ac:dyDescent="0.25">
      <c r="A215" s="372" t="s">
        <v>1286</v>
      </c>
      <c r="B215" s="372" t="s">
        <v>943</v>
      </c>
      <c r="C215" s="372" t="s">
        <v>1681</v>
      </c>
      <c r="D215" s="372"/>
      <c r="E215" s="373" t="s">
        <v>851</v>
      </c>
      <c r="F215" s="386" t="s">
        <v>1680</v>
      </c>
      <c r="G215" s="372"/>
    </row>
    <row r="216" spans="1:7" ht="30" x14ac:dyDescent="0.25">
      <c r="A216" s="369" t="s">
        <v>848</v>
      </c>
      <c r="B216" s="369" t="s">
        <v>914</v>
      </c>
      <c r="C216" s="369" t="s">
        <v>1683</v>
      </c>
      <c r="D216" s="369"/>
      <c r="E216" s="370" t="s">
        <v>851</v>
      </c>
      <c r="F216" s="385" t="s">
        <v>1682</v>
      </c>
      <c r="G216" s="372"/>
    </row>
    <row r="217" spans="1:7" x14ac:dyDescent="0.25">
      <c r="A217" s="420" t="s">
        <v>1690</v>
      </c>
      <c r="B217" s="420"/>
      <c r="C217" s="420"/>
      <c r="D217" s="420"/>
      <c r="E217" s="420"/>
      <c r="F217" s="420"/>
      <c r="G217" s="372"/>
    </row>
    <row r="218" spans="1:7" ht="45" x14ac:dyDescent="0.25">
      <c r="A218" s="367" t="s">
        <v>94</v>
      </c>
      <c r="B218" s="367" t="s">
        <v>21</v>
      </c>
      <c r="C218" s="367" t="s">
        <v>0</v>
      </c>
      <c r="D218" s="367" t="s">
        <v>1</v>
      </c>
      <c r="E218" s="367" t="s">
        <v>2</v>
      </c>
      <c r="F218" s="367" t="s">
        <v>3</v>
      </c>
      <c r="G218" s="372"/>
    </row>
    <row r="219" spans="1:7" ht="30" x14ac:dyDescent="0.25">
      <c r="A219" s="369" t="s">
        <v>1441</v>
      </c>
      <c r="B219" s="369" t="s">
        <v>914</v>
      </c>
      <c r="C219" s="369" t="s">
        <v>1451</v>
      </c>
      <c r="D219" s="369"/>
      <c r="E219" s="370" t="s">
        <v>851</v>
      </c>
      <c r="F219" s="369">
        <v>1059598007</v>
      </c>
      <c r="G219" s="372"/>
    </row>
    <row r="220" spans="1:7" ht="30" x14ac:dyDescent="0.25">
      <c r="A220" s="372" t="s">
        <v>896</v>
      </c>
      <c r="B220" s="372" t="s">
        <v>943</v>
      </c>
      <c r="C220" s="372" t="s">
        <v>1452</v>
      </c>
      <c r="D220" s="372" t="s">
        <v>1372</v>
      </c>
      <c r="E220" s="373" t="s">
        <v>851</v>
      </c>
      <c r="F220" s="372">
        <v>1059599315</v>
      </c>
      <c r="G220" s="372"/>
    </row>
    <row r="221" spans="1:7" ht="30" x14ac:dyDescent="0.25">
      <c r="A221" s="369" t="s">
        <v>1156</v>
      </c>
      <c r="B221" s="369" t="s">
        <v>883</v>
      </c>
      <c r="C221" s="369" t="s">
        <v>1157</v>
      </c>
      <c r="D221" s="369" t="s">
        <v>1466</v>
      </c>
      <c r="E221" s="370" t="s">
        <v>851</v>
      </c>
      <c r="F221" s="369">
        <v>1059594587</v>
      </c>
      <c r="G221" s="372"/>
    </row>
    <row r="222" spans="1:7" ht="30" x14ac:dyDescent="0.25">
      <c r="A222" s="372" t="s">
        <v>883</v>
      </c>
      <c r="B222" s="372" t="s">
        <v>1290</v>
      </c>
      <c r="C222" s="372" t="s">
        <v>1476</v>
      </c>
      <c r="D222" s="372"/>
      <c r="E222" s="373" t="s">
        <v>851</v>
      </c>
      <c r="F222" s="372">
        <v>1059604081</v>
      </c>
      <c r="G222" s="372"/>
    </row>
    <row r="223" spans="1:7" ht="30" x14ac:dyDescent="0.25">
      <c r="A223" s="369" t="s">
        <v>974</v>
      </c>
      <c r="B223" s="369" t="s">
        <v>943</v>
      </c>
      <c r="C223" s="369" t="s">
        <v>1217</v>
      </c>
      <c r="D223" s="369" t="s">
        <v>1490</v>
      </c>
      <c r="E223" s="370" t="s">
        <v>851</v>
      </c>
      <c r="F223" s="369" t="s">
        <v>1491</v>
      </c>
      <c r="G223" s="372"/>
    </row>
    <row r="224" spans="1:7" ht="30" x14ac:dyDescent="0.25">
      <c r="A224" s="372" t="s">
        <v>884</v>
      </c>
      <c r="B224" s="372" t="s">
        <v>1378</v>
      </c>
      <c r="C224" s="372" t="s">
        <v>1494</v>
      </c>
      <c r="D224" s="372" t="s">
        <v>1495</v>
      </c>
      <c r="E224" s="373" t="s">
        <v>851</v>
      </c>
      <c r="F224" s="372" t="s">
        <v>1496</v>
      </c>
      <c r="G224" s="372"/>
    </row>
    <row r="225" spans="1:7" ht="30" x14ac:dyDescent="0.25">
      <c r="A225" s="369" t="s">
        <v>992</v>
      </c>
      <c r="B225" s="369" t="s">
        <v>1498</v>
      </c>
      <c r="C225" s="369" t="s">
        <v>938</v>
      </c>
      <c r="D225" s="369" t="s">
        <v>1499</v>
      </c>
      <c r="E225" s="370" t="s">
        <v>851</v>
      </c>
      <c r="F225" s="369" t="s">
        <v>1500</v>
      </c>
      <c r="G225" s="372"/>
    </row>
    <row r="226" spans="1:7" ht="30" x14ac:dyDescent="0.25">
      <c r="A226" s="372" t="s">
        <v>848</v>
      </c>
      <c r="B226" s="372" t="s">
        <v>953</v>
      </c>
      <c r="C226" s="372" t="s">
        <v>1501</v>
      </c>
      <c r="D226" s="372" t="s">
        <v>919</v>
      </c>
      <c r="E226" s="373" t="s">
        <v>851</v>
      </c>
      <c r="F226" s="372" t="s">
        <v>1502</v>
      </c>
      <c r="G226" s="372"/>
    </row>
    <row r="227" spans="1:7" ht="30" x14ac:dyDescent="0.25">
      <c r="A227" s="369" t="s">
        <v>1041</v>
      </c>
      <c r="B227" s="369" t="s">
        <v>1147</v>
      </c>
      <c r="C227" s="369" t="s">
        <v>1512</v>
      </c>
      <c r="D227" s="369"/>
      <c r="E227" s="370" t="s">
        <v>851</v>
      </c>
      <c r="F227" s="369">
        <v>1059604976</v>
      </c>
      <c r="G227" s="372"/>
    </row>
    <row r="228" spans="1:7" ht="30" x14ac:dyDescent="0.25">
      <c r="A228" s="372" t="s">
        <v>896</v>
      </c>
      <c r="B228" s="372" t="s">
        <v>953</v>
      </c>
      <c r="C228" s="372" t="s">
        <v>1530</v>
      </c>
      <c r="D228" s="372" t="s">
        <v>1182</v>
      </c>
      <c r="E228" s="373" t="s">
        <v>851</v>
      </c>
      <c r="F228" s="372">
        <v>1059594419</v>
      </c>
      <c r="G228" s="372"/>
    </row>
    <row r="229" spans="1:7" ht="30" x14ac:dyDescent="0.25">
      <c r="A229" s="369" t="s">
        <v>896</v>
      </c>
      <c r="B229" s="369" t="s">
        <v>1091</v>
      </c>
      <c r="C229" s="369" t="s">
        <v>1538</v>
      </c>
      <c r="D229" s="369"/>
      <c r="E229" s="370" t="s">
        <v>851</v>
      </c>
      <c r="F229" s="369">
        <v>1002846350</v>
      </c>
      <c r="G229" s="372"/>
    </row>
    <row r="230" spans="1:7" ht="30" x14ac:dyDescent="0.25">
      <c r="A230" s="372" t="s">
        <v>1144</v>
      </c>
      <c r="B230" s="372" t="s">
        <v>996</v>
      </c>
      <c r="C230" s="372" t="s">
        <v>1192</v>
      </c>
      <c r="D230" s="372"/>
      <c r="E230" s="373" t="s">
        <v>851</v>
      </c>
      <c r="F230" s="377">
        <v>1059604012</v>
      </c>
      <c r="G230" s="372"/>
    </row>
    <row r="231" spans="1:7" ht="30" x14ac:dyDescent="0.25">
      <c r="A231" s="369" t="s">
        <v>873</v>
      </c>
      <c r="B231" s="369" t="s">
        <v>962</v>
      </c>
      <c r="C231" s="369" t="s">
        <v>1501</v>
      </c>
      <c r="D231" s="369" t="s">
        <v>1340</v>
      </c>
      <c r="E231" s="370" t="s">
        <v>851</v>
      </c>
      <c r="F231" s="369">
        <v>1059594976</v>
      </c>
      <c r="G231" s="372"/>
    </row>
    <row r="232" spans="1:7" ht="30" x14ac:dyDescent="0.25">
      <c r="A232" s="372" t="s">
        <v>896</v>
      </c>
      <c r="B232" s="372" t="s">
        <v>915</v>
      </c>
      <c r="C232" s="372" t="s">
        <v>1585</v>
      </c>
      <c r="D232" s="372"/>
      <c r="E232" s="373" t="s">
        <v>851</v>
      </c>
      <c r="F232" s="372">
        <v>1059595460</v>
      </c>
      <c r="G232" s="372"/>
    </row>
    <row r="233" spans="1:7" ht="30" x14ac:dyDescent="0.25">
      <c r="A233" s="369" t="s">
        <v>1156</v>
      </c>
      <c r="B233" s="369" t="s">
        <v>884</v>
      </c>
      <c r="C233" s="369" t="s">
        <v>1481</v>
      </c>
      <c r="D233" s="369" t="s">
        <v>1482</v>
      </c>
      <c r="E233" s="370" t="s">
        <v>851</v>
      </c>
      <c r="F233" s="381" t="s">
        <v>1483</v>
      </c>
      <c r="G233" s="372"/>
    </row>
    <row r="234" spans="1:7" ht="30" x14ac:dyDescent="0.25">
      <c r="A234" s="372" t="s">
        <v>1580</v>
      </c>
      <c r="B234" s="372" t="s">
        <v>914</v>
      </c>
      <c r="C234" s="372" t="s">
        <v>1581</v>
      </c>
      <c r="D234" s="372" t="s">
        <v>1464</v>
      </c>
      <c r="E234" s="373" t="s">
        <v>851</v>
      </c>
      <c r="F234" s="379">
        <v>1002846447</v>
      </c>
      <c r="G234" s="372"/>
    </row>
    <row r="235" spans="1:7" ht="30" x14ac:dyDescent="0.25">
      <c r="A235" s="369" t="s">
        <v>896</v>
      </c>
      <c r="B235" s="369" t="s">
        <v>992</v>
      </c>
      <c r="C235" s="369" t="s">
        <v>1530</v>
      </c>
      <c r="D235" s="369" t="s">
        <v>1357</v>
      </c>
      <c r="E235" s="370" t="s">
        <v>851</v>
      </c>
      <c r="F235" s="369">
        <v>1002847645</v>
      </c>
      <c r="G235" s="372"/>
    </row>
    <row r="236" spans="1:7" x14ac:dyDescent="0.25">
      <c r="A236" s="422" t="s">
        <v>1691</v>
      </c>
      <c r="B236" s="422"/>
      <c r="C236" s="422"/>
      <c r="D236" s="422"/>
      <c r="E236" s="422"/>
      <c r="F236" s="422"/>
      <c r="G236" s="372"/>
    </row>
    <row r="237" spans="1:7" ht="45" x14ac:dyDescent="0.25">
      <c r="A237" s="367" t="s">
        <v>94</v>
      </c>
      <c r="B237" s="367" t="s">
        <v>21</v>
      </c>
      <c r="C237" s="367" t="s">
        <v>0</v>
      </c>
      <c r="D237" s="367" t="s">
        <v>1</v>
      </c>
      <c r="E237" s="367" t="s">
        <v>2</v>
      </c>
      <c r="F237" s="367" t="s">
        <v>3</v>
      </c>
      <c r="G237" s="372"/>
    </row>
    <row r="238" spans="1:7" ht="30" x14ac:dyDescent="0.25">
      <c r="A238" s="369" t="s">
        <v>1549</v>
      </c>
      <c r="B238" s="369" t="s">
        <v>1298</v>
      </c>
      <c r="C238" s="369" t="s">
        <v>1550</v>
      </c>
      <c r="D238" s="369" t="s">
        <v>1551</v>
      </c>
      <c r="E238" s="370" t="s">
        <v>851</v>
      </c>
      <c r="F238" s="381" t="s">
        <v>1548</v>
      </c>
      <c r="G238" s="372"/>
    </row>
    <row r="239" spans="1:7" ht="30" x14ac:dyDescent="0.25">
      <c r="A239" s="372" t="s">
        <v>1286</v>
      </c>
      <c r="B239" s="372" t="s">
        <v>943</v>
      </c>
      <c r="C239" s="372" t="s">
        <v>1681</v>
      </c>
      <c r="D239" s="372"/>
      <c r="E239" s="373" t="s">
        <v>851</v>
      </c>
      <c r="F239" s="386" t="s">
        <v>1680</v>
      </c>
      <c r="G239" s="372"/>
    </row>
    <row r="240" spans="1:7" x14ac:dyDescent="0.25">
      <c r="A240" s="420" t="s">
        <v>1692</v>
      </c>
      <c r="B240" s="420"/>
      <c r="C240" s="420"/>
      <c r="D240" s="420"/>
      <c r="E240" s="420"/>
      <c r="F240" s="420"/>
      <c r="G240" s="372"/>
    </row>
    <row r="241" spans="1:7" ht="45" x14ac:dyDescent="0.25">
      <c r="A241" s="367" t="s">
        <v>94</v>
      </c>
      <c r="B241" s="367" t="s">
        <v>21</v>
      </c>
      <c r="C241" s="367" t="s">
        <v>0</v>
      </c>
      <c r="D241" s="367" t="s">
        <v>1</v>
      </c>
      <c r="E241" s="367" t="s">
        <v>2</v>
      </c>
      <c r="F241" s="367" t="s">
        <v>3</v>
      </c>
      <c r="G241" s="372"/>
    </row>
    <row r="242" spans="1:7" ht="30" x14ac:dyDescent="0.25">
      <c r="A242" s="372" t="s">
        <v>974</v>
      </c>
      <c r="B242" s="372" t="s">
        <v>1144</v>
      </c>
      <c r="C242" s="372" t="s">
        <v>1192</v>
      </c>
      <c r="D242" s="372" t="s">
        <v>1193</v>
      </c>
      <c r="E242" s="373" t="s">
        <v>1094</v>
      </c>
      <c r="F242" s="372">
        <v>1059595334</v>
      </c>
      <c r="G242" s="372"/>
    </row>
    <row r="243" spans="1:7" ht="30" x14ac:dyDescent="0.25">
      <c r="A243" s="369" t="s">
        <v>896</v>
      </c>
      <c r="B243" s="369" t="s">
        <v>943</v>
      </c>
      <c r="C243" s="369" t="s">
        <v>1452</v>
      </c>
      <c r="D243" s="369" t="s">
        <v>1372</v>
      </c>
      <c r="E243" s="370" t="s">
        <v>851</v>
      </c>
      <c r="F243" s="369">
        <v>1059599315</v>
      </c>
      <c r="G243" s="372"/>
    </row>
    <row r="244" spans="1:7" ht="30" x14ac:dyDescent="0.25">
      <c r="A244" s="372" t="s">
        <v>1156</v>
      </c>
      <c r="B244" s="372" t="s">
        <v>883</v>
      </c>
      <c r="C244" s="372" t="s">
        <v>1157</v>
      </c>
      <c r="D244" s="372" t="s">
        <v>1466</v>
      </c>
      <c r="E244" s="373" t="s">
        <v>851</v>
      </c>
      <c r="F244" s="372">
        <v>1059594587</v>
      </c>
      <c r="G244" s="372"/>
    </row>
    <row r="245" spans="1:7" ht="30" x14ac:dyDescent="0.25">
      <c r="A245" s="369" t="s">
        <v>883</v>
      </c>
      <c r="B245" s="369" t="s">
        <v>1290</v>
      </c>
      <c r="C245" s="369" t="s">
        <v>1476</v>
      </c>
      <c r="D245" s="369"/>
      <c r="E245" s="370" t="s">
        <v>851</v>
      </c>
      <c r="F245" s="369">
        <v>1059604081</v>
      </c>
      <c r="G245" s="372"/>
    </row>
    <row r="246" spans="1:7" ht="30" x14ac:dyDescent="0.25">
      <c r="A246" s="372" t="s">
        <v>967</v>
      </c>
      <c r="B246" s="372" t="s">
        <v>980</v>
      </c>
      <c r="C246" s="372" t="s">
        <v>1492</v>
      </c>
      <c r="D246" s="372"/>
      <c r="E246" s="373" t="s">
        <v>851</v>
      </c>
      <c r="F246" s="372" t="s">
        <v>1493</v>
      </c>
      <c r="G246" s="372"/>
    </row>
    <row r="247" spans="1:7" ht="30" x14ac:dyDescent="0.25">
      <c r="A247" s="369" t="s">
        <v>848</v>
      </c>
      <c r="B247" s="369" t="s">
        <v>953</v>
      </c>
      <c r="C247" s="369" t="s">
        <v>1501</v>
      </c>
      <c r="D247" s="369" t="s">
        <v>919</v>
      </c>
      <c r="E247" s="370" t="s">
        <v>851</v>
      </c>
      <c r="F247" s="369" t="s">
        <v>1502</v>
      </c>
      <c r="G247" s="372"/>
    </row>
    <row r="248" spans="1:7" ht="30" x14ac:dyDescent="0.25">
      <c r="A248" s="372" t="s">
        <v>992</v>
      </c>
      <c r="B248" s="372" t="s">
        <v>848</v>
      </c>
      <c r="C248" s="372" t="s">
        <v>1504</v>
      </c>
      <c r="D248" s="372" t="s">
        <v>1157</v>
      </c>
      <c r="E248" s="373" t="s">
        <v>851</v>
      </c>
      <c r="F248" s="372">
        <v>1002848292</v>
      </c>
      <c r="G248" s="372"/>
    </row>
    <row r="249" spans="1:7" ht="30" x14ac:dyDescent="0.25">
      <c r="A249" s="369" t="s">
        <v>1507</v>
      </c>
      <c r="B249" s="369" t="s">
        <v>1365</v>
      </c>
      <c r="C249" s="369" t="s">
        <v>1508</v>
      </c>
      <c r="D249" s="369"/>
      <c r="E249" s="370" t="s">
        <v>851</v>
      </c>
      <c r="F249" s="369">
        <v>1059600322</v>
      </c>
      <c r="G249" s="372"/>
    </row>
    <row r="250" spans="1:7" ht="30" x14ac:dyDescent="0.25">
      <c r="A250" s="372" t="s">
        <v>896</v>
      </c>
      <c r="B250" s="372" t="s">
        <v>953</v>
      </c>
      <c r="C250" s="372" t="s">
        <v>1530</v>
      </c>
      <c r="D250" s="372" t="s">
        <v>1182</v>
      </c>
      <c r="E250" s="373" t="s">
        <v>851</v>
      </c>
      <c r="F250" s="372">
        <v>1059594419</v>
      </c>
      <c r="G250" s="372"/>
    </row>
    <row r="251" spans="1:7" ht="30" x14ac:dyDescent="0.25">
      <c r="A251" s="369" t="s">
        <v>896</v>
      </c>
      <c r="B251" s="369" t="s">
        <v>1091</v>
      </c>
      <c r="C251" s="369" t="s">
        <v>1538</v>
      </c>
      <c r="D251" s="369"/>
      <c r="E251" s="370" t="s">
        <v>851</v>
      </c>
      <c r="F251" s="369">
        <v>1002846350</v>
      </c>
      <c r="G251" s="372"/>
    </row>
    <row r="252" spans="1:7" ht="30" x14ac:dyDescent="0.25">
      <c r="A252" s="372" t="s">
        <v>896</v>
      </c>
      <c r="B252" s="372" t="s">
        <v>953</v>
      </c>
      <c r="C252" s="372" t="s">
        <v>1217</v>
      </c>
      <c r="D252" s="372" t="s">
        <v>1471</v>
      </c>
      <c r="E252" s="373" t="s">
        <v>851</v>
      </c>
      <c r="F252" s="377">
        <v>1059602285</v>
      </c>
      <c r="G252" s="372"/>
    </row>
    <row r="253" spans="1:7" ht="30" x14ac:dyDescent="0.25">
      <c r="A253" s="369" t="s">
        <v>896</v>
      </c>
      <c r="B253" s="369" t="s">
        <v>953</v>
      </c>
      <c r="C253" s="369" t="s">
        <v>1545</v>
      </c>
      <c r="D253" s="369"/>
      <c r="E253" s="370" t="s">
        <v>851</v>
      </c>
      <c r="F253" s="369">
        <v>25545389</v>
      </c>
      <c r="G253" s="372"/>
    </row>
    <row r="254" spans="1:7" ht="30" x14ac:dyDescent="0.25">
      <c r="A254" s="372" t="s">
        <v>943</v>
      </c>
      <c r="B254" s="372" t="s">
        <v>1144</v>
      </c>
      <c r="C254" s="372" t="s">
        <v>1504</v>
      </c>
      <c r="D254" s="372" t="s">
        <v>1281</v>
      </c>
      <c r="E254" s="373" t="s">
        <v>1094</v>
      </c>
      <c r="F254" s="372">
        <v>1059599329</v>
      </c>
      <c r="G254" s="372"/>
    </row>
    <row r="255" spans="1:7" ht="30" x14ac:dyDescent="0.25">
      <c r="A255" s="369" t="s">
        <v>1361</v>
      </c>
      <c r="B255" s="369" t="s">
        <v>1470</v>
      </c>
      <c r="C255" s="369" t="s">
        <v>1553</v>
      </c>
      <c r="D255" s="369"/>
      <c r="E255" s="370" t="s">
        <v>851</v>
      </c>
      <c r="F255" s="369">
        <v>1059595865</v>
      </c>
      <c r="G255" s="372"/>
    </row>
    <row r="256" spans="1:7" ht="30" x14ac:dyDescent="0.25">
      <c r="A256" s="372" t="s">
        <v>953</v>
      </c>
      <c r="B256" s="372" t="s">
        <v>1378</v>
      </c>
      <c r="C256" s="372" t="s">
        <v>1617</v>
      </c>
      <c r="D256" s="372"/>
      <c r="E256" s="373" t="s">
        <v>851</v>
      </c>
      <c r="F256" s="372">
        <v>1059606238</v>
      </c>
      <c r="G256" s="372"/>
    </row>
    <row r="257" spans="1:7" ht="30" x14ac:dyDescent="0.25">
      <c r="A257" s="369" t="s">
        <v>874</v>
      </c>
      <c r="B257" s="369" t="s">
        <v>873</v>
      </c>
      <c r="C257" s="369" t="s">
        <v>1635</v>
      </c>
      <c r="D257" s="369" t="s">
        <v>1294</v>
      </c>
      <c r="E257" s="370" t="s">
        <v>1094</v>
      </c>
      <c r="F257" s="369">
        <v>1059597986</v>
      </c>
      <c r="G257" s="372"/>
    </row>
    <row r="258" spans="1:7" ht="30" x14ac:dyDescent="0.25">
      <c r="A258" s="372" t="s">
        <v>1156</v>
      </c>
      <c r="B258" s="372" t="s">
        <v>884</v>
      </c>
      <c r="C258" s="372" t="s">
        <v>1481</v>
      </c>
      <c r="D258" s="372" t="s">
        <v>1482</v>
      </c>
      <c r="E258" s="373" t="s">
        <v>851</v>
      </c>
      <c r="F258" s="380" t="s">
        <v>1483</v>
      </c>
      <c r="G258" s="372"/>
    </row>
    <row r="259" spans="1:7" ht="30" x14ac:dyDescent="0.25">
      <c r="A259" s="369" t="s">
        <v>1583</v>
      </c>
      <c r="B259" s="369" t="s">
        <v>873</v>
      </c>
      <c r="C259" s="369" t="s">
        <v>1584</v>
      </c>
      <c r="D259" s="369"/>
      <c r="E259" s="370" t="s">
        <v>851</v>
      </c>
      <c r="F259" s="382" t="s">
        <v>1582</v>
      </c>
      <c r="G259" s="372"/>
    </row>
    <row r="260" spans="1:7" ht="30" x14ac:dyDescent="0.25">
      <c r="A260" s="372" t="s">
        <v>1322</v>
      </c>
      <c r="B260" s="372" t="s">
        <v>1378</v>
      </c>
      <c r="C260" s="372" t="s">
        <v>1587</v>
      </c>
      <c r="D260" s="372"/>
      <c r="E260" s="373" t="s">
        <v>851</v>
      </c>
      <c r="F260" s="379" t="s">
        <v>1586</v>
      </c>
      <c r="G260" s="372"/>
    </row>
    <row r="261" spans="1:7" ht="30" x14ac:dyDescent="0.25">
      <c r="A261" s="369" t="s">
        <v>1590</v>
      </c>
      <c r="B261" s="369" t="s">
        <v>874</v>
      </c>
      <c r="C261" s="369" t="s">
        <v>1591</v>
      </c>
      <c r="D261" s="369"/>
      <c r="E261" s="370" t="s">
        <v>851</v>
      </c>
      <c r="F261" s="382" t="s">
        <v>1589</v>
      </c>
      <c r="G261" s="372"/>
    </row>
    <row r="262" spans="1:7" ht="30" x14ac:dyDescent="0.25">
      <c r="A262" s="372" t="s">
        <v>1286</v>
      </c>
      <c r="B262" s="372" t="s">
        <v>1594</v>
      </c>
      <c r="C262" s="372" t="s">
        <v>1420</v>
      </c>
      <c r="D262" s="372"/>
      <c r="E262" s="373" t="s">
        <v>1094</v>
      </c>
      <c r="F262" s="379" t="s">
        <v>1593</v>
      </c>
      <c r="G262" s="372"/>
    </row>
    <row r="263" spans="1:7" ht="30" x14ac:dyDescent="0.25">
      <c r="A263" s="369" t="s">
        <v>914</v>
      </c>
      <c r="B263" s="369" t="s">
        <v>1601</v>
      </c>
      <c r="C263" s="369" t="s">
        <v>1602</v>
      </c>
      <c r="D263" s="369"/>
      <c r="E263" s="370" t="s">
        <v>851</v>
      </c>
      <c r="F263" s="369">
        <v>1003370775</v>
      </c>
      <c r="G263" s="372"/>
    </row>
    <row r="264" spans="1:7" ht="30" x14ac:dyDescent="0.25">
      <c r="A264" s="372" t="s">
        <v>896</v>
      </c>
      <c r="B264" s="372" t="s">
        <v>992</v>
      </c>
      <c r="C264" s="372" t="s">
        <v>1530</v>
      </c>
      <c r="D264" s="372" t="s">
        <v>1357</v>
      </c>
      <c r="E264" s="373" t="s">
        <v>851</v>
      </c>
      <c r="F264" s="372">
        <v>1002847645</v>
      </c>
      <c r="G264" s="372"/>
    </row>
    <row r="265" spans="1:7" ht="30" x14ac:dyDescent="0.25">
      <c r="A265" s="369" t="s">
        <v>914</v>
      </c>
      <c r="B265" s="369" t="s">
        <v>943</v>
      </c>
      <c r="C265" s="369" t="s">
        <v>1198</v>
      </c>
      <c r="D265" s="369"/>
      <c r="E265" s="370" t="s">
        <v>851</v>
      </c>
      <c r="F265" s="369">
        <v>1059605317</v>
      </c>
      <c r="G265" s="372"/>
    </row>
    <row r="266" spans="1:7" ht="30" x14ac:dyDescent="0.25">
      <c r="A266" s="372" t="s">
        <v>873</v>
      </c>
      <c r="B266" s="372" t="s">
        <v>874</v>
      </c>
      <c r="C266" s="372" t="s">
        <v>1612</v>
      </c>
      <c r="D266" s="372" t="s">
        <v>1613</v>
      </c>
      <c r="E266" s="373" t="s">
        <v>851</v>
      </c>
      <c r="F266" s="372">
        <v>1002849103</v>
      </c>
      <c r="G266" s="372"/>
    </row>
    <row r="267" spans="1:7" ht="30" x14ac:dyDescent="0.25">
      <c r="A267" s="369" t="s">
        <v>1621</v>
      </c>
      <c r="B267" s="369" t="s">
        <v>1622</v>
      </c>
      <c r="C267" s="369" t="s">
        <v>1619</v>
      </c>
      <c r="D267" s="369" t="s">
        <v>1620</v>
      </c>
      <c r="E267" s="370" t="s">
        <v>851</v>
      </c>
      <c r="F267" s="369">
        <v>1104776221</v>
      </c>
      <c r="G267" s="372"/>
    </row>
    <row r="268" spans="1:7" ht="30" x14ac:dyDescent="0.25">
      <c r="A268" s="372" t="s">
        <v>980</v>
      </c>
      <c r="B268" s="372" t="s">
        <v>914</v>
      </c>
      <c r="C268" s="372" t="s">
        <v>1623</v>
      </c>
      <c r="D268" s="372"/>
      <c r="E268" s="373" t="s">
        <v>851</v>
      </c>
      <c r="F268" s="372">
        <v>1059596737</v>
      </c>
      <c r="G268" s="372"/>
    </row>
    <row r="269" spans="1:7" ht="30" x14ac:dyDescent="0.25">
      <c r="A269" s="369" t="s">
        <v>1629</v>
      </c>
      <c r="B269" s="369" t="s">
        <v>1249</v>
      </c>
      <c r="C269" s="369" t="s">
        <v>1630</v>
      </c>
      <c r="D269" s="369"/>
      <c r="E269" s="370" t="s">
        <v>851</v>
      </c>
      <c r="F269" s="369">
        <v>1059601748</v>
      </c>
      <c r="G269" s="372"/>
    </row>
    <row r="270" spans="1:7" ht="30" x14ac:dyDescent="0.25">
      <c r="A270" s="372" t="s">
        <v>896</v>
      </c>
      <c r="B270" s="372" t="s">
        <v>1632</v>
      </c>
      <c r="C270" s="372" t="s">
        <v>1633</v>
      </c>
      <c r="D270" s="372"/>
      <c r="E270" s="373" t="s">
        <v>851</v>
      </c>
      <c r="F270" s="383" t="s">
        <v>1631</v>
      </c>
      <c r="G270" s="372"/>
    </row>
    <row r="271" spans="1:7" ht="30" x14ac:dyDescent="0.25">
      <c r="A271" s="369" t="s">
        <v>953</v>
      </c>
      <c r="B271" s="369" t="s">
        <v>1660</v>
      </c>
      <c r="C271" s="369" t="s">
        <v>1217</v>
      </c>
      <c r="D271" s="369" t="s">
        <v>1661</v>
      </c>
      <c r="E271" s="370" t="s">
        <v>851</v>
      </c>
      <c r="F271" s="369">
        <v>1002848134</v>
      </c>
      <c r="G271" s="372"/>
    </row>
    <row r="272" spans="1:7" ht="30" x14ac:dyDescent="0.25">
      <c r="A272" s="372" t="s">
        <v>848</v>
      </c>
      <c r="B272" s="372" t="s">
        <v>1034</v>
      </c>
      <c r="C272" s="372" t="s">
        <v>1612</v>
      </c>
      <c r="D272" s="372" t="s">
        <v>1662</v>
      </c>
      <c r="E272" s="373" t="s">
        <v>851</v>
      </c>
      <c r="F272" s="372">
        <v>1059601726</v>
      </c>
      <c r="G272" s="372"/>
    </row>
    <row r="273" spans="1:7" ht="30" x14ac:dyDescent="0.25">
      <c r="A273" s="369" t="s">
        <v>1663</v>
      </c>
      <c r="B273" s="369" t="s">
        <v>1664</v>
      </c>
      <c r="C273" s="369" t="s">
        <v>938</v>
      </c>
      <c r="D273" s="369" t="s">
        <v>1665</v>
      </c>
      <c r="E273" s="370" t="s">
        <v>851</v>
      </c>
      <c r="F273" s="369">
        <v>1059601634</v>
      </c>
      <c r="G273" s="372"/>
    </row>
    <row r="274" spans="1:7" ht="30" x14ac:dyDescent="0.25">
      <c r="A274" s="372" t="s">
        <v>980</v>
      </c>
      <c r="B274" s="372" t="s">
        <v>1666</v>
      </c>
      <c r="C274" s="372" t="s">
        <v>1287</v>
      </c>
      <c r="D274" s="372" t="s">
        <v>919</v>
      </c>
      <c r="E274" s="373" t="s">
        <v>851</v>
      </c>
      <c r="F274" s="372">
        <v>1002846819</v>
      </c>
      <c r="G274" s="372"/>
    </row>
    <row r="275" spans="1:7" ht="30" x14ac:dyDescent="0.25">
      <c r="A275" s="369" t="s">
        <v>1667</v>
      </c>
      <c r="B275" s="369" t="s">
        <v>1668</v>
      </c>
      <c r="C275" s="369" t="s">
        <v>1669</v>
      </c>
      <c r="D275" s="369"/>
      <c r="E275" s="370" t="s">
        <v>851</v>
      </c>
      <c r="F275" s="369">
        <v>1064426895</v>
      </c>
      <c r="G275" s="372"/>
    </row>
    <row r="276" spans="1:7" ht="30" x14ac:dyDescent="0.25">
      <c r="A276" s="372" t="s">
        <v>943</v>
      </c>
      <c r="B276" s="372" t="s">
        <v>848</v>
      </c>
      <c r="C276" s="372" t="s">
        <v>1673</v>
      </c>
      <c r="D276" s="372" t="s">
        <v>1674</v>
      </c>
      <c r="E276" s="373" t="s">
        <v>851</v>
      </c>
      <c r="F276" s="384" t="s">
        <v>1672</v>
      </c>
      <c r="G276" s="372"/>
    </row>
    <row r="277" spans="1:7" ht="30" x14ac:dyDescent="0.25">
      <c r="A277" s="369" t="s">
        <v>848</v>
      </c>
      <c r="B277" s="369" t="s">
        <v>914</v>
      </c>
      <c r="C277" s="369" t="s">
        <v>1683</v>
      </c>
      <c r="D277" s="369"/>
      <c r="E277" s="370" t="s">
        <v>851</v>
      </c>
      <c r="F277" s="385" t="s">
        <v>1682</v>
      </c>
      <c r="G277" s="372"/>
    </row>
    <row r="278" spans="1:7" x14ac:dyDescent="0.25">
      <c r="A278" s="422" t="s">
        <v>1693</v>
      </c>
      <c r="B278" s="422"/>
      <c r="C278" s="422"/>
      <c r="D278" s="422"/>
      <c r="E278" s="422"/>
      <c r="F278" s="422"/>
      <c r="G278" s="372"/>
    </row>
    <row r="279" spans="1:7" ht="45" x14ac:dyDescent="0.25">
      <c r="A279" s="367" t="s">
        <v>94</v>
      </c>
      <c r="B279" s="367" t="s">
        <v>21</v>
      </c>
      <c r="C279" s="367" t="s">
        <v>0</v>
      </c>
      <c r="D279" s="367" t="s">
        <v>1</v>
      </c>
      <c r="E279" s="367" t="s">
        <v>2</v>
      </c>
      <c r="F279" s="367" t="s">
        <v>3</v>
      </c>
      <c r="G279" s="372"/>
    </row>
    <row r="280" spans="1:7" ht="30" x14ac:dyDescent="0.25">
      <c r="A280" s="372" t="s">
        <v>914</v>
      </c>
      <c r="B280" s="372" t="s">
        <v>884</v>
      </c>
      <c r="C280" s="372" t="s">
        <v>1296</v>
      </c>
      <c r="D280" s="372" t="s">
        <v>850</v>
      </c>
      <c r="E280" s="373" t="s">
        <v>851</v>
      </c>
      <c r="F280" s="372">
        <v>1060186045</v>
      </c>
      <c r="G280" s="372"/>
    </row>
    <row r="281" spans="1:7" ht="30" x14ac:dyDescent="0.25">
      <c r="A281" s="369" t="s">
        <v>1305</v>
      </c>
      <c r="B281" s="369" t="s">
        <v>884</v>
      </c>
      <c r="C281" s="369" t="s">
        <v>1306</v>
      </c>
      <c r="D281" s="369" t="s">
        <v>1307</v>
      </c>
      <c r="E281" s="370" t="s">
        <v>851</v>
      </c>
      <c r="F281" s="369">
        <v>1059604869</v>
      </c>
      <c r="G281" s="372"/>
    </row>
    <row r="282" spans="1:7" ht="30" x14ac:dyDescent="0.25">
      <c r="A282" s="372" t="s">
        <v>914</v>
      </c>
      <c r="B282" s="372" t="s">
        <v>1318</v>
      </c>
      <c r="C282" s="372" t="s">
        <v>1319</v>
      </c>
      <c r="D282" s="372"/>
      <c r="E282" s="373" t="s">
        <v>851</v>
      </c>
      <c r="F282" s="372" t="s">
        <v>1320</v>
      </c>
      <c r="G282" s="372"/>
    </row>
    <row r="283" spans="1:7" ht="30" x14ac:dyDescent="0.25">
      <c r="A283" s="369" t="s">
        <v>1332</v>
      </c>
      <c r="B283" s="369" t="s">
        <v>1091</v>
      </c>
      <c r="C283" s="369" t="s">
        <v>1333</v>
      </c>
      <c r="D283" s="369"/>
      <c r="E283" s="370" t="s">
        <v>1094</v>
      </c>
      <c r="F283" s="369">
        <v>1059595374</v>
      </c>
      <c r="G283" s="372"/>
    </row>
    <row r="284" spans="1:7" ht="30" x14ac:dyDescent="0.25">
      <c r="A284" s="372" t="s">
        <v>874</v>
      </c>
      <c r="B284" s="372" t="s">
        <v>943</v>
      </c>
      <c r="C284" s="372" t="s">
        <v>1340</v>
      </c>
      <c r="D284" s="372"/>
      <c r="E284" s="373" t="s">
        <v>1094</v>
      </c>
      <c r="F284" s="372">
        <v>1059597393</v>
      </c>
      <c r="G284" s="372"/>
    </row>
    <row r="285" spans="1:7" ht="30" x14ac:dyDescent="0.25">
      <c r="A285" s="369" t="s">
        <v>914</v>
      </c>
      <c r="B285" s="369" t="s">
        <v>915</v>
      </c>
      <c r="C285" s="369" t="s">
        <v>916</v>
      </c>
      <c r="D285" s="369"/>
      <c r="E285" s="370" t="s">
        <v>1094</v>
      </c>
      <c r="F285" s="369">
        <v>1059598169</v>
      </c>
      <c r="G285" s="372"/>
    </row>
    <row r="286" spans="1:7" ht="30" x14ac:dyDescent="0.25">
      <c r="A286" s="372" t="s">
        <v>1360</v>
      </c>
      <c r="B286" s="372" t="s">
        <v>1361</v>
      </c>
      <c r="C286" s="372" t="s">
        <v>938</v>
      </c>
      <c r="D286" s="372" t="s">
        <v>1362</v>
      </c>
      <c r="E286" s="373" t="s">
        <v>851</v>
      </c>
      <c r="F286" s="372" t="s">
        <v>1363</v>
      </c>
      <c r="G286" s="372"/>
    </row>
    <row r="287" spans="1:7" ht="30" x14ac:dyDescent="0.25">
      <c r="A287" s="369" t="s">
        <v>1286</v>
      </c>
      <c r="B287" s="369" t="s">
        <v>914</v>
      </c>
      <c r="C287" s="369" t="s">
        <v>1198</v>
      </c>
      <c r="D287" s="369" t="s">
        <v>1364</v>
      </c>
      <c r="E287" s="370" t="s">
        <v>851</v>
      </c>
      <c r="F287" s="369">
        <v>1059600026</v>
      </c>
      <c r="G287" s="372"/>
    </row>
    <row r="288" spans="1:7" ht="30" x14ac:dyDescent="0.25">
      <c r="A288" s="372" t="s">
        <v>857</v>
      </c>
      <c r="B288" s="372" t="s">
        <v>1365</v>
      </c>
      <c r="C288" s="372" t="s">
        <v>949</v>
      </c>
      <c r="D288" s="372" t="s">
        <v>1366</v>
      </c>
      <c r="E288" s="373" t="s">
        <v>851</v>
      </c>
      <c r="F288" s="372">
        <v>1002953350</v>
      </c>
      <c r="G288" s="372"/>
    </row>
    <row r="289" spans="1:7" ht="30" x14ac:dyDescent="0.25">
      <c r="A289" s="369" t="s">
        <v>1368</v>
      </c>
      <c r="B289" s="369" t="s">
        <v>1369</v>
      </c>
      <c r="C289" s="369" t="s">
        <v>1370</v>
      </c>
      <c r="D289" s="369" t="s">
        <v>982</v>
      </c>
      <c r="E289" s="370" t="s">
        <v>851</v>
      </c>
      <c r="F289" s="369">
        <v>1059603417</v>
      </c>
      <c r="G289" s="372"/>
    </row>
    <row r="290" spans="1:7" ht="30" x14ac:dyDescent="0.25">
      <c r="A290" s="372" t="s">
        <v>1382</v>
      </c>
      <c r="B290" s="372" t="s">
        <v>1382</v>
      </c>
      <c r="C290" s="372" t="s">
        <v>1383</v>
      </c>
      <c r="D290" s="372"/>
      <c r="E290" s="373" t="s">
        <v>851</v>
      </c>
      <c r="F290" s="372">
        <v>1003371767</v>
      </c>
      <c r="G290" s="372"/>
    </row>
    <row r="291" spans="1:7" ht="30" x14ac:dyDescent="0.25">
      <c r="A291" s="369" t="s">
        <v>873</v>
      </c>
      <c r="B291" s="369" t="s">
        <v>1391</v>
      </c>
      <c r="C291" s="369" t="s">
        <v>985</v>
      </c>
      <c r="D291" s="369" t="s">
        <v>1392</v>
      </c>
      <c r="E291" s="370" t="s">
        <v>851</v>
      </c>
      <c r="F291" s="369">
        <v>25547491</v>
      </c>
      <c r="G291" s="372"/>
    </row>
    <row r="292" spans="1:7" ht="30" x14ac:dyDescent="0.25">
      <c r="A292" s="372" t="s">
        <v>979</v>
      </c>
      <c r="B292" s="372" t="s">
        <v>943</v>
      </c>
      <c r="C292" s="372" t="s">
        <v>1217</v>
      </c>
      <c r="D292" s="372" t="s">
        <v>1398</v>
      </c>
      <c r="E292" s="373" t="s">
        <v>851</v>
      </c>
      <c r="F292" s="372">
        <v>1002846528</v>
      </c>
      <c r="G292" s="372"/>
    </row>
    <row r="293" spans="1:7" ht="30" x14ac:dyDescent="0.25">
      <c r="A293" s="369" t="s">
        <v>873</v>
      </c>
      <c r="B293" s="369" t="s">
        <v>944</v>
      </c>
      <c r="C293" s="369" t="s">
        <v>1399</v>
      </c>
      <c r="D293" s="369" t="s">
        <v>1400</v>
      </c>
      <c r="E293" s="370" t="s">
        <v>851</v>
      </c>
      <c r="F293" s="369">
        <v>1002848796</v>
      </c>
      <c r="G293" s="372"/>
    </row>
    <row r="294" spans="1:7" ht="30" x14ac:dyDescent="0.25">
      <c r="A294" s="372" t="s">
        <v>1405</v>
      </c>
      <c r="B294" s="372" t="s">
        <v>884</v>
      </c>
      <c r="C294" s="372" t="s">
        <v>1406</v>
      </c>
      <c r="D294" s="372" t="s">
        <v>1407</v>
      </c>
      <c r="E294" s="373" t="s">
        <v>851</v>
      </c>
      <c r="F294" s="372">
        <v>1059601552</v>
      </c>
      <c r="G294" s="372"/>
    </row>
    <row r="295" spans="1:7" ht="30" x14ac:dyDescent="0.25">
      <c r="A295" s="369" t="s">
        <v>1034</v>
      </c>
      <c r="B295" s="369" t="s">
        <v>1166</v>
      </c>
      <c r="C295" s="369" t="s">
        <v>1408</v>
      </c>
      <c r="D295" s="369" t="s">
        <v>1409</v>
      </c>
      <c r="E295" s="370" t="s">
        <v>851</v>
      </c>
      <c r="F295" s="369">
        <v>1005860830</v>
      </c>
      <c r="G295" s="372"/>
    </row>
    <row r="296" spans="1:7" ht="30" x14ac:dyDescent="0.25">
      <c r="A296" s="372" t="s">
        <v>944</v>
      </c>
      <c r="B296" s="372" t="s">
        <v>943</v>
      </c>
      <c r="C296" s="372" t="s">
        <v>1421</v>
      </c>
      <c r="D296" s="372"/>
      <c r="E296" s="373" t="s">
        <v>851</v>
      </c>
      <c r="F296" s="372">
        <v>1002846330</v>
      </c>
      <c r="G296" s="372"/>
    </row>
    <row r="297" spans="1:7" ht="30" x14ac:dyDescent="0.25">
      <c r="A297" s="369" t="s">
        <v>848</v>
      </c>
      <c r="B297" s="369" t="s">
        <v>943</v>
      </c>
      <c r="C297" s="369" t="s">
        <v>1423</v>
      </c>
      <c r="D297" s="369"/>
      <c r="E297" s="370" t="s">
        <v>851</v>
      </c>
      <c r="F297" s="369">
        <v>1193097625</v>
      </c>
      <c r="G297" s="372"/>
    </row>
    <row r="298" spans="1:7" ht="30" x14ac:dyDescent="0.25">
      <c r="A298" s="372" t="s">
        <v>1427</v>
      </c>
      <c r="B298" s="372" t="s">
        <v>1428</v>
      </c>
      <c r="C298" s="372" t="s">
        <v>1429</v>
      </c>
      <c r="D298" s="372" t="s">
        <v>1430</v>
      </c>
      <c r="E298" s="373" t="s">
        <v>851</v>
      </c>
      <c r="F298" s="372">
        <v>1061528490</v>
      </c>
      <c r="G298" s="372"/>
    </row>
    <row r="299" spans="1:7" ht="30" x14ac:dyDescent="0.25">
      <c r="A299" s="369" t="s">
        <v>873</v>
      </c>
      <c r="B299" s="369" t="s">
        <v>1435</v>
      </c>
      <c r="C299" s="369" t="s">
        <v>1436</v>
      </c>
      <c r="D299" s="369" t="s">
        <v>1437</v>
      </c>
      <c r="E299" s="370" t="s">
        <v>851</v>
      </c>
      <c r="F299" s="369">
        <v>1059601742</v>
      </c>
      <c r="G299" s="372"/>
    </row>
    <row r="300" spans="1:7" ht="30" x14ac:dyDescent="0.25">
      <c r="A300" s="372" t="s">
        <v>1439</v>
      </c>
      <c r="B300" s="372" t="s">
        <v>884</v>
      </c>
      <c r="C300" s="372" t="s">
        <v>1440</v>
      </c>
      <c r="D300" s="372" t="s">
        <v>1294</v>
      </c>
      <c r="E300" s="373" t="s">
        <v>851</v>
      </c>
      <c r="F300" s="372">
        <v>1002847533</v>
      </c>
      <c r="G300" s="372"/>
    </row>
    <row r="301" spans="1:7" ht="30" x14ac:dyDescent="0.25">
      <c r="A301" s="369" t="s">
        <v>1441</v>
      </c>
      <c r="B301" s="369"/>
      <c r="C301" s="369" t="s">
        <v>1284</v>
      </c>
      <c r="D301" s="369" t="s">
        <v>1442</v>
      </c>
      <c r="E301" s="370" t="s">
        <v>851</v>
      </c>
      <c r="F301" s="369">
        <v>1002848635</v>
      </c>
      <c r="G301" s="372"/>
    </row>
    <row r="302" spans="1:7" ht="30" x14ac:dyDescent="0.25">
      <c r="A302" s="372" t="s">
        <v>1443</v>
      </c>
      <c r="B302" s="372" t="s">
        <v>1444</v>
      </c>
      <c r="C302" s="372" t="s">
        <v>1445</v>
      </c>
      <c r="D302" s="372"/>
      <c r="E302" s="373" t="s">
        <v>851</v>
      </c>
      <c r="F302" s="372">
        <v>1061757665</v>
      </c>
      <c r="G302" s="372"/>
    </row>
    <row r="303" spans="1:7" ht="30" x14ac:dyDescent="0.25">
      <c r="A303" s="369" t="s">
        <v>1179</v>
      </c>
      <c r="B303" s="369" t="s">
        <v>1435</v>
      </c>
      <c r="C303" s="369" t="s">
        <v>1448</v>
      </c>
      <c r="D303" s="369" t="s">
        <v>1294</v>
      </c>
      <c r="E303" s="370" t="s">
        <v>851</v>
      </c>
      <c r="F303" s="369">
        <v>1059594096</v>
      </c>
      <c r="G303" s="372"/>
    </row>
    <row r="304" spans="1:7" ht="30" x14ac:dyDescent="0.25">
      <c r="A304" s="372" t="s">
        <v>1441</v>
      </c>
      <c r="B304" s="372" t="s">
        <v>914</v>
      </c>
      <c r="C304" s="372" t="s">
        <v>1451</v>
      </c>
      <c r="D304" s="372"/>
      <c r="E304" s="373" t="s">
        <v>851</v>
      </c>
      <c r="F304" s="372">
        <v>1059598007</v>
      </c>
      <c r="G304" s="372"/>
    </row>
    <row r="305" spans="1:7" ht="30" x14ac:dyDescent="0.25">
      <c r="A305" s="369" t="s">
        <v>1455</v>
      </c>
      <c r="B305" s="369" t="s">
        <v>974</v>
      </c>
      <c r="C305" s="369" t="s">
        <v>1305</v>
      </c>
      <c r="D305" s="369" t="s">
        <v>1456</v>
      </c>
      <c r="E305" s="370" t="s">
        <v>1094</v>
      </c>
      <c r="F305" s="369">
        <v>1059595977</v>
      </c>
      <c r="G305" s="372"/>
    </row>
    <row r="306" spans="1:7" ht="30" x14ac:dyDescent="0.25">
      <c r="A306" s="372" t="s">
        <v>1441</v>
      </c>
      <c r="B306" s="372" t="s">
        <v>884</v>
      </c>
      <c r="C306" s="372" t="s">
        <v>1457</v>
      </c>
      <c r="D306" s="372"/>
      <c r="E306" s="373" t="s">
        <v>851</v>
      </c>
      <c r="F306" s="372">
        <v>25545401</v>
      </c>
      <c r="G306" s="372"/>
    </row>
    <row r="307" spans="1:7" ht="30" x14ac:dyDescent="0.25">
      <c r="A307" s="369" t="s">
        <v>1458</v>
      </c>
      <c r="B307" s="369" t="s">
        <v>1459</v>
      </c>
      <c r="C307" s="369" t="s">
        <v>1460</v>
      </c>
      <c r="D307" s="369" t="s">
        <v>976</v>
      </c>
      <c r="E307" s="370" t="s">
        <v>1094</v>
      </c>
      <c r="F307" s="369">
        <v>1062295885</v>
      </c>
      <c r="G307" s="372"/>
    </row>
    <row r="308" spans="1:7" ht="30" x14ac:dyDescent="0.25">
      <c r="A308" s="372" t="s">
        <v>944</v>
      </c>
      <c r="B308" s="372" t="s">
        <v>943</v>
      </c>
      <c r="C308" s="372" t="s">
        <v>1463</v>
      </c>
      <c r="D308" s="372" t="s">
        <v>1464</v>
      </c>
      <c r="E308" s="373" t="s">
        <v>1094</v>
      </c>
      <c r="F308" s="372">
        <v>1060186081</v>
      </c>
      <c r="G308" s="372"/>
    </row>
    <row r="309" spans="1:7" ht="30" x14ac:dyDescent="0.25">
      <c r="A309" s="369" t="s">
        <v>964</v>
      </c>
      <c r="B309" s="369" t="s">
        <v>1465</v>
      </c>
      <c r="C309" s="369" t="s">
        <v>1002</v>
      </c>
      <c r="D309" s="369" t="s">
        <v>1366</v>
      </c>
      <c r="E309" s="370" t="s">
        <v>1094</v>
      </c>
      <c r="F309" s="369">
        <v>1061530990</v>
      </c>
      <c r="G309" s="372"/>
    </row>
    <row r="310" spans="1:7" ht="30" x14ac:dyDescent="0.25">
      <c r="A310" s="372" t="s">
        <v>943</v>
      </c>
      <c r="B310" s="372" t="s">
        <v>1144</v>
      </c>
      <c r="C310" s="372" t="s">
        <v>1468</v>
      </c>
      <c r="D310" s="372" t="s">
        <v>1281</v>
      </c>
      <c r="E310" s="373" t="s">
        <v>851</v>
      </c>
      <c r="F310" s="372">
        <v>1059607505</v>
      </c>
      <c r="G310" s="372"/>
    </row>
    <row r="311" spans="1:7" ht="30" x14ac:dyDescent="0.25">
      <c r="A311" s="369" t="s">
        <v>914</v>
      </c>
      <c r="B311" s="369" t="s">
        <v>1276</v>
      </c>
      <c r="C311" s="369" t="s">
        <v>938</v>
      </c>
      <c r="D311" s="369" t="s">
        <v>1484</v>
      </c>
      <c r="E311" s="370" t="s">
        <v>851</v>
      </c>
      <c r="F311" s="369">
        <v>1002846249</v>
      </c>
      <c r="G311" s="372"/>
    </row>
    <row r="312" spans="1:7" ht="30" x14ac:dyDescent="0.25">
      <c r="A312" s="372" t="s">
        <v>914</v>
      </c>
      <c r="B312" s="372" t="s">
        <v>848</v>
      </c>
      <c r="C312" s="372" t="s">
        <v>1485</v>
      </c>
      <c r="D312" s="372" t="s">
        <v>1285</v>
      </c>
      <c r="E312" s="373" t="s">
        <v>851</v>
      </c>
      <c r="F312" s="372" t="s">
        <v>1486</v>
      </c>
      <c r="G312" s="372"/>
    </row>
    <row r="313" spans="1:7" ht="30" x14ac:dyDescent="0.25">
      <c r="A313" s="369" t="s">
        <v>974</v>
      </c>
      <c r="B313" s="369" t="s">
        <v>943</v>
      </c>
      <c r="C313" s="369" t="s">
        <v>1217</v>
      </c>
      <c r="D313" s="369" t="s">
        <v>1490</v>
      </c>
      <c r="E313" s="370" t="s">
        <v>851</v>
      </c>
      <c r="F313" s="369" t="s">
        <v>1491</v>
      </c>
      <c r="G313" s="372"/>
    </row>
    <row r="314" spans="1:7" ht="30" x14ac:dyDescent="0.25">
      <c r="A314" s="372" t="s">
        <v>992</v>
      </c>
      <c r="B314" s="372" t="s">
        <v>1498</v>
      </c>
      <c r="C314" s="372" t="s">
        <v>938</v>
      </c>
      <c r="D314" s="372" t="s">
        <v>1499</v>
      </c>
      <c r="E314" s="373" t="s">
        <v>851</v>
      </c>
      <c r="F314" s="372" t="s">
        <v>1500</v>
      </c>
      <c r="G314" s="372"/>
    </row>
    <row r="315" spans="1:7" ht="30" x14ac:dyDescent="0.25">
      <c r="A315" s="369" t="s">
        <v>1041</v>
      </c>
      <c r="B315" s="369" t="s">
        <v>1147</v>
      </c>
      <c r="C315" s="369" t="s">
        <v>1512</v>
      </c>
      <c r="D315" s="369"/>
      <c r="E315" s="370" t="s">
        <v>851</v>
      </c>
      <c r="F315" s="369">
        <v>1059604976</v>
      </c>
      <c r="G315" s="372"/>
    </row>
    <row r="316" spans="1:7" ht="30" x14ac:dyDescent="0.25">
      <c r="A316" s="372" t="s">
        <v>1513</v>
      </c>
      <c r="B316" s="372" t="s">
        <v>1514</v>
      </c>
      <c r="C316" s="372" t="s">
        <v>1515</v>
      </c>
      <c r="D316" s="372"/>
      <c r="E316" s="373" t="s">
        <v>851</v>
      </c>
      <c r="F316" s="372">
        <v>1067461286</v>
      </c>
      <c r="G316" s="372"/>
    </row>
    <row r="317" spans="1:7" ht="30" x14ac:dyDescent="0.25">
      <c r="A317" s="369" t="s">
        <v>1519</v>
      </c>
      <c r="B317" s="369" t="s">
        <v>848</v>
      </c>
      <c r="C317" s="369" t="s">
        <v>1520</v>
      </c>
      <c r="D317" s="369" t="s">
        <v>1521</v>
      </c>
      <c r="E317" s="370" t="s">
        <v>851</v>
      </c>
      <c r="F317" s="369">
        <v>1002950269</v>
      </c>
      <c r="G317" s="372"/>
    </row>
    <row r="318" spans="1:7" ht="30" x14ac:dyDescent="0.25">
      <c r="A318" s="372" t="s">
        <v>884</v>
      </c>
      <c r="B318" s="372" t="s">
        <v>1524</v>
      </c>
      <c r="C318" s="372" t="s">
        <v>945</v>
      </c>
      <c r="D318" s="372" t="s">
        <v>919</v>
      </c>
      <c r="E318" s="373" t="s">
        <v>851</v>
      </c>
      <c r="F318" s="372">
        <v>1002970266</v>
      </c>
      <c r="G318" s="372"/>
    </row>
    <row r="319" spans="1:7" ht="30" x14ac:dyDescent="0.25">
      <c r="A319" s="369" t="s">
        <v>1361</v>
      </c>
      <c r="B319" s="369" t="s">
        <v>992</v>
      </c>
      <c r="C319" s="369" t="s">
        <v>1531</v>
      </c>
      <c r="D319" s="369"/>
      <c r="E319" s="370" t="s">
        <v>851</v>
      </c>
      <c r="F319" s="369">
        <v>1151452891</v>
      </c>
      <c r="G319" s="372"/>
    </row>
    <row r="320" spans="1:7" ht="30" x14ac:dyDescent="0.25">
      <c r="A320" s="372" t="s">
        <v>914</v>
      </c>
      <c r="B320" s="372" t="s">
        <v>1470</v>
      </c>
      <c r="C320" s="372" t="s">
        <v>1167</v>
      </c>
      <c r="D320" s="372" t="s">
        <v>1043</v>
      </c>
      <c r="E320" s="373" t="s">
        <v>851</v>
      </c>
      <c r="F320" s="372">
        <v>1193105051</v>
      </c>
      <c r="G320" s="372"/>
    </row>
    <row r="321" spans="1:7" ht="30" x14ac:dyDescent="0.25">
      <c r="A321" s="369" t="s">
        <v>1286</v>
      </c>
      <c r="B321" s="369" t="s">
        <v>980</v>
      </c>
      <c r="C321" s="369" t="s">
        <v>1528</v>
      </c>
      <c r="D321" s="369" t="s">
        <v>1281</v>
      </c>
      <c r="E321" s="370" t="s">
        <v>851</v>
      </c>
      <c r="F321" s="369">
        <v>1059596092</v>
      </c>
      <c r="G321" s="372"/>
    </row>
    <row r="322" spans="1:7" ht="30" x14ac:dyDescent="0.25">
      <c r="A322" s="372" t="s">
        <v>884</v>
      </c>
      <c r="B322" s="372" t="s">
        <v>1144</v>
      </c>
      <c r="C322" s="372" t="s">
        <v>1534</v>
      </c>
      <c r="D322" s="372"/>
      <c r="E322" s="373" t="s">
        <v>851</v>
      </c>
      <c r="F322" s="377">
        <v>1002846626</v>
      </c>
      <c r="G322" s="372"/>
    </row>
    <row r="323" spans="1:7" ht="30" x14ac:dyDescent="0.25">
      <c r="A323" s="369" t="s">
        <v>1246</v>
      </c>
      <c r="B323" s="369" t="s">
        <v>943</v>
      </c>
      <c r="C323" s="369" t="s">
        <v>1535</v>
      </c>
      <c r="D323" s="369"/>
      <c r="E323" s="370" t="s">
        <v>851</v>
      </c>
      <c r="F323" s="376">
        <v>1002848307</v>
      </c>
      <c r="G323" s="372"/>
    </row>
    <row r="324" spans="1:7" ht="30" x14ac:dyDescent="0.25">
      <c r="A324" s="372" t="s">
        <v>873</v>
      </c>
      <c r="B324" s="372" t="s">
        <v>1091</v>
      </c>
      <c r="C324" s="372" t="s">
        <v>1277</v>
      </c>
      <c r="D324" s="372"/>
      <c r="E324" s="373" t="s">
        <v>851</v>
      </c>
      <c r="F324" s="390">
        <v>1059598472</v>
      </c>
      <c r="G324" s="372"/>
    </row>
    <row r="325" spans="1:7" ht="30" x14ac:dyDescent="0.25">
      <c r="A325" s="369" t="s">
        <v>1540</v>
      </c>
      <c r="B325" s="369" t="s">
        <v>943</v>
      </c>
      <c r="C325" s="369" t="s">
        <v>1541</v>
      </c>
      <c r="D325" s="369" t="s">
        <v>1542</v>
      </c>
      <c r="E325" s="370" t="s">
        <v>851</v>
      </c>
      <c r="F325" s="382" t="s">
        <v>1539</v>
      </c>
      <c r="G325" s="372"/>
    </row>
    <row r="326" spans="1:7" x14ac:dyDescent="0.25">
      <c r="A326" s="372" t="s">
        <v>943</v>
      </c>
      <c r="B326" s="372" t="s">
        <v>848</v>
      </c>
      <c r="C326" s="372" t="s">
        <v>1553</v>
      </c>
      <c r="D326" s="372"/>
      <c r="E326" s="373"/>
      <c r="F326" s="372">
        <v>1059594153</v>
      </c>
      <c r="G326" s="372"/>
    </row>
    <row r="327" spans="1:7" ht="30" x14ac:dyDescent="0.25">
      <c r="A327" s="369" t="s">
        <v>953</v>
      </c>
      <c r="B327" s="369" t="s">
        <v>1249</v>
      </c>
      <c r="C327" s="369" t="s">
        <v>1556</v>
      </c>
      <c r="D327" s="369"/>
      <c r="E327" s="370" t="s">
        <v>1094</v>
      </c>
      <c r="F327" s="369">
        <v>1059599873</v>
      </c>
      <c r="G327" s="372"/>
    </row>
    <row r="328" spans="1:7" x14ac:dyDescent="0.25">
      <c r="A328" s="372" t="s">
        <v>896</v>
      </c>
      <c r="B328" s="372" t="s">
        <v>953</v>
      </c>
      <c r="C328" s="372" t="s">
        <v>1634</v>
      </c>
      <c r="D328" s="372"/>
      <c r="E328" s="373"/>
      <c r="F328" s="372">
        <v>1002848733</v>
      </c>
      <c r="G328" s="372"/>
    </row>
    <row r="329" spans="1:7" ht="30" x14ac:dyDescent="0.25">
      <c r="A329" s="369" t="s">
        <v>896</v>
      </c>
      <c r="B329" s="369" t="s">
        <v>915</v>
      </c>
      <c r="C329" s="369" t="s">
        <v>1585</v>
      </c>
      <c r="D329" s="369"/>
      <c r="E329" s="370" t="s">
        <v>851</v>
      </c>
      <c r="F329" s="369">
        <v>1059595460</v>
      </c>
      <c r="G329" s="372"/>
    </row>
    <row r="330" spans="1:7" ht="30" x14ac:dyDescent="0.25">
      <c r="A330" s="372" t="s">
        <v>873</v>
      </c>
      <c r="B330" s="372" t="s">
        <v>874</v>
      </c>
      <c r="C330" s="372" t="s">
        <v>1215</v>
      </c>
      <c r="D330" s="372"/>
      <c r="E330" s="373" t="s">
        <v>851</v>
      </c>
      <c r="F330" s="372">
        <v>1002849181</v>
      </c>
      <c r="G330" s="372"/>
    </row>
    <row r="331" spans="1:7" ht="30" x14ac:dyDescent="0.25">
      <c r="A331" s="369" t="s">
        <v>953</v>
      </c>
      <c r="B331" s="369" t="s">
        <v>1286</v>
      </c>
      <c r="C331" s="369" t="s">
        <v>1463</v>
      </c>
      <c r="D331" s="369" t="s">
        <v>1579</v>
      </c>
      <c r="E331" s="370" t="s">
        <v>851</v>
      </c>
      <c r="F331" s="382" t="s">
        <v>1578</v>
      </c>
      <c r="G331" s="372"/>
    </row>
    <row r="332" spans="1:7" ht="30" x14ac:dyDescent="0.25">
      <c r="A332" s="372" t="s">
        <v>1580</v>
      </c>
      <c r="B332" s="372" t="s">
        <v>914</v>
      </c>
      <c r="C332" s="372" t="s">
        <v>1581</v>
      </c>
      <c r="D332" s="372" t="s">
        <v>1464</v>
      </c>
      <c r="E332" s="373" t="s">
        <v>851</v>
      </c>
      <c r="F332" s="379">
        <v>1002846447</v>
      </c>
      <c r="G332" s="372"/>
    </row>
    <row r="333" spans="1:7" ht="30" x14ac:dyDescent="0.25">
      <c r="A333" s="369" t="s">
        <v>884</v>
      </c>
      <c r="B333" s="369" t="s">
        <v>1286</v>
      </c>
      <c r="C333" s="369" t="s">
        <v>1452</v>
      </c>
      <c r="D333" s="369"/>
      <c r="E333" s="370" t="s">
        <v>851</v>
      </c>
      <c r="F333" s="369">
        <v>25546688</v>
      </c>
      <c r="G333" s="372"/>
    </row>
    <row r="334" spans="1:7" ht="30" x14ac:dyDescent="0.25">
      <c r="A334" s="372" t="s">
        <v>1637</v>
      </c>
      <c r="B334" s="372" t="s">
        <v>1638</v>
      </c>
      <c r="C334" s="372" t="s">
        <v>1028</v>
      </c>
      <c r="D334" s="372"/>
      <c r="E334" s="373" t="s">
        <v>851</v>
      </c>
      <c r="F334" s="380">
        <v>1060986729</v>
      </c>
      <c r="G334" s="372"/>
    </row>
    <row r="335" spans="1:7" ht="30" x14ac:dyDescent="0.25">
      <c r="A335" s="369" t="s">
        <v>1210</v>
      </c>
      <c r="B335" s="369" t="s">
        <v>848</v>
      </c>
      <c r="C335" s="369" t="s">
        <v>1670</v>
      </c>
      <c r="D335" s="369" t="s">
        <v>1671</v>
      </c>
      <c r="E335" s="370" t="s">
        <v>851</v>
      </c>
      <c r="F335" s="369">
        <v>1059602883</v>
      </c>
      <c r="G335" s="372"/>
    </row>
    <row r="336" spans="1:7" ht="30" x14ac:dyDescent="0.25">
      <c r="A336" s="372" t="s">
        <v>1677</v>
      </c>
      <c r="B336" s="372" t="s">
        <v>962</v>
      </c>
      <c r="C336" s="372" t="s">
        <v>1678</v>
      </c>
      <c r="D336" s="372" t="s">
        <v>1679</v>
      </c>
      <c r="E336" s="373" t="s">
        <v>1094</v>
      </c>
      <c r="F336" s="386" t="s">
        <v>1676</v>
      </c>
      <c r="G336" s="372"/>
    </row>
    <row r="337" spans="1:7" x14ac:dyDescent="0.25">
      <c r="A337" s="420" t="s">
        <v>1694</v>
      </c>
      <c r="B337" s="420"/>
      <c r="C337" s="420"/>
      <c r="D337" s="420"/>
      <c r="E337" s="420"/>
      <c r="F337" s="420"/>
      <c r="G337" s="372"/>
    </row>
    <row r="338" spans="1:7" ht="45" x14ac:dyDescent="0.25">
      <c r="A338" s="367" t="s">
        <v>94</v>
      </c>
      <c r="B338" s="367" t="s">
        <v>21</v>
      </c>
      <c r="C338" s="367" t="s">
        <v>0</v>
      </c>
      <c r="D338" s="367" t="s">
        <v>1</v>
      </c>
      <c r="E338" s="367" t="s">
        <v>2</v>
      </c>
      <c r="F338" s="367" t="s">
        <v>3</v>
      </c>
      <c r="G338" s="372"/>
    </row>
    <row r="339" spans="1:7" ht="30" x14ac:dyDescent="0.25">
      <c r="A339" s="369" t="s">
        <v>1549</v>
      </c>
      <c r="B339" s="369" t="s">
        <v>1298</v>
      </c>
      <c r="C339" s="369" t="s">
        <v>1550</v>
      </c>
      <c r="D339" s="369" t="s">
        <v>1551</v>
      </c>
      <c r="E339" s="370" t="s">
        <v>851</v>
      </c>
      <c r="F339" s="381" t="s">
        <v>1548</v>
      </c>
      <c r="G339" s="372"/>
    </row>
    <row r="340" spans="1:7" ht="30" x14ac:dyDescent="0.25">
      <c r="A340" s="372" t="s">
        <v>1286</v>
      </c>
      <c r="B340" s="372" t="s">
        <v>943</v>
      </c>
      <c r="C340" s="372" t="s">
        <v>1681</v>
      </c>
      <c r="D340" s="372"/>
      <c r="E340" s="373" t="s">
        <v>851</v>
      </c>
      <c r="F340" s="386" t="s">
        <v>1680</v>
      </c>
      <c r="G340" s="372"/>
    </row>
    <row r="341" spans="1:7" x14ac:dyDescent="0.25">
      <c r="A341" s="420" t="s">
        <v>1695</v>
      </c>
      <c r="B341" s="420"/>
      <c r="C341" s="420"/>
      <c r="D341" s="420"/>
      <c r="E341" s="420"/>
      <c r="F341" s="420"/>
      <c r="G341" s="372"/>
    </row>
    <row r="342" spans="1:7" ht="45" x14ac:dyDescent="0.25">
      <c r="A342" s="367" t="s">
        <v>94</v>
      </c>
      <c r="B342" s="367" t="s">
        <v>21</v>
      </c>
      <c r="C342" s="367" t="s">
        <v>0</v>
      </c>
      <c r="D342" s="367" t="s">
        <v>1</v>
      </c>
      <c r="E342" s="367" t="s">
        <v>2</v>
      </c>
      <c r="F342" s="367" t="s">
        <v>3</v>
      </c>
      <c r="G342" s="372"/>
    </row>
    <row r="343" spans="1:7" ht="30" x14ac:dyDescent="0.25">
      <c r="A343" s="369" t="s">
        <v>974</v>
      </c>
      <c r="B343" s="369" t="s">
        <v>1144</v>
      </c>
      <c r="C343" s="369" t="s">
        <v>1192</v>
      </c>
      <c r="D343" s="369" t="s">
        <v>1193</v>
      </c>
      <c r="E343" s="370" t="s">
        <v>1094</v>
      </c>
      <c r="F343" s="369">
        <v>1059595334</v>
      </c>
      <c r="G343" s="372"/>
    </row>
    <row r="344" spans="1:7" ht="30" x14ac:dyDescent="0.25">
      <c r="A344" s="372" t="s">
        <v>896</v>
      </c>
      <c r="B344" s="372" t="s">
        <v>943</v>
      </c>
      <c r="C344" s="372" t="s">
        <v>1452</v>
      </c>
      <c r="D344" s="372" t="s">
        <v>1372</v>
      </c>
      <c r="E344" s="373" t="s">
        <v>851</v>
      </c>
      <c r="F344" s="372">
        <v>1059599315</v>
      </c>
      <c r="G344" s="372"/>
    </row>
    <row r="345" spans="1:7" ht="30" x14ac:dyDescent="0.25">
      <c r="A345" s="369" t="s">
        <v>1156</v>
      </c>
      <c r="B345" s="369" t="s">
        <v>883</v>
      </c>
      <c r="C345" s="369" t="s">
        <v>1157</v>
      </c>
      <c r="D345" s="369" t="s">
        <v>1466</v>
      </c>
      <c r="E345" s="370" t="s">
        <v>851</v>
      </c>
      <c r="F345" s="369">
        <v>1059594587</v>
      </c>
      <c r="G345" s="372"/>
    </row>
    <row r="346" spans="1:7" ht="30" x14ac:dyDescent="0.25">
      <c r="A346" s="372" t="s">
        <v>883</v>
      </c>
      <c r="B346" s="372" t="s">
        <v>1290</v>
      </c>
      <c r="C346" s="372" t="s">
        <v>1476</v>
      </c>
      <c r="D346" s="372"/>
      <c r="E346" s="373" t="s">
        <v>851</v>
      </c>
      <c r="F346" s="372">
        <v>1059604081</v>
      </c>
      <c r="G346" s="372"/>
    </row>
    <row r="347" spans="1:7" ht="30" x14ac:dyDescent="0.25">
      <c r="A347" s="369" t="s">
        <v>967</v>
      </c>
      <c r="B347" s="369" t="s">
        <v>980</v>
      </c>
      <c r="C347" s="369" t="s">
        <v>1492</v>
      </c>
      <c r="D347" s="369"/>
      <c r="E347" s="370" t="s">
        <v>851</v>
      </c>
      <c r="F347" s="369" t="s">
        <v>1493</v>
      </c>
      <c r="G347" s="372"/>
    </row>
    <row r="348" spans="1:7" ht="30" x14ac:dyDescent="0.25">
      <c r="A348" s="372" t="s">
        <v>884</v>
      </c>
      <c r="B348" s="372" t="s">
        <v>1378</v>
      </c>
      <c r="C348" s="372" t="s">
        <v>1494</v>
      </c>
      <c r="D348" s="372" t="s">
        <v>1495</v>
      </c>
      <c r="E348" s="373" t="s">
        <v>851</v>
      </c>
      <c r="F348" s="372" t="s">
        <v>1496</v>
      </c>
      <c r="G348" s="372"/>
    </row>
    <row r="349" spans="1:7" ht="30" x14ac:dyDescent="0.25">
      <c r="A349" s="369" t="s">
        <v>848</v>
      </c>
      <c r="B349" s="369" t="s">
        <v>953</v>
      </c>
      <c r="C349" s="369" t="s">
        <v>1501</v>
      </c>
      <c r="D349" s="369" t="s">
        <v>919</v>
      </c>
      <c r="E349" s="370" t="s">
        <v>851</v>
      </c>
      <c r="F349" s="369" t="s">
        <v>1502</v>
      </c>
      <c r="G349" s="372"/>
    </row>
    <row r="350" spans="1:7" ht="30" x14ac:dyDescent="0.25">
      <c r="A350" s="372" t="s">
        <v>992</v>
      </c>
      <c r="B350" s="372" t="s">
        <v>848</v>
      </c>
      <c r="C350" s="372" t="s">
        <v>1504</v>
      </c>
      <c r="D350" s="372" t="s">
        <v>1157</v>
      </c>
      <c r="E350" s="373" t="s">
        <v>851</v>
      </c>
      <c r="F350" s="372">
        <v>1002848292</v>
      </c>
      <c r="G350" s="372"/>
    </row>
    <row r="351" spans="1:7" ht="30" x14ac:dyDescent="0.25">
      <c r="A351" s="369" t="s">
        <v>1507</v>
      </c>
      <c r="B351" s="369" t="s">
        <v>1365</v>
      </c>
      <c r="C351" s="369" t="s">
        <v>1508</v>
      </c>
      <c r="D351" s="369"/>
      <c r="E351" s="370" t="s">
        <v>851</v>
      </c>
      <c r="F351" s="369">
        <v>1059600322</v>
      </c>
      <c r="G351" s="372"/>
    </row>
    <row r="352" spans="1:7" ht="30" x14ac:dyDescent="0.25">
      <c r="A352" s="372" t="s">
        <v>896</v>
      </c>
      <c r="B352" s="372" t="s">
        <v>953</v>
      </c>
      <c r="C352" s="372" t="s">
        <v>1530</v>
      </c>
      <c r="D352" s="372" t="s">
        <v>1182</v>
      </c>
      <c r="E352" s="373" t="s">
        <v>851</v>
      </c>
      <c r="F352" s="372">
        <v>1059594419</v>
      </c>
      <c r="G352" s="372"/>
    </row>
    <row r="353" spans="1:7" ht="30" x14ac:dyDescent="0.25">
      <c r="A353" s="369" t="s">
        <v>896</v>
      </c>
      <c r="B353" s="369" t="s">
        <v>1091</v>
      </c>
      <c r="C353" s="369" t="s">
        <v>1538</v>
      </c>
      <c r="D353" s="369"/>
      <c r="E353" s="370" t="s">
        <v>851</v>
      </c>
      <c r="F353" s="369">
        <v>1002846350</v>
      </c>
      <c r="G353" s="372"/>
    </row>
    <row r="354" spans="1:7" ht="30" x14ac:dyDescent="0.25">
      <c r="A354" s="372" t="s">
        <v>896</v>
      </c>
      <c r="B354" s="372" t="s">
        <v>953</v>
      </c>
      <c r="C354" s="372" t="s">
        <v>1217</v>
      </c>
      <c r="D354" s="372" t="s">
        <v>1471</v>
      </c>
      <c r="E354" s="373" t="s">
        <v>851</v>
      </c>
      <c r="F354" s="377">
        <v>1059602285</v>
      </c>
      <c r="G354" s="372"/>
    </row>
    <row r="355" spans="1:7" ht="30" x14ac:dyDescent="0.25">
      <c r="A355" s="369" t="s">
        <v>896</v>
      </c>
      <c r="B355" s="369" t="s">
        <v>953</v>
      </c>
      <c r="C355" s="369" t="s">
        <v>1545</v>
      </c>
      <c r="D355" s="369"/>
      <c r="E355" s="370" t="s">
        <v>851</v>
      </c>
      <c r="F355" s="369">
        <v>25545389</v>
      </c>
      <c r="G355" s="372"/>
    </row>
    <row r="356" spans="1:7" ht="30" x14ac:dyDescent="0.25">
      <c r="A356" s="372" t="s">
        <v>943</v>
      </c>
      <c r="B356" s="372" t="s">
        <v>1144</v>
      </c>
      <c r="C356" s="372" t="s">
        <v>1504</v>
      </c>
      <c r="D356" s="372" t="s">
        <v>1281</v>
      </c>
      <c r="E356" s="373" t="s">
        <v>1094</v>
      </c>
      <c r="F356" s="372">
        <v>1059599329</v>
      </c>
      <c r="G356" s="372"/>
    </row>
    <row r="357" spans="1:7" ht="30" x14ac:dyDescent="0.25">
      <c r="A357" s="369" t="s">
        <v>1361</v>
      </c>
      <c r="B357" s="369" t="s">
        <v>1470</v>
      </c>
      <c r="C357" s="369" t="s">
        <v>1553</v>
      </c>
      <c r="D357" s="369"/>
      <c r="E357" s="370" t="s">
        <v>851</v>
      </c>
      <c r="F357" s="369">
        <v>1059595865</v>
      </c>
      <c r="G357" s="372"/>
    </row>
    <row r="358" spans="1:7" ht="30" x14ac:dyDescent="0.25">
      <c r="A358" s="372" t="s">
        <v>953</v>
      </c>
      <c r="B358" s="372" t="s">
        <v>1378</v>
      </c>
      <c r="C358" s="372" t="s">
        <v>1617</v>
      </c>
      <c r="D358" s="372"/>
      <c r="E358" s="373" t="s">
        <v>851</v>
      </c>
      <c r="F358" s="372">
        <v>1059606238</v>
      </c>
      <c r="G358" s="372"/>
    </row>
    <row r="359" spans="1:7" ht="30" x14ac:dyDescent="0.25">
      <c r="A359" s="369" t="s">
        <v>874</v>
      </c>
      <c r="B359" s="369" t="s">
        <v>873</v>
      </c>
      <c r="C359" s="369" t="s">
        <v>1635</v>
      </c>
      <c r="D359" s="369" t="s">
        <v>1294</v>
      </c>
      <c r="E359" s="370" t="s">
        <v>1094</v>
      </c>
      <c r="F359" s="369">
        <v>1059597986</v>
      </c>
      <c r="G359" s="372"/>
    </row>
    <row r="360" spans="1:7" ht="30" x14ac:dyDescent="0.25">
      <c r="A360" s="372" t="s">
        <v>1156</v>
      </c>
      <c r="B360" s="372" t="s">
        <v>884</v>
      </c>
      <c r="C360" s="372" t="s">
        <v>1481</v>
      </c>
      <c r="D360" s="372" t="s">
        <v>1482</v>
      </c>
      <c r="E360" s="373" t="s">
        <v>851</v>
      </c>
      <c r="F360" s="380" t="s">
        <v>1483</v>
      </c>
      <c r="G360" s="372"/>
    </row>
    <row r="361" spans="1:7" ht="30" x14ac:dyDescent="0.25">
      <c r="A361" s="369" t="s">
        <v>1583</v>
      </c>
      <c r="B361" s="369" t="s">
        <v>873</v>
      </c>
      <c r="C361" s="369" t="s">
        <v>1584</v>
      </c>
      <c r="D361" s="369"/>
      <c r="E361" s="370" t="s">
        <v>851</v>
      </c>
      <c r="F361" s="382" t="s">
        <v>1582</v>
      </c>
      <c r="G361" s="372"/>
    </row>
    <row r="362" spans="1:7" ht="30" x14ac:dyDescent="0.25">
      <c r="A362" s="372" t="s">
        <v>1322</v>
      </c>
      <c r="B362" s="372" t="s">
        <v>1378</v>
      </c>
      <c r="C362" s="372" t="s">
        <v>1587</v>
      </c>
      <c r="D362" s="372"/>
      <c r="E362" s="373" t="s">
        <v>851</v>
      </c>
      <c r="F362" s="379" t="s">
        <v>1586</v>
      </c>
      <c r="G362" s="372"/>
    </row>
    <row r="363" spans="1:7" ht="30" x14ac:dyDescent="0.25">
      <c r="A363" s="369" t="s">
        <v>1590</v>
      </c>
      <c r="B363" s="369" t="s">
        <v>874</v>
      </c>
      <c r="C363" s="369" t="s">
        <v>1591</v>
      </c>
      <c r="D363" s="369"/>
      <c r="E363" s="370" t="s">
        <v>851</v>
      </c>
      <c r="F363" s="382" t="s">
        <v>1589</v>
      </c>
      <c r="G363" s="372"/>
    </row>
    <row r="364" spans="1:7" ht="30" x14ac:dyDescent="0.25">
      <c r="A364" s="372" t="s">
        <v>1286</v>
      </c>
      <c r="B364" s="372" t="s">
        <v>1594</v>
      </c>
      <c r="C364" s="372" t="s">
        <v>1420</v>
      </c>
      <c r="D364" s="372"/>
      <c r="E364" s="373" t="s">
        <v>1094</v>
      </c>
      <c r="F364" s="379" t="s">
        <v>1593</v>
      </c>
      <c r="G364" s="372"/>
    </row>
    <row r="365" spans="1:7" ht="30" x14ac:dyDescent="0.25">
      <c r="A365" s="369" t="s">
        <v>914</v>
      </c>
      <c r="B365" s="369" t="s">
        <v>1601</v>
      </c>
      <c r="C365" s="369" t="s">
        <v>1602</v>
      </c>
      <c r="D365" s="369"/>
      <c r="E365" s="370" t="s">
        <v>851</v>
      </c>
      <c r="F365" s="369">
        <v>1003370775</v>
      </c>
      <c r="G365" s="372"/>
    </row>
    <row r="366" spans="1:7" ht="30" x14ac:dyDescent="0.25">
      <c r="A366" s="372" t="s">
        <v>896</v>
      </c>
      <c r="B366" s="372" t="s">
        <v>992</v>
      </c>
      <c r="C366" s="372" t="s">
        <v>1530</v>
      </c>
      <c r="D366" s="372" t="s">
        <v>1357</v>
      </c>
      <c r="E366" s="373" t="s">
        <v>851</v>
      </c>
      <c r="F366" s="372">
        <v>1002847645</v>
      </c>
      <c r="G366" s="372"/>
    </row>
    <row r="367" spans="1:7" ht="30" x14ac:dyDescent="0.25">
      <c r="A367" s="369" t="s">
        <v>914</v>
      </c>
      <c r="B367" s="369" t="s">
        <v>943</v>
      </c>
      <c r="C367" s="369" t="s">
        <v>1198</v>
      </c>
      <c r="D367" s="369"/>
      <c r="E367" s="370" t="s">
        <v>851</v>
      </c>
      <c r="F367" s="369">
        <v>1059605317</v>
      </c>
      <c r="G367" s="372"/>
    </row>
    <row r="368" spans="1:7" ht="30" x14ac:dyDescent="0.25">
      <c r="A368" s="372" t="s">
        <v>873</v>
      </c>
      <c r="B368" s="372" t="s">
        <v>874</v>
      </c>
      <c r="C368" s="372" t="s">
        <v>1612</v>
      </c>
      <c r="D368" s="372" t="s">
        <v>1613</v>
      </c>
      <c r="E368" s="373" t="s">
        <v>851</v>
      </c>
      <c r="F368" s="372">
        <v>1002849103</v>
      </c>
      <c r="G368" s="372"/>
    </row>
    <row r="369" spans="1:7" ht="30" x14ac:dyDescent="0.25">
      <c r="A369" s="369" t="s">
        <v>1621</v>
      </c>
      <c r="B369" s="369" t="s">
        <v>1622</v>
      </c>
      <c r="C369" s="369" t="s">
        <v>1619</v>
      </c>
      <c r="D369" s="369" t="s">
        <v>1620</v>
      </c>
      <c r="E369" s="370" t="s">
        <v>851</v>
      </c>
      <c r="F369" s="369">
        <v>1104776221</v>
      </c>
      <c r="G369" s="372"/>
    </row>
    <row r="370" spans="1:7" ht="30" x14ac:dyDescent="0.25">
      <c r="A370" s="372" t="s">
        <v>980</v>
      </c>
      <c r="B370" s="372" t="s">
        <v>914</v>
      </c>
      <c r="C370" s="372" t="s">
        <v>1623</v>
      </c>
      <c r="D370" s="372"/>
      <c r="E370" s="373" t="s">
        <v>851</v>
      </c>
      <c r="F370" s="372">
        <v>1059596737</v>
      </c>
      <c r="G370" s="372"/>
    </row>
    <row r="371" spans="1:7" ht="30" x14ac:dyDescent="0.25">
      <c r="A371" s="369" t="s">
        <v>1629</v>
      </c>
      <c r="B371" s="369" t="s">
        <v>1249</v>
      </c>
      <c r="C371" s="369" t="s">
        <v>1630</v>
      </c>
      <c r="D371" s="369"/>
      <c r="E371" s="370" t="s">
        <v>851</v>
      </c>
      <c r="F371" s="369">
        <v>1059601748</v>
      </c>
      <c r="G371" s="372"/>
    </row>
    <row r="372" spans="1:7" ht="30" x14ac:dyDescent="0.25">
      <c r="A372" s="372" t="s">
        <v>896</v>
      </c>
      <c r="B372" s="372" t="s">
        <v>1632</v>
      </c>
      <c r="C372" s="372" t="s">
        <v>1633</v>
      </c>
      <c r="D372" s="372"/>
      <c r="E372" s="373" t="s">
        <v>851</v>
      </c>
      <c r="F372" s="383" t="s">
        <v>1631</v>
      </c>
      <c r="G372" s="372"/>
    </row>
    <row r="373" spans="1:7" ht="30" x14ac:dyDescent="0.25">
      <c r="A373" s="369" t="s">
        <v>953</v>
      </c>
      <c r="B373" s="369" t="s">
        <v>1660</v>
      </c>
      <c r="C373" s="369" t="s">
        <v>1217</v>
      </c>
      <c r="D373" s="369" t="s">
        <v>1661</v>
      </c>
      <c r="E373" s="370" t="s">
        <v>851</v>
      </c>
      <c r="F373" s="369">
        <v>1002848134</v>
      </c>
      <c r="G373" s="372"/>
    </row>
    <row r="374" spans="1:7" ht="30" x14ac:dyDescent="0.25">
      <c r="A374" s="372" t="s">
        <v>848</v>
      </c>
      <c r="B374" s="372" t="s">
        <v>1034</v>
      </c>
      <c r="C374" s="372" t="s">
        <v>1612</v>
      </c>
      <c r="D374" s="372" t="s">
        <v>1662</v>
      </c>
      <c r="E374" s="373" t="s">
        <v>851</v>
      </c>
      <c r="F374" s="372">
        <v>1059601726</v>
      </c>
      <c r="G374" s="372"/>
    </row>
    <row r="375" spans="1:7" ht="30" x14ac:dyDescent="0.25">
      <c r="A375" s="369" t="s">
        <v>1663</v>
      </c>
      <c r="B375" s="369" t="s">
        <v>1664</v>
      </c>
      <c r="C375" s="369" t="s">
        <v>938</v>
      </c>
      <c r="D375" s="369" t="s">
        <v>1665</v>
      </c>
      <c r="E375" s="370" t="s">
        <v>851</v>
      </c>
      <c r="F375" s="369">
        <v>1059601634</v>
      </c>
      <c r="G375" s="372"/>
    </row>
    <row r="376" spans="1:7" ht="30" x14ac:dyDescent="0.25">
      <c r="A376" s="372" t="s">
        <v>980</v>
      </c>
      <c r="B376" s="372" t="s">
        <v>1666</v>
      </c>
      <c r="C376" s="372" t="s">
        <v>1287</v>
      </c>
      <c r="D376" s="372" t="s">
        <v>919</v>
      </c>
      <c r="E376" s="373" t="s">
        <v>851</v>
      </c>
      <c r="F376" s="372">
        <v>1002846819</v>
      </c>
      <c r="G376" s="372"/>
    </row>
    <row r="377" spans="1:7" ht="30" x14ac:dyDescent="0.25">
      <c r="A377" s="369" t="s">
        <v>1667</v>
      </c>
      <c r="B377" s="369" t="s">
        <v>1668</v>
      </c>
      <c r="C377" s="369" t="s">
        <v>1669</v>
      </c>
      <c r="D377" s="369"/>
      <c r="E377" s="370" t="s">
        <v>851</v>
      </c>
      <c r="F377" s="369">
        <v>1064426895</v>
      </c>
      <c r="G377" s="372"/>
    </row>
    <row r="378" spans="1:7" ht="30" x14ac:dyDescent="0.25">
      <c r="A378" s="372" t="s">
        <v>943</v>
      </c>
      <c r="B378" s="372" t="s">
        <v>848</v>
      </c>
      <c r="C378" s="372" t="s">
        <v>1673</v>
      </c>
      <c r="D378" s="372" t="s">
        <v>1674</v>
      </c>
      <c r="E378" s="373" t="s">
        <v>851</v>
      </c>
      <c r="F378" s="384" t="s">
        <v>1672</v>
      </c>
      <c r="G378" s="372"/>
    </row>
    <row r="379" spans="1:7" ht="30" x14ac:dyDescent="0.25">
      <c r="A379" s="369" t="s">
        <v>848</v>
      </c>
      <c r="B379" s="369" t="s">
        <v>914</v>
      </c>
      <c r="C379" s="369" t="s">
        <v>1683</v>
      </c>
      <c r="D379" s="369"/>
      <c r="E379" s="370" t="s">
        <v>851</v>
      </c>
      <c r="F379" s="385" t="s">
        <v>1682</v>
      </c>
      <c r="G379" s="372"/>
    </row>
    <row r="380" spans="1:7" x14ac:dyDescent="0.25">
      <c r="A380" s="420" t="s">
        <v>1696</v>
      </c>
      <c r="B380" s="420"/>
      <c r="C380" s="420"/>
      <c r="D380" s="420"/>
      <c r="E380" s="420"/>
      <c r="F380" s="420"/>
      <c r="G380" s="372"/>
    </row>
    <row r="381" spans="1:7" ht="45" x14ac:dyDescent="0.25">
      <c r="A381" s="367" t="s">
        <v>94</v>
      </c>
      <c r="B381" s="367" t="s">
        <v>21</v>
      </c>
      <c r="C381" s="367" t="s">
        <v>0</v>
      </c>
      <c r="D381" s="367" t="s">
        <v>1</v>
      </c>
      <c r="E381" s="367" t="s">
        <v>2</v>
      </c>
      <c r="F381" s="367" t="s">
        <v>3</v>
      </c>
      <c r="G381" s="372"/>
    </row>
    <row r="382" spans="1:7" ht="30" x14ac:dyDescent="0.25">
      <c r="A382" s="369" t="s">
        <v>914</v>
      </c>
      <c r="B382" s="369" t="s">
        <v>884</v>
      </c>
      <c r="C382" s="369" t="s">
        <v>1296</v>
      </c>
      <c r="D382" s="369" t="s">
        <v>850</v>
      </c>
      <c r="E382" s="370" t="s">
        <v>851</v>
      </c>
      <c r="F382" s="369">
        <v>1060186045</v>
      </c>
      <c r="G382" s="372"/>
    </row>
    <row r="383" spans="1:7" ht="30" x14ac:dyDescent="0.25">
      <c r="A383" s="372" t="s">
        <v>1298</v>
      </c>
      <c r="B383" s="372" t="s">
        <v>914</v>
      </c>
      <c r="C383" s="372" t="s">
        <v>1299</v>
      </c>
      <c r="D383" s="372" t="s">
        <v>1300</v>
      </c>
      <c r="E383" s="373" t="s">
        <v>851</v>
      </c>
      <c r="F383" s="372" t="s">
        <v>1301</v>
      </c>
      <c r="G383" s="372"/>
    </row>
    <row r="384" spans="1:7" ht="30" x14ac:dyDescent="0.25">
      <c r="A384" s="369" t="s">
        <v>1305</v>
      </c>
      <c r="B384" s="369" t="s">
        <v>884</v>
      </c>
      <c r="C384" s="369" t="s">
        <v>1306</v>
      </c>
      <c r="D384" s="369" t="s">
        <v>1307</v>
      </c>
      <c r="E384" s="370" t="s">
        <v>851</v>
      </c>
      <c r="F384" s="369">
        <v>1059604869</v>
      </c>
      <c r="G384" s="372"/>
    </row>
    <row r="385" spans="1:7" ht="30" x14ac:dyDescent="0.25">
      <c r="A385" s="372" t="s">
        <v>953</v>
      </c>
      <c r="B385" s="372" t="s">
        <v>1316</v>
      </c>
      <c r="C385" s="372" t="s">
        <v>1317</v>
      </c>
      <c r="D385" s="372" t="s">
        <v>1028</v>
      </c>
      <c r="E385" s="373" t="s">
        <v>851</v>
      </c>
      <c r="F385" s="372">
        <v>1059594373</v>
      </c>
      <c r="G385" s="372"/>
    </row>
    <row r="386" spans="1:7" ht="30" x14ac:dyDescent="0.25">
      <c r="A386" s="369" t="s">
        <v>914</v>
      </c>
      <c r="B386" s="369" t="s">
        <v>1318</v>
      </c>
      <c r="C386" s="369" t="s">
        <v>1319</v>
      </c>
      <c r="D386" s="369"/>
      <c r="E386" s="370" t="s">
        <v>851</v>
      </c>
      <c r="F386" s="369" t="s">
        <v>1320</v>
      </c>
      <c r="G386" s="372"/>
    </row>
    <row r="387" spans="1:7" ht="30" x14ac:dyDescent="0.25">
      <c r="A387" s="372" t="s">
        <v>1332</v>
      </c>
      <c r="B387" s="372" t="s">
        <v>1091</v>
      </c>
      <c r="C387" s="372" t="s">
        <v>1333</v>
      </c>
      <c r="D387" s="372"/>
      <c r="E387" s="373" t="s">
        <v>1094</v>
      </c>
      <c r="F387" s="372">
        <v>1059595374</v>
      </c>
      <c r="G387" s="372"/>
    </row>
    <row r="388" spans="1:7" ht="30" x14ac:dyDescent="0.25">
      <c r="A388" s="369" t="s">
        <v>874</v>
      </c>
      <c r="B388" s="369" t="s">
        <v>943</v>
      </c>
      <c r="C388" s="369" t="s">
        <v>1340</v>
      </c>
      <c r="D388" s="369"/>
      <c r="E388" s="370" t="s">
        <v>1094</v>
      </c>
      <c r="F388" s="369">
        <v>1059597393</v>
      </c>
      <c r="G388" s="372"/>
    </row>
    <row r="389" spans="1:7" ht="30" x14ac:dyDescent="0.25">
      <c r="A389" s="372" t="s">
        <v>914</v>
      </c>
      <c r="B389" s="372" t="s">
        <v>915</v>
      </c>
      <c r="C389" s="372" t="s">
        <v>916</v>
      </c>
      <c r="D389" s="372"/>
      <c r="E389" s="373" t="s">
        <v>1094</v>
      </c>
      <c r="F389" s="372">
        <v>1059598169</v>
      </c>
      <c r="G389" s="372"/>
    </row>
    <row r="390" spans="1:7" ht="30" x14ac:dyDescent="0.25">
      <c r="A390" s="369" t="s">
        <v>1360</v>
      </c>
      <c r="B390" s="369" t="s">
        <v>1361</v>
      </c>
      <c r="C390" s="369" t="s">
        <v>938</v>
      </c>
      <c r="D390" s="369" t="s">
        <v>1362</v>
      </c>
      <c r="E390" s="370" t="s">
        <v>851</v>
      </c>
      <c r="F390" s="369" t="s">
        <v>1363</v>
      </c>
      <c r="G390" s="372"/>
    </row>
    <row r="391" spans="1:7" ht="30" x14ac:dyDescent="0.25">
      <c r="A391" s="372" t="s">
        <v>1286</v>
      </c>
      <c r="B391" s="372" t="s">
        <v>914</v>
      </c>
      <c r="C391" s="372" t="s">
        <v>1198</v>
      </c>
      <c r="D391" s="372" t="s">
        <v>1364</v>
      </c>
      <c r="E391" s="373" t="s">
        <v>851</v>
      </c>
      <c r="F391" s="372">
        <v>1059600026</v>
      </c>
      <c r="G391" s="372"/>
    </row>
    <row r="392" spans="1:7" ht="30" x14ac:dyDescent="0.25">
      <c r="A392" s="369" t="s">
        <v>857</v>
      </c>
      <c r="B392" s="369" t="s">
        <v>1365</v>
      </c>
      <c r="C392" s="369" t="s">
        <v>949</v>
      </c>
      <c r="D392" s="369" t="s">
        <v>1366</v>
      </c>
      <c r="E392" s="370" t="s">
        <v>851</v>
      </c>
      <c r="F392" s="369">
        <v>1002953350</v>
      </c>
      <c r="G392" s="372"/>
    </row>
    <row r="393" spans="1:7" ht="30" x14ac:dyDescent="0.25">
      <c r="A393" s="372" t="s">
        <v>1368</v>
      </c>
      <c r="B393" s="372" t="s">
        <v>1369</v>
      </c>
      <c r="C393" s="372" t="s">
        <v>1370</v>
      </c>
      <c r="D393" s="372" t="s">
        <v>982</v>
      </c>
      <c r="E393" s="373" t="s">
        <v>851</v>
      </c>
      <c r="F393" s="372">
        <v>1059603417</v>
      </c>
      <c r="G393" s="372"/>
    </row>
    <row r="394" spans="1:7" ht="30" x14ac:dyDescent="0.25">
      <c r="A394" s="369" t="s">
        <v>1382</v>
      </c>
      <c r="B394" s="369" t="s">
        <v>1382</v>
      </c>
      <c r="C394" s="369" t="s">
        <v>1383</v>
      </c>
      <c r="D394" s="369"/>
      <c r="E394" s="370" t="s">
        <v>851</v>
      </c>
      <c r="F394" s="369">
        <v>1003371767</v>
      </c>
      <c r="G394" s="372"/>
    </row>
    <row r="395" spans="1:7" ht="30" x14ac:dyDescent="0.25">
      <c r="A395" s="372" t="s">
        <v>873</v>
      </c>
      <c r="B395" s="372" t="s">
        <v>1391</v>
      </c>
      <c r="C395" s="372" t="s">
        <v>985</v>
      </c>
      <c r="D395" s="372" t="s">
        <v>1392</v>
      </c>
      <c r="E395" s="373" t="s">
        <v>851</v>
      </c>
      <c r="F395" s="372">
        <v>25547491</v>
      </c>
      <c r="G395" s="372"/>
    </row>
    <row r="396" spans="1:7" ht="30" x14ac:dyDescent="0.25">
      <c r="A396" s="369" t="s">
        <v>979</v>
      </c>
      <c r="B396" s="369" t="s">
        <v>943</v>
      </c>
      <c r="C396" s="369" t="s">
        <v>1217</v>
      </c>
      <c r="D396" s="369" t="s">
        <v>1398</v>
      </c>
      <c r="E396" s="370" t="s">
        <v>851</v>
      </c>
      <c r="F396" s="369">
        <v>1002846528</v>
      </c>
      <c r="G396" s="372"/>
    </row>
    <row r="397" spans="1:7" ht="30" x14ac:dyDescent="0.25">
      <c r="A397" s="372" t="s">
        <v>873</v>
      </c>
      <c r="B397" s="372" t="s">
        <v>944</v>
      </c>
      <c r="C397" s="372" t="s">
        <v>1399</v>
      </c>
      <c r="D397" s="372" t="s">
        <v>1400</v>
      </c>
      <c r="E397" s="373" t="s">
        <v>851</v>
      </c>
      <c r="F397" s="372">
        <v>1002848796</v>
      </c>
      <c r="G397" s="372"/>
    </row>
    <row r="398" spans="1:7" ht="30" x14ac:dyDescent="0.25">
      <c r="A398" s="369" t="s">
        <v>1405</v>
      </c>
      <c r="B398" s="369" t="s">
        <v>884</v>
      </c>
      <c r="C398" s="369" t="s">
        <v>1406</v>
      </c>
      <c r="D398" s="369" t="s">
        <v>1407</v>
      </c>
      <c r="E398" s="370" t="s">
        <v>851</v>
      </c>
      <c r="F398" s="369">
        <v>1059601552</v>
      </c>
      <c r="G398" s="372"/>
    </row>
    <row r="399" spans="1:7" ht="30" x14ac:dyDescent="0.25">
      <c r="A399" s="372" t="s">
        <v>1034</v>
      </c>
      <c r="B399" s="372" t="s">
        <v>1166</v>
      </c>
      <c r="C399" s="372" t="s">
        <v>1408</v>
      </c>
      <c r="D399" s="372" t="s">
        <v>1409</v>
      </c>
      <c r="E399" s="373" t="s">
        <v>851</v>
      </c>
      <c r="F399" s="372">
        <v>1005860830</v>
      </c>
      <c r="G399" s="372"/>
    </row>
    <row r="400" spans="1:7" ht="30" x14ac:dyDescent="0.25">
      <c r="A400" s="369" t="s">
        <v>944</v>
      </c>
      <c r="B400" s="369" t="s">
        <v>943</v>
      </c>
      <c r="C400" s="369" t="s">
        <v>1421</v>
      </c>
      <c r="D400" s="369"/>
      <c r="E400" s="370" t="s">
        <v>851</v>
      </c>
      <c r="F400" s="369">
        <v>1002846330</v>
      </c>
      <c r="G400" s="372"/>
    </row>
    <row r="401" spans="1:7" ht="30" x14ac:dyDescent="0.25">
      <c r="A401" s="372" t="s">
        <v>848</v>
      </c>
      <c r="B401" s="372" t="s">
        <v>943</v>
      </c>
      <c r="C401" s="372" t="s">
        <v>1423</v>
      </c>
      <c r="D401" s="372"/>
      <c r="E401" s="373" t="s">
        <v>851</v>
      </c>
      <c r="F401" s="372">
        <v>1193097625</v>
      </c>
      <c r="G401" s="372"/>
    </row>
    <row r="402" spans="1:7" ht="30" x14ac:dyDescent="0.25">
      <c r="A402" s="369" t="s">
        <v>1427</v>
      </c>
      <c r="B402" s="369" t="s">
        <v>1428</v>
      </c>
      <c r="C402" s="369" t="s">
        <v>1429</v>
      </c>
      <c r="D402" s="369" t="s">
        <v>1430</v>
      </c>
      <c r="E402" s="370" t="s">
        <v>851</v>
      </c>
      <c r="F402" s="369">
        <v>1061528490</v>
      </c>
      <c r="G402" s="372"/>
    </row>
    <row r="403" spans="1:7" ht="30" x14ac:dyDescent="0.25">
      <c r="A403" s="372" t="s">
        <v>1144</v>
      </c>
      <c r="B403" s="372" t="s">
        <v>884</v>
      </c>
      <c r="C403" s="372" t="s">
        <v>1432</v>
      </c>
      <c r="D403" s="372" t="s">
        <v>1433</v>
      </c>
      <c r="E403" s="373" t="s">
        <v>1094</v>
      </c>
      <c r="F403" s="372">
        <v>1059596594</v>
      </c>
      <c r="G403" s="372"/>
    </row>
    <row r="404" spans="1:7" ht="30" x14ac:dyDescent="0.25">
      <c r="A404" s="369" t="s">
        <v>873</v>
      </c>
      <c r="B404" s="369" t="s">
        <v>1435</v>
      </c>
      <c r="C404" s="369" t="s">
        <v>1436</v>
      </c>
      <c r="D404" s="369" t="s">
        <v>1437</v>
      </c>
      <c r="E404" s="370" t="s">
        <v>851</v>
      </c>
      <c r="F404" s="369">
        <v>1059601742</v>
      </c>
      <c r="G404" s="372"/>
    </row>
    <row r="405" spans="1:7" ht="30" x14ac:dyDescent="0.25">
      <c r="A405" s="372" t="s">
        <v>1439</v>
      </c>
      <c r="B405" s="372" t="s">
        <v>884</v>
      </c>
      <c r="C405" s="372" t="s">
        <v>1440</v>
      </c>
      <c r="D405" s="372" t="s">
        <v>1294</v>
      </c>
      <c r="E405" s="373" t="s">
        <v>851</v>
      </c>
      <c r="F405" s="372">
        <v>1002847533</v>
      </c>
      <c r="G405" s="372"/>
    </row>
    <row r="406" spans="1:7" ht="30" x14ac:dyDescent="0.25">
      <c r="A406" s="369" t="s">
        <v>1441</v>
      </c>
      <c r="B406" s="369"/>
      <c r="C406" s="369" t="s">
        <v>1284</v>
      </c>
      <c r="D406" s="369" t="s">
        <v>1442</v>
      </c>
      <c r="E406" s="370" t="s">
        <v>851</v>
      </c>
      <c r="F406" s="369">
        <v>1002848635</v>
      </c>
      <c r="G406" s="372"/>
    </row>
    <row r="407" spans="1:7" ht="30" x14ac:dyDescent="0.25">
      <c r="A407" s="372" t="s">
        <v>1443</v>
      </c>
      <c r="B407" s="372" t="s">
        <v>1444</v>
      </c>
      <c r="C407" s="372" t="s">
        <v>1445</v>
      </c>
      <c r="D407" s="372"/>
      <c r="E407" s="373" t="s">
        <v>851</v>
      </c>
      <c r="F407" s="372">
        <v>1061757665</v>
      </c>
      <c r="G407" s="372"/>
    </row>
    <row r="408" spans="1:7" ht="30" x14ac:dyDescent="0.25">
      <c r="A408" s="369" t="s">
        <v>1179</v>
      </c>
      <c r="B408" s="369" t="s">
        <v>1435</v>
      </c>
      <c r="C408" s="369" t="s">
        <v>1448</v>
      </c>
      <c r="D408" s="369" t="s">
        <v>1294</v>
      </c>
      <c r="E408" s="370" t="s">
        <v>851</v>
      </c>
      <c r="F408" s="369">
        <v>1059594096</v>
      </c>
      <c r="G408" s="372"/>
    </row>
    <row r="409" spans="1:7" ht="30" x14ac:dyDescent="0.25">
      <c r="A409" s="372" t="s">
        <v>1455</v>
      </c>
      <c r="B409" s="372" t="s">
        <v>974</v>
      </c>
      <c r="C409" s="372" t="s">
        <v>1305</v>
      </c>
      <c r="D409" s="372" t="s">
        <v>1456</v>
      </c>
      <c r="E409" s="373" t="s">
        <v>1094</v>
      </c>
      <c r="F409" s="372">
        <v>1059595977</v>
      </c>
      <c r="G409" s="372"/>
    </row>
    <row r="410" spans="1:7" ht="30" x14ac:dyDescent="0.25">
      <c r="A410" s="369" t="s">
        <v>1441</v>
      </c>
      <c r="B410" s="369" t="s">
        <v>884</v>
      </c>
      <c r="C410" s="369" t="s">
        <v>1457</v>
      </c>
      <c r="D410" s="369"/>
      <c r="E410" s="370" t="s">
        <v>851</v>
      </c>
      <c r="F410" s="369">
        <v>25545401</v>
      </c>
      <c r="G410" s="372"/>
    </row>
    <row r="411" spans="1:7" ht="30" x14ac:dyDescent="0.25">
      <c r="A411" s="372" t="s">
        <v>1458</v>
      </c>
      <c r="B411" s="372" t="s">
        <v>1459</v>
      </c>
      <c r="C411" s="372" t="s">
        <v>1460</v>
      </c>
      <c r="D411" s="372" t="s">
        <v>976</v>
      </c>
      <c r="E411" s="373" t="s">
        <v>1094</v>
      </c>
      <c r="F411" s="372">
        <v>1062295885</v>
      </c>
      <c r="G411" s="372"/>
    </row>
    <row r="412" spans="1:7" ht="30" x14ac:dyDescent="0.25">
      <c r="A412" s="369" t="s">
        <v>944</v>
      </c>
      <c r="B412" s="369" t="s">
        <v>943</v>
      </c>
      <c r="C412" s="369" t="s">
        <v>1463</v>
      </c>
      <c r="D412" s="369" t="s">
        <v>1464</v>
      </c>
      <c r="E412" s="370" t="s">
        <v>1094</v>
      </c>
      <c r="F412" s="369">
        <v>1060186081</v>
      </c>
      <c r="G412" s="372"/>
    </row>
    <row r="413" spans="1:7" ht="30" x14ac:dyDescent="0.25">
      <c r="A413" s="372" t="s">
        <v>964</v>
      </c>
      <c r="B413" s="372" t="s">
        <v>1465</v>
      </c>
      <c r="C413" s="372" t="s">
        <v>1002</v>
      </c>
      <c r="D413" s="372" t="s">
        <v>1366</v>
      </c>
      <c r="E413" s="373" t="s">
        <v>1094</v>
      </c>
      <c r="F413" s="372">
        <v>1061530990</v>
      </c>
      <c r="G413" s="372"/>
    </row>
    <row r="414" spans="1:7" ht="30" x14ac:dyDescent="0.25">
      <c r="A414" s="369" t="s">
        <v>943</v>
      </c>
      <c r="B414" s="369" t="s">
        <v>1144</v>
      </c>
      <c r="C414" s="369" t="s">
        <v>1468</v>
      </c>
      <c r="D414" s="369" t="s">
        <v>1281</v>
      </c>
      <c r="E414" s="370" t="s">
        <v>851</v>
      </c>
      <c r="F414" s="369">
        <v>1059607505</v>
      </c>
      <c r="G414" s="372"/>
    </row>
    <row r="415" spans="1:7" ht="30" x14ac:dyDescent="0.25">
      <c r="A415" s="372" t="s">
        <v>914</v>
      </c>
      <c r="B415" s="372" t="s">
        <v>1276</v>
      </c>
      <c r="C415" s="372" t="s">
        <v>938</v>
      </c>
      <c r="D415" s="372" t="s">
        <v>1484</v>
      </c>
      <c r="E415" s="373" t="s">
        <v>851</v>
      </c>
      <c r="F415" s="372">
        <v>1002846249</v>
      </c>
      <c r="G415" s="372"/>
    </row>
    <row r="416" spans="1:7" ht="30" x14ac:dyDescent="0.25">
      <c r="A416" s="369" t="s">
        <v>914</v>
      </c>
      <c r="B416" s="369" t="s">
        <v>848</v>
      </c>
      <c r="C416" s="369" t="s">
        <v>1485</v>
      </c>
      <c r="D416" s="369" t="s">
        <v>1285</v>
      </c>
      <c r="E416" s="370" t="s">
        <v>851</v>
      </c>
      <c r="F416" s="369" t="s">
        <v>1486</v>
      </c>
      <c r="G416" s="372"/>
    </row>
    <row r="417" spans="1:7" ht="30" x14ac:dyDescent="0.25">
      <c r="A417" s="372" t="s">
        <v>992</v>
      </c>
      <c r="B417" s="372" t="s">
        <v>1498</v>
      </c>
      <c r="C417" s="372" t="s">
        <v>938</v>
      </c>
      <c r="D417" s="372" t="s">
        <v>1499</v>
      </c>
      <c r="E417" s="373" t="s">
        <v>851</v>
      </c>
      <c r="F417" s="372" t="s">
        <v>1500</v>
      </c>
      <c r="G417" s="372"/>
    </row>
    <row r="418" spans="1:7" ht="30" x14ac:dyDescent="0.25">
      <c r="A418" s="369" t="s">
        <v>1513</v>
      </c>
      <c r="B418" s="369" t="s">
        <v>1514</v>
      </c>
      <c r="C418" s="369" t="s">
        <v>1515</v>
      </c>
      <c r="D418" s="369"/>
      <c r="E418" s="370" t="s">
        <v>851</v>
      </c>
      <c r="F418" s="369">
        <v>1067461286</v>
      </c>
      <c r="G418" s="372"/>
    </row>
    <row r="419" spans="1:7" ht="30" x14ac:dyDescent="0.25">
      <c r="A419" s="372" t="s">
        <v>1519</v>
      </c>
      <c r="B419" s="372" t="s">
        <v>848</v>
      </c>
      <c r="C419" s="372" t="s">
        <v>1520</v>
      </c>
      <c r="D419" s="372" t="s">
        <v>1521</v>
      </c>
      <c r="E419" s="373" t="s">
        <v>851</v>
      </c>
      <c r="F419" s="372">
        <v>1002950269</v>
      </c>
      <c r="G419" s="372"/>
    </row>
    <row r="420" spans="1:7" ht="30" x14ac:dyDescent="0.25">
      <c r="A420" s="369" t="s">
        <v>884</v>
      </c>
      <c r="B420" s="369" t="s">
        <v>1524</v>
      </c>
      <c r="C420" s="369" t="s">
        <v>945</v>
      </c>
      <c r="D420" s="369" t="s">
        <v>919</v>
      </c>
      <c r="E420" s="370" t="s">
        <v>851</v>
      </c>
      <c r="F420" s="369">
        <v>1002970266</v>
      </c>
      <c r="G420" s="372"/>
    </row>
    <row r="421" spans="1:7" ht="30" x14ac:dyDescent="0.25">
      <c r="A421" s="372" t="s">
        <v>1361</v>
      </c>
      <c r="B421" s="372" t="s">
        <v>992</v>
      </c>
      <c r="C421" s="372" t="s">
        <v>1531</v>
      </c>
      <c r="D421" s="372"/>
      <c r="E421" s="373" t="s">
        <v>851</v>
      </c>
      <c r="F421" s="372">
        <v>1151452891</v>
      </c>
      <c r="G421" s="372"/>
    </row>
    <row r="422" spans="1:7" ht="30" x14ac:dyDescent="0.25">
      <c r="A422" s="369" t="s">
        <v>914</v>
      </c>
      <c r="B422" s="369" t="s">
        <v>1470</v>
      </c>
      <c r="C422" s="369" t="s">
        <v>1167</v>
      </c>
      <c r="D422" s="369" t="s">
        <v>1043</v>
      </c>
      <c r="E422" s="370" t="s">
        <v>851</v>
      </c>
      <c r="F422" s="369">
        <v>1193105051</v>
      </c>
      <c r="G422" s="372"/>
    </row>
    <row r="423" spans="1:7" ht="30" x14ac:dyDescent="0.25">
      <c r="A423" s="372" t="s">
        <v>1286</v>
      </c>
      <c r="B423" s="372" t="s">
        <v>980</v>
      </c>
      <c r="C423" s="372" t="s">
        <v>1528</v>
      </c>
      <c r="D423" s="372" t="s">
        <v>1281</v>
      </c>
      <c r="E423" s="373" t="s">
        <v>851</v>
      </c>
      <c r="F423" s="372">
        <v>1059596092</v>
      </c>
      <c r="G423" s="372"/>
    </row>
    <row r="424" spans="1:7" ht="30" x14ac:dyDescent="0.25">
      <c r="A424" s="369" t="s">
        <v>884</v>
      </c>
      <c r="B424" s="369" t="s">
        <v>1144</v>
      </c>
      <c r="C424" s="369" t="s">
        <v>1534</v>
      </c>
      <c r="D424" s="369"/>
      <c r="E424" s="370" t="s">
        <v>851</v>
      </c>
      <c r="F424" s="376">
        <v>1002846626</v>
      </c>
      <c r="G424" s="372"/>
    </row>
    <row r="425" spans="1:7" ht="30" x14ac:dyDescent="0.25">
      <c r="A425" s="372" t="s">
        <v>1246</v>
      </c>
      <c r="B425" s="372" t="s">
        <v>943</v>
      </c>
      <c r="C425" s="372" t="s">
        <v>1535</v>
      </c>
      <c r="D425" s="372"/>
      <c r="E425" s="373" t="s">
        <v>851</v>
      </c>
      <c r="F425" s="377">
        <v>1002848307</v>
      </c>
      <c r="G425" s="372"/>
    </row>
    <row r="426" spans="1:7" ht="30" x14ac:dyDescent="0.25">
      <c r="A426" s="369" t="s">
        <v>873</v>
      </c>
      <c r="B426" s="369" t="s">
        <v>1091</v>
      </c>
      <c r="C426" s="369" t="s">
        <v>1277</v>
      </c>
      <c r="D426" s="369"/>
      <c r="E426" s="370" t="s">
        <v>851</v>
      </c>
      <c r="F426" s="378">
        <v>1059598472</v>
      </c>
      <c r="G426" s="372"/>
    </row>
    <row r="427" spans="1:7" ht="30" x14ac:dyDescent="0.25">
      <c r="A427" s="372" t="s">
        <v>1540</v>
      </c>
      <c r="B427" s="372" t="s">
        <v>943</v>
      </c>
      <c r="C427" s="372" t="s">
        <v>1541</v>
      </c>
      <c r="D427" s="372" t="s">
        <v>1542</v>
      </c>
      <c r="E427" s="373" t="s">
        <v>851</v>
      </c>
      <c r="F427" s="379" t="s">
        <v>1539</v>
      </c>
      <c r="G427" s="372"/>
    </row>
    <row r="428" spans="1:7" x14ac:dyDescent="0.25">
      <c r="A428" s="369" t="s">
        <v>943</v>
      </c>
      <c r="B428" s="369" t="s">
        <v>848</v>
      </c>
      <c r="C428" s="369" t="s">
        <v>1553</v>
      </c>
      <c r="D428" s="369"/>
      <c r="E428" s="370"/>
      <c r="F428" s="369">
        <v>1059594153</v>
      </c>
      <c r="G428" s="372"/>
    </row>
    <row r="429" spans="1:7" ht="30" x14ac:dyDescent="0.25">
      <c r="A429" s="372" t="s">
        <v>953</v>
      </c>
      <c r="B429" s="372" t="s">
        <v>1249</v>
      </c>
      <c r="C429" s="372" t="s">
        <v>1556</v>
      </c>
      <c r="D429" s="372"/>
      <c r="E429" s="373" t="s">
        <v>1094</v>
      </c>
      <c r="F429" s="372">
        <v>1059599873</v>
      </c>
      <c r="G429" s="372"/>
    </row>
    <row r="430" spans="1:7" x14ac:dyDescent="0.25">
      <c r="A430" s="369" t="s">
        <v>896</v>
      </c>
      <c r="B430" s="369" t="s">
        <v>953</v>
      </c>
      <c r="C430" s="369" t="s">
        <v>1634</v>
      </c>
      <c r="D430" s="369"/>
      <c r="E430" s="370"/>
      <c r="F430" s="369">
        <v>1002848733</v>
      </c>
      <c r="G430" s="372"/>
    </row>
    <row r="431" spans="1:7" ht="30" x14ac:dyDescent="0.25">
      <c r="A431" s="372" t="s">
        <v>873</v>
      </c>
      <c r="B431" s="372" t="s">
        <v>874</v>
      </c>
      <c r="C431" s="372" t="s">
        <v>1215</v>
      </c>
      <c r="D431" s="372"/>
      <c r="E431" s="373" t="s">
        <v>851</v>
      </c>
      <c r="F431" s="372">
        <v>1002849181</v>
      </c>
      <c r="G431" s="372"/>
    </row>
    <row r="432" spans="1:7" ht="30" x14ac:dyDescent="0.25">
      <c r="A432" s="369" t="s">
        <v>953</v>
      </c>
      <c r="B432" s="369" t="s">
        <v>1286</v>
      </c>
      <c r="C432" s="369" t="s">
        <v>1463</v>
      </c>
      <c r="D432" s="369" t="s">
        <v>1579</v>
      </c>
      <c r="E432" s="370" t="s">
        <v>851</v>
      </c>
      <c r="F432" s="382" t="s">
        <v>1578</v>
      </c>
      <c r="G432" s="372"/>
    </row>
    <row r="433" spans="1:7" ht="30" x14ac:dyDescent="0.25">
      <c r="A433" s="372" t="s">
        <v>884</v>
      </c>
      <c r="B433" s="372" t="s">
        <v>1286</v>
      </c>
      <c r="C433" s="372" t="s">
        <v>1452</v>
      </c>
      <c r="D433" s="372"/>
      <c r="E433" s="373" t="s">
        <v>851</v>
      </c>
      <c r="F433" s="372">
        <v>25546688</v>
      </c>
      <c r="G433" s="372"/>
    </row>
    <row r="434" spans="1:7" ht="30" x14ac:dyDescent="0.25">
      <c r="A434" s="369" t="s">
        <v>1637</v>
      </c>
      <c r="B434" s="369" t="s">
        <v>1638</v>
      </c>
      <c r="C434" s="369" t="s">
        <v>1028</v>
      </c>
      <c r="D434" s="369"/>
      <c r="E434" s="370" t="s">
        <v>851</v>
      </c>
      <c r="F434" s="381">
        <v>1060986729</v>
      </c>
      <c r="G434" s="372"/>
    </row>
    <row r="435" spans="1:7" ht="30" x14ac:dyDescent="0.25">
      <c r="A435" s="372" t="s">
        <v>1210</v>
      </c>
      <c r="B435" s="372" t="s">
        <v>848</v>
      </c>
      <c r="C435" s="372" t="s">
        <v>1670</v>
      </c>
      <c r="D435" s="372" t="s">
        <v>1671</v>
      </c>
      <c r="E435" s="373" t="s">
        <v>851</v>
      </c>
      <c r="F435" s="372">
        <v>1059602883</v>
      </c>
      <c r="G435" s="372"/>
    </row>
    <row r="436" spans="1:7" ht="30" x14ac:dyDescent="0.25">
      <c r="A436" s="369" t="s">
        <v>1677</v>
      </c>
      <c r="B436" s="369" t="s">
        <v>962</v>
      </c>
      <c r="C436" s="369" t="s">
        <v>1678</v>
      </c>
      <c r="D436" s="369" t="s">
        <v>1679</v>
      </c>
      <c r="E436" s="370" t="s">
        <v>1094</v>
      </c>
      <c r="F436" s="385" t="s">
        <v>1676</v>
      </c>
      <c r="G436" s="372"/>
    </row>
    <row r="437" spans="1:7" x14ac:dyDescent="0.25">
      <c r="A437" s="420" t="s">
        <v>1697</v>
      </c>
      <c r="B437" s="420"/>
      <c r="C437" s="420"/>
      <c r="D437" s="420"/>
      <c r="E437" s="420"/>
      <c r="F437" s="420"/>
      <c r="G437" s="372"/>
    </row>
    <row r="438" spans="1:7" ht="30" x14ac:dyDescent="0.25">
      <c r="A438" s="369" t="s">
        <v>914</v>
      </c>
      <c r="B438" s="369" t="s">
        <v>915</v>
      </c>
      <c r="C438" s="369" t="s">
        <v>916</v>
      </c>
      <c r="D438" s="369"/>
      <c r="E438" s="370" t="s">
        <v>1094</v>
      </c>
      <c r="F438" s="369">
        <v>1059598169</v>
      </c>
      <c r="G438" s="372"/>
    </row>
    <row r="439" spans="1:7" ht="30" x14ac:dyDescent="0.25">
      <c r="A439" s="372" t="s">
        <v>857</v>
      </c>
      <c r="B439" s="372" t="s">
        <v>1365</v>
      </c>
      <c r="C439" s="372" t="s">
        <v>949</v>
      </c>
      <c r="D439" s="372" t="s">
        <v>1366</v>
      </c>
      <c r="E439" s="373" t="s">
        <v>851</v>
      </c>
      <c r="F439" s="372">
        <v>1002953350</v>
      </c>
      <c r="G439" s="372"/>
    </row>
    <row r="440" spans="1:7" ht="30" x14ac:dyDescent="0.25">
      <c r="A440" s="369" t="s">
        <v>1368</v>
      </c>
      <c r="B440" s="369" t="s">
        <v>1369</v>
      </c>
      <c r="C440" s="369" t="s">
        <v>1370</v>
      </c>
      <c r="D440" s="369" t="s">
        <v>982</v>
      </c>
      <c r="E440" s="370" t="s">
        <v>851</v>
      </c>
      <c r="F440" s="369">
        <v>1059603417</v>
      </c>
      <c r="G440" s="372"/>
    </row>
    <row r="441" spans="1:7" ht="30" x14ac:dyDescent="0.25">
      <c r="A441" s="372" t="s">
        <v>1441</v>
      </c>
      <c r="B441" s="372" t="s">
        <v>914</v>
      </c>
      <c r="C441" s="372" t="s">
        <v>1451</v>
      </c>
      <c r="D441" s="372"/>
      <c r="E441" s="373" t="s">
        <v>851</v>
      </c>
      <c r="F441" s="372">
        <v>1059598007</v>
      </c>
      <c r="G441" s="372"/>
    </row>
    <row r="442" spans="1:7" ht="30" x14ac:dyDescent="0.25">
      <c r="A442" s="369" t="s">
        <v>896</v>
      </c>
      <c r="B442" s="369" t="s">
        <v>943</v>
      </c>
      <c r="C442" s="369" t="s">
        <v>1452</v>
      </c>
      <c r="D442" s="369" t="s">
        <v>1372</v>
      </c>
      <c r="E442" s="370" t="s">
        <v>851</v>
      </c>
      <c r="F442" s="369">
        <v>1059599315</v>
      </c>
      <c r="G442" s="372"/>
    </row>
    <row r="443" spans="1:7" ht="30" x14ac:dyDescent="0.25">
      <c r="A443" s="372" t="s">
        <v>943</v>
      </c>
      <c r="B443" s="372" t="s">
        <v>1144</v>
      </c>
      <c r="C443" s="372" t="s">
        <v>1468</v>
      </c>
      <c r="D443" s="372" t="s">
        <v>1281</v>
      </c>
      <c r="E443" s="373" t="s">
        <v>851</v>
      </c>
      <c r="F443" s="372">
        <v>1059607505</v>
      </c>
      <c r="G443" s="372"/>
    </row>
    <row r="444" spans="1:7" ht="30" x14ac:dyDescent="0.25">
      <c r="A444" s="369" t="s">
        <v>1513</v>
      </c>
      <c r="B444" s="369" t="s">
        <v>1514</v>
      </c>
      <c r="C444" s="369" t="s">
        <v>1515</v>
      </c>
      <c r="D444" s="369"/>
      <c r="E444" s="370" t="s">
        <v>851</v>
      </c>
      <c r="F444" s="369">
        <v>1067461286</v>
      </c>
      <c r="G444" s="372"/>
    </row>
    <row r="445" spans="1:7" ht="30" x14ac:dyDescent="0.25">
      <c r="A445" s="372" t="s">
        <v>884</v>
      </c>
      <c r="B445" s="372" t="s">
        <v>1144</v>
      </c>
      <c r="C445" s="372" t="s">
        <v>1534</v>
      </c>
      <c r="D445" s="372"/>
      <c r="E445" s="373" t="s">
        <v>851</v>
      </c>
      <c r="F445" s="377">
        <v>1002846626</v>
      </c>
      <c r="G445" s="372"/>
    </row>
    <row r="446" spans="1:7" ht="30" x14ac:dyDescent="0.25">
      <c r="A446" s="369" t="s">
        <v>873</v>
      </c>
      <c r="B446" s="369" t="s">
        <v>1091</v>
      </c>
      <c r="C446" s="369" t="s">
        <v>1277</v>
      </c>
      <c r="D446" s="369"/>
      <c r="E446" s="370" t="s">
        <v>851</v>
      </c>
      <c r="F446" s="378">
        <v>1059598472</v>
      </c>
      <c r="G446" s="372"/>
    </row>
    <row r="447" spans="1:7" ht="30" x14ac:dyDescent="0.25">
      <c r="A447" s="372" t="s">
        <v>1549</v>
      </c>
      <c r="B447" s="372" t="s">
        <v>1298</v>
      </c>
      <c r="C447" s="372" t="s">
        <v>1550</v>
      </c>
      <c r="D447" s="372" t="s">
        <v>1551</v>
      </c>
      <c r="E447" s="373" t="s">
        <v>851</v>
      </c>
      <c r="F447" s="380" t="s">
        <v>1548</v>
      </c>
      <c r="G447" s="372"/>
    </row>
    <row r="448" spans="1:7" ht="30" x14ac:dyDescent="0.25">
      <c r="A448" s="369" t="s">
        <v>896</v>
      </c>
      <c r="B448" s="369" t="s">
        <v>915</v>
      </c>
      <c r="C448" s="369" t="s">
        <v>1585</v>
      </c>
      <c r="D448" s="369"/>
      <c r="E448" s="370" t="s">
        <v>851</v>
      </c>
      <c r="F448" s="369">
        <v>1059595460</v>
      </c>
      <c r="G448" s="372"/>
    </row>
    <row r="449" spans="1:7" ht="30" x14ac:dyDescent="0.25">
      <c r="A449" s="372" t="s">
        <v>1156</v>
      </c>
      <c r="B449" s="372" t="s">
        <v>884</v>
      </c>
      <c r="C449" s="372" t="s">
        <v>1481</v>
      </c>
      <c r="D449" s="372" t="s">
        <v>1482</v>
      </c>
      <c r="E449" s="373" t="s">
        <v>851</v>
      </c>
      <c r="F449" s="380" t="s">
        <v>1483</v>
      </c>
      <c r="G449" s="372"/>
    </row>
    <row r="450" spans="1:7" ht="30" x14ac:dyDescent="0.25">
      <c r="A450" s="369" t="s">
        <v>1580</v>
      </c>
      <c r="B450" s="369" t="s">
        <v>914</v>
      </c>
      <c r="C450" s="369" t="s">
        <v>1581</v>
      </c>
      <c r="D450" s="369" t="s">
        <v>1464</v>
      </c>
      <c r="E450" s="370" t="s">
        <v>851</v>
      </c>
      <c r="F450" s="382">
        <v>1002846447</v>
      </c>
      <c r="G450" s="372"/>
    </row>
    <row r="451" spans="1:7" ht="30" x14ac:dyDescent="0.25">
      <c r="A451" s="372" t="s">
        <v>1590</v>
      </c>
      <c r="B451" s="372" t="s">
        <v>874</v>
      </c>
      <c r="C451" s="372" t="s">
        <v>1591</v>
      </c>
      <c r="D451" s="372"/>
      <c r="E451" s="373" t="s">
        <v>851</v>
      </c>
      <c r="F451" s="379" t="s">
        <v>1589</v>
      </c>
      <c r="G451" s="372"/>
    </row>
    <row r="452" spans="1:7" ht="30" x14ac:dyDescent="0.25">
      <c r="A452" s="369" t="s">
        <v>896</v>
      </c>
      <c r="B452" s="369" t="s">
        <v>992</v>
      </c>
      <c r="C452" s="369" t="s">
        <v>1530</v>
      </c>
      <c r="D452" s="369" t="s">
        <v>1357</v>
      </c>
      <c r="E452" s="370" t="s">
        <v>851</v>
      </c>
      <c r="F452" s="369">
        <v>1002847645</v>
      </c>
      <c r="G452" s="372"/>
    </row>
    <row r="453" spans="1:7" ht="30" x14ac:dyDescent="0.25">
      <c r="A453" s="372" t="s">
        <v>980</v>
      </c>
      <c r="B453" s="372" t="s">
        <v>914</v>
      </c>
      <c r="C453" s="372" t="s">
        <v>1623</v>
      </c>
      <c r="D453" s="372"/>
      <c r="E453" s="373" t="s">
        <v>851</v>
      </c>
      <c r="F453" s="372">
        <v>1059596737</v>
      </c>
      <c r="G453" s="372"/>
    </row>
    <row r="454" spans="1:7" ht="30" x14ac:dyDescent="0.25">
      <c r="A454" s="369" t="s">
        <v>1629</v>
      </c>
      <c r="B454" s="369" t="s">
        <v>1249</v>
      </c>
      <c r="C454" s="369" t="s">
        <v>1630</v>
      </c>
      <c r="D454" s="369"/>
      <c r="E454" s="370" t="s">
        <v>851</v>
      </c>
      <c r="F454" s="369">
        <v>1059601748</v>
      </c>
      <c r="G454" s="372"/>
    </row>
    <row r="455" spans="1:7" ht="30" x14ac:dyDescent="0.25">
      <c r="A455" s="372" t="s">
        <v>953</v>
      </c>
      <c r="B455" s="372" t="s">
        <v>1660</v>
      </c>
      <c r="C455" s="372" t="s">
        <v>1217</v>
      </c>
      <c r="D455" s="372" t="s">
        <v>1661</v>
      </c>
      <c r="E455" s="373" t="s">
        <v>851</v>
      </c>
      <c r="F455" s="372">
        <v>1002848134</v>
      </c>
      <c r="G455" s="372"/>
    </row>
    <row r="456" spans="1:7" ht="30" x14ac:dyDescent="0.25">
      <c r="A456" s="369" t="s">
        <v>848</v>
      </c>
      <c r="B456" s="369" t="s">
        <v>1034</v>
      </c>
      <c r="C456" s="369" t="s">
        <v>1612</v>
      </c>
      <c r="D456" s="369" t="s">
        <v>1662</v>
      </c>
      <c r="E456" s="370" t="s">
        <v>851</v>
      </c>
      <c r="F456" s="369">
        <v>1059601726</v>
      </c>
      <c r="G456" s="372"/>
    </row>
    <row r="457" spans="1:7" ht="30" x14ac:dyDescent="0.25">
      <c r="A457" s="372" t="s">
        <v>1663</v>
      </c>
      <c r="B457" s="372" t="s">
        <v>1664</v>
      </c>
      <c r="C457" s="372" t="s">
        <v>938</v>
      </c>
      <c r="D457" s="372" t="s">
        <v>1665</v>
      </c>
      <c r="E457" s="373" t="s">
        <v>851</v>
      </c>
      <c r="F457" s="372">
        <v>1059601634</v>
      </c>
      <c r="G457" s="372"/>
    </row>
    <row r="458" spans="1:7" ht="30" x14ac:dyDescent="0.25">
      <c r="A458" s="369" t="s">
        <v>1667</v>
      </c>
      <c r="B458" s="369" t="s">
        <v>1668</v>
      </c>
      <c r="C458" s="369" t="s">
        <v>1669</v>
      </c>
      <c r="D458" s="369"/>
      <c r="E458" s="370" t="s">
        <v>851</v>
      </c>
      <c r="F458" s="369">
        <v>1064426895</v>
      </c>
      <c r="G458" s="372"/>
    </row>
    <row r="459" spans="1:7" ht="30" x14ac:dyDescent="0.25">
      <c r="A459" s="372" t="s">
        <v>1210</v>
      </c>
      <c r="B459" s="372" t="s">
        <v>848</v>
      </c>
      <c r="C459" s="372" t="s">
        <v>1670</v>
      </c>
      <c r="D459" s="372" t="s">
        <v>1671</v>
      </c>
      <c r="E459" s="373" t="s">
        <v>851</v>
      </c>
      <c r="F459" s="372">
        <v>1059602883</v>
      </c>
      <c r="G459" s="372"/>
    </row>
    <row r="460" spans="1:7" ht="30" x14ac:dyDescent="0.25">
      <c r="A460" s="369" t="s">
        <v>943</v>
      </c>
      <c r="B460" s="369" t="s">
        <v>848</v>
      </c>
      <c r="C460" s="369" t="s">
        <v>1673</v>
      </c>
      <c r="D460" s="369" t="s">
        <v>1674</v>
      </c>
      <c r="E460" s="370" t="s">
        <v>851</v>
      </c>
      <c r="F460" s="391" t="s">
        <v>1672</v>
      </c>
      <c r="G460" s="372"/>
    </row>
    <row r="461" spans="1:7" ht="30" x14ac:dyDescent="0.25">
      <c r="A461" s="372" t="s">
        <v>1677</v>
      </c>
      <c r="B461" s="372" t="s">
        <v>962</v>
      </c>
      <c r="C461" s="372" t="s">
        <v>1678</v>
      </c>
      <c r="D461" s="372" t="s">
        <v>1679</v>
      </c>
      <c r="E461" s="373" t="s">
        <v>1094</v>
      </c>
      <c r="F461" s="386" t="s">
        <v>1676</v>
      </c>
      <c r="G461" s="372"/>
    </row>
    <row r="462" spans="1:7" ht="30" x14ac:dyDescent="0.25">
      <c r="A462" s="369" t="s">
        <v>1286</v>
      </c>
      <c r="B462" s="369" t="s">
        <v>943</v>
      </c>
      <c r="C462" s="369" t="s">
        <v>1681</v>
      </c>
      <c r="D462" s="369"/>
      <c r="E462" s="370" t="s">
        <v>851</v>
      </c>
      <c r="F462" s="385" t="s">
        <v>1680</v>
      </c>
      <c r="G462" s="372"/>
    </row>
    <row r="463" spans="1:7" ht="30" x14ac:dyDescent="0.25">
      <c r="A463" s="372" t="s">
        <v>848</v>
      </c>
      <c r="B463" s="372" t="s">
        <v>914</v>
      </c>
      <c r="C463" s="372" t="s">
        <v>1683</v>
      </c>
      <c r="D463" s="372"/>
      <c r="E463" s="373" t="s">
        <v>851</v>
      </c>
      <c r="F463" s="386" t="s">
        <v>1682</v>
      </c>
      <c r="G463" s="372"/>
    </row>
    <row r="464" spans="1:7" x14ac:dyDescent="0.25">
      <c r="A464" s="420" t="s">
        <v>1698</v>
      </c>
      <c r="B464" s="420"/>
      <c r="C464" s="420"/>
      <c r="D464" s="420"/>
      <c r="E464" s="420"/>
      <c r="F464" s="420"/>
      <c r="G464" s="372"/>
    </row>
    <row r="465" spans="1:7" ht="45" x14ac:dyDescent="0.25">
      <c r="A465" s="367" t="s">
        <v>94</v>
      </c>
      <c r="B465" s="367" t="s">
        <v>21</v>
      </c>
      <c r="C465" s="367" t="s">
        <v>0</v>
      </c>
      <c r="D465" s="367" t="s">
        <v>1</v>
      </c>
      <c r="E465" s="367" t="s">
        <v>2</v>
      </c>
      <c r="F465" s="367" t="s">
        <v>3</v>
      </c>
      <c r="G465" s="372"/>
    </row>
    <row r="466" spans="1:7" x14ac:dyDescent="0.25">
      <c r="A466" s="345"/>
      <c r="B466" s="345"/>
      <c r="C466" s="345"/>
      <c r="D466" s="345"/>
      <c r="E466" s="346"/>
      <c r="F466" s="347"/>
      <c r="G466" s="43"/>
    </row>
    <row r="467" spans="1:7" ht="30" x14ac:dyDescent="0.25">
      <c r="A467" s="43" t="s">
        <v>914</v>
      </c>
      <c r="B467" s="43" t="s">
        <v>884</v>
      </c>
      <c r="C467" s="43" t="s">
        <v>1296</v>
      </c>
      <c r="D467" s="43" t="s">
        <v>850</v>
      </c>
      <c r="E467" s="109" t="s">
        <v>851</v>
      </c>
      <c r="F467" s="110">
        <v>1060186045</v>
      </c>
      <c r="G467" s="43"/>
    </row>
    <row r="468" spans="1:7" ht="30" x14ac:dyDescent="0.25">
      <c r="A468" s="345" t="s">
        <v>953</v>
      </c>
      <c r="B468" s="345" t="s">
        <v>1316</v>
      </c>
      <c r="C468" s="345" t="s">
        <v>1317</v>
      </c>
      <c r="D468" s="345" t="s">
        <v>1028</v>
      </c>
      <c r="E468" s="346" t="s">
        <v>851</v>
      </c>
      <c r="F468" s="347">
        <v>1059594373</v>
      </c>
      <c r="G468" s="43"/>
    </row>
    <row r="469" spans="1:7" ht="30" x14ac:dyDescent="0.25">
      <c r="A469" s="43" t="s">
        <v>1332</v>
      </c>
      <c r="B469" s="43" t="s">
        <v>1091</v>
      </c>
      <c r="C469" s="43" t="s">
        <v>1333</v>
      </c>
      <c r="D469" s="43"/>
      <c r="E469" s="109" t="s">
        <v>1094</v>
      </c>
      <c r="F469" s="110">
        <v>1059595374</v>
      </c>
      <c r="G469" s="43"/>
    </row>
    <row r="470" spans="1:7" ht="30" x14ac:dyDescent="0.25">
      <c r="A470" s="345" t="s">
        <v>914</v>
      </c>
      <c r="B470" s="345" t="s">
        <v>915</v>
      </c>
      <c r="C470" s="345" t="s">
        <v>916</v>
      </c>
      <c r="D470" s="345"/>
      <c r="E470" s="346" t="s">
        <v>1094</v>
      </c>
      <c r="F470" s="347">
        <v>1059598169</v>
      </c>
      <c r="G470" s="43"/>
    </row>
    <row r="471" spans="1:7" ht="30" x14ac:dyDescent="0.25">
      <c r="A471" s="43" t="s">
        <v>857</v>
      </c>
      <c r="B471" s="43" t="s">
        <v>1365</v>
      </c>
      <c r="C471" s="43" t="s">
        <v>949</v>
      </c>
      <c r="D471" s="43" t="s">
        <v>1366</v>
      </c>
      <c r="E471" s="109" t="s">
        <v>851</v>
      </c>
      <c r="F471" s="110">
        <v>1002953350</v>
      </c>
      <c r="G471" s="43"/>
    </row>
    <row r="472" spans="1:7" ht="30" x14ac:dyDescent="0.25">
      <c r="A472" s="345" t="s">
        <v>1382</v>
      </c>
      <c r="B472" s="345" t="s">
        <v>1382</v>
      </c>
      <c r="C472" s="345" t="s">
        <v>1383</v>
      </c>
      <c r="D472" s="345"/>
      <c r="E472" s="346" t="s">
        <v>851</v>
      </c>
      <c r="F472" s="347">
        <v>1003371767</v>
      </c>
      <c r="G472" s="43"/>
    </row>
    <row r="473" spans="1:7" ht="30" x14ac:dyDescent="0.25">
      <c r="A473" s="43" t="s">
        <v>873</v>
      </c>
      <c r="B473" s="43" t="s">
        <v>944</v>
      </c>
      <c r="C473" s="43" t="s">
        <v>1399</v>
      </c>
      <c r="D473" s="43" t="s">
        <v>1400</v>
      </c>
      <c r="E473" s="109" t="s">
        <v>851</v>
      </c>
      <c r="F473" s="110">
        <v>1002848796</v>
      </c>
      <c r="G473" s="43"/>
    </row>
    <row r="474" spans="1:7" ht="30" x14ac:dyDescent="0.25">
      <c r="A474" s="345" t="s">
        <v>1034</v>
      </c>
      <c r="B474" s="345" t="s">
        <v>1166</v>
      </c>
      <c r="C474" s="345" t="s">
        <v>1408</v>
      </c>
      <c r="D474" s="345" t="s">
        <v>1409</v>
      </c>
      <c r="E474" s="346" t="s">
        <v>851</v>
      </c>
      <c r="F474" s="347">
        <v>1005860830</v>
      </c>
      <c r="G474" s="43"/>
    </row>
    <row r="475" spans="1:7" ht="30" x14ac:dyDescent="0.25">
      <c r="A475" s="43" t="s">
        <v>944</v>
      </c>
      <c r="B475" s="43" t="s">
        <v>943</v>
      </c>
      <c r="C475" s="43" t="s">
        <v>1421</v>
      </c>
      <c r="D475" s="43"/>
      <c r="E475" s="109" t="s">
        <v>851</v>
      </c>
      <c r="F475" s="110">
        <v>1002846330</v>
      </c>
      <c r="G475" s="43"/>
    </row>
    <row r="476" spans="1:7" ht="30" x14ac:dyDescent="0.25">
      <c r="A476" s="345" t="s">
        <v>1441</v>
      </c>
      <c r="B476" s="345" t="s">
        <v>914</v>
      </c>
      <c r="C476" s="345" t="s">
        <v>1451</v>
      </c>
      <c r="D476" s="345"/>
      <c r="E476" s="346" t="s">
        <v>851</v>
      </c>
      <c r="F476" s="347">
        <v>1059598007</v>
      </c>
      <c r="G476" s="43"/>
    </row>
    <row r="477" spans="1:7" ht="30" x14ac:dyDescent="0.25">
      <c r="A477" s="43" t="s">
        <v>943</v>
      </c>
      <c r="B477" s="43" t="s">
        <v>1144</v>
      </c>
      <c r="C477" s="43" t="s">
        <v>1468</v>
      </c>
      <c r="D477" s="43" t="s">
        <v>1281</v>
      </c>
      <c r="E477" s="109" t="s">
        <v>851</v>
      </c>
      <c r="F477" s="110">
        <v>1059607505</v>
      </c>
      <c r="G477" s="43"/>
    </row>
    <row r="478" spans="1:7" ht="30" x14ac:dyDescent="0.25">
      <c r="A478" s="345" t="s">
        <v>1513</v>
      </c>
      <c r="B478" s="345" t="s">
        <v>1514</v>
      </c>
      <c r="C478" s="345" t="s">
        <v>1515</v>
      </c>
      <c r="D478" s="345"/>
      <c r="E478" s="346" t="s">
        <v>851</v>
      </c>
      <c r="F478" s="347">
        <v>1067461286</v>
      </c>
      <c r="G478" s="43"/>
    </row>
    <row r="479" spans="1:7" ht="30" x14ac:dyDescent="0.25">
      <c r="A479" s="43" t="s">
        <v>884</v>
      </c>
      <c r="B479" s="43" t="s">
        <v>1144</v>
      </c>
      <c r="C479" s="43" t="s">
        <v>1534</v>
      </c>
      <c r="D479" s="43"/>
      <c r="E479" s="109" t="s">
        <v>851</v>
      </c>
      <c r="F479" s="354">
        <v>1002846626</v>
      </c>
      <c r="G479" s="43"/>
    </row>
    <row r="480" spans="1:7" ht="30" x14ac:dyDescent="0.25">
      <c r="A480" s="345" t="s">
        <v>1246</v>
      </c>
      <c r="B480" s="345" t="s">
        <v>943</v>
      </c>
      <c r="C480" s="345" t="s">
        <v>1535</v>
      </c>
      <c r="D480" s="345"/>
      <c r="E480" s="346" t="s">
        <v>851</v>
      </c>
      <c r="F480" s="353">
        <v>1002848307</v>
      </c>
      <c r="G480" s="43"/>
    </row>
    <row r="481" spans="1:7" ht="30" x14ac:dyDescent="0.25">
      <c r="A481" s="43" t="s">
        <v>873</v>
      </c>
      <c r="B481" s="43" t="s">
        <v>1091</v>
      </c>
      <c r="C481" s="43" t="s">
        <v>1277</v>
      </c>
      <c r="D481" s="43"/>
      <c r="E481" s="109" t="s">
        <v>851</v>
      </c>
      <c r="F481" s="365">
        <v>1059598472</v>
      </c>
      <c r="G481" s="43"/>
    </row>
    <row r="482" spans="1:7" ht="30" x14ac:dyDescent="0.25">
      <c r="A482" s="345" t="s">
        <v>1549</v>
      </c>
      <c r="B482" s="345" t="s">
        <v>1298</v>
      </c>
      <c r="C482" s="345" t="s">
        <v>1550</v>
      </c>
      <c r="D482" s="345" t="s">
        <v>1551</v>
      </c>
      <c r="E482" s="346" t="s">
        <v>851</v>
      </c>
      <c r="F482" s="358" t="s">
        <v>1548</v>
      </c>
      <c r="G482" s="43"/>
    </row>
    <row r="483" spans="1:7" ht="30" x14ac:dyDescent="0.25">
      <c r="A483" s="43" t="s">
        <v>943</v>
      </c>
      <c r="B483" s="43" t="s">
        <v>1144</v>
      </c>
      <c r="C483" s="43" t="s">
        <v>1504</v>
      </c>
      <c r="D483" s="43" t="s">
        <v>1281</v>
      </c>
      <c r="E483" s="109" t="s">
        <v>1094</v>
      </c>
      <c r="F483" s="110">
        <v>1059599329</v>
      </c>
      <c r="G483" s="43"/>
    </row>
    <row r="484" spans="1:7" ht="30" x14ac:dyDescent="0.25">
      <c r="A484" s="345" t="s">
        <v>1580</v>
      </c>
      <c r="B484" s="345" t="s">
        <v>914</v>
      </c>
      <c r="C484" s="345" t="s">
        <v>1581</v>
      </c>
      <c r="D484" s="345" t="s">
        <v>1464</v>
      </c>
      <c r="E484" s="346" t="s">
        <v>851</v>
      </c>
      <c r="F484" s="359">
        <v>1002846447</v>
      </c>
      <c r="G484" s="43"/>
    </row>
    <row r="485" spans="1:7" ht="30" x14ac:dyDescent="0.25">
      <c r="A485" s="43" t="s">
        <v>1583</v>
      </c>
      <c r="B485" s="43" t="s">
        <v>873</v>
      </c>
      <c r="C485" s="43" t="s">
        <v>1584</v>
      </c>
      <c r="D485" s="43"/>
      <c r="E485" s="109" t="s">
        <v>851</v>
      </c>
      <c r="F485" s="356" t="s">
        <v>1582</v>
      </c>
      <c r="G485" s="43"/>
    </row>
    <row r="486" spans="1:7" ht="30" x14ac:dyDescent="0.25">
      <c r="A486" s="345" t="s">
        <v>1322</v>
      </c>
      <c r="B486" s="345" t="s">
        <v>1378</v>
      </c>
      <c r="C486" s="345" t="s">
        <v>1587</v>
      </c>
      <c r="D486" s="345"/>
      <c r="E486" s="346" t="s">
        <v>851</v>
      </c>
      <c r="F486" s="359" t="s">
        <v>1586</v>
      </c>
      <c r="G486" s="43"/>
    </row>
    <row r="487" spans="1:7" ht="30" x14ac:dyDescent="0.25">
      <c r="A487" s="43" t="s">
        <v>1590</v>
      </c>
      <c r="B487" s="43" t="s">
        <v>874</v>
      </c>
      <c r="C487" s="43" t="s">
        <v>1591</v>
      </c>
      <c r="D487" s="43"/>
      <c r="E487" s="109" t="s">
        <v>851</v>
      </c>
      <c r="F487" s="356" t="s">
        <v>1589</v>
      </c>
      <c r="G487" s="43"/>
    </row>
    <row r="488" spans="1:7" ht="30" x14ac:dyDescent="0.25">
      <c r="A488" s="345" t="s">
        <v>1286</v>
      </c>
      <c r="B488" s="345" t="s">
        <v>1594</v>
      </c>
      <c r="C488" s="345" t="s">
        <v>1420</v>
      </c>
      <c r="D488" s="345"/>
      <c r="E488" s="346" t="s">
        <v>1094</v>
      </c>
      <c r="F488" s="359" t="s">
        <v>1593</v>
      </c>
      <c r="G488" s="43"/>
    </row>
    <row r="489" spans="1:7" ht="30" x14ac:dyDescent="0.25">
      <c r="A489" s="43" t="s">
        <v>896</v>
      </c>
      <c r="B489" s="43" t="s">
        <v>992</v>
      </c>
      <c r="C489" s="43" t="s">
        <v>1530</v>
      </c>
      <c r="D489" s="43" t="s">
        <v>1357</v>
      </c>
      <c r="E489" s="109" t="s">
        <v>851</v>
      </c>
      <c r="F489" s="110">
        <v>1002847645</v>
      </c>
      <c r="G489" s="43"/>
    </row>
    <row r="490" spans="1:7" ht="30" x14ac:dyDescent="0.25">
      <c r="A490" s="345" t="s">
        <v>980</v>
      </c>
      <c r="B490" s="345" t="s">
        <v>914</v>
      </c>
      <c r="C490" s="345" t="s">
        <v>1623</v>
      </c>
      <c r="D490" s="345"/>
      <c r="E490" s="346" t="s">
        <v>851</v>
      </c>
      <c r="F490" s="347">
        <v>1059596737</v>
      </c>
      <c r="G490" s="43"/>
    </row>
    <row r="491" spans="1:7" ht="30" x14ac:dyDescent="0.25">
      <c r="A491" s="43" t="s">
        <v>1629</v>
      </c>
      <c r="B491" s="43" t="s">
        <v>1249</v>
      </c>
      <c r="C491" s="43" t="s">
        <v>1630</v>
      </c>
      <c r="D491" s="43"/>
      <c r="E491" s="109" t="s">
        <v>851</v>
      </c>
      <c r="F491" s="43">
        <v>1059601748</v>
      </c>
      <c r="G491" s="43"/>
    </row>
    <row r="492" spans="1:7" ht="30" x14ac:dyDescent="0.25">
      <c r="A492" s="345" t="s">
        <v>1637</v>
      </c>
      <c r="B492" s="345" t="s">
        <v>1638</v>
      </c>
      <c r="C492" s="345" t="s">
        <v>1028</v>
      </c>
      <c r="D492" s="345"/>
      <c r="E492" s="346" t="s">
        <v>851</v>
      </c>
      <c r="F492" s="358">
        <v>1060986729</v>
      </c>
      <c r="G492" s="43"/>
    </row>
    <row r="493" spans="1:7" ht="30" x14ac:dyDescent="0.25">
      <c r="A493" s="43" t="s">
        <v>953</v>
      </c>
      <c r="B493" s="43" t="s">
        <v>1660</v>
      </c>
      <c r="C493" s="43" t="s">
        <v>1217</v>
      </c>
      <c r="D493" s="43" t="s">
        <v>1661</v>
      </c>
      <c r="E493" s="109" t="s">
        <v>851</v>
      </c>
      <c r="F493" s="110">
        <v>1002848134</v>
      </c>
      <c r="G493" s="43"/>
    </row>
    <row r="494" spans="1:7" ht="30" x14ac:dyDescent="0.25">
      <c r="A494" s="345" t="s">
        <v>848</v>
      </c>
      <c r="B494" s="345" t="s">
        <v>1034</v>
      </c>
      <c r="C494" s="345" t="s">
        <v>1612</v>
      </c>
      <c r="D494" s="345" t="s">
        <v>1662</v>
      </c>
      <c r="E494" s="346" t="s">
        <v>851</v>
      </c>
      <c r="F494" s="347">
        <v>1059601726</v>
      </c>
      <c r="G494" s="43"/>
    </row>
    <row r="495" spans="1:7" ht="30" x14ac:dyDescent="0.25">
      <c r="A495" s="43" t="s">
        <v>1663</v>
      </c>
      <c r="B495" s="43" t="s">
        <v>1664</v>
      </c>
      <c r="C495" s="43" t="s">
        <v>938</v>
      </c>
      <c r="D495" s="43" t="s">
        <v>1665</v>
      </c>
      <c r="E495" s="109" t="s">
        <v>851</v>
      </c>
      <c r="F495" s="110">
        <v>1059601634</v>
      </c>
      <c r="G495" s="43"/>
    </row>
    <row r="496" spans="1:7" ht="30" x14ac:dyDescent="0.25">
      <c r="A496" s="345" t="s">
        <v>1667</v>
      </c>
      <c r="B496" s="345" t="s">
        <v>1668</v>
      </c>
      <c r="C496" s="345" t="s">
        <v>1669</v>
      </c>
      <c r="D496" s="345"/>
      <c r="E496" s="346" t="s">
        <v>851</v>
      </c>
      <c r="F496" s="347">
        <v>1064426895</v>
      </c>
      <c r="G496" s="43"/>
    </row>
    <row r="497" spans="1:7" ht="30" x14ac:dyDescent="0.25">
      <c r="A497" s="43" t="s">
        <v>1210</v>
      </c>
      <c r="B497" s="43" t="s">
        <v>848</v>
      </c>
      <c r="C497" s="43" t="s">
        <v>1670</v>
      </c>
      <c r="D497" s="43" t="s">
        <v>1671</v>
      </c>
      <c r="E497" s="109" t="s">
        <v>851</v>
      </c>
      <c r="F497" s="110">
        <v>1059602883</v>
      </c>
      <c r="G497" s="43"/>
    </row>
    <row r="498" spans="1:7" ht="30" x14ac:dyDescent="0.25">
      <c r="A498" s="345" t="s">
        <v>943</v>
      </c>
      <c r="B498" s="345" t="s">
        <v>848</v>
      </c>
      <c r="C498" s="345" t="s">
        <v>1673</v>
      </c>
      <c r="D498" s="345" t="s">
        <v>1674</v>
      </c>
      <c r="E498" s="346" t="s">
        <v>851</v>
      </c>
      <c r="F498" s="366" t="s">
        <v>1672</v>
      </c>
      <c r="G498" s="43"/>
    </row>
    <row r="499" spans="1:7" ht="30" x14ac:dyDescent="0.25">
      <c r="A499" s="43" t="s">
        <v>1677</v>
      </c>
      <c r="B499" s="43" t="s">
        <v>962</v>
      </c>
      <c r="C499" s="43" t="s">
        <v>1678</v>
      </c>
      <c r="D499" s="43" t="s">
        <v>1679</v>
      </c>
      <c r="E499" s="109" t="s">
        <v>1094</v>
      </c>
      <c r="F499" s="363" t="s">
        <v>1676</v>
      </c>
      <c r="G499" s="43"/>
    </row>
    <row r="500" spans="1:7" ht="30" x14ac:dyDescent="0.25">
      <c r="A500" s="345" t="s">
        <v>1286</v>
      </c>
      <c r="B500" s="345" t="s">
        <v>943</v>
      </c>
      <c r="C500" s="345" t="s">
        <v>1681</v>
      </c>
      <c r="D500" s="345"/>
      <c r="E500" s="346" t="s">
        <v>851</v>
      </c>
      <c r="F500" s="362" t="s">
        <v>1680</v>
      </c>
      <c r="G500" s="43"/>
    </row>
    <row r="501" spans="1:7" ht="30" x14ac:dyDescent="0.25">
      <c r="A501" s="43" t="s">
        <v>848</v>
      </c>
      <c r="B501" s="43" t="s">
        <v>914</v>
      </c>
      <c r="C501" s="43" t="s">
        <v>1683</v>
      </c>
      <c r="D501" s="43"/>
      <c r="E501" s="109" t="s">
        <v>851</v>
      </c>
      <c r="F501" s="363" t="s">
        <v>1682</v>
      </c>
      <c r="G501" s="43"/>
    </row>
    <row r="502" spans="1:7" x14ac:dyDescent="0.25">
      <c r="A502" s="423" t="s">
        <v>1699</v>
      </c>
      <c r="B502" s="423"/>
      <c r="C502" s="423"/>
      <c r="D502" s="423"/>
      <c r="E502" s="423"/>
      <c r="F502" s="423"/>
      <c r="G502" s="43"/>
    </row>
    <row r="503" spans="1:7" ht="45" x14ac:dyDescent="0.25">
      <c r="A503" s="17" t="s">
        <v>94</v>
      </c>
      <c r="B503" s="17" t="s">
        <v>21</v>
      </c>
      <c r="C503" s="17" t="s">
        <v>0</v>
      </c>
      <c r="D503" s="17" t="s">
        <v>1</v>
      </c>
      <c r="E503" s="17" t="s">
        <v>2</v>
      </c>
      <c r="F503" s="17" t="s">
        <v>3</v>
      </c>
      <c r="G503" s="43"/>
    </row>
    <row r="504" spans="1:7" x14ac:dyDescent="0.25">
      <c r="A504" s="345"/>
      <c r="B504" s="345"/>
      <c r="C504" s="345"/>
      <c r="D504" s="345"/>
      <c r="E504" s="346"/>
      <c r="F504" s="347"/>
      <c r="G504" s="43"/>
    </row>
    <row r="505" spans="1:7" ht="30" x14ac:dyDescent="0.25">
      <c r="A505" s="43" t="s">
        <v>974</v>
      </c>
      <c r="B505" s="43" t="s">
        <v>1144</v>
      </c>
      <c r="C505" s="43" t="s">
        <v>1192</v>
      </c>
      <c r="D505" s="43" t="s">
        <v>1193</v>
      </c>
      <c r="E505" s="109" t="s">
        <v>1094</v>
      </c>
      <c r="F505" s="110">
        <v>1059595334</v>
      </c>
      <c r="G505" s="43"/>
    </row>
    <row r="506" spans="1:7" ht="30" x14ac:dyDescent="0.25">
      <c r="A506" s="345" t="s">
        <v>1298</v>
      </c>
      <c r="B506" s="345" t="s">
        <v>914</v>
      </c>
      <c r="C506" s="345" t="s">
        <v>1299</v>
      </c>
      <c r="D506" s="345" t="s">
        <v>1300</v>
      </c>
      <c r="E506" s="346" t="s">
        <v>851</v>
      </c>
      <c r="F506" s="347" t="s">
        <v>1301</v>
      </c>
      <c r="G506" s="43"/>
    </row>
    <row r="507" spans="1:7" ht="30" x14ac:dyDescent="0.25">
      <c r="A507" s="43" t="s">
        <v>1360</v>
      </c>
      <c r="B507" s="43" t="s">
        <v>1361</v>
      </c>
      <c r="C507" s="43" t="s">
        <v>938</v>
      </c>
      <c r="D507" s="43" t="s">
        <v>1362</v>
      </c>
      <c r="E507" s="109" t="s">
        <v>851</v>
      </c>
      <c r="F507" s="110" t="s">
        <v>1363</v>
      </c>
      <c r="G507" s="43"/>
    </row>
    <row r="508" spans="1:7" ht="30" x14ac:dyDescent="0.25">
      <c r="A508" s="345" t="s">
        <v>873</v>
      </c>
      <c r="B508" s="345" t="s">
        <v>1391</v>
      </c>
      <c r="C508" s="345" t="s">
        <v>985</v>
      </c>
      <c r="D508" s="345" t="s">
        <v>1392</v>
      </c>
      <c r="E508" s="346" t="s">
        <v>851</v>
      </c>
      <c r="F508" s="347">
        <v>25547491</v>
      </c>
      <c r="G508" s="43"/>
    </row>
    <row r="509" spans="1:7" ht="30" x14ac:dyDescent="0.25">
      <c r="A509" s="43" t="s">
        <v>873</v>
      </c>
      <c r="B509" s="43" t="s">
        <v>944</v>
      </c>
      <c r="C509" s="43" t="s">
        <v>1399</v>
      </c>
      <c r="D509" s="43" t="s">
        <v>1400</v>
      </c>
      <c r="E509" s="109" t="s">
        <v>851</v>
      </c>
      <c r="F509" s="110">
        <v>1002848796</v>
      </c>
      <c r="G509" s="43"/>
    </row>
    <row r="510" spans="1:7" ht="30" x14ac:dyDescent="0.25">
      <c r="A510" s="345" t="s">
        <v>1427</v>
      </c>
      <c r="B510" s="345" t="s">
        <v>1428</v>
      </c>
      <c r="C510" s="345" t="s">
        <v>1429</v>
      </c>
      <c r="D510" s="345" t="s">
        <v>1430</v>
      </c>
      <c r="E510" s="346" t="s">
        <v>851</v>
      </c>
      <c r="F510" s="347">
        <v>1061528490</v>
      </c>
      <c r="G510" s="43"/>
    </row>
    <row r="511" spans="1:7" ht="30" x14ac:dyDescent="0.25">
      <c r="A511" s="43" t="s">
        <v>1439</v>
      </c>
      <c r="B511" s="43" t="s">
        <v>884</v>
      </c>
      <c r="C511" s="43" t="s">
        <v>1440</v>
      </c>
      <c r="D511" s="43" t="s">
        <v>1294</v>
      </c>
      <c r="E511" s="109" t="s">
        <v>851</v>
      </c>
      <c r="F511" s="110">
        <v>1002847533</v>
      </c>
      <c r="G511" s="43"/>
    </row>
    <row r="512" spans="1:7" ht="30" x14ac:dyDescent="0.25">
      <c r="A512" s="345" t="s">
        <v>1443</v>
      </c>
      <c r="B512" s="345" t="s">
        <v>1444</v>
      </c>
      <c r="C512" s="345" t="s">
        <v>1445</v>
      </c>
      <c r="D512" s="345"/>
      <c r="E512" s="346" t="s">
        <v>851</v>
      </c>
      <c r="F512" s="347">
        <v>1061757665</v>
      </c>
      <c r="G512" s="43"/>
    </row>
    <row r="513" spans="1:7" ht="30" x14ac:dyDescent="0.25">
      <c r="A513" s="43" t="s">
        <v>1179</v>
      </c>
      <c r="B513" s="43" t="s">
        <v>1435</v>
      </c>
      <c r="C513" s="43" t="s">
        <v>1448</v>
      </c>
      <c r="D513" s="43" t="s">
        <v>1294</v>
      </c>
      <c r="E513" s="109" t="s">
        <v>851</v>
      </c>
      <c r="F513" s="110">
        <v>1059594096</v>
      </c>
      <c r="G513" s="43"/>
    </row>
    <row r="514" spans="1:7" ht="30" x14ac:dyDescent="0.25">
      <c r="A514" s="345" t="s">
        <v>944</v>
      </c>
      <c r="B514" s="345" t="s">
        <v>943</v>
      </c>
      <c r="C514" s="345" t="s">
        <v>1463</v>
      </c>
      <c r="D514" s="345" t="s">
        <v>1464</v>
      </c>
      <c r="E514" s="346" t="s">
        <v>1094</v>
      </c>
      <c r="F514" s="347">
        <v>1060186081</v>
      </c>
      <c r="G514" s="43"/>
    </row>
    <row r="515" spans="1:7" ht="30" x14ac:dyDescent="0.25">
      <c r="A515" s="43" t="s">
        <v>1156</v>
      </c>
      <c r="B515" s="43" t="s">
        <v>883</v>
      </c>
      <c r="C515" s="43" t="s">
        <v>1157</v>
      </c>
      <c r="D515" s="43" t="s">
        <v>1466</v>
      </c>
      <c r="E515" s="109" t="s">
        <v>851</v>
      </c>
      <c r="F515" s="110">
        <v>1059594587</v>
      </c>
      <c r="G515" s="43"/>
    </row>
    <row r="516" spans="1:7" ht="30" x14ac:dyDescent="0.25">
      <c r="A516" s="345" t="s">
        <v>943</v>
      </c>
      <c r="B516" s="345" t="s">
        <v>1144</v>
      </c>
      <c r="C516" s="345" t="s">
        <v>1468</v>
      </c>
      <c r="D516" s="345" t="s">
        <v>1281</v>
      </c>
      <c r="E516" s="346" t="s">
        <v>851</v>
      </c>
      <c r="F516" s="347">
        <v>1059607505</v>
      </c>
      <c r="G516" s="43"/>
    </row>
    <row r="517" spans="1:7" ht="30" x14ac:dyDescent="0.25">
      <c r="A517" s="43" t="s">
        <v>848</v>
      </c>
      <c r="B517" s="43" t="s">
        <v>953</v>
      </c>
      <c r="C517" s="43" t="s">
        <v>1501</v>
      </c>
      <c r="D517" s="43" t="s">
        <v>919</v>
      </c>
      <c r="E517" s="109" t="s">
        <v>851</v>
      </c>
      <c r="F517" s="110" t="s">
        <v>1502</v>
      </c>
      <c r="G517" s="43"/>
    </row>
    <row r="518" spans="1:7" ht="30" x14ac:dyDescent="0.25">
      <c r="A518" s="345" t="s">
        <v>1519</v>
      </c>
      <c r="B518" s="345" t="s">
        <v>848</v>
      </c>
      <c r="C518" s="345" t="s">
        <v>1520</v>
      </c>
      <c r="D518" s="345" t="s">
        <v>1521</v>
      </c>
      <c r="E518" s="346" t="s">
        <v>851</v>
      </c>
      <c r="F518" s="347">
        <v>1002950269</v>
      </c>
      <c r="G518" s="43"/>
    </row>
    <row r="519" spans="1:7" ht="30" x14ac:dyDescent="0.25">
      <c r="A519" s="43" t="s">
        <v>896</v>
      </c>
      <c r="B519" s="43" t="s">
        <v>953</v>
      </c>
      <c r="C519" s="43" t="s">
        <v>1530</v>
      </c>
      <c r="D519" s="43" t="s">
        <v>1182</v>
      </c>
      <c r="E519" s="109" t="s">
        <v>851</v>
      </c>
      <c r="F519" s="110">
        <v>1059594419</v>
      </c>
      <c r="G519" s="43"/>
    </row>
    <row r="520" spans="1:7" ht="30" x14ac:dyDescent="0.25">
      <c r="A520" s="345" t="s">
        <v>1286</v>
      </c>
      <c r="B520" s="345" t="s">
        <v>980</v>
      </c>
      <c r="C520" s="345" t="s">
        <v>1528</v>
      </c>
      <c r="D520" s="345" t="s">
        <v>1281</v>
      </c>
      <c r="E520" s="346" t="s">
        <v>851</v>
      </c>
      <c r="F520" s="347">
        <v>1059596092</v>
      </c>
      <c r="G520" s="43"/>
    </row>
    <row r="521" spans="1:7" ht="30" x14ac:dyDescent="0.25">
      <c r="A521" s="43" t="s">
        <v>896</v>
      </c>
      <c r="B521" s="43" t="s">
        <v>1091</v>
      </c>
      <c r="C521" s="43" t="s">
        <v>1538</v>
      </c>
      <c r="D521" s="43"/>
      <c r="E521" s="109" t="s">
        <v>851</v>
      </c>
      <c r="F521" s="110">
        <v>1002846350</v>
      </c>
      <c r="G521" s="43"/>
    </row>
    <row r="522" spans="1:7" ht="30" x14ac:dyDescent="0.25">
      <c r="A522" s="345" t="s">
        <v>896</v>
      </c>
      <c r="B522" s="345" t="s">
        <v>953</v>
      </c>
      <c r="C522" s="345" t="s">
        <v>1217</v>
      </c>
      <c r="D522" s="345" t="s">
        <v>1471</v>
      </c>
      <c r="E522" s="346" t="s">
        <v>851</v>
      </c>
      <c r="F522" s="353">
        <v>1059602285</v>
      </c>
      <c r="G522" s="43"/>
    </row>
    <row r="523" spans="1:7" ht="30" x14ac:dyDescent="0.25">
      <c r="A523" s="43" t="s">
        <v>1540</v>
      </c>
      <c r="B523" s="43" t="s">
        <v>943</v>
      </c>
      <c r="C523" s="43" t="s">
        <v>1541</v>
      </c>
      <c r="D523" s="43" t="s">
        <v>1542</v>
      </c>
      <c r="E523" s="109" t="s">
        <v>851</v>
      </c>
      <c r="F523" s="356" t="s">
        <v>1539</v>
      </c>
      <c r="G523" s="43"/>
    </row>
    <row r="524" spans="1:7" ht="30" x14ac:dyDescent="0.25">
      <c r="A524" s="345" t="s">
        <v>1144</v>
      </c>
      <c r="B524" s="345" t="s">
        <v>996</v>
      </c>
      <c r="C524" s="345" t="s">
        <v>1192</v>
      </c>
      <c r="D524" s="345"/>
      <c r="E524" s="346" t="s">
        <v>851</v>
      </c>
      <c r="F524" s="353">
        <v>1059604012</v>
      </c>
      <c r="G524" s="43"/>
    </row>
    <row r="525" spans="1:7" ht="30" x14ac:dyDescent="0.25">
      <c r="A525" s="43" t="s">
        <v>874</v>
      </c>
      <c r="B525" s="43" t="s">
        <v>873</v>
      </c>
      <c r="C525" s="43" t="s">
        <v>1635</v>
      </c>
      <c r="D525" s="43" t="s">
        <v>1294</v>
      </c>
      <c r="E525" s="109" t="s">
        <v>1094</v>
      </c>
      <c r="F525" s="110">
        <v>1059597986</v>
      </c>
      <c r="G525" s="43"/>
    </row>
    <row r="526" spans="1:7" ht="30" x14ac:dyDescent="0.25">
      <c r="A526" s="345" t="s">
        <v>896</v>
      </c>
      <c r="B526" s="345" t="s">
        <v>915</v>
      </c>
      <c r="C526" s="345" t="s">
        <v>1585</v>
      </c>
      <c r="D526" s="345"/>
      <c r="E526" s="346" t="s">
        <v>851</v>
      </c>
      <c r="F526" s="347">
        <v>1059595460</v>
      </c>
      <c r="G526" s="43"/>
    </row>
    <row r="527" spans="1:7" ht="30" x14ac:dyDescent="0.25">
      <c r="A527" s="43" t="s">
        <v>1583</v>
      </c>
      <c r="B527" s="43" t="s">
        <v>873</v>
      </c>
      <c r="C527" s="43" t="s">
        <v>1584</v>
      </c>
      <c r="D527" s="43"/>
      <c r="E527" s="109" t="s">
        <v>851</v>
      </c>
      <c r="F527" s="356" t="s">
        <v>1582</v>
      </c>
      <c r="G527" s="43"/>
    </row>
    <row r="528" spans="1:7" ht="30" x14ac:dyDescent="0.25">
      <c r="A528" s="345" t="s">
        <v>1590</v>
      </c>
      <c r="B528" s="345" t="s">
        <v>874</v>
      </c>
      <c r="C528" s="345" t="s">
        <v>1591</v>
      </c>
      <c r="D528" s="345"/>
      <c r="E528" s="346" t="s">
        <v>851</v>
      </c>
      <c r="F528" s="359" t="s">
        <v>1589</v>
      </c>
      <c r="G528" s="43"/>
    </row>
    <row r="529" spans="1:7" ht="30" x14ac:dyDescent="0.25">
      <c r="A529" s="43" t="s">
        <v>914</v>
      </c>
      <c r="B529" s="43" t="s">
        <v>1601</v>
      </c>
      <c r="C529" s="43" t="s">
        <v>1602</v>
      </c>
      <c r="D529" s="43"/>
      <c r="E529" s="109" t="s">
        <v>851</v>
      </c>
      <c r="F529" s="110">
        <v>1003370775</v>
      </c>
      <c r="G529" s="43"/>
    </row>
    <row r="530" spans="1:7" ht="30" x14ac:dyDescent="0.25">
      <c r="A530" s="345" t="s">
        <v>896</v>
      </c>
      <c r="B530" s="345" t="s">
        <v>992</v>
      </c>
      <c r="C530" s="345" t="s">
        <v>1530</v>
      </c>
      <c r="D530" s="345" t="s">
        <v>1357</v>
      </c>
      <c r="E530" s="346" t="s">
        <v>851</v>
      </c>
      <c r="F530" s="347">
        <v>1002847645</v>
      </c>
      <c r="G530" s="43"/>
    </row>
    <row r="531" spans="1:7" ht="30" x14ac:dyDescent="0.25">
      <c r="A531" s="43" t="s">
        <v>914</v>
      </c>
      <c r="B531" s="43" t="s">
        <v>943</v>
      </c>
      <c r="C531" s="43" t="s">
        <v>1198</v>
      </c>
      <c r="D531" s="43"/>
      <c r="E531" s="109" t="s">
        <v>851</v>
      </c>
      <c r="F531" s="110">
        <v>1059605317</v>
      </c>
      <c r="G531" s="43"/>
    </row>
    <row r="532" spans="1:7" ht="30" x14ac:dyDescent="0.25">
      <c r="A532" s="345" t="s">
        <v>873</v>
      </c>
      <c r="B532" s="345" t="s">
        <v>874</v>
      </c>
      <c r="C532" s="345" t="s">
        <v>1612</v>
      </c>
      <c r="D532" s="345" t="s">
        <v>1613</v>
      </c>
      <c r="E532" s="346" t="s">
        <v>851</v>
      </c>
      <c r="F532" s="347">
        <v>1002849103</v>
      </c>
      <c r="G532" s="43"/>
    </row>
    <row r="533" spans="1:7" ht="30" x14ac:dyDescent="0.25">
      <c r="A533" s="43" t="s">
        <v>943</v>
      </c>
      <c r="B533" s="43" t="s">
        <v>848</v>
      </c>
      <c r="C533" s="43" t="s">
        <v>1673</v>
      </c>
      <c r="D533" s="43" t="s">
        <v>1674</v>
      </c>
      <c r="E533" s="109" t="s">
        <v>851</v>
      </c>
      <c r="F533" s="361" t="s">
        <v>1672</v>
      </c>
      <c r="G533" s="43"/>
    </row>
    <row r="534" spans="1:7" ht="30" x14ac:dyDescent="0.25">
      <c r="A534" s="345" t="s">
        <v>1677</v>
      </c>
      <c r="B534" s="345" t="s">
        <v>962</v>
      </c>
      <c r="C534" s="345" t="s">
        <v>1678</v>
      </c>
      <c r="D534" s="345" t="s">
        <v>1679</v>
      </c>
      <c r="E534" s="346" t="s">
        <v>1094</v>
      </c>
      <c r="F534" s="362" t="s">
        <v>1676</v>
      </c>
      <c r="G534" s="43"/>
    </row>
    <row r="535" spans="1:7" x14ac:dyDescent="0.25">
      <c r="A535" s="424" t="s">
        <v>1700</v>
      </c>
      <c r="B535" s="424"/>
      <c r="C535" s="424"/>
      <c r="D535" s="424"/>
      <c r="E535" s="424"/>
      <c r="F535" s="424"/>
      <c r="G535" s="43"/>
    </row>
    <row r="536" spans="1:7" ht="45" x14ac:dyDescent="0.25">
      <c r="A536" s="17" t="s">
        <v>94</v>
      </c>
      <c r="B536" s="17" t="s">
        <v>21</v>
      </c>
      <c r="C536" s="17" t="s">
        <v>0</v>
      </c>
      <c r="D536" s="17" t="s">
        <v>1</v>
      </c>
      <c r="E536" s="17" t="s">
        <v>2</v>
      </c>
      <c r="F536" s="17" t="s">
        <v>3</v>
      </c>
      <c r="G536" s="43"/>
    </row>
    <row r="537" spans="1:7" ht="30" x14ac:dyDescent="0.25">
      <c r="A537" s="43" t="s">
        <v>914</v>
      </c>
      <c r="B537" s="43" t="s">
        <v>915</v>
      </c>
      <c r="C537" s="43" t="s">
        <v>916</v>
      </c>
      <c r="D537" s="43"/>
      <c r="E537" s="109" t="s">
        <v>1094</v>
      </c>
      <c r="F537" s="110">
        <v>1059598169</v>
      </c>
      <c r="G537" s="43"/>
    </row>
    <row r="538" spans="1:7" ht="30" x14ac:dyDescent="0.25">
      <c r="A538" s="345" t="s">
        <v>1405</v>
      </c>
      <c r="B538" s="345" t="s">
        <v>884</v>
      </c>
      <c r="C538" s="345" t="s">
        <v>1406</v>
      </c>
      <c r="D538" s="345" t="s">
        <v>1407</v>
      </c>
      <c r="E538" s="346" t="s">
        <v>851</v>
      </c>
      <c r="F538" s="347">
        <v>1059601552</v>
      </c>
      <c r="G538" s="43"/>
    </row>
    <row r="539" spans="1:7" ht="30" x14ac:dyDescent="0.25">
      <c r="A539" s="43" t="s">
        <v>1034</v>
      </c>
      <c r="B539" s="43" t="s">
        <v>1166</v>
      </c>
      <c r="C539" s="43" t="s">
        <v>1408</v>
      </c>
      <c r="D539" s="43" t="s">
        <v>1409</v>
      </c>
      <c r="E539" s="109" t="s">
        <v>851</v>
      </c>
      <c r="F539" s="110">
        <v>1005860830</v>
      </c>
      <c r="G539" s="43"/>
    </row>
    <row r="540" spans="1:7" ht="30" x14ac:dyDescent="0.25">
      <c r="A540" s="345" t="s">
        <v>1441</v>
      </c>
      <c r="B540" s="345" t="s">
        <v>884</v>
      </c>
      <c r="C540" s="345" t="s">
        <v>1457</v>
      </c>
      <c r="D540" s="345"/>
      <c r="E540" s="346" t="s">
        <v>851</v>
      </c>
      <c r="F540" s="347">
        <v>25545401</v>
      </c>
      <c r="G540" s="43"/>
    </row>
    <row r="541" spans="1:7" ht="30" x14ac:dyDescent="0.25">
      <c r="A541" s="43" t="s">
        <v>1458</v>
      </c>
      <c r="B541" s="43" t="s">
        <v>1459</v>
      </c>
      <c r="C541" s="43" t="s">
        <v>1460</v>
      </c>
      <c r="D541" s="43" t="s">
        <v>976</v>
      </c>
      <c r="E541" s="109" t="s">
        <v>1094</v>
      </c>
      <c r="F541" s="110">
        <v>1062295885</v>
      </c>
      <c r="G541" s="43"/>
    </row>
    <row r="542" spans="1:7" ht="30" x14ac:dyDescent="0.25">
      <c r="A542" s="345" t="s">
        <v>992</v>
      </c>
      <c r="B542" s="345" t="s">
        <v>848</v>
      </c>
      <c r="C542" s="345" t="s">
        <v>1504</v>
      </c>
      <c r="D542" s="345" t="s">
        <v>1157</v>
      </c>
      <c r="E542" s="346" t="s">
        <v>851</v>
      </c>
      <c r="F542" s="347">
        <v>1002848292</v>
      </c>
      <c r="G542" s="43"/>
    </row>
    <row r="543" spans="1:7" x14ac:dyDescent="0.25">
      <c r="A543" s="43" t="s">
        <v>896</v>
      </c>
      <c r="B543" s="43" t="s">
        <v>953</v>
      </c>
      <c r="C543" s="43" t="s">
        <v>1634</v>
      </c>
      <c r="D543" s="43"/>
      <c r="E543" s="109"/>
      <c r="F543" s="110">
        <v>1002848733</v>
      </c>
      <c r="G543" s="43"/>
    </row>
    <row r="544" spans="1:7" ht="30" x14ac:dyDescent="0.25">
      <c r="A544" s="345" t="s">
        <v>896</v>
      </c>
      <c r="B544" s="345" t="s">
        <v>915</v>
      </c>
      <c r="C544" s="345" t="s">
        <v>1585</v>
      </c>
      <c r="D544" s="345"/>
      <c r="E544" s="346" t="s">
        <v>851</v>
      </c>
      <c r="F544" s="347">
        <v>1059595460</v>
      </c>
      <c r="G544" s="43"/>
    </row>
    <row r="545" spans="1:7" ht="30" x14ac:dyDescent="0.25">
      <c r="A545" s="43" t="s">
        <v>1590</v>
      </c>
      <c r="B545" s="43" t="s">
        <v>874</v>
      </c>
      <c r="C545" s="43" t="s">
        <v>1591</v>
      </c>
      <c r="D545" s="43"/>
      <c r="E545" s="109" t="s">
        <v>851</v>
      </c>
      <c r="F545" s="356" t="s">
        <v>1589</v>
      </c>
      <c r="G545" s="43"/>
    </row>
    <row r="546" spans="1:7" ht="30" x14ac:dyDescent="0.25">
      <c r="A546" s="345" t="s">
        <v>914</v>
      </c>
      <c r="B546" s="345" t="s">
        <v>1601</v>
      </c>
      <c r="C546" s="345" t="s">
        <v>1602</v>
      </c>
      <c r="D546" s="345"/>
      <c r="E546" s="346" t="s">
        <v>851</v>
      </c>
      <c r="F546" s="347">
        <v>1003370775</v>
      </c>
      <c r="G546" s="43"/>
    </row>
    <row r="547" spans="1:7" ht="30" x14ac:dyDescent="0.25">
      <c r="A547" s="43" t="s">
        <v>914</v>
      </c>
      <c r="B547" s="43" t="s">
        <v>943</v>
      </c>
      <c r="C547" s="43" t="s">
        <v>1198</v>
      </c>
      <c r="D547" s="43"/>
      <c r="E547" s="109" t="s">
        <v>851</v>
      </c>
      <c r="F547" s="110">
        <v>1059605317</v>
      </c>
      <c r="G547" s="43"/>
    </row>
    <row r="548" spans="1:7" ht="30" x14ac:dyDescent="0.25">
      <c r="A548" s="345" t="s">
        <v>953</v>
      </c>
      <c r="B548" s="345" t="s">
        <v>1660</v>
      </c>
      <c r="C548" s="345" t="s">
        <v>1217</v>
      </c>
      <c r="D548" s="345" t="s">
        <v>1661</v>
      </c>
      <c r="E548" s="346" t="s">
        <v>851</v>
      </c>
      <c r="F548" s="347">
        <v>1002848134</v>
      </c>
      <c r="G548" s="43"/>
    </row>
    <row r="549" spans="1:7" ht="30" x14ac:dyDescent="0.25">
      <c r="A549" s="43" t="s">
        <v>848</v>
      </c>
      <c r="B549" s="43" t="s">
        <v>1034</v>
      </c>
      <c r="C549" s="43" t="s">
        <v>1612</v>
      </c>
      <c r="D549" s="43" t="s">
        <v>1662</v>
      </c>
      <c r="E549" s="109" t="s">
        <v>851</v>
      </c>
      <c r="F549" s="110">
        <v>1059601726</v>
      </c>
      <c r="G549" s="43"/>
    </row>
    <row r="550" spans="1:7" ht="30" x14ac:dyDescent="0.25">
      <c r="A550" s="345" t="s">
        <v>1677</v>
      </c>
      <c r="B550" s="345" t="s">
        <v>962</v>
      </c>
      <c r="C550" s="345" t="s">
        <v>1678</v>
      </c>
      <c r="D550" s="345" t="s">
        <v>1679</v>
      </c>
      <c r="E550" s="346" t="s">
        <v>1094</v>
      </c>
      <c r="F550" s="362" t="s">
        <v>1676</v>
      </c>
      <c r="G550" s="43"/>
    </row>
    <row r="551" spans="1:7" x14ac:dyDescent="0.25">
      <c r="A551" s="364" t="s">
        <v>1701</v>
      </c>
      <c r="B551" s="43"/>
      <c r="C551" s="43"/>
      <c r="D551" s="43"/>
      <c r="E551" s="43"/>
      <c r="F551" s="43"/>
      <c r="G551" s="43"/>
    </row>
    <row r="552" spans="1:7" ht="45" x14ac:dyDescent="0.25">
      <c r="A552" s="17" t="s">
        <v>94</v>
      </c>
      <c r="B552" s="17" t="s">
        <v>21</v>
      </c>
      <c r="C552" s="17" t="s">
        <v>0</v>
      </c>
      <c r="D552" s="17" t="s">
        <v>1</v>
      </c>
      <c r="E552" s="17" t="s">
        <v>2</v>
      </c>
      <c r="F552" s="17" t="s">
        <v>3</v>
      </c>
      <c r="G552" s="43"/>
    </row>
    <row r="553" spans="1:7" ht="30" x14ac:dyDescent="0.25">
      <c r="A553" s="345" t="s">
        <v>914</v>
      </c>
      <c r="B553" s="345" t="s">
        <v>884</v>
      </c>
      <c r="C553" s="345" t="s">
        <v>1296</v>
      </c>
      <c r="D553" s="345" t="s">
        <v>850</v>
      </c>
      <c r="E553" s="346" t="s">
        <v>851</v>
      </c>
      <c r="F553" s="347">
        <v>1060186045</v>
      </c>
      <c r="G553" s="43"/>
    </row>
    <row r="554" spans="1:7" ht="30" x14ac:dyDescent="0.25">
      <c r="A554" s="43" t="s">
        <v>944</v>
      </c>
      <c r="B554" s="43" t="s">
        <v>943</v>
      </c>
      <c r="C554" s="43" t="s">
        <v>1421</v>
      </c>
      <c r="D554" s="43"/>
      <c r="E554" s="109" t="s">
        <v>851</v>
      </c>
      <c r="F554" s="110">
        <v>1002846330</v>
      </c>
      <c r="G554" s="43"/>
    </row>
    <row r="555" spans="1:7" ht="30" x14ac:dyDescent="0.25">
      <c r="A555" s="345" t="s">
        <v>1144</v>
      </c>
      <c r="B555" s="345" t="s">
        <v>884</v>
      </c>
      <c r="C555" s="345" t="s">
        <v>1432</v>
      </c>
      <c r="D555" s="345" t="s">
        <v>1433</v>
      </c>
      <c r="E555" s="346" t="s">
        <v>1094</v>
      </c>
      <c r="F555" s="347">
        <v>1059596594</v>
      </c>
      <c r="G555" s="43"/>
    </row>
    <row r="556" spans="1:7" ht="30" x14ac:dyDescent="0.25">
      <c r="A556" s="43" t="s">
        <v>1507</v>
      </c>
      <c r="B556" s="43" t="s">
        <v>1365</v>
      </c>
      <c r="C556" s="43" t="s">
        <v>1508</v>
      </c>
      <c r="D556" s="43"/>
      <c r="E556" s="109" t="s">
        <v>851</v>
      </c>
      <c r="F556" s="110">
        <v>1059600322</v>
      </c>
      <c r="G556" s="43"/>
    </row>
    <row r="557" spans="1:7" ht="30" x14ac:dyDescent="0.25">
      <c r="A557" s="345" t="s">
        <v>896</v>
      </c>
      <c r="B557" s="345" t="s">
        <v>953</v>
      </c>
      <c r="C557" s="345" t="s">
        <v>1217</v>
      </c>
      <c r="D557" s="345" t="s">
        <v>1471</v>
      </c>
      <c r="E557" s="346" t="s">
        <v>851</v>
      </c>
      <c r="F557" s="353">
        <v>1059602285</v>
      </c>
      <c r="G557" s="43"/>
    </row>
    <row r="558" spans="1:7" ht="30" x14ac:dyDescent="0.25">
      <c r="A558" s="43" t="s">
        <v>874</v>
      </c>
      <c r="B558" s="43" t="s">
        <v>873</v>
      </c>
      <c r="C558" s="43" t="s">
        <v>1635</v>
      </c>
      <c r="D558" s="43" t="s">
        <v>1294</v>
      </c>
      <c r="E558" s="109" t="s">
        <v>1094</v>
      </c>
      <c r="F558" s="110">
        <v>1059597986</v>
      </c>
      <c r="G558" s="43"/>
    </row>
    <row r="559" spans="1:7" ht="30" x14ac:dyDescent="0.25">
      <c r="A559" s="345" t="s">
        <v>896</v>
      </c>
      <c r="B559" s="345" t="s">
        <v>915</v>
      </c>
      <c r="C559" s="345" t="s">
        <v>1585</v>
      </c>
      <c r="D559" s="345"/>
      <c r="E559" s="346" t="s">
        <v>851</v>
      </c>
      <c r="F559" s="347">
        <v>1059595460</v>
      </c>
      <c r="G559" s="43"/>
    </row>
    <row r="560" spans="1:7" ht="30" x14ac:dyDescent="0.25">
      <c r="A560" s="43" t="s">
        <v>1677</v>
      </c>
      <c r="B560" s="43" t="s">
        <v>962</v>
      </c>
      <c r="C560" s="43" t="s">
        <v>1678</v>
      </c>
      <c r="D560" s="43" t="s">
        <v>1679</v>
      </c>
      <c r="E560" s="109" t="s">
        <v>1094</v>
      </c>
      <c r="F560" s="363" t="s">
        <v>1676</v>
      </c>
      <c r="G560" s="43"/>
    </row>
    <row r="561" spans="1:7" x14ac:dyDescent="0.25">
      <c r="A561" s="423" t="s">
        <v>1702</v>
      </c>
      <c r="B561" s="423"/>
      <c r="C561" s="423"/>
      <c r="D561" s="423"/>
      <c r="E561" s="423"/>
      <c r="F561" s="423"/>
      <c r="G561" s="43"/>
    </row>
    <row r="562" spans="1:7" ht="45" x14ac:dyDescent="0.25">
      <c r="A562" s="17" t="s">
        <v>94</v>
      </c>
      <c r="B562" s="17" t="s">
        <v>21</v>
      </c>
      <c r="C562" s="17" t="s">
        <v>0</v>
      </c>
      <c r="D562" s="17" t="s">
        <v>1</v>
      </c>
      <c r="E562" s="17" t="s">
        <v>2</v>
      </c>
      <c r="F562" s="17" t="s">
        <v>3</v>
      </c>
      <c r="G562" s="43"/>
    </row>
    <row r="563" spans="1:7" ht="30" x14ac:dyDescent="0.25">
      <c r="A563" s="345" t="s">
        <v>1298</v>
      </c>
      <c r="B563" s="345" t="s">
        <v>914</v>
      </c>
      <c r="C563" s="345" t="s">
        <v>1299</v>
      </c>
      <c r="D563" s="345" t="s">
        <v>1300</v>
      </c>
      <c r="E563" s="346" t="s">
        <v>851</v>
      </c>
      <c r="F563" s="347" t="s">
        <v>1301</v>
      </c>
      <c r="G563" s="43"/>
    </row>
    <row r="564" spans="1:7" ht="30" x14ac:dyDescent="0.25">
      <c r="A564" s="43" t="s">
        <v>1305</v>
      </c>
      <c r="B564" s="43" t="s">
        <v>884</v>
      </c>
      <c r="C564" s="43" t="s">
        <v>1306</v>
      </c>
      <c r="D564" s="43" t="s">
        <v>1307</v>
      </c>
      <c r="E564" s="109" t="s">
        <v>851</v>
      </c>
      <c r="F564" s="110">
        <v>1059604869</v>
      </c>
      <c r="G564" s="43"/>
    </row>
    <row r="565" spans="1:7" ht="30" x14ac:dyDescent="0.25">
      <c r="A565" s="345" t="s">
        <v>1332</v>
      </c>
      <c r="B565" s="345" t="s">
        <v>1091</v>
      </c>
      <c r="C565" s="345" t="s">
        <v>1333</v>
      </c>
      <c r="D565" s="345"/>
      <c r="E565" s="346" t="s">
        <v>1094</v>
      </c>
      <c r="F565" s="347">
        <v>1059595374</v>
      </c>
      <c r="G565" s="43"/>
    </row>
    <row r="566" spans="1:7" ht="30" x14ac:dyDescent="0.25">
      <c r="A566" s="43" t="s">
        <v>1360</v>
      </c>
      <c r="B566" s="43" t="s">
        <v>1361</v>
      </c>
      <c r="C566" s="43" t="s">
        <v>938</v>
      </c>
      <c r="D566" s="43" t="s">
        <v>1362</v>
      </c>
      <c r="E566" s="109" t="s">
        <v>851</v>
      </c>
      <c r="F566" s="110" t="s">
        <v>1363</v>
      </c>
      <c r="G566" s="43"/>
    </row>
    <row r="567" spans="1:7" ht="30" x14ac:dyDescent="0.25">
      <c r="A567" s="345" t="s">
        <v>1368</v>
      </c>
      <c r="B567" s="345" t="s">
        <v>1369</v>
      </c>
      <c r="C567" s="345" t="s">
        <v>1370</v>
      </c>
      <c r="D567" s="345" t="s">
        <v>982</v>
      </c>
      <c r="E567" s="346" t="s">
        <v>851</v>
      </c>
      <c r="F567" s="347">
        <v>1059603417</v>
      </c>
      <c r="G567" s="43"/>
    </row>
    <row r="568" spans="1:7" ht="30" x14ac:dyDescent="0.25">
      <c r="A568" s="43" t="s">
        <v>1382</v>
      </c>
      <c r="B568" s="43" t="s">
        <v>1382</v>
      </c>
      <c r="C568" s="43" t="s">
        <v>1383</v>
      </c>
      <c r="D568" s="43"/>
      <c r="E568" s="109" t="s">
        <v>851</v>
      </c>
      <c r="F568" s="110">
        <v>1003371767</v>
      </c>
      <c r="G568" s="43"/>
    </row>
    <row r="569" spans="1:7" ht="30" x14ac:dyDescent="0.25">
      <c r="A569" s="345" t="s">
        <v>873</v>
      </c>
      <c r="B569" s="345" t="s">
        <v>1391</v>
      </c>
      <c r="C569" s="345" t="s">
        <v>985</v>
      </c>
      <c r="D569" s="345" t="s">
        <v>1392</v>
      </c>
      <c r="E569" s="346" t="s">
        <v>851</v>
      </c>
      <c r="F569" s="347">
        <v>25547491</v>
      </c>
      <c r="G569" s="43"/>
    </row>
    <row r="570" spans="1:7" ht="30" x14ac:dyDescent="0.25">
      <c r="A570" s="43" t="s">
        <v>1405</v>
      </c>
      <c r="B570" s="43" t="s">
        <v>884</v>
      </c>
      <c r="C570" s="43" t="s">
        <v>1406</v>
      </c>
      <c r="D570" s="43" t="s">
        <v>1407</v>
      </c>
      <c r="E570" s="109" t="s">
        <v>851</v>
      </c>
      <c r="F570" s="110">
        <v>1059601552</v>
      </c>
      <c r="G570" s="43"/>
    </row>
    <row r="571" spans="1:7" ht="30" x14ac:dyDescent="0.25">
      <c r="A571" s="345" t="s">
        <v>1441</v>
      </c>
      <c r="B571" s="345"/>
      <c r="C571" s="345" t="s">
        <v>1284</v>
      </c>
      <c r="D571" s="345" t="s">
        <v>1442</v>
      </c>
      <c r="E571" s="346" t="s">
        <v>851</v>
      </c>
      <c r="F571" s="347">
        <v>1002848635</v>
      </c>
      <c r="G571" s="43"/>
    </row>
    <row r="572" spans="1:7" ht="30" x14ac:dyDescent="0.25">
      <c r="A572" s="43" t="s">
        <v>896</v>
      </c>
      <c r="B572" s="43" t="s">
        <v>943</v>
      </c>
      <c r="C572" s="43" t="s">
        <v>1452</v>
      </c>
      <c r="D572" s="43" t="s">
        <v>1372</v>
      </c>
      <c r="E572" s="109" t="s">
        <v>851</v>
      </c>
      <c r="F572" s="110">
        <v>1059599315</v>
      </c>
      <c r="G572" s="43"/>
    </row>
    <row r="573" spans="1:7" ht="30" x14ac:dyDescent="0.25">
      <c r="A573" s="345" t="s">
        <v>1441</v>
      </c>
      <c r="B573" s="345" t="s">
        <v>884</v>
      </c>
      <c r="C573" s="345" t="s">
        <v>1457</v>
      </c>
      <c r="D573" s="345"/>
      <c r="E573" s="346" t="s">
        <v>851</v>
      </c>
      <c r="F573" s="347">
        <v>25545401</v>
      </c>
      <c r="G573" s="43"/>
    </row>
    <row r="574" spans="1:7" ht="30" x14ac:dyDescent="0.25">
      <c r="A574" s="43" t="s">
        <v>944</v>
      </c>
      <c r="B574" s="43" t="s">
        <v>943</v>
      </c>
      <c r="C574" s="43" t="s">
        <v>1463</v>
      </c>
      <c r="D574" s="43" t="s">
        <v>1464</v>
      </c>
      <c r="E574" s="109" t="s">
        <v>1094</v>
      </c>
      <c r="F574" s="110">
        <v>1060186081</v>
      </c>
      <c r="G574" s="43"/>
    </row>
    <row r="575" spans="1:7" ht="30" x14ac:dyDescent="0.25">
      <c r="A575" s="345" t="s">
        <v>883</v>
      </c>
      <c r="B575" s="345" t="s">
        <v>1290</v>
      </c>
      <c r="C575" s="345" t="s">
        <v>1476</v>
      </c>
      <c r="D575" s="345"/>
      <c r="E575" s="346" t="s">
        <v>851</v>
      </c>
      <c r="F575" s="347">
        <v>1059604081</v>
      </c>
      <c r="G575" s="43"/>
    </row>
    <row r="576" spans="1:7" ht="30" x14ac:dyDescent="0.25">
      <c r="A576" s="43" t="s">
        <v>884</v>
      </c>
      <c r="B576" s="43" t="s">
        <v>914</v>
      </c>
      <c r="C576" s="43" t="s">
        <v>1479</v>
      </c>
      <c r="D576" s="43" t="s">
        <v>1480</v>
      </c>
      <c r="E576" s="109" t="s">
        <v>851</v>
      </c>
      <c r="F576" s="110">
        <v>1002847894</v>
      </c>
      <c r="G576" s="43"/>
    </row>
    <row r="577" spans="1:7" ht="30" x14ac:dyDescent="0.25">
      <c r="A577" s="345" t="s">
        <v>974</v>
      </c>
      <c r="B577" s="345" t="s">
        <v>943</v>
      </c>
      <c r="C577" s="345" t="s">
        <v>1217</v>
      </c>
      <c r="D577" s="345" t="s">
        <v>1490</v>
      </c>
      <c r="E577" s="346" t="s">
        <v>851</v>
      </c>
      <c r="F577" s="347" t="s">
        <v>1491</v>
      </c>
      <c r="G577" s="43"/>
    </row>
    <row r="578" spans="1:7" ht="30" x14ac:dyDescent="0.25">
      <c r="A578" s="43" t="s">
        <v>967</v>
      </c>
      <c r="B578" s="43" t="s">
        <v>980</v>
      </c>
      <c r="C578" s="43" t="s">
        <v>1492</v>
      </c>
      <c r="D578" s="43"/>
      <c r="E578" s="109" t="s">
        <v>851</v>
      </c>
      <c r="F578" s="110" t="s">
        <v>1493</v>
      </c>
      <c r="G578" s="43"/>
    </row>
    <row r="579" spans="1:7" ht="30" x14ac:dyDescent="0.25">
      <c r="A579" s="345" t="s">
        <v>884</v>
      </c>
      <c r="B579" s="345" t="s">
        <v>1378</v>
      </c>
      <c r="C579" s="345" t="s">
        <v>1494</v>
      </c>
      <c r="D579" s="345" t="s">
        <v>1495</v>
      </c>
      <c r="E579" s="346" t="s">
        <v>851</v>
      </c>
      <c r="F579" s="347" t="s">
        <v>1496</v>
      </c>
      <c r="G579" s="43"/>
    </row>
    <row r="580" spans="1:7" ht="30" x14ac:dyDescent="0.25">
      <c r="A580" s="43" t="s">
        <v>992</v>
      </c>
      <c r="B580" s="43" t="s">
        <v>1498</v>
      </c>
      <c r="C580" s="43" t="s">
        <v>938</v>
      </c>
      <c r="D580" s="43" t="s">
        <v>1499</v>
      </c>
      <c r="E580" s="109" t="s">
        <v>851</v>
      </c>
      <c r="F580" s="110" t="s">
        <v>1500</v>
      </c>
      <c r="G580" s="43"/>
    </row>
    <row r="581" spans="1:7" ht="30" x14ac:dyDescent="0.25">
      <c r="A581" s="345" t="s">
        <v>992</v>
      </c>
      <c r="B581" s="345" t="s">
        <v>848</v>
      </c>
      <c r="C581" s="345" t="s">
        <v>1504</v>
      </c>
      <c r="D581" s="345" t="s">
        <v>1157</v>
      </c>
      <c r="E581" s="346" t="s">
        <v>851</v>
      </c>
      <c r="F581" s="347">
        <v>1002848292</v>
      </c>
      <c r="G581" s="43"/>
    </row>
    <row r="582" spans="1:7" ht="30" x14ac:dyDescent="0.25">
      <c r="A582" s="43" t="s">
        <v>1041</v>
      </c>
      <c r="B582" s="43" t="s">
        <v>1147</v>
      </c>
      <c r="C582" s="43" t="s">
        <v>1512</v>
      </c>
      <c r="D582" s="43"/>
      <c r="E582" s="109" t="s">
        <v>851</v>
      </c>
      <c r="F582" s="110">
        <v>1059604976</v>
      </c>
      <c r="G582" s="43"/>
    </row>
    <row r="583" spans="1:7" ht="30" x14ac:dyDescent="0.25">
      <c r="A583" s="345" t="s">
        <v>896</v>
      </c>
      <c r="B583" s="345" t="s">
        <v>1091</v>
      </c>
      <c r="C583" s="345" t="s">
        <v>1538</v>
      </c>
      <c r="D583" s="345"/>
      <c r="E583" s="346" t="s">
        <v>851</v>
      </c>
      <c r="F583" s="347">
        <v>1002846350</v>
      </c>
      <c r="G583" s="43"/>
    </row>
    <row r="584" spans="1:7" ht="30" x14ac:dyDescent="0.25">
      <c r="A584" s="43" t="s">
        <v>1156</v>
      </c>
      <c r="B584" s="43" t="s">
        <v>980</v>
      </c>
      <c r="C584" s="43" t="s">
        <v>1547</v>
      </c>
      <c r="D584" s="43"/>
      <c r="E584" s="109" t="s">
        <v>1094</v>
      </c>
      <c r="F584" s="110">
        <v>1059597328</v>
      </c>
      <c r="G584" s="43"/>
    </row>
    <row r="585" spans="1:7" ht="30" x14ac:dyDescent="0.25">
      <c r="A585" s="345" t="s">
        <v>943</v>
      </c>
      <c r="B585" s="345" t="s">
        <v>1144</v>
      </c>
      <c r="C585" s="345" t="s">
        <v>1504</v>
      </c>
      <c r="D585" s="345" t="s">
        <v>1281</v>
      </c>
      <c r="E585" s="346" t="s">
        <v>1094</v>
      </c>
      <c r="F585" s="347">
        <v>1059599329</v>
      </c>
      <c r="G585" s="43"/>
    </row>
    <row r="586" spans="1:7" x14ac:dyDescent="0.25">
      <c r="A586" s="43" t="s">
        <v>896</v>
      </c>
      <c r="B586" s="43" t="s">
        <v>953</v>
      </c>
      <c r="C586" s="43" t="s">
        <v>1634</v>
      </c>
      <c r="D586" s="43"/>
      <c r="E586" s="109"/>
      <c r="F586" s="110">
        <v>1002848733</v>
      </c>
      <c r="G586" s="43"/>
    </row>
    <row r="587" spans="1:7" ht="30" x14ac:dyDescent="0.25">
      <c r="A587" s="345" t="s">
        <v>873</v>
      </c>
      <c r="B587" s="345" t="s">
        <v>874</v>
      </c>
      <c r="C587" s="345" t="s">
        <v>1215</v>
      </c>
      <c r="D587" s="345"/>
      <c r="E587" s="346" t="s">
        <v>851</v>
      </c>
      <c r="F587" s="347">
        <v>1002849181</v>
      </c>
      <c r="G587" s="43"/>
    </row>
    <row r="588" spans="1:7" ht="30" x14ac:dyDescent="0.25">
      <c r="A588" s="43" t="s">
        <v>953</v>
      </c>
      <c r="B588" s="43" t="s">
        <v>1286</v>
      </c>
      <c r="C588" s="43" t="s">
        <v>1463</v>
      </c>
      <c r="D588" s="43" t="s">
        <v>1579</v>
      </c>
      <c r="E588" s="109" t="s">
        <v>851</v>
      </c>
      <c r="F588" s="356" t="s">
        <v>1578</v>
      </c>
      <c r="G588" s="43"/>
    </row>
    <row r="589" spans="1:7" ht="30" x14ac:dyDescent="0.25">
      <c r="A589" s="345" t="s">
        <v>1580</v>
      </c>
      <c r="B589" s="345" t="s">
        <v>914</v>
      </c>
      <c r="C589" s="345" t="s">
        <v>1581</v>
      </c>
      <c r="D589" s="345" t="s">
        <v>1464</v>
      </c>
      <c r="E589" s="346" t="s">
        <v>851</v>
      </c>
      <c r="F589" s="359">
        <v>1002846447</v>
      </c>
      <c r="G589" s="43"/>
    </row>
    <row r="590" spans="1:7" ht="30" x14ac:dyDescent="0.25">
      <c r="A590" s="43" t="s">
        <v>1590</v>
      </c>
      <c r="B590" s="43" t="s">
        <v>874</v>
      </c>
      <c r="C590" s="43" t="s">
        <v>1591</v>
      </c>
      <c r="D590" s="43"/>
      <c r="E590" s="109" t="s">
        <v>851</v>
      </c>
      <c r="F590" s="356" t="s">
        <v>1589</v>
      </c>
      <c r="G590" s="43"/>
    </row>
    <row r="591" spans="1:7" ht="30" x14ac:dyDescent="0.25">
      <c r="A591" s="345" t="s">
        <v>1286</v>
      </c>
      <c r="B591" s="345" t="s">
        <v>1594</v>
      </c>
      <c r="C591" s="345" t="s">
        <v>1420</v>
      </c>
      <c r="D591" s="345"/>
      <c r="E591" s="346" t="s">
        <v>1094</v>
      </c>
      <c r="F591" s="359" t="s">
        <v>1593</v>
      </c>
      <c r="G591" s="43"/>
    </row>
    <row r="592" spans="1:7" ht="30" x14ac:dyDescent="0.25">
      <c r="A592" s="43" t="s">
        <v>1598</v>
      </c>
      <c r="B592" s="43" t="s">
        <v>1599</v>
      </c>
      <c r="C592" s="43" t="s">
        <v>1597</v>
      </c>
      <c r="D592" s="43"/>
      <c r="E592" s="109" t="s">
        <v>851</v>
      </c>
      <c r="F592" s="110">
        <v>1002846452</v>
      </c>
      <c r="G592" s="43"/>
    </row>
    <row r="593" spans="1:7" ht="30" x14ac:dyDescent="0.25">
      <c r="A593" s="345" t="s">
        <v>896</v>
      </c>
      <c r="B593" s="345" t="s">
        <v>992</v>
      </c>
      <c r="C593" s="345" t="s">
        <v>1530</v>
      </c>
      <c r="D593" s="345" t="s">
        <v>1357</v>
      </c>
      <c r="E593" s="346" t="s">
        <v>851</v>
      </c>
      <c r="F593" s="347">
        <v>1002847645</v>
      </c>
      <c r="G593" s="43"/>
    </row>
    <row r="594" spans="1:7" ht="30" x14ac:dyDescent="0.25">
      <c r="A594" s="43" t="s">
        <v>896</v>
      </c>
      <c r="B594" s="43" t="s">
        <v>1599</v>
      </c>
      <c r="C594" s="43" t="s">
        <v>1607</v>
      </c>
      <c r="D594" s="43" t="s">
        <v>1608</v>
      </c>
      <c r="E594" s="109" t="s">
        <v>851</v>
      </c>
      <c r="F594" s="110">
        <v>1060800773</v>
      </c>
      <c r="G594" s="43"/>
    </row>
    <row r="595" spans="1:7" ht="30" x14ac:dyDescent="0.25">
      <c r="A595" s="345" t="s">
        <v>980</v>
      </c>
      <c r="B595" s="345" t="s">
        <v>914</v>
      </c>
      <c r="C595" s="345" t="s">
        <v>1623</v>
      </c>
      <c r="D595" s="345"/>
      <c r="E595" s="346" t="s">
        <v>851</v>
      </c>
      <c r="F595" s="347">
        <v>1059596737</v>
      </c>
      <c r="G595" s="43"/>
    </row>
    <row r="596" spans="1:7" ht="30" x14ac:dyDescent="0.25">
      <c r="A596" s="43" t="s">
        <v>884</v>
      </c>
      <c r="B596" s="43" t="s">
        <v>1286</v>
      </c>
      <c r="C596" s="43" t="s">
        <v>1452</v>
      </c>
      <c r="D596" s="43"/>
      <c r="E596" s="109" t="s">
        <v>851</v>
      </c>
      <c r="F596" s="110">
        <v>25546688</v>
      </c>
      <c r="G596" s="43"/>
    </row>
    <row r="597" spans="1:7" ht="30" x14ac:dyDescent="0.25">
      <c r="A597" s="345" t="s">
        <v>1629</v>
      </c>
      <c r="B597" s="345" t="s">
        <v>1249</v>
      </c>
      <c r="C597" s="345" t="s">
        <v>1630</v>
      </c>
      <c r="D597" s="345"/>
      <c r="E597" s="346" t="s">
        <v>851</v>
      </c>
      <c r="F597" s="345">
        <v>1059601748</v>
      </c>
      <c r="G597" s="43"/>
    </row>
    <row r="598" spans="1:7" ht="30" x14ac:dyDescent="0.25">
      <c r="A598" s="43" t="s">
        <v>848</v>
      </c>
      <c r="B598" s="43" t="s">
        <v>1034</v>
      </c>
      <c r="C598" s="43" t="s">
        <v>1612</v>
      </c>
      <c r="D598" s="43" t="s">
        <v>1662</v>
      </c>
      <c r="E598" s="109" t="s">
        <v>851</v>
      </c>
      <c r="F598" s="110">
        <v>1059601726</v>
      </c>
      <c r="G598" s="43"/>
    </row>
    <row r="599" spans="1:7" ht="30" x14ac:dyDescent="0.25">
      <c r="A599" s="345" t="s">
        <v>1667</v>
      </c>
      <c r="B599" s="345" t="s">
        <v>1668</v>
      </c>
      <c r="C599" s="345" t="s">
        <v>1669</v>
      </c>
      <c r="D599" s="345"/>
      <c r="E599" s="346" t="s">
        <v>851</v>
      </c>
      <c r="F599" s="347">
        <v>1064426895</v>
      </c>
      <c r="G599" s="43"/>
    </row>
    <row r="600" spans="1:7" ht="30" x14ac:dyDescent="0.25">
      <c r="A600" s="43" t="s">
        <v>1210</v>
      </c>
      <c r="B600" s="43" t="s">
        <v>848</v>
      </c>
      <c r="C600" s="43" t="s">
        <v>1670</v>
      </c>
      <c r="D600" s="43" t="s">
        <v>1671</v>
      </c>
      <c r="E600" s="109" t="s">
        <v>851</v>
      </c>
      <c r="F600" s="110">
        <v>1059602883</v>
      </c>
      <c r="G600" s="43"/>
    </row>
    <row r="601" spans="1:7" ht="30" x14ac:dyDescent="0.25">
      <c r="A601" s="345" t="s">
        <v>1286</v>
      </c>
      <c r="B601" s="345" t="s">
        <v>943</v>
      </c>
      <c r="C601" s="345" t="s">
        <v>1681</v>
      </c>
      <c r="D601" s="345"/>
      <c r="E601" s="346" t="s">
        <v>851</v>
      </c>
      <c r="F601" s="362" t="s">
        <v>1680</v>
      </c>
      <c r="G601" s="43"/>
    </row>
    <row r="602" spans="1:7" x14ac:dyDescent="0.25">
      <c r="A602" s="424" t="s">
        <v>1703</v>
      </c>
      <c r="B602" s="424"/>
      <c r="C602" s="424"/>
      <c r="D602" s="424"/>
      <c r="E602" s="424"/>
      <c r="F602" s="424"/>
      <c r="G602" s="43"/>
    </row>
    <row r="603" spans="1:7" ht="45" x14ac:dyDescent="0.25">
      <c r="A603" s="17" t="s">
        <v>94</v>
      </c>
      <c r="B603" s="17" t="s">
        <v>21</v>
      </c>
      <c r="C603" s="17" t="s">
        <v>0</v>
      </c>
      <c r="D603" s="17" t="s">
        <v>1</v>
      </c>
      <c r="E603" s="17" t="s">
        <v>2</v>
      </c>
      <c r="F603" s="17" t="s">
        <v>3</v>
      </c>
      <c r="G603" s="43"/>
    </row>
    <row r="604" spans="1:7" ht="30" x14ac:dyDescent="0.25">
      <c r="A604" s="345" t="s">
        <v>979</v>
      </c>
      <c r="B604" s="345" t="s">
        <v>943</v>
      </c>
      <c r="C604" s="345" t="s">
        <v>1217</v>
      </c>
      <c r="D604" s="345" t="s">
        <v>1398</v>
      </c>
      <c r="E604" s="346" t="s">
        <v>851</v>
      </c>
      <c r="F604" s="347">
        <v>1002846528</v>
      </c>
      <c r="G604" s="43"/>
    </row>
    <row r="605" spans="1:7" ht="30" x14ac:dyDescent="0.25">
      <c r="A605" s="43" t="s">
        <v>1443</v>
      </c>
      <c r="B605" s="43" t="s">
        <v>1444</v>
      </c>
      <c r="C605" s="43" t="s">
        <v>1445</v>
      </c>
      <c r="D605" s="43"/>
      <c r="E605" s="109" t="s">
        <v>851</v>
      </c>
      <c r="F605" s="110">
        <v>1061757665</v>
      </c>
      <c r="G605" s="43"/>
    </row>
    <row r="606" spans="1:7" ht="30" x14ac:dyDescent="0.25">
      <c r="A606" s="345" t="s">
        <v>1441</v>
      </c>
      <c r="B606" s="345" t="s">
        <v>914</v>
      </c>
      <c r="C606" s="345" t="s">
        <v>1451</v>
      </c>
      <c r="D606" s="345"/>
      <c r="E606" s="346" t="s">
        <v>851</v>
      </c>
      <c r="F606" s="347">
        <v>1059598007</v>
      </c>
      <c r="G606" s="43"/>
    </row>
    <row r="607" spans="1:7" ht="30" x14ac:dyDescent="0.25">
      <c r="A607" s="43" t="s">
        <v>848</v>
      </c>
      <c r="B607" s="43" t="s">
        <v>953</v>
      </c>
      <c r="C607" s="43" t="s">
        <v>1501</v>
      </c>
      <c r="D607" s="43" t="s">
        <v>919</v>
      </c>
      <c r="E607" s="109" t="s">
        <v>851</v>
      </c>
      <c r="F607" s="110" t="s">
        <v>1502</v>
      </c>
      <c r="G607" s="43"/>
    </row>
    <row r="608" spans="1:7" ht="30" x14ac:dyDescent="0.25">
      <c r="A608" s="345" t="s">
        <v>884</v>
      </c>
      <c r="B608" s="345" t="s">
        <v>1144</v>
      </c>
      <c r="C608" s="345" t="s">
        <v>1534</v>
      </c>
      <c r="D608" s="345"/>
      <c r="E608" s="346" t="s">
        <v>851</v>
      </c>
      <c r="F608" s="353">
        <v>1002846626</v>
      </c>
      <c r="G608" s="43"/>
    </row>
    <row r="609" spans="1:7" ht="30" x14ac:dyDescent="0.25">
      <c r="A609" s="43" t="s">
        <v>896</v>
      </c>
      <c r="B609" s="43" t="s">
        <v>953</v>
      </c>
      <c r="C609" s="43" t="s">
        <v>1545</v>
      </c>
      <c r="D609" s="43"/>
      <c r="E609" s="109" t="s">
        <v>851</v>
      </c>
      <c r="F609" s="110">
        <v>25545389</v>
      </c>
      <c r="G609" s="43"/>
    </row>
    <row r="610" spans="1:7" x14ac:dyDescent="0.25">
      <c r="A610" s="345" t="s">
        <v>943</v>
      </c>
      <c r="B610" s="345" t="s">
        <v>848</v>
      </c>
      <c r="C610" s="345" t="s">
        <v>1553</v>
      </c>
      <c r="D610" s="345"/>
      <c r="E610" s="346"/>
      <c r="F610" s="347">
        <v>1059594153</v>
      </c>
      <c r="G610" s="43"/>
    </row>
    <row r="611" spans="1:7" x14ac:dyDescent="0.25">
      <c r="A611" s="423" t="s">
        <v>1704</v>
      </c>
      <c r="B611" s="423"/>
      <c r="C611" s="423"/>
      <c r="D611" s="423"/>
      <c r="E611" s="423"/>
      <c r="F611" s="423"/>
      <c r="G611" s="43"/>
    </row>
    <row r="612" spans="1:7" ht="45" x14ac:dyDescent="0.25">
      <c r="A612" s="17" t="s">
        <v>94</v>
      </c>
      <c r="B612" s="17" t="s">
        <v>21</v>
      </c>
      <c r="C612" s="17" t="s">
        <v>0</v>
      </c>
      <c r="D612" s="17" t="s">
        <v>1</v>
      </c>
      <c r="E612" s="17" t="s">
        <v>2</v>
      </c>
      <c r="F612" s="17" t="s">
        <v>3</v>
      </c>
      <c r="G612" s="43"/>
    </row>
    <row r="613" spans="1:7" ht="30" x14ac:dyDescent="0.25">
      <c r="A613" s="345" t="s">
        <v>979</v>
      </c>
      <c r="B613" s="345" t="s">
        <v>943</v>
      </c>
      <c r="C613" s="345" t="s">
        <v>1217</v>
      </c>
      <c r="D613" s="345" t="s">
        <v>1398</v>
      </c>
      <c r="E613" s="346" t="s">
        <v>851</v>
      </c>
      <c r="F613" s="347">
        <v>1002846528</v>
      </c>
      <c r="G613" s="43"/>
    </row>
    <row r="614" spans="1:7" x14ac:dyDescent="0.25">
      <c r="A614" s="43" t="s">
        <v>1705</v>
      </c>
      <c r="B614" s="43"/>
      <c r="C614" s="43"/>
      <c r="D614" s="43"/>
      <c r="E614" s="43"/>
      <c r="F614" s="43"/>
      <c r="G614" s="43"/>
    </row>
    <row r="615" spans="1:7" ht="45" x14ac:dyDescent="0.25">
      <c r="A615" s="17" t="s">
        <v>94</v>
      </c>
      <c r="B615" s="17" t="s">
        <v>21</v>
      </c>
      <c r="C615" s="17" t="s">
        <v>0</v>
      </c>
      <c r="D615" s="17" t="s">
        <v>1</v>
      </c>
      <c r="E615" s="17" t="s">
        <v>2</v>
      </c>
      <c r="F615" s="17" t="s">
        <v>3</v>
      </c>
      <c r="G615" s="43"/>
    </row>
    <row r="616" spans="1:7" ht="30" x14ac:dyDescent="0.25">
      <c r="A616" s="345" t="s">
        <v>1332</v>
      </c>
      <c r="B616" s="345" t="s">
        <v>1091</v>
      </c>
      <c r="C616" s="345" t="s">
        <v>1333</v>
      </c>
      <c r="D616" s="345"/>
      <c r="E616" s="346" t="s">
        <v>1094</v>
      </c>
      <c r="F616" s="347">
        <v>1059595374</v>
      </c>
      <c r="G616" s="43"/>
    </row>
    <row r="617" spans="1:7" ht="30" x14ac:dyDescent="0.25">
      <c r="A617" s="43" t="s">
        <v>914</v>
      </c>
      <c r="B617" s="43" t="s">
        <v>915</v>
      </c>
      <c r="C617" s="43" t="s">
        <v>916</v>
      </c>
      <c r="D617" s="43"/>
      <c r="E617" s="109" t="s">
        <v>1094</v>
      </c>
      <c r="F617" s="110">
        <v>1059598169</v>
      </c>
      <c r="G617" s="43"/>
    </row>
    <row r="618" spans="1:7" ht="30" x14ac:dyDescent="0.25">
      <c r="A618" s="345" t="s">
        <v>857</v>
      </c>
      <c r="B618" s="345" t="s">
        <v>1365</v>
      </c>
      <c r="C618" s="345" t="s">
        <v>949</v>
      </c>
      <c r="D618" s="345" t="s">
        <v>1366</v>
      </c>
      <c r="E618" s="346" t="s">
        <v>851</v>
      </c>
      <c r="F618" s="347">
        <v>1002953350</v>
      </c>
      <c r="G618" s="43"/>
    </row>
    <row r="619" spans="1:7" x14ac:dyDescent="0.25">
      <c r="A619" s="423" t="s">
        <v>1707</v>
      </c>
      <c r="B619" s="423"/>
      <c r="C619" s="423"/>
      <c r="D619" s="423"/>
      <c r="E619" s="423"/>
      <c r="F619" s="423"/>
      <c r="G619" s="43"/>
    </row>
    <row r="620" spans="1:7" ht="45" x14ac:dyDescent="0.25">
      <c r="A620" s="17" t="s">
        <v>94</v>
      </c>
      <c r="B620" s="17" t="s">
        <v>21</v>
      </c>
      <c r="C620" s="17" t="s">
        <v>0</v>
      </c>
      <c r="D620" s="17" t="s">
        <v>1</v>
      </c>
      <c r="E620" s="17" t="s">
        <v>2</v>
      </c>
      <c r="F620" s="17" t="s">
        <v>3</v>
      </c>
      <c r="G620" s="43"/>
    </row>
    <row r="621" spans="1:7" x14ac:dyDescent="0.25">
      <c r="A621" s="345"/>
      <c r="B621" s="345"/>
      <c r="C621" s="345"/>
      <c r="D621" s="345"/>
      <c r="E621" s="346"/>
      <c r="F621" s="347"/>
      <c r="G621" s="43"/>
    </row>
    <row r="622" spans="1:7" ht="30" x14ac:dyDescent="0.25">
      <c r="A622" s="43" t="s">
        <v>914</v>
      </c>
      <c r="B622" s="43" t="s">
        <v>884</v>
      </c>
      <c r="C622" s="43" t="s">
        <v>1296</v>
      </c>
      <c r="D622" s="43" t="s">
        <v>850</v>
      </c>
      <c r="E622" s="109" t="s">
        <v>851</v>
      </c>
      <c r="F622" s="110">
        <v>1060186045</v>
      </c>
      <c r="G622" s="43"/>
    </row>
    <row r="623" spans="1:7" ht="30" x14ac:dyDescent="0.25">
      <c r="A623" s="345" t="s">
        <v>1298</v>
      </c>
      <c r="B623" s="345" t="s">
        <v>914</v>
      </c>
      <c r="C623" s="345" t="s">
        <v>1299</v>
      </c>
      <c r="D623" s="345" t="s">
        <v>1300</v>
      </c>
      <c r="E623" s="346" t="s">
        <v>851</v>
      </c>
      <c r="F623" s="347" t="s">
        <v>1301</v>
      </c>
      <c r="G623" s="43"/>
    </row>
    <row r="624" spans="1:7" ht="30" x14ac:dyDescent="0.25">
      <c r="A624" s="43" t="s">
        <v>1305</v>
      </c>
      <c r="B624" s="43" t="s">
        <v>884</v>
      </c>
      <c r="C624" s="43" t="s">
        <v>1306</v>
      </c>
      <c r="D624" s="43" t="s">
        <v>1307</v>
      </c>
      <c r="E624" s="109" t="s">
        <v>851</v>
      </c>
      <c r="F624" s="110">
        <v>1059604869</v>
      </c>
      <c r="G624" s="43"/>
    </row>
    <row r="625" spans="1:7" ht="30" x14ac:dyDescent="0.25">
      <c r="A625" s="345" t="s">
        <v>953</v>
      </c>
      <c r="B625" s="345" t="s">
        <v>1316</v>
      </c>
      <c r="C625" s="345" t="s">
        <v>1317</v>
      </c>
      <c r="D625" s="345" t="s">
        <v>1028</v>
      </c>
      <c r="E625" s="346" t="s">
        <v>851</v>
      </c>
      <c r="F625" s="347">
        <v>1059594373</v>
      </c>
      <c r="G625" s="43"/>
    </row>
    <row r="626" spans="1:7" ht="30" x14ac:dyDescent="0.25">
      <c r="A626" s="43" t="s">
        <v>914</v>
      </c>
      <c r="B626" s="43" t="s">
        <v>1318</v>
      </c>
      <c r="C626" s="43" t="s">
        <v>1319</v>
      </c>
      <c r="D626" s="43"/>
      <c r="E626" s="109" t="s">
        <v>851</v>
      </c>
      <c r="F626" s="110" t="s">
        <v>1320</v>
      </c>
      <c r="G626" s="43"/>
    </row>
    <row r="627" spans="1:7" ht="30" x14ac:dyDescent="0.25">
      <c r="A627" s="345" t="s">
        <v>1332</v>
      </c>
      <c r="B627" s="345" t="s">
        <v>1091</v>
      </c>
      <c r="C627" s="345" t="s">
        <v>1333</v>
      </c>
      <c r="D627" s="345"/>
      <c r="E627" s="346" t="s">
        <v>1094</v>
      </c>
      <c r="F627" s="347">
        <v>1059595374</v>
      </c>
      <c r="G627" s="43"/>
    </row>
    <row r="628" spans="1:7" ht="30" x14ac:dyDescent="0.25">
      <c r="A628" s="43" t="s">
        <v>874</v>
      </c>
      <c r="B628" s="43" t="s">
        <v>943</v>
      </c>
      <c r="C628" s="43" t="s">
        <v>1340</v>
      </c>
      <c r="D628" s="43"/>
      <c r="E628" s="109" t="s">
        <v>1094</v>
      </c>
      <c r="F628" s="110">
        <v>1059597393</v>
      </c>
      <c r="G628" s="43"/>
    </row>
    <row r="629" spans="1:7" ht="30" x14ac:dyDescent="0.25">
      <c r="A629" s="345" t="s">
        <v>914</v>
      </c>
      <c r="B629" s="345" t="s">
        <v>915</v>
      </c>
      <c r="C629" s="345" t="s">
        <v>916</v>
      </c>
      <c r="D629" s="345"/>
      <c r="E629" s="346" t="s">
        <v>1094</v>
      </c>
      <c r="F629" s="347">
        <v>1059598169</v>
      </c>
      <c r="G629" s="43"/>
    </row>
    <row r="630" spans="1:7" ht="30" x14ac:dyDescent="0.25">
      <c r="A630" s="43" t="s">
        <v>1360</v>
      </c>
      <c r="B630" s="43" t="s">
        <v>1361</v>
      </c>
      <c r="C630" s="43" t="s">
        <v>938</v>
      </c>
      <c r="D630" s="43" t="s">
        <v>1362</v>
      </c>
      <c r="E630" s="109" t="s">
        <v>851</v>
      </c>
      <c r="F630" s="110" t="s">
        <v>1363</v>
      </c>
      <c r="G630" s="43"/>
    </row>
    <row r="631" spans="1:7" ht="30" x14ac:dyDescent="0.25">
      <c r="A631" s="345" t="s">
        <v>1286</v>
      </c>
      <c r="B631" s="345" t="s">
        <v>914</v>
      </c>
      <c r="C631" s="345" t="s">
        <v>1198</v>
      </c>
      <c r="D631" s="345" t="s">
        <v>1364</v>
      </c>
      <c r="E631" s="346" t="s">
        <v>851</v>
      </c>
      <c r="F631" s="347">
        <v>1059600026</v>
      </c>
      <c r="G631" s="43"/>
    </row>
    <row r="632" spans="1:7" ht="30" x14ac:dyDescent="0.25">
      <c r="A632" s="43" t="s">
        <v>857</v>
      </c>
      <c r="B632" s="43" t="s">
        <v>1365</v>
      </c>
      <c r="C632" s="43" t="s">
        <v>949</v>
      </c>
      <c r="D632" s="43" t="s">
        <v>1366</v>
      </c>
      <c r="E632" s="109" t="s">
        <v>851</v>
      </c>
      <c r="F632" s="110">
        <v>1002953350</v>
      </c>
      <c r="G632" s="43"/>
    </row>
    <row r="633" spans="1:7" ht="30" x14ac:dyDescent="0.25">
      <c r="A633" s="345" t="s">
        <v>1368</v>
      </c>
      <c r="B633" s="345" t="s">
        <v>1369</v>
      </c>
      <c r="C633" s="345" t="s">
        <v>1370</v>
      </c>
      <c r="D633" s="345" t="s">
        <v>982</v>
      </c>
      <c r="E633" s="346" t="s">
        <v>851</v>
      </c>
      <c r="F633" s="347">
        <v>1059603417</v>
      </c>
      <c r="G633" s="43"/>
    </row>
    <row r="634" spans="1:7" ht="30" x14ac:dyDescent="0.25">
      <c r="A634" s="43" t="s">
        <v>1382</v>
      </c>
      <c r="B634" s="43" t="s">
        <v>1382</v>
      </c>
      <c r="C634" s="43" t="s">
        <v>1383</v>
      </c>
      <c r="D634" s="43"/>
      <c r="E634" s="109" t="s">
        <v>851</v>
      </c>
      <c r="F634" s="110">
        <v>1003371767</v>
      </c>
      <c r="G634" s="43"/>
    </row>
    <row r="635" spans="1:7" ht="30" x14ac:dyDescent="0.25">
      <c r="A635" s="345" t="s">
        <v>873</v>
      </c>
      <c r="B635" s="345" t="s">
        <v>1391</v>
      </c>
      <c r="C635" s="345" t="s">
        <v>985</v>
      </c>
      <c r="D635" s="345" t="s">
        <v>1392</v>
      </c>
      <c r="E635" s="346" t="s">
        <v>851</v>
      </c>
      <c r="F635" s="347">
        <v>25547491</v>
      </c>
      <c r="G635" s="43"/>
    </row>
    <row r="636" spans="1:7" ht="30" x14ac:dyDescent="0.25">
      <c r="A636" s="43" t="s">
        <v>979</v>
      </c>
      <c r="B636" s="43" t="s">
        <v>943</v>
      </c>
      <c r="C636" s="43" t="s">
        <v>1217</v>
      </c>
      <c r="D636" s="43" t="s">
        <v>1398</v>
      </c>
      <c r="E636" s="109" t="s">
        <v>851</v>
      </c>
      <c r="F636" s="110">
        <v>1002846528</v>
      </c>
      <c r="G636" s="43"/>
    </row>
    <row r="637" spans="1:7" ht="30" x14ac:dyDescent="0.25">
      <c r="A637" s="345" t="s">
        <v>1405</v>
      </c>
      <c r="B637" s="345" t="s">
        <v>884</v>
      </c>
      <c r="C637" s="345" t="s">
        <v>1406</v>
      </c>
      <c r="D637" s="345" t="s">
        <v>1407</v>
      </c>
      <c r="E637" s="346" t="s">
        <v>851</v>
      </c>
      <c r="F637" s="347">
        <v>1059601552</v>
      </c>
      <c r="G637" s="43"/>
    </row>
    <row r="638" spans="1:7" ht="30" x14ac:dyDescent="0.25">
      <c r="A638" s="43" t="s">
        <v>1034</v>
      </c>
      <c r="B638" s="43" t="s">
        <v>1166</v>
      </c>
      <c r="C638" s="43" t="s">
        <v>1408</v>
      </c>
      <c r="D638" s="43" t="s">
        <v>1409</v>
      </c>
      <c r="E638" s="109" t="s">
        <v>851</v>
      </c>
      <c r="F638" s="110">
        <v>1005860830</v>
      </c>
      <c r="G638" s="43"/>
    </row>
    <row r="639" spans="1:7" ht="30" x14ac:dyDescent="0.25">
      <c r="A639" s="345" t="s">
        <v>944</v>
      </c>
      <c r="B639" s="345" t="s">
        <v>943</v>
      </c>
      <c r="C639" s="345" t="s">
        <v>1421</v>
      </c>
      <c r="D639" s="345"/>
      <c r="E639" s="346" t="s">
        <v>851</v>
      </c>
      <c r="F639" s="347">
        <v>1002846330</v>
      </c>
      <c r="G639" s="43"/>
    </row>
    <row r="640" spans="1:7" ht="30" x14ac:dyDescent="0.25">
      <c r="A640" s="43" t="s">
        <v>848</v>
      </c>
      <c r="B640" s="43" t="s">
        <v>943</v>
      </c>
      <c r="C640" s="43" t="s">
        <v>1423</v>
      </c>
      <c r="D640" s="43"/>
      <c r="E640" s="109" t="s">
        <v>851</v>
      </c>
      <c r="F640" s="110">
        <v>1193097625</v>
      </c>
      <c r="G640" s="43"/>
    </row>
    <row r="641" spans="1:7" ht="30" x14ac:dyDescent="0.25">
      <c r="A641" s="345" t="s">
        <v>1427</v>
      </c>
      <c r="B641" s="345" t="s">
        <v>1428</v>
      </c>
      <c r="C641" s="345" t="s">
        <v>1429</v>
      </c>
      <c r="D641" s="345" t="s">
        <v>1430</v>
      </c>
      <c r="E641" s="346" t="s">
        <v>851</v>
      </c>
      <c r="F641" s="347">
        <v>1061528490</v>
      </c>
      <c r="G641" s="43"/>
    </row>
    <row r="642" spans="1:7" ht="30" x14ac:dyDescent="0.25">
      <c r="A642" s="43" t="s">
        <v>873</v>
      </c>
      <c r="B642" s="43" t="s">
        <v>1435</v>
      </c>
      <c r="C642" s="43" t="s">
        <v>1436</v>
      </c>
      <c r="D642" s="43" t="s">
        <v>1437</v>
      </c>
      <c r="E642" s="109" t="s">
        <v>851</v>
      </c>
      <c r="F642" s="110">
        <v>1059601742</v>
      </c>
      <c r="G642" s="43"/>
    </row>
    <row r="643" spans="1:7" ht="30" x14ac:dyDescent="0.25">
      <c r="A643" s="345" t="s">
        <v>1439</v>
      </c>
      <c r="B643" s="345" t="s">
        <v>884</v>
      </c>
      <c r="C643" s="345" t="s">
        <v>1440</v>
      </c>
      <c r="D643" s="345" t="s">
        <v>1294</v>
      </c>
      <c r="E643" s="346" t="s">
        <v>851</v>
      </c>
      <c r="F643" s="347">
        <v>1002847533</v>
      </c>
      <c r="G643" s="43"/>
    </row>
    <row r="644" spans="1:7" ht="30" x14ac:dyDescent="0.25">
      <c r="A644" s="43" t="s">
        <v>1441</v>
      </c>
      <c r="B644" s="43"/>
      <c r="C644" s="43" t="s">
        <v>1284</v>
      </c>
      <c r="D644" s="43" t="s">
        <v>1442</v>
      </c>
      <c r="E644" s="109" t="s">
        <v>851</v>
      </c>
      <c r="F644" s="110">
        <v>1002848635</v>
      </c>
      <c r="G644" s="43"/>
    </row>
    <row r="645" spans="1:7" ht="30" x14ac:dyDescent="0.25">
      <c r="A645" s="345" t="s">
        <v>1443</v>
      </c>
      <c r="B645" s="345" t="s">
        <v>1444</v>
      </c>
      <c r="C645" s="345" t="s">
        <v>1445</v>
      </c>
      <c r="D645" s="345"/>
      <c r="E645" s="346" t="s">
        <v>851</v>
      </c>
      <c r="F645" s="347">
        <v>1061757665</v>
      </c>
      <c r="G645" s="43"/>
    </row>
    <row r="646" spans="1:7" ht="30" x14ac:dyDescent="0.25">
      <c r="A646" s="43" t="s">
        <v>1179</v>
      </c>
      <c r="B646" s="43" t="s">
        <v>1435</v>
      </c>
      <c r="C646" s="43" t="s">
        <v>1448</v>
      </c>
      <c r="D646" s="43" t="s">
        <v>1294</v>
      </c>
      <c r="E646" s="109" t="s">
        <v>851</v>
      </c>
      <c r="F646" s="110">
        <v>1059594096</v>
      </c>
      <c r="G646" s="43"/>
    </row>
    <row r="647" spans="1:7" ht="30" x14ac:dyDescent="0.25">
      <c r="A647" s="345" t="s">
        <v>1441</v>
      </c>
      <c r="B647" s="345" t="s">
        <v>914</v>
      </c>
      <c r="C647" s="345" t="s">
        <v>1451</v>
      </c>
      <c r="D647" s="345"/>
      <c r="E647" s="346" t="s">
        <v>851</v>
      </c>
      <c r="F647" s="347">
        <v>1059598007</v>
      </c>
      <c r="G647" s="43"/>
    </row>
    <row r="648" spans="1:7" ht="30" x14ac:dyDescent="0.25">
      <c r="A648" s="43" t="s">
        <v>1455</v>
      </c>
      <c r="B648" s="43" t="s">
        <v>974</v>
      </c>
      <c r="C648" s="43" t="s">
        <v>1305</v>
      </c>
      <c r="D648" s="43" t="s">
        <v>1456</v>
      </c>
      <c r="E648" s="109" t="s">
        <v>1094</v>
      </c>
      <c r="F648" s="110">
        <v>1059595977</v>
      </c>
      <c r="G648" s="43"/>
    </row>
    <row r="649" spans="1:7" ht="30" x14ac:dyDescent="0.25">
      <c r="A649" s="345" t="s">
        <v>1441</v>
      </c>
      <c r="B649" s="345" t="s">
        <v>884</v>
      </c>
      <c r="C649" s="345" t="s">
        <v>1457</v>
      </c>
      <c r="D649" s="345"/>
      <c r="E649" s="346" t="s">
        <v>851</v>
      </c>
      <c r="F649" s="347">
        <v>25545401</v>
      </c>
      <c r="G649" s="43"/>
    </row>
    <row r="650" spans="1:7" ht="30" x14ac:dyDescent="0.25">
      <c r="A650" s="43" t="s">
        <v>1458</v>
      </c>
      <c r="B650" s="43" t="s">
        <v>1459</v>
      </c>
      <c r="C650" s="43" t="s">
        <v>1460</v>
      </c>
      <c r="D650" s="43" t="s">
        <v>976</v>
      </c>
      <c r="E650" s="109" t="s">
        <v>1094</v>
      </c>
      <c r="F650" s="110">
        <v>1062295885</v>
      </c>
      <c r="G650" s="43"/>
    </row>
    <row r="651" spans="1:7" ht="30" x14ac:dyDescent="0.25">
      <c r="A651" s="345" t="s">
        <v>944</v>
      </c>
      <c r="B651" s="345" t="s">
        <v>943</v>
      </c>
      <c r="C651" s="345" t="s">
        <v>1463</v>
      </c>
      <c r="D651" s="345" t="s">
        <v>1464</v>
      </c>
      <c r="E651" s="346" t="s">
        <v>1094</v>
      </c>
      <c r="F651" s="347">
        <v>1060186081</v>
      </c>
      <c r="G651" s="43"/>
    </row>
    <row r="652" spans="1:7" ht="30" x14ac:dyDescent="0.25">
      <c r="A652" s="43" t="s">
        <v>964</v>
      </c>
      <c r="B652" s="43" t="s">
        <v>1465</v>
      </c>
      <c r="C652" s="43" t="s">
        <v>1002</v>
      </c>
      <c r="D652" s="43" t="s">
        <v>1366</v>
      </c>
      <c r="E652" s="109" t="s">
        <v>1094</v>
      </c>
      <c r="F652" s="110">
        <v>1061530990</v>
      </c>
      <c r="G652" s="43"/>
    </row>
    <row r="653" spans="1:7" ht="30" x14ac:dyDescent="0.25">
      <c r="A653" s="345" t="s">
        <v>1156</v>
      </c>
      <c r="B653" s="345" t="s">
        <v>883</v>
      </c>
      <c r="C653" s="345" t="s">
        <v>1157</v>
      </c>
      <c r="D653" s="345" t="s">
        <v>1466</v>
      </c>
      <c r="E653" s="346" t="s">
        <v>851</v>
      </c>
      <c r="F653" s="347">
        <v>1059594587</v>
      </c>
      <c r="G653" s="43"/>
    </row>
    <row r="654" spans="1:7" ht="30" x14ac:dyDescent="0.25">
      <c r="A654" s="43" t="s">
        <v>914</v>
      </c>
      <c r="B654" s="43" t="s">
        <v>848</v>
      </c>
      <c r="C654" s="43" t="s">
        <v>1485</v>
      </c>
      <c r="D654" s="43" t="s">
        <v>1285</v>
      </c>
      <c r="E654" s="109" t="s">
        <v>851</v>
      </c>
      <c r="F654" s="110" t="s">
        <v>1486</v>
      </c>
      <c r="G654" s="43"/>
    </row>
    <row r="655" spans="1:7" ht="30" x14ac:dyDescent="0.25">
      <c r="A655" s="345" t="s">
        <v>974</v>
      </c>
      <c r="B655" s="345" t="s">
        <v>943</v>
      </c>
      <c r="C655" s="345" t="s">
        <v>1217</v>
      </c>
      <c r="D655" s="345" t="s">
        <v>1490</v>
      </c>
      <c r="E655" s="346" t="s">
        <v>851</v>
      </c>
      <c r="F655" s="347" t="s">
        <v>1491</v>
      </c>
      <c r="G655" s="43"/>
    </row>
    <row r="656" spans="1:7" ht="30" x14ac:dyDescent="0.25">
      <c r="A656" s="43" t="s">
        <v>992</v>
      </c>
      <c r="B656" s="43" t="s">
        <v>1498</v>
      </c>
      <c r="C656" s="43" t="s">
        <v>938</v>
      </c>
      <c r="D656" s="43" t="s">
        <v>1499</v>
      </c>
      <c r="E656" s="109" t="s">
        <v>851</v>
      </c>
      <c r="F656" s="110" t="s">
        <v>1500</v>
      </c>
      <c r="G656" s="43"/>
    </row>
    <row r="657" spans="1:7" ht="30" x14ac:dyDescent="0.25">
      <c r="A657" s="345" t="s">
        <v>848</v>
      </c>
      <c r="B657" s="345" t="s">
        <v>953</v>
      </c>
      <c r="C657" s="345" t="s">
        <v>1501</v>
      </c>
      <c r="D657" s="345" t="s">
        <v>919</v>
      </c>
      <c r="E657" s="346" t="s">
        <v>851</v>
      </c>
      <c r="F657" s="347" t="s">
        <v>1502</v>
      </c>
      <c r="G657" s="43"/>
    </row>
    <row r="658" spans="1:7" ht="30" x14ac:dyDescent="0.25">
      <c r="A658" s="43" t="s">
        <v>1041</v>
      </c>
      <c r="B658" s="43" t="s">
        <v>1147</v>
      </c>
      <c r="C658" s="43" t="s">
        <v>1512</v>
      </c>
      <c r="D658" s="43"/>
      <c r="E658" s="109" t="s">
        <v>851</v>
      </c>
      <c r="F658" s="110">
        <v>1059604976</v>
      </c>
      <c r="G658" s="43"/>
    </row>
    <row r="659" spans="1:7" ht="30" x14ac:dyDescent="0.25">
      <c r="A659" s="345" t="s">
        <v>1513</v>
      </c>
      <c r="B659" s="345" t="s">
        <v>1514</v>
      </c>
      <c r="C659" s="345" t="s">
        <v>1515</v>
      </c>
      <c r="D659" s="345"/>
      <c r="E659" s="346" t="s">
        <v>851</v>
      </c>
      <c r="F659" s="347">
        <v>1067461286</v>
      </c>
      <c r="G659" s="43"/>
    </row>
    <row r="660" spans="1:7" ht="30" x14ac:dyDescent="0.25">
      <c r="A660" s="43" t="s">
        <v>1519</v>
      </c>
      <c r="B660" s="43" t="s">
        <v>848</v>
      </c>
      <c r="C660" s="43" t="s">
        <v>1520</v>
      </c>
      <c r="D660" s="43" t="s">
        <v>1521</v>
      </c>
      <c r="E660" s="109" t="s">
        <v>851</v>
      </c>
      <c r="F660" s="110">
        <v>1002950269</v>
      </c>
      <c r="G660" s="43"/>
    </row>
    <row r="661" spans="1:7" ht="30" x14ac:dyDescent="0.25">
      <c r="A661" s="345" t="s">
        <v>884</v>
      </c>
      <c r="B661" s="345" t="s">
        <v>1524</v>
      </c>
      <c r="C661" s="345" t="s">
        <v>945</v>
      </c>
      <c r="D661" s="345" t="s">
        <v>919</v>
      </c>
      <c r="E661" s="346" t="s">
        <v>851</v>
      </c>
      <c r="F661" s="347">
        <v>1002970266</v>
      </c>
      <c r="G661" s="43"/>
    </row>
    <row r="662" spans="1:7" ht="30" x14ac:dyDescent="0.25">
      <c r="A662" s="43" t="s">
        <v>896</v>
      </c>
      <c r="B662" s="43" t="s">
        <v>953</v>
      </c>
      <c r="C662" s="43" t="s">
        <v>1530</v>
      </c>
      <c r="D662" s="43" t="s">
        <v>1182</v>
      </c>
      <c r="E662" s="109" t="s">
        <v>851</v>
      </c>
      <c r="F662" s="110">
        <v>1059594419</v>
      </c>
      <c r="G662" s="43"/>
    </row>
    <row r="663" spans="1:7" ht="30" x14ac:dyDescent="0.25">
      <c r="A663" s="345" t="s">
        <v>1361</v>
      </c>
      <c r="B663" s="345" t="s">
        <v>992</v>
      </c>
      <c r="C663" s="345" t="s">
        <v>1531</v>
      </c>
      <c r="D663" s="345"/>
      <c r="E663" s="346" t="s">
        <v>851</v>
      </c>
      <c r="F663" s="347">
        <v>1151452891</v>
      </c>
      <c r="G663" s="43"/>
    </row>
    <row r="664" spans="1:7" ht="30" x14ac:dyDescent="0.25">
      <c r="A664" s="43" t="s">
        <v>914</v>
      </c>
      <c r="B664" s="43" t="s">
        <v>1470</v>
      </c>
      <c r="C664" s="43" t="s">
        <v>1167</v>
      </c>
      <c r="D664" s="43" t="s">
        <v>1043</v>
      </c>
      <c r="E664" s="109" t="s">
        <v>851</v>
      </c>
      <c r="F664" s="110">
        <v>1193105051</v>
      </c>
      <c r="G664" s="43"/>
    </row>
    <row r="665" spans="1:7" ht="30" x14ac:dyDescent="0.25">
      <c r="A665" s="345" t="s">
        <v>884</v>
      </c>
      <c r="B665" s="345" t="s">
        <v>1144</v>
      </c>
      <c r="C665" s="345" t="s">
        <v>1534</v>
      </c>
      <c r="D665" s="345"/>
      <c r="E665" s="346" t="s">
        <v>851</v>
      </c>
      <c r="F665" s="353">
        <v>1002846626</v>
      </c>
      <c r="G665" s="43"/>
    </row>
    <row r="666" spans="1:7" ht="30" x14ac:dyDescent="0.25">
      <c r="A666" s="43" t="s">
        <v>1246</v>
      </c>
      <c r="B666" s="43" t="s">
        <v>943</v>
      </c>
      <c r="C666" s="43" t="s">
        <v>1535</v>
      </c>
      <c r="D666" s="43"/>
      <c r="E666" s="109" t="s">
        <v>851</v>
      </c>
      <c r="F666" s="354">
        <v>1002848307</v>
      </c>
      <c r="G666" s="43"/>
    </row>
    <row r="667" spans="1:7" ht="30" x14ac:dyDescent="0.25">
      <c r="A667" s="345" t="s">
        <v>873</v>
      </c>
      <c r="B667" s="345" t="s">
        <v>1091</v>
      </c>
      <c r="C667" s="345" t="s">
        <v>1277</v>
      </c>
      <c r="D667" s="345"/>
      <c r="E667" s="346" t="s">
        <v>851</v>
      </c>
      <c r="F667" s="355">
        <v>1059598472</v>
      </c>
      <c r="G667" s="43"/>
    </row>
    <row r="668" spans="1:7" ht="30" x14ac:dyDescent="0.25">
      <c r="A668" s="43" t="s">
        <v>896</v>
      </c>
      <c r="B668" s="43" t="s">
        <v>1091</v>
      </c>
      <c r="C668" s="43" t="s">
        <v>1538</v>
      </c>
      <c r="D668" s="43"/>
      <c r="E668" s="109" t="s">
        <v>851</v>
      </c>
      <c r="F668" s="110">
        <v>1002846350</v>
      </c>
      <c r="G668" s="43"/>
    </row>
    <row r="669" spans="1:7" ht="30" x14ac:dyDescent="0.25">
      <c r="A669" s="345" t="s">
        <v>1540</v>
      </c>
      <c r="B669" s="345" t="s">
        <v>943</v>
      </c>
      <c r="C669" s="345" t="s">
        <v>1541</v>
      </c>
      <c r="D669" s="345" t="s">
        <v>1542</v>
      </c>
      <c r="E669" s="346" t="s">
        <v>851</v>
      </c>
      <c r="F669" s="359" t="s">
        <v>1539</v>
      </c>
      <c r="G669" s="43"/>
    </row>
    <row r="670" spans="1:7" ht="30" x14ac:dyDescent="0.25">
      <c r="A670" s="43" t="s">
        <v>1144</v>
      </c>
      <c r="B670" s="43" t="s">
        <v>996</v>
      </c>
      <c r="C670" s="43" t="s">
        <v>1192</v>
      </c>
      <c r="D670" s="43"/>
      <c r="E670" s="109" t="s">
        <v>851</v>
      </c>
      <c r="F670" s="354">
        <v>1059604012</v>
      </c>
      <c r="G670" s="43"/>
    </row>
    <row r="671" spans="1:7" x14ac:dyDescent="0.25">
      <c r="A671" s="345" t="s">
        <v>943</v>
      </c>
      <c r="B671" s="345" t="s">
        <v>848</v>
      </c>
      <c r="C671" s="345" t="s">
        <v>1553</v>
      </c>
      <c r="D671" s="345"/>
      <c r="E671" s="346"/>
      <c r="F671" s="347">
        <v>1059594153</v>
      </c>
      <c r="G671" s="43"/>
    </row>
    <row r="672" spans="1:7" ht="30" x14ac:dyDescent="0.25">
      <c r="A672" s="43" t="s">
        <v>953</v>
      </c>
      <c r="B672" s="43" t="s">
        <v>1249</v>
      </c>
      <c r="C672" s="43" t="s">
        <v>1556</v>
      </c>
      <c r="D672" s="43"/>
      <c r="E672" s="109" t="s">
        <v>1094</v>
      </c>
      <c r="F672" s="110">
        <v>1059599873</v>
      </c>
      <c r="G672" s="43"/>
    </row>
    <row r="673" spans="1:7" ht="30" x14ac:dyDescent="0.25">
      <c r="A673" s="345" t="s">
        <v>896</v>
      </c>
      <c r="B673" s="345" t="s">
        <v>915</v>
      </c>
      <c r="C673" s="345" t="s">
        <v>1585</v>
      </c>
      <c r="D673" s="345"/>
      <c r="E673" s="346" t="s">
        <v>851</v>
      </c>
      <c r="F673" s="347">
        <v>1059595460</v>
      </c>
      <c r="G673" s="43"/>
    </row>
    <row r="674" spans="1:7" ht="30" x14ac:dyDescent="0.25">
      <c r="A674" s="43" t="s">
        <v>953</v>
      </c>
      <c r="B674" s="43" t="s">
        <v>1286</v>
      </c>
      <c r="C674" s="43" t="s">
        <v>1463</v>
      </c>
      <c r="D674" s="43" t="s">
        <v>1579</v>
      </c>
      <c r="E674" s="109" t="s">
        <v>851</v>
      </c>
      <c r="F674" s="356" t="s">
        <v>1578</v>
      </c>
      <c r="G674" s="43"/>
    </row>
    <row r="675" spans="1:7" ht="30" x14ac:dyDescent="0.25">
      <c r="A675" s="345" t="s">
        <v>1580</v>
      </c>
      <c r="B675" s="345" t="s">
        <v>914</v>
      </c>
      <c r="C675" s="345" t="s">
        <v>1581</v>
      </c>
      <c r="D675" s="345" t="s">
        <v>1464</v>
      </c>
      <c r="E675" s="346" t="s">
        <v>851</v>
      </c>
      <c r="F675" s="359">
        <v>1002846447</v>
      </c>
      <c r="G675" s="43"/>
    </row>
    <row r="676" spans="1:7" ht="30" x14ac:dyDescent="0.25">
      <c r="A676" s="43" t="s">
        <v>896</v>
      </c>
      <c r="B676" s="43" t="s">
        <v>1599</v>
      </c>
      <c r="C676" s="43" t="s">
        <v>1607</v>
      </c>
      <c r="D676" s="43" t="s">
        <v>1608</v>
      </c>
      <c r="E676" s="109" t="s">
        <v>851</v>
      </c>
      <c r="F676" s="110">
        <v>1060800773</v>
      </c>
      <c r="G676" s="43"/>
    </row>
    <row r="677" spans="1:7" ht="30" x14ac:dyDescent="0.25">
      <c r="A677" s="345" t="s">
        <v>914</v>
      </c>
      <c r="B677" s="345" t="s">
        <v>914</v>
      </c>
      <c r="C677" s="345" t="s">
        <v>1614</v>
      </c>
      <c r="D677" s="345" t="s">
        <v>1277</v>
      </c>
      <c r="E677" s="346" t="s">
        <v>851</v>
      </c>
      <c r="F677" s="347">
        <v>1002847076</v>
      </c>
      <c r="G677" s="43"/>
    </row>
    <row r="678" spans="1:7" ht="30" x14ac:dyDescent="0.25">
      <c r="A678" s="43" t="s">
        <v>1637</v>
      </c>
      <c r="B678" s="43" t="s">
        <v>1638</v>
      </c>
      <c r="C678" s="43" t="s">
        <v>1028</v>
      </c>
      <c r="D678" s="43"/>
      <c r="E678" s="109" t="s">
        <v>851</v>
      </c>
      <c r="F678" s="357">
        <v>1060986729</v>
      </c>
      <c r="G678" s="43"/>
    </row>
    <row r="679" spans="1:7" ht="30" x14ac:dyDescent="0.25">
      <c r="A679" s="345" t="s">
        <v>1210</v>
      </c>
      <c r="B679" s="345" t="s">
        <v>848</v>
      </c>
      <c r="C679" s="345" t="s">
        <v>1670</v>
      </c>
      <c r="D679" s="345" t="s">
        <v>1671</v>
      </c>
      <c r="E679" s="346" t="s">
        <v>851</v>
      </c>
      <c r="F679" s="347">
        <v>1059602883</v>
      </c>
      <c r="G679" s="43"/>
    </row>
    <row r="680" spans="1:7" ht="30" x14ac:dyDescent="0.25">
      <c r="A680" s="43" t="s">
        <v>1677</v>
      </c>
      <c r="B680" s="43" t="s">
        <v>962</v>
      </c>
      <c r="C680" s="43" t="s">
        <v>1678</v>
      </c>
      <c r="D680" s="43" t="s">
        <v>1679</v>
      </c>
      <c r="E680" s="109" t="s">
        <v>1094</v>
      </c>
      <c r="F680" s="363" t="s">
        <v>1676</v>
      </c>
      <c r="G680" s="43"/>
    </row>
    <row r="681" spans="1:7" x14ac:dyDescent="0.25">
      <c r="A681" s="423" t="s">
        <v>1706</v>
      </c>
      <c r="B681" s="423"/>
      <c r="C681" s="423"/>
      <c r="D681" s="423"/>
      <c r="E681" s="423"/>
      <c r="F681" s="423"/>
      <c r="G681" s="43"/>
    </row>
    <row r="682" spans="1:7" ht="45" x14ac:dyDescent="0.25">
      <c r="A682" s="17" t="s">
        <v>94</v>
      </c>
      <c r="B682" s="17" t="s">
        <v>21</v>
      </c>
      <c r="C682" s="17" t="s">
        <v>0</v>
      </c>
      <c r="D682" s="17" t="s">
        <v>1</v>
      </c>
      <c r="E682" s="17" t="s">
        <v>2</v>
      </c>
      <c r="F682" s="17" t="s">
        <v>3</v>
      </c>
      <c r="G682" s="43"/>
    </row>
    <row r="683" spans="1:7" ht="30" x14ac:dyDescent="0.25">
      <c r="A683" s="43" t="s">
        <v>974</v>
      </c>
      <c r="B683" s="43" t="s">
        <v>1144</v>
      </c>
      <c r="C683" s="43" t="s">
        <v>1192</v>
      </c>
      <c r="D683" s="43" t="s">
        <v>1193</v>
      </c>
      <c r="E683" s="109" t="s">
        <v>1094</v>
      </c>
      <c r="F683" s="110">
        <v>1059595334</v>
      </c>
      <c r="G683" s="43"/>
    </row>
    <row r="684" spans="1:7" ht="30" x14ac:dyDescent="0.25">
      <c r="A684" s="345" t="s">
        <v>914</v>
      </c>
      <c r="B684" s="345" t="s">
        <v>884</v>
      </c>
      <c r="C684" s="345" t="s">
        <v>1296</v>
      </c>
      <c r="D684" s="345" t="s">
        <v>850</v>
      </c>
      <c r="E684" s="346" t="s">
        <v>851</v>
      </c>
      <c r="F684" s="347">
        <v>1060186045</v>
      </c>
      <c r="G684" s="43"/>
    </row>
    <row r="685" spans="1:7" ht="30" x14ac:dyDescent="0.25">
      <c r="A685" s="43" t="s">
        <v>1298</v>
      </c>
      <c r="B685" s="43" t="s">
        <v>914</v>
      </c>
      <c r="C685" s="43" t="s">
        <v>1299</v>
      </c>
      <c r="D685" s="43" t="s">
        <v>1300</v>
      </c>
      <c r="E685" s="109" t="s">
        <v>851</v>
      </c>
      <c r="F685" s="110" t="s">
        <v>1301</v>
      </c>
      <c r="G685" s="43"/>
    </row>
    <row r="686" spans="1:7" ht="30" x14ac:dyDescent="0.25">
      <c r="A686" s="345" t="s">
        <v>1305</v>
      </c>
      <c r="B686" s="345" t="s">
        <v>884</v>
      </c>
      <c r="C686" s="345" t="s">
        <v>1306</v>
      </c>
      <c r="D686" s="345" t="s">
        <v>1307</v>
      </c>
      <c r="E686" s="346" t="s">
        <v>851</v>
      </c>
      <c r="F686" s="347">
        <v>1059604869</v>
      </c>
      <c r="G686" s="43"/>
    </row>
    <row r="687" spans="1:7" ht="30" x14ac:dyDescent="0.25">
      <c r="A687" s="43" t="s">
        <v>953</v>
      </c>
      <c r="B687" s="43" t="s">
        <v>1316</v>
      </c>
      <c r="C687" s="43" t="s">
        <v>1317</v>
      </c>
      <c r="D687" s="43" t="s">
        <v>1028</v>
      </c>
      <c r="E687" s="109" t="s">
        <v>851</v>
      </c>
      <c r="F687" s="110">
        <v>1059594373</v>
      </c>
      <c r="G687" s="43"/>
    </row>
    <row r="688" spans="1:7" ht="30" x14ac:dyDescent="0.25">
      <c r="A688" s="345" t="s">
        <v>914</v>
      </c>
      <c r="B688" s="345" t="s">
        <v>1318</v>
      </c>
      <c r="C688" s="345" t="s">
        <v>1319</v>
      </c>
      <c r="D688" s="345"/>
      <c r="E688" s="346" t="s">
        <v>851</v>
      </c>
      <c r="F688" s="347" t="s">
        <v>1320</v>
      </c>
      <c r="G688" s="43"/>
    </row>
    <row r="689" spans="1:7" ht="30" x14ac:dyDescent="0.25">
      <c r="A689" s="43" t="s">
        <v>1332</v>
      </c>
      <c r="B689" s="43" t="s">
        <v>1091</v>
      </c>
      <c r="C689" s="43" t="s">
        <v>1333</v>
      </c>
      <c r="D689" s="43"/>
      <c r="E689" s="109" t="s">
        <v>1094</v>
      </c>
      <c r="F689" s="110">
        <v>1059595374</v>
      </c>
      <c r="G689" s="43"/>
    </row>
    <row r="690" spans="1:7" ht="30" x14ac:dyDescent="0.25">
      <c r="A690" s="345" t="s">
        <v>874</v>
      </c>
      <c r="B690" s="345" t="s">
        <v>943</v>
      </c>
      <c r="C690" s="345" t="s">
        <v>1340</v>
      </c>
      <c r="D690" s="345"/>
      <c r="E690" s="346" t="s">
        <v>1094</v>
      </c>
      <c r="F690" s="347">
        <v>1059597393</v>
      </c>
      <c r="G690" s="43"/>
    </row>
    <row r="691" spans="1:7" ht="30" x14ac:dyDescent="0.25">
      <c r="A691" s="43" t="s">
        <v>914</v>
      </c>
      <c r="B691" s="43" t="s">
        <v>915</v>
      </c>
      <c r="C691" s="43" t="s">
        <v>916</v>
      </c>
      <c r="D691" s="43"/>
      <c r="E691" s="109" t="s">
        <v>1094</v>
      </c>
      <c r="F691" s="110">
        <v>1059598169</v>
      </c>
      <c r="G691" s="43"/>
    </row>
    <row r="692" spans="1:7" ht="30" x14ac:dyDescent="0.25">
      <c r="A692" s="345" t="s">
        <v>1360</v>
      </c>
      <c r="B692" s="345" t="s">
        <v>1361</v>
      </c>
      <c r="C692" s="345" t="s">
        <v>938</v>
      </c>
      <c r="D692" s="345" t="s">
        <v>1362</v>
      </c>
      <c r="E692" s="346" t="s">
        <v>851</v>
      </c>
      <c r="F692" s="347" t="s">
        <v>1363</v>
      </c>
      <c r="G692" s="43"/>
    </row>
    <row r="693" spans="1:7" ht="30" x14ac:dyDescent="0.25">
      <c r="A693" s="43" t="s">
        <v>1286</v>
      </c>
      <c r="B693" s="43" t="s">
        <v>914</v>
      </c>
      <c r="C693" s="43" t="s">
        <v>1198</v>
      </c>
      <c r="D693" s="43" t="s">
        <v>1364</v>
      </c>
      <c r="E693" s="109" t="s">
        <v>851</v>
      </c>
      <c r="F693" s="110">
        <v>1059600026</v>
      </c>
      <c r="G693" s="43"/>
    </row>
    <row r="694" spans="1:7" ht="30" x14ac:dyDescent="0.25">
      <c r="A694" s="345" t="s">
        <v>857</v>
      </c>
      <c r="B694" s="345" t="s">
        <v>1365</v>
      </c>
      <c r="C694" s="345" t="s">
        <v>949</v>
      </c>
      <c r="D694" s="345" t="s">
        <v>1366</v>
      </c>
      <c r="E694" s="346" t="s">
        <v>851</v>
      </c>
      <c r="F694" s="347">
        <v>1002953350</v>
      </c>
      <c r="G694" s="43"/>
    </row>
    <row r="695" spans="1:7" ht="30" x14ac:dyDescent="0.25">
      <c r="A695" s="43" t="s">
        <v>1368</v>
      </c>
      <c r="B695" s="43" t="s">
        <v>1369</v>
      </c>
      <c r="C695" s="43" t="s">
        <v>1370</v>
      </c>
      <c r="D695" s="43" t="s">
        <v>982</v>
      </c>
      <c r="E695" s="109" t="s">
        <v>851</v>
      </c>
      <c r="F695" s="110">
        <v>1059603417</v>
      </c>
      <c r="G695" s="43"/>
    </row>
    <row r="696" spans="1:7" ht="30" x14ac:dyDescent="0.25">
      <c r="A696" s="345" t="s">
        <v>1382</v>
      </c>
      <c r="B696" s="345" t="s">
        <v>1382</v>
      </c>
      <c r="C696" s="345" t="s">
        <v>1383</v>
      </c>
      <c r="D696" s="345"/>
      <c r="E696" s="346" t="s">
        <v>851</v>
      </c>
      <c r="F696" s="347">
        <v>1003371767</v>
      </c>
      <c r="G696" s="43"/>
    </row>
    <row r="697" spans="1:7" ht="30" x14ac:dyDescent="0.25">
      <c r="A697" s="43" t="s">
        <v>873</v>
      </c>
      <c r="B697" s="43" t="s">
        <v>1391</v>
      </c>
      <c r="C697" s="43" t="s">
        <v>985</v>
      </c>
      <c r="D697" s="43" t="s">
        <v>1392</v>
      </c>
      <c r="E697" s="109" t="s">
        <v>851</v>
      </c>
      <c r="F697" s="110">
        <v>25547491</v>
      </c>
      <c r="G697" s="43"/>
    </row>
    <row r="698" spans="1:7" ht="30" x14ac:dyDescent="0.25">
      <c r="A698" s="345" t="s">
        <v>979</v>
      </c>
      <c r="B698" s="345" t="s">
        <v>943</v>
      </c>
      <c r="C698" s="345" t="s">
        <v>1217</v>
      </c>
      <c r="D698" s="345" t="s">
        <v>1398</v>
      </c>
      <c r="E698" s="346" t="s">
        <v>851</v>
      </c>
      <c r="F698" s="347">
        <v>1002846528</v>
      </c>
      <c r="G698" s="43"/>
    </row>
    <row r="699" spans="1:7" ht="30" x14ac:dyDescent="0.25">
      <c r="A699" s="43" t="s">
        <v>1405</v>
      </c>
      <c r="B699" s="43" t="s">
        <v>884</v>
      </c>
      <c r="C699" s="43" t="s">
        <v>1406</v>
      </c>
      <c r="D699" s="43" t="s">
        <v>1407</v>
      </c>
      <c r="E699" s="109" t="s">
        <v>851</v>
      </c>
      <c r="F699" s="110">
        <v>1059601552</v>
      </c>
      <c r="G699" s="43"/>
    </row>
    <row r="700" spans="1:7" ht="30" x14ac:dyDescent="0.25">
      <c r="A700" s="345" t="s">
        <v>1034</v>
      </c>
      <c r="B700" s="345" t="s">
        <v>1166</v>
      </c>
      <c r="C700" s="345" t="s">
        <v>1408</v>
      </c>
      <c r="D700" s="345" t="s">
        <v>1409</v>
      </c>
      <c r="E700" s="346" t="s">
        <v>851</v>
      </c>
      <c r="F700" s="347">
        <v>1005860830</v>
      </c>
      <c r="G700" s="43"/>
    </row>
    <row r="701" spans="1:7" ht="30" x14ac:dyDescent="0.25">
      <c r="A701" s="43" t="s">
        <v>944</v>
      </c>
      <c r="B701" s="43" t="s">
        <v>943</v>
      </c>
      <c r="C701" s="43" t="s">
        <v>1421</v>
      </c>
      <c r="D701" s="43"/>
      <c r="E701" s="109" t="s">
        <v>851</v>
      </c>
      <c r="F701" s="110">
        <v>1002846330</v>
      </c>
      <c r="G701" s="43"/>
    </row>
    <row r="702" spans="1:7" ht="30" x14ac:dyDescent="0.25">
      <c r="A702" s="345" t="s">
        <v>848</v>
      </c>
      <c r="B702" s="345" t="s">
        <v>943</v>
      </c>
      <c r="C702" s="345" t="s">
        <v>1423</v>
      </c>
      <c r="D702" s="345"/>
      <c r="E702" s="346" t="s">
        <v>851</v>
      </c>
      <c r="F702" s="347">
        <v>1193097625</v>
      </c>
      <c r="G702" s="43"/>
    </row>
    <row r="703" spans="1:7" ht="30" x14ac:dyDescent="0.25">
      <c r="A703" s="43" t="s">
        <v>1427</v>
      </c>
      <c r="B703" s="43" t="s">
        <v>1428</v>
      </c>
      <c r="C703" s="43" t="s">
        <v>1429</v>
      </c>
      <c r="D703" s="43" t="s">
        <v>1430</v>
      </c>
      <c r="E703" s="109" t="s">
        <v>851</v>
      </c>
      <c r="F703" s="110">
        <v>1061528490</v>
      </c>
      <c r="G703" s="43"/>
    </row>
    <row r="704" spans="1:7" ht="30" x14ac:dyDescent="0.25">
      <c r="A704" s="345" t="s">
        <v>1144</v>
      </c>
      <c r="B704" s="345" t="s">
        <v>884</v>
      </c>
      <c r="C704" s="345" t="s">
        <v>1432</v>
      </c>
      <c r="D704" s="345" t="s">
        <v>1433</v>
      </c>
      <c r="E704" s="346" t="s">
        <v>1094</v>
      </c>
      <c r="F704" s="347">
        <v>1059596594</v>
      </c>
      <c r="G704" s="43"/>
    </row>
    <row r="705" spans="1:7" ht="30" x14ac:dyDescent="0.25">
      <c r="A705" s="43" t="s">
        <v>873</v>
      </c>
      <c r="B705" s="43" t="s">
        <v>1435</v>
      </c>
      <c r="C705" s="43" t="s">
        <v>1436</v>
      </c>
      <c r="D705" s="43" t="s">
        <v>1437</v>
      </c>
      <c r="E705" s="109" t="s">
        <v>851</v>
      </c>
      <c r="F705" s="110">
        <v>1059601742</v>
      </c>
      <c r="G705" s="43"/>
    </row>
    <row r="706" spans="1:7" ht="30" x14ac:dyDescent="0.25">
      <c r="A706" s="345" t="s">
        <v>1439</v>
      </c>
      <c r="B706" s="345" t="s">
        <v>884</v>
      </c>
      <c r="C706" s="345" t="s">
        <v>1440</v>
      </c>
      <c r="D706" s="345" t="s">
        <v>1294</v>
      </c>
      <c r="E706" s="346" t="s">
        <v>851</v>
      </c>
      <c r="F706" s="347">
        <v>1002847533</v>
      </c>
      <c r="G706" s="43"/>
    </row>
    <row r="707" spans="1:7" ht="30" x14ac:dyDescent="0.25">
      <c r="A707" s="43" t="s">
        <v>1441</v>
      </c>
      <c r="B707" s="43"/>
      <c r="C707" s="43" t="s">
        <v>1284</v>
      </c>
      <c r="D707" s="43" t="s">
        <v>1442</v>
      </c>
      <c r="E707" s="109" t="s">
        <v>851</v>
      </c>
      <c r="F707" s="110">
        <v>1002848635</v>
      </c>
      <c r="G707" s="43"/>
    </row>
    <row r="708" spans="1:7" ht="30" x14ac:dyDescent="0.25">
      <c r="A708" s="345" t="s">
        <v>1443</v>
      </c>
      <c r="B708" s="345" t="s">
        <v>1444</v>
      </c>
      <c r="C708" s="345" t="s">
        <v>1445</v>
      </c>
      <c r="D708" s="345"/>
      <c r="E708" s="346" t="s">
        <v>851</v>
      </c>
      <c r="F708" s="347">
        <v>1061757665</v>
      </c>
      <c r="G708" s="43"/>
    </row>
    <row r="709" spans="1:7" ht="30" x14ac:dyDescent="0.25">
      <c r="A709" s="43" t="s">
        <v>1179</v>
      </c>
      <c r="B709" s="43" t="s">
        <v>1435</v>
      </c>
      <c r="C709" s="43" t="s">
        <v>1448</v>
      </c>
      <c r="D709" s="43" t="s">
        <v>1294</v>
      </c>
      <c r="E709" s="109" t="s">
        <v>851</v>
      </c>
      <c r="F709" s="110">
        <v>1059594096</v>
      </c>
      <c r="G709" s="43"/>
    </row>
    <row r="710" spans="1:7" ht="30" x14ac:dyDescent="0.25">
      <c r="A710" s="345" t="s">
        <v>1441</v>
      </c>
      <c r="B710" s="345" t="s">
        <v>914</v>
      </c>
      <c r="C710" s="345" t="s">
        <v>1451</v>
      </c>
      <c r="D710" s="345"/>
      <c r="E710" s="346" t="s">
        <v>851</v>
      </c>
      <c r="F710" s="347">
        <v>1059598007</v>
      </c>
      <c r="G710" s="43"/>
    </row>
    <row r="711" spans="1:7" ht="30" x14ac:dyDescent="0.25">
      <c r="A711" s="43" t="s">
        <v>896</v>
      </c>
      <c r="B711" s="43" t="s">
        <v>943</v>
      </c>
      <c r="C711" s="43" t="s">
        <v>1452</v>
      </c>
      <c r="D711" s="43" t="s">
        <v>1372</v>
      </c>
      <c r="E711" s="109" t="s">
        <v>851</v>
      </c>
      <c r="F711" s="110">
        <v>1059599315</v>
      </c>
      <c r="G711" s="43"/>
    </row>
    <row r="712" spans="1:7" ht="30" x14ac:dyDescent="0.25">
      <c r="A712" s="345" t="s">
        <v>1455</v>
      </c>
      <c r="B712" s="345" t="s">
        <v>974</v>
      </c>
      <c r="C712" s="345" t="s">
        <v>1305</v>
      </c>
      <c r="D712" s="345" t="s">
        <v>1456</v>
      </c>
      <c r="E712" s="346" t="s">
        <v>1094</v>
      </c>
      <c r="F712" s="347">
        <v>1059595977</v>
      </c>
      <c r="G712" s="43"/>
    </row>
    <row r="713" spans="1:7" ht="30" x14ac:dyDescent="0.25">
      <c r="A713" s="43" t="s">
        <v>1441</v>
      </c>
      <c r="B713" s="43" t="s">
        <v>884</v>
      </c>
      <c r="C713" s="43" t="s">
        <v>1457</v>
      </c>
      <c r="D713" s="43"/>
      <c r="E713" s="109" t="s">
        <v>851</v>
      </c>
      <c r="F713" s="110">
        <v>25545401</v>
      </c>
      <c r="G713" s="43"/>
    </row>
    <row r="714" spans="1:7" ht="30" x14ac:dyDescent="0.25">
      <c r="A714" s="345" t="s">
        <v>1458</v>
      </c>
      <c r="B714" s="345" t="s">
        <v>1459</v>
      </c>
      <c r="C714" s="345" t="s">
        <v>1460</v>
      </c>
      <c r="D714" s="345" t="s">
        <v>976</v>
      </c>
      <c r="E714" s="346" t="s">
        <v>1094</v>
      </c>
      <c r="F714" s="347">
        <v>1062295885</v>
      </c>
      <c r="G714" s="43"/>
    </row>
    <row r="715" spans="1:7" ht="30" x14ac:dyDescent="0.25">
      <c r="A715" s="43" t="s">
        <v>944</v>
      </c>
      <c r="B715" s="43" t="s">
        <v>943</v>
      </c>
      <c r="C715" s="43" t="s">
        <v>1463</v>
      </c>
      <c r="D715" s="43" t="s">
        <v>1464</v>
      </c>
      <c r="E715" s="109" t="s">
        <v>1094</v>
      </c>
      <c r="F715" s="110">
        <v>1060186081</v>
      </c>
      <c r="G715" s="43"/>
    </row>
    <row r="716" spans="1:7" ht="30" x14ac:dyDescent="0.25">
      <c r="A716" s="345" t="s">
        <v>964</v>
      </c>
      <c r="B716" s="345" t="s">
        <v>1465</v>
      </c>
      <c r="C716" s="345" t="s">
        <v>1002</v>
      </c>
      <c r="D716" s="345" t="s">
        <v>1366</v>
      </c>
      <c r="E716" s="346" t="s">
        <v>1094</v>
      </c>
      <c r="F716" s="347">
        <v>1061530990</v>
      </c>
      <c r="G716" s="43"/>
    </row>
    <row r="717" spans="1:7" ht="30" x14ac:dyDescent="0.25">
      <c r="A717" s="43" t="s">
        <v>1156</v>
      </c>
      <c r="B717" s="43" t="s">
        <v>883</v>
      </c>
      <c r="C717" s="43" t="s">
        <v>1157</v>
      </c>
      <c r="D717" s="43" t="s">
        <v>1466</v>
      </c>
      <c r="E717" s="109" t="s">
        <v>851</v>
      </c>
      <c r="F717" s="110">
        <v>1059594587</v>
      </c>
      <c r="G717" s="43"/>
    </row>
    <row r="718" spans="1:7" ht="30" x14ac:dyDescent="0.25">
      <c r="A718" s="345" t="s">
        <v>943</v>
      </c>
      <c r="B718" s="345" t="s">
        <v>1144</v>
      </c>
      <c r="C718" s="345" t="s">
        <v>1468</v>
      </c>
      <c r="D718" s="345" t="s">
        <v>1281</v>
      </c>
      <c r="E718" s="346" t="s">
        <v>851</v>
      </c>
      <c r="F718" s="347">
        <v>1059607505</v>
      </c>
      <c r="G718" s="43"/>
    </row>
    <row r="719" spans="1:7" ht="30" x14ac:dyDescent="0.25">
      <c r="A719" s="43" t="s">
        <v>883</v>
      </c>
      <c r="B719" s="43" t="s">
        <v>1290</v>
      </c>
      <c r="C719" s="43" t="s">
        <v>1476</v>
      </c>
      <c r="D719" s="43"/>
      <c r="E719" s="109" t="s">
        <v>851</v>
      </c>
      <c r="F719" s="110">
        <v>1059604081</v>
      </c>
      <c r="G719" s="43"/>
    </row>
    <row r="720" spans="1:7" ht="30" x14ac:dyDescent="0.25">
      <c r="A720" s="345" t="s">
        <v>914</v>
      </c>
      <c r="B720" s="345" t="s">
        <v>1276</v>
      </c>
      <c r="C720" s="345" t="s">
        <v>938</v>
      </c>
      <c r="D720" s="345" t="s">
        <v>1484</v>
      </c>
      <c r="E720" s="346" t="s">
        <v>851</v>
      </c>
      <c r="F720" s="347">
        <v>1002846249</v>
      </c>
      <c r="G720" s="43"/>
    </row>
    <row r="721" spans="1:7" ht="30" x14ac:dyDescent="0.25">
      <c r="A721" s="43" t="s">
        <v>914</v>
      </c>
      <c r="B721" s="43" t="s">
        <v>848</v>
      </c>
      <c r="C721" s="43" t="s">
        <v>1485</v>
      </c>
      <c r="D721" s="43" t="s">
        <v>1285</v>
      </c>
      <c r="E721" s="109" t="s">
        <v>851</v>
      </c>
      <c r="F721" s="110" t="s">
        <v>1486</v>
      </c>
      <c r="G721" s="43"/>
    </row>
    <row r="722" spans="1:7" ht="30" x14ac:dyDescent="0.25">
      <c r="A722" s="345" t="s">
        <v>974</v>
      </c>
      <c r="B722" s="345" t="s">
        <v>943</v>
      </c>
      <c r="C722" s="345" t="s">
        <v>1217</v>
      </c>
      <c r="D722" s="345" t="s">
        <v>1490</v>
      </c>
      <c r="E722" s="346" t="s">
        <v>851</v>
      </c>
      <c r="F722" s="347" t="s">
        <v>1491</v>
      </c>
      <c r="G722" s="43"/>
    </row>
    <row r="723" spans="1:7" ht="30" x14ac:dyDescent="0.25">
      <c r="A723" s="43" t="s">
        <v>967</v>
      </c>
      <c r="B723" s="43" t="s">
        <v>980</v>
      </c>
      <c r="C723" s="43" t="s">
        <v>1492</v>
      </c>
      <c r="D723" s="43"/>
      <c r="E723" s="109" t="s">
        <v>851</v>
      </c>
      <c r="F723" s="110" t="s">
        <v>1493</v>
      </c>
      <c r="G723" s="43"/>
    </row>
    <row r="724" spans="1:7" ht="30" x14ac:dyDescent="0.25">
      <c r="A724" s="345" t="s">
        <v>884</v>
      </c>
      <c r="B724" s="345" t="s">
        <v>1378</v>
      </c>
      <c r="C724" s="345" t="s">
        <v>1494</v>
      </c>
      <c r="D724" s="345" t="s">
        <v>1495</v>
      </c>
      <c r="E724" s="346" t="s">
        <v>851</v>
      </c>
      <c r="F724" s="347" t="s">
        <v>1496</v>
      </c>
      <c r="G724" s="43"/>
    </row>
    <row r="725" spans="1:7" ht="30" x14ac:dyDescent="0.25">
      <c r="A725" s="43" t="s">
        <v>992</v>
      </c>
      <c r="B725" s="43" t="s">
        <v>1498</v>
      </c>
      <c r="C725" s="43" t="s">
        <v>938</v>
      </c>
      <c r="D725" s="43" t="s">
        <v>1499</v>
      </c>
      <c r="E725" s="109" t="s">
        <v>851</v>
      </c>
      <c r="F725" s="110" t="s">
        <v>1500</v>
      </c>
      <c r="G725" s="43"/>
    </row>
    <row r="726" spans="1:7" ht="30" x14ac:dyDescent="0.25">
      <c r="A726" s="345" t="s">
        <v>848</v>
      </c>
      <c r="B726" s="345" t="s">
        <v>953</v>
      </c>
      <c r="C726" s="345" t="s">
        <v>1501</v>
      </c>
      <c r="D726" s="345" t="s">
        <v>919</v>
      </c>
      <c r="E726" s="346" t="s">
        <v>851</v>
      </c>
      <c r="F726" s="347" t="s">
        <v>1502</v>
      </c>
      <c r="G726" s="43"/>
    </row>
    <row r="727" spans="1:7" ht="30" x14ac:dyDescent="0.25">
      <c r="A727" s="43" t="s">
        <v>992</v>
      </c>
      <c r="B727" s="43" t="s">
        <v>848</v>
      </c>
      <c r="C727" s="43" t="s">
        <v>1504</v>
      </c>
      <c r="D727" s="43" t="s">
        <v>1157</v>
      </c>
      <c r="E727" s="109" t="s">
        <v>851</v>
      </c>
      <c r="F727" s="110">
        <v>1002848292</v>
      </c>
      <c r="G727" s="43"/>
    </row>
    <row r="728" spans="1:7" ht="30" x14ac:dyDescent="0.25">
      <c r="A728" s="345" t="s">
        <v>1507</v>
      </c>
      <c r="B728" s="345" t="s">
        <v>1365</v>
      </c>
      <c r="C728" s="345" t="s">
        <v>1508</v>
      </c>
      <c r="D728" s="345"/>
      <c r="E728" s="346" t="s">
        <v>851</v>
      </c>
      <c r="F728" s="347">
        <v>1059600322</v>
      </c>
      <c r="G728" s="43"/>
    </row>
    <row r="729" spans="1:7" ht="30" x14ac:dyDescent="0.25">
      <c r="A729" s="43" t="s">
        <v>1041</v>
      </c>
      <c r="B729" s="43" t="s">
        <v>1147</v>
      </c>
      <c r="C729" s="43" t="s">
        <v>1512</v>
      </c>
      <c r="D729" s="43"/>
      <c r="E729" s="109" t="s">
        <v>851</v>
      </c>
      <c r="F729" s="110">
        <v>1059604976</v>
      </c>
      <c r="G729" s="43"/>
    </row>
    <row r="730" spans="1:7" ht="30" x14ac:dyDescent="0.25">
      <c r="A730" s="345" t="s">
        <v>1513</v>
      </c>
      <c r="B730" s="345" t="s">
        <v>1514</v>
      </c>
      <c r="C730" s="345" t="s">
        <v>1515</v>
      </c>
      <c r="D730" s="345"/>
      <c r="E730" s="346" t="s">
        <v>851</v>
      </c>
      <c r="F730" s="347">
        <v>1067461286</v>
      </c>
      <c r="G730" s="43"/>
    </row>
    <row r="731" spans="1:7" ht="30" x14ac:dyDescent="0.25">
      <c r="A731" s="43" t="s">
        <v>1519</v>
      </c>
      <c r="B731" s="43" t="s">
        <v>848</v>
      </c>
      <c r="C731" s="43" t="s">
        <v>1520</v>
      </c>
      <c r="D731" s="43" t="s">
        <v>1521</v>
      </c>
      <c r="E731" s="109" t="s">
        <v>851</v>
      </c>
      <c r="F731" s="110">
        <v>1002950269</v>
      </c>
      <c r="G731" s="43"/>
    </row>
    <row r="732" spans="1:7" ht="30" x14ac:dyDescent="0.25">
      <c r="A732" s="345" t="s">
        <v>884</v>
      </c>
      <c r="B732" s="345" t="s">
        <v>1524</v>
      </c>
      <c r="C732" s="345" t="s">
        <v>945</v>
      </c>
      <c r="D732" s="345" t="s">
        <v>919</v>
      </c>
      <c r="E732" s="346" t="s">
        <v>851</v>
      </c>
      <c r="F732" s="347">
        <v>1002970266</v>
      </c>
      <c r="G732" s="43"/>
    </row>
    <row r="733" spans="1:7" ht="30" x14ac:dyDescent="0.25">
      <c r="A733" s="43" t="s">
        <v>896</v>
      </c>
      <c r="B733" s="43" t="s">
        <v>953</v>
      </c>
      <c r="C733" s="43" t="s">
        <v>1530</v>
      </c>
      <c r="D733" s="43" t="s">
        <v>1182</v>
      </c>
      <c r="E733" s="109" t="s">
        <v>851</v>
      </c>
      <c r="F733" s="110">
        <v>1059594419</v>
      </c>
      <c r="G733" s="43"/>
    </row>
    <row r="734" spans="1:7" ht="30" x14ac:dyDescent="0.25">
      <c r="A734" s="345" t="s">
        <v>1361</v>
      </c>
      <c r="B734" s="345" t="s">
        <v>992</v>
      </c>
      <c r="C734" s="345" t="s">
        <v>1531</v>
      </c>
      <c r="D734" s="345"/>
      <c r="E734" s="346" t="s">
        <v>851</v>
      </c>
      <c r="F734" s="347">
        <v>1151452891</v>
      </c>
      <c r="G734" s="43"/>
    </row>
    <row r="735" spans="1:7" ht="30" x14ac:dyDescent="0.25">
      <c r="A735" s="43" t="s">
        <v>1286</v>
      </c>
      <c r="B735" s="43" t="s">
        <v>980</v>
      </c>
      <c r="C735" s="43" t="s">
        <v>1528</v>
      </c>
      <c r="D735" s="43" t="s">
        <v>1281</v>
      </c>
      <c r="E735" s="109" t="s">
        <v>851</v>
      </c>
      <c r="F735" s="110">
        <v>1059596092</v>
      </c>
      <c r="G735" s="43"/>
    </row>
    <row r="736" spans="1:7" ht="30" x14ac:dyDescent="0.25">
      <c r="A736" s="345" t="s">
        <v>884</v>
      </c>
      <c r="B736" s="345" t="s">
        <v>1144</v>
      </c>
      <c r="C736" s="345" t="s">
        <v>1534</v>
      </c>
      <c r="D736" s="345"/>
      <c r="E736" s="346" t="s">
        <v>851</v>
      </c>
      <c r="F736" s="353">
        <v>1002846626</v>
      </c>
      <c r="G736" s="43"/>
    </row>
    <row r="737" spans="1:7" ht="30" x14ac:dyDescent="0.25">
      <c r="A737" s="43" t="s">
        <v>1246</v>
      </c>
      <c r="B737" s="43" t="s">
        <v>943</v>
      </c>
      <c r="C737" s="43" t="s">
        <v>1535</v>
      </c>
      <c r="D737" s="43"/>
      <c r="E737" s="109" t="s">
        <v>851</v>
      </c>
      <c r="F737" s="354">
        <v>1002848307</v>
      </c>
      <c r="G737" s="43"/>
    </row>
    <row r="738" spans="1:7" ht="30" x14ac:dyDescent="0.25">
      <c r="A738" s="345" t="s">
        <v>873</v>
      </c>
      <c r="B738" s="345" t="s">
        <v>1091</v>
      </c>
      <c r="C738" s="345" t="s">
        <v>1277</v>
      </c>
      <c r="D738" s="345"/>
      <c r="E738" s="346" t="s">
        <v>851</v>
      </c>
      <c r="F738" s="355">
        <v>1059598472</v>
      </c>
      <c r="G738" s="43"/>
    </row>
    <row r="739" spans="1:7" ht="30" x14ac:dyDescent="0.25">
      <c r="A739" s="43" t="s">
        <v>896</v>
      </c>
      <c r="B739" s="43" t="s">
        <v>1091</v>
      </c>
      <c r="C739" s="43" t="s">
        <v>1538</v>
      </c>
      <c r="D739" s="43"/>
      <c r="E739" s="109" t="s">
        <v>851</v>
      </c>
      <c r="F739" s="110">
        <v>1002846350</v>
      </c>
      <c r="G739" s="43"/>
    </row>
    <row r="740" spans="1:7" ht="30" x14ac:dyDescent="0.25">
      <c r="A740" s="345" t="s">
        <v>896</v>
      </c>
      <c r="B740" s="345" t="s">
        <v>953</v>
      </c>
      <c r="C740" s="345" t="s">
        <v>1217</v>
      </c>
      <c r="D740" s="345" t="s">
        <v>1471</v>
      </c>
      <c r="E740" s="346" t="s">
        <v>851</v>
      </c>
      <c r="F740" s="353">
        <v>1059602285</v>
      </c>
      <c r="G740" s="43"/>
    </row>
    <row r="741" spans="1:7" ht="30" x14ac:dyDescent="0.25">
      <c r="A741" s="43" t="s">
        <v>1540</v>
      </c>
      <c r="B741" s="43" t="s">
        <v>943</v>
      </c>
      <c r="C741" s="43" t="s">
        <v>1541</v>
      </c>
      <c r="D741" s="43" t="s">
        <v>1542</v>
      </c>
      <c r="E741" s="109" t="s">
        <v>851</v>
      </c>
      <c r="F741" s="356" t="s">
        <v>1539</v>
      </c>
      <c r="G741" s="43"/>
    </row>
    <row r="742" spans="1:7" ht="30" x14ac:dyDescent="0.25">
      <c r="A742" s="345" t="s">
        <v>1144</v>
      </c>
      <c r="B742" s="345" t="s">
        <v>996</v>
      </c>
      <c r="C742" s="345" t="s">
        <v>1192</v>
      </c>
      <c r="D742" s="345"/>
      <c r="E742" s="346" t="s">
        <v>851</v>
      </c>
      <c r="F742" s="353">
        <v>1059604012</v>
      </c>
      <c r="G742" s="43"/>
    </row>
    <row r="743" spans="1:7" ht="30" x14ac:dyDescent="0.25">
      <c r="A743" s="43" t="s">
        <v>896</v>
      </c>
      <c r="B743" s="43" t="s">
        <v>953</v>
      </c>
      <c r="C743" s="43" t="s">
        <v>1545</v>
      </c>
      <c r="D743" s="43"/>
      <c r="E743" s="109" t="s">
        <v>851</v>
      </c>
      <c r="F743" s="110">
        <v>25545389</v>
      </c>
      <c r="G743" s="43"/>
    </row>
    <row r="744" spans="1:7" ht="30" x14ac:dyDescent="0.25">
      <c r="A744" s="345" t="s">
        <v>1156</v>
      </c>
      <c r="B744" s="345" t="s">
        <v>980</v>
      </c>
      <c r="C744" s="345" t="s">
        <v>1547</v>
      </c>
      <c r="D744" s="345"/>
      <c r="E744" s="346" t="s">
        <v>1094</v>
      </c>
      <c r="F744" s="347">
        <v>1059597328</v>
      </c>
      <c r="G744" s="43"/>
    </row>
    <row r="745" spans="1:7" ht="30" x14ac:dyDescent="0.25">
      <c r="A745" s="43" t="s">
        <v>1549</v>
      </c>
      <c r="B745" s="43" t="s">
        <v>1298</v>
      </c>
      <c r="C745" s="43" t="s">
        <v>1550</v>
      </c>
      <c r="D745" s="43" t="s">
        <v>1551</v>
      </c>
      <c r="E745" s="109" t="s">
        <v>851</v>
      </c>
      <c r="F745" s="357" t="s">
        <v>1548</v>
      </c>
      <c r="G745" s="43"/>
    </row>
    <row r="746" spans="1:7" x14ac:dyDescent="0.25">
      <c r="A746" s="345" t="s">
        <v>943</v>
      </c>
      <c r="B746" s="345" t="s">
        <v>848</v>
      </c>
      <c r="C746" s="345" t="s">
        <v>1553</v>
      </c>
      <c r="D746" s="345"/>
      <c r="E746" s="346"/>
      <c r="F746" s="347">
        <v>1059594153</v>
      </c>
      <c r="G746" s="43"/>
    </row>
    <row r="747" spans="1:7" ht="30" x14ac:dyDescent="0.25">
      <c r="A747" s="43" t="s">
        <v>943</v>
      </c>
      <c r="B747" s="43" t="s">
        <v>1144</v>
      </c>
      <c r="C747" s="43" t="s">
        <v>1504</v>
      </c>
      <c r="D747" s="43" t="s">
        <v>1281</v>
      </c>
      <c r="E747" s="109" t="s">
        <v>1094</v>
      </c>
      <c r="F747" s="110">
        <v>1059599329</v>
      </c>
      <c r="G747" s="43"/>
    </row>
    <row r="748" spans="1:7" ht="30" x14ac:dyDescent="0.25">
      <c r="A748" s="345" t="s">
        <v>953</v>
      </c>
      <c r="B748" s="345" t="s">
        <v>1249</v>
      </c>
      <c r="C748" s="345" t="s">
        <v>1556</v>
      </c>
      <c r="D748" s="345"/>
      <c r="E748" s="346" t="s">
        <v>1094</v>
      </c>
      <c r="F748" s="347">
        <v>1059599873</v>
      </c>
      <c r="G748" s="43"/>
    </row>
    <row r="749" spans="1:7" ht="30" x14ac:dyDescent="0.25">
      <c r="A749" s="43" t="s">
        <v>996</v>
      </c>
      <c r="B749" s="43" t="s">
        <v>1559</v>
      </c>
      <c r="C749" s="43" t="s">
        <v>1560</v>
      </c>
      <c r="D749" s="43"/>
      <c r="E749" s="109" t="s">
        <v>851</v>
      </c>
      <c r="F749" s="110">
        <v>25552089</v>
      </c>
      <c r="G749" s="43"/>
    </row>
    <row r="750" spans="1:7" ht="30" x14ac:dyDescent="0.25">
      <c r="A750" s="345" t="s">
        <v>1361</v>
      </c>
      <c r="B750" s="345" t="s">
        <v>1470</v>
      </c>
      <c r="C750" s="345" t="s">
        <v>1553</v>
      </c>
      <c r="D750" s="345"/>
      <c r="E750" s="346" t="s">
        <v>851</v>
      </c>
      <c r="F750" s="347">
        <v>1059595865</v>
      </c>
      <c r="G750" s="43"/>
    </row>
    <row r="751" spans="1:7" ht="30" x14ac:dyDescent="0.25">
      <c r="A751" s="43" t="s">
        <v>953</v>
      </c>
      <c r="B751" s="43" t="s">
        <v>1378</v>
      </c>
      <c r="C751" s="43" t="s">
        <v>1617</v>
      </c>
      <c r="D751" s="43"/>
      <c r="E751" s="109" t="s">
        <v>851</v>
      </c>
      <c r="F751" s="110">
        <v>1059606238</v>
      </c>
      <c r="G751" s="43"/>
    </row>
    <row r="752" spans="1:7" ht="30" x14ac:dyDescent="0.25">
      <c r="A752" s="345" t="s">
        <v>874</v>
      </c>
      <c r="B752" s="345" t="s">
        <v>873</v>
      </c>
      <c r="C752" s="345" t="s">
        <v>1635</v>
      </c>
      <c r="D752" s="345" t="s">
        <v>1294</v>
      </c>
      <c r="E752" s="346" t="s">
        <v>1094</v>
      </c>
      <c r="F752" s="347">
        <v>1059597986</v>
      </c>
      <c r="G752" s="43"/>
    </row>
    <row r="753" spans="1:7" ht="30" x14ac:dyDescent="0.25">
      <c r="A753" s="43" t="s">
        <v>873</v>
      </c>
      <c r="B753" s="43" t="s">
        <v>962</v>
      </c>
      <c r="C753" s="43" t="s">
        <v>1501</v>
      </c>
      <c r="D753" s="43" t="s">
        <v>1340</v>
      </c>
      <c r="E753" s="109" t="s">
        <v>851</v>
      </c>
      <c r="F753" s="110">
        <v>1059594976</v>
      </c>
      <c r="G753" s="43"/>
    </row>
    <row r="754" spans="1:7" x14ac:dyDescent="0.25">
      <c r="A754" s="345" t="s">
        <v>896</v>
      </c>
      <c r="B754" s="345" t="s">
        <v>953</v>
      </c>
      <c r="C754" s="345" t="s">
        <v>1634</v>
      </c>
      <c r="D754" s="345"/>
      <c r="E754" s="346"/>
      <c r="F754" s="347">
        <v>1002848733</v>
      </c>
      <c r="G754" s="43"/>
    </row>
    <row r="755" spans="1:7" ht="30" x14ac:dyDescent="0.25">
      <c r="A755" s="43" t="s">
        <v>896</v>
      </c>
      <c r="B755" s="43" t="s">
        <v>915</v>
      </c>
      <c r="C755" s="43" t="s">
        <v>1585</v>
      </c>
      <c r="D755" s="43"/>
      <c r="E755" s="109" t="s">
        <v>851</v>
      </c>
      <c r="F755" s="110">
        <v>1059595460</v>
      </c>
      <c r="G755" s="43"/>
    </row>
    <row r="756" spans="1:7" ht="30" x14ac:dyDescent="0.25">
      <c r="A756" s="345" t="s">
        <v>873</v>
      </c>
      <c r="B756" s="345" t="s">
        <v>874</v>
      </c>
      <c r="C756" s="345" t="s">
        <v>1215</v>
      </c>
      <c r="D756" s="345"/>
      <c r="E756" s="346" t="s">
        <v>851</v>
      </c>
      <c r="F756" s="347">
        <v>1002849181</v>
      </c>
      <c r="G756" s="43"/>
    </row>
    <row r="757" spans="1:7" ht="30" x14ac:dyDescent="0.25">
      <c r="A757" s="43" t="s">
        <v>953</v>
      </c>
      <c r="B757" s="43" t="s">
        <v>1286</v>
      </c>
      <c r="C757" s="43" t="s">
        <v>1463</v>
      </c>
      <c r="D757" s="43" t="s">
        <v>1579</v>
      </c>
      <c r="E757" s="109" t="s">
        <v>851</v>
      </c>
      <c r="F757" s="356" t="s">
        <v>1578</v>
      </c>
      <c r="G757" s="43"/>
    </row>
    <row r="758" spans="1:7" ht="30" x14ac:dyDescent="0.25">
      <c r="A758" s="345" t="s">
        <v>1580</v>
      </c>
      <c r="B758" s="345" t="s">
        <v>914</v>
      </c>
      <c r="C758" s="345" t="s">
        <v>1581</v>
      </c>
      <c r="D758" s="345" t="s">
        <v>1464</v>
      </c>
      <c r="E758" s="346" t="s">
        <v>851</v>
      </c>
      <c r="F758" s="359">
        <v>1002846447</v>
      </c>
      <c r="G758" s="43"/>
    </row>
    <row r="759" spans="1:7" ht="30" x14ac:dyDescent="0.25">
      <c r="A759" s="43" t="s">
        <v>1583</v>
      </c>
      <c r="B759" s="43" t="s">
        <v>873</v>
      </c>
      <c r="C759" s="43" t="s">
        <v>1584</v>
      </c>
      <c r="D759" s="43"/>
      <c r="E759" s="109" t="s">
        <v>851</v>
      </c>
      <c r="F759" s="356" t="s">
        <v>1582</v>
      </c>
      <c r="G759" s="43"/>
    </row>
    <row r="760" spans="1:7" ht="30" x14ac:dyDescent="0.25">
      <c r="A760" s="345" t="s">
        <v>1322</v>
      </c>
      <c r="B760" s="345" t="s">
        <v>1378</v>
      </c>
      <c r="C760" s="345" t="s">
        <v>1587</v>
      </c>
      <c r="D760" s="345"/>
      <c r="E760" s="346" t="s">
        <v>851</v>
      </c>
      <c r="F760" s="359" t="s">
        <v>1586</v>
      </c>
      <c r="G760" s="43"/>
    </row>
    <row r="761" spans="1:7" ht="30" x14ac:dyDescent="0.25">
      <c r="A761" s="43" t="s">
        <v>1590</v>
      </c>
      <c r="B761" s="43" t="s">
        <v>874</v>
      </c>
      <c r="C761" s="43" t="s">
        <v>1591</v>
      </c>
      <c r="D761" s="43"/>
      <c r="E761" s="109" t="s">
        <v>851</v>
      </c>
      <c r="F761" s="356" t="s">
        <v>1589</v>
      </c>
      <c r="G761" s="43"/>
    </row>
    <row r="762" spans="1:7" ht="30" x14ac:dyDescent="0.25">
      <c r="A762" s="345" t="s">
        <v>1286</v>
      </c>
      <c r="B762" s="345" t="s">
        <v>1594</v>
      </c>
      <c r="C762" s="345" t="s">
        <v>1420</v>
      </c>
      <c r="D762" s="345"/>
      <c r="E762" s="346" t="s">
        <v>1094</v>
      </c>
      <c r="F762" s="359" t="s">
        <v>1593</v>
      </c>
      <c r="G762" s="43"/>
    </row>
    <row r="763" spans="1:7" ht="30" x14ac:dyDescent="0.25">
      <c r="A763" s="43" t="s">
        <v>1598</v>
      </c>
      <c r="B763" s="43" t="s">
        <v>1599</v>
      </c>
      <c r="C763" s="43" t="s">
        <v>1597</v>
      </c>
      <c r="D763" s="43"/>
      <c r="E763" s="109" t="s">
        <v>851</v>
      </c>
      <c r="F763" s="110">
        <v>1002846452</v>
      </c>
      <c r="G763" s="43"/>
    </row>
    <row r="764" spans="1:7" ht="30" x14ac:dyDescent="0.25">
      <c r="A764" s="345" t="s">
        <v>914</v>
      </c>
      <c r="B764" s="345" t="s">
        <v>1601</v>
      </c>
      <c r="C764" s="345" t="s">
        <v>1602</v>
      </c>
      <c r="D764" s="345"/>
      <c r="E764" s="346" t="s">
        <v>851</v>
      </c>
      <c r="F764" s="347">
        <v>1003370775</v>
      </c>
      <c r="G764" s="43"/>
    </row>
    <row r="765" spans="1:7" ht="30" x14ac:dyDescent="0.25">
      <c r="A765" s="43" t="s">
        <v>896</v>
      </c>
      <c r="B765" s="43" t="s">
        <v>992</v>
      </c>
      <c r="C765" s="43" t="s">
        <v>1530</v>
      </c>
      <c r="D765" s="43" t="s">
        <v>1357</v>
      </c>
      <c r="E765" s="109" t="s">
        <v>851</v>
      </c>
      <c r="F765" s="110">
        <v>1002847645</v>
      </c>
      <c r="G765" s="43"/>
    </row>
    <row r="766" spans="1:7" ht="30" x14ac:dyDescent="0.25">
      <c r="A766" s="345" t="s">
        <v>896</v>
      </c>
      <c r="B766" s="345" t="s">
        <v>1599</v>
      </c>
      <c r="C766" s="345" t="s">
        <v>1607</v>
      </c>
      <c r="D766" s="345" t="s">
        <v>1608</v>
      </c>
      <c r="E766" s="346" t="s">
        <v>851</v>
      </c>
      <c r="F766" s="347">
        <v>1060800773</v>
      </c>
      <c r="G766" s="43"/>
    </row>
    <row r="767" spans="1:7" ht="30" x14ac:dyDescent="0.25">
      <c r="A767" s="43" t="s">
        <v>914</v>
      </c>
      <c r="B767" s="43" t="s">
        <v>943</v>
      </c>
      <c r="C767" s="43" t="s">
        <v>1198</v>
      </c>
      <c r="D767" s="43"/>
      <c r="E767" s="109" t="s">
        <v>851</v>
      </c>
      <c r="F767" s="110">
        <v>1059605317</v>
      </c>
      <c r="G767" s="43"/>
    </row>
    <row r="768" spans="1:7" ht="30" x14ac:dyDescent="0.25">
      <c r="A768" s="345" t="s">
        <v>1439</v>
      </c>
      <c r="B768" s="345" t="s">
        <v>848</v>
      </c>
      <c r="C768" s="345" t="s">
        <v>1437</v>
      </c>
      <c r="D768" s="345"/>
      <c r="E768" s="346" t="s">
        <v>851</v>
      </c>
      <c r="F768" s="347">
        <v>1059595628</v>
      </c>
      <c r="G768" s="43"/>
    </row>
    <row r="769" spans="1:7" ht="30" x14ac:dyDescent="0.25">
      <c r="A769" s="43" t="s">
        <v>873</v>
      </c>
      <c r="B769" s="43" t="s">
        <v>874</v>
      </c>
      <c r="C769" s="43" t="s">
        <v>1612</v>
      </c>
      <c r="D769" s="43" t="s">
        <v>1613</v>
      </c>
      <c r="E769" s="109" t="s">
        <v>851</v>
      </c>
      <c r="F769" s="110">
        <v>1002849103</v>
      </c>
      <c r="G769" s="43"/>
    </row>
    <row r="770" spans="1:7" ht="30" x14ac:dyDescent="0.25">
      <c r="A770" s="345" t="s">
        <v>914</v>
      </c>
      <c r="B770" s="345" t="s">
        <v>914</v>
      </c>
      <c r="C770" s="345" t="s">
        <v>1614</v>
      </c>
      <c r="D770" s="345" t="s">
        <v>1277</v>
      </c>
      <c r="E770" s="346" t="s">
        <v>851</v>
      </c>
      <c r="F770" s="347">
        <v>1002847076</v>
      </c>
      <c r="G770" s="43"/>
    </row>
    <row r="771" spans="1:7" ht="30" x14ac:dyDescent="0.25">
      <c r="A771" s="43" t="s">
        <v>1621</v>
      </c>
      <c r="B771" s="43" t="s">
        <v>1622</v>
      </c>
      <c r="C771" s="43" t="s">
        <v>1619</v>
      </c>
      <c r="D771" s="43" t="s">
        <v>1620</v>
      </c>
      <c r="E771" s="109" t="s">
        <v>851</v>
      </c>
      <c r="F771" s="110">
        <v>1104776221</v>
      </c>
      <c r="G771" s="43"/>
    </row>
    <row r="772" spans="1:7" ht="30" x14ac:dyDescent="0.25">
      <c r="A772" s="345" t="s">
        <v>980</v>
      </c>
      <c r="B772" s="345" t="s">
        <v>914</v>
      </c>
      <c r="C772" s="345" t="s">
        <v>1623</v>
      </c>
      <c r="D772" s="345"/>
      <c r="E772" s="346" t="s">
        <v>851</v>
      </c>
      <c r="F772" s="347">
        <v>1059596737</v>
      </c>
      <c r="G772" s="43"/>
    </row>
    <row r="773" spans="1:7" ht="30" x14ac:dyDescent="0.25">
      <c r="A773" s="43" t="s">
        <v>1629</v>
      </c>
      <c r="B773" s="43" t="s">
        <v>1249</v>
      </c>
      <c r="C773" s="43" t="s">
        <v>1630</v>
      </c>
      <c r="D773" s="43"/>
      <c r="E773" s="109" t="s">
        <v>851</v>
      </c>
      <c r="F773" s="43">
        <v>1059601748</v>
      </c>
      <c r="G773" s="43"/>
    </row>
    <row r="774" spans="1:7" ht="30" x14ac:dyDescent="0.25">
      <c r="A774" s="345" t="s">
        <v>896</v>
      </c>
      <c r="B774" s="345" t="s">
        <v>1632</v>
      </c>
      <c r="C774" s="345" t="s">
        <v>1633</v>
      </c>
      <c r="D774" s="345"/>
      <c r="E774" s="346" t="s">
        <v>851</v>
      </c>
      <c r="F774" s="360" t="s">
        <v>1631</v>
      </c>
      <c r="G774" s="43"/>
    </row>
    <row r="775" spans="1:7" ht="30" x14ac:dyDescent="0.25">
      <c r="A775" s="43" t="s">
        <v>1637</v>
      </c>
      <c r="B775" s="43" t="s">
        <v>1638</v>
      </c>
      <c r="C775" s="43" t="s">
        <v>1028</v>
      </c>
      <c r="D775" s="43"/>
      <c r="E775" s="109" t="s">
        <v>851</v>
      </c>
      <c r="F775" s="357">
        <v>1060986729</v>
      </c>
      <c r="G775" s="43"/>
    </row>
    <row r="776" spans="1:7" ht="30" x14ac:dyDescent="0.25">
      <c r="A776" s="345" t="s">
        <v>1249</v>
      </c>
      <c r="B776" s="345" t="s">
        <v>914</v>
      </c>
      <c r="C776" s="345" t="s">
        <v>1659</v>
      </c>
      <c r="D776" s="345"/>
      <c r="E776" s="346" t="s">
        <v>851</v>
      </c>
      <c r="F776" s="347">
        <v>1059597497</v>
      </c>
      <c r="G776" s="43"/>
    </row>
    <row r="777" spans="1:7" ht="30" x14ac:dyDescent="0.25">
      <c r="A777" s="43" t="s">
        <v>1439</v>
      </c>
      <c r="B777" s="43" t="s">
        <v>848</v>
      </c>
      <c r="C777" s="43" t="s">
        <v>1437</v>
      </c>
      <c r="D777" s="43"/>
      <c r="E777" s="109" t="s">
        <v>851</v>
      </c>
      <c r="F777" s="110">
        <v>1059595628</v>
      </c>
      <c r="G777" s="43"/>
    </row>
    <row r="778" spans="1:7" ht="30" x14ac:dyDescent="0.25">
      <c r="A778" s="345" t="s">
        <v>953</v>
      </c>
      <c r="B778" s="345" t="s">
        <v>1660</v>
      </c>
      <c r="C778" s="345" t="s">
        <v>1217</v>
      </c>
      <c r="D778" s="345" t="s">
        <v>1661</v>
      </c>
      <c r="E778" s="346" t="s">
        <v>851</v>
      </c>
      <c r="F778" s="347">
        <v>1002848134</v>
      </c>
      <c r="G778" s="43"/>
    </row>
    <row r="779" spans="1:7" ht="30" x14ac:dyDescent="0.25">
      <c r="A779" s="43" t="s">
        <v>848</v>
      </c>
      <c r="B779" s="43" t="s">
        <v>1034</v>
      </c>
      <c r="C779" s="43" t="s">
        <v>1612</v>
      </c>
      <c r="D779" s="43" t="s">
        <v>1662</v>
      </c>
      <c r="E779" s="109" t="s">
        <v>851</v>
      </c>
      <c r="F779" s="110">
        <v>1059601726</v>
      </c>
      <c r="G779" s="43"/>
    </row>
    <row r="780" spans="1:7" ht="30" x14ac:dyDescent="0.25">
      <c r="A780" s="345" t="s">
        <v>1663</v>
      </c>
      <c r="B780" s="345" t="s">
        <v>1664</v>
      </c>
      <c r="C780" s="345" t="s">
        <v>938</v>
      </c>
      <c r="D780" s="345" t="s">
        <v>1665</v>
      </c>
      <c r="E780" s="346" t="s">
        <v>851</v>
      </c>
      <c r="F780" s="347">
        <v>1059601634</v>
      </c>
      <c r="G780" s="43"/>
    </row>
    <row r="781" spans="1:7" ht="30" x14ac:dyDescent="0.25">
      <c r="A781" s="43" t="s">
        <v>980</v>
      </c>
      <c r="B781" s="43" t="s">
        <v>1666</v>
      </c>
      <c r="C781" s="43" t="s">
        <v>1287</v>
      </c>
      <c r="D781" s="43" t="s">
        <v>919</v>
      </c>
      <c r="E781" s="109" t="s">
        <v>851</v>
      </c>
      <c r="F781" s="110">
        <v>1002846819</v>
      </c>
      <c r="G781" s="43"/>
    </row>
    <row r="782" spans="1:7" ht="30" x14ac:dyDescent="0.25">
      <c r="A782" s="345" t="s">
        <v>1667</v>
      </c>
      <c r="B782" s="345" t="s">
        <v>1668</v>
      </c>
      <c r="C782" s="345" t="s">
        <v>1669</v>
      </c>
      <c r="D782" s="345"/>
      <c r="E782" s="346" t="s">
        <v>851</v>
      </c>
      <c r="F782" s="347">
        <v>1064426895</v>
      </c>
      <c r="G782" s="43"/>
    </row>
    <row r="783" spans="1:7" ht="30" x14ac:dyDescent="0.25">
      <c r="A783" s="43" t="s">
        <v>1210</v>
      </c>
      <c r="B783" s="43" t="s">
        <v>848</v>
      </c>
      <c r="C783" s="43" t="s">
        <v>1670</v>
      </c>
      <c r="D783" s="43" t="s">
        <v>1671</v>
      </c>
      <c r="E783" s="109" t="s">
        <v>851</v>
      </c>
      <c r="F783" s="110">
        <v>1059602883</v>
      </c>
      <c r="G783" s="43"/>
    </row>
    <row r="784" spans="1:7" ht="30" x14ac:dyDescent="0.25">
      <c r="A784" s="345" t="s">
        <v>943</v>
      </c>
      <c r="B784" s="345" t="s">
        <v>848</v>
      </c>
      <c r="C784" s="345" t="s">
        <v>1673</v>
      </c>
      <c r="D784" s="345" t="s">
        <v>1674</v>
      </c>
      <c r="E784" s="346" t="s">
        <v>851</v>
      </c>
      <c r="F784" s="366" t="s">
        <v>1672</v>
      </c>
      <c r="G784" s="43"/>
    </row>
    <row r="785" spans="1:7" ht="30" x14ac:dyDescent="0.25">
      <c r="A785" s="43" t="s">
        <v>1677</v>
      </c>
      <c r="B785" s="43" t="s">
        <v>962</v>
      </c>
      <c r="C785" s="43" t="s">
        <v>1678</v>
      </c>
      <c r="D785" s="43" t="s">
        <v>1679</v>
      </c>
      <c r="E785" s="109" t="s">
        <v>1094</v>
      </c>
      <c r="F785" s="363" t="s">
        <v>1676</v>
      </c>
      <c r="G785" s="43"/>
    </row>
    <row r="786" spans="1:7" ht="30" x14ac:dyDescent="0.25">
      <c r="A786" s="345" t="s">
        <v>1286</v>
      </c>
      <c r="B786" s="345" t="s">
        <v>943</v>
      </c>
      <c r="C786" s="345" t="s">
        <v>1681</v>
      </c>
      <c r="D786" s="345"/>
      <c r="E786" s="346" t="s">
        <v>851</v>
      </c>
      <c r="F786" s="362" t="s">
        <v>1680</v>
      </c>
      <c r="G786" s="43"/>
    </row>
    <row r="787" spans="1:7" ht="30" x14ac:dyDescent="0.25">
      <c r="A787" s="43" t="s">
        <v>848</v>
      </c>
      <c r="B787" s="43" t="s">
        <v>914</v>
      </c>
      <c r="C787" s="43" t="s">
        <v>1683</v>
      </c>
      <c r="D787" s="43"/>
      <c r="E787" s="109" t="s">
        <v>851</v>
      </c>
      <c r="F787" s="363" t="s">
        <v>1682</v>
      </c>
      <c r="G787" s="43"/>
    </row>
    <row r="788" spans="1:7" x14ac:dyDescent="0.25">
      <c r="A788" s="423" t="s">
        <v>1708</v>
      </c>
      <c r="B788" s="423"/>
      <c r="C788" s="423"/>
      <c r="D788" s="423"/>
      <c r="E788" s="423"/>
      <c r="F788" s="423"/>
      <c r="G788" s="43"/>
    </row>
    <row r="789" spans="1:7" ht="45" x14ac:dyDescent="0.25">
      <c r="A789" s="17" t="s">
        <v>94</v>
      </c>
      <c r="B789" s="17" t="s">
        <v>21</v>
      </c>
      <c r="C789" s="17" t="s">
        <v>0</v>
      </c>
      <c r="D789" s="17" t="s">
        <v>1</v>
      </c>
      <c r="E789" s="17" t="s">
        <v>2</v>
      </c>
      <c r="F789" s="17" t="s">
        <v>3</v>
      </c>
      <c r="G789" s="43"/>
    </row>
    <row r="790" spans="1:7" ht="30" x14ac:dyDescent="0.25">
      <c r="A790" s="43" t="s">
        <v>974</v>
      </c>
      <c r="B790" s="43" t="s">
        <v>1144</v>
      </c>
      <c r="C790" s="43" t="s">
        <v>1192</v>
      </c>
      <c r="D790" s="43" t="s">
        <v>1193</v>
      </c>
      <c r="E790" s="109" t="s">
        <v>1094</v>
      </c>
      <c r="F790" s="110">
        <v>1059595334</v>
      </c>
      <c r="G790" s="43"/>
    </row>
    <row r="791" spans="1:7" ht="30" x14ac:dyDescent="0.25">
      <c r="A791" s="345" t="s">
        <v>914</v>
      </c>
      <c r="B791" s="345" t="s">
        <v>884</v>
      </c>
      <c r="C791" s="345" t="s">
        <v>1296</v>
      </c>
      <c r="D791" s="345" t="s">
        <v>850</v>
      </c>
      <c r="E791" s="346" t="s">
        <v>851</v>
      </c>
      <c r="F791" s="347">
        <v>1060186045</v>
      </c>
      <c r="G791" s="43"/>
    </row>
    <row r="792" spans="1:7" ht="30" x14ac:dyDescent="0.25">
      <c r="A792" s="43" t="s">
        <v>1298</v>
      </c>
      <c r="B792" s="43" t="s">
        <v>914</v>
      </c>
      <c r="C792" s="43" t="s">
        <v>1299</v>
      </c>
      <c r="D792" s="43" t="s">
        <v>1300</v>
      </c>
      <c r="E792" s="109" t="s">
        <v>851</v>
      </c>
      <c r="F792" s="110" t="s">
        <v>1301</v>
      </c>
      <c r="G792" s="43"/>
    </row>
    <row r="793" spans="1:7" ht="30" x14ac:dyDescent="0.25">
      <c r="A793" s="345" t="s">
        <v>1305</v>
      </c>
      <c r="B793" s="345" t="s">
        <v>884</v>
      </c>
      <c r="C793" s="345" t="s">
        <v>1306</v>
      </c>
      <c r="D793" s="345" t="s">
        <v>1307</v>
      </c>
      <c r="E793" s="346" t="s">
        <v>851</v>
      </c>
      <c r="F793" s="347">
        <v>1059604869</v>
      </c>
      <c r="G793" s="43"/>
    </row>
    <row r="794" spans="1:7" ht="30" x14ac:dyDescent="0.25">
      <c r="A794" s="43" t="s">
        <v>953</v>
      </c>
      <c r="B794" s="43" t="s">
        <v>1316</v>
      </c>
      <c r="C794" s="43" t="s">
        <v>1317</v>
      </c>
      <c r="D794" s="43" t="s">
        <v>1028</v>
      </c>
      <c r="E794" s="109" t="s">
        <v>851</v>
      </c>
      <c r="F794" s="110">
        <v>1059594373</v>
      </c>
      <c r="G794" s="43"/>
    </row>
    <row r="795" spans="1:7" ht="30" x14ac:dyDescent="0.25">
      <c r="A795" s="345" t="s">
        <v>914</v>
      </c>
      <c r="B795" s="345" t="s">
        <v>1318</v>
      </c>
      <c r="C795" s="345" t="s">
        <v>1319</v>
      </c>
      <c r="D795" s="345"/>
      <c r="E795" s="346" t="s">
        <v>851</v>
      </c>
      <c r="F795" s="347" t="s">
        <v>1320</v>
      </c>
      <c r="G795" s="43"/>
    </row>
    <row r="796" spans="1:7" ht="30" x14ac:dyDescent="0.25">
      <c r="A796" s="43" t="s">
        <v>1332</v>
      </c>
      <c r="B796" s="43" t="s">
        <v>1091</v>
      </c>
      <c r="C796" s="43" t="s">
        <v>1333</v>
      </c>
      <c r="D796" s="43"/>
      <c r="E796" s="109" t="s">
        <v>1094</v>
      </c>
      <c r="F796" s="110">
        <v>1059595374</v>
      </c>
      <c r="G796" s="43"/>
    </row>
    <row r="797" spans="1:7" ht="30" x14ac:dyDescent="0.25">
      <c r="A797" s="345" t="s">
        <v>874</v>
      </c>
      <c r="B797" s="345" t="s">
        <v>943</v>
      </c>
      <c r="C797" s="345" t="s">
        <v>1340</v>
      </c>
      <c r="D797" s="345"/>
      <c r="E797" s="346" t="s">
        <v>1094</v>
      </c>
      <c r="F797" s="347">
        <v>1059597393</v>
      </c>
      <c r="G797" s="43"/>
    </row>
    <row r="798" spans="1:7" ht="30" x14ac:dyDescent="0.25">
      <c r="A798" s="43" t="s">
        <v>914</v>
      </c>
      <c r="B798" s="43" t="s">
        <v>915</v>
      </c>
      <c r="C798" s="43" t="s">
        <v>916</v>
      </c>
      <c r="D798" s="43"/>
      <c r="E798" s="109" t="s">
        <v>1094</v>
      </c>
      <c r="F798" s="110">
        <v>1059598169</v>
      </c>
      <c r="G798" s="43"/>
    </row>
    <row r="799" spans="1:7" ht="30" x14ac:dyDescent="0.25">
      <c r="A799" s="345" t="s">
        <v>1360</v>
      </c>
      <c r="B799" s="345" t="s">
        <v>1361</v>
      </c>
      <c r="C799" s="345" t="s">
        <v>938</v>
      </c>
      <c r="D799" s="345" t="s">
        <v>1362</v>
      </c>
      <c r="E799" s="346" t="s">
        <v>851</v>
      </c>
      <c r="F799" s="347" t="s">
        <v>1363</v>
      </c>
      <c r="G799" s="43"/>
    </row>
    <row r="800" spans="1:7" ht="30" x14ac:dyDescent="0.25">
      <c r="A800" s="43" t="s">
        <v>1286</v>
      </c>
      <c r="B800" s="43" t="s">
        <v>914</v>
      </c>
      <c r="C800" s="43" t="s">
        <v>1198</v>
      </c>
      <c r="D800" s="43" t="s">
        <v>1364</v>
      </c>
      <c r="E800" s="109" t="s">
        <v>851</v>
      </c>
      <c r="F800" s="110">
        <v>1059600026</v>
      </c>
      <c r="G800" s="43"/>
    </row>
    <row r="801" spans="1:7" ht="30" x14ac:dyDescent="0.25">
      <c r="A801" s="345" t="s">
        <v>857</v>
      </c>
      <c r="B801" s="345" t="s">
        <v>1365</v>
      </c>
      <c r="C801" s="345" t="s">
        <v>949</v>
      </c>
      <c r="D801" s="345" t="s">
        <v>1366</v>
      </c>
      <c r="E801" s="346" t="s">
        <v>851</v>
      </c>
      <c r="F801" s="347">
        <v>1002953350</v>
      </c>
      <c r="G801" s="43"/>
    </row>
    <row r="802" spans="1:7" ht="30" x14ac:dyDescent="0.25">
      <c r="A802" s="43" t="s">
        <v>1368</v>
      </c>
      <c r="B802" s="43" t="s">
        <v>1369</v>
      </c>
      <c r="C802" s="43" t="s">
        <v>1370</v>
      </c>
      <c r="D802" s="43" t="s">
        <v>982</v>
      </c>
      <c r="E802" s="109" t="s">
        <v>851</v>
      </c>
      <c r="F802" s="110">
        <v>1059603417</v>
      </c>
      <c r="G802" s="43"/>
    </row>
    <row r="803" spans="1:7" ht="30" x14ac:dyDescent="0.25">
      <c r="A803" s="345" t="s">
        <v>1382</v>
      </c>
      <c r="B803" s="345" t="s">
        <v>1382</v>
      </c>
      <c r="C803" s="345" t="s">
        <v>1383</v>
      </c>
      <c r="D803" s="345"/>
      <c r="E803" s="346" t="s">
        <v>851</v>
      </c>
      <c r="F803" s="347">
        <v>1003371767</v>
      </c>
      <c r="G803" s="43"/>
    </row>
    <row r="804" spans="1:7" ht="30" x14ac:dyDescent="0.25">
      <c r="A804" s="43" t="s">
        <v>873</v>
      </c>
      <c r="B804" s="43" t="s">
        <v>1391</v>
      </c>
      <c r="C804" s="43" t="s">
        <v>985</v>
      </c>
      <c r="D804" s="43" t="s">
        <v>1392</v>
      </c>
      <c r="E804" s="109" t="s">
        <v>851</v>
      </c>
      <c r="F804" s="110">
        <v>25547491</v>
      </c>
      <c r="G804" s="43"/>
    </row>
    <row r="805" spans="1:7" ht="30" x14ac:dyDescent="0.25">
      <c r="A805" s="345" t="s">
        <v>979</v>
      </c>
      <c r="B805" s="345" t="s">
        <v>943</v>
      </c>
      <c r="C805" s="345" t="s">
        <v>1217</v>
      </c>
      <c r="D805" s="345" t="s">
        <v>1398</v>
      </c>
      <c r="E805" s="346" t="s">
        <v>851</v>
      </c>
      <c r="F805" s="347">
        <v>1002846528</v>
      </c>
      <c r="G805" s="43"/>
    </row>
    <row r="806" spans="1:7" ht="30" x14ac:dyDescent="0.25">
      <c r="A806" s="43" t="s">
        <v>1405</v>
      </c>
      <c r="B806" s="43" t="s">
        <v>884</v>
      </c>
      <c r="C806" s="43" t="s">
        <v>1406</v>
      </c>
      <c r="D806" s="43" t="s">
        <v>1407</v>
      </c>
      <c r="E806" s="109" t="s">
        <v>851</v>
      </c>
      <c r="F806" s="110">
        <v>1059601552</v>
      </c>
      <c r="G806" s="43"/>
    </row>
    <row r="807" spans="1:7" ht="30" x14ac:dyDescent="0.25">
      <c r="A807" s="345" t="s">
        <v>1034</v>
      </c>
      <c r="B807" s="345" t="s">
        <v>1166</v>
      </c>
      <c r="C807" s="345" t="s">
        <v>1408</v>
      </c>
      <c r="D807" s="345" t="s">
        <v>1409</v>
      </c>
      <c r="E807" s="346" t="s">
        <v>851</v>
      </c>
      <c r="F807" s="347">
        <v>1005860830</v>
      </c>
      <c r="G807" s="43"/>
    </row>
    <row r="808" spans="1:7" ht="30" x14ac:dyDescent="0.25">
      <c r="A808" s="43" t="s">
        <v>944</v>
      </c>
      <c r="B808" s="43" t="s">
        <v>943</v>
      </c>
      <c r="C808" s="43" t="s">
        <v>1421</v>
      </c>
      <c r="D808" s="43"/>
      <c r="E808" s="109" t="s">
        <v>851</v>
      </c>
      <c r="F808" s="110">
        <v>1002846330</v>
      </c>
      <c r="G808" s="43"/>
    </row>
    <row r="809" spans="1:7" ht="30" x14ac:dyDescent="0.25">
      <c r="A809" s="345" t="s">
        <v>848</v>
      </c>
      <c r="B809" s="345" t="s">
        <v>943</v>
      </c>
      <c r="C809" s="345" t="s">
        <v>1423</v>
      </c>
      <c r="D809" s="345"/>
      <c r="E809" s="346" t="s">
        <v>851</v>
      </c>
      <c r="F809" s="347">
        <v>1193097625</v>
      </c>
      <c r="G809" s="43"/>
    </row>
    <row r="810" spans="1:7" ht="30" x14ac:dyDescent="0.25">
      <c r="A810" s="43" t="s">
        <v>1427</v>
      </c>
      <c r="B810" s="43" t="s">
        <v>1428</v>
      </c>
      <c r="C810" s="43" t="s">
        <v>1429</v>
      </c>
      <c r="D810" s="43" t="s">
        <v>1430</v>
      </c>
      <c r="E810" s="109" t="s">
        <v>851</v>
      </c>
      <c r="F810" s="110">
        <v>1061528490</v>
      </c>
      <c r="G810" s="43"/>
    </row>
    <row r="811" spans="1:7" ht="30" x14ac:dyDescent="0.25">
      <c r="A811" s="345" t="s">
        <v>873</v>
      </c>
      <c r="B811" s="345" t="s">
        <v>1435</v>
      </c>
      <c r="C811" s="345" t="s">
        <v>1436</v>
      </c>
      <c r="D811" s="345" t="s">
        <v>1437</v>
      </c>
      <c r="E811" s="346" t="s">
        <v>851</v>
      </c>
      <c r="F811" s="347">
        <v>1059601742</v>
      </c>
      <c r="G811" s="43"/>
    </row>
    <row r="812" spans="1:7" ht="30" x14ac:dyDescent="0.25">
      <c r="A812" s="43" t="s">
        <v>1439</v>
      </c>
      <c r="B812" s="43" t="s">
        <v>884</v>
      </c>
      <c r="C812" s="43" t="s">
        <v>1440</v>
      </c>
      <c r="D812" s="43" t="s">
        <v>1294</v>
      </c>
      <c r="E812" s="109" t="s">
        <v>851</v>
      </c>
      <c r="F812" s="110">
        <v>1002847533</v>
      </c>
      <c r="G812" s="43"/>
    </row>
    <row r="813" spans="1:7" ht="30" x14ac:dyDescent="0.25">
      <c r="A813" s="345" t="s">
        <v>1441</v>
      </c>
      <c r="B813" s="345"/>
      <c r="C813" s="345" t="s">
        <v>1284</v>
      </c>
      <c r="D813" s="345" t="s">
        <v>1442</v>
      </c>
      <c r="E813" s="346" t="s">
        <v>851</v>
      </c>
      <c r="F813" s="347">
        <v>1002848635</v>
      </c>
      <c r="G813" s="43"/>
    </row>
    <row r="814" spans="1:7" ht="30" x14ac:dyDescent="0.25">
      <c r="A814" s="43" t="s">
        <v>1443</v>
      </c>
      <c r="B814" s="43" t="s">
        <v>1444</v>
      </c>
      <c r="C814" s="43" t="s">
        <v>1445</v>
      </c>
      <c r="D814" s="43"/>
      <c r="E814" s="109" t="s">
        <v>851</v>
      </c>
      <c r="F814" s="110">
        <v>1061757665</v>
      </c>
      <c r="G814" s="43"/>
    </row>
    <row r="815" spans="1:7" ht="30" x14ac:dyDescent="0.25">
      <c r="A815" s="345" t="s">
        <v>1179</v>
      </c>
      <c r="B815" s="345" t="s">
        <v>1435</v>
      </c>
      <c r="C815" s="345" t="s">
        <v>1448</v>
      </c>
      <c r="D815" s="345" t="s">
        <v>1294</v>
      </c>
      <c r="E815" s="346" t="s">
        <v>851</v>
      </c>
      <c r="F815" s="347">
        <v>1059594096</v>
      </c>
      <c r="G815" s="43"/>
    </row>
    <row r="816" spans="1:7" ht="30" x14ac:dyDescent="0.25">
      <c r="A816" s="43" t="s">
        <v>1441</v>
      </c>
      <c r="B816" s="43" t="s">
        <v>914</v>
      </c>
      <c r="C816" s="43" t="s">
        <v>1451</v>
      </c>
      <c r="D816" s="43"/>
      <c r="E816" s="109" t="s">
        <v>851</v>
      </c>
      <c r="F816" s="110">
        <v>1059598007</v>
      </c>
      <c r="G816" s="43"/>
    </row>
    <row r="817" spans="1:7" ht="30" x14ac:dyDescent="0.25">
      <c r="A817" s="345" t="s">
        <v>896</v>
      </c>
      <c r="B817" s="345" t="s">
        <v>943</v>
      </c>
      <c r="C817" s="345" t="s">
        <v>1452</v>
      </c>
      <c r="D817" s="345" t="s">
        <v>1372</v>
      </c>
      <c r="E817" s="346" t="s">
        <v>851</v>
      </c>
      <c r="F817" s="347">
        <v>1059599315</v>
      </c>
      <c r="G817" s="43"/>
    </row>
    <row r="818" spans="1:7" ht="30" x14ac:dyDescent="0.25">
      <c r="A818" s="43" t="s">
        <v>1455</v>
      </c>
      <c r="B818" s="43" t="s">
        <v>974</v>
      </c>
      <c r="C818" s="43" t="s">
        <v>1305</v>
      </c>
      <c r="D818" s="43" t="s">
        <v>1456</v>
      </c>
      <c r="E818" s="109" t="s">
        <v>1094</v>
      </c>
      <c r="F818" s="110">
        <v>1059595977</v>
      </c>
      <c r="G818" s="43"/>
    </row>
    <row r="819" spans="1:7" ht="30" x14ac:dyDescent="0.25">
      <c r="A819" s="345" t="s">
        <v>1441</v>
      </c>
      <c r="B819" s="345" t="s">
        <v>884</v>
      </c>
      <c r="C819" s="345" t="s">
        <v>1457</v>
      </c>
      <c r="D819" s="345"/>
      <c r="E819" s="346" t="s">
        <v>851</v>
      </c>
      <c r="F819" s="347">
        <v>25545401</v>
      </c>
      <c r="G819" s="43"/>
    </row>
    <row r="820" spans="1:7" ht="30" x14ac:dyDescent="0.25">
      <c r="A820" s="43" t="s">
        <v>1458</v>
      </c>
      <c r="B820" s="43" t="s">
        <v>1459</v>
      </c>
      <c r="C820" s="43" t="s">
        <v>1460</v>
      </c>
      <c r="D820" s="43" t="s">
        <v>976</v>
      </c>
      <c r="E820" s="109" t="s">
        <v>1094</v>
      </c>
      <c r="F820" s="110">
        <v>1062295885</v>
      </c>
      <c r="G820" s="43"/>
    </row>
    <row r="821" spans="1:7" ht="30" x14ac:dyDescent="0.25">
      <c r="A821" s="345" t="s">
        <v>944</v>
      </c>
      <c r="B821" s="345" t="s">
        <v>943</v>
      </c>
      <c r="C821" s="345" t="s">
        <v>1463</v>
      </c>
      <c r="D821" s="345" t="s">
        <v>1464</v>
      </c>
      <c r="E821" s="346" t="s">
        <v>1094</v>
      </c>
      <c r="F821" s="347">
        <v>1060186081</v>
      </c>
      <c r="G821" s="43"/>
    </row>
    <row r="822" spans="1:7" ht="30" x14ac:dyDescent="0.25">
      <c r="A822" s="43" t="s">
        <v>964</v>
      </c>
      <c r="B822" s="43" t="s">
        <v>1465</v>
      </c>
      <c r="C822" s="43" t="s">
        <v>1002</v>
      </c>
      <c r="D822" s="43" t="s">
        <v>1366</v>
      </c>
      <c r="E822" s="109" t="s">
        <v>1094</v>
      </c>
      <c r="F822" s="110">
        <v>1061530990</v>
      </c>
      <c r="G822" s="43"/>
    </row>
    <row r="823" spans="1:7" ht="30" x14ac:dyDescent="0.25">
      <c r="A823" s="345" t="s">
        <v>1156</v>
      </c>
      <c r="B823" s="345" t="s">
        <v>883</v>
      </c>
      <c r="C823" s="345" t="s">
        <v>1157</v>
      </c>
      <c r="D823" s="345" t="s">
        <v>1466</v>
      </c>
      <c r="E823" s="346" t="s">
        <v>851</v>
      </c>
      <c r="F823" s="347">
        <v>1059594587</v>
      </c>
      <c r="G823" s="43"/>
    </row>
    <row r="824" spans="1:7" ht="30" x14ac:dyDescent="0.25">
      <c r="A824" s="43" t="s">
        <v>883</v>
      </c>
      <c r="B824" s="43" t="s">
        <v>1290</v>
      </c>
      <c r="C824" s="43" t="s">
        <v>1476</v>
      </c>
      <c r="D824" s="43"/>
      <c r="E824" s="109" t="s">
        <v>851</v>
      </c>
      <c r="F824" s="110">
        <v>1059604081</v>
      </c>
      <c r="G824" s="43"/>
    </row>
    <row r="825" spans="1:7" ht="30" x14ac:dyDescent="0.25">
      <c r="A825" s="345" t="s">
        <v>914</v>
      </c>
      <c r="B825" s="345" t="s">
        <v>848</v>
      </c>
      <c r="C825" s="345" t="s">
        <v>1485</v>
      </c>
      <c r="D825" s="345" t="s">
        <v>1285</v>
      </c>
      <c r="E825" s="346" t="s">
        <v>851</v>
      </c>
      <c r="F825" s="347" t="s">
        <v>1486</v>
      </c>
      <c r="G825" s="43"/>
    </row>
    <row r="826" spans="1:7" ht="30" x14ac:dyDescent="0.25">
      <c r="A826" s="43" t="s">
        <v>974</v>
      </c>
      <c r="B826" s="43" t="s">
        <v>943</v>
      </c>
      <c r="C826" s="43" t="s">
        <v>1217</v>
      </c>
      <c r="D826" s="43" t="s">
        <v>1490</v>
      </c>
      <c r="E826" s="109" t="s">
        <v>851</v>
      </c>
      <c r="F826" s="110" t="s">
        <v>1491</v>
      </c>
      <c r="G826" s="43"/>
    </row>
    <row r="827" spans="1:7" ht="30" x14ac:dyDescent="0.25">
      <c r="A827" s="345" t="s">
        <v>967</v>
      </c>
      <c r="B827" s="345" t="s">
        <v>980</v>
      </c>
      <c r="C827" s="345" t="s">
        <v>1492</v>
      </c>
      <c r="D827" s="345"/>
      <c r="E827" s="346" t="s">
        <v>851</v>
      </c>
      <c r="F827" s="347" t="s">
        <v>1493</v>
      </c>
      <c r="G827" s="43"/>
    </row>
    <row r="828" spans="1:7" ht="30" x14ac:dyDescent="0.25">
      <c r="A828" s="43" t="s">
        <v>884</v>
      </c>
      <c r="B828" s="43" t="s">
        <v>1378</v>
      </c>
      <c r="C828" s="43" t="s">
        <v>1494</v>
      </c>
      <c r="D828" s="43" t="s">
        <v>1495</v>
      </c>
      <c r="E828" s="109" t="s">
        <v>851</v>
      </c>
      <c r="F828" s="110" t="s">
        <v>1496</v>
      </c>
      <c r="G828" s="43"/>
    </row>
    <row r="829" spans="1:7" ht="30" x14ac:dyDescent="0.25">
      <c r="A829" s="345" t="s">
        <v>992</v>
      </c>
      <c r="B829" s="345" t="s">
        <v>1498</v>
      </c>
      <c r="C829" s="345" t="s">
        <v>938</v>
      </c>
      <c r="D829" s="345" t="s">
        <v>1499</v>
      </c>
      <c r="E829" s="346" t="s">
        <v>851</v>
      </c>
      <c r="F829" s="347" t="s">
        <v>1500</v>
      </c>
      <c r="G829" s="43"/>
    </row>
    <row r="830" spans="1:7" ht="30" x14ac:dyDescent="0.25">
      <c r="A830" s="43" t="s">
        <v>848</v>
      </c>
      <c r="B830" s="43" t="s">
        <v>953</v>
      </c>
      <c r="C830" s="43" t="s">
        <v>1501</v>
      </c>
      <c r="D830" s="43" t="s">
        <v>919</v>
      </c>
      <c r="E830" s="109" t="s">
        <v>851</v>
      </c>
      <c r="F830" s="110" t="s">
        <v>1502</v>
      </c>
      <c r="G830" s="43"/>
    </row>
    <row r="831" spans="1:7" ht="30" x14ac:dyDescent="0.25">
      <c r="A831" s="345" t="s">
        <v>992</v>
      </c>
      <c r="B831" s="345" t="s">
        <v>848</v>
      </c>
      <c r="C831" s="345" t="s">
        <v>1504</v>
      </c>
      <c r="D831" s="345" t="s">
        <v>1157</v>
      </c>
      <c r="E831" s="346" t="s">
        <v>851</v>
      </c>
      <c r="F831" s="347">
        <v>1002848292</v>
      </c>
      <c r="G831" s="43"/>
    </row>
    <row r="832" spans="1:7" ht="30" x14ac:dyDescent="0.25">
      <c r="A832" s="43" t="s">
        <v>1507</v>
      </c>
      <c r="B832" s="43" t="s">
        <v>1365</v>
      </c>
      <c r="C832" s="43" t="s">
        <v>1508</v>
      </c>
      <c r="D832" s="43"/>
      <c r="E832" s="109" t="s">
        <v>851</v>
      </c>
      <c r="F832" s="110">
        <v>1059600322</v>
      </c>
      <c r="G832" s="43"/>
    </row>
    <row r="833" spans="1:7" ht="30" x14ac:dyDescent="0.25">
      <c r="A833" s="345" t="s">
        <v>1041</v>
      </c>
      <c r="B833" s="345" t="s">
        <v>1147</v>
      </c>
      <c r="C833" s="345" t="s">
        <v>1512</v>
      </c>
      <c r="D833" s="345"/>
      <c r="E833" s="346" t="s">
        <v>851</v>
      </c>
      <c r="F833" s="347">
        <v>1059604976</v>
      </c>
      <c r="G833" s="43"/>
    </row>
    <row r="834" spans="1:7" ht="30" x14ac:dyDescent="0.25">
      <c r="A834" s="43" t="s">
        <v>1513</v>
      </c>
      <c r="B834" s="43" t="s">
        <v>1514</v>
      </c>
      <c r="C834" s="43" t="s">
        <v>1515</v>
      </c>
      <c r="D834" s="43"/>
      <c r="E834" s="109" t="s">
        <v>851</v>
      </c>
      <c r="F834" s="110">
        <v>1067461286</v>
      </c>
      <c r="G834" s="43"/>
    </row>
    <row r="835" spans="1:7" ht="30" x14ac:dyDescent="0.25">
      <c r="A835" s="345" t="s">
        <v>1519</v>
      </c>
      <c r="B835" s="345" t="s">
        <v>848</v>
      </c>
      <c r="C835" s="345" t="s">
        <v>1520</v>
      </c>
      <c r="D835" s="345" t="s">
        <v>1521</v>
      </c>
      <c r="E835" s="346" t="s">
        <v>851</v>
      </c>
      <c r="F835" s="347">
        <v>1002950269</v>
      </c>
      <c r="G835" s="43"/>
    </row>
    <row r="836" spans="1:7" ht="30" x14ac:dyDescent="0.25">
      <c r="A836" s="43" t="s">
        <v>884</v>
      </c>
      <c r="B836" s="43" t="s">
        <v>1524</v>
      </c>
      <c r="C836" s="43" t="s">
        <v>945</v>
      </c>
      <c r="D836" s="43" t="s">
        <v>919</v>
      </c>
      <c r="E836" s="109" t="s">
        <v>851</v>
      </c>
      <c r="F836" s="110">
        <v>1002970266</v>
      </c>
      <c r="G836" s="43"/>
    </row>
    <row r="837" spans="1:7" ht="30" x14ac:dyDescent="0.25">
      <c r="A837" s="345" t="s">
        <v>896</v>
      </c>
      <c r="B837" s="345" t="s">
        <v>953</v>
      </c>
      <c r="C837" s="345" t="s">
        <v>1530</v>
      </c>
      <c r="D837" s="345" t="s">
        <v>1182</v>
      </c>
      <c r="E837" s="346" t="s">
        <v>851</v>
      </c>
      <c r="F837" s="347">
        <v>1059594419</v>
      </c>
      <c r="G837" s="43"/>
    </row>
    <row r="838" spans="1:7" ht="30" x14ac:dyDescent="0.25">
      <c r="A838" s="43" t="s">
        <v>1361</v>
      </c>
      <c r="B838" s="43" t="s">
        <v>992</v>
      </c>
      <c r="C838" s="43" t="s">
        <v>1531</v>
      </c>
      <c r="D838" s="43"/>
      <c r="E838" s="109" t="s">
        <v>851</v>
      </c>
      <c r="F838" s="110">
        <v>1151452891</v>
      </c>
      <c r="G838" s="43"/>
    </row>
    <row r="839" spans="1:7" ht="30" x14ac:dyDescent="0.25">
      <c r="A839" s="345" t="s">
        <v>914</v>
      </c>
      <c r="B839" s="345" t="s">
        <v>1470</v>
      </c>
      <c r="C839" s="345" t="s">
        <v>1167</v>
      </c>
      <c r="D839" s="345" t="s">
        <v>1043</v>
      </c>
      <c r="E839" s="346" t="s">
        <v>851</v>
      </c>
      <c r="F839" s="347">
        <v>1193105051</v>
      </c>
      <c r="G839" s="43"/>
    </row>
    <row r="840" spans="1:7" ht="30" x14ac:dyDescent="0.25">
      <c r="A840" s="43" t="s">
        <v>884</v>
      </c>
      <c r="B840" s="43" t="s">
        <v>1144</v>
      </c>
      <c r="C840" s="43" t="s">
        <v>1534</v>
      </c>
      <c r="D840" s="43"/>
      <c r="E840" s="109" t="s">
        <v>851</v>
      </c>
      <c r="F840" s="354">
        <v>1002846626</v>
      </c>
      <c r="G840" s="43"/>
    </row>
    <row r="841" spans="1:7" ht="30" x14ac:dyDescent="0.25">
      <c r="A841" s="345" t="s">
        <v>1246</v>
      </c>
      <c r="B841" s="345" t="s">
        <v>943</v>
      </c>
      <c r="C841" s="345" t="s">
        <v>1535</v>
      </c>
      <c r="D841" s="345"/>
      <c r="E841" s="346" t="s">
        <v>851</v>
      </c>
      <c r="F841" s="353">
        <v>1002848307</v>
      </c>
      <c r="G841" s="43"/>
    </row>
    <row r="842" spans="1:7" ht="30" x14ac:dyDescent="0.25">
      <c r="A842" s="43" t="s">
        <v>873</v>
      </c>
      <c r="B842" s="43" t="s">
        <v>1091</v>
      </c>
      <c r="C842" s="43" t="s">
        <v>1277</v>
      </c>
      <c r="D842" s="43"/>
      <c r="E842" s="109" t="s">
        <v>851</v>
      </c>
      <c r="F842" s="365">
        <v>1059598472</v>
      </c>
      <c r="G842" s="43"/>
    </row>
    <row r="843" spans="1:7" ht="30" x14ac:dyDescent="0.25">
      <c r="A843" s="345" t="s">
        <v>896</v>
      </c>
      <c r="B843" s="345" t="s">
        <v>1091</v>
      </c>
      <c r="C843" s="345" t="s">
        <v>1538</v>
      </c>
      <c r="D843" s="345"/>
      <c r="E843" s="346" t="s">
        <v>851</v>
      </c>
      <c r="F843" s="347">
        <v>1002846350</v>
      </c>
      <c r="G843" s="43"/>
    </row>
    <row r="844" spans="1:7" ht="30" x14ac:dyDescent="0.25">
      <c r="A844" s="43" t="s">
        <v>896</v>
      </c>
      <c r="B844" s="43" t="s">
        <v>953</v>
      </c>
      <c r="C844" s="43" t="s">
        <v>1217</v>
      </c>
      <c r="D844" s="43" t="s">
        <v>1471</v>
      </c>
      <c r="E844" s="109" t="s">
        <v>851</v>
      </c>
      <c r="F844" s="354">
        <v>1059602285</v>
      </c>
      <c r="G844" s="43"/>
    </row>
    <row r="845" spans="1:7" ht="30" x14ac:dyDescent="0.25">
      <c r="A845" s="345" t="s">
        <v>1540</v>
      </c>
      <c r="B845" s="345" t="s">
        <v>943</v>
      </c>
      <c r="C845" s="345" t="s">
        <v>1541</v>
      </c>
      <c r="D845" s="345" t="s">
        <v>1542</v>
      </c>
      <c r="E845" s="346" t="s">
        <v>851</v>
      </c>
      <c r="F845" s="359" t="s">
        <v>1539</v>
      </c>
      <c r="G845" s="43"/>
    </row>
    <row r="846" spans="1:7" ht="30" x14ac:dyDescent="0.25">
      <c r="A846" s="43" t="s">
        <v>1144</v>
      </c>
      <c r="B846" s="43" t="s">
        <v>996</v>
      </c>
      <c r="C846" s="43" t="s">
        <v>1192</v>
      </c>
      <c r="D846" s="43"/>
      <c r="E846" s="109" t="s">
        <v>851</v>
      </c>
      <c r="F846" s="354">
        <v>1059604012</v>
      </c>
      <c r="G846" s="43"/>
    </row>
    <row r="847" spans="1:7" ht="30" x14ac:dyDescent="0.25">
      <c r="A847" s="345" t="s">
        <v>896</v>
      </c>
      <c r="B847" s="345" t="s">
        <v>953</v>
      </c>
      <c r="C847" s="345" t="s">
        <v>1545</v>
      </c>
      <c r="D847" s="345"/>
      <c r="E847" s="346" t="s">
        <v>851</v>
      </c>
      <c r="F847" s="347">
        <v>25545389</v>
      </c>
      <c r="G847" s="43"/>
    </row>
    <row r="848" spans="1:7" x14ac:dyDescent="0.25">
      <c r="A848" s="43" t="s">
        <v>943</v>
      </c>
      <c r="B848" s="43" t="s">
        <v>848</v>
      </c>
      <c r="C848" s="43" t="s">
        <v>1553</v>
      </c>
      <c r="D848" s="43"/>
      <c r="E848" s="109"/>
      <c r="F848" s="110">
        <v>1059594153</v>
      </c>
      <c r="G848" s="43"/>
    </row>
    <row r="849" spans="1:7" ht="30" x14ac:dyDescent="0.25">
      <c r="A849" s="345" t="s">
        <v>943</v>
      </c>
      <c r="B849" s="345" t="s">
        <v>1144</v>
      </c>
      <c r="C849" s="345" t="s">
        <v>1504</v>
      </c>
      <c r="D849" s="345" t="s">
        <v>1281</v>
      </c>
      <c r="E849" s="346" t="s">
        <v>1094</v>
      </c>
      <c r="F849" s="347">
        <v>1059599329</v>
      </c>
      <c r="G849" s="43"/>
    </row>
    <row r="850" spans="1:7" ht="30" x14ac:dyDescent="0.25">
      <c r="A850" s="43" t="s">
        <v>953</v>
      </c>
      <c r="B850" s="43" t="s">
        <v>1249</v>
      </c>
      <c r="C850" s="43" t="s">
        <v>1556</v>
      </c>
      <c r="D850" s="43"/>
      <c r="E850" s="109" t="s">
        <v>1094</v>
      </c>
      <c r="F850" s="110">
        <v>1059599873</v>
      </c>
      <c r="G850" s="43"/>
    </row>
    <row r="851" spans="1:7" ht="30" x14ac:dyDescent="0.25">
      <c r="A851" s="345" t="s">
        <v>996</v>
      </c>
      <c r="B851" s="345" t="s">
        <v>1559</v>
      </c>
      <c r="C851" s="345" t="s">
        <v>1560</v>
      </c>
      <c r="D851" s="345"/>
      <c r="E851" s="346" t="s">
        <v>851</v>
      </c>
      <c r="F851" s="347">
        <v>25552089</v>
      </c>
      <c r="G851" s="43"/>
    </row>
    <row r="852" spans="1:7" ht="30" x14ac:dyDescent="0.25">
      <c r="A852" s="43" t="s">
        <v>1361</v>
      </c>
      <c r="B852" s="43" t="s">
        <v>1470</v>
      </c>
      <c r="C852" s="43" t="s">
        <v>1553</v>
      </c>
      <c r="D852" s="43"/>
      <c r="E852" s="109" t="s">
        <v>851</v>
      </c>
      <c r="F852" s="110">
        <v>1059595865</v>
      </c>
      <c r="G852" s="43"/>
    </row>
    <row r="853" spans="1:7" ht="30" x14ac:dyDescent="0.25">
      <c r="A853" s="345" t="s">
        <v>953</v>
      </c>
      <c r="B853" s="345" t="s">
        <v>1378</v>
      </c>
      <c r="C853" s="345" t="s">
        <v>1617</v>
      </c>
      <c r="D853" s="345"/>
      <c r="E853" s="346" t="s">
        <v>851</v>
      </c>
      <c r="F853" s="347">
        <v>1059606238</v>
      </c>
      <c r="G853" s="43"/>
    </row>
    <row r="854" spans="1:7" ht="30" x14ac:dyDescent="0.25">
      <c r="A854" s="43" t="s">
        <v>874</v>
      </c>
      <c r="B854" s="43" t="s">
        <v>873</v>
      </c>
      <c r="C854" s="43" t="s">
        <v>1635</v>
      </c>
      <c r="D854" s="43" t="s">
        <v>1294</v>
      </c>
      <c r="E854" s="109" t="s">
        <v>1094</v>
      </c>
      <c r="F854" s="110">
        <v>1059597986</v>
      </c>
      <c r="G854" s="43"/>
    </row>
    <row r="855" spans="1:7" ht="30" x14ac:dyDescent="0.25">
      <c r="A855" s="345" t="s">
        <v>873</v>
      </c>
      <c r="B855" s="345" t="s">
        <v>962</v>
      </c>
      <c r="C855" s="345" t="s">
        <v>1501</v>
      </c>
      <c r="D855" s="345" t="s">
        <v>1340</v>
      </c>
      <c r="E855" s="346" t="s">
        <v>851</v>
      </c>
      <c r="F855" s="347">
        <v>1059594976</v>
      </c>
      <c r="G855" s="43"/>
    </row>
    <row r="856" spans="1:7" ht="30" x14ac:dyDescent="0.25">
      <c r="A856" s="43" t="s">
        <v>896</v>
      </c>
      <c r="B856" s="43" t="s">
        <v>915</v>
      </c>
      <c r="C856" s="43" t="s">
        <v>1585</v>
      </c>
      <c r="D856" s="43"/>
      <c r="E856" s="109" t="s">
        <v>851</v>
      </c>
      <c r="F856" s="110">
        <v>1059595460</v>
      </c>
      <c r="G856" s="43"/>
    </row>
    <row r="857" spans="1:7" ht="30" x14ac:dyDescent="0.25">
      <c r="A857" s="345" t="s">
        <v>953</v>
      </c>
      <c r="B857" s="345" t="s">
        <v>1286</v>
      </c>
      <c r="C857" s="345" t="s">
        <v>1463</v>
      </c>
      <c r="D857" s="345" t="s">
        <v>1579</v>
      </c>
      <c r="E857" s="346" t="s">
        <v>851</v>
      </c>
      <c r="F857" s="359" t="s">
        <v>1578</v>
      </c>
      <c r="G857" s="43"/>
    </row>
    <row r="858" spans="1:7" ht="30" x14ac:dyDescent="0.25">
      <c r="A858" s="43" t="s">
        <v>1580</v>
      </c>
      <c r="B858" s="43" t="s">
        <v>914</v>
      </c>
      <c r="C858" s="43" t="s">
        <v>1581</v>
      </c>
      <c r="D858" s="43" t="s">
        <v>1464</v>
      </c>
      <c r="E858" s="109" t="s">
        <v>851</v>
      </c>
      <c r="F858" s="356">
        <v>1002846447</v>
      </c>
      <c r="G858" s="43"/>
    </row>
    <row r="859" spans="1:7" ht="30" x14ac:dyDescent="0.25">
      <c r="A859" s="345" t="s">
        <v>1583</v>
      </c>
      <c r="B859" s="345" t="s">
        <v>873</v>
      </c>
      <c r="C859" s="345" t="s">
        <v>1584</v>
      </c>
      <c r="D859" s="345"/>
      <c r="E859" s="346" t="s">
        <v>851</v>
      </c>
      <c r="F859" s="359" t="s">
        <v>1582</v>
      </c>
      <c r="G859" s="43"/>
    </row>
    <row r="860" spans="1:7" ht="30" x14ac:dyDescent="0.25">
      <c r="A860" s="43" t="s">
        <v>1322</v>
      </c>
      <c r="B860" s="43" t="s">
        <v>1378</v>
      </c>
      <c r="C860" s="43" t="s">
        <v>1587</v>
      </c>
      <c r="D860" s="43"/>
      <c r="E860" s="109" t="s">
        <v>851</v>
      </c>
      <c r="F860" s="356" t="s">
        <v>1586</v>
      </c>
      <c r="G860" s="43"/>
    </row>
    <row r="861" spans="1:7" ht="30" x14ac:dyDescent="0.25">
      <c r="A861" s="345" t="s">
        <v>1590</v>
      </c>
      <c r="B861" s="345" t="s">
        <v>874</v>
      </c>
      <c r="C861" s="345" t="s">
        <v>1591</v>
      </c>
      <c r="D861" s="345"/>
      <c r="E861" s="346" t="s">
        <v>851</v>
      </c>
      <c r="F861" s="359" t="s">
        <v>1589</v>
      </c>
      <c r="G861" s="43"/>
    </row>
    <row r="862" spans="1:7" ht="30" x14ac:dyDescent="0.25">
      <c r="A862" s="43" t="s">
        <v>1286</v>
      </c>
      <c r="B862" s="43" t="s">
        <v>1594</v>
      </c>
      <c r="C862" s="43" t="s">
        <v>1420</v>
      </c>
      <c r="D862" s="43"/>
      <c r="E862" s="109" t="s">
        <v>1094</v>
      </c>
      <c r="F862" s="356" t="s">
        <v>1593</v>
      </c>
      <c r="G862" s="43"/>
    </row>
    <row r="863" spans="1:7" ht="30" x14ac:dyDescent="0.25">
      <c r="A863" s="345" t="s">
        <v>1598</v>
      </c>
      <c r="B863" s="345" t="s">
        <v>1599</v>
      </c>
      <c r="C863" s="345" t="s">
        <v>1597</v>
      </c>
      <c r="D863" s="345"/>
      <c r="E863" s="346" t="s">
        <v>851</v>
      </c>
      <c r="F863" s="347">
        <v>1002846452</v>
      </c>
      <c r="G863" s="43"/>
    </row>
    <row r="864" spans="1:7" ht="30" x14ac:dyDescent="0.25">
      <c r="A864" s="43" t="s">
        <v>914</v>
      </c>
      <c r="B864" s="43" t="s">
        <v>1601</v>
      </c>
      <c r="C864" s="43" t="s">
        <v>1602</v>
      </c>
      <c r="D864" s="43"/>
      <c r="E864" s="109" t="s">
        <v>851</v>
      </c>
      <c r="F864" s="110">
        <v>1003370775</v>
      </c>
      <c r="G864" s="43"/>
    </row>
    <row r="865" spans="1:7" ht="30" x14ac:dyDescent="0.25">
      <c r="A865" s="345" t="s">
        <v>896</v>
      </c>
      <c r="B865" s="345" t="s">
        <v>992</v>
      </c>
      <c r="C865" s="345" t="s">
        <v>1530</v>
      </c>
      <c r="D865" s="345" t="s">
        <v>1357</v>
      </c>
      <c r="E865" s="346" t="s">
        <v>851</v>
      </c>
      <c r="F865" s="347">
        <v>1002847645</v>
      </c>
      <c r="G865" s="43"/>
    </row>
    <row r="866" spans="1:7" ht="30" x14ac:dyDescent="0.25">
      <c r="A866" s="43" t="s">
        <v>896</v>
      </c>
      <c r="B866" s="43" t="s">
        <v>1599</v>
      </c>
      <c r="C866" s="43" t="s">
        <v>1607</v>
      </c>
      <c r="D866" s="43" t="s">
        <v>1608</v>
      </c>
      <c r="E866" s="109" t="s">
        <v>851</v>
      </c>
      <c r="F866" s="110">
        <v>1060800773</v>
      </c>
      <c r="G866" s="43"/>
    </row>
    <row r="867" spans="1:7" ht="30" x14ac:dyDescent="0.25">
      <c r="A867" s="345" t="s">
        <v>914</v>
      </c>
      <c r="B867" s="345" t="s">
        <v>943</v>
      </c>
      <c r="C867" s="345" t="s">
        <v>1198</v>
      </c>
      <c r="D867" s="345"/>
      <c r="E867" s="346" t="s">
        <v>851</v>
      </c>
      <c r="F867" s="347">
        <v>1059605317</v>
      </c>
      <c r="G867" s="43"/>
    </row>
    <row r="868" spans="1:7" ht="30" x14ac:dyDescent="0.25">
      <c r="A868" s="43" t="s">
        <v>1439</v>
      </c>
      <c r="B868" s="43" t="s">
        <v>848</v>
      </c>
      <c r="C868" s="43" t="s">
        <v>1437</v>
      </c>
      <c r="D868" s="43"/>
      <c r="E868" s="109" t="s">
        <v>851</v>
      </c>
      <c r="F868" s="110">
        <v>1059595628</v>
      </c>
      <c r="G868" s="43"/>
    </row>
    <row r="869" spans="1:7" ht="30" x14ac:dyDescent="0.25">
      <c r="A869" s="345" t="s">
        <v>873</v>
      </c>
      <c r="B869" s="345" t="s">
        <v>874</v>
      </c>
      <c r="C869" s="345" t="s">
        <v>1612</v>
      </c>
      <c r="D869" s="345" t="s">
        <v>1613</v>
      </c>
      <c r="E869" s="346" t="s">
        <v>851</v>
      </c>
      <c r="F869" s="347">
        <v>1002849103</v>
      </c>
      <c r="G869" s="43"/>
    </row>
    <row r="870" spans="1:7" ht="30" x14ac:dyDescent="0.25">
      <c r="A870" s="43" t="s">
        <v>914</v>
      </c>
      <c r="B870" s="43" t="s">
        <v>914</v>
      </c>
      <c r="C870" s="43" t="s">
        <v>1614</v>
      </c>
      <c r="D870" s="43" t="s">
        <v>1277</v>
      </c>
      <c r="E870" s="109" t="s">
        <v>851</v>
      </c>
      <c r="F870" s="110">
        <v>1002847076</v>
      </c>
      <c r="G870" s="43"/>
    </row>
    <row r="871" spans="1:7" ht="30" x14ac:dyDescent="0.25">
      <c r="A871" s="345" t="s">
        <v>1621</v>
      </c>
      <c r="B871" s="345" t="s">
        <v>1622</v>
      </c>
      <c r="C871" s="345" t="s">
        <v>1619</v>
      </c>
      <c r="D871" s="345" t="s">
        <v>1620</v>
      </c>
      <c r="E871" s="346" t="s">
        <v>851</v>
      </c>
      <c r="F871" s="347">
        <v>1104776221</v>
      </c>
      <c r="G871" s="43"/>
    </row>
    <row r="872" spans="1:7" ht="30" x14ac:dyDescent="0.25">
      <c r="A872" s="43" t="s">
        <v>980</v>
      </c>
      <c r="B872" s="43" t="s">
        <v>914</v>
      </c>
      <c r="C872" s="43" t="s">
        <v>1623</v>
      </c>
      <c r="D872" s="43"/>
      <c r="E872" s="109" t="s">
        <v>851</v>
      </c>
      <c r="F872" s="110">
        <v>1059596737</v>
      </c>
      <c r="G872" s="43"/>
    </row>
    <row r="873" spans="1:7" ht="30" x14ac:dyDescent="0.25">
      <c r="A873" s="345" t="s">
        <v>1629</v>
      </c>
      <c r="B873" s="345" t="s">
        <v>1249</v>
      </c>
      <c r="C873" s="345" t="s">
        <v>1630</v>
      </c>
      <c r="D873" s="345"/>
      <c r="E873" s="346" t="s">
        <v>851</v>
      </c>
      <c r="F873" s="345">
        <v>1059601748</v>
      </c>
      <c r="G873" s="43"/>
    </row>
    <row r="874" spans="1:7" ht="30" x14ac:dyDescent="0.25">
      <c r="A874" s="43" t="s">
        <v>896</v>
      </c>
      <c r="B874" s="43" t="s">
        <v>1632</v>
      </c>
      <c r="C874" s="43" t="s">
        <v>1633</v>
      </c>
      <c r="D874" s="43"/>
      <c r="E874" s="109" t="s">
        <v>851</v>
      </c>
      <c r="F874" s="360" t="s">
        <v>1631</v>
      </c>
      <c r="G874" s="43"/>
    </row>
    <row r="875" spans="1:7" ht="30" x14ac:dyDescent="0.25">
      <c r="A875" s="345" t="s">
        <v>1637</v>
      </c>
      <c r="B875" s="345" t="s">
        <v>1638</v>
      </c>
      <c r="C875" s="345" t="s">
        <v>1028</v>
      </c>
      <c r="D875" s="345"/>
      <c r="E875" s="346" t="s">
        <v>851</v>
      </c>
      <c r="F875" s="358">
        <v>1060986729</v>
      </c>
      <c r="G875" s="43"/>
    </row>
    <row r="876" spans="1:7" ht="30" x14ac:dyDescent="0.25">
      <c r="A876" s="43" t="s">
        <v>1439</v>
      </c>
      <c r="B876" s="43" t="s">
        <v>848</v>
      </c>
      <c r="C876" s="43" t="s">
        <v>1437</v>
      </c>
      <c r="D876" s="43"/>
      <c r="E876" s="109" t="s">
        <v>851</v>
      </c>
      <c r="F876" s="110">
        <v>1059595628</v>
      </c>
      <c r="G876" s="43"/>
    </row>
    <row r="877" spans="1:7" ht="30" x14ac:dyDescent="0.25">
      <c r="A877" s="345" t="s">
        <v>953</v>
      </c>
      <c r="B877" s="345" t="s">
        <v>1660</v>
      </c>
      <c r="C877" s="345" t="s">
        <v>1217</v>
      </c>
      <c r="D877" s="345" t="s">
        <v>1661</v>
      </c>
      <c r="E877" s="346" t="s">
        <v>851</v>
      </c>
      <c r="F877" s="347">
        <v>1002848134</v>
      </c>
      <c r="G877" s="43"/>
    </row>
    <row r="878" spans="1:7" ht="30" x14ac:dyDescent="0.25">
      <c r="A878" s="43" t="s">
        <v>980</v>
      </c>
      <c r="B878" s="43" t="s">
        <v>1666</v>
      </c>
      <c r="C878" s="43" t="s">
        <v>1287</v>
      </c>
      <c r="D878" s="43" t="s">
        <v>919</v>
      </c>
      <c r="E878" s="109" t="s">
        <v>851</v>
      </c>
      <c r="F878" s="110">
        <v>1002846819</v>
      </c>
      <c r="G878" s="43"/>
    </row>
    <row r="879" spans="1:7" ht="30" x14ac:dyDescent="0.25">
      <c r="A879" s="345" t="s">
        <v>1667</v>
      </c>
      <c r="B879" s="345" t="s">
        <v>1668</v>
      </c>
      <c r="C879" s="345" t="s">
        <v>1669</v>
      </c>
      <c r="D879" s="345"/>
      <c r="E879" s="346" t="s">
        <v>851</v>
      </c>
      <c r="F879" s="347">
        <v>1064426895</v>
      </c>
      <c r="G879" s="43"/>
    </row>
    <row r="880" spans="1:7" ht="30" x14ac:dyDescent="0.25">
      <c r="A880" s="43" t="s">
        <v>1210</v>
      </c>
      <c r="B880" s="43" t="s">
        <v>848</v>
      </c>
      <c r="C880" s="43" t="s">
        <v>1670</v>
      </c>
      <c r="D880" s="43" t="s">
        <v>1671</v>
      </c>
      <c r="E880" s="109" t="s">
        <v>851</v>
      </c>
      <c r="F880" s="110">
        <v>1059602883</v>
      </c>
      <c r="G880" s="43"/>
    </row>
    <row r="881" spans="1:7" ht="30" x14ac:dyDescent="0.25">
      <c r="A881" s="345" t="s">
        <v>943</v>
      </c>
      <c r="B881" s="345" t="s">
        <v>848</v>
      </c>
      <c r="C881" s="345" t="s">
        <v>1673</v>
      </c>
      <c r="D881" s="345" t="s">
        <v>1674</v>
      </c>
      <c r="E881" s="346" t="s">
        <v>851</v>
      </c>
      <c r="F881" s="366" t="s">
        <v>1672</v>
      </c>
      <c r="G881" s="43"/>
    </row>
    <row r="882" spans="1:7" ht="30" x14ac:dyDescent="0.25">
      <c r="A882" s="43" t="s">
        <v>1677</v>
      </c>
      <c r="B882" s="43" t="s">
        <v>962</v>
      </c>
      <c r="C882" s="43" t="s">
        <v>1678</v>
      </c>
      <c r="D882" s="43" t="s">
        <v>1679</v>
      </c>
      <c r="E882" s="109" t="s">
        <v>1094</v>
      </c>
      <c r="F882" s="363" t="s">
        <v>1676</v>
      </c>
      <c r="G882" s="43"/>
    </row>
    <row r="883" spans="1:7" x14ac:dyDescent="0.25">
      <c r="A883" s="364" t="s">
        <v>1709</v>
      </c>
      <c r="B883" s="43"/>
      <c r="C883" s="43"/>
      <c r="D883" s="43"/>
      <c r="E883" s="43"/>
      <c r="F883" s="43"/>
      <c r="G883" s="43"/>
    </row>
    <row r="884" spans="1:7" ht="45" x14ac:dyDescent="0.25">
      <c r="A884" s="17" t="s">
        <v>94</v>
      </c>
      <c r="B884" s="17" t="s">
        <v>21</v>
      </c>
      <c r="C884" s="17" t="s">
        <v>0</v>
      </c>
      <c r="D884" s="17" t="s">
        <v>1</v>
      </c>
      <c r="E884" s="17" t="s">
        <v>2</v>
      </c>
      <c r="F884" s="17" t="s">
        <v>3</v>
      </c>
      <c r="G884" s="43"/>
    </row>
    <row r="885" spans="1:7" ht="30" x14ac:dyDescent="0.25">
      <c r="A885" s="43" t="s">
        <v>1332</v>
      </c>
      <c r="B885" s="43" t="s">
        <v>1091</v>
      </c>
      <c r="C885" s="43" t="s">
        <v>1333</v>
      </c>
      <c r="D885" s="43"/>
      <c r="E885" s="109" t="s">
        <v>1094</v>
      </c>
      <c r="F885" s="110">
        <v>1059595374</v>
      </c>
      <c r="G885" s="43"/>
    </row>
    <row r="886" spans="1:7" ht="30" x14ac:dyDescent="0.25">
      <c r="A886" s="345" t="s">
        <v>914</v>
      </c>
      <c r="B886" s="345" t="s">
        <v>915</v>
      </c>
      <c r="C886" s="345" t="s">
        <v>916</v>
      </c>
      <c r="D886" s="345"/>
      <c r="E886" s="346" t="s">
        <v>1094</v>
      </c>
      <c r="F886" s="347">
        <v>1059598169</v>
      </c>
      <c r="G886" s="43"/>
    </row>
    <row r="887" spans="1:7" ht="30" x14ac:dyDescent="0.25">
      <c r="A887" s="43" t="s">
        <v>1360</v>
      </c>
      <c r="B887" s="43" t="s">
        <v>1361</v>
      </c>
      <c r="C887" s="43" t="s">
        <v>938</v>
      </c>
      <c r="D887" s="43" t="s">
        <v>1362</v>
      </c>
      <c r="E887" s="109" t="s">
        <v>851</v>
      </c>
      <c r="F887" s="110" t="s">
        <v>1363</v>
      </c>
      <c r="G887" s="43"/>
    </row>
    <row r="888" spans="1:7" ht="30" x14ac:dyDescent="0.25">
      <c r="A888" s="345" t="s">
        <v>1286</v>
      </c>
      <c r="B888" s="345" t="s">
        <v>914</v>
      </c>
      <c r="C888" s="345" t="s">
        <v>1198</v>
      </c>
      <c r="D888" s="345" t="s">
        <v>1364</v>
      </c>
      <c r="E888" s="346" t="s">
        <v>851</v>
      </c>
      <c r="F888" s="347">
        <v>1059600026</v>
      </c>
      <c r="G888" s="43"/>
    </row>
    <row r="889" spans="1:7" ht="30" x14ac:dyDescent="0.25">
      <c r="A889" s="43" t="s">
        <v>1427</v>
      </c>
      <c r="B889" s="43" t="s">
        <v>1428</v>
      </c>
      <c r="C889" s="43" t="s">
        <v>1429</v>
      </c>
      <c r="D889" s="43" t="s">
        <v>1430</v>
      </c>
      <c r="E889" s="109" t="s">
        <v>851</v>
      </c>
      <c r="F889" s="110">
        <v>1061528490</v>
      </c>
      <c r="G889" s="43"/>
    </row>
    <row r="890" spans="1:7" ht="30" x14ac:dyDescent="0.25">
      <c r="A890" s="345" t="s">
        <v>1441</v>
      </c>
      <c r="B890" s="345"/>
      <c r="C890" s="345" t="s">
        <v>1284</v>
      </c>
      <c r="D890" s="345" t="s">
        <v>1442</v>
      </c>
      <c r="E890" s="346" t="s">
        <v>851</v>
      </c>
      <c r="F890" s="347">
        <v>1002848635</v>
      </c>
      <c r="G890" s="43"/>
    </row>
    <row r="891" spans="1:7" ht="30" x14ac:dyDescent="0.25">
      <c r="A891" s="43" t="s">
        <v>1441</v>
      </c>
      <c r="B891" s="43" t="s">
        <v>884</v>
      </c>
      <c r="C891" s="43" t="s">
        <v>1457</v>
      </c>
      <c r="D891" s="43"/>
      <c r="E891" s="109" t="s">
        <v>851</v>
      </c>
      <c r="F891" s="110">
        <v>25545401</v>
      </c>
      <c r="G891" s="43"/>
    </row>
    <row r="892" spans="1:7" ht="30" x14ac:dyDescent="0.25">
      <c r="A892" s="345" t="s">
        <v>1458</v>
      </c>
      <c r="B892" s="345" t="s">
        <v>1459</v>
      </c>
      <c r="C892" s="345" t="s">
        <v>1460</v>
      </c>
      <c r="D892" s="345" t="s">
        <v>976</v>
      </c>
      <c r="E892" s="346" t="s">
        <v>1094</v>
      </c>
      <c r="F892" s="347">
        <v>1062295885</v>
      </c>
      <c r="G892" s="43"/>
    </row>
    <row r="893" spans="1:7" ht="30" x14ac:dyDescent="0.25">
      <c r="A893" s="43" t="s">
        <v>964</v>
      </c>
      <c r="B893" s="43" t="s">
        <v>1465</v>
      </c>
      <c r="C893" s="43" t="s">
        <v>1002</v>
      </c>
      <c r="D893" s="43" t="s">
        <v>1366</v>
      </c>
      <c r="E893" s="109" t="s">
        <v>1094</v>
      </c>
      <c r="F893" s="110">
        <v>1061530990</v>
      </c>
      <c r="G893" s="43"/>
    </row>
    <row r="894" spans="1:7" ht="30" x14ac:dyDescent="0.25">
      <c r="A894" s="345" t="s">
        <v>848</v>
      </c>
      <c r="B894" s="345" t="s">
        <v>953</v>
      </c>
      <c r="C894" s="345" t="s">
        <v>1501</v>
      </c>
      <c r="D894" s="345" t="s">
        <v>919</v>
      </c>
      <c r="E894" s="346" t="s">
        <v>851</v>
      </c>
      <c r="F894" s="347" t="s">
        <v>1502</v>
      </c>
      <c r="G894" s="43"/>
    </row>
    <row r="895" spans="1:7" ht="30" x14ac:dyDescent="0.25">
      <c r="A895" s="43" t="s">
        <v>1513</v>
      </c>
      <c r="B895" s="43" t="s">
        <v>1514</v>
      </c>
      <c r="C895" s="43" t="s">
        <v>1515</v>
      </c>
      <c r="D895" s="43"/>
      <c r="E895" s="109" t="s">
        <v>851</v>
      </c>
      <c r="F895" s="110">
        <v>1067461286</v>
      </c>
      <c r="G895" s="43"/>
    </row>
    <row r="896" spans="1:7" ht="30" x14ac:dyDescent="0.25">
      <c r="A896" s="345" t="s">
        <v>1519</v>
      </c>
      <c r="B896" s="345" t="s">
        <v>848</v>
      </c>
      <c r="C896" s="345" t="s">
        <v>1520</v>
      </c>
      <c r="D896" s="345" t="s">
        <v>1521</v>
      </c>
      <c r="E896" s="346" t="s">
        <v>851</v>
      </c>
      <c r="F896" s="347">
        <v>1002950269</v>
      </c>
      <c r="G896" s="43"/>
    </row>
    <row r="897" spans="1:7" ht="30" x14ac:dyDescent="0.25">
      <c r="A897" s="43" t="s">
        <v>896</v>
      </c>
      <c r="B897" s="43" t="s">
        <v>953</v>
      </c>
      <c r="C897" s="43" t="s">
        <v>1530</v>
      </c>
      <c r="D897" s="43" t="s">
        <v>1182</v>
      </c>
      <c r="E897" s="109" t="s">
        <v>851</v>
      </c>
      <c r="F897" s="110">
        <v>1059594419</v>
      </c>
      <c r="G897" s="43"/>
    </row>
    <row r="898" spans="1:7" ht="30" x14ac:dyDescent="0.25">
      <c r="A898" s="345" t="s">
        <v>884</v>
      </c>
      <c r="B898" s="345" t="s">
        <v>1144</v>
      </c>
      <c r="C898" s="345" t="s">
        <v>1534</v>
      </c>
      <c r="D898" s="345"/>
      <c r="E898" s="346" t="s">
        <v>851</v>
      </c>
      <c r="F898" s="353">
        <v>1002846626</v>
      </c>
      <c r="G898" s="43"/>
    </row>
    <row r="899" spans="1:7" ht="30" x14ac:dyDescent="0.25">
      <c r="A899" s="43" t="s">
        <v>1246</v>
      </c>
      <c r="B899" s="43" t="s">
        <v>943</v>
      </c>
      <c r="C899" s="43" t="s">
        <v>1535</v>
      </c>
      <c r="D899" s="43"/>
      <c r="E899" s="109" t="s">
        <v>851</v>
      </c>
      <c r="F899" s="354">
        <v>1002848307</v>
      </c>
      <c r="G899" s="43"/>
    </row>
    <row r="900" spans="1:7" ht="30" x14ac:dyDescent="0.25">
      <c r="A900" s="345" t="s">
        <v>896</v>
      </c>
      <c r="B900" s="345" t="s">
        <v>1091</v>
      </c>
      <c r="C900" s="345" t="s">
        <v>1538</v>
      </c>
      <c r="D900" s="345"/>
      <c r="E900" s="346" t="s">
        <v>851</v>
      </c>
      <c r="F900" s="347">
        <v>1002846350</v>
      </c>
      <c r="G900" s="43"/>
    </row>
    <row r="901" spans="1:7" ht="30" x14ac:dyDescent="0.25">
      <c r="A901" s="43" t="s">
        <v>896</v>
      </c>
      <c r="B901" s="43" t="s">
        <v>953</v>
      </c>
      <c r="C901" s="43" t="s">
        <v>1217</v>
      </c>
      <c r="D901" s="43" t="s">
        <v>1471</v>
      </c>
      <c r="E901" s="109" t="s">
        <v>851</v>
      </c>
      <c r="F901" s="354">
        <v>1059602285</v>
      </c>
      <c r="G901" s="43"/>
    </row>
    <row r="902" spans="1:7" ht="30" x14ac:dyDescent="0.25">
      <c r="A902" s="345" t="s">
        <v>1144</v>
      </c>
      <c r="B902" s="345" t="s">
        <v>996</v>
      </c>
      <c r="C902" s="345" t="s">
        <v>1192</v>
      </c>
      <c r="D902" s="345"/>
      <c r="E902" s="346" t="s">
        <v>851</v>
      </c>
      <c r="F902" s="353">
        <v>1059604012</v>
      </c>
      <c r="G902" s="43"/>
    </row>
    <row r="903" spans="1:7" ht="30" x14ac:dyDescent="0.25">
      <c r="A903" s="43" t="s">
        <v>896</v>
      </c>
      <c r="B903" s="43" t="s">
        <v>953</v>
      </c>
      <c r="C903" s="43" t="s">
        <v>1545</v>
      </c>
      <c r="D903" s="43"/>
      <c r="E903" s="109" t="s">
        <v>851</v>
      </c>
      <c r="F903" s="110">
        <v>25545389</v>
      </c>
      <c r="G903" s="43"/>
    </row>
    <row r="904" spans="1:7" x14ac:dyDescent="0.25">
      <c r="A904" s="345" t="s">
        <v>943</v>
      </c>
      <c r="B904" s="345" t="s">
        <v>848</v>
      </c>
      <c r="C904" s="345" t="s">
        <v>1553</v>
      </c>
      <c r="D904" s="345"/>
      <c r="E904" s="346"/>
      <c r="F904" s="347">
        <v>1059594153</v>
      </c>
      <c r="G904" s="43"/>
    </row>
    <row r="905" spans="1:7" ht="30" x14ac:dyDescent="0.25">
      <c r="A905" s="43" t="s">
        <v>943</v>
      </c>
      <c r="B905" s="43" t="s">
        <v>1144</v>
      </c>
      <c r="C905" s="43" t="s">
        <v>1504</v>
      </c>
      <c r="D905" s="43" t="s">
        <v>1281</v>
      </c>
      <c r="E905" s="109" t="s">
        <v>1094</v>
      </c>
      <c r="F905" s="110">
        <v>1059599329</v>
      </c>
      <c r="G905" s="43"/>
    </row>
    <row r="906" spans="1:7" ht="30" x14ac:dyDescent="0.25">
      <c r="A906" s="345" t="s">
        <v>953</v>
      </c>
      <c r="B906" s="345" t="s">
        <v>1286</v>
      </c>
      <c r="C906" s="345" t="s">
        <v>1463</v>
      </c>
      <c r="D906" s="345" t="s">
        <v>1579</v>
      </c>
      <c r="E906" s="346" t="s">
        <v>851</v>
      </c>
      <c r="F906" s="359" t="s">
        <v>1578</v>
      </c>
      <c r="G906" s="43"/>
    </row>
    <row r="907" spans="1:7" ht="30" x14ac:dyDescent="0.25">
      <c r="A907" s="43" t="s">
        <v>1580</v>
      </c>
      <c r="B907" s="43" t="s">
        <v>914</v>
      </c>
      <c r="C907" s="43" t="s">
        <v>1581</v>
      </c>
      <c r="D907" s="43" t="s">
        <v>1464</v>
      </c>
      <c r="E907" s="109" t="s">
        <v>851</v>
      </c>
      <c r="F907" s="356">
        <v>1002846447</v>
      </c>
      <c r="G907" s="43"/>
    </row>
    <row r="908" spans="1:7" ht="30" x14ac:dyDescent="0.25">
      <c r="A908" s="345" t="s">
        <v>1590</v>
      </c>
      <c r="B908" s="345" t="s">
        <v>874</v>
      </c>
      <c r="C908" s="345" t="s">
        <v>1591</v>
      </c>
      <c r="D908" s="345"/>
      <c r="E908" s="346" t="s">
        <v>851</v>
      </c>
      <c r="F908" s="359" t="s">
        <v>1589</v>
      </c>
      <c r="G908" s="43"/>
    </row>
    <row r="909" spans="1:7" ht="30" x14ac:dyDescent="0.25">
      <c r="A909" s="43" t="s">
        <v>1286</v>
      </c>
      <c r="B909" s="43" t="s">
        <v>1594</v>
      </c>
      <c r="C909" s="43" t="s">
        <v>1420</v>
      </c>
      <c r="D909" s="43"/>
      <c r="E909" s="109" t="s">
        <v>1094</v>
      </c>
      <c r="F909" s="356" t="s">
        <v>1593</v>
      </c>
      <c r="G909" s="43"/>
    </row>
    <row r="910" spans="1:7" ht="30" x14ac:dyDescent="0.25">
      <c r="A910" s="345" t="s">
        <v>896</v>
      </c>
      <c r="B910" s="345" t="s">
        <v>1632</v>
      </c>
      <c r="C910" s="345" t="s">
        <v>1633</v>
      </c>
      <c r="D910" s="345"/>
      <c r="E910" s="346" t="s">
        <v>851</v>
      </c>
      <c r="F910" s="360" t="s">
        <v>1631</v>
      </c>
      <c r="G910" s="43"/>
    </row>
    <row r="911" spans="1:7" ht="30" x14ac:dyDescent="0.25">
      <c r="A911" s="43" t="s">
        <v>1637</v>
      </c>
      <c r="B911" s="43" t="s">
        <v>1638</v>
      </c>
      <c r="C911" s="43" t="s">
        <v>1028</v>
      </c>
      <c r="D911" s="43"/>
      <c r="E911" s="109" t="s">
        <v>851</v>
      </c>
      <c r="F911" s="357">
        <v>1060986729</v>
      </c>
      <c r="G911" s="43"/>
    </row>
    <row r="912" spans="1:7" ht="30" x14ac:dyDescent="0.25">
      <c r="A912" s="345" t="s">
        <v>1249</v>
      </c>
      <c r="B912" s="345" t="s">
        <v>914</v>
      </c>
      <c r="C912" s="345" t="s">
        <v>1659</v>
      </c>
      <c r="D912" s="345"/>
      <c r="E912" s="346" t="s">
        <v>851</v>
      </c>
      <c r="F912" s="347">
        <v>1059597497</v>
      </c>
      <c r="G912" s="43"/>
    </row>
    <row r="913" spans="1:7" ht="30" x14ac:dyDescent="0.25">
      <c r="A913" s="43" t="s">
        <v>1439</v>
      </c>
      <c r="B913" s="43" t="s">
        <v>848</v>
      </c>
      <c r="C913" s="43" t="s">
        <v>1437</v>
      </c>
      <c r="D913" s="43"/>
      <c r="E913" s="109" t="s">
        <v>851</v>
      </c>
      <c r="F913" s="110">
        <v>1059595628</v>
      </c>
      <c r="G913" s="43"/>
    </row>
    <row r="914" spans="1:7" ht="30" x14ac:dyDescent="0.25">
      <c r="A914" s="345" t="s">
        <v>953</v>
      </c>
      <c r="B914" s="345" t="s">
        <v>1660</v>
      </c>
      <c r="C914" s="345" t="s">
        <v>1217</v>
      </c>
      <c r="D914" s="345" t="s">
        <v>1661</v>
      </c>
      <c r="E914" s="346" t="s">
        <v>851</v>
      </c>
      <c r="F914" s="347">
        <v>1002848134</v>
      </c>
      <c r="G914" s="43"/>
    </row>
    <row r="915" spans="1:7" ht="30" x14ac:dyDescent="0.25">
      <c r="A915" s="43" t="s">
        <v>848</v>
      </c>
      <c r="B915" s="43" t="s">
        <v>1034</v>
      </c>
      <c r="C915" s="43" t="s">
        <v>1612</v>
      </c>
      <c r="D915" s="43" t="s">
        <v>1662</v>
      </c>
      <c r="E915" s="109" t="s">
        <v>851</v>
      </c>
      <c r="F915" s="110">
        <v>1059601726</v>
      </c>
      <c r="G915" s="43"/>
    </row>
    <row r="916" spans="1:7" ht="30" x14ac:dyDescent="0.25">
      <c r="A916" s="345" t="s">
        <v>1663</v>
      </c>
      <c r="B916" s="345" t="s">
        <v>1664</v>
      </c>
      <c r="C916" s="345" t="s">
        <v>938</v>
      </c>
      <c r="D916" s="345" t="s">
        <v>1665</v>
      </c>
      <c r="E916" s="346" t="s">
        <v>851</v>
      </c>
      <c r="F916" s="347">
        <v>1059601634</v>
      </c>
      <c r="G916" s="43"/>
    </row>
    <row r="917" spans="1:7" ht="30" x14ac:dyDescent="0.25">
      <c r="A917" s="43" t="s">
        <v>1667</v>
      </c>
      <c r="B917" s="43" t="s">
        <v>1668</v>
      </c>
      <c r="C917" s="43" t="s">
        <v>1669</v>
      </c>
      <c r="D917" s="43"/>
      <c r="E917" s="109" t="s">
        <v>851</v>
      </c>
      <c r="F917" s="110">
        <v>1064426895</v>
      </c>
      <c r="G917" s="43"/>
    </row>
    <row r="918" spans="1:7" ht="30" x14ac:dyDescent="0.25">
      <c r="A918" s="345" t="s">
        <v>1210</v>
      </c>
      <c r="B918" s="345" t="s">
        <v>848</v>
      </c>
      <c r="C918" s="345" t="s">
        <v>1670</v>
      </c>
      <c r="D918" s="345" t="s">
        <v>1671</v>
      </c>
      <c r="E918" s="346" t="s">
        <v>851</v>
      </c>
      <c r="F918" s="347">
        <v>1059602883</v>
      </c>
      <c r="G918" s="43"/>
    </row>
    <row r="919" spans="1:7" ht="30" x14ac:dyDescent="0.25">
      <c r="A919" s="43" t="s">
        <v>943</v>
      </c>
      <c r="B919" s="43" t="s">
        <v>848</v>
      </c>
      <c r="C919" s="43" t="s">
        <v>1673</v>
      </c>
      <c r="D919" s="43" t="s">
        <v>1674</v>
      </c>
      <c r="E919" s="109" t="s">
        <v>851</v>
      </c>
      <c r="F919" s="361" t="s">
        <v>1672</v>
      </c>
      <c r="G919" s="43"/>
    </row>
    <row r="920" spans="1:7" ht="30" x14ac:dyDescent="0.25">
      <c r="A920" s="345" t="s">
        <v>1677</v>
      </c>
      <c r="B920" s="345" t="s">
        <v>962</v>
      </c>
      <c r="C920" s="345" t="s">
        <v>1678</v>
      </c>
      <c r="D920" s="345" t="s">
        <v>1679</v>
      </c>
      <c r="E920" s="346" t="s">
        <v>1094</v>
      </c>
      <c r="F920" s="362" t="s">
        <v>1676</v>
      </c>
      <c r="G920" s="43"/>
    </row>
    <row r="921" spans="1:7" ht="30" x14ac:dyDescent="0.25">
      <c r="A921" s="43" t="s">
        <v>1286</v>
      </c>
      <c r="B921" s="43" t="s">
        <v>943</v>
      </c>
      <c r="C921" s="43" t="s">
        <v>1681</v>
      </c>
      <c r="D921" s="43"/>
      <c r="E921" s="109" t="s">
        <v>851</v>
      </c>
      <c r="F921" s="363" t="s">
        <v>1680</v>
      </c>
      <c r="G921" s="43"/>
    </row>
    <row r="922" spans="1:7" ht="30" x14ac:dyDescent="0.25">
      <c r="A922" s="345" t="s">
        <v>848</v>
      </c>
      <c r="B922" s="345" t="s">
        <v>914</v>
      </c>
      <c r="C922" s="345" t="s">
        <v>1683</v>
      </c>
      <c r="D922" s="345"/>
      <c r="E922" s="346" t="s">
        <v>851</v>
      </c>
      <c r="F922" s="362" t="s">
        <v>1682</v>
      </c>
      <c r="G922" s="43"/>
    </row>
    <row r="923" spans="1:7" x14ac:dyDescent="0.25">
      <c r="A923" s="424" t="s">
        <v>1710</v>
      </c>
      <c r="B923" s="424"/>
      <c r="C923" s="424"/>
      <c r="D923" s="424"/>
      <c r="E923" s="424"/>
      <c r="F923" s="424"/>
      <c r="G923" s="43"/>
    </row>
    <row r="924" spans="1:7" ht="45" x14ac:dyDescent="0.25">
      <c r="A924" s="17" t="s">
        <v>94</v>
      </c>
      <c r="B924" s="17" t="s">
        <v>21</v>
      </c>
      <c r="C924" s="17" t="s">
        <v>0</v>
      </c>
      <c r="D924" s="17" t="s">
        <v>1</v>
      </c>
      <c r="E924" s="17" t="s">
        <v>2</v>
      </c>
      <c r="F924" s="17" t="s">
        <v>3</v>
      </c>
      <c r="G924" s="43"/>
    </row>
    <row r="925" spans="1:7" x14ac:dyDescent="0.25">
      <c r="A925" s="345"/>
      <c r="B925" s="345"/>
      <c r="C925" s="345"/>
      <c r="D925" s="345"/>
      <c r="E925" s="346"/>
      <c r="F925" s="347"/>
      <c r="G925" s="43"/>
    </row>
    <row r="926" spans="1:7" ht="30" x14ac:dyDescent="0.25">
      <c r="A926" s="43" t="s">
        <v>974</v>
      </c>
      <c r="B926" s="43" t="s">
        <v>1144</v>
      </c>
      <c r="C926" s="43" t="s">
        <v>1192</v>
      </c>
      <c r="D926" s="43" t="s">
        <v>1193</v>
      </c>
      <c r="E926" s="109" t="s">
        <v>1094</v>
      </c>
      <c r="F926" s="110">
        <v>1059595334</v>
      </c>
      <c r="G926" s="43"/>
    </row>
    <row r="927" spans="1:7" ht="30" x14ac:dyDescent="0.25">
      <c r="A927" s="345" t="s">
        <v>914</v>
      </c>
      <c r="B927" s="345" t="s">
        <v>884</v>
      </c>
      <c r="C927" s="345" t="s">
        <v>1296</v>
      </c>
      <c r="D927" s="345" t="s">
        <v>850</v>
      </c>
      <c r="E927" s="346" t="s">
        <v>851</v>
      </c>
      <c r="F927" s="347">
        <v>1060186045</v>
      </c>
      <c r="G927" s="43"/>
    </row>
    <row r="928" spans="1:7" ht="30" x14ac:dyDescent="0.25">
      <c r="A928" s="43" t="s">
        <v>1298</v>
      </c>
      <c r="B928" s="43" t="s">
        <v>914</v>
      </c>
      <c r="C928" s="43" t="s">
        <v>1299</v>
      </c>
      <c r="D928" s="43" t="s">
        <v>1300</v>
      </c>
      <c r="E928" s="109" t="s">
        <v>851</v>
      </c>
      <c r="F928" s="110" t="s">
        <v>1301</v>
      </c>
      <c r="G928" s="43"/>
    </row>
    <row r="929" spans="1:7" ht="30" x14ac:dyDescent="0.25">
      <c r="A929" s="345" t="s">
        <v>1332</v>
      </c>
      <c r="B929" s="345" t="s">
        <v>1091</v>
      </c>
      <c r="C929" s="345" t="s">
        <v>1333</v>
      </c>
      <c r="D929" s="345"/>
      <c r="E929" s="346" t="s">
        <v>1094</v>
      </c>
      <c r="F929" s="347">
        <v>1059595374</v>
      </c>
      <c r="G929" s="43"/>
    </row>
    <row r="930" spans="1:7" ht="30" x14ac:dyDescent="0.25">
      <c r="A930" s="43" t="s">
        <v>874</v>
      </c>
      <c r="B930" s="43" t="s">
        <v>943</v>
      </c>
      <c r="C930" s="43" t="s">
        <v>1340</v>
      </c>
      <c r="D930" s="43"/>
      <c r="E930" s="109" t="s">
        <v>1094</v>
      </c>
      <c r="F930" s="110">
        <v>1059597393</v>
      </c>
      <c r="G930" s="43"/>
    </row>
    <row r="931" spans="1:7" ht="30" x14ac:dyDescent="0.25">
      <c r="A931" s="345" t="s">
        <v>914</v>
      </c>
      <c r="B931" s="345" t="s">
        <v>915</v>
      </c>
      <c r="C931" s="345" t="s">
        <v>916</v>
      </c>
      <c r="D931" s="345"/>
      <c r="E931" s="346" t="s">
        <v>1094</v>
      </c>
      <c r="F931" s="347">
        <v>1059598169</v>
      </c>
      <c r="G931" s="43"/>
    </row>
    <row r="932" spans="1:7" ht="30" x14ac:dyDescent="0.25">
      <c r="A932" s="43" t="s">
        <v>1360</v>
      </c>
      <c r="B932" s="43" t="s">
        <v>1361</v>
      </c>
      <c r="C932" s="43" t="s">
        <v>938</v>
      </c>
      <c r="D932" s="43" t="s">
        <v>1362</v>
      </c>
      <c r="E932" s="109" t="s">
        <v>851</v>
      </c>
      <c r="F932" s="110" t="s">
        <v>1363</v>
      </c>
      <c r="G932" s="43"/>
    </row>
    <row r="933" spans="1:7" ht="30" x14ac:dyDescent="0.25">
      <c r="A933" s="345" t="s">
        <v>1286</v>
      </c>
      <c r="B933" s="345" t="s">
        <v>914</v>
      </c>
      <c r="C933" s="345" t="s">
        <v>1198</v>
      </c>
      <c r="D933" s="345" t="s">
        <v>1364</v>
      </c>
      <c r="E933" s="346" t="s">
        <v>851</v>
      </c>
      <c r="F933" s="347">
        <v>1059600026</v>
      </c>
      <c r="G933" s="43"/>
    </row>
    <row r="934" spans="1:7" ht="30" x14ac:dyDescent="0.25">
      <c r="A934" s="43" t="s">
        <v>857</v>
      </c>
      <c r="B934" s="43" t="s">
        <v>1365</v>
      </c>
      <c r="C934" s="43" t="s">
        <v>949</v>
      </c>
      <c r="D934" s="43" t="s">
        <v>1366</v>
      </c>
      <c r="E934" s="109" t="s">
        <v>851</v>
      </c>
      <c r="F934" s="110">
        <v>1002953350</v>
      </c>
      <c r="G934" s="43"/>
    </row>
    <row r="935" spans="1:7" ht="30" x14ac:dyDescent="0.25">
      <c r="A935" s="345" t="s">
        <v>979</v>
      </c>
      <c r="B935" s="345" t="s">
        <v>943</v>
      </c>
      <c r="C935" s="345" t="s">
        <v>1217</v>
      </c>
      <c r="D935" s="345" t="s">
        <v>1398</v>
      </c>
      <c r="E935" s="346" t="s">
        <v>851</v>
      </c>
      <c r="F935" s="347">
        <v>1002846528</v>
      </c>
      <c r="G935" s="43"/>
    </row>
    <row r="936" spans="1:7" ht="30" x14ac:dyDescent="0.25">
      <c r="A936" s="43" t="s">
        <v>873</v>
      </c>
      <c r="B936" s="43" t="s">
        <v>944</v>
      </c>
      <c r="C936" s="43" t="s">
        <v>1399</v>
      </c>
      <c r="D936" s="43" t="s">
        <v>1400</v>
      </c>
      <c r="E936" s="109" t="s">
        <v>851</v>
      </c>
      <c r="F936" s="110">
        <v>1002848796</v>
      </c>
      <c r="G936" s="43"/>
    </row>
    <row r="937" spans="1:7" ht="30" x14ac:dyDescent="0.25">
      <c r="A937" s="345" t="s">
        <v>1034</v>
      </c>
      <c r="B937" s="345" t="s">
        <v>1166</v>
      </c>
      <c r="C937" s="345" t="s">
        <v>1408</v>
      </c>
      <c r="D937" s="345" t="s">
        <v>1409</v>
      </c>
      <c r="E937" s="346" t="s">
        <v>851</v>
      </c>
      <c r="F937" s="347">
        <v>1005860830</v>
      </c>
      <c r="G937" s="43"/>
    </row>
    <row r="938" spans="1:7" ht="30" x14ac:dyDescent="0.25">
      <c r="A938" s="43" t="s">
        <v>848</v>
      </c>
      <c r="B938" s="43" t="s">
        <v>943</v>
      </c>
      <c r="C938" s="43" t="s">
        <v>1423</v>
      </c>
      <c r="D938" s="43"/>
      <c r="E938" s="109" t="s">
        <v>851</v>
      </c>
      <c r="F938" s="110">
        <v>1193097625</v>
      </c>
      <c r="G938" s="43"/>
    </row>
    <row r="939" spans="1:7" ht="30" x14ac:dyDescent="0.25">
      <c r="A939" s="345" t="s">
        <v>1427</v>
      </c>
      <c r="B939" s="345" t="s">
        <v>1428</v>
      </c>
      <c r="C939" s="345" t="s">
        <v>1429</v>
      </c>
      <c r="D939" s="345" t="s">
        <v>1430</v>
      </c>
      <c r="E939" s="346" t="s">
        <v>851</v>
      </c>
      <c r="F939" s="347">
        <v>1061528490</v>
      </c>
      <c r="G939" s="43"/>
    </row>
    <row r="940" spans="1:7" ht="30" x14ac:dyDescent="0.25">
      <c r="A940" s="43" t="s">
        <v>1144</v>
      </c>
      <c r="B940" s="43" t="s">
        <v>884</v>
      </c>
      <c r="C940" s="43" t="s">
        <v>1432</v>
      </c>
      <c r="D940" s="43" t="s">
        <v>1433</v>
      </c>
      <c r="E940" s="109" t="s">
        <v>1094</v>
      </c>
      <c r="F940" s="110">
        <v>1059596594</v>
      </c>
      <c r="G940" s="43"/>
    </row>
    <row r="941" spans="1:7" ht="30" x14ac:dyDescent="0.25">
      <c r="A941" s="345" t="s">
        <v>1439</v>
      </c>
      <c r="B941" s="345" t="s">
        <v>884</v>
      </c>
      <c r="C941" s="345" t="s">
        <v>1440</v>
      </c>
      <c r="D941" s="345" t="s">
        <v>1294</v>
      </c>
      <c r="E941" s="346" t="s">
        <v>851</v>
      </c>
      <c r="F941" s="347">
        <v>1002847533</v>
      </c>
      <c r="G941" s="43"/>
    </row>
    <row r="942" spans="1:7" ht="30" x14ac:dyDescent="0.25">
      <c r="A942" s="43" t="s">
        <v>1179</v>
      </c>
      <c r="B942" s="43" t="s">
        <v>1435</v>
      </c>
      <c r="C942" s="43" t="s">
        <v>1448</v>
      </c>
      <c r="D942" s="43" t="s">
        <v>1294</v>
      </c>
      <c r="E942" s="109" t="s">
        <v>851</v>
      </c>
      <c r="F942" s="110">
        <v>1059594096</v>
      </c>
      <c r="G942" s="43"/>
    </row>
    <row r="943" spans="1:7" ht="30" x14ac:dyDescent="0.25">
      <c r="A943" s="345" t="s">
        <v>1441</v>
      </c>
      <c r="B943" s="345" t="s">
        <v>914</v>
      </c>
      <c r="C943" s="345" t="s">
        <v>1451</v>
      </c>
      <c r="D943" s="345"/>
      <c r="E943" s="346" t="s">
        <v>851</v>
      </c>
      <c r="F943" s="347">
        <v>1059598007</v>
      </c>
      <c r="G943" s="43"/>
    </row>
    <row r="944" spans="1:7" ht="30" x14ac:dyDescent="0.25">
      <c r="A944" s="43" t="s">
        <v>896</v>
      </c>
      <c r="B944" s="43" t="s">
        <v>943</v>
      </c>
      <c r="C944" s="43" t="s">
        <v>1452</v>
      </c>
      <c r="D944" s="43" t="s">
        <v>1372</v>
      </c>
      <c r="E944" s="109" t="s">
        <v>851</v>
      </c>
      <c r="F944" s="110">
        <v>1059599315</v>
      </c>
      <c r="G944" s="43"/>
    </row>
    <row r="945" spans="1:7" ht="30" x14ac:dyDescent="0.25">
      <c r="A945" s="345" t="s">
        <v>1455</v>
      </c>
      <c r="B945" s="345" t="s">
        <v>974</v>
      </c>
      <c r="C945" s="345" t="s">
        <v>1305</v>
      </c>
      <c r="D945" s="345" t="s">
        <v>1456</v>
      </c>
      <c r="E945" s="346" t="s">
        <v>1094</v>
      </c>
      <c r="F945" s="347">
        <v>1059595977</v>
      </c>
      <c r="G945" s="43"/>
    </row>
    <row r="946" spans="1:7" ht="30" x14ac:dyDescent="0.25">
      <c r="A946" s="43" t="s">
        <v>1458</v>
      </c>
      <c r="B946" s="43" t="s">
        <v>1459</v>
      </c>
      <c r="C946" s="43" t="s">
        <v>1460</v>
      </c>
      <c r="D946" s="43" t="s">
        <v>976</v>
      </c>
      <c r="E946" s="109" t="s">
        <v>1094</v>
      </c>
      <c r="F946" s="110">
        <v>1062295885</v>
      </c>
      <c r="G946" s="43"/>
    </row>
    <row r="947" spans="1:7" ht="30" x14ac:dyDescent="0.25">
      <c r="A947" s="345" t="s">
        <v>964</v>
      </c>
      <c r="B947" s="345" t="s">
        <v>1465</v>
      </c>
      <c r="C947" s="345" t="s">
        <v>1002</v>
      </c>
      <c r="D947" s="345" t="s">
        <v>1366</v>
      </c>
      <c r="E947" s="346" t="s">
        <v>1094</v>
      </c>
      <c r="F947" s="347">
        <v>1061530990</v>
      </c>
      <c r="G947" s="43"/>
    </row>
    <row r="948" spans="1:7" ht="30" x14ac:dyDescent="0.25">
      <c r="A948" s="43" t="s">
        <v>943</v>
      </c>
      <c r="B948" s="43" t="s">
        <v>1144</v>
      </c>
      <c r="C948" s="43" t="s">
        <v>1468</v>
      </c>
      <c r="D948" s="43" t="s">
        <v>1281</v>
      </c>
      <c r="E948" s="109" t="s">
        <v>851</v>
      </c>
      <c r="F948" s="110">
        <v>1059607505</v>
      </c>
      <c r="G948" s="43"/>
    </row>
    <row r="949" spans="1:7" ht="30" x14ac:dyDescent="0.25">
      <c r="A949" s="345" t="s">
        <v>884</v>
      </c>
      <c r="B949" s="345" t="s">
        <v>914</v>
      </c>
      <c r="C949" s="345" t="s">
        <v>1479</v>
      </c>
      <c r="D949" s="345" t="s">
        <v>1480</v>
      </c>
      <c r="E949" s="346" t="s">
        <v>851</v>
      </c>
      <c r="F949" s="347">
        <v>1002847894</v>
      </c>
      <c r="G949" s="43"/>
    </row>
    <row r="950" spans="1:7" ht="30" x14ac:dyDescent="0.25">
      <c r="A950" s="43" t="s">
        <v>914</v>
      </c>
      <c r="B950" s="43" t="s">
        <v>1276</v>
      </c>
      <c r="C950" s="43" t="s">
        <v>938</v>
      </c>
      <c r="D950" s="43" t="s">
        <v>1484</v>
      </c>
      <c r="E950" s="109" t="s">
        <v>851</v>
      </c>
      <c r="F950" s="110">
        <v>1002846249</v>
      </c>
      <c r="G950" s="43"/>
    </row>
    <row r="951" spans="1:7" ht="30" x14ac:dyDescent="0.25">
      <c r="A951" s="345" t="s">
        <v>914</v>
      </c>
      <c r="B951" s="345" t="s">
        <v>848</v>
      </c>
      <c r="C951" s="345" t="s">
        <v>1485</v>
      </c>
      <c r="D951" s="345" t="s">
        <v>1285</v>
      </c>
      <c r="E951" s="346" t="s">
        <v>851</v>
      </c>
      <c r="F951" s="347" t="s">
        <v>1486</v>
      </c>
      <c r="G951" s="43"/>
    </row>
    <row r="952" spans="1:7" ht="30" x14ac:dyDescent="0.25">
      <c r="A952" s="43" t="s">
        <v>974</v>
      </c>
      <c r="B952" s="43" t="s">
        <v>943</v>
      </c>
      <c r="C952" s="43" t="s">
        <v>1217</v>
      </c>
      <c r="D952" s="43" t="s">
        <v>1490</v>
      </c>
      <c r="E952" s="109" t="s">
        <v>851</v>
      </c>
      <c r="F952" s="110" t="s">
        <v>1491</v>
      </c>
      <c r="G952" s="43"/>
    </row>
    <row r="953" spans="1:7" ht="30" x14ac:dyDescent="0.25">
      <c r="A953" s="345" t="s">
        <v>967</v>
      </c>
      <c r="B953" s="345" t="s">
        <v>980</v>
      </c>
      <c r="C953" s="345" t="s">
        <v>1492</v>
      </c>
      <c r="D953" s="345"/>
      <c r="E953" s="346" t="s">
        <v>851</v>
      </c>
      <c r="F953" s="347" t="s">
        <v>1493</v>
      </c>
      <c r="G953" s="43"/>
    </row>
    <row r="954" spans="1:7" ht="30" x14ac:dyDescent="0.25">
      <c r="A954" s="43" t="s">
        <v>992</v>
      </c>
      <c r="B954" s="43" t="s">
        <v>1498</v>
      </c>
      <c r="C954" s="43" t="s">
        <v>938</v>
      </c>
      <c r="D954" s="43" t="s">
        <v>1499</v>
      </c>
      <c r="E954" s="109" t="s">
        <v>851</v>
      </c>
      <c r="F954" s="110" t="s">
        <v>1500</v>
      </c>
      <c r="G954" s="43"/>
    </row>
    <row r="955" spans="1:7" ht="30" x14ac:dyDescent="0.25">
      <c r="A955" s="345" t="s">
        <v>848</v>
      </c>
      <c r="B955" s="345" t="s">
        <v>953</v>
      </c>
      <c r="C955" s="345" t="s">
        <v>1501</v>
      </c>
      <c r="D955" s="345" t="s">
        <v>919</v>
      </c>
      <c r="E955" s="346" t="s">
        <v>851</v>
      </c>
      <c r="F955" s="347" t="s">
        <v>1502</v>
      </c>
      <c r="G955" s="43"/>
    </row>
    <row r="956" spans="1:7" ht="30" x14ac:dyDescent="0.25">
      <c r="A956" s="43" t="s">
        <v>1507</v>
      </c>
      <c r="B956" s="43" t="s">
        <v>1365</v>
      </c>
      <c r="C956" s="43" t="s">
        <v>1508</v>
      </c>
      <c r="D956" s="43"/>
      <c r="E956" s="109" t="s">
        <v>851</v>
      </c>
      <c r="F956" s="110">
        <v>1059600322</v>
      </c>
      <c r="G956" s="43"/>
    </row>
    <row r="957" spans="1:7" ht="30" x14ac:dyDescent="0.25">
      <c r="A957" s="345" t="s">
        <v>1041</v>
      </c>
      <c r="B957" s="345" t="s">
        <v>1147</v>
      </c>
      <c r="C957" s="345" t="s">
        <v>1512</v>
      </c>
      <c r="D957" s="345"/>
      <c r="E957" s="346" t="s">
        <v>851</v>
      </c>
      <c r="F957" s="347">
        <v>1059604976</v>
      </c>
      <c r="G957" s="43"/>
    </row>
    <row r="958" spans="1:7" ht="30" x14ac:dyDescent="0.25">
      <c r="A958" s="43" t="s">
        <v>1513</v>
      </c>
      <c r="B958" s="43" t="s">
        <v>1514</v>
      </c>
      <c r="C958" s="43" t="s">
        <v>1515</v>
      </c>
      <c r="D958" s="43"/>
      <c r="E958" s="109" t="s">
        <v>851</v>
      </c>
      <c r="F958" s="110">
        <v>1067461286</v>
      </c>
      <c r="G958" s="43"/>
    </row>
    <row r="959" spans="1:7" ht="30" x14ac:dyDescent="0.25">
      <c r="A959" s="345" t="s">
        <v>1519</v>
      </c>
      <c r="B959" s="345" t="s">
        <v>848</v>
      </c>
      <c r="C959" s="345" t="s">
        <v>1520</v>
      </c>
      <c r="D959" s="345" t="s">
        <v>1521</v>
      </c>
      <c r="E959" s="346" t="s">
        <v>851</v>
      </c>
      <c r="F959" s="347">
        <v>1002950269</v>
      </c>
      <c r="G959" s="43"/>
    </row>
    <row r="960" spans="1:7" ht="30" x14ac:dyDescent="0.25">
      <c r="A960" s="43" t="s">
        <v>896</v>
      </c>
      <c r="B960" s="43" t="s">
        <v>953</v>
      </c>
      <c r="C960" s="43" t="s">
        <v>1530</v>
      </c>
      <c r="D960" s="43" t="s">
        <v>1182</v>
      </c>
      <c r="E960" s="109" t="s">
        <v>851</v>
      </c>
      <c r="F960" s="110">
        <v>1059594419</v>
      </c>
      <c r="G960" s="43"/>
    </row>
    <row r="961" spans="1:7" ht="30" x14ac:dyDescent="0.25">
      <c r="A961" s="345" t="s">
        <v>1361</v>
      </c>
      <c r="B961" s="345" t="s">
        <v>992</v>
      </c>
      <c r="C961" s="345" t="s">
        <v>1531</v>
      </c>
      <c r="D961" s="345"/>
      <c r="E961" s="346" t="s">
        <v>851</v>
      </c>
      <c r="F961" s="347">
        <v>1151452891</v>
      </c>
      <c r="G961" s="43"/>
    </row>
    <row r="962" spans="1:7" ht="30" x14ac:dyDescent="0.25">
      <c r="A962" s="43" t="s">
        <v>1286</v>
      </c>
      <c r="B962" s="43" t="s">
        <v>980</v>
      </c>
      <c r="C962" s="43" t="s">
        <v>1528</v>
      </c>
      <c r="D962" s="43" t="s">
        <v>1281</v>
      </c>
      <c r="E962" s="109" t="s">
        <v>851</v>
      </c>
      <c r="F962" s="110">
        <v>1059596092</v>
      </c>
      <c r="G962" s="43"/>
    </row>
    <row r="963" spans="1:7" ht="30" x14ac:dyDescent="0.25">
      <c r="A963" s="345" t="s">
        <v>884</v>
      </c>
      <c r="B963" s="345" t="s">
        <v>1144</v>
      </c>
      <c r="C963" s="345" t="s">
        <v>1534</v>
      </c>
      <c r="D963" s="345"/>
      <c r="E963" s="346" t="s">
        <v>851</v>
      </c>
      <c r="F963" s="353">
        <v>1002846626</v>
      </c>
      <c r="G963" s="43"/>
    </row>
    <row r="964" spans="1:7" ht="30" x14ac:dyDescent="0.25">
      <c r="A964" s="43" t="s">
        <v>1246</v>
      </c>
      <c r="B964" s="43" t="s">
        <v>943</v>
      </c>
      <c r="C964" s="43" t="s">
        <v>1535</v>
      </c>
      <c r="D964" s="43"/>
      <c r="E964" s="109" t="s">
        <v>851</v>
      </c>
      <c r="F964" s="354">
        <v>1002848307</v>
      </c>
      <c r="G964" s="43"/>
    </row>
    <row r="965" spans="1:7" ht="30" x14ac:dyDescent="0.25">
      <c r="A965" s="345" t="s">
        <v>873</v>
      </c>
      <c r="B965" s="345" t="s">
        <v>1091</v>
      </c>
      <c r="C965" s="345" t="s">
        <v>1277</v>
      </c>
      <c r="D965" s="345"/>
      <c r="E965" s="346" t="s">
        <v>851</v>
      </c>
      <c r="F965" s="355">
        <v>1059598472</v>
      </c>
      <c r="G965" s="43"/>
    </row>
    <row r="966" spans="1:7" ht="30" x14ac:dyDescent="0.25">
      <c r="A966" s="43" t="s">
        <v>896</v>
      </c>
      <c r="B966" s="43" t="s">
        <v>1091</v>
      </c>
      <c r="C966" s="43" t="s">
        <v>1538</v>
      </c>
      <c r="D966" s="43"/>
      <c r="E966" s="109" t="s">
        <v>851</v>
      </c>
      <c r="F966" s="110">
        <v>1002846350</v>
      </c>
      <c r="G966" s="43"/>
    </row>
    <row r="967" spans="1:7" ht="30" x14ac:dyDescent="0.25">
      <c r="A967" s="345" t="s">
        <v>896</v>
      </c>
      <c r="B967" s="345" t="s">
        <v>953</v>
      </c>
      <c r="C967" s="345" t="s">
        <v>1217</v>
      </c>
      <c r="D967" s="345" t="s">
        <v>1471</v>
      </c>
      <c r="E967" s="346" t="s">
        <v>851</v>
      </c>
      <c r="F967" s="353">
        <v>1059602285</v>
      </c>
      <c r="G967" s="43"/>
    </row>
    <row r="968" spans="1:7" ht="30" x14ac:dyDescent="0.25">
      <c r="A968" s="43" t="s">
        <v>1540</v>
      </c>
      <c r="B968" s="43" t="s">
        <v>943</v>
      </c>
      <c r="C968" s="43" t="s">
        <v>1541</v>
      </c>
      <c r="D968" s="43" t="s">
        <v>1542</v>
      </c>
      <c r="E968" s="109" t="s">
        <v>851</v>
      </c>
      <c r="F968" s="356" t="s">
        <v>1539</v>
      </c>
      <c r="G968" s="43"/>
    </row>
    <row r="969" spans="1:7" ht="30" x14ac:dyDescent="0.25">
      <c r="A969" s="345" t="s">
        <v>1144</v>
      </c>
      <c r="B969" s="345" t="s">
        <v>996</v>
      </c>
      <c r="C969" s="345" t="s">
        <v>1192</v>
      </c>
      <c r="D969" s="345"/>
      <c r="E969" s="346" t="s">
        <v>851</v>
      </c>
      <c r="F969" s="353">
        <v>1059604012</v>
      </c>
      <c r="G969" s="43"/>
    </row>
    <row r="970" spans="1:7" ht="30" x14ac:dyDescent="0.25">
      <c r="A970" s="43" t="s">
        <v>896</v>
      </c>
      <c r="B970" s="43" t="s">
        <v>953</v>
      </c>
      <c r="C970" s="43" t="s">
        <v>1545</v>
      </c>
      <c r="D970" s="43"/>
      <c r="E970" s="109" t="s">
        <v>851</v>
      </c>
      <c r="F970" s="110">
        <v>25545389</v>
      </c>
      <c r="G970" s="43"/>
    </row>
    <row r="971" spans="1:7" ht="30" x14ac:dyDescent="0.25">
      <c r="A971" s="345" t="s">
        <v>1549</v>
      </c>
      <c r="B971" s="345" t="s">
        <v>1298</v>
      </c>
      <c r="C971" s="345" t="s">
        <v>1550</v>
      </c>
      <c r="D971" s="345" t="s">
        <v>1551</v>
      </c>
      <c r="E971" s="346" t="s">
        <v>851</v>
      </c>
      <c r="F971" s="358" t="s">
        <v>1548</v>
      </c>
      <c r="G971" s="43"/>
    </row>
    <row r="972" spans="1:7" x14ac:dyDescent="0.25">
      <c r="A972" s="43" t="s">
        <v>943</v>
      </c>
      <c r="B972" s="43" t="s">
        <v>848</v>
      </c>
      <c r="C972" s="43" t="s">
        <v>1553</v>
      </c>
      <c r="D972" s="43"/>
      <c r="E972" s="109"/>
      <c r="F972" s="110">
        <v>1059594153</v>
      </c>
      <c r="G972" s="43"/>
    </row>
    <row r="973" spans="1:7" ht="30" x14ac:dyDescent="0.25">
      <c r="A973" s="345" t="s">
        <v>943</v>
      </c>
      <c r="B973" s="345" t="s">
        <v>1144</v>
      </c>
      <c r="C973" s="345" t="s">
        <v>1504</v>
      </c>
      <c r="D973" s="345" t="s">
        <v>1281</v>
      </c>
      <c r="E973" s="346" t="s">
        <v>1094</v>
      </c>
      <c r="F973" s="347">
        <v>1059599329</v>
      </c>
      <c r="G973" s="43"/>
    </row>
    <row r="974" spans="1:7" ht="30" x14ac:dyDescent="0.25">
      <c r="A974" s="43" t="s">
        <v>996</v>
      </c>
      <c r="B974" s="43" t="s">
        <v>1559</v>
      </c>
      <c r="C974" s="43" t="s">
        <v>1560</v>
      </c>
      <c r="D974" s="43"/>
      <c r="E974" s="109" t="s">
        <v>851</v>
      </c>
      <c r="F974" s="110">
        <v>25552089</v>
      </c>
      <c r="G974" s="43"/>
    </row>
    <row r="975" spans="1:7" ht="30" x14ac:dyDescent="0.25">
      <c r="A975" s="345" t="s">
        <v>1361</v>
      </c>
      <c r="B975" s="345" t="s">
        <v>1470</v>
      </c>
      <c r="C975" s="345" t="s">
        <v>1553</v>
      </c>
      <c r="D975" s="345"/>
      <c r="E975" s="346" t="s">
        <v>851</v>
      </c>
      <c r="F975" s="347">
        <v>1059595865</v>
      </c>
      <c r="G975" s="43"/>
    </row>
    <row r="976" spans="1:7" ht="30" x14ac:dyDescent="0.25">
      <c r="A976" s="43" t="s">
        <v>953</v>
      </c>
      <c r="B976" s="43" t="s">
        <v>1378</v>
      </c>
      <c r="C976" s="43" t="s">
        <v>1617</v>
      </c>
      <c r="D976" s="43"/>
      <c r="E976" s="109" t="s">
        <v>851</v>
      </c>
      <c r="F976" s="110">
        <v>1059606238</v>
      </c>
      <c r="G976" s="43"/>
    </row>
    <row r="977" spans="1:7" ht="30" x14ac:dyDescent="0.25">
      <c r="A977" s="345" t="s">
        <v>874</v>
      </c>
      <c r="B977" s="345" t="s">
        <v>873</v>
      </c>
      <c r="C977" s="345" t="s">
        <v>1635</v>
      </c>
      <c r="D977" s="345" t="s">
        <v>1294</v>
      </c>
      <c r="E977" s="346" t="s">
        <v>1094</v>
      </c>
      <c r="F977" s="347">
        <v>1059597986</v>
      </c>
      <c r="G977" s="43"/>
    </row>
    <row r="978" spans="1:7" ht="30" x14ac:dyDescent="0.25">
      <c r="A978" s="43" t="s">
        <v>873</v>
      </c>
      <c r="B978" s="43" t="s">
        <v>962</v>
      </c>
      <c r="C978" s="43" t="s">
        <v>1501</v>
      </c>
      <c r="D978" s="43" t="s">
        <v>1340</v>
      </c>
      <c r="E978" s="109" t="s">
        <v>851</v>
      </c>
      <c r="F978" s="110">
        <v>1059594976</v>
      </c>
      <c r="G978" s="43"/>
    </row>
    <row r="979" spans="1:7" x14ac:dyDescent="0.25">
      <c r="A979" s="345" t="s">
        <v>896</v>
      </c>
      <c r="B979" s="345" t="s">
        <v>953</v>
      </c>
      <c r="C979" s="345" t="s">
        <v>1634</v>
      </c>
      <c r="D979" s="345"/>
      <c r="E979" s="346"/>
      <c r="F979" s="347">
        <v>1002848733</v>
      </c>
      <c r="G979" s="43"/>
    </row>
    <row r="980" spans="1:7" ht="30" x14ac:dyDescent="0.25">
      <c r="A980" s="43" t="s">
        <v>896</v>
      </c>
      <c r="B980" s="43" t="s">
        <v>915</v>
      </c>
      <c r="C980" s="43" t="s">
        <v>1585</v>
      </c>
      <c r="D980" s="43"/>
      <c r="E980" s="109" t="s">
        <v>851</v>
      </c>
      <c r="F980" s="110">
        <v>1059595460</v>
      </c>
      <c r="G980" s="43"/>
    </row>
    <row r="981" spans="1:7" ht="30" x14ac:dyDescent="0.25">
      <c r="A981" s="345" t="s">
        <v>873</v>
      </c>
      <c r="B981" s="345" t="s">
        <v>874</v>
      </c>
      <c r="C981" s="345" t="s">
        <v>1215</v>
      </c>
      <c r="D981" s="345"/>
      <c r="E981" s="346" t="s">
        <v>851</v>
      </c>
      <c r="F981" s="347">
        <v>1002849181</v>
      </c>
      <c r="G981" s="43"/>
    </row>
    <row r="982" spans="1:7" ht="30" x14ac:dyDescent="0.25">
      <c r="A982" s="43" t="s">
        <v>1156</v>
      </c>
      <c r="B982" s="43" t="s">
        <v>884</v>
      </c>
      <c r="C982" s="43" t="s">
        <v>1481</v>
      </c>
      <c r="D982" s="43" t="s">
        <v>1482</v>
      </c>
      <c r="E982" s="109" t="s">
        <v>851</v>
      </c>
      <c r="F982" s="357" t="s">
        <v>1483</v>
      </c>
      <c r="G982" s="43"/>
    </row>
    <row r="983" spans="1:7" ht="30" x14ac:dyDescent="0.25">
      <c r="A983" s="345" t="s">
        <v>953</v>
      </c>
      <c r="B983" s="345" t="s">
        <v>1286</v>
      </c>
      <c r="C983" s="345" t="s">
        <v>1463</v>
      </c>
      <c r="D983" s="345" t="s">
        <v>1579</v>
      </c>
      <c r="E983" s="346" t="s">
        <v>851</v>
      </c>
      <c r="F983" s="359" t="s">
        <v>1578</v>
      </c>
      <c r="G983" s="43"/>
    </row>
    <row r="984" spans="1:7" ht="30" x14ac:dyDescent="0.25">
      <c r="A984" s="43" t="s">
        <v>1580</v>
      </c>
      <c r="B984" s="43" t="s">
        <v>914</v>
      </c>
      <c r="C984" s="43" t="s">
        <v>1581</v>
      </c>
      <c r="D984" s="43" t="s">
        <v>1464</v>
      </c>
      <c r="E984" s="109" t="s">
        <v>851</v>
      </c>
      <c r="F984" s="356">
        <v>1002846447</v>
      </c>
      <c r="G984" s="43"/>
    </row>
    <row r="985" spans="1:7" ht="30" x14ac:dyDescent="0.25">
      <c r="A985" s="345" t="s">
        <v>1583</v>
      </c>
      <c r="B985" s="345" t="s">
        <v>873</v>
      </c>
      <c r="C985" s="345" t="s">
        <v>1584</v>
      </c>
      <c r="D985" s="345"/>
      <c r="E985" s="346" t="s">
        <v>851</v>
      </c>
      <c r="F985" s="359" t="s">
        <v>1582</v>
      </c>
      <c r="G985" s="43"/>
    </row>
    <row r="986" spans="1:7" ht="30" x14ac:dyDescent="0.25">
      <c r="A986" s="43" t="s">
        <v>1322</v>
      </c>
      <c r="B986" s="43" t="s">
        <v>1378</v>
      </c>
      <c r="C986" s="43" t="s">
        <v>1587</v>
      </c>
      <c r="D986" s="43"/>
      <c r="E986" s="109" t="s">
        <v>851</v>
      </c>
      <c r="F986" s="356" t="s">
        <v>1586</v>
      </c>
      <c r="G986" s="43"/>
    </row>
    <row r="987" spans="1:7" ht="30" x14ac:dyDescent="0.25">
      <c r="A987" s="345" t="s">
        <v>1590</v>
      </c>
      <c r="B987" s="345" t="s">
        <v>874</v>
      </c>
      <c r="C987" s="345" t="s">
        <v>1591</v>
      </c>
      <c r="D987" s="345"/>
      <c r="E987" s="346" t="s">
        <v>851</v>
      </c>
      <c r="F987" s="359" t="s">
        <v>1589</v>
      </c>
      <c r="G987" s="43"/>
    </row>
    <row r="988" spans="1:7" ht="30" x14ac:dyDescent="0.25">
      <c r="A988" s="43" t="s">
        <v>1286</v>
      </c>
      <c r="B988" s="43" t="s">
        <v>1594</v>
      </c>
      <c r="C988" s="43" t="s">
        <v>1420</v>
      </c>
      <c r="D988" s="43"/>
      <c r="E988" s="109" t="s">
        <v>1094</v>
      </c>
      <c r="F988" s="356" t="s">
        <v>1593</v>
      </c>
      <c r="G988" s="43"/>
    </row>
    <row r="989" spans="1:7" ht="30" x14ac:dyDescent="0.25">
      <c r="A989" s="345" t="s">
        <v>1598</v>
      </c>
      <c r="B989" s="345" t="s">
        <v>1599</v>
      </c>
      <c r="C989" s="345" t="s">
        <v>1597</v>
      </c>
      <c r="D989" s="345"/>
      <c r="E989" s="346" t="s">
        <v>851</v>
      </c>
      <c r="F989" s="347">
        <v>1002846452</v>
      </c>
      <c r="G989" s="43"/>
    </row>
    <row r="990" spans="1:7" ht="30" x14ac:dyDescent="0.25">
      <c r="A990" s="43" t="s">
        <v>914</v>
      </c>
      <c r="B990" s="43" t="s">
        <v>1601</v>
      </c>
      <c r="C990" s="43" t="s">
        <v>1602</v>
      </c>
      <c r="D990" s="43"/>
      <c r="E990" s="109" t="s">
        <v>851</v>
      </c>
      <c r="F990" s="110">
        <v>1003370775</v>
      </c>
      <c r="G990" s="43"/>
    </row>
    <row r="991" spans="1:7" ht="30" x14ac:dyDescent="0.25">
      <c r="A991" s="345" t="s">
        <v>896</v>
      </c>
      <c r="B991" s="345" t="s">
        <v>992</v>
      </c>
      <c r="C991" s="345" t="s">
        <v>1530</v>
      </c>
      <c r="D991" s="345" t="s">
        <v>1357</v>
      </c>
      <c r="E991" s="346" t="s">
        <v>851</v>
      </c>
      <c r="F991" s="347">
        <v>1002847645</v>
      </c>
      <c r="G991" s="43"/>
    </row>
    <row r="992" spans="1:7" ht="30" x14ac:dyDescent="0.25">
      <c r="A992" s="43" t="s">
        <v>896</v>
      </c>
      <c r="B992" s="43" t="s">
        <v>1599</v>
      </c>
      <c r="C992" s="43" t="s">
        <v>1607</v>
      </c>
      <c r="D992" s="43" t="s">
        <v>1608</v>
      </c>
      <c r="E992" s="109" t="s">
        <v>851</v>
      </c>
      <c r="F992" s="110">
        <v>1060800773</v>
      </c>
      <c r="G992" s="43"/>
    </row>
    <row r="993" spans="1:7" ht="30" x14ac:dyDescent="0.25">
      <c r="A993" s="345" t="s">
        <v>914</v>
      </c>
      <c r="B993" s="345" t="s">
        <v>943</v>
      </c>
      <c r="C993" s="345" t="s">
        <v>1198</v>
      </c>
      <c r="D993" s="345"/>
      <c r="E993" s="346" t="s">
        <v>851</v>
      </c>
      <c r="F993" s="347">
        <v>1059605317</v>
      </c>
      <c r="G993" s="43"/>
    </row>
    <row r="994" spans="1:7" ht="30" x14ac:dyDescent="0.25">
      <c r="A994" s="43" t="s">
        <v>1439</v>
      </c>
      <c r="B994" s="43" t="s">
        <v>848</v>
      </c>
      <c r="C994" s="43" t="s">
        <v>1437</v>
      </c>
      <c r="D994" s="43"/>
      <c r="E994" s="109" t="s">
        <v>851</v>
      </c>
      <c r="F994" s="110">
        <v>1059595628</v>
      </c>
      <c r="G994" s="43"/>
    </row>
    <row r="995" spans="1:7" ht="30" x14ac:dyDescent="0.25">
      <c r="A995" s="345" t="s">
        <v>873</v>
      </c>
      <c r="B995" s="345" t="s">
        <v>874</v>
      </c>
      <c r="C995" s="345" t="s">
        <v>1612</v>
      </c>
      <c r="D995" s="345" t="s">
        <v>1613</v>
      </c>
      <c r="E995" s="346" t="s">
        <v>851</v>
      </c>
      <c r="F995" s="347">
        <v>1002849103</v>
      </c>
      <c r="G995" s="43"/>
    </row>
    <row r="996" spans="1:7" ht="30" x14ac:dyDescent="0.25">
      <c r="A996" s="43" t="s">
        <v>914</v>
      </c>
      <c r="B996" s="43" t="s">
        <v>914</v>
      </c>
      <c r="C996" s="43" t="s">
        <v>1614</v>
      </c>
      <c r="D996" s="43" t="s">
        <v>1277</v>
      </c>
      <c r="E996" s="109" t="s">
        <v>851</v>
      </c>
      <c r="F996" s="110">
        <v>1002847076</v>
      </c>
      <c r="G996" s="43"/>
    </row>
    <row r="997" spans="1:7" ht="30" x14ac:dyDescent="0.25">
      <c r="A997" s="345" t="s">
        <v>980</v>
      </c>
      <c r="B997" s="345" t="s">
        <v>914</v>
      </c>
      <c r="C997" s="345" t="s">
        <v>1623</v>
      </c>
      <c r="D997" s="345"/>
      <c r="E997" s="346" t="s">
        <v>851</v>
      </c>
      <c r="F997" s="347">
        <v>1059596737</v>
      </c>
      <c r="G997" s="43"/>
    </row>
    <row r="998" spans="1:7" ht="30" x14ac:dyDescent="0.25">
      <c r="A998" s="43" t="s">
        <v>884</v>
      </c>
      <c r="B998" s="43" t="s">
        <v>1286</v>
      </c>
      <c r="C998" s="43" t="s">
        <v>1452</v>
      </c>
      <c r="D998" s="43"/>
      <c r="E998" s="109" t="s">
        <v>851</v>
      </c>
      <c r="F998" s="110">
        <v>25546688</v>
      </c>
      <c r="G998" s="43"/>
    </row>
    <row r="999" spans="1:7" ht="30" x14ac:dyDescent="0.25">
      <c r="A999" s="345" t="s">
        <v>1629</v>
      </c>
      <c r="B999" s="345" t="s">
        <v>1249</v>
      </c>
      <c r="C999" s="345" t="s">
        <v>1630</v>
      </c>
      <c r="D999" s="345"/>
      <c r="E999" s="346" t="s">
        <v>851</v>
      </c>
      <c r="F999" s="345">
        <v>1059601748</v>
      </c>
      <c r="G999" s="43"/>
    </row>
    <row r="1000" spans="1:7" ht="30" x14ac:dyDescent="0.25">
      <c r="A1000" s="43" t="s">
        <v>896</v>
      </c>
      <c r="B1000" s="43" t="s">
        <v>1632</v>
      </c>
      <c r="C1000" s="43" t="s">
        <v>1633</v>
      </c>
      <c r="D1000" s="43"/>
      <c r="E1000" s="109" t="s">
        <v>851</v>
      </c>
      <c r="F1000" s="360" t="s">
        <v>1631</v>
      </c>
      <c r="G1000" s="43"/>
    </row>
    <row r="1001" spans="1:7" ht="30" x14ac:dyDescent="0.25">
      <c r="A1001" s="345" t="s">
        <v>1637</v>
      </c>
      <c r="B1001" s="345" t="s">
        <v>1638</v>
      </c>
      <c r="C1001" s="345" t="s">
        <v>1028</v>
      </c>
      <c r="D1001" s="345"/>
      <c r="E1001" s="346" t="s">
        <v>851</v>
      </c>
      <c r="F1001" s="358">
        <v>1060986729</v>
      </c>
      <c r="G1001" s="43"/>
    </row>
    <row r="1002" spans="1:7" ht="30" x14ac:dyDescent="0.25">
      <c r="A1002" s="43" t="s">
        <v>1249</v>
      </c>
      <c r="B1002" s="43" t="s">
        <v>914</v>
      </c>
      <c r="C1002" s="43" t="s">
        <v>1659</v>
      </c>
      <c r="D1002" s="43"/>
      <c r="E1002" s="109" t="s">
        <v>851</v>
      </c>
      <c r="F1002" s="110">
        <v>1059597497</v>
      </c>
      <c r="G1002" s="43"/>
    </row>
    <row r="1003" spans="1:7" ht="30" x14ac:dyDescent="0.25">
      <c r="A1003" s="345" t="s">
        <v>1439</v>
      </c>
      <c r="B1003" s="345" t="s">
        <v>848</v>
      </c>
      <c r="C1003" s="345" t="s">
        <v>1437</v>
      </c>
      <c r="D1003" s="345"/>
      <c r="E1003" s="346" t="s">
        <v>851</v>
      </c>
      <c r="F1003" s="347">
        <v>1059595628</v>
      </c>
      <c r="G1003" s="43"/>
    </row>
    <row r="1004" spans="1:7" ht="30" x14ac:dyDescent="0.25">
      <c r="A1004" s="43" t="s">
        <v>953</v>
      </c>
      <c r="B1004" s="43" t="s">
        <v>1660</v>
      </c>
      <c r="C1004" s="43" t="s">
        <v>1217</v>
      </c>
      <c r="D1004" s="43" t="s">
        <v>1661</v>
      </c>
      <c r="E1004" s="109" t="s">
        <v>851</v>
      </c>
      <c r="F1004" s="110">
        <v>1002848134</v>
      </c>
      <c r="G1004" s="43"/>
    </row>
    <row r="1005" spans="1:7" ht="30" x14ac:dyDescent="0.25">
      <c r="A1005" s="345" t="s">
        <v>848</v>
      </c>
      <c r="B1005" s="345" t="s">
        <v>1034</v>
      </c>
      <c r="C1005" s="345" t="s">
        <v>1612</v>
      </c>
      <c r="D1005" s="345" t="s">
        <v>1662</v>
      </c>
      <c r="E1005" s="346" t="s">
        <v>851</v>
      </c>
      <c r="F1005" s="347">
        <v>1059601726</v>
      </c>
      <c r="G1005" s="43"/>
    </row>
    <row r="1006" spans="1:7" ht="30" x14ac:dyDescent="0.25">
      <c r="A1006" s="43" t="s">
        <v>1663</v>
      </c>
      <c r="B1006" s="43" t="s">
        <v>1664</v>
      </c>
      <c r="C1006" s="43" t="s">
        <v>938</v>
      </c>
      <c r="D1006" s="43" t="s">
        <v>1665</v>
      </c>
      <c r="E1006" s="109" t="s">
        <v>851</v>
      </c>
      <c r="F1006" s="110">
        <v>1059601634</v>
      </c>
      <c r="G1006" s="43"/>
    </row>
    <row r="1007" spans="1:7" ht="30" x14ac:dyDescent="0.25">
      <c r="A1007" s="345" t="s">
        <v>980</v>
      </c>
      <c r="B1007" s="345" t="s">
        <v>1666</v>
      </c>
      <c r="C1007" s="345" t="s">
        <v>1287</v>
      </c>
      <c r="D1007" s="345" t="s">
        <v>919</v>
      </c>
      <c r="E1007" s="346" t="s">
        <v>851</v>
      </c>
      <c r="F1007" s="347">
        <v>1002846819</v>
      </c>
      <c r="G1007" s="43"/>
    </row>
    <row r="1008" spans="1:7" ht="30" x14ac:dyDescent="0.25">
      <c r="A1008" s="43" t="s">
        <v>1667</v>
      </c>
      <c r="B1008" s="43" t="s">
        <v>1668</v>
      </c>
      <c r="C1008" s="43" t="s">
        <v>1669</v>
      </c>
      <c r="D1008" s="43"/>
      <c r="E1008" s="109" t="s">
        <v>851</v>
      </c>
      <c r="F1008" s="110">
        <v>1064426895</v>
      </c>
      <c r="G1008" s="43"/>
    </row>
    <row r="1009" spans="1:7" ht="30" x14ac:dyDescent="0.25">
      <c r="A1009" s="345" t="s">
        <v>1210</v>
      </c>
      <c r="B1009" s="345" t="s">
        <v>848</v>
      </c>
      <c r="C1009" s="345" t="s">
        <v>1670</v>
      </c>
      <c r="D1009" s="345" t="s">
        <v>1671</v>
      </c>
      <c r="E1009" s="346" t="s">
        <v>851</v>
      </c>
      <c r="F1009" s="347">
        <v>1059602883</v>
      </c>
      <c r="G1009" s="43"/>
    </row>
    <row r="1010" spans="1:7" ht="30" x14ac:dyDescent="0.25">
      <c r="A1010" s="43" t="s">
        <v>943</v>
      </c>
      <c r="B1010" s="43" t="s">
        <v>848</v>
      </c>
      <c r="C1010" s="43" t="s">
        <v>1673</v>
      </c>
      <c r="D1010" s="43" t="s">
        <v>1674</v>
      </c>
      <c r="E1010" s="109" t="s">
        <v>851</v>
      </c>
      <c r="F1010" s="361" t="s">
        <v>1672</v>
      </c>
      <c r="G1010" s="43"/>
    </row>
    <row r="1011" spans="1:7" ht="30" x14ac:dyDescent="0.25">
      <c r="A1011" s="345" t="s">
        <v>1677</v>
      </c>
      <c r="B1011" s="345" t="s">
        <v>962</v>
      </c>
      <c r="C1011" s="345" t="s">
        <v>1678</v>
      </c>
      <c r="D1011" s="345" t="s">
        <v>1679</v>
      </c>
      <c r="E1011" s="346" t="s">
        <v>1094</v>
      </c>
      <c r="F1011" s="362" t="s">
        <v>1676</v>
      </c>
      <c r="G1011" s="43"/>
    </row>
    <row r="1012" spans="1:7" ht="30" x14ac:dyDescent="0.25">
      <c r="A1012" s="43" t="s">
        <v>1286</v>
      </c>
      <c r="B1012" s="43" t="s">
        <v>943</v>
      </c>
      <c r="C1012" s="43" t="s">
        <v>1681</v>
      </c>
      <c r="D1012" s="43"/>
      <c r="E1012" s="109" t="s">
        <v>851</v>
      </c>
      <c r="F1012" s="363" t="s">
        <v>1680</v>
      </c>
      <c r="G1012" s="43"/>
    </row>
    <row r="1013" spans="1:7" ht="30" x14ac:dyDescent="0.25">
      <c r="A1013" s="345" t="s">
        <v>848</v>
      </c>
      <c r="B1013" s="345" t="s">
        <v>914</v>
      </c>
      <c r="C1013" s="345" t="s">
        <v>1683</v>
      </c>
      <c r="D1013" s="345"/>
      <c r="E1013" s="346" t="s">
        <v>851</v>
      </c>
      <c r="F1013" s="362" t="s">
        <v>1682</v>
      </c>
      <c r="G1013" s="43"/>
    </row>
    <row r="1014" spans="1:7" x14ac:dyDescent="0.25">
      <c r="A1014" s="423" t="s">
        <v>1711</v>
      </c>
      <c r="B1014" s="423"/>
      <c r="C1014" s="423"/>
      <c r="D1014" s="423"/>
      <c r="E1014" s="423"/>
      <c r="F1014" s="423"/>
      <c r="G1014" s="43"/>
    </row>
    <row r="1015" spans="1:7" ht="45" x14ac:dyDescent="0.25">
      <c r="A1015" s="17" t="s">
        <v>94</v>
      </c>
      <c r="B1015" s="17" t="s">
        <v>21</v>
      </c>
      <c r="C1015" s="17" t="s">
        <v>0</v>
      </c>
      <c r="D1015" s="17" t="s">
        <v>1</v>
      </c>
      <c r="E1015" s="17" t="s">
        <v>2</v>
      </c>
      <c r="F1015" s="17" t="s">
        <v>3</v>
      </c>
      <c r="G1015" s="43"/>
    </row>
    <row r="1016" spans="1:7" ht="30" x14ac:dyDescent="0.25">
      <c r="A1016" s="43" t="s">
        <v>1305</v>
      </c>
      <c r="B1016" s="43" t="s">
        <v>884</v>
      </c>
      <c r="C1016" s="43" t="s">
        <v>1306</v>
      </c>
      <c r="D1016" s="43" t="s">
        <v>1307</v>
      </c>
      <c r="E1016" s="109" t="s">
        <v>851</v>
      </c>
      <c r="F1016" s="110">
        <v>1059604869</v>
      </c>
      <c r="G1016" s="43"/>
    </row>
    <row r="1017" spans="1:7" ht="30" x14ac:dyDescent="0.25">
      <c r="A1017" s="345" t="s">
        <v>953</v>
      </c>
      <c r="B1017" s="345" t="s">
        <v>1316</v>
      </c>
      <c r="C1017" s="345" t="s">
        <v>1317</v>
      </c>
      <c r="D1017" s="345" t="s">
        <v>1028</v>
      </c>
      <c r="E1017" s="346" t="s">
        <v>851</v>
      </c>
      <c r="F1017" s="347">
        <v>1059594373</v>
      </c>
      <c r="G1017" s="43"/>
    </row>
    <row r="1018" spans="1:7" ht="30" x14ac:dyDescent="0.25">
      <c r="A1018" s="43" t="s">
        <v>857</v>
      </c>
      <c r="B1018" s="43" t="s">
        <v>1365</v>
      </c>
      <c r="C1018" s="43" t="s">
        <v>949</v>
      </c>
      <c r="D1018" s="43" t="s">
        <v>1366</v>
      </c>
      <c r="E1018" s="109" t="s">
        <v>851</v>
      </c>
      <c r="F1018" s="110">
        <v>1002953350</v>
      </c>
      <c r="G1018" s="43"/>
    </row>
    <row r="1019" spans="1:7" ht="30" x14ac:dyDescent="0.25">
      <c r="A1019" s="345" t="s">
        <v>1382</v>
      </c>
      <c r="B1019" s="345" t="s">
        <v>1382</v>
      </c>
      <c r="C1019" s="345" t="s">
        <v>1383</v>
      </c>
      <c r="D1019" s="345"/>
      <c r="E1019" s="346" t="s">
        <v>851</v>
      </c>
      <c r="F1019" s="347">
        <v>1003371767</v>
      </c>
      <c r="G1019" s="43"/>
    </row>
    <row r="1020" spans="1:7" ht="30" x14ac:dyDescent="0.25">
      <c r="A1020" s="43" t="s">
        <v>873</v>
      </c>
      <c r="B1020" s="43" t="s">
        <v>944</v>
      </c>
      <c r="C1020" s="43" t="s">
        <v>1399</v>
      </c>
      <c r="D1020" s="43" t="s">
        <v>1400</v>
      </c>
      <c r="E1020" s="109" t="s">
        <v>851</v>
      </c>
      <c r="F1020" s="110">
        <v>1002848796</v>
      </c>
      <c r="G1020" s="43"/>
    </row>
    <row r="1021" spans="1:7" ht="30" x14ac:dyDescent="0.25">
      <c r="A1021" s="345" t="s">
        <v>1439</v>
      </c>
      <c r="B1021" s="345" t="s">
        <v>884</v>
      </c>
      <c r="C1021" s="345" t="s">
        <v>1440</v>
      </c>
      <c r="D1021" s="345" t="s">
        <v>1294</v>
      </c>
      <c r="E1021" s="346" t="s">
        <v>851</v>
      </c>
      <c r="F1021" s="347">
        <v>1002847533</v>
      </c>
      <c r="G1021" s="43"/>
    </row>
    <row r="1022" spans="1:7" ht="30" x14ac:dyDescent="0.25">
      <c r="A1022" s="43" t="s">
        <v>1441</v>
      </c>
      <c r="B1022" s="43"/>
      <c r="C1022" s="43" t="s">
        <v>1284</v>
      </c>
      <c r="D1022" s="43" t="s">
        <v>1442</v>
      </c>
      <c r="E1022" s="109" t="s">
        <v>851</v>
      </c>
      <c r="F1022" s="110">
        <v>1002848635</v>
      </c>
      <c r="G1022" s="43"/>
    </row>
    <row r="1023" spans="1:7" ht="30" x14ac:dyDescent="0.25">
      <c r="A1023" s="345" t="s">
        <v>1441</v>
      </c>
      <c r="B1023" s="345" t="s">
        <v>914</v>
      </c>
      <c r="C1023" s="345" t="s">
        <v>1451</v>
      </c>
      <c r="D1023" s="345"/>
      <c r="E1023" s="346" t="s">
        <v>851</v>
      </c>
      <c r="F1023" s="347">
        <v>1059598007</v>
      </c>
      <c r="G1023" s="43"/>
    </row>
    <row r="1024" spans="1:7" ht="30" x14ac:dyDescent="0.25">
      <c r="A1024" s="43" t="s">
        <v>896</v>
      </c>
      <c r="B1024" s="43" t="s">
        <v>943</v>
      </c>
      <c r="C1024" s="43" t="s">
        <v>1452</v>
      </c>
      <c r="D1024" s="43" t="s">
        <v>1372</v>
      </c>
      <c r="E1024" s="109" t="s">
        <v>851</v>
      </c>
      <c r="F1024" s="110">
        <v>1059599315</v>
      </c>
      <c r="G1024" s="43"/>
    </row>
    <row r="1025" spans="1:7" ht="30" x14ac:dyDescent="0.25">
      <c r="A1025" s="345" t="s">
        <v>943</v>
      </c>
      <c r="B1025" s="345" t="s">
        <v>1144</v>
      </c>
      <c r="C1025" s="345" t="s">
        <v>1468</v>
      </c>
      <c r="D1025" s="345" t="s">
        <v>1281</v>
      </c>
      <c r="E1025" s="346" t="s">
        <v>851</v>
      </c>
      <c r="F1025" s="347">
        <v>1059607505</v>
      </c>
      <c r="G1025" s="43"/>
    </row>
    <row r="1026" spans="1:7" ht="30" x14ac:dyDescent="0.25">
      <c r="A1026" s="43" t="s">
        <v>884</v>
      </c>
      <c r="B1026" s="43" t="s">
        <v>914</v>
      </c>
      <c r="C1026" s="43" t="s">
        <v>1479</v>
      </c>
      <c r="D1026" s="43" t="s">
        <v>1480</v>
      </c>
      <c r="E1026" s="109" t="s">
        <v>851</v>
      </c>
      <c r="F1026" s="110">
        <v>1002847894</v>
      </c>
      <c r="G1026" s="43"/>
    </row>
    <row r="1027" spans="1:7" ht="30" x14ac:dyDescent="0.25">
      <c r="A1027" s="345" t="s">
        <v>884</v>
      </c>
      <c r="B1027" s="345" t="s">
        <v>1378</v>
      </c>
      <c r="C1027" s="345" t="s">
        <v>1494</v>
      </c>
      <c r="D1027" s="345" t="s">
        <v>1495</v>
      </c>
      <c r="E1027" s="346" t="s">
        <v>851</v>
      </c>
      <c r="F1027" s="347" t="s">
        <v>1496</v>
      </c>
      <c r="G1027" s="43"/>
    </row>
    <row r="1028" spans="1:7" ht="30" x14ac:dyDescent="0.25">
      <c r="A1028" s="43" t="s">
        <v>848</v>
      </c>
      <c r="B1028" s="43" t="s">
        <v>953</v>
      </c>
      <c r="C1028" s="43" t="s">
        <v>1501</v>
      </c>
      <c r="D1028" s="43" t="s">
        <v>919</v>
      </c>
      <c r="E1028" s="109" t="s">
        <v>851</v>
      </c>
      <c r="F1028" s="110" t="s">
        <v>1502</v>
      </c>
      <c r="G1028" s="43"/>
    </row>
    <row r="1029" spans="1:7" ht="30" x14ac:dyDescent="0.25">
      <c r="A1029" s="345" t="s">
        <v>992</v>
      </c>
      <c r="B1029" s="345" t="s">
        <v>848</v>
      </c>
      <c r="C1029" s="345" t="s">
        <v>1504</v>
      </c>
      <c r="D1029" s="345" t="s">
        <v>1157</v>
      </c>
      <c r="E1029" s="346" t="s">
        <v>851</v>
      </c>
      <c r="F1029" s="347">
        <v>1002848292</v>
      </c>
      <c r="G1029" s="43"/>
    </row>
    <row r="1030" spans="1:7" ht="30" x14ac:dyDescent="0.25">
      <c r="A1030" s="43" t="s">
        <v>1507</v>
      </c>
      <c r="B1030" s="43" t="s">
        <v>1365</v>
      </c>
      <c r="C1030" s="43" t="s">
        <v>1508</v>
      </c>
      <c r="D1030" s="43"/>
      <c r="E1030" s="109" t="s">
        <v>851</v>
      </c>
      <c r="F1030" s="110">
        <v>1059600322</v>
      </c>
      <c r="G1030" s="43"/>
    </row>
    <row r="1031" spans="1:7" ht="30" x14ac:dyDescent="0.25">
      <c r="A1031" s="345" t="s">
        <v>1041</v>
      </c>
      <c r="B1031" s="345" t="s">
        <v>1147</v>
      </c>
      <c r="C1031" s="345" t="s">
        <v>1512</v>
      </c>
      <c r="D1031" s="345"/>
      <c r="E1031" s="346" t="s">
        <v>851</v>
      </c>
      <c r="F1031" s="347">
        <v>1059604976</v>
      </c>
      <c r="G1031" s="43"/>
    </row>
    <row r="1032" spans="1:7" ht="30" x14ac:dyDescent="0.25">
      <c r="A1032" s="43" t="s">
        <v>1513</v>
      </c>
      <c r="B1032" s="43" t="s">
        <v>1514</v>
      </c>
      <c r="C1032" s="43" t="s">
        <v>1515</v>
      </c>
      <c r="D1032" s="43"/>
      <c r="E1032" s="109" t="s">
        <v>851</v>
      </c>
      <c r="F1032" s="110">
        <v>1067461286</v>
      </c>
      <c r="G1032" s="43"/>
    </row>
    <row r="1033" spans="1:7" ht="30" x14ac:dyDescent="0.25">
      <c r="A1033" s="345" t="s">
        <v>1519</v>
      </c>
      <c r="B1033" s="345" t="s">
        <v>848</v>
      </c>
      <c r="C1033" s="345" t="s">
        <v>1520</v>
      </c>
      <c r="D1033" s="345" t="s">
        <v>1521</v>
      </c>
      <c r="E1033" s="346" t="s">
        <v>851</v>
      </c>
      <c r="F1033" s="347">
        <v>1002950269</v>
      </c>
      <c r="G1033" s="43"/>
    </row>
    <row r="1034" spans="1:7" ht="30" x14ac:dyDescent="0.25">
      <c r="A1034" s="43" t="s">
        <v>1286</v>
      </c>
      <c r="B1034" s="43" t="s">
        <v>980</v>
      </c>
      <c r="C1034" s="43" t="s">
        <v>1528</v>
      </c>
      <c r="D1034" s="43" t="s">
        <v>1281</v>
      </c>
      <c r="E1034" s="109" t="s">
        <v>851</v>
      </c>
      <c r="F1034" s="110">
        <v>1059596092</v>
      </c>
      <c r="G1034" s="43"/>
    </row>
    <row r="1035" spans="1:7" ht="30" x14ac:dyDescent="0.25">
      <c r="A1035" s="345" t="s">
        <v>884</v>
      </c>
      <c r="B1035" s="345" t="s">
        <v>1144</v>
      </c>
      <c r="C1035" s="345" t="s">
        <v>1534</v>
      </c>
      <c r="D1035" s="345"/>
      <c r="E1035" s="346" t="s">
        <v>851</v>
      </c>
      <c r="F1035" s="353">
        <v>1002846626</v>
      </c>
      <c r="G1035" s="43"/>
    </row>
    <row r="1036" spans="1:7" ht="30" x14ac:dyDescent="0.25">
      <c r="A1036" s="43" t="s">
        <v>1246</v>
      </c>
      <c r="B1036" s="43" t="s">
        <v>943</v>
      </c>
      <c r="C1036" s="43" t="s">
        <v>1535</v>
      </c>
      <c r="D1036" s="43"/>
      <c r="E1036" s="109" t="s">
        <v>851</v>
      </c>
      <c r="F1036" s="354">
        <v>1002848307</v>
      </c>
      <c r="G1036" s="43"/>
    </row>
    <row r="1037" spans="1:7" ht="30" x14ac:dyDescent="0.25">
      <c r="A1037" s="345" t="s">
        <v>873</v>
      </c>
      <c r="B1037" s="345" t="s">
        <v>1091</v>
      </c>
      <c r="C1037" s="345" t="s">
        <v>1277</v>
      </c>
      <c r="D1037" s="345"/>
      <c r="E1037" s="346" t="s">
        <v>851</v>
      </c>
      <c r="F1037" s="355">
        <v>1059598472</v>
      </c>
      <c r="G1037" s="43"/>
    </row>
    <row r="1038" spans="1:7" ht="30" x14ac:dyDescent="0.25">
      <c r="A1038" s="43" t="s">
        <v>896</v>
      </c>
      <c r="B1038" s="43" t="s">
        <v>953</v>
      </c>
      <c r="C1038" s="43" t="s">
        <v>1217</v>
      </c>
      <c r="D1038" s="43" t="s">
        <v>1471</v>
      </c>
      <c r="E1038" s="109" t="s">
        <v>851</v>
      </c>
      <c r="F1038" s="354">
        <v>1059602285</v>
      </c>
      <c r="G1038" s="43"/>
    </row>
    <row r="1039" spans="1:7" ht="30" x14ac:dyDescent="0.25">
      <c r="A1039" s="345" t="s">
        <v>1540</v>
      </c>
      <c r="B1039" s="345" t="s">
        <v>943</v>
      </c>
      <c r="C1039" s="345" t="s">
        <v>1541</v>
      </c>
      <c r="D1039" s="345" t="s">
        <v>1542</v>
      </c>
      <c r="E1039" s="346" t="s">
        <v>851</v>
      </c>
      <c r="F1039" s="359" t="s">
        <v>1539</v>
      </c>
      <c r="G1039" s="43"/>
    </row>
    <row r="1040" spans="1:7" ht="30" x14ac:dyDescent="0.25">
      <c r="A1040" s="43" t="s">
        <v>1144</v>
      </c>
      <c r="B1040" s="43" t="s">
        <v>996</v>
      </c>
      <c r="C1040" s="43" t="s">
        <v>1192</v>
      </c>
      <c r="D1040" s="43"/>
      <c r="E1040" s="109" t="s">
        <v>851</v>
      </c>
      <c r="F1040" s="354">
        <v>1059604012</v>
      </c>
      <c r="G1040" s="43"/>
    </row>
    <row r="1041" spans="1:7" ht="30" x14ac:dyDescent="0.25">
      <c r="A1041" s="345" t="s">
        <v>943</v>
      </c>
      <c r="B1041" s="345" t="s">
        <v>1144</v>
      </c>
      <c r="C1041" s="345" t="s">
        <v>1504</v>
      </c>
      <c r="D1041" s="345" t="s">
        <v>1281</v>
      </c>
      <c r="E1041" s="346" t="s">
        <v>1094</v>
      </c>
      <c r="F1041" s="347">
        <v>1059599329</v>
      </c>
      <c r="G1041" s="43"/>
    </row>
    <row r="1042" spans="1:7" ht="30" x14ac:dyDescent="0.25">
      <c r="A1042" s="43" t="s">
        <v>953</v>
      </c>
      <c r="B1042" s="43" t="s">
        <v>1249</v>
      </c>
      <c r="C1042" s="43" t="s">
        <v>1556</v>
      </c>
      <c r="D1042" s="43"/>
      <c r="E1042" s="109" t="s">
        <v>1094</v>
      </c>
      <c r="F1042" s="110">
        <v>1059599873</v>
      </c>
      <c r="G1042" s="43"/>
    </row>
    <row r="1043" spans="1:7" ht="30" x14ac:dyDescent="0.25">
      <c r="A1043" s="345" t="s">
        <v>896</v>
      </c>
      <c r="B1043" s="345" t="s">
        <v>915</v>
      </c>
      <c r="C1043" s="345" t="s">
        <v>1585</v>
      </c>
      <c r="D1043" s="345"/>
      <c r="E1043" s="346" t="s">
        <v>851</v>
      </c>
      <c r="F1043" s="347">
        <v>1059595460</v>
      </c>
      <c r="G1043" s="43"/>
    </row>
    <row r="1044" spans="1:7" ht="30" x14ac:dyDescent="0.25">
      <c r="A1044" s="43" t="s">
        <v>873</v>
      </c>
      <c r="B1044" s="43" t="s">
        <v>874</v>
      </c>
      <c r="C1044" s="43" t="s">
        <v>1215</v>
      </c>
      <c r="D1044" s="43"/>
      <c r="E1044" s="109" t="s">
        <v>851</v>
      </c>
      <c r="F1044" s="110">
        <v>1002849181</v>
      </c>
      <c r="G1044" s="43"/>
    </row>
    <row r="1045" spans="1:7" ht="30" x14ac:dyDescent="0.25">
      <c r="A1045" s="345" t="s">
        <v>1580</v>
      </c>
      <c r="B1045" s="345" t="s">
        <v>914</v>
      </c>
      <c r="C1045" s="345" t="s">
        <v>1581</v>
      </c>
      <c r="D1045" s="345" t="s">
        <v>1464</v>
      </c>
      <c r="E1045" s="346" t="s">
        <v>851</v>
      </c>
      <c r="F1045" s="359">
        <v>1002846447</v>
      </c>
      <c r="G1045" s="43"/>
    </row>
    <row r="1046" spans="1:7" ht="30" x14ac:dyDescent="0.25">
      <c r="A1046" s="43" t="s">
        <v>1583</v>
      </c>
      <c r="B1046" s="43" t="s">
        <v>873</v>
      </c>
      <c r="C1046" s="43" t="s">
        <v>1584</v>
      </c>
      <c r="D1046" s="43"/>
      <c r="E1046" s="109" t="s">
        <v>851</v>
      </c>
      <c r="F1046" s="356" t="s">
        <v>1582</v>
      </c>
      <c r="G1046" s="43"/>
    </row>
    <row r="1047" spans="1:7" ht="30" x14ac:dyDescent="0.25">
      <c r="A1047" s="345" t="s">
        <v>1590</v>
      </c>
      <c r="B1047" s="345" t="s">
        <v>874</v>
      </c>
      <c r="C1047" s="345" t="s">
        <v>1591</v>
      </c>
      <c r="D1047" s="345"/>
      <c r="E1047" s="346" t="s">
        <v>851</v>
      </c>
      <c r="F1047" s="359" t="s">
        <v>1589</v>
      </c>
      <c r="G1047" s="43"/>
    </row>
    <row r="1048" spans="1:7" ht="30" x14ac:dyDescent="0.25">
      <c r="A1048" s="43" t="s">
        <v>1598</v>
      </c>
      <c r="B1048" s="43" t="s">
        <v>1599</v>
      </c>
      <c r="C1048" s="43" t="s">
        <v>1597</v>
      </c>
      <c r="D1048" s="43"/>
      <c r="E1048" s="109" t="s">
        <v>851</v>
      </c>
      <c r="F1048" s="110">
        <v>1002846452</v>
      </c>
      <c r="G1048" s="43"/>
    </row>
    <row r="1049" spans="1:7" ht="30" x14ac:dyDescent="0.25">
      <c r="A1049" s="345" t="s">
        <v>914</v>
      </c>
      <c r="B1049" s="345" t="s">
        <v>1601</v>
      </c>
      <c r="C1049" s="345" t="s">
        <v>1602</v>
      </c>
      <c r="D1049" s="345"/>
      <c r="E1049" s="346" t="s">
        <v>851</v>
      </c>
      <c r="F1049" s="347">
        <v>1003370775</v>
      </c>
      <c r="G1049" s="43"/>
    </row>
    <row r="1050" spans="1:7" ht="30" x14ac:dyDescent="0.25">
      <c r="A1050" s="43" t="s">
        <v>896</v>
      </c>
      <c r="B1050" s="43" t="s">
        <v>1599</v>
      </c>
      <c r="C1050" s="43" t="s">
        <v>1607</v>
      </c>
      <c r="D1050" s="43" t="s">
        <v>1608</v>
      </c>
      <c r="E1050" s="109" t="s">
        <v>851</v>
      </c>
      <c r="F1050" s="110">
        <v>1060800773</v>
      </c>
      <c r="G1050" s="43"/>
    </row>
    <row r="1051" spans="1:7" ht="30" x14ac:dyDescent="0.25">
      <c r="A1051" s="345" t="s">
        <v>1439</v>
      </c>
      <c r="B1051" s="345" t="s">
        <v>848</v>
      </c>
      <c r="C1051" s="345" t="s">
        <v>1437</v>
      </c>
      <c r="D1051" s="345"/>
      <c r="E1051" s="346" t="s">
        <v>851</v>
      </c>
      <c r="F1051" s="347">
        <v>1059595628</v>
      </c>
      <c r="G1051" s="43"/>
    </row>
    <row r="1052" spans="1:7" ht="30" x14ac:dyDescent="0.25">
      <c r="A1052" s="43" t="s">
        <v>873</v>
      </c>
      <c r="B1052" s="43" t="s">
        <v>874</v>
      </c>
      <c r="C1052" s="43" t="s">
        <v>1612</v>
      </c>
      <c r="D1052" s="43" t="s">
        <v>1613</v>
      </c>
      <c r="E1052" s="109" t="s">
        <v>851</v>
      </c>
      <c r="F1052" s="110">
        <v>1002849103</v>
      </c>
      <c r="G1052" s="43"/>
    </row>
    <row r="1053" spans="1:7" ht="30" x14ac:dyDescent="0.25">
      <c r="A1053" s="345" t="s">
        <v>1637</v>
      </c>
      <c r="B1053" s="345" t="s">
        <v>1638</v>
      </c>
      <c r="C1053" s="345" t="s">
        <v>1028</v>
      </c>
      <c r="D1053" s="345"/>
      <c r="E1053" s="346" t="s">
        <v>851</v>
      </c>
      <c r="F1053" s="358">
        <v>1060986729</v>
      </c>
      <c r="G1053" s="43"/>
    </row>
    <row r="1054" spans="1:7" ht="30" x14ac:dyDescent="0.25">
      <c r="A1054" s="43" t="s">
        <v>1249</v>
      </c>
      <c r="B1054" s="43" t="s">
        <v>914</v>
      </c>
      <c r="C1054" s="43" t="s">
        <v>1659</v>
      </c>
      <c r="D1054" s="43"/>
      <c r="E1054" s="109" t="s">
        <v>851</v>
      </c>
      <c r="F1054" s="110">
        <v>1059597497</v>
      </c>
      <c r="G1054" s="43"/>
    </row>
    <row r="1055" spans="1:7" ht="30" x14ac:dyDescent="0.25">
      <c r="A1055" s="345" t="s">
        <v>1439</v>
      </c>
      <c r="B1055" s="345" t="s">
        <v>848</v>
      </c>
      <c r="C1055" s="345" t="s">
        <v>1437</v>
      </c>
      <c r="D1055" s="345"/>
      <c r="E1055" s="346" t="s">
        <v>851</v>
      </c>
      <c r="F1055" s="347">
        <v>1059595628</v>
      </c>
      <c r="G1055" s="43"/>
    </row>
    <row r="1056" spans="1:7" ht="30" x14ac:dyDescent="0.25">
      <c r="A1056" s="43" t="s">
        <v>953</v>
      </c>
      <c r="B1056" s="43" t="s">
        <v>1660</v>
      </c>
      <c r="C1056" s="43" t="s">
        <v>1217</v>
      </c>
      <c r="D1056" s="43" t="s">
        <v>1661</v>
      </c>
      <c r="E1056" s="109" t="s">
        <v>851</v>
      </c>
      <c r="F1056" s="110">
        <v>1002848134</v>
      </c>
      <c r="G1056" s="43"/>
    </row>
    <row r="1057" spans="1:7" ht="30" x14ac:dyDescent="0.25">
      <c r="A1057" s="345" t="s">
        <v>980</v>
      </c>
      <c r="B1057" s="345" t="s">
        <v>1666</v>
      </c>
      <c r="C1057" s="345" t="s">
        <v>1287</v>
      </c>
      <c r="D1057" s="345" t="s">
        <v>919</v>
      </c>
      <c r="E1057" s="346" t="s">
        <v>851</v>
      </c>
      <c r="F1057" s="347">
        <v>1002846819</v>
      </c>
      <c r="G1057" s="43"/>
    </row>
    <row r="1058" spans="1:7" ht="30" x14ac:dyDescent="0.25">
      <c r="A1058" s="43" t="s">
        <v>1667</v>
      </c>
      <c r="B1058" s="43" t="s">
        <v>1668</v>
      </c>
      <c r="C1058" s="43" t="s">
        <v>1669</v>
      </c>
      <c r="D1058" s="43"/>
      <c r="E1058" s="109" t="s">
        <v>851</v>
      </c>
      <c r="F1058" s="110">
        <v>1064426895</v>
      </c>
      <c r="G1058" s="43"/>
    </row>
    <row r="1059" spans="1:7" ht="30" x14ac:dyDescent="0.25">
      <c r="A1059" s="345" t="s">
        <v>1210</v>
      </c>
      <c r="B1059" s="345" t="s">
        <v>848</v>
      </c>
      <c r="C1059" s="345" t="s">
        <v>1670</v>
      </c>
      <c r="D1059" s="345" t="s">
        <v>1671</v>
      </c>
      <c r="E1059" s="346" t="s">
        <v>851</v>
      </c>
      <c r="F1059" s="347">
        <v>1059602883</v>
      </c>
      <c r="G1059" s="43"/>
    </row>
    <row r="1060" spans="1:7" ht="30" x14ac:dyDescent="0.25">
      <c r="A1060" s="43" t="s">
        <v>943</v>
      </c>
      <c r="B1060" s="43" t="s">
        <v>848</v>
      </c>
      <c r="C1060" s="43" t="s">
        <v>1673</v>
      </c>
      <c r="D1060" s="43" t="s">
        <v>1674</v>
      </c>
      <c r="E1060" s="109" t="s">
        <v>851</v>
      </c>
      <c r="F1060" s="361" t="s">
        <v>1672</v>
      </c>
      <c r="G1060" s="43"/>
    </row>
    <row r="1061" spans="1:7" ht="30" x14ac:dyDescent="0.25">
      <c r="A1061" s="345" t="s">
        <v>1677</v>
      </c>
      <c r="B1061" s="345" t="s">
        <v>962</v>
      </c>
      <c r="C1061" s="345" t="s">
        <v>1678</v>
      </c>
      <c r="D1061" s="345" t="s">
        <v>1679</v>
      </c>
      <c r="E1061" s="346" t="s">
        <v>1094</v>
      </c>
      <c r="F1061" s="362" t="s">
        <v>1676</v>
      </c>
      <c r="G1061" s="43"/>
    </row>
    <row r="1062" spans="1:7" ht="30" x14ac:dyDescent="0.25">
      <c r="A1062" s="43" t="s">
        <v>1286</v>
      </c>
      <c r="B1062" s="43" t="s">
        <v>943</v>
      </c>
      <c r="C1062" s="43" t="s">
        <v>1681</v>
      </c>
      <c r="D1062" s="43"/>
      <c r="E1062" s="109" t="s">
        <v>851</v>
      </c>
      <c r="F1062" s="363" t="s">
        <v>1680</v>
      </c>
      <c r="G1062" s="43"/>
    </row>
    <row r="1063" spans="1:7" x14ac:dyDescent="0.25">
      <c r="A1063" s="423" t="s">
        <v>1712</v>
      </c>
      <c r="B1063" s="423"/>
      <c r="C1063" s="423"/>
      <c r="D1063" s="423"/>
      <c r="E1063" s="423"/>
      <c r="F1063" s="423"/>
      <c r="G1063" s="43"/>
    </row>
    <row r="1064" spans="1:7" ht="45" x14ac:dyDescent="0.25">
      <c r="A1064" s="17" t="s">
        <v>94</v>
      </c>
      <c r="B1064" s="17" t="s">
        <v>21</v>
      </c>
      <c r="C1064" s="17" t="s">
        <v>0</v>
      </c>
      <c r="D1064" s="17" t="s">
        <v>1</v>
      </c>
      <c r="E1064" s="17" t="s">
        <v>2</v>
      </c>
      <c r="F1064" s="17" t="s">
        <v>3</v>
      </c>
      <c r="G1064" s="43"/>
    </row>
    <row r="1065" spans="1:7" ht="30" x14ac:dyDescent="0.25">
      <c r="A1065" s="43" t="s">
        <v>974</v>
      </c>
      <c r="B1065" s="43" t="s">
        <v>1144</v>
      </c>
      <c r="C1065" s="43" t="s">
        <v>1192</v>
      </c>
      <c r="D1065" s="43" t="s">
        <v>1193</v>
      </c>
      <c r="E1065" s="109" t="s">
        <v>1094</v>
      </c>
      <c r="F1065" s="110">
        <v>1059595334</v>
      </c>
      <c r="G1065" s="43"/>
    </row>
    <row r="1066" spans="1:7" ht="30" x14ac:dyDescent="0.25">
      <c r="A1066" s="345" t="s">
        <v>1332</v>
      </c>
      <c r="B1066" s="345" t="s">
        <v>1091</v>
      </c>
      <c r="C1066" s="345" t="s">
        <v>1333</v>
      </c>
      <c r="D1066" s="345"/>
      <c r="E1066" s="346" t="s">
        <v>1094</v>
      </c>
      <c r="F1066" s="347">
        <v>1059595374</v>
      </c>
      <c r="G1066" s="43"/>
    </row>
    <row r="1067" spans="1:7" ht="30" x14ac:dyDescent="0.25">
      <c r="A1067" s="43" t="s">
        <v>1441</v>
      </c>
      <c r="B1067" s="43" t="s">
        <v>884</v>
      </c>
      <c r="C1067" s="43" t="s">
        <v>1457</v>
      </c>
      <c r="D1067" s="43"/>
      <c r="E1067" s="109" t="s">
        <v>851</v>
      </c>
      <c r="F1067" s="110">
        <v>25545401</v>
      </c>
      <c r="G1067" s="43"/>
    </row>
    <row r="1068" spans="1:7" ht="30" x14ac:dyDescent="0.25">
      <c r="A1068" s="345" t="s">
        <v>943</v>
      </c>
      <c r="B1068" s="345" t="s">
        <v>1144</v>
      </c>
      <c r="C1068" s="345" t="s">
        <v>1468</v>
      </c>
      <c r="D1068" s="345" t="s">
        <v>1281</v>
      </c>
      <c r="E1068" s="346" t="s">
        <v>851</v>
      </c>
      <c r="F1068" s="347">
        <v>1059607505</v>
      </c>
      <c r="G1068" s="43"/>
    </row>
    <row r="1069" spans="1:7" ht="30" x14ac:dyDescent="0.25">
      <c r="A1069" s="43" t="s">
        <v>974</v>
      </c>
      <c r="B1069" s="43" t="s">
        <v>943</v>
      </c>
      <c r="C1069" s="43" t="s">
        <v>1217</v>
      </c>
      <c r="D1069" s="43" t="s">
        <v>1490</v>
      </c>
      <c r="E1069" s="109" t="s">
        <v>851</v>
      </c>
      <c r="F1069" s="110" t="s">
        <v>1491</v>
      </c>
      <c r="G1069" s="43"/>
    </row>
    <row r="1070" spans="1:7" ht="30" x14ac:dyDescent="0.25">
      <c r="A1070" s="345" t="s">
        <v>848</v>
      </c>
      <c r="B1070" s="345" t="s">
        <v>953</v>
      </c>
      <c r="C1070" s="345" t="s">
        <v>1501</v>
      </c>
      <c r="D1070" s="345" t="s">
        <v>919</v>
      </c>
      <c r="E1070" s="346" t="s">
        <v>851</v>
      </c>
      <c r="F1070" s="347" t="s">
        <v>1502</v>
      </c>
      <c r="G1070" s="43"/>
    </row>
    <row r="1071" spans="1:7" ht="30" x14ac:dyDescent="0.25">
      <c r="A1071" s="43" t="s">
        <v>1513</v>
      </c>
      <c r="B1071" s="43" t="s">
        <v>1514</v>
      </c>
      <c r="C1071" s="43" t="s">
        <v>1515</v>
      </c>
      <c r="D1071" s="43"/>
      <c r="E1071" s="109" t="s">
        <v>851</v>
      </c>
      <c r="F1071" s="110">
        <v>1067461286</v>
      </c>
      <c r="G1071" s="43"/>
    </row>
    <row r="1072" spans="1:7" ht="30" x14ac:dyDescent="0.25">
      <c r="A1072" s="345" t="s">
        <v>1519</v>
      </c>
      <c r="B1072" s="345" t="s">
        <v>848</v>
      </c>
      <c r="C1072" s="345" t="s">
        <v>1520</v>
      </c>
      <c r="D1072" s="345" t="s">
        <v>1521</v>
      </c>
      <c r="E1072" s="346" t="s">
        <v>851</v>
      </c>
      <c r="F1072" s="347">
        <v>1002950269</v>
      </c>
      <c r="G1072" s="43"/>
    </row>
    <row r="1073" spans="1:7" ht="30" x14ac:dyDescent="0.25">
      <c r="A1073" s="43" t="s">
        <v>896</v>
      </c>
      <c r="B1073" s="43" t="s">
        <v>953</v>
      </c>
      <c r="C1073" s="43" t="s">
        <v>1530</v>
      </c>
      <c r="D1073" s="43" t="s">
        <v>1182</v>
      </c>
      <c r="E1073" s="109" t="s">
        <v>851</v>
      </c>
      <c r="F1073" s="110">
        <v>1059594419</v>
      </c>
      <c r="G1073" s="43"/>
    </row>
    <row r="1074" spans="1:7" ht="30" x14ac:dyDescent="0.25">
      <c r="A1074" s="345" t="s">
        <v>896</v>
      </c>
      <c r="B1074" s="345" t="s">
        <v>1091</v>
      </c>
      <c r="C1074" s="345" t="s">
        <v>1538</v>
      </c>
      <c r="D1074" s="345"/>
      <c r="E1074" s="346" t="s">
        <v>851</v>
      </c>
      <c r="F1074" s="347">
        <v>1002846350</v>
      </c>
      <c r="G1074" s="43"/>
    </row>
    <row r="1075" spans="1:7" ht="30" x14ac:dyDescent="0.25">
      <c r="A1075" s="43" t="s">
        <v>1540</v>
      </c>
      <c r="B1075" s="43" t="s">
        <v>943</v>
      </c>
      <c r="C1075" s="43" t="s">
        <v>1541</v>
      </c>
      <c r="D1075" s="43" t="s">
        <v>1542</v>
      </c>
      <c r="E1075" s="109" t="s">
        <v>851</v>
      </c>
      <c r="F1075" s="356" t="s">
        <v>1539</v>
      </c>
      <c r="G1075" s="43"/>
    </row>
    <row r="1076" spans="1:7" ht="30" x14ac:dyDescent="0.25">
      <c r="A1076" s="345" t="s">
        <v>943</v>
      </c>
      <c r="B1076" s="345" t="s">
        <v>1144</v>
      </c>
      <c r="C1076" s="345" t="s">
        <v>1504</v>
      </c>
      <c r="D1076" s="345" t="s">
        <v>1281</v>
      </c>
      <c r="E1076" s="346" t="s">
        <v>1094</v>
      </c>
      <c r="F1076" s="347">
        <v>1059599329</v>
      </c>
      <c r="G1076" s="43"/>
    </row>
    <row r="1077" spans="1:7" ht="30" x14ac:dyDescent="0.25">
      <c r="A1077" s="43" t="s">
        <v>953</v>
      </c>
      <c r="B1077" s="43" t="s">
        <v>1286</v>
      </c>
      <c r="C1077" s="43" t="s">
        <v>1463</v>
      </c>
      <c r="D1077" s="43" t="s">
        <v>1579</v>
      </c>
      <c r="E1077" s="109" t="s">
        <v>851</v>
      </c>
      <c r="F1077" s="356" t="s">
        <v>1578</v>
      </c>
      <c r="G1077" s="43"/>
    </row>
    <row r="1078" spans="1:7" ht="30" x14ac:dyDescent="0.25">
      <c r="A1078" s="345" t="s">
        <v>1590</v>
      </c>
      <c r="B1078" s="345" t="s">
        <v>874</v>
      </c>
      <c r="C1078" s="345" t="s">
        <v>1591</v>
      </c>
      <c r="D1078" s="345"/>
      <c r="E1078" s="346" t="s">
        <v>851</v>
      </c>
      <c r="F1078" s="359" t="s">
        <v>1589</v>
      </c>
      <c r="G1078" s="43"/>
    </row>
    <row r="1079" spans="1:7" ht="30" x14ac:dyDescent="0.25">
      <c r="A1079" s="43" t="s">
        <v>1286</v>
      </c>
      <c r="B1079" s="43" t="s">
        <v>1594</v>
      </c>
      <c r="C1079" s="43" t="s">
        <v>1420</v>
      </c>
      <c r="D1079" s="43"/>
      <c r="E1079" s="109" t="s">
        <v>1094</v>
      </c>
      <c r="F1079" s="356" t="s">
        <v>1593</v>
      </c>
      <c r="G1079" s="43"/>
    </row>
    <row r="1080" spans="1:7" ht="30" x14ac:dyDescent="0.25">
      <c r="A1080" s="345" t="s">
        <v>914</v>
      </c>
      <c r="B1080" s="345" t="s">
        <v>943</v>
      </c>
      <c r="C1080" s="345" t="s">
        <v>1198</v>
      </c>
      <c r="D1080" s="345"/>
      <c r="E1080" s="346" t="s">
        <v>851</v>
      </c>
      <c r="F1080" s="347">
        <v>1059605317</v>
      </c>
      <c r="G1080" s="43"/>
    </row>
    <row r="1081" spans="1:7" ht="30" x14ac:dyDescent="0.25">
      <c r="A1081" s="43" t="s">
        <v>1439</v>
      </c>
      <c r="B1081" s="43" t="s">
        <v>848</v>
      </c>
      <c r="C1081" s="43" t="s">
        <v>1437</v>
      </c>
      <c r="D1081" s="43"/>
      <c r="E1081" s="109" t="s">
        <v>851</v>
      </c>
      <c r="F1081" s="110">
        <v>1059595628</v>
      </c>
      <c r="G1081" s="43"/>
    </row>
    <row r="1082" spans="1:7" ht="30" x14ac:dyDescent="0.25">
      <c r="A1082" s="345" t="s">
        <v>873</v>
      </c>
      <c r="B1082" s="345" t="s">
        <v>874</v>
      </c>
      <c r="C1082" s="345" t="s">
        <v>1612</v>
      </c>
      <c r="D1082" s="345" t="s">
        <v>1613</v>
      </c>
      <c r="E1082" s="346" t="s">
        <v>851</v>
      </c>
      <c r="F1082" s="347">
        <v>1002849103</v>
      </c>
      <c r="G1082" s="43"/>
    </row>
    <row r="1083" spans="1:7" ht="30" x14ac:dyDescent="0.25">
      <c r="A1083" s="43" t="s">
        <v>1629</v>
      </c>
      <c r="B1083" s="43" t="s">
        <v>1249</v>
      </c>
      <c r="C1083" s="43" t="s">
        <v>1630</v>
      </c>
      <c r="D1083" s="43"/>
      <c r="E1083" s="109" t="s">
        <v>851</v>
      </c>
      <c r="F1083" s="43">
        <v>1059601748</v>
      </c>
      <c r="G1083" s="43"/>
    </row>
    <row r="1084" spans="1:7" ht="30" x14ac:dyDescent="0.25">
      <c r="A1084" s="345" t="s">
        <v>896</v>
      </c>
      <c r="B1084" s="345" t="s">
        <v>1632</v>
      </c>
      <c r="C1084" s="345" t="s">
        <v>1633</v>
      </c>
      <c r="D1084" s="345"/>
      <c r="E1084" s="346" t="s">
        <v>851</v>
      </c>
      <c r="F1084" s="360" t="s">
        <v>1631</v>
      </c>
      <c r="G1084" s="43"/>
    </row>
    <row r="1085" spans="1:7" ht="30" x14ac:dyDescent="0.25">
      <c r="A1085" s="43" t="s">
        <v>1439</v>
      </c>
      <c r="B1085" s="43" t="s">
        <v>848</v>
      </c>
      <c r="C1085" s="43" t="s">
        <v>1437</v>
      </c>
      <c r="D1085" s="43"/>
      <c r="E1085" s="109" t="s">
        <v>851</v>
      </c>
      <c r="F1085" s="110">
        <v>1059595628</v>
      </c>
      <c r="G1085" s="43"/>
    </row>
    <row r="1086" spans="1:7" ht="30" x14ac:dyDescent="0.25">
      <c r="A1086" s="345" t="s">
        <v>953</v>
      </c>
      <c r="B1086" s="345" t="s">
        <v>1660</v>
      </c>
      <c r="C1086" s="345" t="s">
        <v>1217</v>
      </c>
      <c r="D1086" s="345" t="s">
        <v>1661</v>
      </c>
      <c r="E1086" s="346" t="s">
        <v>851</v>
      </c>
      <c r="F1086" s="347">
        <v>1002848134</v>
      </c>
      <c r="G1086" s="43"/>
    </row>
    <row r="1087" spans="1:7" ht="30" x14ac:dyDescent="0.25">
      <c r="A1087" s="43" t="s">
        <v>980</v>
      </c>
      <c r="B1087" s="43" t="s">
        <v>1666</v>
      </c>
      <c r="C1087" s="43" t="s">
        <v>1287</v>
      </c>
      <c r="D1087" s="43" t="s">
        <v>919</v>
      </c>
      <c r="E1087" s="109" t="s">
        <v>851</v>
      </c>
      <c r="F1087" s="110">
        <v>1002846819</v>
      </c>
      <c r="G1087" s="43"/>
    </row>
    <row r="1088" spans="1:7" ht="30" x14ac:dyDescent="0.25">
      <c r="A1088" s="345" t="s">
        <v>1667</v>
      </c>
      <c r="B1088" s="345" t="s">
        <v>1668</v>
      </c>
      <c r="C1088" s="345" t="s">
        <v>1669</v>
      </c>
      <c r="D1088" s="345"/>
      <c r="E1088" s="346" t="s">
        <v>851</v>
      </c>
      <c r="F1088" s="347">
        <v>1064426895</v>
      </c>
      <c r="G1088" s="43"/>
    </row>
    <row r="1089" spans="1:7" ht="30" x14ac:dyDescent="0.25">
      <c r="A1089" s="43" t="s">
        <v>1210</v>
      </c>
      <c r="B1089" s="43" t="s">
        <v>848</v>
      </c>
      <c r="C1089" s="43" t="s">
        <v>1670</v>
      </c>
      <c r="D1089" s="43" t="s">
        <v>1671</v>
      </c>
      <c r="E1089" s="109" t="s">
        <v>851</v>
      </c>
      <c r="F1089" s="110">
        <v>1059602883</v>
      </c>
      <c r="G1089" s="43"/>
    </row>
    <row r="1090" spans="1:7" ht="30" x14ac:dyDescent="0.25">
      <c r="A1090" s="345" t="s">
        <v>943</v>
      </c>
      <c r="B1090" s="345" t="s">
        <v>848</v>
      </c>
      <c r="C1090" s="345" t="s">
        <v>1673</v>
      </c>
      <c r="D1090" s="345" t="s">
        <v>1674</v>
      </c>
      <c r="E1090" s="346" t="s">
        <v>851</v>
      </c>
      <c r="F1090" s="366" t="s">
        <v>1672</v>
      </c>
      <c r="G1090" s="43"/>
    </row>
    <row r="1091" spans="1:7" ht="30" x14ac:dyDescent="0.25">
      <c r="A1091" s="43" t="s">
        <v>1286</v>
      </c>
      <c r="B1091" s="43" t="s">
        <v>943</v>
      </c>
      <c r="C1091" s="43" t="s">
        <v>1681</v>
      </c>
      <c r="D1091" s="43"/>
      <c r="E1091" s="109" t="s">
        <v>851</v>
      </c>
      <c r="F1091" s="363" t="s">
        <v>1680</v>
      </c>
      <c r="G1091" s="43"/>
    </row>
    <row r="1092" spans="1:7" x14ac:dyDescent="0.25">
      <c r="A1092" s="423" t="s">
        <v>1713</v>
      </c>
      <c r="B1092" s="423"/>
      <c r="C1092" s="423"/>
      <c r="D1092" s="423"/>
      <c r="E1092" s="423"/>
      <c r="F1092" s="423"/>
      <c r="G1092" s="43"/>
    </row>
    <row r="1093" spans="1:7" ht="45" x14ac:dyDescent="0.25">
      <c r="A1093" s="17" t="s">
        <v>94</v>
      </c>
      <c r="B1093" s="17" t="s">
        <v>21</v>
      </c>
      <c r="C1093" s="17" t="s">
        <v>0</v>
      </c>
      <c r="D1093" s="17" t="s">
        <v>1</v>
      </c>
      <c r="E1093" s="17" t="s">
        <v>2</v>
      </c>
      <c r="F1093" s="17" t="s">
        <v>3</v>
      </c>
      <c r="G1093" s="43"/>
    </row>
    <row r="1094" spans="1:7" ht="30" x14ac:dyDescent="0.25">
      <c r="A1094" s="43" t="s">
        <v>974</v>
      </c>
      <c r="B1094" s="43" t="s">
        <v>1144</v>
      </c>
      <c r="C1094" s="43" t="s">
        <v>1192</v>
      </c>
      <c r="D1094" s="43" t="s">
        <v>1193</v>
      </c>
      <c r="E1094" s="109" t="s">
        <v>1094</v>
      </c>
      <c r="F1094" s="110">
        <v>1059595334</v>
      </c>
      <c r="G1094" s="43"/>
    </row>
    <row r="1095" spans="1:7" ht="30" x14ac:dyDescent="0.25">
      <c r="A1095" s="345" t="s">
        <v>914</v>
      </c>
      <c r="B1095" s="345" t="s">
        <v>884</v>
      </c>
      <c r="C1095" s="345" t="s">
        <v>1296</v>
      </c>
      <c r="D1095" s="345" t="s">
        <v>850</v>
      </c>
      <c r="E1095" s="346" t="s">
        <v>851</v>
      </c>
      <c r="F1095" s="347">
        <v>1060186045</v>
      </c>
      <c r="G1095" s="43"/>
    </row>
    <row r="1096" spans="1:7" ht="30" x14ac:dyDescent="0.25">
      <c r="A1096" s="43" t="s">
        <v>1298</v>
      </c>
      <c r="B1096" s="43" t="s">
        <v>914</v>
      </c>
      <c r="C1096" s="43" t="s">
        <v>1299</v>
      </c>
      <c r="D1096" s="43" t="s">
        <v>1300</v>
      </c>
      <c r="E1096" s="109" t="s">
        <v>851</v>
      </c>
      <c r="F1096" s="110" t="s">
        <v>1301</v>
      </c>
      <c r="G1096" s="43"/>
    </row>
    <row r="1097" spans="1:7" ht="30" x14ac:dyDescent="0.25">
      <c r="A1097" s="345" t="s">
        <v>1305</v>
      </c>
      <c r="B1097" s="345" t="s">
        <v>884</v>
      </c>
      <c r="C1097" s="345" t="s">
        <v>1306</v>
      </c>
      <c r="D1097" s="345" t="s">
        <v>1307</v>
      </c>
      <c r="E1097" s="346" t="s">
        <v>851</v>
      </c>
      <c r="F1097" s="347">
        <v>1059604869</v>
      </c>
      <c r="G1097" s="43"/>
    </row>
    <row r="1098" spans="1:7" ht="30" x14ac:dyDescent="0.25">
      <c r="A1098" s="43" t="s">
        <v>1332</v>
      </c>
      <c r="B1098" s="43" t="s">
        <v>1091</v>
      </c>
      <c r="C1098" s="43" t="s">
        <v>1333</v>
      </c>
      <c r="D1098" s="43"/>
      <c r="E1098" s="109" t="s">
        <v>1094</v>
      </c>
      <c r="F1098" s="110">
        <v>1059595374</v>
      </c>
      <c r="G1098" s="43"/>
    </row>
    <row r="1099" spans="1:7" ht="30" x14ac:dyDescent="0.25">
      <c r="A1099" s="345" t="s">
        <v>874</v>
      </c>
      <c r="B1099" s="345" t="s">
        <v>943</v>
      </c>
      <c r="C1099" s="345" t="s">
        <v>1340</v>
      </c>
      <c r="D1099" s="345"/>
      <c r="E1099" s="346" t="s">
        <v>1094</v>
      </c>
      <c r="F1099" s="347">
        <v>1059597393</v>
      </c>
      <c r="G1099" s="43"/>
    </row>
    <row r="1100" spans="1:7" ht="30" x14ac:dyDescent="0.25">
      <c r="A1100" s="43" t="s">
        <v>914</v>
      </c>
      <c r="B1100" s="43" t="s">
        <v>915</v>
      </c>
      <c r="C1100" s="43" t="s">
        <v>916</v>
      </c>
      <c r="D1100" s="43"/>
      <c r="E1100" s="109" t="s">
        <v>1094</v>
      </c>
      <c r="F1100" s="110">
        <v>1059598169</v>
      </c>
      <c r="G1100" s="43"/>
    </row>
    <row r="1101" spans="1:7" ht="30" x14ac:dyDescent="0.25">
      <c r="A1101" s="345" t="s">
        <v>1360</v>
      </c>
      <c r="B1101" s="345" t="s">
        <v>1361</v>
      </c>
      <c r="C1101" s="345" t="s">
        <v>938</v>
      </c>
      <c r="D1101" s="345" t="s">
        <v>1362</v>
      </c>
      <c r="E1101" s="346" t="s">
        <v>851</v>
      </c>
      <c r="F1101" s="347" t="s">
        <v>1363</v>
      </c>
      <c r="G1101" s="43"/>
    </row>
    <row r="1102" spans="1:7" ht="30" x14ac:dyDescent="0.25">
      <c r="A1102" s="43" t="s">
        <v>1286</v>
      </c>
      <c r="B1102" s="43" t="s">
        <v>914</v>
      </c>
      <c r="C1102" s="43" t="s">
        <v>1198</v>
      </c>
      <c r="D1102" s="43" t="s">
        <v>1364</v>
      </c>
      <c r="E1102" s="109" t="s">
        <v>851</v>
      </c>
      <c r="F1102" s="110">
        <v>1059600026</v>
      </c>
      <c r="G1102" s="43"/>
    </row>
    <row r="1103" spans="1:7" ht="30" x14ac:dyDescent="0.25">
      <c r="A1103" s="345" t="s">
        <v>857</v>
      </c>
      <c r="B1103" s="345" t="s">
        <v>1365</v>
      </c>
      <c r="C1103" s="345" t="s">
        <v>949</v>
      </c>
      <c r="D1103" s="345" t="s">
        <v>1366</v>
      </c>
      <c r="E1103" s="346" t="s">
        <v>851</v>
      </c>
      <c r="F1103" s="347">
        <v>1002953350</v>
      </c>
      <c r="G1103" s="43"/>
    </row>
    <row r="1104" spans="1:7" ht="30" x14ac:dyDescent="0.25">
      <c r="A1104" s="43" t="s">
        <v>979</v>
      </c>
      <c r="B1104" s="43" t="s">
        <v>943</v>
      </c>
      <c r="C1104" s="43" t="s">
        <v>1217</v>
      </c>
      <c r="D1104" s="43" t="s">
        <v>1398</v>
      </c>
      <c r="E1104" s="109" t="s">
        <v>851</v>
      </c>
      <c r="F1104" s="110">
        <v>1002846528</v>
      </c>
      <c r="G1104" s="43"/>
    </row>
    <row r="1105" spans="1:7" ht="30" x14ac:dyDescent="0.25">
      <c r="A1105" s="345" t="s">
        <v>873</v>
      </c>
      <c r="B1105" s="345" t="s">
        <v>944</v>
      </c>
      <c r="C1105" s="345" t="s">
        <v>1399</v>
      </c>
      <c r="D1105" s="345" t="s">
        <v>1400</v>
      </c>
      <c r="E1105" s="346" t="s">
        <v>851</v>
      </c>
      <c r="F1105" s="347">
        <v>1002848796</v>
      </c>
      <c r="G1105" s="43"/>
    </row>
    <row r="1106" spans="1:7" ht="30" x14ac:dyDescent="0.25">
      <c r="A1106" s="43" t="s">
        <v>1034</v>
      </c>
      <c r="B1106" s="43" t="s">
        <v>1166</v>
      </c>
      <c r="C1106" s="43" t="s">
        <v>1408</v>
      </c>
      <c r="D1106" s="43" t="s">
        <v>1409</v>
      </c>
      <c r="E1106" s="109" t="s">
        <v>851</v>
      </c>
      <c r="F1106" s="110">
        <v>1005860830</v>
      </c>
      <c r="G1106" s="43"/>
    </row>
    <row r="1107" spans="1:7" ht="30" x14ac:dyDescent="0.25">
      <c r="A1107" s="345" t="s">
        <v>944</v>
      </c>
      <c r="B1107" s="345" t="s">
        <v>943</v>
      </c>
      <c r="C1107" s="345" t="s">
        <v>1421</v>
      </c>
      <c r="D1107" s="345"/>
      <c r="E1107" s="346" t="s">
        <v>851</v>
      </c>
      <c r="F1107" s="347">
        <v>1002846330</v>
      </c>
      <c r="G1107" s="43"/>
    </row>
    <row r="1108" spans="1:7" ht="30" x14ac:dyDescent="0.25">
      <c r="A1108" s="43" t="s">
        <v>848</v>
      </c>
      <c r="B1108" s="43" t="s">
        <v>943</v>
      </c>
      <c r="C1108" s="43" t="s">
        <v>1423</v>
      </c>
      <c r="D1108" s="43"/>
      <c r="E1108" s="109" t="s">
        <v>851</v>
      </c>
      <c r="F1108" s="110">
        <v>1193097625</v>
      </c>
      <c r="G1108" s="43"/>
    </row>
    <row r="1109" spans="1:7" ht="30" x14ac:dyDescent="0.25">
      <c r="A1109" s="345" t="s">
        <v>1427</v>
      </c>
      <c r="B1109" s="345" t="s">
        <v>1428</v>
      </c>
      <c r="C1109" s="345" t="s">
        <v>1429</v>
      </c>
      <c r="D1109" s="345" t="s">
        <v>1430</v>
      </c>
      <c r="E1109" s="346" t="s">
        <v>851</v>
      </c>
      <c r="F1109" s="347">
        <v>1061528490</v>
      </c>
      <c r="G1109" s="43"/>
    </row>
    <row r="1110" spans="1:7" ht="30" x14ac:dyDescent="0.25">
      <c r="A1110" s="43" t="s">
        <v>1144</v>
      </c>
      <c r="B1110" s="43" t="s">
        <v>884</v>
      </c>
      <c r="C1110" s="43" t="s">
        <v>1432</v>
      </c>
      <c r="D1110" s="43" t="s">
        <v>1433</v>
      </c>
      <c r="E1110" s="109" t="s">
        <v>1094</v>
      </c>
      <c r="F1110" s="110">
        <v>1059596594</v>
      </c>
      <c r="G1110" s="43"/>
    </row>
    <row r="1111" spans="1:7" ht="30" x14ac:dyDescent="0.25">
      <c r="A1111" s="345" t="s">
        <v>1439</v>
      </c>
      <c r="B1111" s="345" t="s">
        <v>884</v>
      </c>
      <c r="C1111" s="345" t="s">
        <v>1440</v>
      </c>
      <c r="D1111" s="345" t="s">
        <v>1294</v>
      </c>
      <c r="E1111" s="346" t="s">
        <v>851</v>
      </c>
      <c r="F1111" s="347">
        <v>1002847533</v>
      </c>
      <c r="G1111" s="43"/>
    </row>
    <row r="1112" spans="1:7" ht="30" x14ac:dyDescent="0.25">
      <c r="A1112" s="43" t="s">
        <v>1441</v>
      </c>
      <c r="B1112" s="43"/>
      <c r="C1112" s="43" t="s">
        <v>1284</v>
      </c>
      <c r="D1112" s="43" t="s">
        <v>1442</v>
      </c>
      <c r="E1112" s="109" t="s">
        <v>851</v>
      </c>
      <c r="F1112" s="110">
        <v>1002848635</v>
      </c>
      <c r="G1112" s="43"/>
    </row>
    <row r="1113" spans="1:7" ht="30" x14ac:dyDescent="0.25">
      <c r="A1113" s="345" t="s">
        <v>1179</v>
      </c>
      <c r="B1113" s="345" t="s">
        <v>1435</v>
      </c>
      <c r="C1113" s="345" t="s">
        <v>1448</v>
      </c>
      <c r="D1113" s="345" t="s">
        <v>1294</v>
      </c>
      <c r="E1113" s="346" t="s">
        <v>851</v>
      </c>
      <c r="F1113" s="347">
        <v>1059594096</v>
      </c>
      <c r="G1113" s="43"/>
    </row>
    <row r="1114" spans="1:7" ht="30" x14ac:dyDescent="0.25">
      <c r="A1114" s="43" t="s">
        <v>1441</v>
      </c>
      <c r="B1114" s="43" t="s">
        <v>914</v>
      </c>
      <c r="C1114" s="43" t="s">
        <v>1451</v>
      </c>
      <c r="D1114" s="43"/>
      <c r="E1114" s="109" t="s">
        <v>851</v>
      </c>
      <c r="F1114" s="110">
        <v>1059598007</v>
      </c>
      <c r="G1114" s="43"/>
    </row>
    <row r="1115" spans="1:7" ht="30" x14ac:dyDescent="0.25">
      <c r="A1115" s="345" t="s">
        <v>896</v>
      </c>
      <c r="B1115" s="345" t="s">
        <v>943</v>
      </c>
      <c r="C1115" s="345" t="s">
        <v>1452</v>
      </c>
      <c r="D1115" s="345" t="s">
        <v>1372</v>
      </c>
      <c r="E1115" s="346" t="s">
        <v>851</v>
      </c>
      <c r="F1115" s="347">
        <v>1059599315</v>
      </c>
      <c r="G1115" s="43"/>
    </row>
    <row r="1116" spans="1:7" ht="30" x14ac:dyDescent="0.25">
      <c r="A1116" s="43" t="s">
        <v>1455</v>
      </c>
      <c r="B1116" s="43" t="s">
        <v>974</v>
      </c>
      <c r="C1116" s="43" t="s">
        <v>1305</v>
      </c>
      <c r="D1116" s="43" t="s">
        <v>1456</v>
      </c>
      <c r="E1116" s="109" t="s">
        <v>1094</v>
      </c>
      <c r="F1116" s="110">
        <v>1059595977</v>
      </c>
      <c r="G1116" s="43"/>
    </row>
    <row r="1117" spans="1:7" ht="30" x14ac:dyDescent="0.25">
      <c r="A1117" s="345" t="s">
        <v>1458</v>
      </c>
      <c r="B1117" s="345" t="s">
        <v>1459</v>
      </c>
      <c r="C1117" s="345" t="s">
        <v>1460</v>
      </c>
      <c r="D1117" s="345" t="s">
        <v>976</v>
      </c>
      <c r="E1117" s="346" t="s">
        <v>1094</v>
      </c>
      <c r="F1117" s="347">
        <v>1062295885</v>
      </c>
      <c r="G1117" s="43"/>
    </row>
    <row r="1118" spans="1:7" ht="30" x14ac:dyDescent="0.25">
      <c r="A1118" s="43" t="s">
        <v>964</v>
      </c>
      <c r="B1118" s="43" t="s">
        <v>1465</v>
      </c>
      <c r="C1118" s="43" t="s">
        <v>1002</v>
      </c>
      <c r="D1118" s="43" t="s">
        <v>1366</v>
      </c>
      <c r="E1118" s="109" t="s">
        <v>1094</v>
      </c>
      <c r="F1118" s="110">
        <v>1061530990</v>
      </c>
      <c r="G1118" s="43"/>
    </row>
    <row r="1119" spans="1:7" ht="30" x14ac:dyDescent="0.25">
      <c r="A1119" s="345" t="s">
        <v>943</v>
      </c>
      <c r="B1119" s="345" t="s">
        <v>1144</v>
      </c>
      <c r="C1119" s="345" t="s">
        <v>1468</v>
      </c>
      <c r="D1119" s="345" t="s">
        <v>1281</v>
      </c>
      <c r="E1119" s="346" t="s">
        <v>851</v>
      </c>
      <c r="F1119" s="347">
        <v>1059607505</v>
      </c>
      <c r="G1119" s="43"/>
    </row>
    <row r="1120" spans="1:7" ht="30" x14ac:dyDescent="0.25">
      <c r="A1120" s="43" t="s">
        <v>884</v>
      </c>
      <c r="B1120" s="43" t="s">
        <v>914</v>
      </c>
      <c r="C1120" s="43" t="s">
        <v>1479</v>
      </c>
      <c r="D1120" s="43" t="s">
        <v>1480</v>
      </c>
      <c r="E1120" s="109" t="s">
        <v>851</v>
      </c>
      <c r="F1120" s="110">
        <v>1002847894</v>
      </c>
      <c r="G1120" s="43"/>
    </row>
    <row r="1121" spans="1:7" ht="30" x14ac:dyDescent="0.25">
      <c r="A1121" s="345" t="s">
        <v>914</v>
      </c>
      <c r="B1121" s="345" t="s">
        <v>1276</v>
      </c>
      <c r="C1121" s="345" t="s">
        <v>938</v>
      </c>
      <c r="D1121" s="345" t="s">
        <v>1484</v>
      </c>
      <c r="E1121" s="346" t="s">
        <v>851</v>
      </c>
      <c r="F1121" s="347">
        <v>1002846249</v>
      </c>
      <c r="G1121" s="43"/>
    </row>
    <row r="1122" spans="1:7" ht="30" x14ac:dyDescent="0.25">
      <c r="A1122" s="43" t="s">
        <v>914</v>
      </c>
      <c r="B1122" s="43" t="s">
        <v>848</v>
      </c>
      <c r="C1122" s="43" t="s">
        <v>1485</v>
      </c>
      <c r="D1122" s="43" t="s">
        <v>1285</v>
      </c>
      <c r="E1122" s="109" t="s">
        <v>851</v>
      </c>
      <c r="F1122" s="110" t="s">
        <v>1486</v>
      </c>
      <c r="G1122" s="43"/>
    </row>
    <row r="1123" spans="1:7" ht="30" x14ac:dyDescent="0.25">
      <c r="A1123" s="345" t="s">
        <v>974</v>
      </c>
      <c r="B1123" s="345" t="s">
        <v>943</v>
      </c>
      <c r="C1123" s="345" t="s">
        <v>1217</v>
      </c>
      <c r="D1123" s="345" t="s">
        <v>1490</v>
      </c>
      <c r="E1123" s="346" t="s">
        <v>851</v>
      </c>
      <c r="F1123" s="347" t="s">
        <v>1491</v>
      </c>
      <c r="G1123" s="43"/>
    </row>
    <row r="1124" spans="1:7" ht="30" x14ac:dyDescent="0.25">
      <c r="A1124" s="43" t="s">
        <v>967</v>
      </c>
      <c r="B1124" s="43" t="s">
        <v>980</v>
      </c>
      <c r="C1124" s="43" t="s">
        <v>1492</v>
      </c>
      <c r="D1124" s="43"/>
      <c r="E1124" s="109" t="s">
        <v>851</v>
      </c>
      <c r="F1124" s="110" t="s">
        <v>1493</v>
      </c>
      <c r="G1124" s="43"/>
    </row>
    <row r="1125" spans="1:7" ht="30" x14ac:dyDescent="0.25">
      <c r="A1125" s="345" t="s">
        <v>884</v>
      </c>
      <c r="B1125" s="345" t="s">
        <v>1378</v>
      </c>
      <c r="C1125" s="345" t="s">
        <v>1494</v>
      </c>
      <c r="D1125" s="345" t="s">
        <v>1495</v>
      </c>
      <c r="E1125" s="346" t="s">
        <v>851</v>
      </c>
      <c r="F1125" s="347" t="s">
        <v>1496</v>
      </c>
      <c r="G1125" s="43"/>
    </row>
    <row r="1126" spans="1:7" ht="30" x14ac:dyDescent="0.25">
      <c r="A1126" s="43" t="s">
        <v>848</v>
      </c>
      <c r="B1126" s="43" t="s">
        <v>953</v>
      </c>
      <c r="C1126" s="43" t="s">
        <v>1501</v>
      </c>
      <c r="D1126" s="43" t="s">
        <v>919</v>
      </c>
      <c r="E1126" s="109" t="s">
        <v>851</v>
      </c>
      <c r="F1126" s="110" t="s">
        <v>1502</v>
      </c>
      <c r="G1126" s="43"/>
    </row>
    <row r="1127" spans="1:7" ht="30" x14ac:dyDescent="0.25">
      <c r="A1127" s="345" t="s">
        <v>1507</v>
      </c>
      <c r="B1127" s="345" t="s">
        <v>1365</v>
      </c>
      <c r="C1127" s="345" t="s">
        <v>1508</v>
      </c>
      <c r="D1127" s="345"/>
      <c r="E1127" s="346" t="s">
        <v>851</v>
      </c>
      <c r="F1127" s="347">
        <v>1059600322</v>
      </c>
      <c r="G1127" s="43"/>
    </row>
    <row r="1128" spans="1:7" ht="30" x14ac:dyDescent="0.25">
      <c r="A1128" s="43" t="s">
        <v>1041</v>
      </c>
      <c r="B1128" s="43" t="s">
        <v>1147</v>
      </c>
      <c r="C1128" s="43" t="s">
        <v>1512</v>
      </c>
      <c r="D1128" s="43"/>
      <c r="E1128" s="109" t="s">
        <v>851</v>
      </c>
      <c r="F1128" s="110">
        <v>1059604976</v>
      </c>
      <c r="G1128" s="43"/>
    </row>
    <row r="1129" spans="1:7" ht="30" x14ac:dyDescent="0.25">
      <c r="A1129" s="345" t="s">
        <v>1513</v>
      </c>
      <c r="B1129" s="345" t="s">
        <v>1514</v>
      </c>
      <c r="C1129" s="345" t="s">
        <v>1515</v>
      </c>
      <c r="D1129" s="345"/>
      <c r="E1129" s="346" t="s">
        <v>851</v>
      </c>
      <c r="F1129" s="347">
        <v>1067461286</v>
      </c>
      <c r="G1129" s="43"/>
    </row>
    <row r="1130" spans="1:7" ht="30" x14ac:dyDescent="0.25">
      <c r="A1130" s="43" t="s">
        <v>1519</v>
      </c>
      <c r="B1130" s="43" t="s">
        <v>848</v>
      </c>
      <c r="C1130" s="43" t="s">
        <v>1520</v>
      </c>
      <c r="D1130" s="43" t="s">
        <v>1521</v>
      </c>
      <c r="E1130" s="109" t="s">
        <v>851</v>
      </c>
      <c r="F1130" s="110">
        <v>1002950269</v>
      </c>
      <c r="G1130" s="43"/>
    </row>
    <row r="1131" spans="1:7" ht="30" x14ac:dyDescent="0.25">
      <c r="A1131" s="345" t="s">
        <v>896</v>
      </c>
      <c r="B1131" s="345" t="s">
        <v>953</v>
      </c>
      <c r="C1131" s="345" t="s">
        <v>1530</v>
      </c>
      <c r="D1131" s="345" t="s">
        <v>1182</v>
      </c>
      <c r="E1131" s="346" t="s">
        <v>851</v>
      </c>
      <c r="F1131" s="347">
        <v>1059594419</v>
      </c>
      <c r="G1131" s="43"/>
    </row>
    <row r="1132" spans="1:7" ht="30" x14ac:dyDescent="0.25">
      <c r="A1132" s="43" t="s">
        <v>1361</v>
      </c>
      <c r="B1132" s="43" t="s">
        <v>992</v>
      </c>
      <c r="C1132" s="43" t="s">
        <v>1531</v>
      </c>
      <c r="D1132" s="43"/>
      <c r="E1132" s="109" t="s">
        <v>851</v>
      </c>
      <c r="F1132" s="110">
        <v>1151452891</v>
      </c>
      <c r="G1132" s="43"/>
    </row>
    <row r="1133" spans="1:7" ht="30" x14ac:dyDescent="0.25">
      <c r="A1133" s="345" t="s">
        <v>914</v>
      </c>
      <c r="B1133" s="345" t="s">
        <v>1470</v>
      </c>
      <c r="C1133" s="345" t="s">
        <v>1167</v>
      </c>
      <c r="D1133" s="345" t="s">
        <v>1043</v>
      </c>
      <c r="E1133" s="346" t="s">
        <v>851</v>
      </c>
      <c r="F1133" s="347">
        <v>1193105051</v>
      </c>
      <c r="G1133" s="43"/>
    </row>
    <row r="1134" spans="1:7" ht="30" x14ac:dyDescent="0.25">
      <c r="A1134" s="43" t="s">
        <v>1286</v>
      </c>
      <c r="B1134" s="43" t="s">
        <v>980</v>
      </c>
      <c r="C1134" s="43" t="s">
        <v>1528</v>
      </c>
      <c r="D1134" s="43" t="s">
        <v>1281</v>
      </c>
      <c r="E1134" s="109" t="s">
        <v>851</v>
      </c>
      <c r="F1134" s="110">
        <v>1059596092</v>
      </c>
      <c r="G1134" s="43"/>
    </row>
    <row r="1135" spans="1:7" ht="30" x14ac:dyDescent="0.25">
      <c r="A1135" s="345" t="s">
        <v>884</v>
      </c>
      <c r="B1135" s="345" t="s">
        <v>1144</v>
      </c>
      <c r="C1135" s="345" t="s">
        <v>1534</v>
      </c>
      <c r="D1135" s="345"/>
      <c r="E1135" s="346" t="s">
        <v>851</v>
      </c>
      <c r="F1135" s="353">
        <v>1002846626</v>
      </c>
      <c r="G1135" s="43"/>
    </row>
    <row r="1136" spans="1:7" ht="30" x14ac:dyDescent="0.25">
      <c r="A1136" s="43" t="s">
        <v>1246</v>
      </c>
      <c r="B1136" s="43" t="s">
        <v>943</v>
      </c>
      <c r="C1136" s="43" t="s">
        <v>1535</v>
      </c>
      <c r="D1136" s="43"/>
      <c r="E1136" s="109" t="s">
        <v>851</v>
      </c>
      <c r="F1136" s="354">
        <v>1002848307</v>
      </c>
      <c r="G1136" s="43"/>
    </row>
    <row r="1137" spans="1:7" ht="30" x14ac:dyDescent="0.25">
      <c r="A1137" s="345" t="s">
        <v>873</v>
      </c>
      <c r="B1137" s="345" t="s">
        <v>1091</v>
      </c>
      <c r="C1137" s="345" t="s">
        <v>1277</v>
      </c>
      <c r="D1137" s="345"/>
      <c r="E1137" s="346" t="s">
        <v>851</v>
      </c>
      <c r="F1137" s="355">
        <v>1059598472</v>
      </c>
      <c r="G1137" s="43"/>
    </row>
    <row r="1138" spans="1:7" ht="30" x14ac:dyDescent="0.25">
      <c r="A1138" s="43" t="s">
        <v>896</v>
      </c>
      <c r="B1138" s="43" t="s">
        <v>1091</v>
      </c>
      <c r="C1138" s="43" t="s">
        <v>1538</v>
      </c>
      <c r="D1138" s="43"/>
      <c r="E1138" s="109" t="s">
        <v>851</v>
      </c>
      <c r="F1138" s="110">
        <v>1002846350</v>
      </c>
      <c r="G1138" s="43"/>
    </row>
    <row r="1139" spans="1:7" ht="30" x14ac:dyDescent="0.25">
      <c r="A1139" s="345" t="s">
        <v>896</v>
      </c>
      <c r="B1139" s="345" t="s">
        <v>953</v>
      </c>
      <c r="C1139" s="345" t="s">
        <v>1217</v>
      </c>
      <c r="D1139" s="345" t="s">
        <v>1471</v>
      </c>
      <c r="E1139" s="346" t="s">
        <v>851</v>
      </c>
      <c r="F1139" s="353">
        <v>1059602285</v>
      </c>
      <c r="G1139" s="43"/>
    </row>
    <row r="1140" spans="1:7" ht="30" x14ac:dyDescent="0.25">
      <c r="A1140" s="43" t="s">
        <v>1540</v>
      </c>
      <c r="B1140" s="43" t="s">
        <v>943</v>
      </c>
      <c r="C1140" s="43" t="s">
        <v>1541</v>
      </c>
      <c r="D1140" s="43" t="s">
        <v>1542</v>
      </c>
      <c r="E1140" s="109" t="s">
        <v>851</v>
      </c>
      <c r="F1140" s="356" t="s">
        <v>1539</v>
      </c>
      <c r="G1140" s="43"/>
    </row>
    <row r="1141" spans="1:7" ht="30" x14ac:dyDescent="0.25">
      <c r="A1141" s="345" t="s">
        <v>1144</v>
      </c>
      <c r="B1141" s="345" t="s">
        <v>996</v>
      </c>
      <c r="C1141" s="345" t="s">
        <v>1192</v>
      </c>
      <c r="D1141" s="345"/>
      <c r="E1141" s="346" t="s">
        <v>851</v>
      </c>
      <c r="F1141" s="353">
        <v>1059604012</v>
      </c>
      <c r="G1141" s="43"/>
    </row>
    <row r="1142" spans="1:7" ht="30" x14ac:dyDescent="0.25">
      <c r="A1142" s="43" t="s">
        <v>896</v>
      </c>
      <c r="B1142" s="43" t="s">
        <v>953</v>
      </c>
      <c r="C1142" s="43" t="s">
        <v>1545</v>
      </c>
      <c r="D1142" s="43"/>
      <c r="E1142" s="109" t="s">
        <v>851</v>
      </c>
      <c r="F1142" s="110">
        <v>25545389</v>
      </c>
      <c r="G1142" s="43"/>
    </row>
    <row r="1143" spans="1:7" ht="30" x14ac:dyDescent="0.25">
      <c r="A1143" s="345" t="s">
        <v>1156</v>
      </c>
      <c r="B1143" s="345" t="s">
        <v>980</v>
      </c>
      <c r="C1143" s="345" t="s">
        <v>1547</v>
      </c>
      <c r="D1143" s="345"/>
      <c r="E1143" s="346" t="s">
        <v>1094</v>
      </c>
      <c r="F1143" s="347">
        <v>1059597328</v>
      </c>
      <c r="G1143" s="43"/>
    </row>
    <row r="1144" spans="1:7" ht="30" x14ac:dyDescent="0.25">
      <c r="A1144" s="43" t="s">
        <v>1549</v>
      </c>
      <c r="B1144" s="43" t="s">
        <v>1298</v>
      </c>
      <c r="C1144" s="43" t="s">
        <v>1550</v>
      </c>
      <c r="D1144" s="43" t="s">
        <v>1551</v>
      </c>
      <c r="E1144" s="109" t="s">
        <v>851</v>
      </c>
      <c r="F1144" s="357" t="s">
        <v>1548</v>
      </c>
      <c r="G1144" s="43"/>
    </row>
    <row r="1145" spans="1:7" x14ac:dyDescent="0.25">
      <c r="A1145" s="345" t="s">
        <v>943</v>
      </c>
      <c r="B1145" s="345" t="s">
        <v>848</v>
      </c>
      <c r="C1145" s="345" t="s">
        <v>1553</v>
      </c>
      <c r="D1145" s="345"/>
      <c r="E1145" s="346"/>
      <c r="F1145" s="347">
        <v>1059594153</v>
      </c>
      <c r="G1145" s="43"/>
    </row>
    <row r="1146" spans="1:7" ht="30" x14ac:dyDescent="0.25">
      <c r="A1146" s="43" t="s">
        <v>943</v>
      </c>
      <c r="B1146" s="43" t="s">
        <v>1144</v>
      </c>
      <c r="C1146" s="43" t="s">
        <v>1504</v>
      </c>
      <c r="D1146" s="43" t="s">
        <v>1281</v>
      </c>
      <c r="E1146" s="109" t="s">
        <v>1094</v>
      </c>
      <c r="F1146" s="110">
        <v>1059599329</v>
      </c>
      <c r="G1146" s="43"/>
    </row>
    <row r="1147" spans="1:7" ht="30" x14ac:dyDescent="0.25">
      <c r="A1147" s="345" t="s">
        <v>996</v>
      </c>
      <c r="B1147" s="345" t="s">
        <v>1559</v>
      </c>
      <c r="C1147" s="345" t="s">
        <v>1560</v>
      </c>
      <c r="D1147" s="345"/>
      <c r="E1147" s="346" t="s">
        <v>851</v>
      </c>
      <c r="F1147" s="347">
        <v>25552089</v>
      </c>
      <c r="G1147" s="43"/>
    </row>
    <row r="1148" spans="1:7" ht="30" x14ac:dyDescent="0.25">
      <c r="A1148" s="43" t="s">
        <v>1361</v>
      </c>
      <c r="B1148" s="43" t="s">
        <v>1470</v>
      </c>
      <c r="C1148" s="43" t="s">
        <v>1553</v>
      </c>
      <c r="D1148" s="43"/>
      <c r="E1148" s="109" t="s">
        <v>851</v>
      </c>
      <c r="F1148" s="110">
        <v>1059595865</v>
      </c>
      <c r="G1148" s="43"/>
    </row>
    <row r="1149" spans="1:7" ht="30" x14ac:dyDescent="0.25">
      <c r="A1149" s="345" t="s">
        <v>953</v>
      </c>
      <c r="B1149" s="345" t="s">
        <v>1378</v>
      </c>
      <c r="C1149" s="345" t="s">
        <v>1617</v>
      </c>
      <c r="D1149" s="345"/>
      <c r="E1149" s="346" t="s">
        <v>851</v>
      </c>
      <c r="F1149" s="347">
        <v>1059606238</v>
      </c>
      <c r="G1149" s="43"/>
    </row>
    <row r="1150" spans="1:7" ht="30" x14ac:dyDescent="0.25">
      <c r="A1150" s="43" t="s">
        <v>874</v>
      </c>
      <c r="B1150" s="43" t="s">
        <v>873</v>
      </c>
      <c r="C1150" s="43" t="s">
        <v>1635</v>
      </c>
      <c r="D1150" s="43" t="s">
        <v>1294</v>
      </c>
      <c r="E1150" s="109" t="s">
        <v>1094</v>
      </c>
      <c r="F1150" s="110">
        <v>1059597986</v>
      </c>
      <c r="G1150" s="43"/>
    </row>
    <row r="1151" spans="1:7" ht="30" x14ac:dyDescent="0.25">
      <c r="A1151" s="345" t="s">
        <v>873</v>
      </c>
      <c r="B1151" s="345" t="s">
        <v>962</v>
      </c>
      <c r="C1151" s="345" t="s">
        <v>1501</v>
      </c>
      <c r="D1151" s="345" t="s">
        <v>1340</v>
      </c>
      <c r="E1151" s="346" t="s">
        <v>851</v>
      </c>
      <c r="F1151" s="347">
        <v>1059594976</v>
      </c>
      <c r="G1151" s="43"/>
    </row>
    <row r="1152" spans="1:7" x14ac:dyDescent="0.25">
      <c r="A1152" s="43" t="s">
        <v>896</v>
      </c>
      <c r="B1152" s="43" t="s">
        <v>953</v>
      </c>
      <c r="C1152" s="43" t="s">
        <v>1634</v>
      </c>
      <c r="D1152" s="43"/>
      <c r="E1152" s="109"/>
      <c r="F1152" s="110">
        <v>1002848733</v>
      </c>
      <c r="G1152" s="43"/>
    </row>
    <row r="1153" spans="1:7" ht="30" x14ac:dyDescent="0.25">
      <c r="A1153" s="345" t="s">
        <v>896</v>
      </c>
      <c r="B1153" s="345" t="s">
        <v>915</v>
      </c>
      <c r="C1153" s="345" t="s">
        <v>1585</v>
      </c>
      <c r="D1153" s="345"/>
      <c r="E1153" s="346" t="s">
        <v>851</v>
      </c>
      <c r="F1153" s="347">
        <v>1059595460</v>
      </c>
      <c r="G1153" s="43"/>
    </row>
    <row r="1154" spans="1:7" ht="30" x14ac:dyDescent="0.25">
      <c r="A1154" s="43" t="s">
        <v>873</v>
      </c>
      <c r="B1154" s="43" t="s">
        <v>874</v>
      </c>
      <c r="C1154" s="43" t="s">
        <v>1215</v>
      </c>
      <c r="D1154" s="43"/>
      <c r="E1154" s="109" t="s">
        <v>851</v>
      </c>
      <c r="F1154" s="110">
        <v>1002849181</v>
      </c>
      <c r="G1154" s="43"/>
    </row>
    <row r="1155" spans="1:7" ht="30" x14ac:dyDescent="0.25">
      <c r="A1155" s="345" t="s">
        <v>1156</v>
      </c>
      <c r="B1155" s="345" t="s">
        <v>884</v>
      </c>
      <c r="C1155" s="345" t="s">
        <v>1481</v>
      </c>
      <c r="D1155" s="345" t="s">
        <v>1482</v>
      </c>
      <c r="E1155" s="346" t="s">
        <v>851</v>
      </c>
      <c r="F1155" s="358" t="s">
        <v>1483</v>
      </c>
      <c r="G1155" s="43"/>
    </row>
    <row r="1156" spans="1:7" ht="30" x14ac:dyDescent="0.25">
      <c r="A1156" s="43" t="s">
        <v>953</v>
      </c>
      <c r="B1156" s="43" t="s">
        <v>1286</v>
      </c>
      <c r="C1156" s="43" t="s">
        <v>1463</v>
      </c>
      <c r="D1156" s="43" t="s">
        <v>1579</v>
      </c>
      <c r="E1156" s="109" t="s">
        <v>851</v>
      </c>
      <c r="F1156" s="356" t="s">
        <v>1578</v>
      </c>
      <c r="G1156" s="43"/>
    </row>
    <row r="1157" spans="1:7" ht="30" x14ac:dyDescent="0.25">
      <c r="A1157" s="345" t="s">
        <v>1580</v>
      </c>
      <c r="B1157" s="345" t="s">
        <v>914</v>
      </c>
      <c r="C1157" s="345" t="s">
        <v>1581</v>
      </c>
      <c r="D1157" s="345" t="s">
        <v>1464</v>
      </c>
      <c r="E1157" s="346" t="s">
        <v>851</v>
      </c>
      <c r="F1157" s="359">
        <v>1002846447</v>
      </c>
      <c r="G1157" s="43"/>
    </row>
    <row r="1158" spans="1:7" ht="30" x14ac:dyDescent="0.25">
      <c r="A1158" s="43" t="s">
        <v>1583</v>
      </c>
      <c r="B1158" s="43" t="s">
        <v>873</v>
      </c>
      <c r="C1158" s="43" t="s">
        <v>1584</v>
      </c>
      <c r="D1158" s="43"/>
      <c r="E1158" s="109" t="s">
        <v>851</v>
      </c>
      <c r="F1158" s="356" t="s">
        <v>1582</v>
      </c>
      <c r="G1158" s="43"/>
    </row>
    <row r="1159" spans="1:7" ht="30" x14ac:dyDescent="0.25">
      <c r="A1159" s="345" t="s">
        <v>1322</v>
      </c>
      <c r="B1159" s="345" t="s">
        <v>1378</v>
      </c>
      <c r="C1159" s="345" t="s">
        <v>1587</v>
      </c>
      <c r="D1159" s="345"/>
      <c r="E1159" s="346" t="s">
        <v>851</v>
      </c>
      <c r="F1159" s="359" t="s">
        <v>1586</v>
      </c>
      <c r="G1159" s="43"/>
    </row>
    <row r="1160" spans="1:7" ht="30" x14ac:dyDescent="0.25">
      <c r="A1160" s="43" t="s">
        <v>1590</v>
      </c>
      <c r="B1160" s="43" t="s">
        <v>874</v>
      </c>
      <c r="C1160" s="43" t="s">
        <v>1591</v>
      </c>
      <c r="D1160" s="43"/>
      <c r="E1160" s="109" t="s">
        <v>851</v>
      </c>
      <c r="F1160" s="356" t="s">
        <v>1589</v>
      </c>
      <c r="G1160" s="43"/>
    </row>
    <row r="1161" spans="1:7" ht="30" x14ac:dyDescent="0.25">
      <c r="A1161" s="345" t="s">
        <v>1286</v>
      </c>
      <c r="B1161" s="345" t="s">
        <v>1594</v>
      </c>
      <c r="C1161" s="345" t="s">
        <v>1420</v>
      </c>
      <c r="D1161" s="345"/>
      <c r="E1161" s="346" t="s">
        <v>1094</v>
      </c>
      <c r="F1161" s="359" t="s">
        <v>1593</v>
      </c>
      <c r="G1161" s="43"/>
    </row>
    <row r="1162" spans="1:7" ht="30" x14ac:dyDescent="0.25">
      <c r="A1162" s="43" t="s">
        <v>1598</v>
      </c>
      <c r="B1162" s="43" t="s">
        <v>1599</v>
      </c>
      <c r="C1162" s="43" t="s">
        <v>1597</v>
      </c>
      <c r="D1162" s="43"/>
      <c r="E1162" s="109" t="s">
        <v>851</v>
      </c>
      <c r="F1162" s="110">
        <v>1002846452</v>
      </c>
      <c r="G1162" s="43"/>
    </row>
    <row r="1163" spans="1:7" ht="30" x14ac:dyDescent="0.25">
      <c r="A1163" s="345" t="s">
        <v>914</v>
      </c>
      <c r="B1163" s="345" t="s">
        <v>1601</v>
      </c>
      <c r="C1163" s="345" t="s">
        <v>1602</v>
      </c>
      <c r="D1163" s="345"/>
      <c r="E1163" s="346" t="s">
        <v>851</v>
      </c>
      <c r="F1163" s="347">
        <v>1003370775</v>
      </c>
      <c r="G1163" s="43"/>
    </row>
    <row r="1164" spans="1:7" ht="30" x14ac:dyDescent="0.25">
      <c r="A1164" s="43" t="s">
        <v>896</v>
      </c>
      <c r="B1164" s="43" t="s">
        <v>992</v>
      </c>
      <c r="C1164" s="43" t="s">
        <v>1530</v>
      </c>
      <c r="D1164" s="43" t="s">
        <v>1357</v>
      </c>
      <c r="E1164" s="109" t="s">
        <v>851</v>
      </c>
      <c r="F1164" s="110">
        <v>1002847645</v>
      </c>
      <c r="G1164" s="43"/>
    </row>
    <row r="1165" spans="1:7" ht="30" x14ac:dyDescent="0.25">
      <c r="A1165" s="345" t="s">
        <v>896</v>
      </c>
      <c r="B1165" s="345" t="s">
        <v>1599</v>
      </c>
      <c r="C1165" s="345" t="s">
        <v>1607</v>
      </c>
      <c r="D1165" s="345" t="s">
        <v>1608</v>
      </c>
      <c r="E1165" s="346" t="s">
        <v>851</v>
      </c>
      <c r="F1165" s="347">
        <v>1060800773</v>
      </c>
      <c r="G1165" s="43"/>
    </row>
    <row r="1166" spans="1:7" ht="30" x14ac:dyDescent="0.25">
      <c r="A1166" s="43" t="s">
        <v>914</v>
      </c>
      <c r="B1166" s="43" t="s">
        <v>943</v>
      </c>
      <c r="C1166" s="43" t="s">
        <v>1198</v>
      </c>
      <c r="D1166" s="43"/>
      <c r="E1166" s="109" t="s">
        <v>851</v>
      </c>
      <c r="F1166" s="110">
        <v>1059605317</v>
      </c>
      <c r="G1166" s="43"/>
    </row>
    <row r="1167" spans="1:7" ht="30" x14ac:dyDescent="0.25">
      <c r="A1167" s="345" t="s">
        <v>1439</v>
      </c>
      <c r="B1167" s="345" t="s">
        <v>848</v>
      </c>
      <c r="C1167" s="345" t="s">
        <v>1437</v>
      </c>
      <c r="D1167" s="345"/>
      <c r="E1167" s="346" t="s">
        <v>851</v>
      </c>
      <c r="F1167" s="347">
        <v>1059595628</v>
      </c>
      <c r="G1167" s="43"/>
    </row>
    <row r="1168" spans="1:7" ht="30" x14ac:dyDescent="0.25">
      <c r="A1168" s="43" t="s">
        <v>873</v>
      </c>
      <c r="B1168" s="43" t="s">
        <v>874</v>
      </c>
      <c r="C1168" s="43" t="s">
        <v>1612</v>
      </c>
      <c r="D1168" s="43" t="s">
        <v>1613</v>
      </c>
      <c r="E1168" s="109" t="s">
        <v>851</v>
      </c>
      <c r="F1168" s="110">
        <v>1002849103</v>
      </c>
      <c r="G1168" s="43"/>
    </row>
    <row r="1169" spans="1:7" ht="30" x14ac:dyDescent="0.25">
      <c r="A1169" s="345" t="s">
        <v>914</v>
      </c>
      <c r="B1169" s="345" t="s">
        <v>914</v>
      </c>
      <c r="C1169" s="345" t="s">
        <v>1614</v>
      </c>
      <c r="D1169" s="345" t="s">
        <v>1277</v>
      </c>
      <c r="E1169" s="346" t="s">
        <v>851</v>
      </c>
      <c r="F1169" s="347">
        <v>1002847076</v>
      </c>
      <c r="G1169" s="43"/>
    </row>
    <row r="1170" spans="1:7" ht="30" x14ac:dyDescent="0.25">
      <c r="A1170" s="43" t="s">
        <v>980</v>
      </c>
      <c r="B1170" s="43" t="s">
        <v>914</v>
      </c>
      <c r="C1170" s="43" t="s">
        <v>1623</v>
      </c>
      <c r="D1170" s="43"/>
      <c r="E1170" s="109" t="s">
        <v>851</v>
      </c>
      <c r="F1170" s="110">
        <v>1059596737</v>
      </c>
      <c r="G1170" s="43"/>
    </row>
    <row r="1171" spans="1:7" ht="30" x14ac:dyDescent="0.25">
      <c r="A1171" s="345" t="s">
        <v>884</v>
      </c>
      <c r="B1171" s="345" t="s">
        <v>1286</v>
      </c>
      <c r="C1171" s="345" t="s">
        <v>1452</v>
      </c>
      <c r="D1171" s="345"/>
      <c r="E1171" s="346" t="s">
        <v>851</v>
      </c>
      <c r="F1171" s="347">
        <v>25546688</v>
      </c>
      <c r="G1171" s="43"/>
    </row>
    <row r="1172" spans="1:7" ht="30" x14ac:dyDescent="0.25">
      <c r="A1172" s="43" t="s">
        <v>1629</v>
      </c>
      <c r="B1172" s="43" t="s">
        <v>1249</v>
      </c>
      <c r="C1172" s="43" t="s">
        <v>1630</v>
      </c>
      <c r="D1172" s="43"/>
      <c r="E1172" s="109" t="s">
        <v>851</v>
      </c>
      <c r="F1172" s="43">
        <v>1059601748</v>
      </c>
      <c r="G1172" s="43"/>
    </row>
    <row r="1173" spans="1:7" ht="30" x14ac:dyDescent="0.25">
      <c r="A1173" s="345" t="s">
        <v>896</v>
      </c>
      <c r="B1173" s="345" t="s">
        <v>1632</v>
      </c>
      <c r="C1173" s="345" t="s">
        <v>1633</v>
      </c>
      <c r="D1173" s="345"/>
      <c r="E1173" s="346" t="s">
        <v>851</v>
      </c>
      <c r="F1173" s="360" t="s">
        <v>1631</v>
      </c>
      <c r="G1173" s="43"/>
    </row>
    <row r="1174" spans="1:7" ht="30" x14ac:dyDescent="0.25">
      <c r="A1174" s="43" t="s">
        <v>1637</v>
      </c>
      <c r="B1174" s="43" t="s">
        <v>1638</v>
      </c>
      <c r="C1174" s="43" t="s">
        <v>1028</v>
      </c>
      <c r="D1174" s="43"/>
      <c r="E1174" s="109" t="s">
        <v>851</v>
      </c>
      <c r="F1174" s="357">
        <v>1060986729</v>
      </c>
      <c r="G1174" s="43"/>
    </row>
    <row r="1175" spans="1:7" ht="30" x14ac:dyDescent="0.25">
      <c r="A1175" s="345" t="s">
        <v>1249</v>
      </c>
      <c r="B1175" s="345" t="s">
        <v>914</v>
      </c>
      <c r="C1175" s="345" t="s">
        <v>1659</v>
      </c>
      <c r="D1175" s="345"/>
      <c r="E1175" s="346" t="s">
        <v>851</v>
      </c>
      <c r="F1175" s="347">
        <v>1059597497</v>
      </c>
      <c r="G1175" s="43"/>
    </row>
    <row r="1176" spans="1:7" ht="30" x14ac:dyDescent="0.25">
      <c r="A1176" s="43" t="s">
        <v>1439</v>
      </c>
      <c r="B1176" s="43" t="s">
        <v>848</v>
      </c>
      <c r="C1176" s="43" t="s">
        <v>1437</v>
      </c>
      <c r="D1176" s="43"/>
      <c r="E1176" s="109" t="s">
        <v>851</v>
      </c>
      <c r="F1176" s="110">
        <v>1059595628</v>
      </c>
      <c r="G1176" s="43"/>
    </row>
    <row r="1177" spans="1:7" ht="30" x14ac:dyDescent="0.25">
      <c r="A1177" s="345" t="s">
        <v>953</v>
      </c>
      <c r="B1177" s="345" t="s">
        <v>1660</v>
      </c>
      <c r="C1177" s="345" t="s">
        <v>1217</v>
      </c>
      <c r="D1177" s="345" t="s">
        <v>1661</v>
      </c>
      <c r="E1177" s="346" t="s">
        <v>851</v>
      </c>
      <c r="F1177" s="347">
        <v>1002848134</v>
      </c>
      <c r="G1177" s="43"/>
    </row>
    <row r="1178" spans="1:7" ht="30" x14ac:dyDescent="0.25">
      <c r="A1178" s="43" t="s">
        <v>848</v>
      </c>
      <c r="B1178" s="43" t="s">
        <v>1034</v>
      </c>
      <c r="C1178" s="43" t="s">
        <v>1612</v>
      </c>
      <c r="D1178" s="43" t="s">
        <v>1662</v>
      </c>
      <c r="E1178" s="109" t="s">
        <v>851</v>
      </c>
      <c r="F1178" s="110">
        <v>1059601726</v>
      </c>
      <c r="G1178" s="43"/>
    </row>
    <row r="1179" spans="1:7" ht="30" x14ac:dyDescent="0.25">
      <c r="A1179" s="345" t="s">
        <v>1663</v>
      </c>
      <c r="B1179" s="345" t="s">
        <v>1664</v>
      </c>
      <c r="C1179" s="345" t="s">
        <v>938</v>
      </c>
      <c r="D1179" s="345" t="s">
        <v>1665</v>
      </c>
      <c r="E1179" s="346" t="s">
        <v>851</v>
      </c>
      <c r="F1179" s="347">
        <v>1059601634</v>
      </c>
      <c r="G1179" s="43"/>
    </row>
    <row r="1180" spans="1:7" ht="30" x14ac:dyDescent="0.25">
      <c r="A1180" s="43" t="s">
        <v>980</v>
      </c>
      <c r="B1180" s="43" t="s">
        <v>1666</v>
      </c>
      <c r="C1180" s="43" t="s">
        <v>1287</v>
      </c>
      <c r="D1180" s="43" t="s">
        <v>919</v>
      </c>
      <c r="E1180" s="109" t="s">
        <v>851</v>
      </c>
      <c r="F1180" s="110">
        <v>1002846819</v>
      </c>
      <c r="G1180" s="43"/>
    </row>
    <row r="1181" spans="1:7" ht="30" x14ac:dyDescent="0.25">
      <c r="A1181" s="345" t="s">
        <v>1667</v>
      </c>
      <c r="B1181" s="345" t="s">
        <v>1668</v>
      </c>
      <c r="C1181" s="345" t="s">
        <v>1669</v>
      </c>
      <c r="D1181" s="345"/>
      <c r="E1181" s="346" t="s">
        <v>851</v>
      </c>
      <c r="F1181" s="347">
        <v>1064426895</v>
      </c>
      <c r="G1181" s="43"/>
    </row>
    <row r="1182" spans="1:7" ht="30" x14ac:dyDescent="0.25">
      <c r="A1182" s="43" t="s">
        <v>1210</v>
      </c>
      <c r="B1182" s="43" t="s">
        <v>848</v>
      </c>
      <c r="C1182" s="43" t="s">
        <v>1670</v>
      </c>
      <c r="D1182" s="43" t="s">
        <v>1671</v>
      </c>
      <c r="E1182" s="109" t="s">
        <v>851</v>
      </c>
      <c r="F1182" s="110">
        <v>1059602883</v>
      </c>
      <c r="G1182" s="43"/>
    </row>
    <row r="1183" spans="1:7" ht="30" x14ac:dyDescent="0.25">
      <c r="A1183" s="345" t="s">
        <v>943</v>
      </c>
      <c r="B1183" s="345" t="s">
        <v>848</v>
      </c>
      <c r="C1183" s="345" t="s">
        <v>1673</v>
      </c>
      <c r="D1183" s="345" t="s">
        <v>1674</v>
      </c>
      <c r="E1183" s="346" t="s">
        <v>851</v>
      </c>
      <c r="F1183" s="366" t="s">
        <v>1672</v>
      </c>
      <c r="G1183" s="43"/>
    </row>
    <row r="1184" spans="1:7" ht="30" x14ac:dyDescent="0.25">
      <c r="A1184" s="43" t="s">
        <v>1677</v>
      </c>
      <c r="B1184" s="43" t="s">
        <v>962</v>
      </c>
      <c r="C1184" s="43" t="s">
        <v>1678</v>
      </c>
      <c r="D1184" s="43" t="s">
        <v>1679</v>
      </c>
      <c r="E1184" s="109" t="s">
        <v>1094</v>
      </c>
      <c r="F1184" s="363" t="s">
        <v>1676</v>
      </c>
      <c r="G1184" s="43"/>
    </row>
    <row r="1185" spans="1:7" ht="30" x14ac:dyDescent="0.25">
      <c r="A1185" s="345" t="s">
        <v>1286</v>
      </c>
      <c r="B1185" s="345" t="s">
        <v>943</v>
      </c>
      <c r="C1185" s="345" t="s">
        <v>1681</v>
      </c>
      <c r="D1185" s="345"/>
      <c r="E1185" s="346" t="s">
        <v>851</v>
      </c>
      <c r="F1185" s="362" t="s">
        <v>1680</v>
      </c>
      <c r="G1185" s="43"/>
    </row>
    <row r="1186" spans="1:7" ht="30" x14ac:dyDescent="0.25">
      <c r="A1186" s="43" t="s">
        <v>848</v>
      </c>
      <c r="B1186" s="43" t="s">
        <v>914</v>
      </c>
      <c r="C1186" s="43" t="s">
        <v>1683</v>
      </c>
      <c r="D1186" s="43"/>
      <c r="E1186" s="109" t="s">
        <v>851</v>
      </c>
      <c r="F1186" s="363" t="s">
        <v>1682</v>
      </c>
      <c r="G1186" s="43"/>
    </row>
    <row r="1187" spans="1:7" x14ac:dyDescent="0.25">
      <c r="A1187" s="423" t="s">
        <v>1714</v>
      </c>
      <c r="B1187" s="423"/>
      <c r="C1187" s="423"/>
      <c r="D1187" s="423"/>
      <c r="E1187" s="423"/>
      <c r="F1187" s="423"/>
      <c r="G1187" s="43"/>
    </row>
    <row r="1188" spans="1:7" ht="45" x14ac:dyDescent="0.25">
      <c r="A1188" s="17" t="s">
        <v>94</v>
      </c>
      <c r="B1188" s="17" t="s">
        <v>21</v>
      </c>
      <c r="C1188" s="17" t="s">
        <v>0</v>
      </c>
      <c r="D1188" s="17" t="s">
        <v>1</v>
      </c>
      <c r="E1188" s="17" t="s">
        <v>2</v>
      </c>
      <c r="F1188" s="17" t="s">
        <v>3</v>
      </c>
      <c r="G1188" s="43"/>
    </row>
    <row r="1189" spans="1:7" ht="30" x14ac:dyDescent="0.25">
      <c r="A1189" s="43" t="s">
        <v>914</v>
      </c>
      <c r="B1189" s="43" t="s">
        <v>884</v>
      </c>
      <c r="C1189" s="43" t="s">
        <v>1296</v>
      </c>
      <c r="D1189" s="43" t="s">
        <v>850</v>
      </c>
      <c r="E1189" s="109" t="s">
        <v>851</v>
      </c>
      <c r="F1189" s="110">
        <v>1060186045</v>
      </c>
      <c r="G1189" s="43"/>
    </row>
    <row r="1190" spans="1:7" ht="30" x14ac:dyDescent="0.25">
      <c r="A1190" s="345" t="s">
        <v>1298</v>
      </c>
      <c r="B1190" s="345" t="s">
        <v>914</v>
      </c>
      <c r="C1190" s="345" t="s">
        <v>1299</v>
      </c>
      <c r="D1190" s="345" t="s">
        <v>1300</v>
      </c>
      <c r="E1190" s="346" t="s">
        <v>851</v>
      </c>
      <c r="F1190" s="347" t="s">
        <v>1301</v>
      </c>
      <c r="G1190" s="43"/>
    </row>
    <row r="1191" spans="1:7" ht="30" x14ac:dyDescent="0.25">
      <c r="A1191" s="43" t="s">
        <v>953</v>
      </c>
      <c r="B1191" s="43" t="s">
        <v>1316</v>
      </c>
      <c r="C1191" s="43" t="s">
        <v>1317</v>
      </c>
      <c r="D1191" s="43" t="s">
        <v>1028</v>
      </c>
      <c r="E1191" s="109" t="s">
        <v>851</v>
      </c>
      <c r="F1191" s="110">
        <v>1059594373</v>
      </c>
      <c r="G1191" s="43"/>
    </row>
    <row r="1192" spans="1:7" ht="30" x14ac:dyDescent="0.25">
      <c r="A1192" s="345" t="s">
        <v>914</v>
      </c>
      <c r="B1192" s="345" t="s">
        <v>915</v>
      </c>
      <c r="C1192" s="345" t="s">
        <v>916</v>
      </c>
      <c r="D1192" s="345"/>
      <c r="E1192" s="346" t="s">
        <v>1094</v>
      </c>
      <c r="F1192" s="347">
        <v>1059598169</v>
      </c>
      <c r="G1192" s="43"/>
    </row>
    <row r="1193" spans="1:7" ht="30" x14ac:dyDescent="0.25">
      <c r="A1193" s="43" t="s">
        <v>1360</v>
      </c>
      <c r="B1193" s="43" t="s">
        <v>1361</v>
      </c>
      <c r="C1193" s="43" t="s">
        <v>938</v>
      </c>
      <c r="D1193" s="43" t="s">
        <v>1362</v>
      </c>
      <c r="E1193" s="109" t="s">
        <v>851</v>
      </c>
      <c r="F1193" s="110" t="s">
        <v>1363</v>
      </c>
      <c r="G1193" s="43"/>
    </row>
    <row r="1194" spans="1:7" ht="30" x14ac:dyDescent="0.25">
      <c r="A1194" s="345" t="s">
        <v>857</v>
      </c>
      <c r="B1194" s="345" t="s">
        <v>1365</v>
      </c>
      <c r="C1194" s="345" t="s">
        <v>949</v>
      </c>
      <c r="D1194" s="345" t="s">
        <v>1366</v>
      </c>
      <c r="E1194" s="346" t="s">
        <v>851</v>
      </c>
      <c r="F1194" s="347">
        <v>1002953350</v>
      </c>
      <c r="G1194" s="43"/>
    </row>
    <row r="1195" spans="1:7" ht="30" x14ac:dyDescent="0.25">
      <c r="A1195" s="43" t="s">
        <v>848</v>
      </c>
      <c r="B1195" s="43" t="s">
        <v>943</v>
      </c>
      <c r="C1195" s="43" t="s">
        <v>1423</v>
      </c>
      <c r="D1195" s="43"/>
      <c r="E1195" s="109" t="s">
        <v>851</v>
      </c>
      <c r="F1195" s="110">
        <v>1193097625</v>
      </c>
      <c r="G1195" s="43"/>
    </row>
    <row r="1196" spans="1:7" ht="30" x14ac:dyDescent="0.25">
      <c r="A1196" s="345" t="s">
        <v>1427</v>
      </c>
      <c r="B1196" s="345" t="s">
        <v>1428</v>
      </c>
      <c r="C1196" s="345" t="s">
        <v>1429</v>
      </c>
      <c r="D1196" s="345" t="s">
        <v>1430</v>
      </c>
      <c r="E1196" s="346" t="s">
        <v>851</v>
      </c>
      <c r="F1196" s="347">
        <v>1061528490</v>
      </c>
      <c r="G1196" s="43"/>
    </row>
    <row r="1197" spans="1:7" ht="30" x14ac:dyDescent="0.25">
      <c r="A1197" s="43" t="s">
        <v>1144</v>
      </c>
      <c r="B1197" s="43" t="s">
        <v>884</v>
      </c>
      <c r="C1197" s="43" t="s">
        <v>1432</v>
      </c>
      <c r="D1197" s="43" t="s">
        <v>1433</v>
      </c>
      <c r="E1197" s="109" t="s">
        <v>1094</v>
      </c>
      <c r="F1197" s="110">
        <v>1059596594</v>
      </c>
      <c r="G1197" s="43"/>
    </row>
    <row r="1198" spans="1:7" ht="30" x14ac:dyDescent="0.25">
      <c r="A1198" s="345" t="s">
        <v>873</v>
      </c>
      <c r="B1198" s="345" t="s">
        <v>1435</v>
      </c>
      <c r="C1198" s="345" t="s">
        <v>1436</v>
      </c>
      <c r="D1198" s="345" t="s">
        <v>1437</v>
      </c>
      <c r="E1198" s="346" t="s">
        <v>851</v>
      </c>
      <c r="F1198" s="347">
        <v>1059601742</v>
      </c>
      <c r="G1198" s="43"/>
    </row>
    <row r="1199" spans="1:7" ht="30" x14ac:dyDescent="0.25">
      <c r="A1199" s="43" t="s">
        <v>1439</v>
      </c>
      <c r="B1199" s="43" t="s">
        <v>884</v>
      </c>
      <c r="C1199" s="43" t="s">
        <v>1440</v>
      </c>
      <c r="D1199" s="43" t="s">
        <v>1294</v>
      </c>
      <c r="E1199" s="109" t="s">
        <v>851</v>
      </c>
      <c r="F1199" s="110">
        <v>1002847533</v>
      </c>
      <c r="G1199" s="43"/>
    </row>
    <row r="1200" spans="1:7" ht="30" x14ac:dyDescent="0.25">
      <c r="A1200" s="345" t="s">
        <v>1441</v>
      </c>
      <c r="B1200" s="345"/>
      <c r="C1200" s="345" t="s">
        <v>1284</v>
      </c>
      <c r="D1200" s="345" t="s">
        <v>1442</v>
      </c>
      <c r="E1200" s="346" t="s">
        <v>851</v>
      </c>
      <c r="F1200" s="347">
        <v>1002848635</v>
      </c>
      <c r="G1200" s="43"/>
    </row>
    <row r="1201" spans="1:7" ht="30" x14ac:dyDescent="0.25">
      <c r="A1201" s="43" t="s">
        <v>1443</v>
      </c>
      <c r="B1201" s="43" t="s">
        <v>1444</v>
      </c>
      <c r="C1201" s="43" t="s">
        <v>1445</v>
      </c>
      <c r="D1201" s="43"/>
      <c r="E1201" s="109" t="s">
        <v>851</v>
      </c>
      <c r="F1201" s="110">
        <v>1061757665</v>
      </c>
      <c r="G1201" s="43"/>
    </row>
    <row r="1202" spans="1:7" ht="30" x14ac:dyDescent="0.25">
      <c r="A1202" s="345" t="s">
        <v>1179</v>
      </c>
      <c r="B1202" s="345" t="s">
        <v>1435</v>
      </c>
      <c r="C1202" s="345" t="s">
        <v>1448</v>
      </c>
      <c r="D1202" s="345" t="s">
        <v>1294</v>
      </c>
      <c r="E1202" s="346" t="s">
        <v>851</v>
      </c>
      <c r="F1202" s="347">
        <v>1059594096</v>
      </c>
      <c r="G1202" s="43"/>
    </row>
    <row r="1203" spans="1:7" ht="30" x14ac:dyDescent="0.25">
      <c r="A1203" s="43" t="s">
        <v>883</v>
      </c>
      <c r="B1203" s="43" t="s">
        <v>1290</v>
      </c>
      <c r="C1203" s="43" t="s">
        <v>1476</v>
      </c>
      <c r="D1203" s="43"/>
      <c r="E1203" s="109" t="s">
        <v>851</v>
      </c>
      <c r="F1203" s="110">
        <v>1059604081</v>
      </c>
      <c r="G1203" s="43"/>
    </row>
    <row r="1204" spans="1:7" ht="30" x14ac:dyDescent="0.25">
      <c r="A1204" s="345" t="s">
        <v>884</v>
      </c>
      <c r="B1204" s="345" t="s">
        <v>914</v>
      </c>
      <c r="C1204" s="345" t="s">
        <v>1479</v>
      </c>
      <c r="D1204" s="345" t="s">
        <v>1480</v>
      </c>
      <c r="E1204" s="346" t="s">
        <v>851</v>
      </c>
      <c r="F1204" s="347">
        <v>1002847894</v>
      </c>
      <c r="G1204" s="43"/>
    </row>
    <row r="1205" spans="1:7" ht="30" x14ac:dyDescent="0.25">
      <c r="A1205" s="43" t="s">
        <v>914</v>
      </c>
      <c r="B1205" s="43" t="s">
        <v>1276</v>
      </c>
      <c r="C1205" s="43" t="s">
        <v>938</v>
      </c>
      <c r="D1205" s="43" t="s">
        <v>1484</v>
      </c>
      <c r="E1205" s="109" t="s">
        <v>851</v>
      </c>
      <c r="F1205" s="110">
        <v>1002846249</v>
      </c>
      <c r="G1205" s="43"/>
    </row>
    <row r="1206" spans="1:7" ht="30" x14ac:dyDescent="0.25">
      <c r="A1206" s="345" t="s">
        <v>914</v>
      </c>
      <c r="B1206" s="345" t="s">
        <v>848</v>
      </c>
      <c r="C1206" s="345" t="s">
        <v>1485</v>
      </c>
      <c r="D1206" s="345" t="s">
        <v>1285</v>
      </c>
      <c r="E1206" s="346" t="s">
        <v>851</v>
      </c>
      <c r="F1206" s="347" t="s">
        <v>1486</v>
      </c>
      <c r="G1206" s="43"/>
    </row>
    <row r="1207" spans="1:7" ht="30" x14ac:dyDescent="0.25">
      <c r="A1207" s="43" t="s">
        <v>974</v>
      </c>
      <c r="B1207" s="43" t="s">
        <v>943</v>
      </c>
      <c r="C1207" s="43" t="s">
        <v>1217</v>
      </c>
      <c r="D1207" s="43" t="s">
        <v>1490</v>
      </c>
      <c r="E1207" s="109" t="s">
        <v>851</v>
      </c>
      <c r="F1207" s="110" t="s">
        <v>1491</v>
      </c>
      <c r="G1207" s="43"/>
    </row>
    <row r="1208" spans="1:7" ht="30" x14ac:dyDescent="0.25">
      <c r="A1208" s="345" t="s">
        <v>967</v>
      </c>
      <c r="B1208" s="345" t="s">
        <v>980</v>
      </c>
      <c r="C1208" s="345" t="s">
        <v>1492</v>
      </c>
      <c r="D1208" s="345"/>
      <c r="E1208" s="346" t="s">
        <v>851</v>
      </c>
      <c r="F1208" s="347" t="s">
        <v>1493</v>
      </c>
      <c r="G1208" s="43"/>
    </row>
    <row r="1209" spans="1:7" ht="30" x14ac:dyDescent="0.25">
      <c r="A1209" s="43" t="s">
        <v>884</v>
      </c>
      <c r="B1209" s="43" t="s">
        <v>1378</v>
      </c>
      <c r="C1209" s="43" t="s">
        <v>1494</v>
      </c>
      <c r="D1209" s="43" t="s">
        <v>1495</v>
      </c>
      <c r="E1209" s="109" t="s">
        <v>851</v>
      </c>
      <c r="F1209" s="110" t="s">
        <v>1496</v>
      </c>
      <c r="G1209" s="43"/>
    </row>
    <row r="1210" spans="1:7" ht="30" x14ac:dyDescent="0.25">
      <c r="A1210" s="345" t="s">
        <v>992</v>
      </c>
      <c r="B1210" s="345" t="s">
        <v>1498</v>
      </c>
      <c r="C1210" s="345" t="s">
        <v>938</v>
      </c>
      <c r="D1210" s="345" t="s">
        <v>1499</v>
      </c>
      <c r="E1210" s="346" t="s">
        <v>851</v>
      </c>
      <c r="F1210" s="347" t="s">
        <v>1500</v>
      </c>
      <c r="G1210" s="43"/>
    </row>
    <row r="1211" spans="1:7" ht="30" x14ac:dyDescent="0.25">
      <c r="A1211" s="43" t="s">
        <v>848</v>
      </c>
      <c r="B1211" s="43" t="s">
        <v>953</v>
      </c>
      <c r="C1211" s="43" t="s">
        <v>1501</v>
      </c>
      <c r="D1211" s="43" t="s">
        <v>919</v>
      </c>
      <c r="E1211" s="109" t="s">
        <v>851</v>
      </c>
      <c r="F1211" s="110" t="s">
        <v>1502</v>
      </c>
      <c r="G1211" s="43"/>
    </row>
    <row r="1212" spans="1:7" ht="30" x14ac:dyDescent="0.25">
      <c r="A1212" s="345" t="s">
        <v>992</v>
      </c>
      <c r="B1212" s="345" t="s">
        <v>848</v>
      </c>
      <c r="C1212" s="345" t="s">
        <v>1504</v>
      </c>
      <c r="D1212" s="345" t="s">
        <v>1157</v>
      </c>
      <c r="E1212" s="346" t="s">
        <v>851</v>
      </c>
      <c r="F1212" s="347">
        <v>1002848292</v>
      </c>
      <c r="G1212" s="43"/>
    </row>
    <row r="1213" spans="1:7" ht="30" x14ac:dyDescent="0.25">
      <c r="A1213" s="43" t="s">
        <v>1507</v>
      </c>
      <c r="B1213" s="43" t="s">
        <v>1365</v>
      </c>
      <c r="C1213" s="43" t="s">
        <v>1508</v>
      </c>
      <c r="D1213" s="43"/>
      <c r="E1213" s="109" t="s">
        <v>851</v>
      </c>
      <c r="F1213" s="110">
        <v>1059600322</v>
      </c>
      <c r="G1213" s="43"/>
    </row>
    <row r="1214" spans="1:7" ht="30" x14ac:dyDescent="0.25">
      <c r="A1214" s="345" t="s">
        <v>1513</v>
      </c>
      <c r="B1214" s="345" t="s">
        <v>1514</v>
      </c>
      <c r="C1214" s="345" t="s">
        <v>1515</v>
      </c>
      <c r="D1214" s="345"/>
      <c r="E1214" s="346" t="s">
        <v>851</v>
      </c>
      <c r="F1214" s="347">
        <v>1067461286</v>
      </c>
      <c r="G1214" s="43"/>
    </row>
    <row r="1215" spans="1:7" ht="30" x14ac:dyDescent="0.25">
      <c r="A1215" s="43" t="s">
        <v>1519</v>
      </c>
      <c r="B1215" s="43" t="s">
        <v>848</v>
      </c>
      <c r="C1215" s="43" t="s">
        <v>1520</v>
      </c>
      <c r="D1215" s="43" t="s">
        <v>1521</v>
      </c>
      <c r="E1215" s="109" t="s">
        <v>851</v>
      </c>
      <c r="F1215" s="110">
        <v>1002950269</v>
      </c>
      <c r="G1215" s="43"/>
    </row>
    <row r="1216" spans="1:7" ht="30" x14ac:dyDescent="0.25">
      <c r="A1216" s="345" t="s">
        <v>884</v>
      </c>
      <c r="B1216" s="345" t="s">
        <v>1524</v>
      </c>
      <c r="C1216" s="345" t="s">
        <v>945</v>
      </c>
      <c r="D1216" s="345" t="s">
        <v>919</v>
      </c>
      <c r="E1216" s="346" t="s">
        <v>851</v>
      </c>
      <c r="F1216" s="347">
        <v>1002970266</v>
      </c>
      <c r="G1216" s="43"/>
    </row>
    <row r="1217" spans="1:7" ht="30" x14ac:dyDescent="0.25">
      <c r="A1217" s="43" t="s">
        <v>896</v>
      </c>
      <c r="B1217" s="43" t="s">
        <v>953</v>
      </c>
      <c r="C1217" s="43" t="s">
        <v>1530</v>
      </c>
      <c r="D1217" s="43" t="s">
        <v>1182</v>
      </c>
      <c r="E1217" s="109" t="s">
        <v>851</v>
      </c>
      <c r="F1217" s="110">
        <v>1059594419</v>
      </c>
      <c r="G1217" s="43"/>
    </row>
    <row r="1218" spans="1:7" ht="30" x14ac:dyDescent="0.25">
      <c r="A1218" s="345" t="s">
        <v>1361</v>
      </c>
      <c r="B1218" s="345" t="s">
        <v>992</v>
      </c>
      <c r="C1218" s="345" t="s">
        <v>1531</v>
      </c>
      <c r="D1218" s="345"/>
      <c r="E1218" s="346" t="s">
        <v>851</v>
      </c>
      <c r="F1218" s="347">
        <v>1151452891</v>
      </c>
      <c r="G1218" s="43"/>
    </row>
    <row r="1219" spans="1:7" ht="30" x14ac:dyDescent="0.25">
      <c r="A1219" s="43" t="s">
        <v>914</v>
      </c>
      <c r="B1219" s="43" t="s">
        <v>1470</v>
      </c>
      <c r="C1219" s="43" t="s">
        <v>1167</v>
      </c>
      <c r="D1219" s="43" t="s">
        <v>1043</v>
      </c>
      <c r="E1219" s="109" t="s">
        <v>851</v>
      </c>
      <c r="F1219" s="110">
        <v>1193105051</v>
      </c>
      <c r="G1219" s="43"/>
    </row>
    <row r="1220" spans="1:7" ht="30" x14ac:dyDescent="0.25">
      <c r="A1220" s="345" t="s">
        <v>1286</v>
      </c>
      <c r="B1220" s="345" t="s">
        <v>980</v>
      </c>
      <c r="C1220" s="345" t="s">
        <v>1528</v>
      </c>
      <c r="D1220" s="345" t="s">
        <v>1281</v>
      </c>
      <c r="E1220" s="346" t="s">
        <v>851</v>
      </c>
      <c r="F1220" s="347">
        <v>1059596092</v>
      </c>
      <c r="G1220" s="43"/>
    </row>
    <row r="1221" spans="1:7" ht="30" x14ac:dyDescent="0.25">
      <c r="A1221" s="43" t="s">
        <v>884</v>
      </c>
      <c r="B1221" s="43" t="s">
        <v>1144</v>
      </c>
      <c r="C1221" s="43" t="s">
        <v>1534</v>
      </c>
      <c r="D1221" s="43"/>
      <c r="E1221" s="109" t="s">
        <v>851</v>
      </c>
      <c r="F1221" s="354">
        <v>1002846626</v>
      </c>
      <c r="G1221" s="43"/>
    </row>
    <row r="1222" spans="1:7" ht="30" x14ac:dyDescent="0.25">
      <c r="A1222" s="345" t="s">
        <v>1246</v>
      </c>
      <c r="B1222" s="345" t="s">
        <v>943</v>
      </c>
      <c r="C1222" s="345" t="s">
        <v>1535</v>
      </c>
      <c r="D1222" s="345"/>
      <c r="E1222" s="346" t="s">
        <v>851</v>
      </c>
      <c r="F1222" s="353">
        <v>1002848307</v>
      </c>
      <c r="G1222" s="43"/>
    </row>
    <row r="1223" spans="1:7" ht="30" x14ac:dyDescent="0.25">
      <c r="A1223" s="43" t="s">
        <v>873</v>
      </c>
      <c r="B1223" s="43" t="s">
        <v>1091</v>
      </c>
      <c r="C1223" s="43" t="s">
        <v>1277</v>
      </c>
      <c r="D1223" s="43"/>
      <c r="E1223" s="109" t="s">
        <v>851</v>
      </c>
      <c r="F1223" s="365">
        <v>1059598472</v>
      </c>
      <c r="G1223" s="43"/>
    </row>
    <row r="1224" spans="1:7" ht="30" x14ac:dyDescent="0.25">
      <c r="A1224" s="345" t="s">
        <v>896</v>
      </c>
      <c r="B1224" s="345" t="s">
        <v>1091</v>
      </c>
      <c r="C1224" s="345" t="s">
        <v>1538</v>
      </c>
      <c r="D1224" s="345"/>
      <c r="E1224" s="346" t="s">
        <v>851</v>
      </c>
      <c r="F1224" s="347">
        <v>1002846350</v>
      </c>
      <c r="G1224" s="43"/>
    </row>
    <row r="1225" spans="1:7" ht="30" x14ac:dyDescent="0.25">
      <c r="A1225" s="43" t="s">
        <v>896</v>
      </c>
      <c r="B1225" s="43" t="s">
        <v>953</v>
      </c>
      <c r="C1225" s="43" t="s">
        <v>1217</v>
      </c>
      <c r="D1225" s="43" t="s">
        <v>1471</v>
      </c>
      <c r="E1225" s="109" t="s">
        <v>851</v>
      </c>
      <c r="F1225" s="354">
        <v>1059602285</v>
      </c>
      <c r="G1225" s="43"/>
    </row>
    <row r="1226" spans="1:7" ht="30" x14ac:dyDescent="0.25">
      <c r="A1226" s="345" t="s">
        <v>1540</v>
      </c>
      <c r="B1226" s="345" t="s">
        <v>943</v>
      </c>
      <c r="C1226" s="345" t="s">
        <v>1541</v>
      </c>
      <c r="D1226" s="345" t="s">
        <v>1542</v>
      </c>
      <c r="E1226" s="346" t="s">
        <v>851</v>
      </c>
      <c r="F1226" s="359" t="s">
        <v>1539</v>
      </c>
      <c r="G1226" s="43"/>
    </row>
    <row r="1227" spans="1:7" ht="30" x14ac:dyDescent="0.25">
      <c r="A1227" s="43" t="s">
        <v>1144</v>
      </c>
      <c r="B1227" s="43" t="s">
        <v>996</v>
      </c>
      <c r="C1227" s="43" t="s">
        <v>1192</v>
      </c>
      <c r="D1227" s="43"/>
      <c r="E1227" s="109" t="s">
        <v>851</v>
      </c>
      <c r="F1227" s="354">
        <v>1059604012</v>
      </c>
      <c r="G1227" s="43"/>
    </row>
    <row r="1228" spans="1:7" ht="30" x14ac:dyDescent="0.25">
      <c r="A1228" s="345" t="s">
        <v>896</v>
      </c>
      <c r="B1228" s="345" t="s">
        <v>953</v>
      </c>
      <c r="C1228" s="345" t="s">
        <v>1545</v>
      </c>
      <c r="D1228" s="345"/>
      <c r="E1228" s="346" t="s">
        <v>851</v>
      </c>
      <c r="F1228" s="347">
        <v>25545389</v>
      </c>
      <c r="G1228" s="43"/>
    </row>
    <row r="1229" spans="1:7" ht="30" x14ac:dyDescent="0.25">
      <c r="A1229" s="43" t="s">
        <v>1156</v>
      </c>
      <c r="B1229" s="43" t="s">
        <v>980</v>
      </c>
      <c r="C1229" s="43" t="s">
        <v>1547</v>
      </c>
      <c r="D1229" s="43"/>
      <c r="E1229" s="109" t="s">
        <v>1094</v>
      </c>
      <c r="F1229" s="110">
        <v>1059597328</v>
      </c>
      <c r="G1229" s="43"/>
    </row>
    <row r="1230" spans="1:7" ht="30" x14ac:dyDescent="0.25">
      <c r="A1230" s="345" t="s">
        <v>1549</v>
      </c>
      <c r="B1230" s="345" t="s">
        <v>1298</v>
      </c>
      <c r="C1230" s="345" t="s">
        <v>1550</v>
      </c>
      <c r="D1230" s="345" t="s">
        <v>1551</v>
      </c>
      <c r="E1230" s="346" t="s">
        <v>851</v>
      </c>
      <c r="F1230" s="358" t="s">
        <v>1548</v>
      </c>
      <c r="G1230" s="43"/>
    </row>
    <row r="1231" spans="1:7" x14ac:dyDescent="0.25">
      <c r="A1231" s="43" t="s">
        <v>943</v>
      </c>
      <c r="B1231" s="43" t="s">
        <v>848</v>
      </c>
      <c r="C1231" s="43" t="s">
        <v>1553</v>
      </c>
      <c r="D1231" s="43"/>
      <c r="E1231" s="109"/>
      <c r="F1231" s="110">
        <v>1059594153</v>
      </c>
      <c r="G1231" s="43"/>
    </row>
    <row r="1232" spans="1:7" ht="30" x14ac:dyDescent="0.25">
      <c r="A1232" s="345" t="s">
        <v>943</v>
      </c>
      <c r="B1232" s="345" t="s">
        <v>1144</v>
      </c>
      <c r="C1232" s="345" t="s">
        <v>1504</v>
      </c>
      <c r="D1232" s="345" t="s">
        <v>1281</v>
      </c>
      <c r="E1232" s="346" t="s">
        <v>1094</v>
      </c>
      <c r="F1232" s="347">
        <v>1059599329</v>
      </c>
      <c r="G1232" s="43"/>
    </row>
    <row r="1233" spans="1:7" ht="30" x14ac:dyDescent="0.25">
      <c r="A1233" s="43" t="s">
        <v>953</v>
      </c>
      <c r="B1233" s="43" t="s">
        <v>1249</v>
      </c>
      <c r="C1233" s="43" t="s">
        <v>1556</v>
      </c>
      <c r="D1233" s="43"/>
      <c r="E1233" s="109" t="s">
        <v>1094</v>
      </c>
      <c r="F1233" s="110">
        <v>1059599873</v>
      </c>
      <c r="G1233" s="43"/>
    </row>
    <row r="1234" spans="1:7" ht="30" x14ac:dyDescent="0.25">
      <c r="A1234" s="345" t="s">
        <v>996</v>
      </c>
      <c r="B1234" s="345" t="s">
        <v>1559</v>
      </c>
      <c r="C1234" s="345" t="s">
        <v>1560</v>
      </c>
      <c r="D1234" s="345"/>
      <c r="E1234" s="346" t="s">
        <v>851</v>
      </c>
      <c r="F1234" s="347">
        <v>25552089</v>
      </c>
      <c r="G1234" s="43"/>
    </row>
    <row r="1235" spans="1:7" ht="30" x14ac:dyDescent="0.25">
      <c r="A1235" s="43" t="s">
        <v>1361</v>
      </c>
      <c r="B1235" s="43" t="s">
        <v>1470</v>
      </c>
      <c r="C1235" s="43" t="s">
        <v>1553</v>
      </c>
      <c r="D1235" s="43"/>
      <c r="E1235" s="109" t="s">
        <v>851</v>
      </c>
      <c r="F1235" s="110">
        <v>1059595865</v>
      </c>
      <c r="G1235" s="43"/>
    </row>
    <row r="1236" spans="1:7" ht="30" x14ac:dyDescent="0.25">
      <c r="A1236" s="345" t="s">
        <v>953</v>
      </c>
      <c r="B1236" s="345" t="s">
        <v>1378</v>
      </c>
      <c r="C1236" s="345" t="s">
        <v>1617</v>
      </c>
      <c r="D1236" s="345"/>
      <c r="E1236" s="346" t="s">
        <v>851</v>
      </c>
      <c r="F1236" s="347">
        <v>1059606238</v>
      </c>
      <c r="G1236" s="43"/>
    </row>
    <row r="1237" spans="1:7" ht="30" x14ac:dyDescent="0.25">
      <c r="A1237" s="43" t="s">
        <v>874</v>
      </c>
      <c r="B1237" s="43" t="s">
        <v>873</v>
      </c>
      <c r="C1237" s="43" t="s">
        <v>1635</v>
      </c>
      <c r="D1237" s="43" t="s">
        <v>1294</v>
      </c>
      <c r="E1237" s="109" t="s">
        <v>1094</v>
      </c>
      <c r="F1237" s="110">
        <v>1059597986</v>
      </c>
      <c r="G1237" s="43"/>
    </row>
    <row r="1238" spans="1:7" ht="30" x14ac:dyDescent="0.25">
      <c r="A1238" s="345" t="s">
        <v>873</v>
      </c>
      <c r="B1238" s="345" t="s">
        <v>962</v>
      </c>
      <c r="C1238" s="345" t="s">
        <v>1501</v>
      </c>
      <c r="D1238" s="345" t="s">
        <v>1340</v>
      </c>
      <c r="E1238" s="346" t="s">
        <v>851</v>
      </c>
      <c r="F1238" s="347">
        <v>1059594976</v>
      </c>
      <c r="G1238" s="43"/>
    </row>
    <row r="1239" spans="1:7" x14ac:dyDescent="0.25">
      <c r="A1239" s="43" t="s">
        <v>896</v>
      </c>
      <c r="B1239" s="43" t="s">
        <v>953</v>
      </c>
      <c r="C1239" s="43" t="s">
        <v>1634</v>
      </c>
      <c r="D1239" s="43"/>
      <c r="E1239" s="109"/>
      <c r="F1239" s="110">
        <v>1002848733</v>
      </c>
      <c r="G1239" s="43"/>
    </row>
    <row r="1240" spans="1:7" ht="30" x14ac:dyDescent="0.25">
      <c r="A1240" s="345" t="s">
        <v>896</v>
      </c>
      <c r="B1240" s="345" t="s">
        <v>915</v>
      </c>
      <c r="C1240" s="345" t="s">
        <v>1585</v>
      </c>
      <c r="D1240" s="345"/>
      <c r="E1240" s="346" t="s">
        <v>851</v>
      </c>
      <c r="F1240" s="347">
        <v>1059595460</v>
      </c>
      <c r="G1240" s="43"/>
    </row>
    <row r="1241" spans="1:7" ht="30" x14ac:dyDescent="0.25">
      <c r="A1241" s="43" t="s">
        <v>873</v>
      </c>
      <c r="B1241" s="43" t="s">
        <v>874</v>
      </c>
      <c r="C1241" s="43" t="s">
        <v>1215</v>
      </c>
      <c r="D1241" s="43"/>
      <c r="E1241" s="109" t="s">
        <v>851</v>
      </c>
      <c r="F1241" s="110">
        <v>1002849181</v>
      </c>
      <c r="G1241" s="43"/>
    </row>
    <row r="1242" spans="1:7" ht="30" x14ac:dyDescent="0.25">
      <c r="A1242" s="345" t="s">
        <v>953</v>
      </c>
      <c r="B1242" s="345" t="s">
        <v>1286</v>
      </c>
      <c r="C1242" s="345" t="s">
        <v>1463</v>
      </c>
      <c r="D1242" s="345" t="s">
        <v>1579</v>
      </c>
      <c r="E1242" s="346" t="s">
        <v>851</v>
      </c>
      <c r="F1242" s="359" t="s">
        <v>1578</v>
      </c>
      <c r="G1242" s="43"/>
    </row>
    <row r="1243" spans="1:7" ht="30" x14ac:dyDescent="0.25">
      <c r="A1243" s="43" t="s">
        <v>1580</v>
      </c>
      <c r="B1243" s="43" t="s">
        <v>914</v>
      </c>
      <c r="C1243" s="43" t="s">
        <v>1581</v>
      </c>
      <c r="D1243" s="43" t="s">
        <v>1464</v>
      </c>
      <c r="E1243" s="109" t="s">
        <v>851</v>
      </c>
      <c r="F1243" s="356">
        <v>1002846447</v>
      </c>
      <c r="G1243" s="43"/>
    </row>
    <row r="1244" spans="1:7" ht="30" x14ac:dyDescent="0.25">
      <c r="A1244" s="345" t="s">
        <v>1583</v>
      </c>
      <c r="B1244" s="345" t="s">
        <v>873</v>
      </c>
      <c r="C1244" s="345" t="s">
        <v>1584</v>
      </c>
      <c r="D1244" s="345"/>
      <c r="E1244" s="346" t="s">
        <v>851</v>
      </c>
      <c r="F1244" s="359" t="s">
        <v>1582</v>
      </c>
      <c r="G1244" s="43"/>
    </row>
    <row r="1245" spans="1:7" ht="30" x14ac:dyDescent="0.25">
      <c r="A1245" s="43" t="s">
        <v>1322</v>
      </c>
      <c r="B1245" s="43" t="s">
        <v>1378</v>
      </c>
      <c r="C1245" s="43" t="s">
        <v>1587</v>
      </c>
      <c r="D1245" s="43"/>
      <c r="E1245" s="109" t="s">
        <v>851</v>
      </c>
      <c r="F1245" s="356" t="s">
        <v>1586</v>
      </c>
      <c r="G1245" s="43"/>
    </row>
    <row r="1246" spans="1:7" ht="30" x14ac:dyDescent="0.25">
      <c r="A1246" s="345" t="s">
        <v>1590</v>
      </c>
      <c r="B1246" s="345" t="s">
        <v>874</v>
      </c>
      <c r="C1246" s="345" t="s">
        <v>1591</v>
      </c>
      <c r="D1246" s="345"/>
      <c r="E1246" s="346" t="s">
        <v>851</v>
      </c>
      <c r="F1246" s="359" t="s">
        <v>1589</v>
      </c>
      <c r="G1246" s="43"/>
    </row>
    <row r="1247" spans="1:7" ht="30" x14ac:dyDescent="0.25">
      <c r="A1247" s="43" t="s">
        <v>1286</v>
      </c>
      <c r="B1247" s="43" t="s">
        <v>1594</v>
      </c>
      <c r="C1247" s="43" t="s">
        <v>1420</v>
      </c>
      <c r="D1247" s="43"/>
      <c r="E1247" s="109" t="s">
        <v>1094</v>
      </c>
      <c r="F1247" s="356" t="s">
        <v>1593</v>
      </c>
      <c r="G1247" s="43"/>
    </row>
    <row r="1248" spans="1:7" ht="30" x14ac:dyDescent="0.25">
      <c r="A1248" s="345" t="s">
        <v>914</v>
      </c>
      <c r="B1248" s="345" t="s">
        <v>1601</v>
      </c>
      <c r="C1248" s="345" t="s">
        <v>1602</v>
      </c>
      <c r="D1248" s="345"/>
      <c r="E1248" s="346" t="s">
        <v>851</v>
      </c>
      <c r="F1248" s="347">
        <v>1003370775</v>
      </c>
      <c r="G1248" s="43"/>
    </row>
    <row r="1249" spans="1:7" ht="30" x14ac:dyDescent="0.25">
      <c r="A1249" s="43" t="s">
        <v>896</v>
      </c>
      <c r="B1249" s="43" t="s">
        <v>992</v>
      </c>
      <c r="C1249" s="43" t="s">
        <v>1530</v>
      </c>
      <c r="D1249" s="43" t="s">
        <v>1357</v>
      </c>
      <c r="E1249" s="109" t="s">
        <v>851</v>
      </c>
      <c r="F1249" s="110">
        <v>1002847645</v>
      </c>
      <c r="G1249" s="43"/>
    </row>
    <row r="1250" spans="1:7" ht="30" x14ac:dyDescent="0.25">
      <c r="A1250" s="345" t="s">
        <v>914</v>
      </c>
      <c r="B1250" s="345" t="s">
        <v>943</v>
      </c>
      <c r="C1250" s="345" t="s">
        <v>1198</v>
      </c>
      <c r="D1250" s="345"/>
      <c r="E1250" s="346" t="s">
        <v>851</v>
      </c>
      <c r="F1250" s="347">
        <v>1059605317</v>
      </c>
      <c r="G1250" s="43"/>
    </row>
    <row r="1251" spans="1:7" ht="30" x14ac:dyDescent="0.25">
      <c r="A1251" s="43" t="s">
        <v>1439</v>
      </c>
      <c r="B1251" s="43" t="s">
        <v>848</v>
      </c>
      <c r="C1251" s="43" t="s">
        <v>1437</v>
      </c>
      <c r="D1251" s="43"/>
      <c r="E1251" s="109" t="s">
        <v>851</v>
      </c>
      <c r="F1251" s="110">
        <v>1059595628</v>
      </c>
      <c r="G1251" s="43"/>
    </row>
    <row r="1252" spans="1:7" ht="30" x14ac:dyDescent="0.25">
      <c r="A1252" s="345" t="s">
        <v>873</v>
      </c>
      <c r="B1252" s="345" t="s">
        <v>874</v>
      </c>
      <c r="C1252" s="345" t="s">
        <v>1612</v>
      </c>
      <c r="D1252" s="345" t="s">
        <v>1613</v>
      </c>
      <c r="E1252" s="346" t="s">
        <v>851</v>
      </c>
      <c r="F1252" s="347">
        <v>1002849103</v>
      </c>
      <c r="G1252" s="43"/>
    </row>
    <row r="1253" spans="1:7" ht="30" x14ac:dyDescent="0.25">
      <c r="A1253" s="43" t="s">
        <v>914</v>
      </c>
      <c r="B1253" s="43" t="s">
        <v>914</v>
      </c>
      <c r="C1253" s="43" t="s">
        <v>1614</v>
      </c>
      <c r="D1253" s="43" t="s">
        <v>1277</v>
      </c>
      <c r="E1253" s="109" t="s">
        <v>851</v>
      </c>
      <c r="F1253" s="110">
        <v>1002847076</v>
      </c>
      <c r="G1253" s="43"/>
    </row>
    <row r="1254" spans="1:7" ht="30" x14ac:dyDescent="0.25">
      <c r="A1254" s="345" t="s">
        <v>1621</v>
      </c>
      <c r="B1254" s="345" t="s">
        <v>1622</v>
      </c>
      <c r="C1254" s="345" t="s">
        <v>1619</v>
      </c>
      <c r="D1254" s="345" t="s">
        <v>1620</v>
      </c>
      <c r="E1254" s="346" t="s">
        <v>851</v>
      </c>
      <c r="F1254" s="347">
        <v>1104776221</v>
      </c>
      <c r="G1254" s="43"/>
    </row>
    <row r="1255" spans="1:7" ht="30" x14ac:dyDescent="0.25">
      <c r="A1255" s="43" t="s">
        <v>980</v>
      </c>
      <c r="B1255" s="43" t="s">
        <v>914</v>
      </c>
      <c r="C1255" s="43" t="s">
        <v>1623</v>
      </c>
      <c r="D1255" s="43"/>
      <c r="E1255" s="109" t="s">
        <v>851</v>
      </c>
      <c r="F1255" s="110">
        <v>1059596737</v>
      </c>
      <c r="G1255" s="43"/>
    </row>
    <row r="1256" spans="1:7" ht="30" x14ac:dyDescent="0.25">
      <c r="A1256" s="345" t="s">
        <v>884</v>
      </c>
      <c r="B1256" s="345" t="s">
        <v>1286</v>
      </c>
      <c r="C1256" s="345" t="s">
        <v>1452</v>
      </c>
      <c r="D1256" s="345"/>
      <c r="E1256" s="346" t="s">
        <v>851</v>
      </c>
      <c r="F1256" s="347">
        <v>25546688</v>
      </c>
      <c r="G1256" s="43"/>
    </row>
    <row r="1257" spans="1:7" ht="30" x14ac:dyDescent="0.25">
      <c r="A1257" s="43" t="s">
        <v>1629</v>
      </c>
      <c r="B1257" s="43" t="s">
        <v>1249</v>
      </c>
      <c r="C1257" s="43" t="s">
        <v>1630</v>
      </c>
      <c r="D1257" s="43"/>
      <c r="E1257" s="109" t="s">
        <v>851</v>
      </c>
      <c r="F1257" s="43">
        <v>1059601748</v>
      </c>
      <c r="G1257" s="43"/>
    </row>
    <row r="1258" spans="1:7" ht="30" x14ac:dyDescent="0.25">
      <c r="A1258" s="345" t="s">
        <v>896</v>
      </c>
      <c r="B1258" s="345" t="s">
        <v>1632</v>
      </c>
      <c r="C1258" s="345" t="s">
        <v>1633</v>
      </c>
      <c r="D1258" s="345"/>
      <c r="E1258" s="346" t="s">
        <v>851</v>
      </c>
      <c r="F1258" s="360" t="s">
        <v>1631</v>
      </c>
      <c r="G1258" s="43"/>
    </row>
    <row r="1259" spans="1:7" ht="30" x14ac:dyDescent="0.25">
      <c r="A1259" s="43" t="s">
        <v>1637</v>
      </c>
      <c r="B1259" s="43" t="s">
        <v>1638</v>
      </c>
      <c r="C1259" s="43" t="s">
        <v>1028</v>
      </c>
      <c r="D1259" s="43"/>
      <c r="E1259" s="109" t="s">
        <v>851</v>
      </c>
      <c r="F1259" s="357">
        <v>1060986729</v>
      </c>
      <c r="G1259" s="43"/>
    </row>
    <row r="1260" spans="1:7" ht="30" x14ac:dyDescent="0.25">
      <c r="A1260" s="345" t="s">
        <v>1249</v>
      </c>
      <c r="B1260" s="345" t="s">
        <v>914</v>
      </c>
      <c r="C1260" s="345" t="s">
        <v>1659</v>
      </c>
      <c r="D1260" s="345"/>
      <c r="E1260" s="346" t="s">
        <v>851</v>
      </c>
      <c r="F1260" s="347">
        <v>1059597497</v>
      </c>
      <c r="G1260" s="43"/>
    </row>
    <row r="1261" spans="1:7" ht="30" x14ac:dyDescent="0.25">
      <c r="A1261" s="43" t="s">
        <v>1439</v>
      </c>
      <c r="B1261" s="43" t="s">
        <v>848</v>
      </c>
      <c r="C1261" s="43" t="s">
        <v>1437</v>
      </c>
      <c r="D1261" s="43"/>
      <c r="E1261" s="109" t="s">
        <v>851</v>
      </c>
      <c r="F1261" s="110">
        <v>1059595628</v>
      </c>
      <c r="G1261" s="43"/>
    </row>
    <row r="1262" spans="1:7" ht="30" x14ac:dyDescent="0.25">
      <c r="A1262" s="345" t="s">
        <v>953</v>
      </c>
      <c r="B1262" s="345" t="s">
        <v>1660</v>
      </c>
      <c r="C1262" s="345" t="s">
        <v>1217</v>
      </c>
      <c r="D1262" s="345" t="s">
        <v>1661</v>
      </c>
      <c r="E1262" s="346" t="s">
        <v>851</v>
      </c>
      <c r="F1262" s="347">
        <v>1002848134</v>
      </c>
      <c r="G1262" s="43"/>
    </row>
    <row r="1263" spans="1:7" ht="30" x14ac:dyDescent="0.25">
      <c r="A1263" s="43" t="s">
        <v>848</v>
      </c>
      <c r="B1263" s="43" t="s">
        <v>1034</v>
      </c>
      <c r="C1263" s="43" t="s">
        <v>1612</v>
      </c>
      <c r="D1263" s="43" t="s">
        <v>1662</v>
      </c>
      <c r="E1263" s="109" t="s">
        <v>851</v>
      </c>
      <c r="F1263" s="110">
        <v>1059601726</v>
      </c>
      <c r="G1263" s="43"/>
    </row>
    <row r="1264" spans="1:7" ht="30" x14ac:dyDescent="0.25">
      <c r="A1264" s="345" t="s">
        <v>1663</v>
      </c>
      <c r="B1264" s="345" t="s">
        <v>1664</v>
      </c>
      <c r="C1264" s="345" t="s">
        <v>938</v>
      </c>
      <c r="D1264" s="345" t="s">
        <v>1665</v>
      </c>
      <c r="E1264" s="346" t="s">
        <v>851</v>
      </c>
      <c r="F1264" s="347">
        <v>1059601634</v>
      </c>
      <c r="G1264" s="43"/>
    </row>
    <row r="1265" spans="1:7" ht="30" x14ac:dyDescent="0.25">
      <c r="A1265" s="43" t="s">
        <v>980</v>
      </c>
      <c r="B1265" s="43" t="s">
        <v>1666</v>
      </c>
      <c r="C1265" s="43" t="s">
        <v>1287</v>
      </c>
      <c r="D1265" s="43" t="s">
        <v>919</v>
      </c>
      <c r="E1265" s="109" t="s">
        <v>851</v>
      </c>
      <c r="F1265" s="110">
        <v>1002846819</v>
      </c>
      <c r="G1265" s="43"/>
    </row>
    <row r="1266" spans="1:7" ht="30" x14ac:dyDescent="0.25">
      <c r="A1266" s="345" t="s">
        <v>1667</v>
      </c>
      <c r="B1266" s="345" t="s">
        <v>1668</v>
      </c>
      <c r="C1266" s="345" t="s">
        <v>1669</v>
      </c>
      <c r="D1266" s="345"/>
      <c r="E1266" s="346" t="s">
        <v>851</v>
      </c>
      <c r="F1266" s="347">
        <v>1064426895</v>
      </c>
      <c r="G1266" s="43"/>
    </row>
    <row r="1267" spans="1:7" ht="30" x14ac:dyDescent="0.25">
      <c r="A1267" s="43" t="s">
        <v>1210</v>
      </c>
      <c r="B1267" s="43" t="s">
        <v>848</v>
      </c>
      <c r="C1267" s="43" t="s">
        <v>1670</v>
      </c>
      <c r="D1267" s="43" t="s">
        <v>1671</v>
      </c>
      <c r="E1267" s="109" t="s">
        <v>851</v>
      </c>
      <c r="F1267" s="110">
        <v>1059602883</v>
      </c>
      <c r="G1267" s="43"/>
    </row>
    <row r="1268" spans="1:7" ht="30" x14ac:dyDescent="0.25">
      <c r="A1268" s="345" t="s">
        <v>943</v>
      </c>
      <c r="B1268" s="345" t="s">
        <v>848</v>
      </c>
      <c r="C1268" s="345" t="s">
        <v>1673</v>
      </c>
      <c r="D1268" s="345" t="s">
        <v>1674</v>
      </c>
      <c r="E1268" s="346" t="s">
        <v>851</v>
      </c>
      <c r="F1268" s="366" t="s">
        <v>1672</v>
      </c>
      <c r="G1268" s="43"/>
    </row>
    <row r="1269" spans="1:7" ht="30" x14ac:dyDescent="0.25">
      <c r="A1269" s="43" t="s">
        <v>1677</v>
      </c>
      <c r="B1269" s="43" t="s">
        <v>962</v>
      </c>
      <c r="C1269" s="43" t="s">
        <v>1678</v>
      </c>
      <c r="D1269" s="43" t="s">
        <v>1679</v>
      </c>
      <c r="E1269" s="109" t="s">
        <v>1094</v>
      </c>
      <c r="F1269" s="363" t="s">
        <v>1676</v>
      </c>
      <c r="G1269" s="43"/>
    </row>
    <row r="1270" spans="1:7" ht="30" x14ac:dyDescent="0.25">
      <c r="A1270" s="345" t="s">
        <v>1286</v>
      </c>
      <c r="B1270" s="345" t="s">
        <v>943</v>
      </c>
      <c r="C1270" s="345" t="s">
        <v>1681</v>
      </c>
      <c r="D1270" s="345"/>
      <c r="E1270" s="346" t="s">
        <v>851</v>
      </c>
      <c r="F1270" s="362" t="s">
        <v>1680</v>
      </c>
      <c r="G1270" s="43"/>
    </row>
    <row r="1271" spans="1:7" ht="30" x14ac:dyDescent="0.25">
      <c r="A1271" s="43" t="s">
        <v>848</v>
      </c>
      <c r="B1271" s="43" t="s">
        <v>914</v>
      </c>
      <c r="C1271" s="43" t="s">
        <v>1683</v>
      </c>
      <c r="D1271" s="43"/>
      <c r="E1271" s="109" t="s">
        <v>851</v>
      </c>
      <c r="F1271" s="363" t="s">
        <v>1682</v>
      </c>
      <c r="G1271" s="43"/>
    </row>
    <row r="1272" spans="1:7" x14ac:dyDescent="0.25">
      <c r="A1272" s="423" t="s">
        <v>1715</v>
      </c>
      <c r="B1272" s="423"/>
      <c r="C1272" s="423"/>
      <c r="D1272" s="423"/>
      <c r="E1272" s="423"/>
      <c r="F1272" s="423"/>
      <c r="G1272" s="43"/>
    </row>
    <row r="1273" spans="1:7" ht="45" x14ac:dyDescent="0.25">
      <c r="A1273" s="17" t="s">
        <v>94</v>
      </c>
      <c r="B1273" s="17" t="s">
        <v>21</v>
      </c>
      <c r="C1273" s="17" t="s">
        <v>0</v>
      </c>
      <c r="D1273" s="17" t="s">
        <v>1</v>
      </c>
      <c r="E1273" s="17" t="s">
        <v>2</v>
      </c>
      <c r="F1273" s="17" t="s">
        <v>3</v>
      </c>
      <c r="G1273" s="43"/>
    </row>
    <row r="1274" spans="1:7" ht="30" x14ac:dyDescent="0.25">
      <c r="A1274" s="345" t="s">
        <v>937</v>
      </c>
      <c r="B1274" s="345" t="s">
        <v>909</v>
      </c>
      <c r="C1274" s="345" t="s">
        <v>938</v>
      </c>
      <c r="D1274" s="345" t="s">
        <v>939</v>
      </c>
      <c r="E1274" s="346" t="s">
        <v>851</v>
      </c>
      <c r="F1274" s="347">
        <v>1002846328</v>
      </c>
      <c r="G1274" s="43"/>
    </row>
    <row r="1275" spans="1:7" ht="30" x14ac:dyDescent="0.25">
      <c r="A1275" s="43" t="s">
        <v>947</v>
      </c>
      <c r="B1275" s="43" t="s">
        <v>948</v>
      </c>
      <c r="C1275" s="43" t="s">
        <v>949</v>
      </c>
      <c r="D1275" s="43" t="s">
        <v>950</v>
      </c>
      <c r="E1275" s="109" t="s">
        <v>851</v>
      </c>
      <c r="F1275" s="110">
        <v>1002971041</v>
      </c>
      <c r="G1275" s="43"/>
    </row>
    <row r="1276" spans="1:7" ht="30" x14ac:dyDescent="0.25">
      <c r="A1276" s="345" t="s">
        <v>896</v>
      </c>
      <c r="B1276" s="345" t="s">
        <v>953</v>
      </c>
      <c r="C1276" s="345" t="s">
        <v>954</v>
      </c>
      <c r="D1276" s="345"/>
      <c r="E1276" s="346" t="s">
        <v>851</v>
      </c>
      <c r="F1276" s="347">
        <v>1059604759</v>
      </c>
      <c r="G1276" s="43"/>
    </row>
    <row r="1277" spans="1:7" ht="30" x14ac:dyDescent="0.25">
      <c r="A1277" s="43" t="s">
        <v>943</v>
      </c>
      <c r="B1277" s="43" t="s">
        <v>944</v>
      </c>
      <c r="C1277" s="43" t="s">
        <v>957</v>
      </c>
      <c r="D1277" s="43" t="s">
        <v>958</v>
      </c>
      <c r="E1277" s="109" t="s">
        <v>851</v>
      </c>
      <c r="F1277" s="110">
        <v>1002848208</v>
      </c>
      <c r="G1277" s="43"/>
    </row>
    <row r="1278" spans="1:7" ht="30" x14ac:dyDescent="0.25">
      <c r="A1278" s="345" t="s">
        <v>1014</v>
      </c>
      <c r="B1278" s="345" t="s">
        <v>1015</v>
      </c>
      <c r="C1278" s="345" t="s">
        <v>1016</v>
      </c>
      <c r="D1278" s="345"/>
      <c r="E1278" s="346" t="s">
        <v>851</v>
      </c>
      <c r="F1278" s="347">
        <v>34322648</v>
      </c>
      <c r="G1278" s="43"/>
    </row>
    <row r="1279" spans="1:7" ht="30" x14ac:dyDescent="0.25">
      <c r="A1279" s="43" t="s">
        <v>1077</v>
      </c>
      <c r="B1279" s="43" t="s">
        <v>1078</v>
      </c>
      <c r="C1279" s="43" t="s">
        <v>1079</v>
      </c>
      <c r="D1279" s="43" t="s">
        <v>1080</v>
      </c>
      <c r="E1279" s="109" t="s">
        <v>851</v>
      </c>
      <c r="F1279" s="110">
        <v>1007459317</v>
      </c>
      <c r="G1279" s="43"/>
    </row>
    <row r="1280" spans="1:7" ht="30" x14ac:dyDescent="0.25">
      <c r="A1280" s="345" t="s">
        <v>1109</v>
      </c>
      <c r="B1280" s="345" t="s">
        <v>1110</v>
      </c>
      <c r="C1280" s="345" t="s">
        <v>1111</v>
      </c>
      <c r="D1280" s="345" t="s">
        <v>1112</v>
      </c>
      <c r="E1280" s="346" t="s">
        <v>851</v>
      </c>
      <c r="F1280" s="347">
        <v>1002847924</v>
      </c>
      <c r="G1280" s="43"/>
    </row>
    <row r="1281" spans="1:7" ht="30" x14ac:dyDescent="0.25">
      <c r="A1281" s="43" t="s">
        <v>1115</v>
      </c>
      <c r="B1281" s="43" t="s">
        <v>1116</v>
      </c>
      <c r="C1281" s="43" t="s">
        <v>1117</v>
      </c>
      <c r="D1281" s="43" t="s">
        <v>1118</v>
      </c>
      <c r="E1281" s="109" t="s">
        <v>851</v>
      </c>
      <c r="F1281" s="110">
        <v>1059597252</v>
      </c>
      <c r="G1281" s="43"/>
    </row>
    <row r="1282" spans="1:7" ht="30" x14ac:dyDescent="0.25">
      <c r="A1282" s="301" t="s">
        <v>1160</v>
      </c>
      <c r="B1282" s="301" t="s">
        <v>1161</v>
      </c>
      <c r="C1282" s="301" t="s">
        <v>1162</v>
      </c>
      <c r="D1282" s="301"/>
      <c r="E1282" s="300" t="s">
        <v>851</v>
      </c>
      <c r="F1282" s="303">
        <v>1067468278</v>
      </c>
      <c r="G1282" s="43"/>
    </row>
    <row r="1283" spans="1:7" ht="30" x14ac:dyDescent="0.25">
      <c r="A1283" s="301" t="s">
        <v>1126</v>
      </c>
      <c r="B1283" s="301" t="s">
        <v>874</v>
      </c>
      <c r="C1283" s="301" t="s">
        <v>1178</v>
      </c>
      <c r="D1283" s="301"/>
      <c r="E1283" s="300" t="s">
        <v>851</v>
      </c>
      <c r="F1283" s="303">
        <v>1002848392</v>
      </c>
      <c r="G1283" s="43"/>
    </row>
    <row r="1284" spans="1:7" ht="30" x14ac:dyDescent="0.25">
      <c r="A1284" s="345" t="s">
        <v>992</v>
      </c>
      <c r="B1284" s="345" t="s">
        <v>1213</v>
      </c>
      <c r="C1284" s="345" t="s">
        <v>1214</v>
      </c>
      <c r="D1284" s="345"/>
      <c r="E1284" s="346" t="s">
        <v>1094</v>
      </c>
      <c r="F1284" s="347">
        <v>1059596128</v>
      </c>
      <c r="G1284" s="43"/>
    </row>
    <row r="1285" spans="1:7" ht="30" x14ac:dyDescent="0.25">
      <c r="A1285" s="43" t="s">
        <v>909</v>
      </c>
      <c r="B1285" s="43" t="s">
        <v>1235</v>
      </c>
      <c r="C1285" s="43" t="s">
        <v>981</v>
      </c>
      <c r="D1285" s="43" t="s">
        <v>1129</v>
      </c>
      <c r="E1285" s="109" t="s">
        <v>851</v>
      </c>
      <c r="F1285" s="110">
        <v>1002847053</v>
      </c>
      <c r="G1285" s="43"/>
    </row>
    <row r="1286" spans="1:7" ht="30" x14ac:dyDescent="0.25">
      <c r="A1286" s="345" t="s">
        <v>1255</v>
      </c>
      <c r="B1286" s="345" t="s">
        <v>1256</v>
      </c>
      <c r="C1286" s="345" t="s">
        <v>1257</v>
      </c>
      <c r="D1286" s="345" t="s">
        <v>1258</v>
      </c>
      <c r="E1286" s="346" t="s">
        <v>851</v>
      </c>
      <c r="F1286" s="347">
        <v>1061690037</v>
      </c>
      <c r="G1286" s="43"/>
    </row>
    <row r="1287" spans="1:7" ht="30" x14ac:dyDescent="0.25">
      <c r="A1287" s="43" t="s">
        <v>1268</v>
      </c>
      <c r="B1287" s="43" t="s">
        <v>1135</v>
      </c>
      <c r="C1287" s="43" t="s">
        <v>1269</v>
      </c>
      <c r="D1287" s="43"/>
      <c r="E1287" s="109" t="s">
        <v>851</v>
      </c>
      <c r="F1287" s="110">
        <v>1059597793</v>
      </c>
      <c r="G1287" s="43"/>
    </row>
    <row r="1288" spans="1:7" ht="30" x14ac:dyDescent="0.25">
      <c r="A1288" s="345" t="s">
        <v>873</v>
      </c>
      <c r="B1288" s="345" t="s">
        <v>874</v>
      </c>
      <c r="C1288" s="345" t="s">
        <v>1280</v>
      </c>
      <c r="D1288" s="345" t="s">
        <v>1281</v>
      </c>
      <c r="E1288" s="346" t="s">
        <v>1094</v>
      </c>
      <c r="F1288" s="347">
        <v>1059599177</v>
      </c>
      <c r="G1288" s="43"/>
    </row>
    <row r="1289" spans="1:7" ht="30" x14ac:dyDescent="0.25">
      <c r="A1289" s="301" t="s">
        <v>1147</v>
      </c>
      <c r="B1289" s="301" t="s">
        <v>1286</v>
      </c>
      <c r="C1289" s="301" t="s">
        <v>1287</v>
      </c>
      <c r="D1289" s="301" t="s">
        <v>1043</v>
      </c>
      <c r="E1289" s="300" t="s">
        <v>851</v>
      </c>
      <c r="F1289" s="303">
        <v>1059597815</v>
      </c>
      <c r="G1289" s="43"/>
    </row>
    <row r="1290" spans="1:7" ht="30" x14ac:dyDescent="0.25">
      <c r="A1290" s="345" t="s">
        <v>914</v>
      </c>
      <c r="B1290" s="345" t="s">
        <v>943</v>
      </c>
      <c r="C1290" s="345" t="s">
        <v>1289</v>
      </c>
      <c r="D1290" s="345"/>
      <c r="E1290" s="346" t="s">
        <v>851</v>
      </c>
      <c r="F1290" s="347">
        <v>1059596690</v>
      </c>
      <c r="G1290" s="43"/>
    </row>
    <row r="1291" spans="1:7" ht="30" x14ac:dyDescent="0.25">
      <c r="A1291" s="43" t="s">
        <v>1290</v>
      </c>
      <c r="B1291" s="43" t="s">
        <v>996</v>
      </c>
      <c r="C1291" s="43" t="s">
        <v>1291</v>
      </c>
      <c r="D1291" s="43"/>
      <c r="E1291" s="109" t="s">
        <v>1094</v>
      </c>
      <c r="F1291" s="110">
        <v>1059597222</v>
      </c>
      <c r="G1291" s="43"/>
    </row>
    <row r="1292" spans="1:7" ht="30" x14ac:dyDescent="0.25">
      <c r="A1292" s="345" t="s">
        <v>1144</v>
      </c>
      <c r="B1292" s="345" t="s">
        <v>914</v>
      </c>
      <c r="C1292" s="345" t="s">
        <v>1303</v>
      </c>
      <c r="D1292" s="345"/>
      <c r="E1292" s="346" t="s">
        <v>851</v>
      </c>
      <c r="F1292" s="347">
        <v>1059594726</v>
      </c>
      <c r="G1292" s="43"/>
    </row>
    <row r="1293" spans="1:7" ht="30" x14ac:dyDescent="0.25">
      <c r="A1293" s="43" t="s">
        <v>884</v>
      </c>
      <c r="B1293" s="43" t="s">
        <v>1322</v>
      </c>
      <c r="C1293" s="43" t="s">
        <v>1323</v>
      </c>
      <c r="D1293" s="43" t="s">
        <v>1324</v>
      </c>
      <c r="E1293" s="109" t="s">
        <v>851</v>
      </c>
      <c r="F1293" s="110" t="s">
        <v>1325</v>
      </c>
      <c r="G1293" s="43"/>
    </row>
    <row r="1294" spans="1:7" ht="30" x14ac:dyDescent="0.25">
      <c r="A1294" s="345" t="s">
        <v>909</v>
      </c>
      <c r="B1294" s="345" t="s">
        <v>928</v>
      </c>
      <c r="C1294" s="345" t="s">
        <v>1047</v>
      </c>
      <c r="D1294" s="345"/>
      <c r="E1294" s="346" t="s">
        <v>851</v>
      </c>
      <c r="F1294" s="347" t="s">
        <v>1335</v>
      </c>
      <c r="G1294" s="43"/>
    </row>
    <row r="1295" spans="1:7" ht="30" x14ac:dyDescent="0.25">
      <c r="A1295" s="43" t="s">
        <v>1342</v>
      </c>
      <c r="B1295" s="43" t="s">
        <v>1343</v>
      </c>
      <c r="C1295" s="43" t="s">
        <v>938</v>
      </c>
      <c r="D1295" s="43" t="s">
        <v>1344</v>
      </c>
      <c r="E1295" s="109" t="s">
        <v>851</v>
      </c>
      <c r="F1295" s="110">
        <v>1113541820</v>
      </c>
      <c r="G1295" s="43"/>
    </row>
    <row r="1296" spans="1:7" ht="30" x14ac:dyDescent="0.25">
      <c r="A1296" s="345" t="s">
        <v>953</v>
      </c>
      <c r="B1296" s="345" t="s">
        <v>1345</v>
      </c>
      <c r="C1296" s="345" t="s">
        <v>1346</v>
      </c>
      <c r="D1296" s="345"/>
      <c r="E1296" s="346" t="s">
        <v>851</v>
      </c>
      <c r="F1296" s="347" t="s">
        <v>1347</v>
      </c>
      <c r="G1296" s="43"/>
    </row>
    <row r="1297" spans="1:7" ht="30" x14ac:dyDescent="0.25">
      <c r="A1297" s="301" t="s">
        <v>909</v>
      </c>
      <c r="B1297" s="301" t="s">
        <v>914</v>
      </c>
      <c r="C1297" s="301" t="s">
        <v>1348</v>
      </c>
      <c r="D1297" s="301"/>
      <c r="E1297" s="300" t="s">
        <v>851</v>
      </c>
      <c r="F1297" s="303">
        <v>1002847764</v>
      </c>
      <c r="G1297" s="43"/>
    </row>
    <row r="1298" spans="1:7" ht="30" x14ac:dyDescent="0.25">
      <c r="A1298" s="345" t="s">
        <v>1356</v>
      </c>
      <c r="B1298" s="345" t="s">
        <v>943</v>
      </c>
      <c r="C1298" s="345" t="s">
        <v>1357</v>
      </c>
      <c r="D1298" s="345"/>
      <c r="E1298" s="346" t="s">
        <v>1094</v>
      </c>
      <c r="F1298" s="347" t="s">
        <v>1358</v>
      </c>
      <c r="G1298" s="43"/>
    </row>
    <row r="1299" spans="1:7" ht="30" x14ac:dyDescent="0.25">
      <c r="A1299" s="43" t="s">
        <v>943</v>
      </c>
      <c r="B1299" s="43" t="s">
        <v>1361</v>
      </c>
      <c r="C1299" s="43" t="s">
        <v>1372</v>
      </c>
      <c r="D1299" s="43" t="s">
        <v>1373</v>
      </c>
      <c r="E1299" s="109" t="s">
        <v>851</v>
      </c>
      <c r="F1299" s="110">
        <v>1068216345</v>
      </c>
      <c r="G1299" s="43"/>
    </row>
    <row r="1300" spans="1:7" ht="30" x14ac:dyDescent="0.25">
      <c r="A1300" s="301" t="s">
        <v>914</v>
      </c>
      <c r="B1300" s="301" t="s">
        <v>917</v>
      </c>
      <c r="C1300" s="301" t="s">
        <v>1376</v>
      </c>
      <c r="D1300" s="301"/>
      <c r="E1300" s="300" t="s">
        <v>851</v>
      </c>
      <c r="F1300" s="303">
        <v>1002847472</v>
      </c>
      <c r="G1300" s="43"/>
    </row>
    <row r="1301" spans="1:7" ht="30" x14ac:dyDescent="0.25">
      <c r="A1301" s="43" t="s">
        <v>1365</v>
      </c>
      <c r="B1301" s="43" t="s">
        <v>1378</v>
      </c>
      <c r="C1301" s="43" t="s">
        <v>1379</v>
      </c>
      <c r="D1301" s="43"/>
      <c r="E1301" s="109" t="s">
        <v>851</v>
      </c>
      <c r="F1301" s="110">
        <v>1059594610</v>
      </c>
      <c r="G1301" s="43"/>
    </row>
    <row r="1302" spans="1:7" ht="30" x14ac:dyDescent="0.25">
      <c r="A1302" s="345" t="s">
        <v>1394</v>
      </c>
      <c r="B1302" s="345" t="s">
        <v>1395</v>
      </c>
      <c r="C1302" s="345" t="s">
        <v>1284</v>
      </c>
      <c r="D1302" s="345" t="s">
        <v>1182</v>
      </c>
      <c r="E1302" s="346" t="s">
        <v>851</v>
      </c>
      <c r="F1302" s="347">
        <v>1059594142</v>
      </c>
      <c r="G1302" s="43"/>
    </row>
    <row r="1303" spans="1:7" ht="30" x14ac:dyDescent="0.25">
      <c r="A1303" s="301" t="s">
        <v>953</v>
      </c>
      <c r="B1303" s="301" t="s">
        <v>1402</v>
      </c>
      <c r="C1303" s="301" t="s">
        <v>1403</v>
      </c>
      <c r="D1303" s="301" t="s">
        <v>982</v>
      </c>
      <c r="E1303" s="300" t="s">
        <v>851</v>
      </c>
      <c r="F1303" s="303">
        <v>1002922124</v>
      </c>
      <c r="G1303" s="43"/>
    </row>
    <row r="1304" spans="1:7" ht="30" x14ac:dyDescent="0.25">
      <c r="A1304" s="345" t="s">
        <v>1410</v>
      </c>
      <c r="B1304" s="345" t="s">
        <v>1411</v>
      </c>
      <c r="C1304" s="345" t="s">
        <v>1412</v>
      </c>
      <c r="D1304" s="345" t="s">
        <v>1028</v>
      </c>
      <c r="E1304" s="346" t="s">
        <v>851</v>
      </c>
      <c r="F1304" s="347">
        <v>1059595537</v>
      </c>
      <c r="G1304" s="43"/>
    </row>
    <row r="1305" spans="1:7" ht="30" x14ac:dyDescent="0.25">
      <c r="A1305" s="301" t="s">
        <v>974</v>
      </c>
      <c r="B1305" s="301" t="s">
        <v>1144</v>
      </c>
      <c r="C1305" s="301" t="s">
        <v>1419</v>
      </c>
      <c r="D1305" s="301"/>
      <c r="E1305" s="300" t="s">
        <v>851</v>
      </c>
      <c r="F1305" s="303">
        <v>1059598995</v>
      </c>
      <c r="G1305" s="43"/>
    </row>
    <row r="1306" spans="1:7" ht="30" x14ac:dyDescent="0.25">
      <c r="A1306" s="345" t="s">
        <v>953</v>
      </c>
      <c r="B1306" s="345" t="s">
        <v>848</v>
      </c>
      <c r="C1306" s="345" t="s">
        <v>1420</v>
      </c>
      <c r="D1306" s="345"/>
      <c r="E1306" s="346" t="s">
        <v>851</v>
      </c>
      <c r="F1306" s="347">
        <v>1002846728</v>
      </c>
      <c r="G1306" s="43"/>
    </row>
    <row r="1307" spans="1:7" ht="30" x14ac:dyDescent="0.25">
      <c r="A1307" s="43" t="s">
        <v>1446</v>
      </c>
      <c r="B1307" s="43" t="s">
        <v>1447</v>
      </c>
      <c r="C1307" s="43" t="s">
        <v>1047</v>
      </c>
      <c r="D1307" s="43"/>
      <c r="E1307" s="109" t="s">
        <v>851</v>
      </c>
      <c r="F1307" s="110">
        <v>1073246645</v>
      </c>
      <c r="G1307" s="43"/>
    </row>
    <row r="1308" spans="1:7" ht="30" x14ac:dyDescent="0.25">
      <c r="A1308" s="345" t="s">
        <v>1014</v>
      </c>
      <c r="B1308" s="345" t="s">
        <v>1474</v>
      </c>
      <c r="C1308" s="345" t="s">
        <v>1475</v>
      </c>
      <c r="D1308" s="345"/>
      <c r="E1308" s="346" t="s">
        <v>851</v>
      </c>
      <c r="F1308" s="347">
        <v>1002846252</v>
      </c>
      <c r="G1308" s="43"/>
    </row>
    <row r="1309" spans="1:7" ht="30" x14ac:dyDescent="0.25">
      <c r="A1309" s="43" t="s">
        <v>1365</v>
      </c>
      <c r="B1309" s="43" t="s">
        <v>857</v>
      </c>
      <c r="C1309" s="43" t="s">
        <v>1217</v>
      </c>
      <c r="D1309" s="43" t="s">
        <v>1487</v>
      </c>
      <c r="E1309" s="109" t="s">
        <v>851</v>
      </c>
      <c r="F1309" s="110" t="s">
        <v>1488</v>
      </c>
      <c r="G1309" s="43"/>
    </row>
    <row r="1310" spans="1:7" ht="30" x14ac:dyDescent="0.25">
      <c r="A1310" s="345" t="s">
        <v>914</v>
      </c>
      <c r="B1310" s="345" t="s">
        <v>953</v>
      </c>
      <c r="C1310" s="345" t="s">
        <v>1217</v>
      </c>
      <c r="D1310" s="345" t="s">
        <v>1398</v>
      </c>
      <c r="E1310" s="346" t="s">
        <v>851</v>
      </c>
      <c r="F1310" s="347">
        <v>1059602321</v>
      </c>
      <c r="G1310" s="43"/>
    </row>
    <row r="1311" spans="1:7" ht="30" x14ac:dyDescent="0.25">
      <c r="A1311" s="43" t="s">
        <v>848</v>
      </c>
      <c r="B1311" s="43" t="s">
        <v>943</v>
      </c>
      <c r="C1311" s="43" t="s">
        <v>1565</v>
      </c>
      <c r="D1311" s="43"/>
      <c r="E1311" s="109" t="s">
        <v>851</v>
      </c>
      <c r="F1311" s="110">
        <v>1059606933</v>
      </c>
      <c r="G1311" s="43"/>
    </row>
    <row r="1312" spans="1:7" ht="30" x14ac:dyDescent="0.25">
      <c r="A1312" s="345" t="s">
        <v>914</v>
      </c>
      <c r="B1312" s="345" t="s">
        <v>943</v>
      </c>
      <c r="C1312" s="345" t="s">
        <v>1575</v>
      </c>
      <c r="D1312" s="345"/>
      <c r="E1312" s="346" t="s">
        <v>851</v>
      </c>
      <c r="F1312" s="359" t="s">
        <v>1574</v>
      </c>
      <c r="G1312" s="43"/>
    </row>
    <row r="1313" spans="1:7" ht="30" x14ac:dyDescent="0.25">
      <c r="A1313" s="43" t="s">
        <v>1068</v>
      </c>
      <c r="B1313" s="43" t="s">
        <v>1577</v>
      </c>
      <c r="C1313" s="43" t="s">
        <v>1468</v>
      </c>
      <c r="D1313" s="43" t="s">
        <v>1281</v>
      </c>
      <c r="E1313" s="109" t="s">
        <v>851</v>
      </c>
      <c r="F1313" s="356" t="s">
        <v>1576</v>
      </c>
      <c r="G1313" s="43"/>
    </row>
    <row r="1314" spans="1:7" ht="30" x14ac:dyDescent="0.25">
      <c r="A1314" s="345" t="s">
        <v>944</v>
      </c>
      <c r="B1314" s="345" t="s">
        <v>944</v>
      </c>
      <c r="C1314" s="345" t="s">
        <v>1616</v>
      </c>
      <c r="D1314" s="345" t="s">
        <v>1617</v>
      </c>
      <c r="E1314" s="346" t="s">
        <v>851</v>
      </c>
      <c r="F1314" s="347">
        <v>1059595276</v>
      </c>
      <c r="G1314" s="43"/>
    </row>
    <row r="1315" spans="1:7" x14ac:dyDescent="0.25">
      <c r="A1315" s="423" t="s">
        <v>1716</v>
      </c>
      <c r="B1315" s="423"/>
      <c r="C1315" s="423"/>
      <c r="D1315" s="423"/>
      <c r="E1315" s="423"/>
      <c r="F1315" s="423"/>
      <c r="G1315" s="43"/>
    </row>
    <row r="1316" spans="1:7" ht="45" x14ac:dyDescent="0.25">
      <c r="A1316" s="17" t="s">
        <v>94</v>
      </c>
      <c r="B1316" s="17" t="s">
        <v>21</v>
      </c>
      <c r="C1316" s="17" t="s">
        <v>0</v>
      </c>
      <c r="D1316" s="17" t="s">
        <v>1</v>
      </c>
      <c r="E1316" s="17" t="s">
        <v>2</v>
      </c>
      <c r="F1316" s="17" t="s">
        <v>3</v>
      </c>
      <c r="G1316" s="43"/>
    </row>
    <row r="1317" spans="1:7" ht="30" x14ac:dyDescent="0.25">
      <c r="A1317" s="345" t="s">
        <v>847</v>
      </c>
      <c r="B1317" s="345" t="s">
        <v>848</v>
      </c>
      <c r="C1317" s="345" t="s">
        <v>849</v>
      </c>
      <c r="D1317" s="345" t="s">
        <v>850</v>
      </c>
      <c r="E1317" s="346" t="s">
        <v>851</v>
      </c>
      <c r="F1317" s="347">
        <v>1002848782</v>
      </c>
      <c r="G1317" s="43"/>
    </row>
    <row r="1318" spans="1:7" ht="30" x14ac:dyDescent="0.25">
      <c r="A1318" s="43" t="s">
        <v>873</v>
      </c>
      <c r="B1318" s="43" t="s">
        <v>874</v>
      </c>
      <c r="C1318" s="43" t="s">
        <v>875</v>
      </c>
      <c r="D1318" s="43" t="s">
        <v>850</v>
      </c>
      <c r="E1318" s="109" t="s">
        <v>851</v>
      </c>
      <c r="F1318" s="110">
        <v>1193574048</v>
      </c>
      <c r="G1318" s="43"/>
    </row>
    <row r="1319" spans="1:7" ht="30" x14ac:dyDescent="0.25">
      <c r="A1319" s="345" t="s">
        <v>883</v>
      </c>
      <c r="B1319" s="345" t="s">
        <v>884</v>
      </c>
      <c r="C1319" s="345" t="s">
        <v>885</v>
      </c>
      <c r="D1319" s="345" t="s">
        <v>850</v>
      </c>
      <c r="E1319" s="346" t="s">
        <v>851</v>
      </c>
      <c r="F1319" s="347">
        <v>1059594099</v>
      </c>
      <c r="G1319" s="43"/>
    </row>
    <row r="1320" spans="1:7" ht="30" x14ac:dyDescent="0.25">
      <c r="A1320" s="43" t="s">
        <v>874</v>
      </c>
      <c r="B1320" s="43" t="s">
        <v>891</v>
      </c>
      <c r="C1320" s="43" t="s">
        <v>892</v>
      </c>
      <c r="D1320" s="43"/>
      <c r="E1320" s="109" t="s">
        <v>851</v>
      </c>
      <c r="F1320" s="110">
        <v>1059597797</v>
      </c>
      <c r="G1320" s="43"/>
    </row>
    <row r="1321" spans="1:7" ht="30" x14ac:dyDescent="0.25">
      <c r="A1321" s="345" t="s">
        <v>896</v>
      </c>
      <c r="B1321" s="345" t="s">
        <v>873</v>
      </c>
      <c r="C1321" s="345"/>
      <c r="D1321" s="345"/>
      <c r="E1321" s="346" t="s">
        <v>851</v>
      </c>
      <c r="F1321" s="347">
        <v>1002847560</v>
      </c>
      <c r="G1321" s="43"/>
    </row>
    <row r="1322" spans="1:7" ht="30" x14ac:dyDescent="0.25">
      <c r="A1322" s="43" t="s">
        <v>901</v>
      </c>
      <c r="B1322" s="43" t="s">
        <v>902</v>
      </c>
      <c r="C1322" s="43" t="s">
        <v>903</v>
      </c>
      <c r="D1322" s="43" t="s">
        <v>850</v>
      </c>
      <c r="E1322" s="109" t="s">
        <v>851</v>
      </c>
      <c r="F1322" s="110">
        <v>1002950264</v>
      </c>
      <c r="G1322" s="43"/>
    </row>
    <row r="1323" spans="1:7" ht="30" x14ac:dyDescent="0.25">
      <c r="A1323" s="345" t="s">
        <v>908</v>
      </c>
      <c r="B1323" s="345" t="s">
        <v>909</v>
      </c>
      <c r="C1323" s="345" t="s">
        <v>910</v>
      </c>
      <c r="D1323" s="345" t="s">
        <v>850</v>
      </c>
      <c r="E1323" s="346" t="s">
        <v>851</v>
      </c>
      <c r="F1323" s="347">
        <v>1002846321</v>
      </c>
      <c r="G1323" s="43"/>
    </row>
    <row r="1324" spans="1:7" ht="30" x14ac:dyDescent="0.25">
      <c r="A1324" s="43" t="s">
        <v>916</v>
      </c>
      <c r="B1324" s="43" t="s">
        <v>917</v>
      </c>
      <c r="C1324" s="43" t="s">
        <v>918</v>
      </c>
      <c r="D1324" s="43" t="s">
        <v>919</v>
      </c>
      <c r="E1324" s="109" t="s">
        <v>851</v>
      </c>
      <c r="F1324" s="110">
        <v>1059595527</v>
      </c>
      <c r="G1324" s="43"/>
    </row>
    <row r="1325" spans="1:7" ht="30" x14ac:dyDescent="0.25">
      <c r="A1325" s="345" t="s">
        <v>922</v>
      </c>
      <c r="B1325" s="345" t="s">
        <v>923</v>
      </c>
      <c r="C1325" s="345" t="s">
        <v>924</v>
      </c>
      <c r="D1325" s="345"/>
      <c r="E1325" s="346" t="s">
        <v>851</v>
      </c>
      <c r="F1325" s="347">
        <v>25546638</v>
      </c>
      <c r="G1325" s="43"/>
    </row>
    <row r="1326" spans="1:7" ht="30" x14ac:dyDescent="0.25">
      <c r="A1326" s="43" t="s">
        <v>928</v>
      </c>
      <c r="B1326" s="43" t="s">
        <v>929</v>
      </c>
      <c r="C1326" s="43" t="s">
        <v>930</v>
      </c>
      <c r="D1326" s="43" t="s">
        <v>931</v>
      </c>
      <c r="E1326" s="109" t="s">
        <v>851</v>
      </c>
      <c r="F1326" s="110">
        <v>1002847209</v>
      </c>
      <c r="G1326" s="43"/>
    </row>
    <row r="1327" spans="1:7" ht="30" x14ac:dyDescent="0.25">
      <c r="A1327" s="345" t="s">
        <v>937</v>
      </c>
      <c r="B1327" s="345" t="s">
        <v>909</v>
      </c>
      <c r="C1327" s="345" t="s">
        <v>938</v>
      </c>
      <c r="D1327" s="345" t="s">
        <v>939</v>
      </c>
      <c r="E1327" s="346" t="s">
        <v>851</v>
      </c>
      <c r="F1327" s="347">
        <v>1002846328</v>
      </c>
      <c r="G1327" s="43"/>
    </row>
    <row r="1328" spans="1:7" ht="30" x14ac:dyDescent="0.25">
      <c r="A1328" s="43" t="s">
        <v>943</v>
      </c>
      <c r="B1328" s="43" t="s">
        <v>944</v>
      </c>
      <c r="C1328" s="43" t="s">
        <v>945</v>
      </c>
      <c r="D1328" s="43" t="s">
        <v>919</v>
      </c>
      <c r="E1328" s="109" t="s">
        <v>851</v>
      </c>
      <c r="F1328" s="110">
        <v>1002847740</v>
      </c>
      <c r="G1328" s="43"/>
    </row>
    <row r="1329" spans="1:7" ht="30" x14ac:dyDescent="0.25">
      <c r="A1329" s="345" t="s">
        <v>947</v>
      </c>
      <c r="B1329" s="345" t="s">
        <v>948</v>
      </c>
      <c r="C1329" s="345" t="s">
        <v>949</v>
      </c>
      <c r="D1329" s="345" t="s">
        <v>950</v>
      </c>
      <c r="E1329" s="346" t="s">
        <v>851</v>
      </c>
      <c r="F1329" s="347">
        <v>1002971041</v>
      </c>
      <c r="G1329" s="43"/>
    </row>
    <row r="1330" spans="1:7" ht="30" x14ac:dyDescent="0.25">
      <c r="A1330" s="43" t="s">
        <v>896</v>
      </c>
      <c r="B1330" s="43" t="s">
        <v>953</v>
      </c>
      <c r="C1330" s="43" t="s">
        <v>954</v>
      </c>
      <c r="D1330" s="43"/>
      <c r="E1330" s="109" t="s">
        <v>851</v>
      </c>
      <c r="F1330" s="110">
        <v>1059604759</v>
      </c>
      <c r="G1330" s="43"/>
    </row>
    <row r="1331" spans="1:7" ht="30" x14ac:dyDescent="0.25">
      <c r="A1331" s="345" t="s">
        <v>943</v>
      </c>
      <c r="B1331" s="345" t="s">
        <v>944</v>
      </c>
      <c r="C1331" s="345" t="s">
        <v>957</v>
      </c>
      <c r="D1331" s="345" t="s">
        <v>958</v>
      </c>
      <c r="E1331" s="346" t="s">
        <v>851</v>
      </c>
      <c r="F1331" s="347">
        <v>1002848208</v>
      </c>
      <c r="G1331" s="43"/>
    </row>
    <row r="1332" spans="1:7" ht="30" x14ac:dyDescent="0.25">
      <c r="A1332" s="43" t="s">
        <v>961</v>
      </c>
      <c r="B1332" s="43" t="s">
        <v>962</v>
      </c>
      <c r="C1332" s="43" t="s">
        <v>945</v>
      </c>
      <c r="D1332" s="43" t="s">
        <v>963</v>
      </c>
      <c r="E1332" s="109" t="s">
        <v>851</v>
      </c>
      <c r="F1332" s="110">
        <v>1059606704</v>
      </c>
      <c r="G1332" s="43"/>
    </row>
    <row r="1333" spans="1:7" ht="30" x14ac:dyDescent="0.25">
      <c r="A1333" s="345" t="s">
        <v>967</v>
      </c>
      <c r="B1333" s="345" t="s">
        <v>968</v>
      </c>
      <c r="C1333" s="345" t="s">
        <v>969</v>
      </c>
      <c r="D1333" s="345"/>
      <c r="E1333" s="346" t="s">
        <v>851</v>
      </c>
      <c r="F1333" s="347">
        <v>1002848677</v>
      </c>
      <c r="G1333" s="43"/>
    </row>
    <row r="1334" spans="1:7" ht="30" x14ac:dyDescent="0.25">
      <c r="A1334" s="43" t="s">
        <v>937</v>
      </c>
      <c r="B1334" s="43" t="s">
        <v>974</v>
      </c>
      <c r="C1334" s="43" t="s">
        <v>975</v>
      </c>
      <c r="D1334" s="43" t="s">
        <v>976</v>
      </c>
      <c r="E1334" s="109" t="s">
        <v>851</v>
      </c>
      <c r="F1334" s="110">
        <v>1067464106</v>
      </c>
      <c r="G1334" s="43"/>
    </row>
    <row r="1335" spans="1:7" ht="30" x14ac:dyDescent="0.25">
      <c r="A1335" s="345" t="s">
        <v>979</v>
      </c>
      <c r="B1335" s="345" t="s">
        <v>980</v>
      </c>
      <c r="C1335" s="345" t="s">
        <v>981</v>
      </c>
      <c r="D1335" s="345" t="s">
        <v>982</v>
      </c>
      <c r="E1335" s="346" t="s">
        <v>851</v>
      </c>
      <c r="F1335" s="347">
        <v>1002847211</v>
      </c>
      <c r="G1335" s="43"/>
    </row>
    <row r="1336" spans="1:7" ht="30" x14ac:dyDescent="0.25">
      <c r="A1336" s="43" t="s">
        <v>937</v>
      </c>
      <c r="B1336" s="43" t="s">
        <v>984</v>
      </c>
      <c r="C1336" s="43" t="s">
        <v>985</v>
      </c>
      <c r="D1336" s="43" t="s">
        <v>986</v>
      </c>
      <c r="E1336" s="109" t="s">
        <v>851</v>
      </c>
      <c r="F1336" s="110">
        <v>1059595259</v>
      </c>
      <c r="G1336" s="43"/>
    </row>
    <row r="1337" spans="1:7" ht="30" x14ac:dyDescent="0.25">
      <c r="A1337" s="345" t="s">
        <v>991</v>
      </c>
      <c r="B1337" s="345" t="s">
        <v>992</v>
      </c>
      <c r="C1337" s="345"/>
      <c r="D1337" s="345" t="s">
        <v>993</v>
      </c>
      <c r="E1337" s="346" t="s">
        <v>851</v>
      </c>
      <c r="F1337" s="347">
        <v>1059596516</v>
      </c>
      <c r="G1337" s="43"/>
    </row>
    <row r="1338" spans="1:7" ht="30" x14ac:dyDescent="0.25">
      <c r="A1338" s="43" t="s">
        <v>996</v>
      </c>
      <c r="B1338" s="43" t="s">
        <v>848</v>
      </c>
      <c r="C1338" s="43" t="s">
        <v>997</v>
      </c>
      <c r="D1338" s="43" t="s">
        <v>998</v>
      </c>
      <c r="E1338" s="109" t="s">
        <v>851</v>
      </c>
      <c r="F1338" s="110">
        <v>1002846560</v>
      </c>
      <c r="G1338" s="43"/>
    </row>
    <row r="1339" spans="1:7" ht="30" x14ac:dyDescent="0.25">
      <c r="A1339" s="345" t="s">
        <v>857</v>
      </c>
      <c r="B1339" s="345" t="s">
        <v>1001</v>
      </c>
      <c r="C1339" s="345" t="s">
        <v>1002</v>
      </c>
      <c r="D1339" s="345"/>
      <c r="E1339" s="346" t="s">
        <v>851</v>
      </c>
      <c r="F1339" s="347">
        <v>1061784538</v>
      </c>
      <c r="G1339" s="43"/>
    </row>
    <row r="1340" spans="1:7" ht="30" x14ac:dyDescent="0.25">
      <c r="A1340" s="43" t="s">
        <v>1007</v>
      </c>
      <c r="B1340" s="43" t="s">
        <v>980</v>
      </c>
      <c r="C1340" s="43" t="s">
        <v>1008</v>
      </c>
      <c r="D1340" s="43"/>
      <c r="E1340" s="109" t="s">
        <v>851</v>
      </c>
      <c r="F1340" s="110">
        <v>1002848971</v>
      </c>
      <c r="G1340" s="43"/>
    </row>
    <row r="1341" spans="1:7" ht="30" x14ac:dyDescent="0.25">
      <c r="A1341" s="345" t="s">
        <v>1014</v>
      </c>
      <c r="B1341" s="345" t="s">
        <v>1015</v>
      </c>
      <c r="C1341" s="345" t="s">
        <v>1016</v>
      </c>
      <c r="D1341" s="345"/>
      <c r="E1341" s="346" t="s">
        <v>851</v>
      </c>
      <c r="F1341" s="347">
        <v>34322648</v>
      </c>
      <c r="G1341" s="43"/>
    </row>
    <row r="1342" spans="1:7" ht="30" x14ac:dyDescent="0.25">
      <c r="A1342" s="43" t="s">
        <v>1020</v>
      </c>
      <c r="B1342" s="43" t="s">
        <v>979</v>
      </c>
      <c r="C1342" s="43" t="s">
        <v>985</v>
      </c>
      <c r="D1342" s="43" t="s">
        <v>1021</v>
      </c>
      <c r="E1342" s="109" t="s">
        <v>851</v>
      </c>
      <c r="F1342" s="110">
        <v>1059604272</v>
      </c>
      <c r="G1342" s="43"/>
    </row>
    <row r="1343" spans="1:7" ht="30" x14ac:dyDescent="0.25">
      <c r="A1343" s="345" t="s">
        <v>1025</v>
      </c>
      <c r="B1343" s="345" t="s">
        <v>1026</v>
      </c>
      <c r="C1343" s="345" t="s">
        <v>1027</v>
      </c>
      <c r="D1343" s="345" t="s">
        <v>1028</v>
      </c>
      <c r="E1343" s="346" t="s">
        <v>851</v>
      </c>
      <c r="F1343" s="347">
        <v>1002848230</v>
      </c>
      <c r="G1343" s="43"/>
    </row>
    <row r="1344" spans="1:7" ht="30" x14ac:dyDescent="0.25">
      <c r="A1344" s="43" t="s">
        <v>1033</v>
      </c>
      <c r="B1344" s="43" t="s">
        <v>1034</v>
      </c>
      <c r="C1344" s="43" t="s">
        <v>1035</v>
      </c>
      <c r="D1344" s="43"/>
      <c r="E1344" s="109" t="s">
        <v>851</v>
      </c>
      <c r="F1344" s="110">
        <v>1059606995</v>
      </c>
      <c r="G1344" s="43"/>
    </row>
    <row r="1345" spans="1:7" ht="30" x14ac:dyDescent="0.25">
      <c r="A1345" s="345" t="s">
        <v>1037</v>
      </c>
      <c r="B1345" s="345" t="s">
        <v>980</v>
      </c>
      <c r="C1345" s="345" t="s">
        <v>1038</v>
      </c>
      <c r="D1345" s="345"/>
      <c r="E1345" s="346" t="s">
        <v>851</v>
      </c>
      <c r="F1345" s="347">
        <v>1002848059</v>
      </c>
      <c r="G1345" s="43"/>
    </row>
    <row r="1346" spans="1:7" ht="30" x14ac:dyDescent="0.25">
      <c r="A1346" s="43" t="s">
        <v>1041</v>
      </c>
      <c r="B1346" s="43" t="s">
        <v>915</v>
      </c>
      <c r="C1346" s="43" t="s">
        <v>1042</v>
      </c>
      <c r="D1346" s="43" t="s">
        <v>1043</v>
      </c>
      <c r="E1346" s="109" t="s">
        <v>851</v>
      </c>
      <c r="F1346" s="110">
        <v>1059599632</v>
      </c>
      <c r="G1346" s="43"/>
    </row>
    <row r="1347" spans="1:7" ht="30" x14ac:dyDescent="0.25">
      <c r="A1347" s="345" t="s">
        <v>848</v>
      </c>
      <c r="B1347" s="345" t="s">
        <v>874</v>
      </c>
      <c r="C1347" s="345" t="s">
        <v>1046</v>
      </c>
      <c r="D1347" s="345" t="s">
        <v>1047</v>
      </c>
      <c r="E1347" s="346" t="s">
        <v>851</v>
      </c>
      <c r="F1347" s="347">
        <v>1059594475</v>
      </c>
      <c r="G1347" s="43"/>
    </row>
    <row r="1348" spans="1:7" ht="30" x14ac:dyDescent="0.25">
      <c r="A1348" s="43" t="s">
        <v>1052</v>
      </c>
      <c r="B1348" s="43" t="s">
        <v>953</v>
      </c>
      <c r="C1348" s="43" t="s">
        <v>1053</v>
      </c>
      <c r="D1348" s="43"/>
      <c r="E1348" s="109" t="s">
        <v>851</v>
      </c>
      <c r="F1348" s="110">
        <v>1059594776</v>
      </c>
      <c r="G1348" s="43"/>
    </row>
    <row r="1349" spans="1:7" ht="30" x14ac:dyDescent="0.25">
      <c r="A1349" s="345" t="s">
        <v>992</v>
      </c>
      <c r="B1349" s="345" t="s">
        <v>908</v>
      </c>
      <c r="C1349" s="345" t="s">
        <v>1055</v>
      </c>
      <c r="D1349" s="345"/>
      <c r="E1349" s="346" t="s">
        <v>851</v>
      </c>
      <c r="F1349" s="347">
        <v>1059602228</v>
      </c>
      <c r="G1349" s="43"/>
    </row>
    <row r="1350" spans="1:7" ht="30" x14ac:dyDescent="0.25">
      <c r="A1350" s="43" t="s">
        <v>1058</v>
      </c>
      <c r="B1350" s="43" t="s">
        <v>883</v>
      </c>
      <c r="C1350" s="43" t="s">
        <v>1059</v>
      </c>
      <c r="D1350" s="43" t="s">
        <v>1060</v>
      </c>
      <c r="E1350" s="109" t="s">
        <v>851</v>
      </c>
      <c r="F1350" s="110">
        <v>1067462101</v>
      </c>
      <c r="G1350" s="43"/>
    </row>
    <row r="1351" spans="1:7" ht="30" x14ac:dyDescent="0.25">
      <c r="A1351" s="345" t="s">
        <v>848</v>
      </c>
      <c r="B1351" s="345"/>
      <c r="C1351" s="345" t="s">
        <v>1063</v>
      </c>
      <c r="D1351" s="345"/>
      <c r="E1351" s="346" t="s">
        <v>851</v>
      </c>
      <c r="F1351" s="347">
        <v>1059598027</v>
      </c>
      <c r="G1351" s="43"/>
    </row>
    <row r="1352" spans="1:7" ht="30" x14ac:dyDescent="0.25">
      <c r="A1352" s="43" t="s">
        <v>1068</v>
      </c>
      <c r="B1352" s="43" t="s">
        <v>1069</v>
      </c>
      <c r="C1352" s="43" t="s">
        <v>1070</v>
      </c>
      <c r="D1352" s="43" t="s">
        <v>1071</v>
      </c>
      <c r="E1352" s="109" t="s">
        <v>851</v>
      </c>
      <c r="F1352" s="110">
        <v>1061708805</v>
      </c>
      <c r="G1352" s="43"/>
    </row>
    <row r="1353" spans="1:7" ht="30" x14ac:dyDescent="0.25">
      <c r="A1353" s="345" t="s">
        <v>1041</v>
      </c>
      <c r="B1353" s="345" t="s">
        <v>953</v>
      </c>
      <c r="C1353" s="345" t="s">
        <v>1074</v>
      </c>
      <c r="D1353" s="345"/>
      <c r="E1353" s="346" t="s">
        <v>851</v>
      </c>
      <c r="F1353" s="347">
        <v>1059601540</v>
      </c>
      <c r="G1353" s="43"/>
    </row>
    <row r="1354" spans="1:7" ht="30" x14ac:dyDescent="0.25">
      <c r="A1354" s="43" t="s">
        <v>1077</v>
      </c>
      <c r="B1354" s="43" t="s">
        <v>1078</v>
      </c>
      <c r="C1354" s="43" t="s">
        <v>1079</v>
      </c>
      <c r="D1354" s="43" t="s">
        <v>1080</v>
      </c>
      <c r="E1354" s="109" t="s">
        <v>851</v>
      </c>
      <c r="F1354" s="110">
        <v>1007459317</v>
      </c>
      <c r="G1354" s="43"/>
    </row>
    <row r="1355" spans="1:7" ht="30" x14ac:dyDescent="0.25">
      <c r="A1355" s="345" t="s">
        <v>953</v>
      </c>
      <c r="B1355" s="345" t="s">
        <v>1084</v>
      </c>
      <c r="C1355" s="345" t="s">
        <v>1085</v>
      </c>
      <c r="D1355" s="345"/>
      <c r="E1355" s="346" t="s">
        <v>851</v>
      </c>
      <c r="F1355" s="347">
        <v>1059603753</v>
      </c>
      <c r="G1355" s="43"/>
    </row>
    <row r="1356" spans="1:7" ht="30" x14ac:dyDescent="0.25">
      <c r="A1356" s="43" t="s">
        <v>1090</v>
      </c>
      <c r="B1356" s="43" t="s">
        <v>1091</v>
      </c>
      <c r="C1356" s="43" t="s">
        <v>1092</v>
      </c>
      <c r="D1356" s="43" t="s">
        <v>1093</v>
      </c>
      <c r="E1356" s="109" t="s">
        <v>1094</v>
      </c>
      <c r="F1356" s="110">
        <v>1060868929</v>
      </c>
      <c r="G1356" s="43"/>
    </row>
    <row r="1357" spans="1:7" ht="30" x14ac:dyDescent="0.25">
      <c r="A1357" s="345" t="s">
        <v>1098</v>
      </c>
      <c r="B1357" s="345" t="s">
        <v>914</v>
      </c>
      <c r="C1357" s="345" t="s">
        <v>1099</v>
      </c>
      <c r="D1357" s="345" t="s">
        <v>1100</v>
      </c>
      <c r="E1357" s="346" t="s">
        <v>1094</v>
      </c>
      <c r="F1357" s="347">
        <v>1002919465</v>
      </c>
      <c r="G1357" s="43"/>
    </row>
    <row r="1358" spans="1:7" ht="30" x14ac:dyDescent="0.25">
      <c r="A1358" s="43" t="s">
        <v>1103</v>
      </c>
      <c r="B1358" s="43" t="s">
        <v>1104</v>
      </c>
      <c r="C1358" s="43" t="s">
        <v>1105</v>
      </c>
      <c r="D1358" s="43"/>
      <c r="E1358" s="109" t="s">
        <v>851</v>
      </c>
      <c r="F1358" s="110">
        <v>1144068238</v>
      </c>
      <c r="G1358" s="43"/>
    </row>
    <row r="1359" spans="1:7" ht="30" x14ac:dyDescent="0.25">
      <c r="A1359" s="345" t="s">
        <v>1109</v>
      </c>
      <c r="B1359" s="345" t="s">
        <v>1110</v>
      </c>
      <c r="C1359" s="345" t="s">
        <v>1111</v>
      </c>
      <c r="D1359" s="345" t="s">
        <v>1112</v>
      </c>
      <c r="E1359" s="346" t="s">
        <v>851</v>
      </c>
      <c r="F1359" s="347">
        <v>1002847924</v>
      </c>
      <c r="G1359" s="43"/>
    </row>
    <row r="1360" spans="1:7" ht="30" x14ac:dyDescent="0.25">
      <c r="A1360" s="43" t="s">
        <v>1115</v>
      </c>
      <c r="B1360" s="43" t="s">
        <v>1116</v>
      </c>
      <c r="C1360" s="43" t="s">
        <v>1117</v>
      </c>
      <c r="D1360" s="43" t="s">
        <v>1118</v>
      </c>
      <c r="E1360" s="109" t="s">
        <v>851</v>
      </c>
      <c r="F1360" s="110">
        <v>1059597252</v>
      </c>
      <c r="G1360" s="43"/>
    </row>
    <row r="1361" spans="1:7" ht="30" x14ac:dyDescent="0.25">
      <c r="A1361" s="345" t="s">
        <v>1122</v>
      </c>
      <c r="B1361" s="345" t="s">
        <v>1123</v>
      </c>
      <c r="C1361" s="345" t="s">
        <v>1124</v>
      </c>
      <c r="D1361" s="345"/>
      <c r="E1361" s="346" t="s">
        <v>851</v>
      </c>
      <c r="F1361" s="347">
        <v>1059607246</v>
      </c>
      <c r="G1361" s="43"/>
    </row>
    <row r="1362" spans="1:7" ht="30" x14ac:dyDescent="0.25">
      <c r="A1362" s="43" t="s">
        <v>1126</v>
      </c>
      <c r="B1362" s="43" t="s">
        <v>1127</v>
      </c>
      <c r="C1362" s="43" t="s">
        <v>1128</v>
      </c>
      <c r="D1362" s="43" t="s">
        <v>1129</v>
      </c>
      <c r="E1362" s="109" t="s">
        <v>851</v>
      </c>
      <c r="F1362" s="110">
        <v>1059594848</v>
      </c>
      <c r="G1362" s="43"/>
    </row>
    <row r="1363" spans="1:7" ht="30" x14ac:dyDescent="0.25">
      <c r="A1363" s="345" t="s">
        <v>1134</v>
      </c>
      <c r="B1363" s="345" t="s">
        <v>1135</v>
      </c>
      <c r="C1363" s="345" t="s">
        <v>1136</v>
      </c>
      <c r="D1363" s="345" t="s">
        <v>1129</v>
      </c>
      <c r="E1363" s="346" t="s">
        <v>1094</v>
      </c>
      <c r="F1363" s="347">
        <v>1059595020</v>
      </c>
      <c r="G1363" s="43"/>
    </row>
    <row r="1364" spans="1:7" ht="30" x14ac:dyDescent="0.25">
      <c r="A1364" s="43" t="s">
        <v>884</v>
      </c>
      <c r="B1364" s="43" t="s">
        <v>1034</v>
      </c>
      <c r="C1364" s="43" t="s">
        <v>1138</v>
      </c>
      <c r="D1364" s="43"/>
      <c r="E1364" s="109" t="s">
        <v>851</v>
      </c>
      <c r="F1364" s="110">
        <v>1002848775</v>
      </c>
      <c r="G1364" s="43"/>
    </row>
    <row r="1365" spans="1:7" ht="30" x14ac:dyDescent="0.25">
      <c r="A1365" s="345" t="s">
        <v>1140</v>
      </c>
      <c r="B1365" s="345" t="s">
        <v>1141</v>
      </c>
      <c r="C1365" s="345" t="s">
        <v>1142</v>
      </c>
      <c r="D1365" s="345"/>
      <c r="E1365" s="346" t="s">
        <v>851</v>
      </c>
      <c r="F1365" s="347">
        <v>1002846304</v>
      </c>
      <c r="G1365" s="43"/>
    </row>
    <row r="1366" spans="1:7" ht="30" x14ac:dyDescent="0.25">
      <c r="A1366" s="43" t="s">
        <v>1144</v>
      </c>
      <c r="B1366" s="43" t="s">
        <v>943</v>
      </c>
      <c r="C1366" s="43" t="s">
        <v>1059</v>
      </c>
      <c r="D1366" s="43" t="s">
        <v>1145</v>
      </c>
      <c r="E1366" s="109" t="s">
        <v>1094</v>
      </c>
      <c r="F1366" s="110">
        <v>1059597691</v>
      </c>
      <c r="G1366" s="43"/>
    </row>
    <row r="1367" spans="1:7" ht="30" x14ac:dyDescent="0.25">
      <c r="A1367" s="345" t="s">
        <v>884</v>
      </c>
      <c r="B1367" s="345" t="s">
        <v>1147</v>
      </c>
      <c r="C1367" s="345" t="s">
        <v>938</v>
      </c>
      <c r="D1367" s="345" t="s">
        <v>1148</v>
      </c>
      <c r="E1367" s="346" t="s">
        <v>851</v>
      </c>
      <c r="F1367" s="347">
        <v>1059605233</v>
      </c>
      <c r="G1367" s="43"/>
    </row>
    <row r="1368" spans="1:7" ht="30" x14ac:dyDescent="0.25">
      <c r="A1368" s="43" t="s">
        <v>1122</v>
      </c>
      <c r="B1368" s="43" t="s">
        <v>1151</v>
      </c>
      <c r="C1368" s="43" t="s">
        <v>1152</v>
      </c>
      <c r="D1368" s="43"/>
      <c r="E1368" s="109" t="s">
        <v>851</v>
      </c>
      <c r="F1368" s="110">
        <v>1059605958</v>
      </c>
      <c r="G1368" s="43"/>
    </row>
    <row r="1369" spans="1:7" ht="30" x14ac:dyDescent="0.25">
      <c r="A1369" s="345" t="s">
        <v>1155</v>
      </c>
      <c r="B1369" s="345" t="s">
        <v>1156</v>
      </c>
      <c r="C1369" s="345" t="s">
        <v>954</v>
      </c>
      <c r="D1369" s="345" t="s">
        <v>1157</v>
      </c>
      <c r="E1369" s="346" t="s">
        <v>851</v>
      </c>
      <c r="F1369" s="347">
        <v>1002847205</v>
      </c>
      <c r="G1369" s="43"/>
    </row>
    <row r="1370" spans="1:7" ht="30" x14ac:dyDescent="0.25">
      <c r="A1370" s="301" t="s">
        <v>1160</v>
      </c>
      <c r="B1370" s="301" t="s">
        <v>1161</v>
      </c>
      <c r="C1370" s="301" t="s">
        <v>1162</v>
      </c>
      <c r="D1370" s="301"/>
      <c r="E1370" s="300" t="s">
        <v>851</v>
      </c>
      <c r="F1370" s="303">
        <v>1067468278</v>
      </c>
      <c r="G1370" s="43"/>
    </row>
    <row r="1371" spans="1:7" ht="30" x14ac:dyDescent="0.25">
      <c r="A1371" s="345" t="s">
        <v>1165</v>
      </c>
      <c r="B1371" s="345" t="s">
        <v>1166</v>
      </c>
      <c r="C1371" s="345" t="s">
        <v>1167</v>
      </c>
      <c r="D1371" s="345"/>
      <c r="E1371" s="346" t="s">
        <v>851</v>
      </c>
      <c r="F1371" s="347">
        <v>1059600837</v>
      </c>
      <c r="G1371" s="43"/>
    </row>
    <row r="1372" spans="1:7" ht="30" x14ac:dyDescent="0.25">
      <c r="A1372" s="43" t="s">
        <v>943</v>
      </c>
      <c r="B1372" s="43" t="s">
        <v>1170</v>
      </c>
      <c r="C1372" s="43" t="s">
        <v>1171</v>
      </c>
      <c r="D1372" s="43" t="s">
        <v>1172</v>
      </c>
      <c r="E1372" s="109" t="s">
        <v>851</v>
      </c>
      <c r="F1372" s="110">
        <v>1002848334</v>
      </c>
      <c r="G1372" s="43"/>
    </row>
    <row r="1373" spans="1:7" ht="30" x14ac:dyDescent="0.25">
      <c r="A1373" s="345" t="s">
        <v>1175</v>
      </c>
      <c r="B1373" s="345" t="s">
        <v>1176</v>
      </c>
      <c r="C1373" s="345" t="s">
        <v>1177</v>
      </c>
      <c r="D1373" s="345" t="s">
        <v>1100</v>
      </c>
      <c r="E1373" s="346" t="s">
        <v>851</v>
      </c>
      <c r="F1373" s="347">
        <v>1002846348</v>
      </c>
      <c r="G1373" s="43"/>
    </row>
    <row r="1374" spans="1:7" ht="30" x14ac:dyDescent="0.25">
      <c r="A1374" s="301" t="s">
        <v>1126</v>
      </c>
      <c r="B1374" s="301" t="s">
        <v>874</v>
      </c>
      <c r="C1374" s="301" t="s">
        <v>1178</v>
      </c>
      <c r="D1374" s="301"/>
      <c r="E1374" s="300" t="s">
        <v>851</v>
      </c>
      <c r="F1374" s="303">
        <v>1002848392</v>
      </c>
      <c r="G1374" s="43"/>
    </row>
    <row r="1375" spans="1:7" ht="30" x14ac:dyDescent="0.25">
      <c r="A1375" s="345" t="s">
        <v>1179</v>
      </c>
      <c r="B1375" s="345" t="s">
        <v>1180</v>
      </c>
      <c r="C1375" s="345" t="s">
        <v>1181</v>
      </c>
      <c r="D1375" s="345" t="s">
        <v>1182</v>
      </c>
      <c r="E1375" s="346" t="s">
        <v>1094</v>
      </c>
      <c r="F1375" s="347">
        <v>1059597173</v>
      </c>
      <c r="G1375" s="43"/>
    </row>
    <row r="1376" spans="1:7" ht="30" x14ac:dyDescent="0.25">
      <c r="A1376" s="43" t="s">
        <v>1187</v>
      </c>
      <c r="B1376" s="43" t="s">
        <v>1188</v>
      </c>
      <c r="C1376" s="43" t="s">
        <v>1189</v>
      </c>
      <c r="D1376" s="43" t="s">
        <v>1190</v>
      </c>
      <c r="E1376" s="109" t="s">
        <v>1094</v>
      </c>
      <c r="F1376" s="110">
        <v>1062077317</v>
      </c>
      <c r="G1376" s="43"/>
    </row>
    <row r="1377" spans="1:7" ht="30" x14ac:dyDescent="0.25">
      <c r="A1377" s="345" t="s">
        <v>1196</v>
      </c>
      <c r="B1377" s="345" t="s">
        <v>1197</v>
      </c>
      <c r="C1377" s="345" t="s">
        <v>1198</v>
      </c>
      <c r="D1377" s="345" t="s">
        <v>1199</v>
      </c>
      <c r="E1377" s="346" t="s">
        <v>851</v>
      </c>
      <c r="F1377" s="347">
        <v>1059601546</v>
      </c>
      <c r="G1377" s="43"/>
    </row>
    <row r="1378" spans="1:7" ht="30" x14ac:dyDescent="0.25">
      <c r="A1378" s="43" t="s">
        <v>848</v>
      </c>
      <c r="B1378" s="43" t="s">
        <v>1201</v>
      </c>
      <c r="C1378" s="43" t="s">
        <v>1059</v>
      </c>
      <c r="D1378" s="43" t="s">
        <v>1202</v>
      </c>
      <c r="E1378" s="109" t="s">
        <v>851</v>
      </c>
      <c r="F1378" s="110">
        <v>25545957</v>
      </c>
      <c r="G1378" s="43"/>
    </row>
    <row r="1379" spans="1:7" ht="30" x14ac:dyDescent="0.25">
      <c r="A1379" s="345" t="s">
        <v>909</v>
      </c>
      <c r="B1379" s="345"/>
      <c r="C1379" s="345" t="s">
        <v>1203</v>
      </c>
      <c r="D1379" s="345"/>
      <c r="E1379" s="346" t="s">
        <v>851</v>
      </c>
      <c r="F1379" s="347">
        <v>25546720</v>
      </c>
      <c r="G1379" s="43"/>
    </row>
    <row r="1380" spans="1:7" ht="30" x14ac:dyDescent="0.25">
      <c r="A1380" s="43" t="s">
        <v>1205</v>
      </c>
      <c r="B1380" s="43" t="s">
        <v>1206</v>
      </c>
      <c r="C1380" s="43" t="s">
        <v>1090</v>
      </c>
      <c r="D1380" s="43" t="s">
        <v>1207</v>
      </c>
      <c r="E1380" s="109" t="s">
        <v>851</v>
      </c>
      <c r="F1380" s="110">
        <v>1002848281</v>
      </c>
      <c r="G1380" s="43"/>
    </row>
    <row r="1381" spans="1:7" ht="30" x14ac:dyDescent="0.25">
      <c r="A1381" s="345" t="s">
        <v>1209</v>
      </c>
      <c r="B1381" s="345" t="s">
        <v>1210</v>
      </c>
      <c r="C1381" s="345" t="s">
        <v>1043</v>
      </c>
      <c r="D1381" s="345"/>
      <c r="E1381" s="346" t="s">
        <v>851</v>
      </c>
      <c r="F1381" s="347">
        <v>1059844668</v>
      </c>
      <c r="G1381" s="43"/>
    </row>
    <row r="1382" spans="1:7" ht="30" x14ac:dyDescent="0.25">
      <c r="A1382" s="43" t="s">
        <v>1211</v>
      </c>
      <c r="B1382" s="43" t="s">
        <v>1170</v>
      </c>
      <c r="C1382" s="43" t="s">
        <v>1212</v>
      </c>
      <c r="D1382" s="43"/>
      <c r="E1382" s="109" t="s">
        <v>851</v>
      </c>
      <c r="F1382" s="110">
        <v>1059607085</v>
      </c>
      <c r="G1382" s="43"/>
    </row>
    <row r="1383" spans="1:7" ht="30" x14ac:dyDescent="0.25">
      <c r="A1383" s="345" t="s">
        <v>992</v>
      </c>
      <c r="B1383" s="345" t="s">
        <v>1213</v>
      </c>
      <c r="C1383" s="345" t="s">
        <v>1214</v>
      </c>
      <c r="D1383" s="345"/>
      <c r="E1383" s="346" t="s">
        <v>1094</v>
      </c>
      <c r="F1383" s="347">
        <v>1059596128</v>
      </c>
      <c r="G1383" s="43"/>
    </row>
    <row r="1384" spans="1:7" ht="30" x14ac:dyDescent="0.25">
      <c r="A1384" s="43" t="s">
        <v>979</v>
      </c>
      <c r="B1384" s="43" t="s">
        <v>914</v>
      </c>
      <c r="C1384" s="43" t="s">
        <v>1215</v>
      </c>
      <c r="D1384" s="43"/>
      <c r="E1384" s="109" t="s">
        <v>851</v>
      </c>
      <c r="F1384" s="110">
        <v>1067461625</v>
      </c>
      <c r="G1384" s="43"/>
    </row>
    <row r="1385" spans="1:7" ht="30" x14ac:dyDescent="0.25">
      <c r="A1385" s="345" t="s">
        <v>1127</v>
      </c>
      <c r="B1385" s="345" t="s">
        <v>1127</v>
      </c>
      <c r="C1385" s="345" t="s">
        <v>1217</v>
      </c>
      <c r="D1385" s="345" t="s">
        <v>1218</v>
      </c>
      <c r="E1385" s="346" t="s">
        <v>1094</v>
      </c>
      <c r="F1385" s="347">
        <v>1059598378</v>
      </c>
      <c r="G1385" s="43"/>
    </row>
    <row r="1386" spans="1:7" ht="30" x14ac:dyDescent="0.25">
      <c r="A1386" s="43" t="s">
        <v>1219</v>
      </c>
      <c r="B1386" s="43" t="s">
        <v>1091</v>
      </c>
      <c r="C1386" s="43" t="s">
        <v>1192</v>
      </c>
      <c r="D1386" s="43" t="s">
        <v>1220</v>
      </c>
      <c r="E1386" s="109" t="s">
        <v>1094</v>
      </c>
      <c r="F1386" s="110">
        <v>1059598103</v>
      </c>
      <c r="G1386" s="43"/>
    </row>
    <row r="1387" spans="1:7" ht="30" x14ac:dyDescent="0.25">
      <c r="A1387" s="345" t="s">
        <v>1223</v>
      </c>
      <c r="B1387" s="345" t="s">
        <v>1224</v>
      </c>
      <c r="C1387" s="345" t="s">
        <v>1225</v>
      </c>
      <c r="D1387" s="345" t="s">
        <v>1226</v>
      </c>
      <c r="E1387" s="346" t="s">
        <v>851</v>
      </c>
      <c r="F1387" s="347">
        <v>1061537002</v>
      </c>
      <c r="G1387" s="43"/>
    </row>
    <row r="1388" spans="1:7" ht="30" x14ac:dyDescent="0.25">
      <c r="A1388" s="43" t="s">
        <v>1219</v>
      </c>
      <c r="B1388" s="43" t="s">
        <v>1228</v>
      </c>
      <c r="C1388" s="43" t="s">
        <v>1229</v>
      </c>
      <c r="D1388" s="43" t="s">
        <v>1230</v>
      </c>
      <c r="E1388" s="109" t="s">
        <v>851</v>
      </c>
      <c r="F1388" s="110">
        <v>1062780402</v>
      </c>
      <c r="G1388" s="43"/>
    </row>
    <row r="1389" spans="1:7" ht="30" x14ac:dyDescent="0.25">
      <c r="A1389" s="345" t="s">
        <v>1144</v>
      </c>
      <c r="B1389" s="345" t="s">
        <v>953</v>
      </c>
      <c r="C1389" s="345" t="s">
        <v>1232</v>
      </c>
      <c r="D1389" s="345"/>
      <c r="E1389" s="346" t="s">
        <v>851</v>
      </c>
      <c r="F1389" s="347">
        <v>1059594268</v>
      </c>
      <c r="G1389" s="43"/>
    </row>
    <row r="1390" spans="1:7" ht="30" x14ac:dyDescent="0.25">
      <c r="A1390" s="43" t="s">
        <v>909</v>
      </c>
      <c r="B1390" s="43" t="s">
        <v>1235</v>
      </c>
      <c r="C1390" s="43" t="s">
        <v>981</v>
      </c>
      <c r="D1390" s="43" t="s">
        <v>1129</v>
      </c>
      <c r="E1390" s="109" t="s">
        <v>851</v>
      </c>
      <c r="F1390" s="110">
        <v>1002847053</v>
      </c>
      <c r="G1390" s="43"/>
    </row>
    <row r="1391" spans="1:7" ht="30" x14ac:dyDescent="0.25">
      <c r="A1391" s="345" t="s">
        <v>1237</v>
      </c>
      <c r="B1391" s="345" t="s">
        <v>1238</v>
      </c>
      <c r="C1391" s="345" t="s">
        <v>1239</v>
      </c>
      <c r="D1391" s="345" t="s">
        <v>1240</v>
      </c>
      <c r="E1391" s="346" t="s">
        <v>851</v>
      </c>
      <c r="F1391" s="347">
        <v>1002846466</v>
      </c>
      <c r="G1391" s="43"/>
    </row>
    <row r="1392" spans="1:7" ht="30" x14ac:dyDescent="0.25">
      <c r="A1392" s="43" t="s">
        <v>1242</v>
      </c>
      <c r="B1392" s="43" t="s">
        <v>1135</v>
      </c>
      <c r="C1392" s="43" t="s">
        <v>985</v>
      </c>
      <c r="D1392" s="43" t="s">
        <v>1243</v>
      </c>
      <c r="E1392" s="109" t="s">
        <v>851</v>
      </c>
      <c r="F1392" s="110">
        <v>1002848594</v>
      </c>
      <c r="G1392" s="43"/>
    </row>
    <row r="1393" spans="1:7" ht="30" x14ac:dyDescent="0.25">
      <c r="A1393" s="345" t="s">
        <v>1202</v>
      </c>
      <c r="B1393" s="345" t="s">
        <v>1244</v>
      </c>
      <c r="C1393" s="345" t="s">
        <v>1245</v>
      </c>
      <c r="D1393" s="345" t="s">
        <v>848</v>
      </c>
      <c r="E1393" s="346" t="s">
        <v>851</v>
      </c>
      <c r="F1393" s="347">
        <v>1059596197</v>
      </c>
      <c r="G1393" s="43"/>
    </row>
    <row r="1394" spans="1:7" ht="30" x14ac:dyDescent="0.25">
      <c r="A1394" s="43" t="s">
        <v>1246</v>
      </c>
      <c r="B1394" s="43" t="s">
        <v>1127</v>
      </c>
      <c r="C1394" s="43" t="s">
        <v>1247</v>
      </c>
      <c r="D1394" s="43" t="s">
        <v>1248</v>
      </c>
      <c r="E1394" s="109" t="s">
        <v>851</v>
      </c>
      <c r="F1394" s="110">
        <v>1061809950</v>
      </c>
      <c r="G1394" s="43"/>
    </row>
    <row r="1395" spans="1:7" ht="30" x14ac:dyDescent="0.25">
      <c r="A1395" s="345" t="s">
        <v>1249</v>
      </c>
      <c r="B1395" s="345" t="s">
        <v>883</v>
      </c>
      <c r="C1395" s="345" t="s">
        <v>949</v>
      </c>
      <c r="D1395" s="345" t="s">
        <v>1250</v>
      </c>
      <c r="E1395" s="346" t="s">
        <v>851</v>
      </c>
      <c r="F1395" s="347">
        <v>1006956188</v>
      </c>
      <c r="G1395" s="43"/>
    </row>
    <row r="1396" spans="1:7" ht="30" x14ac:dyDescent="0.25">
      <c r="A1396" s="43" t="s">
        <v>857</v>
      </c>
      <c r="B1396" s="43" t="s">
        <v>914</v>
      </c>
      <c r="C1396" s="43" t="s">
        <v>1252</v>
      </c>
      <c r="D1396" s="43" t="s">
        <v>1253</v>
      </c>
      <c r="E1396" s="109" t="s">
        <v>851</v>
      </c>
      <c r="F1396" s="110">
        <v>1002847463</v>
      </c>
      <c r="G1396" s="43"/>
    </row>
    <row r="1397" spans="1:7" ht="30" x14ac:dyDescent="0.25">
      <c r="A1397" s="345" t="s">
        <v>1255</v>
      </c>
      <c r="B1397" s="345" t="s">
        <v>1256</v>
      </c>
      <c r="C1397" s="345" t="s">
        <v>1257</v>
      </c>
      <c r="D1397" s="345" t="s">
        <v>1258</v>
      </c>
      <c r="E1397" s="346" t="s">
        <v>851</v>
      </c>
      <c r="F1397" s="347">
        <v>1061690037</v>
      </c>
      <c r="G1397" s="43"/>
    </row>
    <row r="1398" spans="1:7" ht="30" x14ac:dyDescent="0.25">
      <c r="A1398" s="43" t="s">
        <v>1261</v>
      </c>
      <c r="B1398" s="43" t="s">
        <v>1262</v>
      </c>
      <c r="C1398" s="43" t="s">
        <v>1263</v>
      </c>
      <c r="D1398" s="43"/>
      <c r="E1398" s="109" t="s">
        <v>851</v>
      </c>
      <c r="F1398" s="110">
        <v>1059605939</v>
      </c>
      <c r="G1398" s="43"/>
    </row>
    <row r="1399" spans="1:7" ht="30" x14ac:dyDescent="0.25">
      <c r="A1399" s="345" t="s">
        <v>1265</v>
      </c>
      <c r="B1399" s="345" t="s">
        <v>953</v>
      </c>
      <c r="C1399" s="345" t="s">
        <v>1266</v>
      </c>
      <c r="D1399" s="345"/>
      <c r="E1399" s="346" t="s">
        <v>851</v>
      </c>
      <c r="F1399" s="347">
        <v>1059604648</v>
      </c>
      <c r="G1399" s="43"/>
    </row>
    <row r="1400" spans="1:7" ht="30" x14ac:dyDescent="0.25">
      <c r="A1400" s="43" t="s">
        <v>1268</v>
      </c>
      <c r="B1400" s="43" t="s">
        <v>1135</v>
      </c>
      <c r="C1400" s="43" t="s">
        <v>1269</v>
      </c>
      <c r="D1400" s="43"/>
      <c r="E1400" s="109" t="s">
        <v>851</v>
      </c>
      <c r="F1400" s="110">
        <v>1059597793</v>
      </c>
      <c r="G1400" s="43"/>
    </row>
    <row r="1401" spans="1:7" ht="30" x14ac:dyDescent="0.25">
      <c r="A1401" s="345" t="s">
        <v>980</v>
      </c>
      <c r="B1401" s="345" t="s">
        <v>980</v>
      </c>
      <c r="C1401" s="345" t="s">
        <v>1272</v>
      </c>
      <c r="D1401" s="345" t="s">
        <v>1273</v>
      </c>
      <c r="E1401" s="346" t="s">
        <v>851</v>
      </c>
      <c r="F1401" s="347">
        <v>1061782600</v>
      </c>
      <c r="G1401" s="43"/>
    </row>
    <row r="1402" spans="1:7" ht="30" x14ac:dyDescent="0.25">
      <c r="A1402" s="43" t="s">
        <v>1276</v>
      </c>
      <c r="B1402" s="43" t="s">
        <v>857</v>
      </c>
      <c r="C1402" s="43"/>
      <c r="D1402" s="43" t="s">
        <v>1277</v>
      </c>
      <c r="E1402" s="109" t="s">
        <v>851</v>
      </c>
      <c r="F1402" s="110">
        <v>1003150920</v>
      </c>
      <c r="G1402" s="43"/>
    </row>
    <row r="1403" spans="1:7" ht="30" x14ac:dyDescent="0.25">
      <c r="A1403" s="345" t="s">
        <v>873</v>
      </c>
      <c r="B1403" s="345" t="s">
        <v>874</v>
      </c>
      <c r="C1403" s="345" t="s">
        <v>1280</v>
      </c>
      <c r="D1403" s="345" t="s">
        <v>1281</v>
      </c>
      <c r="E1403" s="346" t="s">
        <v>1094</v>
      </c>
      <c r="F1403" s="347">
        <v>1059599177</v>
      </c>
      <c r="G1403" s="43"/>
    </row>
    <row r="1404" spans="1:7" ht="30" x14ac:dyDescent="0.25">
      <c r="A1404" s="43" t="s">
        <v>1282</v>
      </c>
      <c r="B1404" s="43" t="s">
        <v>943</v>
      </c>
      <c r="C1404" s="43" t="s">
        <v>1283</v>
      </c>
      <c r="D1404" s="43"/>
      <c r="E1404" s="109" t="s">
        <v>851</v>
      </c>
      <c r="F1404" s="110">
        <v>25547178</v>
      </c>
      <c r="G1404" s="43"/>
    </row>
    <row r="1405" spans="1:7" ht="30" x14ac:dyDescent="0.25">
      <c r="A1405" s="345" t="s">
        <v>896</v>
      </c>
      <c r="B1405" s="345" t="s">
        <v>943</v>
      </c>
      <c r="C1405" s="345" t="s">
        <v>1284</v>
      </c>
      <c r="D1405" s="345" t="s">
        <v>1285</v>
      </c>
      <c r="E1405" s="346" t="s">
        <v>851</v>
      </c>
      <c r="F1405" s="347">
        <v>1002848394</v>
      </c>
      <c r="G1405" s="43"/>
    </row>
    <row r="1406" spans="1:7" ht="30" x14ac:dyDescent="0.25">
      <c r="A1406" s="301" t="s">
        <v>1147</v>
      </c>
      <c r="B1406" s="301" t="s">
        <v>1286</v>
      </c>
      <c r="C1406" s="301" t="s">
        <v>1287</v>
      </c>
      <c r="D1406" s="301" t="s">
        <v>1043</v>
      </c>
      <c r="E1406" s="300" t="s">
        <v>851</v>
      </c>
      <c r="F1406" s="303">
        <v>1059597815</v>
      </c>
      <c r="G1406" s="43"/>
    </row>
    <row r="1407" spans="1:7" ht="30" x14ac:dyDescent="0.25">
      <c r="A1407" s="345" t="s">
        <v>914</v>
      </c>
      <c r="B1407" s="345" t="s">
        <v>943</v>
      </c>
      <c r="C1407" s="345" t="s">
        <v>1289</v>
      </c>
      <c r="D1407" s="345"/>
      <c r="E1407" s="346" t="s">
        <v>851</v>
      </c>
      <c r="F1407" s="347">
        <v>1059596690</v>
      </c>
      <c r="G1407" s="43"/>
    </row>
    <row r="1408" spans="1:7" ht="30" x14ac:dyDescent="0.25">
      <c r="A1408" s="43" t="s">
        <v>1290</v>
      </c>
      <c r="B1408" s="43" t="s">
        <v>996</v>
      </c>
      <c r="C1408" s="43" t="s">
        <v>1291</v>
      </c>
      <c r="D1408" s="43"/>
      <c r="E1408" s="109" t="s">
        <v>1094</v>
      </c>
      <c r="F1408" s="110">
        <v>1059597222</v>
      </c>
      <c r="G1408" s="43"/>
    </row>
    <row r="1409" spans="1:7" ht="30" x14ac:dyDescent="0.25">
      <c r="A1409" s="345" t="s">
        <v>884</v>
      </c>
      <c r="B1409" s="345"/>
      <c r="C1409" s="345" t="s">
        <v>1293</v>
      </c>
      <c r="D1409" s="345" t="s">
        <v>1294</v>
      </c>
      <c r="E1409" s="346" t="s">
        <v>1094</v>
      </c>
      <c r="F1409" s="347">
        <v>1059597528</v>
      </c>
      <c r="G1409" s="43"/>
    </row>
    <row r="1410" spans="1:7" ht="30" x14ac:dyDescent="0.25">
      <c r="A1410" s="43" t="s">
        <v>953</v>
      </c>
      <c r="B1410" s="43" t="s">
        <v>1091</v>
      </c>
      <c r="C1410" s="43" t="s">
        <v>1217</v>
      </c>
      <c r="D1410" s="43" t="s">
        <v>1295</v>
      </c>
      <c r="E1410" s="109" t="s">
        <v>851</v>
      </c>
      <c r="F1410" s="110">
        <v>1002847470</v>
      </c>
      <c r="G1410" s="43"/>
    </row>
    <row r="1411" spans="1:7" ht="30" x14ac:dyDescent="0.25">
      <c r="A1411" s="345" t="s">
        <v>1144</v>
      </c>
      <c r="B1411" s="345" t="s">
        <v>914</v>
      </c>
      <c r="C1411" s="345" t="s">
        <v>1303</v>
      </c>
      <c r="D1411" s="345"/>
      <c r="E1411" s="346" t="s">
        <v>851</v>
      </c>
      <c r="F1411" s="347">
        <v>1059594726</v>
      </c>
      <c r="G1411" s="43"/>
    </row>
    <row r="1412" spans="1:7" ht="30" x14ac:dyDescent="0.25">
      <c r="A1412" s="43" t="s">
        <v>944</v>
      </c>
      <c r="B1412" s="43" t="s">
        <v>1147</v>
      </c>
      <c r="C1412" s="43" t="s">
        <v>1304</v>
      </c>
      <c r="D1412" s="43"/>
      <c r="E1412" s="109" t="s">
        <v>851</v>
      </c>
      <c r="F1412" s="110">
        <v>1002848765</v>
      </c>
      <c r="G1412" s="43"/>
    </row>
    <row r="1413" spans="1:7" ht="30" x14ac:dyDescent="0.25">
      <c r="A1413" s="345" t="s">
        <v>1309</v>
      </c>
      <c r="B1413" s="345" t="s">
        <v>1310</v>
      </c>
      <c r="C1413" s="345" t="s">
        <v>1281</v>
      </c>
      <c r="D1413" s="345" t="s">
        <v>1277</v>
      </c>
      <c r="E1413" s="346" t="s">
        <v>851</v>
      </c>
      <c r="F1413" s="347">
        <v>1062088572</v>
      </c>
      <c r="G1413" s="43"/>
    </row>
    <row r="1414" spans="1:7" ht="30" x14ac:dyDescent="0.25">
      <c r="A1414" s="43" t="s">
        <v>1312</v>
      </c>
      <c r="B1414" s="43" t="s">
        <v>1313</v>
      </c>
      <c r="C1414" s="43" t="s">
        <v>1314</v>
      </c>
      <c r="D1414" s="43"/>
      <c r="E1414" s="109" t="s">
        <v>851</v>
      </c>
      <c r="F1414" s="110">
        <v>1002848080</v>
      </c>
      <c r="G1414" s="43"/>
    </row>
    <row r="1415" spans="1:7" ht="30" x14ac:dyDescent="0.25">
      <c r="A1415" s="345" t="s">
        <v>884</v>
      </c>
      <c r="B1415" s="345" t="s">
        <v>1322</v>
      </c>
      <c r="C1415" s="345" t="s">
        <v>1323</v>
      </c>
      <c r="D1415" s="345" t="s">
        <v>1324</v>
      </c>
      <c r="E1415" s="346" t="s">
        <v>851</v>
      </c>
      <c r="F1415" s="347" t="s">
        <v>1325</v>
      </c>
      <c r="G1415" s="43"/>
    </row>
    <row r="1416" spans="1:7" ht="30" x14ac:dyDescent="0.25">
      <c r="A1416" s="43" t="s">
        <v>1326</v>
      </c>
      <c r="B1416" s="43" t="s">
        <v>1327</v>
      </c>
      <c r="C1416" s="43" t="s">
        <v>1328</v>
      </c>
      <c r="D1416" s="43" t="s">
        <v>1329</v>
      </c>
      <c r="E1416" s="109" t="s">
        <v>851</v>
      </c>
      <c r="F1416" s="110">
        <v>1061499220</v>
      </c>
      <c r="G1416" s="43"/>
    </row>
    <row r="1417" spans="1:7" ht="30" x14ac:dyDescent="0.25">
      <c r="A1417" s="345" t="s">
        <v>884</v>
      </c>
      <c r="B1417" s="345" t="s">
        <v>943</v>
      </c>
      <c r="C1417" s="345" t="s">
        <v>1330</v>
      </c>
      <c r="D1417" s="345"/>
      <c r="E1417" s="346" t="s">
        <v>851</v>
      </c>
      <c r="F1417" s="347">
        <v>1059598469</v>
      </c>
      <c r="G1417" s="43"/>
    </row>
    <row r="1418" spans="1:7" ht="30" x14ac:dyDescent="0.25">
      <c r="A1418" s="43" t="s">
        <v>909</v>
      </c>
      <c r="B1418" s="43" t="s">
        <v>928</v>
      </c>
      <c r="C1418" s="43" t="s">
        <v>1047</v>
      </c>
      <c r="D1418" s="43"/>
      <c r="E1418" s="109" t="s">
        <v>851</v>
      </c>
      <c r="F1418" s="110" t="s">
        <v>1335</v>
      </c>
      <c r="G1418" s="43"/>
    </row>
    <row r="1419" spans="1:7" ht="30" x14ac:dyDescent="0.25">
      <c r="A1419" s="345" t="s">
        <v>1336</v>
      </c>
      <c r="B1419" s="345" t="s">
        <v>1336</v>
      </c>
      <c r="C1419" s="345" t="s">
        <v>938</v>
      </c>
      <c r="D1419" s="345" t="s">
        <v>1337</v>
      </c>
      <c r="E1419" s="346" t="s">
        <v>851</v>
      </c>
      <c r="F1419" s="347">
        <v>1062326726</v>
      </c>
      <c r="G1419" s="43"/>
    </row>
    <row r="1420" spans="1:7" ht="30" x14ac:dyDescent="0.25">
      <c r="A1420" s="43" t="s">
        <v>1342</v>
      </c>
      <c r="B1420" s="43" t="s">
        <v>1343</v>
      </c>
      <c r="C1420" s="43" t="s">
        <v>938</v>
      </c>
      <c r="D1420" s="43" t="s">
        <v>1344</v>
      </c>
      <c r="E1420" s="109" t="s">
        <v>851</v>
      </c>
      <c r="F1420" s="110">
        <v>1113541820</v>
      </c>
      <c r="G1420" s="43"/>
    </row>
    <row r="1421" spans="1:7" ht="30" x14ac:dyDescent="0.25">
      <c r="A1421" s="345" t="s">
        <v>953</v>
      </c>
      <c r="B1421" s="345" t="s">
        <v>1345</v>
      </c>
      <c r="C1421" s="345" t="s">
        <v>1346</v>
      </c>
      <c r="D1421" s="345"/>
      <c r="E1421" s="346" t="s">
        <v>851</v>
      </c>
      <c r="F1421" s="347" t="s">
        <v>1347</v>
      </c>
      <c r="G1421" s="43"/>
    </row>
    <row r="1422" spans="1:7" ht="30" x14ac:dyDescent="0.25">
      <c r="A1422" s="301" t="s">
        <v>909</v>
      </c>
      <c r="B1422" s="301" t="s">
        <v>914</v>
      </c>
      <c r="C1422" s="301" t="s">
        <v>1348</v>
      </c>
      <c r="D1422" s="301"/>
      <c r="E1422" s="300" t="s">
        <v>851</v>
      </c>
      <c r="F1422" s="303">
        <v>1002847764</v>
      </c>
      <c r="G1422" s="43"/>
    </row>
    <row r="1423" spans="1:7" ht="30" x14ac:dyDescent="0.25">
      <c r="A1423" s="345" t="s">
        <v>1349</v>
      </c>
      <c r="B1423" s="345" t="s">
        <v>1350</v>
      </c>
      <c r="C1423" s="345" t="s">
        <v>1351</v>
      </c>
      <c r="D1423" s="345" t="s">
        <v>1352</v>
      </c>
      <c r="E1423" s="346" t="s">
        <v>851</v>
      </c>
      <c r="F1423" s="347" t="s">
        <v>1353</v>
      </c>
      <c r="G1423" s="43"/>
    </row>
    <row r="1424" spans="1:7" ht="30" x14ac:dyDescent="0.25">
      <c r="A1424" s="43" t="s">
        <v>914</v>
      </c>
      <c r="B1424" s="43" t="s">
        <v>884</v>
      </c>
      <c r="C1424" s="43" t="s">
        <v>1217</v>
      </c>
      <c r="D1424" s="43" t="s">
        <v>1354</v>
      </c>
      <c r="E1424" s="109" t="s">
        <v>851</v>
      </c>
      <c r="F1424" s="110">
        <v>1059604950</v>
      </c>
      <c r="G1424" s="43"/>
    </row>
    <row r="1425" spans="1:7" ht="30" x14ac:dyDescent="0.25">
      <c r="A1425" s="345" t="s">
        <v>1356</v>
      </c>
      <c r="B1425" s="345" t="s">
        <v>943</v>
      </c>
      <c r="C1425" s="345" t="s">
        <v>1357</v>
      </c>
      <c r="D1425" s="345"/>
      <c r="E1425" s="346" t="s">
        <v>1094</v>
      </c>
      <c r="F1425" s="347" t="s">
        <v>1358</v>
      </c>
      <c r="G1425" s="43"/>
    </row>
    <row r="1426" spans="1:7" ht="30" x14ac:dyDescent="0.25">
      <c r="A1426" s="43" t="s">
        <v>943</v>
      </c>
      <c r="B1426" s="43" t="s">
        <v>1361</v>
      </c>
      <c r="C1426" s="43" t="s">
        <v>1372</v>
      </c>
      <c r="D1426" s="43" t="s">
        <v>1373</v>
      </c>
      <c r="E1426" s="109" t="s">
        <v>851</v>
      </c>
      <c r="F1426" s="110">
        <v>1068216345</v>
      </c>
      <c r="G1426" s="43"/>
    </row>
    <row r="1427" spans="1:7" ht="30" x14ac:dyDescent="0.25">
      <c r="A1427" s="345" t="s">
        <v>943</v>
      </c>
      <c r="B1427" s="345" t="s">
        <v>1025</v>
      </c>
      <c r="C1427" s="345" t="s">
        <v>1657</v>
      </c>
      <c r="D1427" s="345"/>
      <c r="E1427" s="346" t="s">
        <v>851</v>
      </c>
      <c r="F1427" s="347">
        <v>1059594597</v>
      </c>
      <c r="G1427" s="43"/>
    </row>
    <row r="1428" spans="1:7" ht="30" x14ac:dyDescent="0.25">
      <c r="A1428" s="301" t="s">
        <v>914</v>
      </c>
      <c r="B1428" s="301" t="s">
        <v>917</v>
      </c>
      <c r="C1428" s="301" t="s">
        <v>1376</v>
      </c>
      <c r="D1428" s="301"/>
      <c r="E1428" s="300" t="s">
        <v>851</v>
      </c>
      <c r="F1428" s="303">
        <v>1002847472</v>
      </c>
      <c r="G1428" s="43"/>
    </row>
    <row r="1429" spans="1:7" ht="30" x14ac:dyDescent="0.25">
      <c r="A1429" s="345" t="s">
        <v>1365</v>
      </c>
      <c r="B1429" s="345" t="s">
        <v>1378</v>
      </c>
      <c r="C1429" s="345" t="s">
        <v>1379</v>
      </c>
      <c r="D1429" s="345"/>
      <c r="E1429" s="346" t="s">
        <v>851</v>
      </c>
      <c r="F1429" s="347">
        <v>1059594610</v>
      </c>
      <c r="G1429" s="43"/>
    </row>
    <row r="1430" spans="1:7" ht="30" x14ac:dyDescent="0.25">
      <c r="A1430" s="43" t="s">
        <v>1386</v>
      </c>
      <c r="B1430" s="43" t="s">
        <v>1387</v>
      </c>
      <c r="C1430" s="43" t="s">
        <v>1388</v>
      </c>
      <c r="D1430" s="43"/>
      <c r="E1430" s="109" t="s">
        <v>851</v>
      </c>
      <c r="F1430" s="110">
        <v>34655779</v>
      </c>
      <c r="G1430" s="43"/>
    </row>
    <row r="1431" spans="1:7" ht="30" x14ac:dyDescent="0.25">
      <c r="A1431" s="345" t="s">
        <v>1394</v>
      </c>
      <c r="B1431" s="345" t="s">
        <v>1395</v>
      </c>
      <c r="C1431" s="345" t="s">
        <v>1284</v>
      </c>
      <c r="D1431" s="345" t="s">
        <v>1182</v>
      </c>
      <c r="E1431" s="346" t="s">
        <v>851</v>
      </c>
      <c r="F1431" s="347">
        <v>1059594142</v>
      </c>
      <c r="G1431" s="43"/>
    </row>
    <row r="1432" spans="1:7" ht="30" x14ac:dyDescent="0.25">
      <c r="A1432" s="301" t="s">
        <v>953</v>
      </c>
      <c r="B1432" s="301" t="s">
        <v>1402</v>
      </c>
      <c r="C1432" s="301" t="s">
        <v>1403</v>
      </c>
      <c r="D1432" s="301" t="s">
        <v>982</v>
      </c>
      <c r="E1432" s="300" t="s">
        <v>851</v>
      </c>
      <c r="F1432" s="303">
        <v>1002922124</v>
      </c>
      <c r="G1432" s="43"/>
    </row>
    <row r="1433" spans="1:7" ht="30" x14ac:dyDescent="0.25">
      <c r="A1433" s="345" t="s">
        <v>1410</v>
      </c>
      <c r="B1433" s="345" t="s">
        <v>1411</v>
      </c>
      <c r="C1433" s="345" t="s">
        <v>1412</v>
      </c>
      <c r="D1433" s="345" t="s">
        <v>1028</v>
      </c>
      <c r="E1433" s="346" t="s">
        <v>851</v>
      </c>
      <c r="F1433" s="347">
        <v>1059595537</v>
      </c>
      <c r="G1433" s="43"/>
    </row>
    <row r="1434" spans="1:7" ht="30" x14ac:dyDescent="0.25">
      <c r="A1434" s="43" t="s">
        <v>1147</v>
      </c>
      <c r="B1434" s="43" t="s">
        <v>1091</v>
      </c>
      <c r="C1434" s="43" t="s">
        <v>1413</v>
      </c>
      <c r="D1434" s="43" t="s">
        <v>1414</v>
      </c>
      <c r="E1434" s="109" t="s">
        <v>851</v>
      </c>
      <c r="F1434" s="110">
        <v>1059594835</v>
      </c>
      <c r="G1434" s="43"/>
    </row>
    <row r="1435" spans="1:7" ht="30" x14ac:dyDescent="0.25">
      <c r="A1435" s="301" t="s">
        <v>974</v>
      </c>
      <c r="B1435" s="301" t="s">
        <v>1144</v>
      </c>
      <c r="C1435" s="301" t="s">
        <v>1419</v>
      </c>
      <c r="D1435" s="301"/>
      <c r="E1435" s="300" t="s">
        <v>851</v>
      </c>
      <c r="F1435" s="303">
        <v>1059598995</v>
      </c>
      <c r="G1435" s="43"/>
    </row>
    <row r="1436" spans="1:7" ht="30" x14ac:dyDescent="0.25">
      <c r="A1436" s="43" t="s">
        <v>953</v>
      </c>
      <c r="B1436" s="43" t="s">
        <v>848</v>
      </c>
      <c r="C1436" s="43" t="s">
        <v>1420</v>
      </c>
      <c r="D1436" s="43"/>
      <c r="E1436" s="109" t="s">
        <v>851</v>
      </c>
      <c r="F1436" s="110">
        <v>1002846728</v>
      </c>
      <c r="G1436" s="43"/>
    </row>
    <row r="1437" spans="1:7" ht="30" x14ac:dyDescent="0.25">
      <c r="A1437" s="345" t="s">
        <v>1424</v>
      </c>
      <c r="B1437" s="345" t="s">
        <v>1425</v>
      </c>
      <c r="C1437" s="345" t="s">
        <v>1192</v>
      </c>
      <c r="D1437" s="345" t="s">
        <v>1243</v>
      </c>
      <c r="E1437" s="346" t="s">
        <v>851</v>
      </c>
      <c r="F1437" s="347">
        <v>1059602162</v>
      </c>
      <c r="G1437" s="43"/>
    </row>
    <row r="1438" spans="1:7" ht="30" x14ac:dyDescent="0.25">
      <c r="A1438" s="43" t="s">
        <v>1446</v>
      </c>
      <c r="B1438" s="43" t="s">
        <v>1447</v>
      </c>
      <c r="C1438" s="43" t="s">
        <v>1047</v>
      </c>
      <c r="D1438" s="43"/>
      <c r="E1438" s="109" t="s">
        <v>851</v>
      </c>
      <c r="F1438" s="110">
        <v>1073246645</v>
      </c>
      <c r="G1438" s="43"/>
    </row>
    <row r="1439" spans="1:7" ht="30" x14ac:dyDescent="0.25">
      <c r="A1439" s="345" t="s">
        <v>1342</v>
      </c>
      <c r="B1439" s="345" t="s">
        <v>1450</v>
      </c>
      <c r="C1439" s="345" t="s">
        <v>1167</v>
      </c>
      <c r="D1439" s="345"/>
      <c r="E1439" s="346" t="s">
        <v>851</v>
      </c>
      <c r="F1439" s="347">
        <v>25547109</v>
      </c>
      <c r="G1439" s="43"/>
    </row>
    <row r="1440" spans="1:7" ht="30" x14ac:dyDescent="0.25">
      <c r="A1440" s="43" t="s">
        <v>884</v>
      </c>
      <c r="B1440" s="43" t="s">
        <v>1144</v>
      </c>
      <c r="C1440" s="43" t="s">
        <v>1454</v>
      </c>
      <c r="D1440" s="43"/>
      <c r="E1440" s="109" t="s">
        <v>851</v>
      </c>
      <c r="F1440" s="110">
        <v>1002847188</v>
      </c>
      <c r="G1440" s="43"/>
    </row>
    <row r="1441" spans="1:7" ht="30" x14ac:dyDescent="0.25">
      <c r="A1441" s="345" t="s">
        <v>1470</v>
      </c>
      <c r="B1441" s="345" t="s">
        <v>874</v>
      </c>
      <c r="C1441" s="345" t="s">
        <v>1217</v>
      </c>
      <c r="D1441" s="345" t="s">
        <v>1471</v>
      </c>
      <c r="E1441" s="346" t="s">
        <v>851</v>
      </c>
      <c r="F1441" s="347">
        <v>1059600344</v>
      </c>
      <c r="G1441" s="43"/>
    </row>
    <row r="1442" spans="1:7" ht="30" x14ac:dyDescent="0.25">
      <c r="A1442" s="43" t="s">
        <v>1425</v>
      </c>
      <c r="B1442" s="43" t="s">
        <v>1365</v>
      </c>
      <c r="C1442" s="43" t="s">
        <v>1472</v>
      </c>
      <c r="D1442" s="43"/>
      <c r="E1442" s="109" t="s">
        <v>851</v>
      </c>
      <c r="F1442" s="110">
        <v>1002848150</v>
      </c>
      <c r="G1442" s="43"/>
    </row>
    <row r="1443" spans="1:7" ht="30" x14ac:dyDescent="0.25">
      <c r="A1443" s="345" t="s">
        <v>1014</v>
      </c>
      <c r="B1443" s="345" t="s">
        <v>1474</v>
      </c>
      <c r="C1443" s="345" t="s">
        <v>1475</v>
      </c>
      <c r="D1443" s="345"/>
      <c r="E1443" s="346" t="s">
        <v>851</v>
      </c>
      <c r="F1443" s="347">
        <v>1002846252</v>
      </c>
      <c r="G1443" s="43"/>
    </row>
    <row r="1444" spans="1:7" ht="30" x14ac:dyDescent="0.25">
      <c r="A1444" s="43" t="s">
        <v>1365</v>
      </c>
      <c r="B1444" s="43" t="s">
        <v>857</v>
      </c>
      <c r="C1444" s="43" t="s">
        <v>1217</v>
      </c>
      <c r="D1444" s="43" t="s">
        <v>1487</v>
      </c>
      <c r="E1444" s="109" t="s">
        <v>851</v>
      </c>
      <c r="F1444" s="110" t="s">
        <v>1488</v>
      </c>
      <c r="G1444" s="43"/>
    </row>
    <row r="1445" spans="1:7" ht="30" x14ac:dyDescent="0.25">
      <c r="A1445" s="345" t="s">
        <v>914</v>
      </c>
      <c r="B1445" s="345" t="s">
        <v>953</v>
      </c>
      <c r="C1445" s="345" t="s">
        <v>1217</v>
      </c>
      <c r="D1445" s="345" t="s">
        <v>1398</v>
      </c>
      <c r="E1445" s="346" t="s">
        <v>851</v>
      </c>
      <c r="F1445" s="347">
        <v>1059602321</v>
      </c>
      <c r="G1445" s="43"/>
    </row>
    <row r="1446" spans="1:7" ht="30" x14ac:dyDescent="0.25">
      <c r="A1446" s="43" t="s">
        <v>1526</v>
      </c>
      <c r="B1446" s="43" t="s">
        <v>1527</v>
      </c>
      <c r="C1446" s="43" t="s">
        <v>1528</v>
      </c>
      <c r="D1446" s="43" t="s">
        <v>1281</v>
      </c>
      <c r="E1446" s="109" t="s">
        <v>1094</v>
      </c>
      <c r="F1446" s="110">
        <v>1059596250</v>
      </c>
      <c r="G1446" s="43"/>
    </row>
    <row r="1447" spans="1:7" ht="30" x14ac:dyDescent="0.25">
      <c r="A1447" s="345" t="s">
        <v>848</v>
      </c>
      <c r="B1447" s="345" t="s">
        <v>943</v>
      </c>
      <c r="C1447" s="345" t="s">
        <v>1565</v>
      </c>
      <c r="D1447" s="345"/>
      <c r="E1447" s="346" t="s">
        <v>851</v>
      </c>
      <c r="F1447" s="347">
        <v>1059606933</v>
      </c>
      <c r="G1447" s="43"/>
    </row>
    <row r="1448" spans="1:7" ht="30" x14ac:dyDescent="0.25">
      <c r="A1448" s="43" t="s">
        <v>914</v>
      </c>
      <c r="B1448" s="43" t="s">
        <v>943</v>
      </c>
      <c r="C1448" s="43" t="s">
        <v>1575</v>
      </c>
      <c r="D1448" s="43"/>
      <c r="E1448" s="109" t="s">
        <v>851</v>
      </c>
      <c r="F1448" s="356" t="s">
        <v>1574</v>
      </c>
      <c r="G1448" s="43"/>
    </row>
    <row r="1449" spans="1:7" ht="30" x14ac:dyDescent="0.25">
      <c r="A1449" s="345" t="s">
        <v>1068</v>
      </c>
      <c r="B1449" s="345" t="s">
        <v>1577</v>
      </c>
      <c r="C1449" s="345" t="s">
        <v>1468</v>
      </c>
      <c r="D1449" s="345" t="s">
        <v>1281</v>
      </c>
      <c r="E1449" s="346" t="s">
        <v>851</v>
      </c>
      <c r="F1449" s="359" t="s">
        <v>1576</v>
      </c>
      <c r="G1449" s="43"/>
    </row>
    <row r="1450" spans="1:7" ht="30" x14ac:dyDescent="0.25">
      <c r="A1450" s="43" t="s">
        <v>944</v>
      </c>
      <c r="B1450" s="43" t="s">
        <v>944</v>
      </c>
      <c r="C1450" s="43" t="s">
        <v>1616</v>
      </c>
      <c r="D1450" s="43" t="s">
        <v>1617</v>
      </c>
      <c r="E1450" s="109" t="s">
        <v>851</v>
      </c>
      <c r="F1450" s="110">
        <v>1059595276</v>
      </c>
      <c r="G1450" s="43"/>
    </row>
  </sheetData>
  <protectedRanges>
    <protectedRange algorithmName="SHA-512" hashValue="9+DNppQbWrLYYUMoJ+lyQctV2bX3Vq9kZnegLbpjTLP49It2ovUbcartuoQTeXgP+TGpY//7mDH/UQlFCKDGiA==" saltValue="KUnni6YEm00anzSSvyLqQA==" spinCount="100000" sqref="A2:F2" name="Rango2"/>
    <protectedRange algorithmName="SHA-512" hashValue="6a5oYwZw9WJcgjqXpleUXH8uaqNEuymPPpeOb7lKBc1WoM6IG/DNyDLWmj2lYwxnZO2yhl+B61kwrxD9m9AdhQ==" saltValue="tdNQPzLQd+n9Ww064QJIaQ==" spinCount="100000" sqref="E3 E232:E235 E238:E239 F269 E242:E278 E280:E336 E339:E340 F371 E343:E379 E382:E436 E438:E453 E454:F454 E455:E463 E466:E490 E491:F491 E492:E501 E504:E534 E537:E550 E553:E560 F597 E563:E601 E604:E610 E613 E616:E618 E621:E680 F773 E683:E787 F873 E790:E882 E885:E922 F999 E925:E1013 E1016:E1062 F1083 E1065:E1091 F1172 E1094:E1186 F1257 E1189:E1271 E1274:E1314 E1317:E1450" name="Rango2_61"/>
    <protectedRange algorithmName="SHA-512" hashValue="EMMPgE8t/az1rHHzaZAQIhz+GQV0k2O/tQGA96sJqEEMzz1efIRa4CcLzC7iY9CCscto3g7dwz41haOE28iXYg==" saltValue="CVzFsG4X4LXUMo7796PiDQ==" spinCount="100000" sqref="F3 A3:D3 F232 F235 A232:D235 A238:D239 F278 F242:F257 F263:F268 F271:F275 A242:D278 F280:F324 F326:F330 F333 A280:D336 F335 A339:D340 F343:F359 F365:F370 F373:F377 A343:D379 F382:F426 F428:F431 F433 F435 A382:D436 F438:F446 F448 F452:F453 F455:F459 A438:D463 F466:F481 F483 F489:F490 F493:F497 A466:D501 F504:F522 F524:F526 F529:F532 A504:D534 F537:F544 A537:D550 F546:F549 F553:F559 A553:D560 F563:F587 F592:F596 F598:F600 A563:D601 F604:F610 A604:D610 F613 A613:D613 F616:F618 A616:D618 F621:F668 F670:F673 F676:F677 F679 A621:D680 F776:F783 F742:F744 F683:F740 F746:F756 F763:F772 A683:D787 F790:F844 F846:F856 F863:F872 F876:F880 A790:D882 F885:F905 F912:F918 A885:D922 F969:F970 F925:F967 F972:F981 F989:F998 F1002:F1009 A925:D1013 F1016:F1038 F1040:F1044 F1048:F1052 F1054:F1059 A1016:D1062 F1065:F1074 F1076 F1080:F1082 A1065:D1091 F1085:F1089 F1175:F1182 F1141:F1143 F1094:F1139 F1145:F1154 A1094:D1186 F1162:F1171 F1260:F1267 F1227:F1229 F1189:F1225 F1231:F1241 A1189:D1271 F1248:F1256 F1274:F1311 F1314 A1274:D1314 F1317:F1447 F1450 A1317:D1450" name="Rango2_10"/>
    <protectedRange algorithmName="SHA-512" hashValue="6a5oYwZw9WJcgjqXpleUXH8uaqNEuymPPpeOb7lKBc1WoM6IG/DNyDLWmj2lYwxnZO2yhl+B61kwrxD9m9AdhQ==" saltValue="tdNQPzLQd+n9Ww064QJIaQ==" spinCount="100000" sqref="E4:E5" name="Rango2_61_1"/>
    <protectedRange algorithmName="SHA-512" hashValue="EMMPgE8t/az1rHHzaZAQIhz+GQV0k2O/tQGA96sJqEEMzz1efIRa4CcLzC7iY9CCscto3g7dwz41haOE28iXYg==" saltValue="CVzFsG4X4LXUMo7796PiDQ==" spinCount="100000" sqref="F4:F5 A4:D5" name="Rango2_10_1"/>
    <protectedRange algorithmName="SHA-512" hashValue="6a5oYwZw9WJcgjqXpleUXH8uaqNEuymPPpeOb7lKBc1WoM6IG/DNyDLWmj2lYwxnZO2yhl+B61kwrxD9m9AdhQ==" saltValue="tdNQPzLQd+n9Ww064QJIaQ==" spinCount="100000" sqref="E6" name="Rango2_61_2"/>
    <protectedRange algorithmName="SHA-512" hashValue="EMMPgE8t/az1rHHzaZAQIhz+GQV0k2O/tQGA96sJqEEMzz1efIRa4CcLzC7iY9CCscto3g7dwz41haOE28iXYg==" saltValue="CVzFsG4X4LXUMo7796PiDQ==" spinCount="100000" sqref="F6 A6:D6" name="Rango2_10_2"/>
    <protectedRange algorithmName="SHA-512" hashValue="6a5oYwZw9WJcgjqXpleUXH8uaqNEuymPPpeOb7lKBc1WoM6IG/DNyDLWmj2lYwxnZO2yhl+B61kwrxD9m9AdhQ==" saltValue="tdNQPzLQd+n9Ww064QJIaQ==" spinCount="100000" sqref="E7:E8" name="Rango2_61_3"/>
    <protectedRange algorithmName="SHA-512" hashValue="EMMPgE8t/az1rHHzaZAQIhz+GQV0k2O/tQGA96sJqEEMzz1efIRa4CcLzC7iY9CCscto3g7dwz41haOE28iXYg==" saltValue="CVzFsG4X4LXUMo7796PiDQ==" spinCount="100000" sqref="F7:F8 A7:D8" name="Rango2_10_3"/>
    <protectedRange algorithmName="SHA-512" hashValue="6a5oYwZw9WJcgjqXpleUXH8uaqNEuymPPpeOb7lKBc1WoM6IG/DNyDLWmj2lYwxnZO2yhl+B61kwrxD9m9AdhQ==" saltValue="tdNQPzLQd+n9Ww064QJIaQ==" spinCount="100000" sqref="E9" name="Rango2_61_4"/>
    <protectedRange algorithmName="SHA-512" hashValue="EMMPgE8t/az1rHHzaZAQIhz+GQV0k2O/tQGA96sJqEEMzz1efIRa4CcLzC7iY9CCscto3g7dwz41haOE28iXYg==" saltValue="CVzFsG4X4LXUMo7796PiDQ==" spinCount="100000" sqref="F9 A9:D9" name="Rango2_10_4"/>
    <protectedRange algorithmName="SHA-512" hashValue="6a5oYwZw9WJcgjqXpleUXH8uaqNEuymPPpeOb7lKBc1WoM6IG/DNyDLWmj2lYwxnZO2yhl+B61kwrxD9m9AdhQ==" saltValue="tdNQPzLQd+n9Ww064QJIaQ==" spinCount="100000" sqref="E10" name="Rango2_61_5"/>
    <protectedRange algorithmName="SHA-512" hashValue="EMMPgE8t/az1rHHzaZAQIhz+GQV0k2O/tQGA96sJqEEMzz1efIRa4CcLzC7iY9CCscto3g7dwz41haOE28iXYg==" saltValue="CVzFsG4X4LXUMo7796PiDQ==" spinCount="100000" sqref="F10 A10:D10" name="Rango2_10_5"/>
    <protectedRange algorithmName="SHA-512" hashValue="6a5oYwZw9WJcgjqXpleUXH8uaqNEuymPPpeOb7lKBc1WoM6IG/DNyDLWmj2lYwxnZO2yhl+B61kwrxD9m9AdhQ==" saltValue="tdNQPzLQd+n9Ww064QJIaQ==" spinCount="100000" sqref="E11" name="Rango2_61_6"/>
    <protectedRange algorithmName="SHA-512" hashValue="EMMPgE8t/az1rHHzaZAQIhz+GQV0k2O/tQGA96sJqEEMzz1efIRa4CcLzC7iY9CCscto3g7dwz41haOE28iXYg==" saltValue="CVzFsG4X4LXUMo7796PiDQ==" spinCount="100000" sqref="F11 A11:D11" name="Rango2_10_6"/>
    <protectedRange algorithmName="SHA-512" hashValue="6a5oYwZw9WJcgjqXpleUXH8uaqNEuymPPpeOb7lKBc1WoM6IG/DNyDLWmj2lYwxnZO2yhl+B61kwrxD9m9AdhQ==" saltValue="tdNQPzLQd+n9Ww064QJIaQ==" spinCount="100000" sqref="E12:E15" name="Rango2_61_7"/>
    <protectedRange algorithmName="SHA-512" hashValue="EMMPgE8t/az1rHHzaZAQIhz+GQV0k2O/tQGA96sJqEEMzz1efIRa4CcLzC7iY9CCscto3g7dwz41haOE28iXYg==" saltValue="CVzFsG4X4LXUMo7796PiDQ==" spinCount="100000" sqref="F12:F15 A12:D15" name="Rango2_10_7"/>
    <protectedRange algorithmName="SHA-512" hashValue="6a5oYwZw9WJcgjqXpleUXH8uaqNEuymPPpeOb7lKBc1WoM6IG/DNyDLWmj2lYwxnZO2yhl+B61kwrxD9m9AdhQ==" saltValue="tdNQPzLQd+n9Ww064QJIaQ==" spinCount="100000" sqref="E16" name="Rango2_61_8"/>
    <protectedRange algorithmName="SHA-512" hashValue="EMMPgE8t/az1rHHzaZAQIhz+GQV0k2O/tQGA96sJqEEMzz1efIRa4CcLzC7iY9CCscto3g7dwz41haOE28iXYg==" saltValue="CVzFsG4X4LXUMo7796PiDQ==" spinCount="100000" sqref="F16 A16:D16" name="Rango2_10_8"/>
    <protectedRange algorithmName="SHA-512" hashValue="6a5oYwZw9WJcgjqXpleUXH8uaqNEuymPPpeOb7lKBc1WoM6IG/DNyDLWmj2lYwxnZO2yhl+B61kwrxD9m9AdhQ==" saltValue="tdNQPzLQd+n9Ww064QJIaQ==" spinCount="100000" sqref="E17" name="Rango2_61_9"/>
    <protectedRange algorithmName="SHA-512" hashValue="EMMPgE8t/az1rHHzaZAQIhz+GQV0k2O/tQGA96sJqEEMzz1efIRa4CcLzC7iY9CCscto3g7dwz41haOE28iXYg==" saltValue="CVzFsG4X4LXUMo7796PiDQ==" spinCount="100000" sqref="F17 A17:D17" name="Rango2_10_9"/>
    <protectedRange algorithmName="SHA-512" hashValue="6a5oYwZw9WJcgjqXpleUXH8uaqNEuymPPpeOb7lKBc1WoM6IG/DNyDLWmj2lYwxnZO2yhl+B61kwrxD9m9AdhQ==" saltValue="tdNQPzLQd+n9Ww064QJIaQ==" spinCount="100000" sqref="E18:E19" name="Rango2_61_10"/>
    <protectedRange algorithmName="SHA-512" hashValue="EMMPgE8t/az1rHHzaZAQIhz+GQV0k2O/tQGA96sJqEEMzz1efIRa4CcLzC7iY9CCscto3g7dwz41haOE28iXYg==" saltValue="CVzFsG4X4LXUMo7796PiDQ==" spinCount="100000" sqref="F18:F19 A18:D19" name="Rango2_10_10"/>
    <protectedRange algorithmName="SHA-512" hashValue="6a5oYwZw9WJcgjqXpleUXH8uaqNEuymPPpeOb7lKBc1WoM6IG/DNyDLWmj2lYwxnZO2yhl+B61kwrxD9m9AdhQ==" saltValue="tdNQPzLQd+n9Ww064QJIaQ==" spinCount="100000" sqref="E20:E21" name="Rango2_61_11"/>
    <protectedRange algorithmName="SHA-512" hashValue="EMMPgE8t/az1rHHzaZAQIhz+GQV0k2O/tQGA96sJqEEMzz1efIRa4CcLzC7iY9CCscto3g7dwz41haOE28iXYg==" saltValue="CVzFsG4X4LXUMo7796PiDQ==" spinCount="100000" sqref="F20:F21 A20:D21" name="Rango2_10_11"/>
    <protectedRange algorithmName="SHA-512" hashValue="6a5oYwZw9WJcgjqXpleUXH8uaqNEuymPPpeOb7lKBc1WoM6IG/DNyDLWmj2lYwxnZO2yhl+B61kwrxD9m9AdhQ==" saltValue="tdNQPzLQd+n9Ww064QJIaQ==" spinCount="100000" sqref="E22:E23" name="Rango2_61_12"/>
    <protectedRange algorithmName="SHA-512" hashValue="EMMPgE8t/az1rHHzaZAQIhz+GQV0k2O/tQGA96sJqEEMzz1efIRa4CcLzC7iY9CCscto3g7dwz41haOE28iXYg==" saltValue="CVzFsG4X4LXUMo7796PiDQ==" spinCount="100000" sqref="F22:F23 A22:D23" name="Rango2_10_12"/>
    <protectedRange algorithmName="SHA-512" hashValue="6a5oYwZw9WJcgjqXpleUXH8uaqNEuymPPpeOb7lKBc1WoM6IG/DNyDLWmj2lYwxnZO2yhl+B61kwrxD9m9AdhQ==" saltValue="tdNQPzLQd+n9Ww064QJIaQ==" spinCount="100000" sqref="E24:E29" name="Rango2_61_13"/>
    <protectedRange algorithmName="SHA-512" hashValue="EMMPgE8t/az1rHHzaZAQIhz+GQV0k2O/tQGA96sJqEEMzz1efIRa4CcLzC7iY9CCscto3g7dwz41haOE28iXYg==" saltValue="CVzFsG4X4LXUMo7796PiDQ==" spinCount="100000" sqref="F24:F29 A24:D29" name="Rango2_10_13"/>
    <protectedRange algorithmName="SHA-512" hashValue="6a5oYwZw9WJcgjqXpleUXH8uaqNEuymPPpeOb7lKBc1WoM6IG/DNyDLWmj2lYwxnZO2yhl+B61kwrxD9m9AdhQ==" saltValue="tdNQPzLQd+n9Ww064QJIaQ==" spinCount="100000" sqref="E30" name="Rango2_61_14"/>
    <protectedRange algorithmName="SHA-512" hashValue="EMMPgE8t/az1rHHzaZAQIhz+GQV0k2O/tQGA96sJqEEMzz1efIRa4CcLzC7iY9CCscto3g7dwz41haOE28iXYg==" saltValue="CVzFsG4X4LXUMo7796PiDQ==" spinCount="100000" sqref="F30 A30:D30" name="Rango2_10_14"/>
    <protectedRange algorithmName="SHA-512" hashValue="6a5oYwZw9WJcgjqXpleUXH8uaqNEuymPPpeOb7lKBc1WoM6IG/DNyDLWmj2lYwxnZO2yhl+B61kwrxD9m9AdhQ==" saltValue="tdNQPzLQd+n9Ww064QJIaQ==" spinCount="100000" sqref="E31:E32" name="Rango2_61_15"/>
    <protectedRange algorithmName="SHA-512" hashValue="EMMPgE8t/az1rHHzaZAQIhz+GQV0k2O/tQGA96sJqEEMzz1efIRa4CcLzC7iY9CCscto3g7dwz41haOE28iXYg==" saltValue="CVzFsG4X4LXUMo7796PiDQ==" spinCount="100000" sqref="F31:F32 A31:D32" name="Rango2_10_15"/>
    <protectedRange algorithmName="SHA-512" hashValue="6a5oYwZw9WJcgjqXpleUXH8uaqNEuymPPpeOb7lKBc1WoM6IG/DNyDLWmj2lYwxnZO2yhl+B61kwrxD9m9AdhQ==" saltValue="tdNQPzLQd+n9Ww064QJIaQ==" spinCount="100000" sqref="E33:E39" name="Rango2_61_16"/>
    <protectedRange algorithmName="SHA-512" hashValue="6a5oYwZw9WJcgjqXpleUXH8uaqNEuymPPpeOb7lKBc1WoM6IG/DNyDLWmj2lYwxnZO2yhl+B61kwrxD9m9AdhQ==" saltValue="tdNQPzLQd+n9Ww064QJIaQ==" spinCount="100000" sqref="E40:E43" name="Rango2_61_17"/>
    <protectedRange algorithmName="SHA-512" hashValue="EMMPgE8t/az1rHHzaZAQIhz+GQV0k2O/tQGA96sJqEEMzz1efIRa4CcLzC7iY9CCscto3g7dwz41haOE28iXYg==" saltValue="CVzFsG4X4LXUMo7796PiDQ==" spinCount="100000" sqref="F40:F43 A40:D43" name="Rango2_10_17"/>
    <protectedRange algorithmName="SHA-512" hashValue="6a5oYwZw9WJcgjqXpleUXH8uaqNEuymPPpeOb7lKBc1WoM6IG/DNyDLWmj2lYwxnZO2yhl+B61kwrxD9m9AdhQ==" saltValue="tdNQPzLQd+n9Ww064QJIaQ==" spinCount="100000" sqref="E44:E53" name="Rango2_61_18"/>
    <protectedRange algorithmName="SHA-512" hashValue="EMMPgE8t/az1rHHzaZAQIhz+GQV0k2O/tQGA96sJqEEMzz1efIRa4CcLzC7iY9CCscto3g7dwz41haOE28iXYg==" saltValue="CVzFsG4X4LXUMo7796PiDQ==" spinCount="100000" sqref="F44:F53 A44:D53" name="Rango2_10_18"/>
    <protectedRange algorithmName="SHA-512" hashValue="6a5oYwZw9WJcgjqXpleUXH8uaqNEuymPPpeOb7lKBc1WoM6IG/DNyDLWmj2lYwxnZO2yhl+B61kwrxD9m9AdhQ==" saltValue="tdNQPzLQd+n9Ww064QJIaQ==" spinCount="100000" sqref="E54" name="Rango2_61_19"/>
    <protectedRange algorithmName="SHA-512" hashValue="EMMPgE8t/az1rHHzaZAQIhz+GQV0k2O/tQGA96sJqEEMzz1efIRa4CcLzC7iY9CCscto3g7dwz41haOE28iXYg==" saltValue="CVzFsG4X4LXUMo7796PiDQ==" spinCount="100000" sqref="F54 A54:D54" name="Rango2_10_19"/>
    <protectedRange algorithmName="SHA-512" hashValue="6a5oYwZw9WJcgjqXpleUXH8uaqNEuymPPpeOb7lKBc1WoM6IG/DNyDLWmj2lYwxnZO2yhl+B61kwrxD9m9AdhQ==" saltValue="tdNQPzLQd+n9Ww064QJIaQ==" spinCount="100000" sqref="E55:E72" name="Rango2_61_20"/>
    <protectedRange algorithmName="SHA-512" hashValue="EMMPgE8t/az1rHHzaZAQIhz+GQV0k2O/tQGA96sJqEEMzz1efIRa4CcLzC7iY9CCscto3g7dwz41haOE28iXYg==" saltValue="CVzFsG4X4LXUMo7796PiDQ==" spinCount="100000" sqref="F65:F67 F55:F63 F69:F72 A55:D72" name="Rango2_10_20"/>
    <protectedRange algorithmName="SHA-512" hashValue="6a5oYwZw9WJcgjqXpleUXH8uaqNEuymPPpeOb7lKBc1WoM6IG/DNyDLWmj2lYwxnZO2yhl+B61kwrxD9m9AdhQ==" saltValue="tdNQPzLQd+n9Ww064QJIaQ==" spinCount="100000" sqref="E73" name="Rango2_61_21"/>
    <protectedRange algorithmName="SHA-512" hashValue="EMMPgE8t/az1rHHzaZAQIhz+GQV0k2O/tQGA96sJqEEMzz1efIRa4CcLzC7iY9CCscto3g7dwz41haOE28iXYg==" saltValue="CVzFsG4X4LXUMo7796PiDQ==" spinCount="100000" sqref="F73 A73:D73" name="Rango2_10_21"/>
    <protectedRange algorithmName="SHA-512" hashValue="6a5oYwZw9WJcgjqXpleUXH8uaqNEuymPPpeOb7lKBc1WoM6IG/DNyDLWmj2lYwxnZO2yhl+B61kwrxD9m9AdhQ==" saltValue="tdNQPzLQd+n9Ww064QJIaQ==" spinCount="100000" sqref="E74:E79" name="Rango2_61_22"/>
    <protectedRange algorithmName="SHA-512" hashValue="EMMPgE8t/az1rHHzaZAQIhz+GQV0k2O/tQGA96sJqEEMzz1efIRa4CcLzC7iY9CCscto3g7dwz41haOE28iXYg==" saltValue="CVzFsG4X4LXUMo7796PiDQ==" spinCount="100000" sqref="F74:F78 A74:D79" name="Rango2_10_22"/>
    <protectedRange algorithmName="SHA-512" hashValue="6a5oYwZw9WJcgjqXpleUXH8uaqNEuymPPpeOb7lKBc1WoM6IG/DNyDLWmj2lYwxnZO2yhl+B61kwrxD9m9AdhQ==" saltValue="tdNQPzLQd+n9Ww064QJIaQ==" spinCount="100000" sqref="E80:E93" name="Rango2_61_23"/>
    <protectedRange algorithmName="SHA-512" hashValue="EMMPgE8t/az1rHHzaZAQIhz+GQV0k2O/tQGA96sJqEEMzz1efIRa4CcLzC7iY9CCscto3g7dwz41haOE28iXYg==" saltValue="CVzFsG4X4LXUMo7796PiDQ==" spinCount="100000" sqref="F86:F93 A80:D93" name="Rango2_10_23"/>
    <protectedRange algorithmName="SHA-512" hashValue="6a5oYwZw9WJcgjqXpleUXH8uaqNEuymPPpeOb7lKBc1WoM6IG/DNyDLWmj2lYwxnZO2yhl+B61kwrxD9m9AdhQ==" saltValue="tdNQPzLQd+n9Ww064QJIaQ==" spinCount="100000" sqref="F97 E94:E111" name="Rango2_61_24"/>
    <protectedRange algorithmName="SHA-512" hashValue="EMMPgE8t/az1rHHzaZAQIhz+GQV0k2O/tQGA96sJqEEMzz1efIRa4CcLzC7iY9CCscto3g7dwz41haOE28iXYg==" saltValue="CVzFsG4X4LXUMo7796PiDQ==" spinCount="100000" sqref="F94:F96 F100:F107 A94:D111" name="Rango2_10_24"/>
    <protectedRange algorithmName="SHA-512" hashValue="9+DNppQbWrLYYUMoJ+lyQctV2bX3Vq9kZnegLbpjTLP49It2ovUbcartuoQTeXgP+TGpY//7mDH/UQlFCKDGiA==" saltValue="KUnni6YEm00anzSSvyLqQA==" spinCount="100000" sqref="G2" name="Rango2_1"/>
    <protectedRange algorithmName="SHA-512" hashValue="9+DNppQbWrLYYUMoJ+lyQctV2bX3Vq9kZnegLbpjTLP49It2ovUbcartuoQTeXgP+TGpY//7mDH/UQlFCKDGiA==" saltValue="KUnni6YEm00anzSSvyLqQA==" spinCount="100000" sqref="G4:G5" name="Rango2_3"/>
    <protectedRange algorithmName="SHA-512" hashValue="9+DNppQbWrLYYUMoJ+lyQctV2bX3Vq9kZnegLbpjTLP49It2ovUbcartuoQTeXgP+TGpY//7mDH/UQlFCKDGiA==" saltValue="KUnni6YEm00anzSSvyLqQA==" spinCount="100000" sqref="G6" name="Rango2_4"/>
    <protectedRange algorithmName="SHA-512" hashValue="9+DNppQbWrLYYUMoJ+lyQctV2bX3Vq9kZnegLbpjTLP49It2ovUbcartuoQTeXgP+TGpY//7mDH/UQlFCKDGiA==" saltValue="KUnni6YEm00anzSSvyLqQA==" spinCount="100000" sqref="G7:G8" name="Rango2_5"/>
    <protectedRange algorithmName="SHA-512" hashValue="9+DNppQbWrLYYUMoJ+lyQctV2bX3Vq9kZnegLbpjTLP49It2ovUbcartuoQTeXgP+TGpY//7mDH/UQlFCKDGiA==" saltValue="KUnni6YEm00anzSSvyLqQA==" spinCount="100000" sqref="G9" name="Rango2_6"/>
    <protectedRange algorithmName="SHA-512" hashValue="9+DNppQbWrLYYUMoJ+lyQctV2bX3Vq9kZnegLbpjTLP49It2ovUbcartuoQTeXgP+TGpY//7mDH/UQlFCKDGiA==" saltValue="KUnni6YEm00anzSSvyLqQA==" spinCount="100000" sqref="G11" name="Rango2_8"/>
    <protectedRange algorithmName="SHA-512" hashValue="9+DNppQbWrLYYUMoJ+lyQctV2bX3Vq9kZnegLbpjTLP49It2ovUbcartuoQTeXgP+TGpY//7mDH/UQlFCKDGiA==" saltValue="KUnni6YEm00anzSSvyLqQA==" spinCount="100000" sqref="G12:G15" name="Rango2_9"/>
    <protectedRange algorithmName="SHA-512" hashValue="9+DNppQbWrLYYUMoJ+lyQctV2bX3Vq9kZnegLbpjTLP49It2ovUbcartuoQTeXgP+TGpY//7mDH/UQlFCKDGiA==" saltValue="KUnni6YEm00anzSSvyLqQA==" spinCount="100000" sqref="G16" name="Rango2_11"/>
    <protectedRange algorithmName="SHA-512" hashValue="9+DNppQbWrLYYUMoJ+lyQctV2bX3Vq9kZnegLbpjTLP49It2ovUbcartuoQTeXgP+TGpY//7mDH/UQlFCKDGiA==" saltValue="KUnni6YEm00anzSSvyLqQA==" spinCount="100000" sqref="G17" name="Rango2_12"/>
    <protectedRange algorithmName="SHA-512" hashValue="9+DNppQbWrLYYUMoJ+lyQctV2bX3Vq9kZnegLbpjTLP49It2ovUbcartuoQTeXgP+TGpY//7mDH/UQlFCKDGiA==" saltValue="KUnni6YEm00anzSSvyLqQA==" spinCount="100000" sqref="G18:G19" name="Rango2_13"/>
    <protectedRange algorithmName="SHA-512" hashValue="9+DNppQbWrLYYUMoJ+lyQctV2bX3Vq9kZnegLbpjTLP49It2ovUbcartuoQTeXgP+TGpY//7mDH/UQlFCKDGiA==" saltValue="KUnni6YEm00anzSSvyLqQA==" spinCount="100000" sqref="G20:G21" name="Rango2_14"/>
    <protectedRange algorithmName="SHA-512" hashValue="9+DNppQbWrLYYUMoJ+lyQctV2bX3Vq9kZnegLbpjTLP49It2ovUbcartuoQTeXgP+TGpY//7mDH/UQlFCKDGiA==" saltValue="KUnni6YEm00anzSSvyLqQA==" spinCount="100000" sqref="G22:G23" name="Rango2_15"/>
    <protectedRange algorithmName="SHA-512" hashValue="9+DNppQbWrLYYUMoJ+lyQctV2bX3Vq9kZnegLbpjTLP49It2ovUbcartuoQTeXgP+TGpY//7mDH/UQlFCKDGiA==" saltValue="KUnni6YEm00anzSSvyLqQA==" spinCount="100000" sqref="G24:G29" name="Rango2_16"/>
    <protectedRange algorithmName="SHA-512" hashValue="9+DNppQbWrLYYUMoJ+lyQctV2bX3Vq9kZnegLbpjTLP49It2ovUbcartuoQTeXgP+TGpY//7mDH/UQlFCKDGiA==" saltValue="KUnni6YEm00anzSSvyLqQA==" spinCount="100000" sqref="G30" name="Rango2_17"/>
    <protectedRange algorithmName="SHA-512" hashValue="9+DNppQbWrLYYUMoJ+lyQctV2bX3Vq9kZnegLbpjTLP49It2ovUbcartuoQTeXgP+TGpY//7mDH/UQlFCKDGiA==" saltValue="KUnni6YEm00anzSSvyLqQA==" spinCount="100000" sqref="G31:G32" name="Rango2_18"/>
    <protectedRange algorithmName="SHA-512" hashValue="9+DNppQbWrLYYUMoJ+lyQctV2bX3Vq9kZnegLbpjTLP49It2ovUbcartuoQTeXgP+TGpY//7mDH/UQlFCKDGiA==" saltValue="KUnni6YEm00anzSSvyLqQA==" spinCount="100000" sqref="G33:G39" name="Rango2_19"/>
    <protectedRange algorithmName="SHA-512" hashValue="9+DNppQbWrLYYUMoJ+lyQctV2bX3Vq9kZnegLbpjTLP49It2ovUbcartuoQTeXgP+TGpY//7mDH/UQlFCKDGiA==" saltValue="KUnni6YEm00anzSSvyLqQA==" spinCount="100000" sqref="G40:G43" name="Rango2_20"/>
    <protectedRange algorithmName="SHA-512" hashValue="9+DNppQbWrLYYUMoJ+lyQctV2bX3Vq9kZnegLbpjTLP49It2ovUbcartuoQTeXgP+TGpY//7mDH/UQlFCKDGiA==" saltValue="KUnni6YEm00anzSSvyLqQA==" spinCount="100000" sqref="G44:G53" name="Rango2_21"/>
    <protectedRange algorithmName="SHA-512" hashValue="9+DNppQbWrLYYUMoJ+lyQctV2bX3Vq9kZnegLbpjTLP49It2ovUbcartuoQTeXgP+TGpY//7mDH/UQlFCKDGiA==" saltValue="KUnni6YEm00anzSSvyLqQA==" spinCount="100000" sqref="G54" name="Rango2_22"/>
    <protectedRange algorithmName="SHA-512" hashValue="9+DNppQbWrLYYUMoJ+lyQctV2bX3Vq9kZnegLbpjTLP49It2ovUbcartuoQTeXgP+TGpY//7mDH/UQlFCKDGiA==" saltValue="KUnni6YEm00anzSSvyLqQA==" spinCount="100000" sqref="G55:G72" name="Rango2_23"/>
    <protectedRange algorithmName="SHA-512" hashValue="9+DNppQbWrLYYUMoJ+lyQctV2bX3Vq9kZnegLbpjTLP49It2ovUbcartuoQTeXgP+TGpY//7mDH/UQlFCKDGiA==" saltValue="KUnni6YEm00anzSSvyLqQA==" spinCount="100000" sqref="G73" name="Rango2_24"/>
    <protectedRange algorithmName="SHA-512" hashValue="9+DNppQbWrLYYUMoJ+lyQctV2bX3Vq9kZnegLbpjTLP49It2ovUbcartuoQTeXgP+TGpY//7mDH/UQlFCKDGiA==" saltValue="KUnni6YEm00anzSSvyLqQA==" spinCount="100000" sqref="G74:G79" name="Rango2_25"/>
    <protectedRange algorithmName="SHA-512" hashValue="9+DNppQbWrLYYUMoJ+lyQctV2bX3Vq9kZnegLbpjTLP49It2ovUbcartuoQTeXgP+TGpY//7mDH/UQlFCKDGiA==" saltValue="KUnni6YEm00anzSSvyLqQA==" spinCount="100000" sqref="G80:G93" name="Rango2_26"/>
    <protectedRange algorithmName="SHA-512" hashValue="9+DNppQbWrLYYUMoJ+lyQctV2bX3Vq9kZnegLbpjTLP49It2ovUbcartuoQTeXgP+TGpY//7mDH/UQlFCKDGiA==" saltValue="KUnni6YEm00anzSSvyLqQA==" spinCount="100000" sqref="G94:G111" name="Rango2_27"/>
    <protectedRange algorithmName="SHA-512" hashValue="9+DNppQbWrLYYUMoJ+lyQctV2bX3Vq9kZnegLbpjTLP49It2ovUbcartuoQTeXgP+TGpY//7mDH/UQlFCKDGiA==" saltValue="KUnni6YEm00anzSSvyLqQA==" spinCount="100000" sqref="A113:F113" name="Rango2_29"/>
    <protectedRange algorithmName="SHA-512" hashValue="6a5oYwZw9WJcgjqXpleUXH8uaqNEuymPPpeOb7lKBc1WoM6IG/DNyDLWmj2lYwxnZO2yhl+B61kwrxD9m9AdhQ==" saltValue="tdNQPzLQd+n9Ww064QJIaQ==" spinCount="100000" sqref="E114" name="Rango2_61_26"/>
    <protectedRange algorithmName="SHA-512" hashValue="EMMPgE8t/az1rHHzaZAQIhz+GQV0k2O/tQGA96sJqEEMzz1efIRa4CcLzC7iY9CCscto3g7dwz41haOE28iXYg==" saltValue="CVzFsG4X4LXUMo7796PiDQ==" spinCount="100000" sqref="F114 A114:D114" name="Rango2_10_26"/>
    <protectedRange algorithmName="SHA-512" hashValue="9+DNppQbWrLYYUMoJ+lyQctV2bX3Vq9kZnegLbpjTLP49It2ovUbcartuoQTeXgP+TGpY//7mDH/UQlFCKDGiA==" saltValue="KUnni6YEm00anzSSvyLqQA==" spinCount="100000" sqref="G114" name="Rango2_30"/>
    <protectedRange algorithmName="SHA-512" hashValue="9+DNppQbWrLYYUMoJ+lyQctV2bX3Vq9kZnegLbpjTLP49It2ovUbcartuoQTeXgP+TGpY//7mDH/UQlFCKDGiA==" saltValue="KUnni6YEm00anzSSvyLqQA==" spinCount="100000" sqref="A116:F116" name="Rango2_31"/>
    <protectedRange algorithmName="SHA-512" hashValue="6a5oYwZw9WJcgjqXpleUXH8uaqNEuymPPpeOb7lKBc1WoM6IG/DNyDLWmj2lYwxnZO2yhl+B61kwrxD9m9AdhQ==" saltValue="tdNQPzLQd+n9Ww064QJIaQ==" spinCount="100000" sqref="E117" name="Rango2_61_27"/>
    <protectedRange algorithmName="SHA-512" hashValue="EMMPgE8t/az1rHHzaZAQIhz+GQV0k2O/tQGA96sJqEEMzz1efIRa4CcLzC7iY9CCscto3g7dwz41haOE28iXYg==" saltValue="CVzFsG4X4LXUMo7796PiDQ==" spinCount="100000" sqref="F117 A117:D117" name="Rango2_10_27"/>
    <protectedRange algorithmName="SHA-512" hashValue="6a5oYwZw9WJcgjqXpleUXH8uaqNEuymPPpeOb7lKBc1WoM6IG/DNyDLWmj2lYwxnZO2yhl+B61kwrxD9m9AdhQ==" saltValue="tdNQPzLQd+n9Ww064QJIaQ==" spinCount="100000" sqref="E118" name="Rango2_61_28"/>
    <protectedRange algorithmName="SHA-512" hashValue="EMMPgE8t/az1rHHzaZAQIhz+GQV0k2O/tQGA96sJqEEMzz1efIRa4CcLzC7iY9CCscto3g7dwz41haOE28iXYg==" saltValue="CVzFsG4X4LXUMo7796PiDQ==" spinCount="100000" sqref="F118 A118:D118" name="Rango2_10_28"/>
    <protectedRange algorithmName="SHA-512" hashValue="6a5oYwZw9WJcgjqXpleUXH8uaqNEuymPPpeOb7lKBc1WoM6IG/DNyDLWmj2lYwxnZO2yhl+B61kwrxD9m9AdhQ==" saltValue="tdNQPzLQd+n9Ww064QJIaQ==" spinCount="100000" sqref="E119" name="Rango2_61_29"/>
    <protectedRange algorithmName="SHA-512" hashValue="EMMPgE8t/az1rHHzaZAQIhz+GQV0k2O/tQGA96sJqEEMzz1efIRa4CcLzC7iY9CCscto3g7dwz41haOE28iXYg==" saltValue="CVzFsG4X4LXUMo7796PiDQ==" spinCount="100000" sqref="F119 A119:D119" name="Rango2_10_29"/>
    <protectedRange algorithmName="SHA-512" hashValue="6a5oYwZw9WJcgjqXpleUXH8uaqNEuymPPpeOb7lKBc1WoM6IG/DNyDLWmj2lYwxnZO2yhl+B61kwrxD9m9AdhQ==" saltValue="tdNQPzLQd+n9Ww064QJIaQ==" spinCount="100000" sqref="E120" name="Rango2_61_30"/>
    <protectedRange algorithmName="SHA-512" hashValue="EMMPgE8t/az1rHHzaZAQIhz+GQV0k2O/tQGA96sJqEEMzz1efIRa4CcLzC7iY9CCscto3g7dwz41haOE28iXYg==" saltValue="CVzFsG4X4LXUMo7796PiDQ==" spinCount="100000" sqref="F120 A120:D120" name="Rango2_10_30"/>
    <protectedRange algorithmName="SHA-512" hashValue="6a5oYwZw9WJcgjqXpleUXH8uaqNEuymPPpeOb7lKBc1WoM6IG/DNyDLWmj2lYwxnZO2yhl+B61kwrxD9m9AdhQ==" saltValue="tdNQPzLQd+n9Ww064QJIaQ==" spinCount="100000" sqref="E121" name="Rango2_61_31"/>
    <protectedRange algorithmName="SHA-512" hashValue="EMMPgE8t/az1rHHzaZAQIhz+GQV0k2O/tQGA96sJqEEMzz1efIRa4CcLzC7iY9CCscto3g7dwz41haOE28iXYg==" saltValue="CVzFsG4X4LXUMo7796PiDQ==" spinCount="100000" sqref="F121 A121:D121" name="Rango2_10_31"/>
    <protectedRange algorithmName="SHA-512" hashValue="6a5oYwZw9WJcgjqXpleUXH8uaqNEuymPPpeOb7lKBc1WoM6IG/DNyDLWmj2lYwxnZO2yhl+B61kwrxD9m9AdhQ==" saltValue="tdNQPzLQd+n9Ww064QJIaQ==" spinCount="100000" sqref="E122:E124" name="Rango2_61_32"/>
    <protectedRange algorithmName="SHA-512" hashValue="EMMPgE8t/az1rHHzaZAQIhz+GQV0k2O/tQGA96sJqEEMzz1efIRa4CcLzC7iY9CCscto3g7dwz41haOE28iXYg==" saltValue="CVzFsG4X4LXUMo7796PiDQ==" spinCount="100000" sqref="F122:F124 A122:D124" name="Rango2_10_32"/>
    <protectedRange algorithmName="SHA-512" hashValue="6a5oYwZw9WJcgjqXpleUXH8uaqNEuymPPpeOb7lKBc1WoM6IG/DNyDLWmj2lYwxnZO2yhl+B61kwrxD9m9AdhQ==" saltValue="tdNQPzLQd+n9Ww064QJIaQ==" spinCount="100000" sqref="E125:E126" name="Rango2_61_33"/>
    <protectedRange algorithmName="SHA-512" hashValue="EMMPgE8t/az1rHHzaZAQIhz+GQV0k2O/tQGA96sJqEEMzz1efIRa4CcLzC7iY9CCscto3g7dwz41haOE28iXYg==" saltValue="CVzFsG4X4LXUMo7796PiDQ==" spinCount="100000" sqref="F125:F126 A125:D126" name="Rango2_10_33"/>
    <protectedRange algorithmName="SHA-512" hashValue="6a5oYwZw9WJcgjqXpleUXH8uaqNEuymPPpeOb7lKBc1WoM6IG/DNyDLWmj2lYwxnZO2yhl+B61kwrxD9m9AdhQ==" saltValue="tdNQPzLQd+n9Ww064QJIaQ==" spinCount="100000" sqref="E127:E128" name="Rango2_61_34"/>
    <protectedRange algorithmName="SHA-512" hashValue="EMMPgE8t/az1rHHzaZAQIhz+GQV0k2O/tQGA96sJqEEMzz1efIRa4CcLzC7iY9CCscto3g7dwz41haOE28iXYg==" saltValue="CVzFsG4X4LXUMo7796PiDQ==" spinCount="100000" sqref="F127:F128 A127:D128" name="Rango2_10_34"/>
    <protectedRange algorithmName="SHA-512" hashValue="6a5oYwZw9WJcgjqXpleUXH8uaqNEuymPPpeOb7lKBc1WoM6IG/DNyDLWmj2lYwxnZO2yhl+B61kwrxD9m9AdhQ==" saltValue="tdNQPzLQd+n9Ww064QJIaQ==" spinCount="100000" sqref="E129" name="Rango2_61_35"/>
    <protectedRange algorithmName="SHA-512" hashValue="EMMPgE8t/az1rHHzaZAQIhz+GQV0k2O/tQGA96sJqEEMzz1efIRa4CcLzC7iY9CCscto3g7dwz41haOE28iXYg==" saltValue="CVzFsG4X4LXUMo7796PiDQ==" spinCount="100000" sqref="F129 A129:D129" name="Rango2_10_35"/>
    <protectedRange algorithmName="SHA-512" hashValue="6a5oYwZw9WJcgjqXpleUXH8uaqNEuymPPpeOb7lKBc1WoM6IG/DNyDLWmj2lYwxnZO2yhl+B61kwrxD9m9AdhQ==" saltValue="tdNQPzLQd+n9Ww064QJIaQ==" spinCount="100000" sqref="E130" name="Rango2_61_36"/>
    <protectedRange algorithmName="SHA-512" hashValue="EMMPgE8t/az1rHHzaZAQIhz+GQV0k2O/tQGA96sJqEEMzz1efIRa4CcLzC7iY9CCscto3g7dwz41haOE28iXYg==" saltValue="CVzFsG4X4LXUMo7796PiDQ==" spinCount="100000" sqref="F130 A130:D130" name="Rango2_10_36"/>
    <protectedRange algorithmName="SHA-512" hashValue="6a5oYwZw9WJcgjqXpleUXH8uaqNEuymPPpeOb7lKBc1WoM6IG/DNyDLWmj2lYwxnZO2yhl+B61kwrxD9m9AdhQ==" saltValue="tdNQPzLQd+n9Ww064QJIaQ==" spinCount="100000" sqref="E131" name="Rango2_61_37"/>
    <protectedRange algorithmName="SHA-512" hashValue="EMMPgE8t/az1rHHzaZAQIhz+GQV0k2O/tQGA96sJqEEMzz1efIRa4CcLzC7iY9CCscto3g7dwz41haOE28iXYg==" saltValue="CVzFsG4X4LXUMo7796PiDQ==" spinCount="100000" sqref="F131 A131:D131" name="Rango2_10_37"/>
    <protectedRange algorithmName="SHA-512" hashValue="6a5oYwZw9WJcgjqXpleUXH8uaqNEuymPPpeOb7lKBc1WoM6IG/DNyDLWmj2lYwxnZO2yhl+B61kwrxD9m9AdhQ==" saltValue="tdNQPzLQd+n9Ww064QJIaQ==" spinCount="100000" sqref="E132" name="Rango2_61_38"/>
    <protectedRange algorithmName="SHA-512" hashValue="EMMPgE8t/az1rHHzaZAQIhz+GQV0k2O/tQGA96sJqEEMzz1efIRa4CcLzC7iY9CCscto3g7dwz41haOE28iXYg==" saltValue="CVzFsG4X4LXUMo7796PiDQ==" spinCount="100000" sqref="F132 A132:D132" name="Rango2_10_38"/>
    <protectedRange algorithmName="SHA-512" hashValue="6a5oYwZw9WJcgjqXpleUXH8uaqNEuymPPpeOb7lKBc1WoM6IG/DNyDLWmj2lYwxnZO2yhl+B61kwrxD9m9AdhQ==" saltValue="tdNQPzLQd+n9Ww064QJIaQ==" spinCount="100000" sqref="E133:E135" name="Rango2_61_39"/>
    <protectedRange algorithmName="SHA-512" hashValue="EMMPgE8t/az1rHHzaZAQIhz+GQV0k2O/tQGA96sJqEEMzz1efIRa4CcLzC7iY9CCscto3g7dwz41haOE28iXYg==" saltValue="CVzFsG4X4LXUMo7796PiDQ==" spinCount="100000" sqref="F133:F135 A133:D135" name="Rango2_10_39"/>
    <protectedRange algorithmName="SHA-512" hashValue="6a5oYwZw9WJcgjqXpleUXH8uaqNEuymPPpeOb7lKBc1WoM6IG/DNyDLWmj2lYwxnZO2yhl+B61kwrxD9m9AdhQ==" saltValue="tdNQPzLQd+n9Ww064QJIaQ==" spinCount="100000" sqref="E136:E137" name="Rango2_61_40"/>
    <protectedRange algorithmName="SHA-512" hashValue="EMMPgE8t/az1rHHzaZAQIhz+GQV0k2O/tQGA96sJqEEMzz1efIRa4CcLzC7iY9CCscto3g7dwz41haOE28iXYg==" saltValue="CVzFsG4X4LXUMo7796PiDQ==" spinCount="100000" sqref="F136:F137 A136:D137" name="Rango2_10_40"/>
    <protectedRange algorithmName="SHA-512" hashValue="6a5oYwZw9WJcgjqXpleUXH8uaqNEuymPPpeOb7lKBc1WoM6IG/DNyDLWmj2lYwxnZO2yhl+B61kwrxD9m9AdhQ==" saltValue="tdNQPzLQd+n9Ww064QJIaQ==" spinCount="100000" sqref="E138:E140" name="Rango2_61_41"/>
    <protectedRange algorithmName="SHA-512" hashValue="EMMPgE8t/az1rHHzaZAQIhz+GQV0k2O/tQGA96sJqEEMzz1efIRa4CcLzC7iY9CCscto3g7dwz41haOE28iXYg==" saltValue="CVzFsG4X4LXUMo7796PiDQ==" spinCount="100000" sqref="F138:F140 A138:D140" name="Rango2_10_41"/>
    <protectedRange algorithmName="SHA-512" hashValue="6a5oYwZw9WJcgjqXpleUXH8uaqNEuymPPpeOb7lKBc1WoM6IG/DNyDLWmj2lYwxnZO2yhl+B61kwrxD9m9AdhQ==" saltValue="tdNQPzLQd+n9Ww064QJIaQ==" spinCount="100000" sqref="E141" name="Rango2_61_42"/>
    <protectedRange algorithmName="SHA-512" hashValue="EMMPgE8t/az1rHHzaZAQIhz+GQV0k2O/tQGA96sJqEEMzz1efIRa4CcLzC7iY9CCscto3g7dwz41haOE28iXYg==" saltValue="CVzFsG4X4LXUMo7796PiDQ==" spinCount="100000" sqref="F141 A141:D141" name="Rango2_10_42"/>
    <protectedRange algorithmName="SHA-512" hashValue="6a5oYwZw9WJcgjqXpleUXH8uaqNEuymPPpeOb7lKBc1WoM6IG/DNyDLWmj2lYwxnZO2yhl+B61kwrxD9m9AdhQ==" saltValue="tdNQPzLQd+n9Ww064QJIaQ==" spinCount="100000" sqref="E142:E143" name="Rango2_61_43"/>
    <protectedRange algorithmName="SHA-512" hashValue="EMMPgE8t/az1rHHzaZAQIhz+GQV0k2O/tQGA96sJqEEMzz1efIRa4CcLzC7iY9CCscto3g7dwz41haOE28iXYg==" saltValue="CVzFsG4X4LXUMo7796PiDQ==" spinCount="100000" sqref="F142:F143 A142:D143" name="Rango2_10_43"/>
    <protectedRange algorithmName="SHA-512" hashValue="6a5oYwZw9WJcgjqXpleUXH8uaqNEuymPPpeOb7lKBc1WoM6IG/DNyDLWmj2lYwxnZO2yhl+B61kwrxD9m9AdhQ==" saltValue="tdNQPzLQd+n9Ww064QJIaQ==" spinCount="100000" sqref="E144:E146" name="Rango2_61_44"/>
    <protectedRange algorithmName="SHA-512" hashValue="EMMPgE8t/az1rHHzaZAQIhz+GQV0k2O/tQGA96sJqEEMzz1efIRa4CcLzC7iY9CCscto3g7dwz41haOE28iXYg==" saltValue="CVzFsG4X4LXUMo7796PiDQ==" spinCount="100000" sqref="F145:F146 A144:D146" name="Rango2_10_44"/>
    <protectedRange algorithmName="SHA-512" hashValue="6a5oYwZw9WJcgjqXpleUXH8uaqNEuymPPpeOb7lKBc1WoM6IG/DNyDLWmj2lYwxnZO2yhl+B61kwrxD9m9AdhQ==" saltValue="tdNQPzLQd+n9Ww064QJIaQ==" spinCount="100000" sqref="E147" name="Rango2_61_45"/>
    <protectedRange algorithmName="SHA-512" hashValue="EMMPgE8t/az1rHHzaZAQIhz+GQV0k2O/tQGA96sJqEEMzz1efIRa4CcLzC7iY9CCscto3g7dwz41haOE28iXYg==" saltValue="CVzFsG4X4LXUMo7796PiDQ==" spinCount="100000" sqref="F147 A147:D147" name="Rango2_10_45"/>
    <protectedRange algorithmName="SHA-512" hashValue="6a5oYwZw9WJcgjqXpleUXH8uaqNEuymPPpeOb7lKBc1WoM6IG/DNyDLWmj2lYwxnZO2yhl+B61kwrxD9m9AdhQ==" saltValue="tdNQPzLQd+n9Ww064QJIaQ==" spinCount="100000" sqref="E148" name="Rango2_61_46"/>
    <protectedRange algorithmName="SHA-512" hashValue="EMMPgE8t/az1rHHzaZAQIhz+GQV0k2O/tQGA96sJqEEMzz1efIRa4CcLzC7iY9CCscto3g7dwz41haOE28iXYg==" saltValue="CVzFsG4X4LXUMo7796PiDQ==" spinCount="100000" sqref="F148 A148:D148" name="Rango2_10_46"/>
    <protectedRange algorithmName="SHA-512" hashValue="6a5oYwZw9WJcgjqXpleUXH8uaqNEuymPPpeOb7lKBc1WoM6IG/DNyDLWmj2lYwxnZO2yhl+B61kwrxD9m9AdhQ==" saltValue="tdNQPzLQd+n9Ww064QJIaQ==" spinCount="100000" sqref="E149" name="Rango2_61_47"/>
    <protectedRange algorithmName="SHA-512" hashValue="EMMPgE8t/az1rHHzaZAQIhz+GQV0k2O/tQGA96sJqEEMzz1efIRa4CcLzC7iY9CCscto3g7dwz41haOE28iXYg==" saltValue="CVzFsG4X4LXUMo7796PiDQ==" spinCount="100000" sqref="F149 A149:D149" name="Rango2_10_47"/>
    <protectedRange algorithmName="SHA-512" hashValue="6a5oYwZw9WJcgjqXpleUXH8uaqNEuymPPpeOb7lKBc1WoM6IG/DNyDLWmj2lYwxnZO2yhl+B61kwrxD9m9AdhQ==" saltValue="tdNQPzLQd+n9Ww064QJIaQ==" spinCount="100000" sqref="E150:E151" name="Rango2_61_48"/>
    <protectedRange algorithmName="SHA-512" hashValue="EMMPgE8t/az1rHHzaZAQIhz+GQV0k2O/tQGA96sJqEEMzz1efIRa4CcLzC7iY9CCscto3g7dwz41haOE28iXYg==" saltValue="CVzFsG4X4LXUMo7796PiDQ==" spinCount="100000" sqref="F150:F151 A150:D151" name="Rango2_10_48"/>
    <protectedRange algorithmName="SHA-512" hashValue="6a5oYwZw9WJcgjqXpleUXH8uaqNEuymPPpeOb7lKBc1WoM6IG/DNyDLWmj2lYwxnZO2yhl+B61kwrxD9m9AdhQ==" saltValue="tdNQPzLQd+n9Ww064QJIaQ==" spinCount="100000" sqref="E152" name="Rango2_61_49"/>
    <protectedRange algorithmName="SHA-512" hashValue="EMMPgE8t/az1rHHzaZAQIhz+GQV0k2O/tQGA96sJqEEMzz1efIRa4CcLzC7iY9CCscto3g7dwz41haOE28iXYg==" saltValue="CVzFsG4X4LXUMo7796PiDQ==" spinCount="100000" sqref="F152 A152:D152" name="Rango2_10_49"/>
    <protectedRange algorithmName="SHA-512" hashValue="6a5oYwZw9WJcgjqXpleUXH8uaqNEuymPPpeOb7lKBc1WoM6IG/DNyDLWmj2lYwxnZO2yhl+B61kwrxD9m9AdhQ==" saltValue="tdNQPzLQd+n9Ww064QJIaQ==" spinCount="100000" sqref="E153:E155" name="Rango2_61_50"/>
    <protectedRange algorithmName="SHA-512" hashValue="EMMPgE8t/az1rHHzaZAQIhz+GQV0k2O/tQGA96sJqEEMzz1efIRa4CcLzC7iY9CCscto3g7dwz41haOE28iXYg==" saltValue="CVzFsG4X4LXUMo7796PiDQ==" spinCount="100000" sqref="A153:D155" name="Rango2_10_50"/>
    <protectedRange algorithmName="SHA-512" hashValue="6a5oYwZw9WJcgjqXpleUXH8uaqNEuymPPpeOb7lKBc1WoM6IG/DNyDLWmj2lYwxnZO2yhl+B61kwrxD9m9AdhQ==" saltValue="tdNQPzLQd+n9Ww064QJIaQ==" spinCount="100000" sqref="E156" name="Rango2_61_51"/>
    <protectedRange algorithmName="SHA-512" hashValue="EMMPgE8t/az1rHHzaZAQIhz+GQV0k2O/tQGA96sJqEEMzz1efIRa4CcLzC7iY9CCscto3g7dwz41haOE28iXYg==" saltValue="CVzFsG4X4LXUMo7796PiDQ==" spinCount="100000" sqref="A156:D156" name="Rango2_10_51"/>
    <protectedRange algorithmName="SHA-512" hashValue="6a5oYwZw9WJcgjqXpleUXH8uaqNEuymPPpeOb7lKBc1WoM6IG/DNyDLWmj2lYwxnZO2yhl+B61kwrxD9m9AdhQ==" saltValue="tdNQPzLQd+n9Ww064QJIaQ==" spinCount="100000" sqref="E157" name="Rango2_61_52"/>
    <protectedRange algorithmName="SHA-512" hashValue="EMMPgE8t/az1rHHzaZAQIhz+GQV0k2O/tQGA96sJqEEMzz1efIRa4CcLzC7iY9CCscto3g7dwz41haOE28iXYg==" saltValue="CVzFsG4X4LXUMo7796PiDQ==" spinCount="100000" sqref="F157 A157:D157" name="Rango2_10_52"/>
    <protectedRange algorithmName="SHA-512" hashValue="6a5oYwZw9WJcgjqXpleUXH8uaqNEuymPPpeOb7lKBc1WoM6IG/DNyDLWmj2lYwxnZO2yhl+B61kwrxD9m9AdhQ==" saltValue="tdNQPzLQd+n9Ww064QJIaQ==" spinCount="100000" sqref="E158" name="Rango2_61_53"/>
    <protectedRange algorithmName="SHA-512" hashValue="EMMPgE8t/az1rHHzaZAQIhz+GQV0k2O/tQGA96sJqEEMzz1efIRa4CcLzC7iY9CCscto3g7dwz41haOE28iXYg==" saltValue="CVzFsG4X4LXUMo7796PiDQ==" spinCount="100000" sqref="F158 A158:D158" name="Rango2_10_53"/>
    <protectedRange algorithmName="SHA-512" hashValue="6a5oYwZw9WJcgjqXpleUXH8uaqNEuymPPpeOb7lKBc1WoM6IG/DNyDLWmj2lYwxnZO2yhl+B61kwrxD9m9AdhQ==" saltValue="tdNQPzLQd+n9Ww064QJIaQ==" spinCount="100000" sqref="E159" name="Rango2_61_54"/>
    <protectedRange algorithmName="SHA-512" hashValue="EMMPgE8t/az1rHHzaZAQIhz+GQV0k2O/tQGA96sJqEEMzz1efIRa4CcLzC7iY9CCscto3g7dwz41haOE28iXYg==" saltValue="CVzFsG4X4LXUMo7796PiDQ==" spinCount="100000" sqref="A159:D159" name="Rango2_10_54"/>
    <protectedRange algorithmName="SHA-512" hashValue="+u8ETP7RnmTFzwP1xRwajJa0k8e4nLv8tEoGW4GVn+3uAiDu7IjPSpc8eJAORlZW6vPJAWwmGRugW8VCG8sO4g==" saltValue="npbfSwlEiEyOodcwZD1w4Q==" spinCount="100000" sqref="G116" name="Rango2_78"/>
    <protectedRange algorithmName="SHA-512" hashValue="XZw03RosI/l0z9FxmTtF29EdZ7P+4+ybhqoaAAUmURojSR5XbGfjC4f2i8gMqfY+RI9JvfdCA6PSh9TduXfUxA==" saltValue="5TPtLq2WoiRSae/yaDPnTw==" spinCount="100000" sqref="G117" name="Rango2_99"/>
    <protectedRange algorithmName="SHA-512" hashValue="XZw03RosI/l0z9FxmTtF29EdZ7P+4+ybhqoaAAUmURojSR5XbGfjC4f2i8gMqfY+RI9JvfdCA6PSh9TduXfUxA==" saltValue="5TPtLq2WoiRSae/yaDPnTw==" spinCount="100000" sqref="G118" name="Rango2_99_1"/>
    <protectedRange algorithmName="SHA-512" hashValue="XZw03RosI/l0z9FxmTtF29EdZ7P+4+ybhqoaAAUmURojSR5XbGfjC4f2i8gMqfY+RI9JvfdCA6PSh9TduXfUxA==" saltValue="5TPtLq2WoiRSae/yaDPnTw==" spinCount="100000" sqref="G119" name="Rango2_99_2"/>
    <protectedRange algorithmName="SHA-512" hashValue="XZw03RosI/l0z9FxmTtF29EdZ7P+4+ybhqoaAAUmURojSR5XbGfjC4f2i8gMqfY+RI9JvfdCA6PSh9TduXfUxA==" saltValue="5TPtLq2WoiRSae/yaDPnTw==" spinCount="100000" sqref="G120" name="Rango2_99_3"/>
    <protectedRange algorithmName="SHA-512" hashValue="XZw03RosI/l0z9FxmTtF29EdZ7P+4+ybhqoaAAUmURojSR5XbGfjC4f2i8gMqfY+RI9JvfdCA6PSh9TduXfUxA==" saltValue="5TPtLq2WoiRSae/yaDPnTw==" spinCount="100000" sqref="G121" name="Rango2_99_4"/>
    <protectedRange algorithmName="SHA-512" hashValue="XZw03RosI/l0z9FxmTtF29EdZ7P+4+ybhqoaAAUmURojSR5XbGfjC4f2i8gMqfY+RI9JvfdCA6PSh9TduXfUxA==" saltValue="5TPtLq2WoiRSae/yaDPnTw==" spinCount="100000" sqref="G122:G124" name="Rango2_99_5"/>
    <protectedRange algorithmName="SHA-512" hashValue="XZw03RosI/l0z9FxmTtF29EdZ7P+4+ybhqoaAAUmURojSR5XbGfjC4f2i8gMqfY+RI9JvfdCA6PSh9TduXfUxA==" saltValue="5TPtLq2WoiRSae/yaDPnTw==" spinCount="100000" sqref="G125:G126" name="Rango2_99_6"/>
    <protectedRange algorithmName="SHA-512" hashValue="XZw03RosI/l0z9FxmTtF29EdZ7P+4+ybhqoaAAUmURojSR5XbGfjC4f2i8gMqfY+RI9JvfdCA6PSh9TduXfUxA==" saltValue="5TPtLq2WoiRSae/yaDPnTw==" spinCount="100000" sqref="G127:G128" name="Rango2_99_7"/>
    <protectedRange algorithmName="SHA-512" hashValue="XZw03RosI/l0z9FxmTtF29EdZ7P+4+ybhqoaAAUmURojSR5XbGfjC4f2i8gMqfY+RI9JvfdCA6PSh9TduXfUxA==" saltValue="5TPtLq2WoiRSae/yaDPnTw==" spinCount="100000" sqref="G129" name="Rango2_99_8"/>
    <protectedRange algorithmName="SHA-512" hashValue="XZw03RosI/l0z9FxmTtF29EdZ7P+4+ybhqoaAAUmURojSR5XbGfjC4f2i8gMqfY+RI9JvfdCA6PSh9TduXfUxA==" saltValue="5TPtLq2WoiRSae/yaDPnTw==" spinCount="100000" sqref="G130" name="Rango2_99_9"/>
    <protectedRange algorithmName="SHA-512" hashValue="XZw03RosI/l0z9FxmTtF29EdZ7P+4+ybhqoaAAUmURojSR5XbGfjC4f2i8gMqfY+RI9JvfdCA6PSh9TduXfUxA==" saltValue="5TPtLq2WoiRSae/yaDPnTw==" spinCount="100000" sqref="G131" name="Rango2_99_10"/>
    <protectedRange algorithmName="SHA-512" hashValue="XZw03RosI/l0z9FxmTtF29EdZ7P+4+ybhqoaAAUmURojSR5XbGfjC4f2i8gMqfY+RI9JvfdCA6PSh9TduXfUxA==" saltValue="5TPtLq2WoiRSae/yaDPnTw==" spinCount="100000" sqref="G132" name="Rango2_99_11"/>
    <protectedRange algorithmName="SHA-512" hashValue="XZw03RosI/l0z9FxmTtF29EdZ7P+4+ybhqoaAAUmURojSR5XbGfjC4f2i8gMqfY+RI9JvfdCA6PSh9TduXfUxA==" saltValue="5TPtLq2WoiRSae/yaDPnTw==" spinCount="100000" sqref="G133:G135" name="Rango2_99_12"/>
    <protectedRange algorithmName="SHA-512" hashValue="XZw03RosI/l0z9FxmTtF29EdZ7P+4+ybhqoaAAUmURojSR5XbGfjC4f2i8gMqfY+RI9JvfdCA6PSh9TduXfUxA==" saltValue="5TPtLq2WoiRSae/yaDPnTw==" spinCount="100000" sqref="G136:G137" name="Rango2_99_13"/>
    <protectedRange algorithmName="SHA-512" hashValue="XZw03RosI/l0z9FxmTtF29EdZ7P+4+ybhqoaAAUmURojSR5XbGfjC4f2i8gMqfY+RI9JvfdCA6PSh9TduXfUxA==" saltValue="5TPtLq2WoiRSae/yaDPnTw==" spinCount="100000" sqref="G138:G140" name="Rango2_99_14"/>
    <protectedRange algorithmName="SHA-512" hashValue="XZw03RosI/l0z9FxmTtF29EdZ7P+4+ybhqoaAAUmURojSR5XbGfjC4f2i8gMqfY+RI9JvfdCA6PSh9TduXfUxA==" saltValue="5TPtLq2WoiRSae/yaDPnTw==" spinCount="100000" sqref="G141" name="Rango2_99_15"/>
    <protectedRange algorithmName="SHA-512" hashValue="XZw03RosI/l0z9FxmTtF29EdZ7P+4+ybhqoaAAUmURojSR5XbGfjC4f2i8gMqfY+RI9JvfdCA6PSh9TduXfUxA==" saltValue="5TPtLq2WoiRSae/yaDPnTw==" spinCount="100000" sqref="G142:G143" name="Rango2_99_16"/>
    <protectedRange algorithmName="SHA-512" hashValue="XZw03RosI/l0z9FxmTtF29EdZ7P+4+ybhqoaAAUmURojSR5XbGfjC4f2i8gMqfY+RI9JvfdCA6PSh9TduXfUxA==" saltValue="5TPtLq2WoiRSae/yaDPnTw==" spinCount="100000" sqref="G144:G146" name="Rango2_99_17"/>
    <protectedRange algorithmName="SHA-512" hashValue="XZw03RosI/l0z9FxmTtF29EdZ7P+4+ybhqoaAAUmURojSR5XbGfjC4f2i8gMqfY+RI9JvfdCA6PSh9TduXfUxA==" saltValue="5TPtLq2WoiRSae/yaDPnTw==" spinCount="100000" sqref="G147" name="Rango2_99_18"/>
    <protectedRange algorithmName="SHA-512" hashValue="XZw03RosI/l0z9FxmTtF29EdZ7P+4+ybhqoaAAUmURojSR5XbGfjC4f2i8gMqfY+RI9JvfdCA6PSh9TduXfUxA==" saltValue="5TPtLq2WoiRSae/yaDPnTw==" spinCount="100000" sqref="G148" name="Rango2_99_19"/>
    <protectedRange algorithmName="SHA-512" hashValue="XZw03RosI/l0z9FxmTtF29EdZ7P+4+ybhqoaAAUmURojSR5XbGfjC4f2i8gMqfY+RI9JvfdCA6PSh9TduXfUxA==" saltValue="5TPtLq2WoiRSae/yaDPnTw==" spinCount="100000" sqref="G149" name="Rango2_99_20"/>
    <protectedRange algorithmName="SHA-512" hashValue="XZw03RosI/l0z9FxmTtF29EdZ7P+4+ybhqoaAAUmURojSR5XbGfjC4f2i8gMqfY+RI9JvfdCA6PSh9TduXfUxA==" saltValue="5TPtLq2WoiRSae/yaDPnTw==" spinCount="100000" sqref="G150:G151" name="Rango2_99_21"/>
    <protectedRange algorithmName="SHA-512" hashValue="XZw03RosI/l0z9FxmTtF29EdZ7P+4+ybhqoaAAUmURojSR5XbGfjC4f2i8gMqfY+RI9JvfdCA6PSh9TduXfUxA==" saltValue="5TPtLq2WoiRSae/yaDPnTw==" spinCount="100000" sqref="G152" name="Rango2_99_22"/>
    <protectedRange algorithmName="SHA-512" hashValue="XZw03RosI/l0z9FxmTtF29EdZ7P+4+ybhqoaAAUmURojSR5XbGfjC4f2i8gMqfY+RI9JvfdCA6PSh9TduXfUxA==" saltValue="5TPtLq2WoiRSae/yaDPnTw==" spinCount="100000" sqref="G153:G155" name="Rango2_99_23"/>
    <protectedRange algorithmName="SHA-512" hashValue="XZw03RosI/l0z9FxmTtF29EdZ7P+4+ybhqoaAAUmURojSR5XbGfjC4f2i8gMqfY+RI9JvfdCA6PSh9TduXfUxA==" saltValue="5TPtLq2WoiRSae/yaDPnTw==" spinCount="100000" sqref="G156" name="Rango2_99_24"/>
    <protectedRange algorithmName="SHA-512" hashValue="XZw03RosI/l0z9FxmTtF29EdZ7P+4+ybhqoaAAUmURojSR5XbGfjC4f2i8gMqfY+RI9JvfdCA6PSh9TduXfUxA==" saltValue="5TPtLq2WoiRSae/yaDPnTw==" spinCount="100000" sqref="G157" name="Rango2_99_25"/>
    <protectedRange algorithmName="SHA-512" hashValue="XZw03RosI/l0z9FxmTtF29EdZ7P+4+ybhqoaAAUmURojSR5XbGfjC4f2i8gMqfY+RI9JvfdCA6PSh9TduXfUxA==" saltValue="5TPtLq2WoiRSae/yaDPnTw==" spinCount="100000" sqref="G158" name="Rango2_99_26"/>
    <protectedRange algorithmName="SHA-512" hashValue="XZw03RosI/l0z9FxmTtF29EdZ7P+4+ybhqoaAAUmURojSR5XbGfjC4f2i8gMqfY+RI9JvfdCA6PSh9TduXfUxA==" saltValue="5TPtLq2WoiRSae/yaDPnTw==" spinCount="100000" sqref="G159" name="Rango2_99_27"/>
    <protectedRange algorithmName="SHA-512" hashValue="9+DNppQbWrLYYUMoJ+lyQctV2bX3Vq9kZnegLbpjTLP49It2ovUbcartuoQTeXgP+TGpY//7mDH/UQlFCKDGiA==" saltValue="KUnni6YEm00anzSSvyLqQA==" spinCount="100000" sqref="A161:F161" name="Rango2_32"/>
    <protectedRange algorithmName="SHA-512" hashValue="6a5oYwZw9WJcgjqXpleUXH8uaqNEuymPPpeOb7lKBc1WoM6IG/DNyDLWmj2lYwxnZO2yhl+B61kwrxD9m9AdhQ==" saltValue="tdNQPzLQd+n9Ww064QJIaQ==" spinCount="100000" sqref="E162" name="Rango2_61_55"/>
    <protectedRange algorithmName="SHA-512" hashValue="EMMPgE8t/az1rHHzaZAQIhz+GQV0k2O/tQGA96sJqEEMzz1efIRa4CcLzC7iY9CCscto3g7dwz41haOE28iXYg==" saltValue="CVzFsG4X4LXUMo7796PiDQ==" spinCount="100000" sqref="A162:D162 F162" name="Rango2_10_55"/>
    <protectedRange algorithmName="SHA-512" hashValue="cjB0/89+phf70Vhq9PW8mqFIBSi0NBIwb6Nu68c2KHw5qNJONhOzx/CkyH9AcA1QkhnV2r8TzORgeQ70DsWEuQ==" saltValue="HzeP5EzY+7kwoprfNZQSZw==" spinCount="100000" sqref="G161" name="Rango2_96"/>
    <protectedRange algorithmName="SHA-512" hashValue="XZw03RosI/l0z9FxmTtF29EdZ7P+4+ybhqoaAAUmURojSR5XbGfjC4f2i8gMqfY+RI9JvfdCA6PSh9TduXfUxA==" saltValue="5TPtLq2WoiRSae/yaDPnTw==" spinCount="100000" sqref="G162" name="Rango2_99_28"/>
    <protectedRange algorithmName="SHA-512" hashValue="9+DNppQbWrLYYUMoJ+lyQctV2bX3Vq9kZnegLbpjTLP49It2ovUbcartuoQTeXgP+TGpY//7mDH/UQlFCKDGiA==" saltValue="KUnni6YEm00anzSSvyLqQA==" spinCount="100000" sqref="A164:F164" name="Rango2_33"/>
    <protectedRange algorithmName="SHA-512" hashValue="6a5oYwZw9WJcgjqXpleUXH8uaqNEuymPPpeOb7lKBc1WoM6IG/DNyDLWmj2lYwxnZO2yhl+B61kwrxD9m9AdhQ==" saltValue="tdNQPzLQd+n9Ww064QJIaQ==" spinCount="100000" sqref="E165" name="Rango2_61_57"/>
    <protectedRange algorithmName="SHA-512" hashValue="EMMPgE8t/az1rHHzaZAQIhz+GQV0k2O/tQGA96sJqEEMzz1efIRa4CcLzC7iY9CCscto3g7dwz41haOE28iXYg==" saltValue="CVzFsG4X4LXUMo7796PiDQ==" spinCount="100000" sqref="F165 A165:D165" name="Rango2_10_57"/>
    <protectedRange algorithmName="SHA-512" hashValue="6a5oYwZw9WJcgjqXpleUXH8uaqNEuymPPpeOb7lKBc1WoM6IG/DNyDLWmj2lYwxnZO2yhl+B61kwrxD9m9AdhQ==" saltValue="tdNQPzLQd+n9Ww064QJIaQ==" spinCount="100000" sqref="E166:E167" name="Rango2_61_58"/>
    <protectedRange algorithmName="SHA-512" hashValue="EMMPgE8t/az1rHHzaZAQIhz+GQV0k2O/tQGA96sJqEEMzz1efIRa4CcLzC7iY9CCscto3g7dwz41haOE28iXYg==" saltValue="CVzFsG4X4LXUMo7796PiDQ==" spinCount="100000" sqref="F166:F167 A166:D167" name="Rango2_10_58"/>
    <protectedRange algorithmName="SHA-512" hashValue="6a5oYwZw9WJcgjqXpleUXH8uaqNEuymPPpeOb7lKBc1WoM6IG/DNyDLWmj2lYwxnZO2yhl+B61kwrxD9m9AdhQ==" saltValue="tdNQPzLQd+n9Ww064QJIaQ==" spinCount="100000" sqref="E168:E169" name="Rango2_61_59"/>
    <protectedRange algorithmName="SHA-512" hashValue="EMMPgE8t/az1rHHzaZAQIhz+GQV0k2O/tQGA96sJqEEMzz1efIRa4CcLzC7iY9CCscto3g7dwz41haOE28iXYg==" saltValue="CVzFsG4X4LXUMo7796PiDQ==" spinCount="100000" sqref="F168:F169 A168:D169" name="Rango2_10_59"/>
    <protectedRange algorithmName="SHA-512" hashValue="6a5oYwZw9WJcgjqXpleUXH8uaqNEuymPPpeOb7lKBc1WoM6IG/DNyDLWmj2lYwxnZO2yhl+B61kwrxD9m9AdhQ==" saltValue="tdNQPzLQd+n9Ww064QJIaQ==" spinCount="100000" sqref="E170" name="Rango2_61_60"/>
    <protectedRange algorithmName="SHA-512" hashValue="EMMPgE8t/az1rHHzaZAQIhz+GQV0k2O/tQGA96sJqEEMzz1efIRa4CcLzC7iY9CCscto3g7dwz41haOE28iXYg==" saltValue="CVzFsG4X4LXUMo7796PiDQ==" spinCount="100000" sqref="F170 A170:D170" name="Rango2_10_60"/>
    <protectedRange algorithmName="SHA-512" hashValue="6a5oYwZw9WJcgjqXpleUXH8uaqNEuymPPpeOb7lKBc1WoM6IG/DNyDLWmj2lYwxnZO2yhl+B61kwrxD9m9AdhQ==" saltValue="tdNQPzLQd+n9Ww064QJIaQ==" spinCount="100000" sqref="E171" name="Rango2_61_61"/>
    <protectedRange algorithmName="SHA-512" hashValue="EMMPgE8t/az1rHHzaZAQIhz+GQV0k2O/tQGA96sJqEEMzz1efIRa4CcLzC7iY9CCscto3g7dwz41haOE28iXYg==" saltValue="CVzFsG4X4LXUMo7796PiDQ==" spinCount="100000" sqref="F171 A171:D171" name="Rango2_10_61"/>
    <protectedRange algorithmName="SHA-512" hashValue="6a5oYwZw9WJcgjqXpleUXH8uaqNEuymPPpeOb7lKBc1WoM6IG/DNyDLWmj2lYwxnZO2yhl+B61kwrxD9m9AdhQ==" saltValue="tdNQPzLQd+n9Ww064QJIaQ==" spinCount="100000" sqref="E172" name="Rango2_61_62"/>
    <protectedRange algorithmName="SHA-512" hashValue="EMMPgE8t/az1rHHzaZAQIhz+GQV0k2O/tQGA96sJqEEMzz1efIRa4CcLzC7iY9CCscto3g7dwz41haOE28iXYg==" saltValue="CVzFsG4X4LXUMo7796PiDQ==" spinCount="100000" sqref="F172 A172:D172" name="Rango2_10_62"/>
    <protectedRange algorithmName="SHA-512" hashValue="6a5oYwZw9WJcgjqXpleUXH8uaqNEuymPPpeOb7lKBc1WoM6IG/DNyDLWmj2lYwxnZO2yhl+B61kwrxD9m9AdhQ==" saltValue="tdNQPzLQd+n9Ww064QJIaQ==" spinCount="100000" sqref="E173" name="Rango2_61_63"/>
    <protectedRange algorithmName="SHA-512" hashValue="EMMPgE8t/az1rHHzaZAQIhz+GQV0k2O/tQGA96sJqEEMzz1efIRa4CcLzC7iY9CCscto3g7dwz41haOE28iXYg==" saltValue="CVzFsG4X4LXUMo7796PiDQ==" spinCount="100000" sqref="F173 A173:D173" name="Rango2_10_63"/>
    <protectedRange algorithmName="SHA-512" hashValue="6a5oYwZw9WJcgjqXpleUXH8uaqNEuymPPpeOb7lKBc1WoM6IG/DNyDLWmj2lYwxnZO2yhl+B61kwrxD9m9AdhQ==" saltValue="tdNQPzLQd+n9Ww064QJIaQ==" spinCount="100000" sqref="E174" name="Rango2_61_64"/>
    <protectedRange algorithmName="SHA-512" hashValue="EMMPgE8t/az1rHHzaZAQIhz+GQV0k2O/tQGA96sJqEEMzz1efIRa4CcLzC7iY9CCscto3g7dwz41haOE28iXYg==" saltValue="CVzFsG4X4LXUMo7796PiDQ==" spinCount="100000" sqref="F174 A174:D174" name="Rango2_10_64"/>
    <protectedRange algorithmName="SHA-512" hashValue="6a5oYwZw9WJcgjqXpleUXH8uaqNEuymPPpeOb7lKBc1WoM6IG/DNyDLWmj2lYwxnZO2yhl+B61kwrxD9m9AdhQ==" saltValue="tdNQPzLQd+n9Ww064QJIaQ==" spinCount="100000" sqref="E175" name="Rango2_61_65"/>
    <protectedRange algorithmName="SHA-512" hashValue="EMMPgE8t/az1rHHzaZAQIhz+GQV0k2O/tQGA96sJqEEMzz1efIRa4CcLzC7iY9CCscto3g7dwz41haOE28iXYg==" saltValue="CVzFsG4X4LXUMo7796PiDQ==" spinCount="100000" sqref="F175 A175:D175" name="Rango2_10_65"/>
    <protectedRange algorithmName="SHA-512" hashValue="6a5oYwZw9WJcgjqXpleUXH8uaqNEuymPPpeOb7lKBc1WoM6IG/DNyDLWmj2lYwxnZO2yhl+B61kwrxD9m9AdhQ==" saltValue="tdNQPzLQd+n9Ww064QJIaQ==" spinCount="100000" sqref="E176" name="Rango2_61_66"/>
    <protectedRange algorithmName="SHA-512" hashValue="EMMPgE8t/az1rHHzaZAQIhz+GQV0k2O/tQGA96sJqEEMzz1efIRa4CcLzC7iY9CCscto3g7dwz41haOE28iXYg==" saltValue="CVzFsG4X4LXUMo7796PiDQ==" spinCount="100000" sqref="A176:D176" name="Rango2_10_66"/>
    <protectedRange algorithmName="SHA-512" hashValue="6a5oYwZw9WJcgjqXpleUXH8uaqNEuymPPpeOb7lKBc1WoM6IG/DNyDLWmj2lYwxnZO2yhl+B61kwrxD9m9AdhQ==" saltValue="tdNQPzLQd+n9Ww064QJIaQ==" spinCount="100000" sqref="E177" name="Rango2_61_67"/>
    <protectedRange algorithmName="SHA-512" hashValue="EMMPgE8t/az1rHHzaZAQIhz+GQV0k2O/tQGA96sJqEEMzz1efIRa4CcLzC7iY9CCscto3g7dwz41haOE28iXYg==" saltValue="CVzFsG4X4LXUMo7796PiDQ==" spinCount="100000" sqref="A177:D177" name="Rango2_10_67"/>
    <protectedRange algorithmName="SHA-512" hashValue="6a5oYwZw9WJcgjqXpleUXH8uaqNEuymPPpeOb7lKBc1WoM6IG/DNyDLWmj2lYwxnZO2yhl+B61kwrxD9m9AdhQ==" saltValue="tdNQPzLQd+n9Ww064QJIaQ==" spinCount="100000" sqref="E178:E179" name="Rango2_61_68"/>
    <protectedRange algorithmName="SHA-512" hashValue="EMMPgE8t/az1rHHzaZAQIhz+GQV0k2O/tQGA96sJqEEMzz1efIRa4CcLzC7iY9CCscto3g7dwz41haOE28iXYg==" saltValue="CVzFsG4X4LXUMo7796PiDQ==" spinCount="100000" sqref="F178:F179 A178:D179" name="Rango2_10_68"/>
    <protectedRange algorithmName="SHA-512" hashValue="6a5oYwZw9WJcgjqXpleUXH8uaqNEuymPPpeOb7lKBc1WoM6IG/DNyDLWmj2lYwxnZO2yhl+B61kwrxD9m9AdhQ==" saltValue="tdNQPzLQd+n9Ww064QJIaQ==" spinCount="100000" sqref="E180" name="Rango2_61_69"/>
    <protectedRange algorithmName="SHA-512" hashValue="EMMPgE8t/az1rHHzaZAQIhz+GQV0k2O/tQGA96sJqEEMzz1efIRa4CcLzC7iY9CCscto3g7dwz41haOE28iXYg==" saltValue="CVzFsG4X4LXUMo7796PiDQ==" spinCount="100000" sqref="F180 A180:D180" name="Rango2_10_69"/>
    <protectedRange algorithmName="SHA-512" hashValue="6a5oYwZw9WJcgjqXpleUXH8uaqNEuymPPpeOb7lKBc1WoM6IG/DNyDLWmj2lYwxnZO2yhl+B61kwrxD9m9AdhQ==" saltValue="tdNQPzLQd+n9Ww064QJIaQ==" spinCount="100000" sqref="E181:F181" name="Rango2_61_70"/>
    <protectedRange algorithmName="SHA-512" hashValue="EMMPgE8t/az1rHHzaZAQIhz+GQV0k2O/tQGA96sJqEEMzz1efIRa4CcLzC7iY9CCscto3g7dwz41haOE28iXYg==" saltValue="CVzFsG4X4LXUMo7796PiDQ==" spinCount="100000" sqref="A181:D181" name="Rango2_10_70"/>
    <protectedRange algorithmName="SHA-512" hashValue="6a5oYwZw9WJcgjqXpleUXH8uaqNEuymPPpeOb7lKBc1WoM6IG/DNyDLWmj2lYwxnZO2yhl+B61kwrxD9m9AdhQ==" saltValue="tdNQPzLQd+n9Ww064QJIaQ==" spinCount="100000" sqref="E182:E184" name="Rango2_61_71"/>
    <protectedRange algorithmName="SHA-512" hashValue="EMMPgE8t/az1rHHzaZAQIhz+GQV0k2O/tQGA96sJqEEMzz1efIRa4CcLzC7iY9CCscto3g7dwz41haOE28iXYg==" saltValue="CVzFsG4X4LXUMo7796PiDQ==" spinCount="100000" sqref="F182:F184 A182:D184" name="Rango2_10_71"/>
    <protectedRange algorithmName="SHA-512" hashValue="6a5oYwZw9WJcgjqXpleUXH8uaqNEuymPPpeOb7lKBc1WoM6IG/DNyDLWmj2lYwxnZO2yhl+B61kwrxD9m9AdhQ==" saltValue="tdNQPzLQd+n9Ww064QJIaQ==" spinCount="100000" sqref="E185:E190" name="Rango2_61_72"/>
    <protectedRange algorithmName="SHA-512" hashValue="EMMPgE8t/az1rHHzaZAQIhz+GQV0k2O/tQGA96sJqEEMzz1efIRa4CcLzC7iY9CCscto3g7dwz41haOE28iXYg==" saltValue="CVzFsG4X4LXUMo7796PiDQ==" spinCount="100000" sqref="F185:F186 A185:D190" name="Rango2_10_72"/>
    <protectedRange algorithmName="SHA-512" hashValue="9+DNppQbWrLYYUMoJ+lyQctV2bX3Vq9kZnegLbpjTLP49It2ovUbcartuoQTeXgP+TGpY//7mDH/UQlFCKDGiA==" saltValue="KUnni6YEm00anzSSvyLqQA==" spinCount="100000" sqref="A192:F192" name="Rango2_34"/>
    <protectedRange algorithmName="SHA-512" hashValue="6a5oYwZw9WJcgjqXpleUXH8uaqNEuymPPpeOb7lKBc1WoM6IG/DNyDLWmj2lYwxnZO2yhl+B61kwrxD9m9AdhQ==" saltValue="tdNQPzLQd+n9Ww064QJIaQ==" spinCount="100000" sqref="E193" name="Rango2_61_74"/>
    <protectedRange algorithmName="SHA-512" hashValue="EMMPgE8t/az1rHHzaZAQIhz+GQV0k2O/tQGA96sJqEEMzz1efIRa4CcLzC7iY9CCscto3g7dwz41haOE28iXYg==" saltValue="CVzFsG4X4LXUMo7796PiDQ==" spinCount="100000" sqref="F193 A193:D193" name="Rango2_10_74"/>
    <protectedRange algorithmName="SHA-512" hashValue="6a5oYwZw9WJcgjqXpleUXH8uaqNEuymPPpeOb7lKBc1WoM6IG/DNyDLWmj2lYwxnZO2yhl+B61kwrxD9m9AdhQ==" saltValue="tdNQPzLQd+n9Ww064QJIaQ==" spinCount="100000" sqref="E194" name="Rango2_61_75"/>
    <protectedRange algorithmName="SHA-512" hashValue="EMMPgE8t/az1rHHzaZAQIhz+GQV0k2O/tQGA96sJqEEMzz1efIRa4CcLzC7iY9CCscto3g7dwz41haOE28iXYg==" saltValue="CVzFsG4X4LXUMo7796PiDQ==" spinCount="100000" sqref="F194 A194:D194" name="Rango2_10_75"/>
    <protectedRange algorithmName="SHA-512" hashValue="6a5oYwZw9WJcgjqXpleUXH8uaqNEuymPPpeOb7lKBc1WoM6IG/DNyDLWmj2lYwxnZO2yhl+B61kwrxD9m9AdhQ==" saltValue="tdNQPzLQd+n9Ww064QJIaQ==" spinCount="100000" sqref="E195" name="Rango2_61_76"/>
    <protectedRange algorithmName="SHA-512" hashValue="EMMPgE8t/az1rHHzaZAQIhz+GQV0k2O/tQGA96sJqEEMzz1efIRa4CcLzC7iY9CCscto3g7dwz41haOE28iXYg==" saltValue="CVzFsG4X4LXUMo7796PiDQ==" spinCount="100000" sqref="F195 A195:D195" name="Rango2_10_76"/>
    <protectedRange algorithmName="SHA-512" hashValue="6a5oYwZw9WJcgjqXpleUXH8uaqNEuymPPpeOb7lKBc1WoM6IG/DNyDLWmj2lYwxnZO2yhl+B61kwrxD9m9AdhQ==" saltValue="tdNQPzLQd+n9Ww064QJIaQ==" spinCount="100000" sqref="E196" name="Rango2_61_77"/>
    <protectedRange algorithmName="SHA-512" hashValue="EMMPgE8t/az1rHHzaZAQIhz+GQV0k2O/tQGA96sJqEEMzz1efIRa4CcLzC7iY9CCscto3g7dwz41haOE28iXYg==" saltValue="CVzFsG4X4LXUMo7796PiDQ==" spinCount="100000" sqref="F196 A196:D196" name="Rango2_10_77"/>
    <protectedRange algorithmName="SHA-512" hashValue="6a5oYwZw9WJcgjqXpleUXH8uaqNEuymPPpeOb7lKBc1WoM6IG/DNyDLWmj2lYwxnZO2yhl+B61kwrxD9m9AdhQ==" saltValue="tdNQPzLQd+n9Ww064QJIaQ==" spinCount="100000" sqref="E197" name="Rango2_61_78"/>
    <protectedRange algorithmName="SHA-512" hashValue="EMMPgE8t/az1rHHzaZAQIhz+GQV0k2O/tQGA96sJqEEMzz1efIRa4CcLzC7iY9CCscto3g7dwz41haOE28iXYg==" saltValue="CVzFsG4X4LXUMo7796PiDQ==" spinCount="100000" sqref="F197 A197:D197" name="Rango2_10_78"/>
    <protectedRange algorithmName="SHA-512" hashValue="6a5oYwZw9WJcgjqXpleUXH8uaqNEuymPPpeOb7lKBc1WoM6IG/DNyDLWmj2lYwxnZO2yhl+B61kwrxD9m9AdhQ==" saltValue="tdNQPzLQd+n9Ww064QJIaQ==" spinCount="100000" sqref="E198" name="Rango2_61_79"/>
    <protectedRange algorithmName="SHA-512" hashValue="EMMPgE8t/az1rHHzaZAQIhz+GQV0k2O/tQGA96sJqEEMzz1efIRa4CcLzC7iY9CCscto3g7dwz41haOE28iXYg==" saltValue="CVzFsG4X4LXUMo7796PiDQ==" spinCount="100000" sqref="F198 A198:D198" name="Rango2_10_79"/>
    <protectedRange algorithmName="SHA-512" hashValue="6a5oYwZw9WJcgjqXpleUXH8uaqNEuymPPpeOb7lKBc1WoM6IG/DNyDLWmj2lYwxnZO2yhl+B61kwrxD9m9AdhQ==" saltValue="tdNQPzLQd+n9Ww064QJIaQ==" spinCount="100000" sqref="E199" name="Rango2_61_80"/>
    <protectedRange algorithmName="SHA-512" hashValue="EMMPgE8t/az1rHHzaZAQIhz+GQV0k2O/tQGA96sJqEEMzz1efIRa4CcLzC7iY9CCscto3g7dwz41haOE28iXYg==" saltValue="CVzFsG4X4LXUMo7796PiDQ==" spinCount="100000" sqref="F199 A199:D199" name="Rango2_10_80"/>
    <protectedRange algorithmName="SHA-512" hashValue="6a5oYwZw9WJcgjqXpleUXH8uaqNEuymPPpeOb7lKBc1WoM6IG/DNyDLWmj2lYwxnZO2yhl+B61kwrxD9m9AdhQ==" saltValue="tdNQPzLQd+n9Ww064QJIaQ==" spinCount="100000" sqref="E200" name="Rango2_61_81"/>
    <protectedRange algorithmName="SHA-512" hashValue="EMMPgE8t/az1rHHzaZAQIhz+GQV0k2O/tQGA96sJqEEMzz1efIRa4CcLzC7iY9CCscto3g7dwz41haOE28iXYg==" saltValue="CVzFsG4X4LXUMo7796PiDQ==" spinCount="100000" sqref="F200 A200:D200" name="Rango2_10_81"/>
    <protectedRange algorithmName="SHA-512" hashValue="6a5oYwZw9WJcgjqXpleUXH8uaqNEuymPPpeOb7lKBc1WoM6IG/DNyDLWmj2lYwxnZO2yhl+B61kwrxD9m9AdhQ==" saltValue="tdNQPzLQd+n9Ww064QJIaQ==" spinCount="100000" sqref="E201" name="Rango2_61_82"/>
    <protectedRange algorithmName="SHA-512" hashValue="EMMPgE8t/az1rHHzaZAQIhz+GQV0k2O/tQGA96sJqEEMzz1efIRa4CcLzC7iY9CCscto3g7dwz41haOE28iXYg==" saltValue="CVzFsG4X4LXUMo7796PiDQ==" spinCount="100000" sqref="A201:D201" name="Rango2_10_82"/>
    <protectedRange algorithmName="SHA-512" hashValue="6a5oYwZw9WJcgjqXpleUXH8uaqNEuymPPpeOb7lKBc1WoM6IG/DNyDLWmj2lYwxnZO2yhl+B61kwrxD9m9AdhQ==" saltValue="tdNQPzLQd+n9Ww064QJIaQ==" spinCount="100000" sqref="E202" name="Rango2_61_83"/>
    <protectedRange algorithmName="SHA-512" hashValue="EMMPgE8t/az1rHHzaZAQIhz+GQV0k2O/tQGA96sJqEEMzz1efIRa4CcLzC7iY9CCscto3g7dwz41haOE28iXYg==" saltValue="CVzFsG4X4LXUMo7796PiDQ==" spinCount="100000" sqref="A202:D202" name="Rango2_10_83"/>
    <protectedRange algorithmName="SHA-512" hashValue="6a5oYwZw9WJcgjqXpleUXH8uaqNEuymPPpeOb7lKBc1WoM6IG/DNyDLWmj2lYwxnZO2yhl+B61kwrxD9m9AdhQ==" saltValue="tdNQPzLQd+n9Ww064QJIaQ==" spinCount="100000" sqref="E203" name="Rango2_61_84"/>
    <protectedRange algorithmName="SHA-512" hashValue="EMMPgE8t/az1rHHzaZAQIhz+GQV0k2O/tQGA96sJqEEMzz1efIRa4CcLzC7iY9CCscto3g7dwz41haOE28iXYg==" saltValue="CVzFsG4X4LXUMo7796PiDQ==" spinCount="100000" sqref="A203:D203" name="Rango2_10_84"/>
    <protectedRange algorithmName="SHA-512" hashValue="6a5oYwZw9WJcgjqXpleUXH8uaqNEuymPPpeOb7lKBc1WoM6IG/DNyDLWmj2lYwxnZO2yhl+B61kwrxD9m9AdhQ==" saltValue="tdNQPzLQd+n9Ww064QJIaQ==" spinCount="100000" sqref="E204:E205" name="Rango2_61_85"/>
    <protectedRange algorithmName="SHA-512" hashValue="EMMPgE8t/az1rHHzaZAQIhz+GQV0k2O/tQGA96sJqEEMzz1efIRa4CcLzC7iY9CCscto3g7dwz41haOE28iXYg==" saltValue="CVzFsG4X4LXUMo7796PiDQ==" spinCount="100000" sqref="F204:F205 A204:D205" name="Rango2_10_85"/>
    <protectedRange algorithmName="SHA-512" hashValue="6a5oYwZw9WJcgjqXpleUXH8uaqNEuymPPpeOb7lKBc1WoM6IG/DNyDLWmj2lYwxnZO2yhl+B61kwrxD9m9AdhQ==" saltValue="tdNQPzLQd+n9Ww064QJIaQ==" spinCount="100000" sqref="E206" name="Rango2_61_86"/>
    <protectedRange algorithmName="SHA-512" hashValue="EMMPgE8t/az1rHHzaZAQIhz+GQV0k2O/tQGA96sJqEEMzz1efIRa4CcLzC7iY9CCscto3g7dwz41haOE28iXYg==" saltValue="CVzFsG4X4LXUMo7796PiDQ==" spinCount="100000" sqref="F206 A206:D206" name="Rango2_10_86"/>
    <protectedRange algorithmName="SHA-512" hashValue="6a5oYwZw9WJcgjqXpleUXH8uaqNEuymPPpeOb7lKBc1WoM6IG/DNyDLWmj2lYwxnZO2yhl+B61kwrxD9m9AdhQ==" saltValue="tdNQPzLQd+n9Ww064QJIaQ==" spinCount="100000" sqref="E207:F207" name="Rango2_61_87"/>
    <protectedRange algorithmName="SHA-512" hashValue="EMMPgE8t/az1rHHzaZAQIhz+GQV0k2O/tQGA96sJqEEMzz1efIRa4CcLzC7iY9CCscto3g7dwz41haOE28iXYg==" saltValue="CVzFsG4X4LXUMo7796PiDQ==" spinCount="100000" sqref="A207:D207" name="Rango2_10_87"/>
    <protectedRange algorithmName="SHA-512" hashValue="6a5oYwZw9WJcgjqXpleUXH8uaqNEuymPPpeOb7lKBc1WoM6IG/DNyDLWmj2lYwxnZO2yhl+B61kwrxD9m9AdhQ==" saltValue="tdNQPzLQd+n9Ww064QJIaQ==" spinCount="100000" sqref="E208:E210" name="Rango2_61_88"/>
    <protectedRange algorithmName="SHA-512" hashValue="EMMPgE8t/az1rHHzaZAQIhz+GQV0k2O/tQGA96sJqEEMzz1efIRa4CcLzC7iY9CCscto3g7dwz41haOE28iXYg==" saltValue="CVzFsG4X4LXUMo7796PiDQ==" spinCount="100000" sqref="F208:F210 A208:D210" name="Rango2_10_88"/>
    <protectedRange algorithmName="SHA-512" hashValue="6a5oYwZw9WJcgjqXpleUXH8uaqNEuymPPpeOb7lKBc1WoM6IG/DNyDLWmj2lYwxnZO2yhl+B61kwrxD9m9AdhQ==" saltValue="tdNQPzLQd+n9Ww064QJIaQ==" spinCount="100000" sqref="E211:E216" name="Rango2_61_89"/>
    <protectedRange algorithmName="SHA-512" hashValue="EMMPgE8t/az1rHHzaZAQIhz+GQV0k2O/tQGA96sJqEEMzz1efIRa4CcLzC7iY9CCscto3g7dwz41haOE28iXYg==" saltValue="CVzFsG4X4LXUMo7796PiDQ==" spinCount="100000" sqref="F211:F212 A211:D216" name="Rango2_10_89"/>
    <protectedRange algorithmName="SHA-512" hashValue="9+DNppQbWrLYYUMoJ+lyQctV2bX3Vq9kZnegLbpjTLP49It2ovUbcartuoQTeXgP+TGpY//7mDH/UQlFCKDGiA==" saltValue="KUnni6YEm00anzSSvyLqQA==" spinCount="100000" sqref="A218:F218" name="Rango2_35"/>
    <protectedRange algorithmName="SHA-512" hashValue="6a5oYwZw9WJcgjqXpleUXH8uaqNEuymPPpeOb7lKBc1WoM6IG/DNyDLWmj2lYwxnZO2yhl+B61kwrxD9m9AdhQ==" saltValue="tdNQPzLQd+n9Ww064QJIaQ==" spinCount="100000" sqref="E219:E220" name="Rango2_61_90"/>
    <protectedRange algorithmName="SHA-512" hashValue="EMMPgE8t/az1rHHzaZAQIhz+GQV0k2O/tQGA96sJqEEMzz1efIRa4CcLzC7iY9CCscto3g7dwz41haOE28iXYg==" saltValue="CVzFsG4X4LXUMo7796PiDQ==" spinCount="100000" sqref="F219:F220 A219:D220" name="Rango2_10_90"/>
    <protectedRange algorithmName="SHA-512" hashValue="6a5oYwZw9WJcgjqXpleUXH8uaqNEuymPPpeOb7lKBc1WoM6IG/DNyDLWmj2lYwxnZO2yhl+B61kwrxD9m9AdhQ==" saltValue="tdNQPzLQd+n9Ww064QJIaQ==" spinCount="100000" sqref="E221" name="Rango2_61_91"/>
    <protectedRange algorithmName="SHA-512" hashValue="EMMPgE8t/az1rHHzaZAQIhz+GQV0k2O/tQGA96sJqEEMzz1efIRa4CcLzC7iY9CCscto3g7dwz41haOE28iXYg==" saltValue="CVzFsG4X4LXUMo7796PiDQ==" spinCount="100000" sqref="F221 A221:D221" name="Rango2_10_91"/>
    <protectedRange algorithmName="SHA-512" hashValue="6a5oYwZw9WJcgjqXpleUXH8uaqNEuymPPpeOb7lKBc1WoM6IG/DNyDLWmj2lYwxnZO2yhl+B61kwrxD9m9AdhQ==" saltValue="tdNQPzLQd+n9Ww064QJIaQ==" spinCount="100000" sqref="E222" name="Rango2_61_92"/>
    <protectedRange algorithmName="SHA-512" hashValue="EMMPgE8t/az1rHHzaZAQIhz+GQV0k2O/tQGA96sJqEEMzz1efIRa4CcLzC7iY9CCscto3g7dwz41haOE28iXYg==" saltValue="CVzFsG4X4LXUMo7796PiDQ==" spinCount="100000" sqref="F222 A222:D222" name="Rango2_10_92"/>
    <protectedRange algorithmName="SHA-512" hashValue="6a5oYwZw9WJcgjqXpleUXH8uaqNEuymPPpeOb7lKBc1WoM6IG/DNyDLWmj2lYwxnZO2yhl+B61kwrxD9m9AdhQ==" saltValue="tdNQPzLQd+n9Ww064QJIaQ==" spinCount="100000" sqref="E223" name="Rango2_61_93"/>
    <protectedRange algorithmName="SHA-512" hashValue="EMMPgE8t/az1rHHzaZAQIhz+GQV0k2O/tQGA96sJqEEMzz1efIRa4CcLzC7iY9CCscto3g7dwz41haOE28iXYg==" saltValue="CVzFsG4X4LXUMo7796PiDQ==" spinCount="100000" sqref="F223 A223:D223" name="Rango2_10_93"/>
    <protectedRange algorithmName="SHA-512" hashValue="6a5oYwZw9WJcgjqXpleUXH8uaqNEuymPPpeOb7lKBc1WoM6IG/DNyDLWmj2lYwxnZO2yhl+B61kwrxD9m9AdhQ==" saltValue="tdNQPzLQd+n9Ww064QJIaQ==" spinCount="100000" sqref="E224:E226" name="Rango2_61_94"/>
    <protectedRange algorithmName="SHA-512" hashValue="EMMPgE8t/az1rHHzaZAQIhz+GQV0k2O/tQGA96sJqEEMzz1efIRa4CcLzC7iY9CCscto3g7dwz41haOE28iXYg==" saltValue="CVzFsG4X4LXUMo7796PiDQ==" spinCount="100000" sqref="F224:F226 A224:D226" name="Rango2_10_94"/>
    <protectedRange algorithmName="SHA-512" hashValue="6a5oYwZw9WJcgjqXpleUXH8uaqNEuymPPpeOb7lKBc1WoM6IG/DNyDLWmj2lYwxnZO2yhl+B61kwrxD9m9AdhQ==" saltValue="tdNQPzLQd+n9Ww064QJIaQ==" spinCount="100000" sqref="E227" name="Rango2_61_95"/>
    <protectedRange algorithmName="SHA-512" hashValue="EMMPgE8t/az1rHHzaZAQIhz+GQV0k2O/tQGA96sJqEEMzz1efIRa4CcLzC7iY9CCscto3g7dwz41haOE28iXYg==" saltValue="CVzFsG4X4LXUMo7796PiDQ==" spinCount="100000" sqref="F227 A227:D227" name="Rango2_10_95"/>
    <protectedRange algorithmName="SHA-512" hashValue="6a5oYwZw9WJcgjqXpleUXH8uaqNEuymPPpeOb7lKBc1WoM6IG/DNyDLWmj2lYwxnZO2yhl+B61kwrxD9m9AdhQ==" saltValue="tdNQPzLQd+n9Ww064QJIaQ==" spinCount="100000" sqref="E228" name="Rango2_61_96"/>
    <protectedRange algorithmName="SHA-512" hashValue="EMMPgE8t/az1rHHzaZAQIhz+GQV0k2O/tQGA96sJqEEMzz1efIRa4CcLzC7iY9CCscto3g7dwz41haOE28iXYg==" saltValue="CVzFsG4X4LXUMo7796PiDQ==" spinCount="100000" sqref="F228 A228:D228" name="Rango2_10_96"/>
    <protectedRange algorithmName="SHA-512" hashValue="6a5oYwZw9WJcgjqXpleUXH8uaqNEuymPPpeOb7lKBc1WoM6IG/DNyDLWmj2lYwxnZO2yhl+B61kwrxD9m9AdhQ==" saltValue="tdNQPzLQd+n9Ww064QJIaQ==" spinCount="100000" sqref="E229" name="Rango2_61_97"/>
    <protectedRange algorithmName="SHA-512" hashValue="EMMPgE8t/az1rHHzaZAQIhz+GQV0k2O/tQGA96sJqEEMzz1efIRa4CcLzC7iY9CCscto3g7dwz41haOE28iXYg==" saltValue="CVzFsG4X4LXUMo7796PiDQ==" spinCount="100000" sqref="F229 A229:D229" name="Rango2_10_97"/>
    <protectedRange algorithmName="SHA-512" hashValue="6a5oYwZw9WJcgjqXpleUXH8uaqNEuymPPpeOb7lKBc1WoM6IG/DNyDLWmj2lYwxnZO2yhl+B61kwrxD9m9AdhQ==" saltValue="tdNQPzLQd+n9Ww064QJIaQ==" spinCount="100000" sqref="E230" name="Rango2_61_98"/>
    <protectedRange algorithmName="SHA-512" hashValue="EMMPgE8t/az1rHHzaZAQIhz+GQV0k2O/tQGA96sJqEEMzz1efIRa4CcLzC7iY9CCscto3g7dwz41haOE28iXYg==" saltValue="CVzFsG4X4LXUMo7796PiDQ==" spinCount="100000" sqref="F230 A230:D230" name="Rango2_10_98"/>
    <protectedRange algorithmName="SHA-512" hashValue="6a5oYwZw9WJcgjqXpleUXH8uaqNEuymPPpeOb7lKBc1WoM6IG/DNyDLWmj2lYwxnZO2yhl+B61kwrxD9m9AdhQ==" saltValue="tdNQPzLQd+n9Ww064QJIaQ==" spinCount="100000" sqref="E231" name="Rango2_61_99"/>
    <protectedRange algorithmName="SHA-512" hashValue="EMMPgE8t/az1rHHzaZAQIhz+GQV0k2O/tQGA96sJqEEMzz1efIRa4CcLzC7iY9CCscto3g7dwz41haOE28iXYg==" saltValue="CVzFsG4X4LXUMo7796PiDQ==" spinCount="100000" sqref="F231 A231:D231" name="Rango2_10_99"/>
    <protectedRange algorithmName="SHA-512" hashValue="9+DNppQbWrLYYUMoJ+lyQctV2bX3Vq9kZnegLbpjTLP49It2ovUbcartuoQTeXgP+TGpY//7mDH/UQlFCKDGiA==" saltValue="KUnni6YEm00anzSSvyLqQA==" spinCount="100000" sqref="A237:F237" name="Rango2_36"/>
    <protectedRange algorithmName="SHA-512" hashValue="9+DNppQbWrLYYUMoJ+lyQctV2bX3Vq9kZnegLbpjTLP49It2ovUbcartuoQTeXgP+TGpY//7mDH/UQlFCKDGiA==" saltValue="KUnni6YEm00anzSSvyLqQA==" spinCount="100000" sqref="A241:F241" name="Rango2_37"/>
    <protectedRange algorithmName="SHA-512" hashValue="9+DNppQbWrLYYUMoJ+lyQctV2bX3Vq9kZnegLbpjTLP49It2ovUbcartuoQTeXgP+TGpY//7mDH/UQlFCKDGiA==" saltValue="KUnni6YEm00anzSSvyLqQA==" spinCount="100000" sqref="A279:F279" name="Rango2_38"/>
    <protectedRange algorithmName="SHA-512" hashValue="9+DNppQbWrLYYUMoJ+lyQctV2bX3Vq9kZnegLbpjTLP49It2ovUbcartuoQTeXgP+TGpY//7mDH/UQlFCKDGiA==" saltValue="KUnni6YEm00anzSSvyLqQA==" spinCount="100000" sqref="A338:F338" name="Rango2_39"/>
    <protectedRange algorithmName="SHA-512" hashValue="9+DNppQbWrLYYUMoJ+lyQctV2bX3Vq9kZnegLbpjTLP49It2ovUbcartuoQTeXgP+TGpY//7mDH/UQlFCKDGiA==" saltValue="KUnni6YEm00anzSSvyLqQA==" spinCount="100000" sqref="A342:F342" name="Rango2_40"/>
    <protectedRange algorithmName="SHA-512" hashValue="9+DNppQbWrLYYUMoJ+lyQctV2bX3Vq9kZnegLbpjTLP49It2ovUbcartuoQTeXgP+TGpY//7mDH/UQlFCKDGiA==" saltValue="KUnni6YEm00anzSSvyLqQA==" spinCount="100000" sqref="A381:F381" name="Rango2_41"/>
    <protectedRange algorithmName="SHA-512" hashValue="9+DNppQbWrLYYUMoJ+lyQctV2bX3Vq9kZnegLbpjTLP49It2ovUbcartuoQTeXgP+TGpY//7mDH/UQlFCKDGiA==" saltValue="KUnni6YEm00anzSSvyLqQA==" spinCount="100000" sqref="A465:F465" name="Rango2_42"/>
    <protectedRange algorithmName="SHA-512" hashValue="9+DNppQbWrLYYUMoJ+lyQctV2bX3Vq9kZnegLbpjTLP49It2ovUbcartuoQTeXgP+TGpY//7mDH/UQlFCKDGiA==" saltValue="KUnni6YEm00anzSSvyLqQA==" spinCount="100000" sqref="A503:F503" name="Rango2_43"/>
    <protectedRange algorithmName="SHA-512" hashValue="9+DNppQbWrLYYUMoJ+lyQctV2bX3Vq9kZnegLbpjTLP49It2ovUbcartuoQTeXgP+TGpY//7mDH/UQlFCKDGiA==" saltValue="KUnni6YEm00anzSSvyLqQA==" spinCount="100000" sqref="A536:F536" name="Rango2_44"/>
    <protectedRange algorithmName="SHA-512" hashValue="9+DNppQbWrLYYUMoJ+lyQctV2bX3Vq9kZnegLbpjTLP49It2ovUbcartuoQTeXgP+TGpY//7mDH/UQlFCKDGiA==" saltValue="KUnni6YEm00anzSSvyLqQA==" spinCount="100000" sqref="A552:F552" name="Rango2_45"/>
    <protectedRange algorithmName="SHA-512" hashValue="9+DNppQbWrLYYUMoJ+lyQctV2bX3Vq9kZnegLbpjTLP49It2ovUbcartuoQTeXgP+TGpY//7mDH/UQlFCKDGiA==" saltValue="KUnni6YEm00anzSSvyLqQA==" spinCount="100000" sqref="A562:F562" name="Rango2_46"/>
    <protectedRange algorithmName="SHA-512" hashValue="9+DNppQbWrLYYUMoJ+lyQctV2bX3Vq9kZnegLbpjTLP49It2ovUbcartuoQTeXgP+TGpY//7mDH/UQlFCKDGiA==" saltValue="KUnni6YEm00anzSSvyLqQA==" spinCount="100000" sqref="A603:F603" name="Rango2_47"/>
    <protectedRange algorithmName="SHA-512" hashValue="9+DNppQbWrLYYUMoJ+lyQctV2bX3Vq9kZnegLbpjTLP49It2ovUbcartuoQTeXgP+TGpY//7mDH/UQlFCKDGiA==" saltValue="KUnni6YEm00anzSSvyLqQA==" spinCount="100000" sqref="A612:F612" name="Rango2_48"/>
    <protectedRange algorithmName="SHA-512" hashValue="9+DNppQbWrLYYUMoJ+lyQctV2bX3Vq9kZnegLbpjTLP49It2ovUbcartuoQTeXgP+TGpY//7mDH/UQlFCKDGiA==" saltValue="KUnni6YEm00anzSSvyLqQA==" spinCount="100000" sqref="A615:F615" name="Rango2_50"/>
    <protectedRange algorithmName="SHA-512" hashValue="9+DNppQbWrLYYUMoJ+lyQctV2bX3Vq9kZnegLbpjTLP49It2ovUbcartuoQTeXgP+TGpY//7mDH/UQlFCKDGiA==" saltValue="KUnni6YEm00anzSSvyLqQA==" spinCount="100000" sqref="A620:F620" name="Rango2_51"/>
    <protectedRange algorithmName="SHA-512" hashValue="9+DNppQbWrLYYUMoJ+lyQctV2bX3Vq9kZnegLbpjTLP49It2ovUbcartuoQTeXgP+TGpY//7mDH/UQlFCKDGiA==" saltValue="KUnni6YEm00anzSSvyLqQA==" spinCount="100000" sqref="A682:F682" name="Rango2_52"/>
    <protectedRange algorithmName="SHA-512" hashValue="9+DNppQbWrLYYUMoJ+lyQctV2bX3Vq9kZnegLbpjTLP49It2ovUbcartuoQTeXgP+TGpY//7mDH/UQlFCKDGiA==" saltValue="KUnni6YEm00anzSSvyLqQA==" spinCount="100000" sqref="A789:F789" name="Rango2_53"/>
    <protectedRange algorithmName="SHA-512" hashValue="9+DNppQbWrLYYUMoJ+lyQctV2bX3Vq9kZnegLbpjTLP49It2ovUbcartuoQTeXgP+TGpY//7mDH/UQlFCKDGiA==" saltValue="KUnni6YEm00anzSSvyLqQA==" spinCount="100000" sqref="A884:F884" name="Rango2_54"/>
    <protectedRange algorithmName="SHA-512" hashValue="9+DNppQbWrLYYUMoJ+lyQctV2bX3Vq9kZnegLbpjTLP49It2ovUbcartuoQTeXgP+TGpY//7mDH/UQlFCKDGiA==" saltValue="KUnni6YEm00anzSSvyLqQA==" spinCount="100000" sqref="A924:F924" name="Rango2_55"/>
    <protectedRange algorithmName="SHA-512" hashValue="9+DNppQbWrLYYUMoJ+lyQctV2bX3Vq9kZnegLbpjTLP49It2ovUbcartuoQTeXgP+TGpY//7mDH/UQlFCKDGiA==" saltValue="KUnni6YEm00anzSSvyLqQA==" spinCount="100000" sqref="A1015:F1015" name="Rango2_56"/>
    <protectedRange algorithmName="SHA-512" hashValue="9+DNppQbWrLYYUMoJ+lyQctV2bX3Vq9kZnegLbpjTLP49It2ovUbcartuoQTeXgP+TGpY//7mDH/UQlFCKDGiA==" saltValue="KUnni6YEm00anzSSvyLqQA==" spinCount="100000" sqref="A1064:F1064" name="Rango2_57"/>
    <protectedRange algorithmName="SHA-512" hashValue="9+DNppQbWrLYYUMoJ+lyQctV2bX3Vq9kZnegLbpjTLP49It2ovUbcartuoQTeXgP+TGpY//7mDH/UQlFCKDGiA==" saltValue="KUnni6YEm00anzSSvyLqQA==" spinCount="100000" sqref="A1093:F1093" name="Rango2_58"/>
    <protectedRange algorithmName="SHA-512" hashValue="9+DNppQbWrLYYUMoJ+lyQctV2bX3Vq9kZnegLbpjTLP49It2ovUbcartuoQTeXgP+TGpY//7mDH/UQlFCKDGiA==" saltValue="KUnni6YEm00anzSSvyLqQA==" spinCount="100000" sqref="A1188:F1188" name="Rango2_59"/>
    <protectedRange algorithmName="SHA-512" hashValue="9+DNppQbWrLYYUMoJ+lyQctV2bX3Vq9kZnegLbpjTLP49It2ovUbcartuoQTeXgP+TGpY//7mDH/UQlFCKDGiA==" saltValue="KUnni6YEm00anzSSvyLqQA==" spinCount="100000" sqref="A1273:F1273" name="Rango2_60"/>
    <protectedRange algorithmName="SHA-512" hashValue="9+DNppQbWrLYYUMoJ+lyQctV2bX3Vq9kZnegLbpjTLP49It2ovUbcartuoQTeXgP+TGpY//7mDH/UQlFCKDGiA==" saltValue="KUnni6YEm00anzSSvyLqQA==" spinCount="100000" sqref="A1316:F1316" name="Rango2_62"/>
  </protectedRanges>
  <mergeCells count="28">
    <mergeCell ref="A1315:F1315"/>
    <mergeCell ref="A1014:F1014"/>
    <mergeCell ref="A1063:F1063"/>
    <mergeCell ref="A1092:F1092"/>
    <mergeCell ref="A1187:F1187"/>
    <mergeCell ref="A1272:F1272"/>
    <mergeCell ref="A681:F681"/>
    <mergeCell ref="A619:F619"/>
    <mergeCell ref="A788:F788"/>
    <mergeCell ref="A923:F923"/>
    <mergeCell ref="A602:F602"/>
    <mergeCell ref="A611:F611"/>
    <mergeCell ref="A437:F437"/>
    <mergeCell ref="A464:F464"/>
    <mergeCell ref="A502:F502"/>
    <mergeCell ref="A535:F535"/>
    <mergeCell ref="A561:F561"/>
    <mergeCell ref="A380:F380"/>
    <mergeCell ref="A1:G1"/>
    <mergeCell ref="A112:G112"/>
    <mergeCell ref="A115:G115"/>
    <mergeCell ref="A160:G160"/>
    <mergeCell ref="A217:F217"/>
    <mergeCell ref="A236:F236"/>
    <mergeCell ref="A240:F240"/>
    <mergeCell ref="A278:F278"/>
    <mergeCell ref="A337:F337"/>
    <mergeCell ref="A341:F341"/>
  </mergeCells>
  <conditionalFormatting sqref="G3:G111">
    <cfRule type="cellIs" dxfId="30" priority="12" operator="equal">
      <formula>"CON RIESGO"</formula>
    </cfRule>
    <cfRule type="containsText" dxfId="29" priority="13" operator="containsText" text="BAJO">
      <formula>NOT(ISERROR(SEARCH("BAJO",G3)))</formula>
    </cfRule>
    <cfRule type="containsText" dxfId="28" priority="14" operator="containsText" text="ALTO">
      <formula>NOT(ISERROR(SEARCH("ALTO",G3)))</formula>
    </cfRule>
  </conditionalFormatting>
  <conditionalFormatting sqref="G114">
    <cfRule type="containsText" dxfId="27" priority="9" operator="containsText" text="NORMAL">
      <formula>NOT(ISERROR(SEARCH("NORMAL",G114)))</formula>
    </cfRule>
    <cfRule type="containsText" dxfId="26" priority="10" operator="containsText" text="VIGILAR">
      <formula>NOT(ISERROR(SEARCH("VIGILAR",G114)))</formula>
    </cfRule>
    <cfRule type="containsText" dxfId="25" priority="11" operator="containsText" text="HTA">
      <formula>NOT(ISERROR(SEARCH("HTA",G114)))</formula>
    </cfRule>
  </conditionalFormatting>
  <conditionalFormatting sqref="G162">
    <cfRule type="containsText" dxfId="24" priority="5" operator="containsText" text="RH NEGATIVO SIN COOMB">
      <formula>NOT(ISERROR(SEARCH("RH NEGATIVO SIN COOMB",G162)))</formula>
    </cfRule>
    <cfRule type="containsText" dxfId="23" priority="6" operator="containsText" text="RH NEGATIVO CON COOMBS POSITIVO">
      <formula>NOT(ISERROR(SEARCH("RH NEGATIVO CON COOMBS POSITIVO",G162)))</formula>
    </cfRule>
    <cfRule type="containsText" dxfId="22" priority="7" operator="containsText" text="RH NEGATIVO CON COOMBS NEGATIVO">
      <formula>NOT(ISERROR(SEARCH("RH NEGATIVO CON COOMBS NEGATIVO",G162)))</formula>
    </cfRule>
    <cfRule type="containsText" dxfId="21" priority="8" operator="containsText" text="RH POSITIVO">
      <formula>NOT(ISERROR(SEARCH("RH POSITIVO",G162)))</formula>
    </cfRule>
  </conditionalFormatting>
  <dataValidations count="2">
    <dataValidation type="list" allowBlank="1" showInputMessage="1" showErrorMessage="1" sqref="E3:E111 E114 E117:E159 E162 E193:E216 E165:E190 E219:E235 E238:E239 E242:E277 E280:E336 E339:E340 E343:E379 E382:E436 E438:E463 E466:E501 E504:E534 E537:E550 E553:E560 E563:E601 E604:E610 E613 E616:E618 E621:E680 E683:E787 E790:E882 E885:E922 E925:E1013 E1065:E1091 E1094:E1186 E1016:E1062 E1189:E1271 E1274:E1314 E1317:E1450" xr:uid="{57C4F7B0-8872-4FCD-AAE1-DD8B90AB54C6}">
      <formula1>"CEDULA DE CIUDADANIA,TARJETA DE IDENTIDAD,REGISTRO CIVIL,CEDULA DE EXTRANJERIA,MENOR SIN IDENTIFICACION,ADULTO SIN IDENTIFICACION,OTRO,SIN DATO"</formula1>
    </dataValidation>
    <dataValidation type="list" allowBlank="1" showInputMessage="1" showErrorMessage="1" sqref="G162" xr:uid="{5B3E0918-FDDA-4BD6-B8A1-034CD0742FDC}">
      <formula1>"RH POSITIVO, RH NEGATIVO SIN COOMBS,RH NEGATIVO CON COOMBS NEGATIVO,RH NEGATIVO CON COOMBS POSITIVO"</formula1>
    </dataValidation>
  </dataValidation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4</vt:i4>
      </vt:variant>
    </vt:vector>
  </HeadingPairs>
  <TitlesOfParts>
    <vt:vector size="4" baseType="lpstr">
      <vt:lpstr>INDICADORES</vt:lpstr>
      <vt:lpstr>INSTRUCTIVO </vt:lpstr>
      <vt:lpstr>CPN 2023</vt:lpstr>
      <vt:lpstr>Pendientes Agosto.</vt:lpstr>
    </vt:vector>
  </TitlesOfParts>
  <Company>Windows XP Colossus Edition 2 Reloaded</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Colossus User</dc:creator>
  <cp:lastModifiedBy>ARNOL NARVAEZ HIGON</cp:lastModifiedBy>
  <cp:lastPrinted>2013-06-06T22:13:03Z</cp:lastPrinted>
  <dcterms:created xsi:type="dcterms:W3CDTF">2011-06-21T18:46:29Z</dcterms:created>
  <dcterms:modified xsi:type="dcterms:W3CDTF">2023-11-03T20:38:36Z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Fecha de registro" linkTarget="INDIGENA">
    <vt:lpwstr>#¡REF!</vt:lpwstr>
  </property>
</Properties>
</file>